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spreadsheetml.comments+xml" PartName="/xl/comments3.xml"/>
  <Override ContentType="application/vnd.openxmlformats-officedocument.spreadsheetml.comments+xml" PartName="/xl/comments4.xml"/>
  <Override ContentType="application/vnd.openxmlformats-officedocument.spreadsheetml.comments+xml" PartName="/xl/comments5.xml"/>
  <Override ContentType="application/vnd.openxmlformats-officedocument.spreadsheetml.comments+xml" PartName="/xl/comments6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showInkAnnotation="0" updateLinks="never" codeName="ThisWorkbook"/>
  <bookViews>
    <workbookView xWindow="0" yWindow="210" windowWidth="19200" windowHeight="10815" tabRatio="874"/>
  </bookViews>
  <sheets>
    <sheet name="ImportantDisclosures" sheetId="363" r:id="rId1"/>
    <sheet name="Model" sheetId="335" r:id="rId2"/>
    <sheet name="Balance Sheet" sheetId="336" r:id="rId3"/>
    <sheet name="Cash Flow" sheetId="3" r:id="rId4"/>
    <sheet name="Metrics" sheetId="338" r:id="rId5"/>
    <sheet name="Geographic Detail" sheetId="11" r:id="rId6"/>
    <sheet name="IndexInformation" sheetId="364" r:id="rId7"/>
    <sheet name="ModPubIndex" sheetId="365" r:id="rId8"/>
    <sheet name="__FDSCACHE__" sheetId="330" state="veryHidden" r:id="rId9"/>
    <sheet name="__APW_ACTIVE_FIELD_RESTORE__" sheetId="327" state="veryHidden" r:id="rId10"/>
  </sheets>
  <definedNames>
    <definedName name="__FDS_HYPERLINK_TOGGLE_STATE__" hidden="1">"ON"</definedName>
    <definedName name="_1c00">Model!$AU$6:$AU$464</definedName>
    <definedName name="_1c01">Model!$BA$6:$BA$464</definedName>
    <definedName name="_1c02">Model!$BG$6:$BG$464</definedName>
    <definedName name="_1c03">Model!$BM$6:$BM$464</definedName>
    <definedName name="_1c04">Model!$BS$6:$BS$464</definedName>
    <definedName name="_1c05">Model!$BY$6:$BY$464</definedName>
    <definedName name="_1c06">Model!$CE$6:$CE$464</definedName>
    <definedName name="_1c07">Model!$CK$5:$CK$50074</definedName>
    <definedName name="_1c08">Model!$CQ$5:$CQ$50074</definedName>
    <definedName name="_1c09">Model!$CW$5:$CW$50074</definedName>
    <definedName name="_1c10">Model!$DC$5:$DC$50074</definedName>
    <definedName name="_1c11">Model!$DI$5:$DI$50074</definedName>
    <definedName name="_1c12">Model!$DO$5:$DO$50074</definedName>
    <definedName name="_1c13">Model!$DU$5:$DU$50074</definedName>
    <definedName name="_1c14">Model!$EA$6:$EA$464</definedName>
    <definedName name="_1c15">Model!$EG$6:$EG$464</definedName>
    <definedName name="_1c16">Model!$EM$6:$EM$464</definedName>
    <definedName name="_1c17">Model!$ES$6:$ES$464</definedName>
    <definedName name="_1c18">Model!$EY$6:$EY$464</definedName>
    <definedName name="_1c95">Model!$Q$6:$Q$464</definedName>
    <definedName name="_1c96">Model!$W$6:$W$464</definedName>
    <definedName name="_1c97">Model!$AC$6:$AC$464</definedName>
    <definedName name="_1c98">Model!$AI$6:$AI$464</definedName>
    <definedName name="_1c99">Model!$AO$6:$AO$464</definedName>
    <definedName name="_2c00">Model!$AV$6:$AV$464</definedName>
    <definedName name="_2c01">Model!$BB$6:$BB$464</definedName>
    <definedName name="_2c02">Model!$BH$6:$BH$464</definedName>
    <definedName name="_2c03">Model!$BN$6:$BN$464</definedName>
    <definedName name="_2c04">Model!$BT$6:$BT$464</definedName>
    <definedName name="_2c05">Model!$BZ$6:$BZ$464</definedName>
    <definedName name="_2c06">Model!$CF$5:$CF$50074</definedName>
    <definedName name="_2c07">Model!$CL$5:$CL$50074</definedName>
    <definedName name="_2c08">Model!$CR$5:$CR$50074</definedName>
    <definedName name="_2c09">Model!$CX$5:$CX$50074</definedName>
    <definedName name="_2c10">Model!$DD$5:$DD49973</definedName>
    <definedName name="_2c11">Model!$DJ$5:$DJ$50074</definedName>
    <definedName name="_2c12">Model!$DP$5:$DP$50074</definedName>
    <definedName name="_2c13">Model!$DV$5:$DV$50074</definedName>
    <definedName name="_2c14">Model!$EB$6:$EB$464</definedName>
    <definedName name="_2c15">Model!$EH$6:$EH$464</definedName>
    <definedName name="_2c16">Model!$EN$6:$EN$464</definedName>
    <definedName name="_2c17">Model!$ET$6:$ET$464</definedName>
    <definedName name="_2c18">Model!$EZ$6:$EZ$464</definedName>
    <definedName name="_2c95">Model!$R$6:$R$464</definedName>
    <definedName name="_2c96">Model!$X$6:$X$464</definedName>
    <definedName name="_2c97">Model!$AD$6:$AD$464</definedName>
    <definedName name="_2c98">Model!$AJ$6:$AJ$464</definedName>
    <definedName name="_2c99">Model!$AP$6:$AP$464</definedName>
    <definedName name="_3c00">Model!$AY$6:$AY$464</definedName>
    <definedName name="_3c01">Model!$BE$6:$BE$464</definedName>
    <definedName name="_3c02">Model!$BK$6:$BK$464</definedName>
    <definedName name="_3c03">Model!$BQ$6:$BQ$464</definedName>
    <definedName name="_3c04">Model!$BW$6:$BW$464</definedName>
    <definedName name="_3c05">Model!$CC$6:$CC$464</definedName>
    <definedName name="_3c06">Model!$CI$5:$CI$50074</definedName>
    <definedName name="_3c07">Model!$CO$5:$CO$50074</definedName>
    <definedName name="_3c08">Model!$CU$5:$CU$50074</definedName>
    <definedName name="_3c09">Model!$DA$5:$DA$50074</definedName>
    <definedName name="_3c10">Model!$DG$5:$DG$50074</definedName>
    <definedName name="_3c11">Model!$DM$5:$DM$50074</definedName>
    <definedName name="_3c12">Model!$DS$5:$DS$50074</definedName>
    <definedName name="_3c13">Model!$DY$6:$DY$464</definedName>
    <definedName name="_3c14">Model!$EE$6:$EE$464</definedName>
    <definedName name="_3c15">Model!$EK$6:$EK$464</definedName>
    <definedName name="_3c16">Model!$EQ$6:$EQ$464</definedName>
    <definedName name="_3C17">Model!$EW$6:$EW$464</definedName>
    <definedName name="_3c94">Model!$O$6:$O$464</definedName>
    <definedName name="_3c95">Model!$U$6:$U$464</definedName>
    <definedName name="_3c96">Model!$AA$6:$AA$464</definedName>
    <definedName name="_3c97">Model!$AG$6:$AG$464</definedName>
    <definedName name="_3c98">Model!$AM$6:$AM$464</definedName>
    <definedName name="_3c99">Model!$AS$6:$AS$464</definedName>
    <definedName name="_4c00">Model!$AZ$6:$AZ$464</definedName>
    <definedName name="_4c01">Model!$BF$6:$BF$464</definedName>
    <definedName name="_4c02">Model!$BL$6:$BL$464</definedName>
    <definedName name="_4c03">Model!$BR$6:$BR$464</definedName>
    <definedName name="_4c04">Model!$BX$6:$BX$464</definedName>
    <definedName name="_4c05">Model!$CD$6:$CD$464</definedName>
    <definedName name="_4c06">Model!$CJ$5:$CJ$50074</definedName>
    <definedName name="_4c07">Model!$CP$5:$CP$50074</definedName>
    <definedName name="_4c08">Model!$CV$5:$CV$50074</definedName>
    <definedName name="_4c09">Model!$DB$5:$DB$50074</definedName>
    <definedName name="_4c10">Model!$DH$5:$DH$50074</definedName>
    <definedName name="_4c11">Model!$DN$5:$DN$50074</definedName>
    <definedName name="_4c12">Model!$DT$5:$DT$50074</definedName>
    <definedName name="_4c13">Model!$DZ$6:$DZ$464</definedName>
    <definedName name="_4c14">Model!$EF$6:$EF$464</definedName>
    <definedName name="_4c15">Model!$EL$6:$EL$464</definedName>
    <definedName name="_4c16">Model!$ER$6:$ER$464</definedName>
    <definedName name="_4c17">Model!$EX$6:$EX$464</definedName>
    <definedName name="_4c94">Model!$P$6:$P$464</definedName>
    <definedName name="_4c95">Model!$V$6:$V$464</definedName>
    <definedName name="_4c96">Model!$AB$6:$AB$464</definedName>
    <definedName name="_4c97">Model!$AH$6:$AH$464</definedName>
    <definedName name="_4c98">Model!$AN$6:$AN$464</definedName>
    <definedName name="_4c99">Model!$AT$6:$AT$464</definedName>
    <definedName name="_bdm.0000557F4EFF4CA7B960CEDEA49890FF.edm" localSheetId="4" hidden="1">Metrics!$FZ$427:$GI$430</definedName>
    <definedName name="_bdm.0332FF4F1D1B4C289C6B7E6774321EBF.edm" localSheetId="1" hidden="1">Model!$A$6:$DK$228</definedName>
    <definedName name="_bdm.0DD2B8C775C2435396EB82779E996417.edm" localSheetId="2" hidden="1">'Balance Sheet'!$A$4:$DE$45</definedName>
    <definedName name="_bdm.14AAB6249A0441A9B953FC47D97AA724.edm" localSheetId="1" hidden="1">Model!$A$4:$DK$223</definedName>
    <definedName name="_bdm.195290287D3B4E029AB61E1EE6C9C333.edm" localSheetId="4" hidden="1">Metrics!$A$4:$DQ$229</definedName>
    <definedName name="_bdm.21AD50E1826F41AA83CECF4AB3AEEDAC.edm" localSheetId="2" hidden="1">'Balance Sheet'!$A$4:$DK$44</definedName>
    <definedName name="_bdm.23C29FE723174611A78516CE5C8E664E.edm" localSheetId="1" hidden="1">Model!$A$6:$FT$229</definedName>
    <definedName name="_bdm.26A42D468CC442CF92F2403A8BCDE3C1.edm" localSheetId="1" hidden="1">Model!$A$6:$DK$190</definedName>
    <definedName name="_bdm.27FE2D49559B4A3CB8CE07B8E367ED80.edm" localSheetId="4" hidden="1">Metrics!$A$4:$DW$229</definedName>
    <definedName name="_bdm.2C2D6389B6B644B48FD51546AC342C76.edm" localSheetId="1" hidden="1">Model!$A$274:$DW$351</definedName>
    <definedName name="_bdm.30F58D63D77445EBAF49F35610851E46.edm" localSheetId="1" hidden="1">Model!$A$274:$CS$352</definedName>
    <definedName name="_bdm.3670BB1D6F444AD2A347EBE49CF3003F.edm" localSheetId="1" hidden="1">Model!$A$274:$DE$352</definedName>
    <definedName name="_bdm.401ECD9B9AC64D4ABCB5C5A6E2FE5D2E.edm" localSheetId="1" hidden="1">Model!$A$1:$CS$267</definedName>
    <definedName name="_bdm.43A7D719201148B4AEA84C0D53016768.edm" localSheetId="2" hidden="1">'Balance Sheet'!$A$4:$DK$43</definedName>
    <definedName name="_bdm.4D43F29EB10849168859D4678A83F05D.edm" localSheetId="1" hidden="1">Model!$A$274:$DK$351</definedName>
    <definedName name="_bdm.4DDFBFDDCCDD4DC5976E10A0F8DD96EB.edm" hidden="1">Model!$1:$1048576</definedName>
    <definedName name="_bdm.50ABAAC715F942E5BCCFAE419F8970B9.edm" localSheetId="1" hidden="1">Model!$A$6:$DK$229</definedName>
    <definedName name="_bdm.5616911C2BEF4CD6B0DD77B21990E4BF.edm" localSheetId="3" hidden="1">'Cash Flow'!$A$56:$DW$106</definedName>
    <definedName name="_bdm.59C56D1FCD574C9D8B556919F78B8B7A.edm" localSheetId="2" hidden="1">'Balance Sheet'!$A$4:$DL$43</definedName>
    <definedName name="_bdm.5C76E0C429A54A4E96F54E3756B6D73E.edm" localSheetId="2" hidden="1">'Balance Sheet'!$A$4:$CS$43</definedName>
    <definedName name="_bdm.682A77E38B904EF1A4A7F56B3EE5320C.edm" localSheetId="3" hidden="1">'Cash Flow'!$A$56:$DK$107</definedName>
    <definedName name="_bdm.68C0A80A0E5E4254A204557DDDA40970.edm" localSheetId="3" hidden="1">'Cash Flow'!$A$56:$CS$104</definedName>
    <definedName name="_bdm.720FE3BD6B674730B181A447EA2C2975.edm" localSheetId="1" hidden="1">Model!$A$6:$FN$266</definedName>
    <definedName name="_bdm.749109A7A6914A72A2CAFC36FA25487D.edm" localSheetId="1" hidden="1">Model!$A$6:$DK$230</definedName>
    <definedName name="_bdm.758AA57D8900489AAB3CD79A1D479F49.edm" localSheetId="1" hidden="1">Model!$A$274:$FN$352</definedName>
    <definedName name="_bdm.79BCC33011D74F97AE280368A9AEC902.edm" localSheetId="4" hidden="1">Metrics!$A$4:$DK$229</definedName>
    <definedName name="_bdm.81C3EBA37E934226AC3A14299825956F.edm" localSheetId="2" hidden="1">'Balance Sheet'!$A$4:$DK$46</definedName>
    <definedName name="_bdm.876870D154184054B58A6A5C5A4A1397.edm" localSheetId="2" hidden="1">'Balance Sheet'!$A$4:$DQ$43</definedName>
    <definedName name="_bdm.8A5E6DF3A62247CF907C264B92C9A46C.edm" hidden="1">'Balance Sheet'!$1:$1048576</definedName>
    <definedName name="_bdm.8B9B1BCF03C8420F990D8EC367D4D2D3.edm" localSheetId="1" hidden="1">Model!$A$6:$DL$229</definedName>
    <definedName name="_bdm.8F40074E3BE34EE481769AE9335DF658.edm" localSheetId="1" hidden="1">Model!$A$6:$FT$230</definedName>
    <definedName name="_bdm.90C7BAB083464DC9A0274F482894C9D3.edm" localSheetId="1" hidden="1">Model!$A$6:$DK$266</definedName>
    <definedName name="_bdm.984A235B034F4B98AAC7C11CB52731F3.edm" localSheetId="4" hidden="1">Metrics!$A$5:$DK$229</definedName>
    <definedName name="_bdm.9B56D6805A3A4B319E3D9DC6593712B3.edm" localSheetId="1" hidden="1">Model!$A$274:$DQ$351</definedName>
    <definedName name="_bdm.9BCB8D8692B64EAFBD90CA765CF9A483.edm" localSheetId="4" hidden="1">Metrics!$A$4:$DK$248</definedName>
    <definedName name="_bdm.9E73BF5EEF0E4D9B899BA19347259D63.edm" localSheetId="1" hidden="1">Model!$A$274:$DL$351</definedName>
    <definedName name="_bdm.AA57F63F1B47431CBB011A76A3290921.edm" localSheetId="2" hidden="1">'Balance Sheet'!$A$4:$CS$44</definedName>
    <definedName name="_bdm.AEEDCBE88524449D824C517D1BFFE6AF.edm" localSheetId="1" hidden="1">Model!$A$6:$FU$229</definedName>
    <definedName name="_bdm.B0C2B559A5494F62ADD8131C48AB7864.edm" hidden="1">Metrics!$1:$1048576</definedName>
    <definedName name="_bdm.B2139141E01B43ED8CCCAEC11F7FC4EA.edm" localSheetId="4" hidden="1">Metrics!$A$4:$CS$323</definedName>
    <definedName name="_bdm.B2DAFE3738264AC79E7D4C4B9AEDC1BB.edm" hidden="1">'Cash Flow'!$1:$1048576</definedName>
    <definedName name="_bdm.B66A73979B404ECF81A6B7C1F0A8118B.edm" localSheetId="2" hidden="1">'Balance Sheet'!$A$4:$DW$43</definedName>
    <definedName name="_bdm.BAB44B73E41B417B9E12ACBA195F3099.edm" localSheetId="1" hidden="1">Model!$A$6:$FT$228</definedName>
    <definedName name="_bdm.BB182736525F4FA0B448FB1B564892CA.edm" localSheetId="3" hidden="1">'Cash Flow'!$A$56:$FN$107</definedName>
    <definedName name="_bdm.BCE96497C4524C5483DC4882C06B2194.edm" localSheetId="1" hidden="1">Model!$A$274:$FN$351</definedName>
    <definedName name="_bdm.C1336FA7A30D46B898947B6B14576A6A.edm" hidden="1">'Geographic Detail'!$1:$1048576</definedName>
    <definedName name="_bdm.C68BAEE695C94E25B848C61D3D6A3434.edm" localSheetId="4" hidden="1">Metrics!$A$4:$FN$248</definedName>
    <definedName name="_bdm.C8267121187A4A2C8609B9115C773BD8.edm" localSheetId="4" hidden="1">Metrics!$A$625:$CA$685</definedName>
    <definedName name="_bdm.CABFE5FA0B9644BEBAA1069B8AEE95A1.edm" localSheetId="1" hidden="1">Model!$A$274:$CS$351</definedName>
    <definedName name="_bdm.CACFF6AA9ECF4896A3AB74AB23C7137C.edm" localSheetId="3" hidden="1">'Cash Flow'!$A$56:$DK$106</definedName>
    <definedName name="_bdm.CB13859D8A974686AEBF03F992820463.edm" localSheetId="3" hidden="1">'Cash Flow'!$A$56:$DQ$106</definedName>
    <definedName name="_bdm.CDFBE2BCB2A345D1B30F9412619B1005.edm" localSheetId="3" hidden="1">'Cash Flow'!$A$57:$DK$106</definedName>
    <definedName name="_bdm.D2788D7FC8D54876B7CC1ADFA1F0D5C9.edm" localSheetId="1" hidden="1">Model!$A$4:$DE$223</definedName>
    <definedName name="_bdm.D5C86DE947FE4CB686791758EB6F58D6.edm" localSheetId="1" hidden="1">Model!$A$4:$CS$268</definedName>
    <definedName name="_bdm.D6552556E8B1456997B77E4F8F260712.edm" localSheetId="5" hidden="1">'Geographic Detail'!$FO$74:$FO$75</definedName>
    <definedName name="_bdm.D7BFE448C9674127B98DAC141A026DC1.edm" localSheetId="4" hidden="1">Metrics!$A$4:$DE$320</definedName>
    <definedName name="_bdm.E18E0C5583A749579B4BA3EF70E5D522.edm" localSheetId="4" hidden="1">Metrics!$A$4:$DE$331</definedName>
    <definedName name="_bdm.F854C1AC3BF34FCFB8A37DEDA4BB9DD2.edm" localSheetId="2" hidden="1">'Balance Sheet'!$A$4:$FN$44</definedName>
    <definedName name="_bdm.FA0BEB65F14D41CC90A3380F4EFA90FA.edm" localSheetId="1" hidden="1">Model!$A$6:$DK$223</definedName>
    <definedName name="_bdm.FA34BEAC0CF2499A83F256D5F60C076C.edm" localSheetId="3" hidden="1">'Cash Flow'!$A$56:$DE$106</definedName>
    <definedName name="_BS">'Balance Sheet'!$A$4:$CM$43</definedName>
    <definedName name="_CF">'Cash Flow'!$A$56:$CM$103</definedName>
    <definedName name="_fy00">Model!$AW$6:$AW$464</definedName>
    <definedName name="_fy01">Model!$BC$6:$BC$464</definedName>
    <definedName name="_fy02">Model!$BI$6:$BI$464</definedName>
    <definedName name="_fy03">Model!$BO$6:$BO$464</definedName>
    <definedName name="_fy04">Model!$BU$6:$BU$464</definedName>
    <definedName name="_fy05">Model!$CA$6:$CA$464</definedName>
    <definedName name="_fy06">Model!$CG$6:$CG$464</definedName>
    <definedName name="_fy07">Model!$CM$5:$CM$50074</definedName>
    <definedName name="_fy08">Model!$CS$5:$CS$50074</definedName>
    <definedName name="_fy09">Model!$CY$5:$CY$50074</definedName>
    <definedName name="_fy10">Model!$DE$5:$DE$50074</definedName>
    <definedName name="_fy11">Model!$DK$5:$DK$50074</definedName>
    <definedName name="_fy12">Model!$DQ$5:$DQ$50074</definedName>
    <definedName name="_fy13">Model!$DW$5:$DW$50074</definedName>
    <definedName name="_fy14">Model!$EC$5:$EC$50074</definedName>
    <definedName name="_fy15">Model!$EI$5:$EI$50074</definedName>
    <definedName name="_fy16">Model!$EO$5:$EO$50074</definedName>
    <definedName name="_fy17">Model!$EU$5:$EU$50074</definedName>
    <definedName name="_fy18">Model!$FA$5:$FA$50074</definedName>
    <definedName name="_fy84">Model!$C$6:$C$464</definedName>
    <definedName name="_fy85">Model!$D$6:$D$464</definedName>
    <definedName name="_fy86">Model!$E$6:$E$464</definedName>
    <definedName name="_fy87">Model!$F$6:$F$464</definedName>
    <definedName name="_fy88">Model!$G$6:$G$464</definedName>
    <definedName name="_fy89">Model!$H$6:$H$464</definedName>
    <definedName name="_fy90">Model!$I$6:$I$464</definedName>
    <definedName name="_fy91">Model!$J$6:$J$464</definedName>
    <definedName name="_fy92">Model!$K$6:$K$464</definedName>
    <definedName name="_fy93">Model!$L$6:$L$464</definedName>
    <definedName name="_fy94">Model!$M$6:$M$464</definedName>
    <definedName name="_fy95">Model!$S$6:$S$464</definedName>
    <definedName name="_fy96">Model!$Y$6:$Y$464</definedName>
    <definedName name="_fy97">Model!$AE$6:$AE$464</definedName>
    <definedName name="_fy98">Model!$AK$6:$AK$464</definedName>
    <definedName name="_fy99">Model!$AQ$6:$AQ$464</definedName>
    <definedName name="_IS">Model!$A$4:$CM$223</definedName>
    <definedName name="_ISA">Model!$A$274:$CM$351</definedName>
    <definedName name="_ORGCC">Metrics!$A$4:$CM$164</definedName>
    <definedName name="AdditionalInstructions">IndexInformation!$B$42</definedName>
    <definedName name="Address" localSheetId="0">ImportantDisclosures!$A$2:$A$2</definedName>
    <definedName name="alrev">Model!$C$42:$HS$42</definedName>
    <definedName name="ANA" localSheetId="7">ModPubIndex!$A$7</definedName>
    <definedName name="apac">Model!$C$358:$HS$358</definedName>
    <definedName name="aps">Model!$B$73:$CG$73</definedName>
    <definedName name="Authors" localSheetId="0">ImportantDisclosures!$A$7</definedName>
    <definedName name="Authors" localSheetId="6">IndexInformation!$B$18</definedName>
    <definedName name="BRO" localSheetId="7">ModPubIndex!$A$1</definedName>
    <definedName name="capex">Model!$C$382:$HS$382</definedName>
    <definedName name="cash">Model!$C$378:$HS$378</definedName>
    <definedName name="cash_share">Model!$C$381:$GW$381</definedName>
    <definedName name="cashshare">Model!$C$381:$GQ$381</definedName>
    <definedName name="CopyrightStamp">ImportantDisclosures!$A$27</definedName>
    <definedName name="COU" localSheetId="7">ModPubIndex!$A$5</definedName>
    <definedName name="CQEnd" localSheetId="6">IndexInformation!$B$31</definedName>
    <definedName name="crev">Model!$C$72:$HS$72</definedName>
    <definedName name="Currency" localSheetId="6">IndexInformation!$B$24</definedName>
    <definedName name="CurrentStockPrice" localSheetId="6">IndexInformation!$B$23</definedName>
    <definedName name="CurrQtrEPS" localSheetId="6">IndexInformation!$B$29</definedName>
    <definedName name="CurrYearEPS" localSheetId="6">IndexInformation!$B$11</definedName>
    <definedName name="CurrYearTotalRevenue" localSheetId="6">IndexInformation!$B$10</definedName>
    <definedName name="CurrYearTotalRevenueActual" localSheetId="6">IndexInformation!$B$32</definedName>
    <definedName name="CUSIP" localSheetId="6">IndexInformation!$B$20</definedName>
    <definedName name="CYEnd" localSheetId="6">IndexInformation!$B$30</definedName>
    <definedName name="Date" localSheetId="0">ImportantDisclosures!$A$8</definedName>
    <definedName name="dcfdna">Model!$C$384:$HS$384</definedName>
    <definedName name="debt">Model!$C$379:$HS$379</definedName>
    <definedName name="defrev">Model!$C$376:$HS$376</definedName>
    <definedName name="Deleted" localSheetId="6">IndexInformation!$B$27</definedName>
    <definedName name="Description" localSheetId="6">IndexInformation!$B$7</definedName>
    <definedName name="Discipline" localSheetId="6">IndexInformation!$B$3</definedName>
    <definedName name="DISCIPLINE" localSheetId="7">ModPubIndex!$A$12</definedName>
    <definedName name="DisclosuresText">ImportantDisclosures!$A$22</definedName>
    <definedName name="Distribution" localSheetId="6">IndexInformation!$B$26</definedName>
    <definedName name="DistTable" localSheetId="0">ImportantDisclosures!#REF!</definedName>
    <definedName name="DistTablePreamble" localSheetId="0">ImportantDisclosures!#REF!</definedName>
    <definedName name="dlrev">Model!$C$39:$HS$39</definedName>
    <definedName name="DOCDAT" localSheetId="7">ModPubIndex!$A$2</definedName>
    <definedName name="DOCTIME" localSheetId="7">ModPubIndex!$A$3</definedName>
    <definedName name="DocType" localSheetId="6">IndexInformation!$B$5</definedName>
    <definedName name="dom">Model!$C$355:$HS$355</definedName>
    <definedName name="domhc">Model!$C$390:$HS$390</definedName>
    <definedName name="dso">Model!$C$385:$HS$385</definedName>
    <definedName name="EMAIL_ALERT" localSheetId="7">ModPubIndex!$A$10</definedName>
    <definedName name="EmailAlert" localSheetId="6">IndexInformation!$B$28</definedName>
    <definedName name="emea">Model!$C$357:$HS$357</definedName>
    <definedName name="eps">Model!$C$189:$HS$189</definedName>
    <definedName name="erev">Model!$C$74:$HS$74</definedName>
    <definedName name="fcf">Model!$C$397:$HS$397</definedName>
    <definedName name="FiveYearGrowthRate" localSheetId="6">IndexInformation!$B$16</definedName>
    <definedName name="FollowingYearEPS" localSheetId="6">IndexInformation!$B$15</definedName>
    <definedName name="FollowingYearTotalRevenue" localSheetId="6">IndexInformation!$B$14</definedName>
    <definedName name="FollowingYearTotalRevenueActual" localSheetId="6">IndexInformation!$B$34</definedName>
    <definedName name="gna">Model!$C$153:$HS$153</definedName>
    <definedName name="grinc">Model!$C$182:$HS$182</definedName>
    <definedName name="grmgn">Model!$C$144:$HS$144</definedName>
    <definedName name="grp">Model!$C$143:$HS$143</definedName>
    <definedName name="hc">Model!$C$387:$HS$387</definedName>
    <definedName name="HL" localSheetId="7">ModPubIndex!$A$8</definedName>
    <definedName name="hwprodrev">Model!$C$60:$HS$60</definedName>
    <definedName name="hwrev">Model!$B$60:$HS$60</definedName>
    <definedName name="hwsupprev">Model!$C$67:$HS$67</definedName>
    <definedName name="IND" localSheetId="7">ModPubIndex!$A$9</definedName>
    <definedName name="Industry" localSheetId="0">ImportantDisclosures!$A$12</definedName>
    <definedName name="IndustryId">IndexInformation!$B$40</definedName>
    <definedName name="IndustryRating" localSheetId="0">ImportantDisclosures!$A$13</definedName>
    <definedName name="intl">Model!$C$356:$HS$356</definedName>
    <definedName name="intlhc">Model!$C$391:$HS$391</definedName>
    <definedName name="KeepVersions" localSheetId="6">IndexInformation!$B$8</definedName>
    <definedName name="LanguageCode">IndexInformation!$B$38</definedName>
    <definedName name="lapac">Model!$C$362:$HS$362</definedName>
    <definedName name="LastCell" localSheetId="0">ImportantDisclosures!$A$22</definedName>
    <definedName name="ldom">Model!$C$359:$HS$359</definedName>
    <definedName name="lemea">Model!$C$361:$HS$361</definedName>
    <definedName name="licensecost">Model!$C$104:$HS$104</definedName>
    <definedName name="Linking_11">Model!$DK$197</definedName>
    <definedName name="Linking_12">Metrics!$A$6:$FA$173</definedName>
    <definedName name="Linking_23">Model!$A$6:$FG$191</definedName>
    <definedName name="Linking_24">'Balance Sheet'!$A$4:$FG$43</definedName>
    <definedName name="Linking_25">Metrics!$A$4:$FG$173</definedName>
    <definedName name="Linking_26">'Cash Flow'!$A$56:$FG$106</definedName>
    <definedName name="Linking_29">'Cash Flow'!$A$56:$FG$110</definedName>
    <definedName name="Linking_3">Metrics!$A$5:$EU$173</definedName>
    <definedName name="Linking_31">Model!$A$1:$FG$191</definedName>
    <definedName name="Linking_32">'Cash Flow'!$A$56:$FG$115</definedName>
    <definedName name="Linking_35">'Cash Flow'!$A$4:$FG$51</definedName>
    <definedName name="Linking_36">Model!$A$6:$FG$170</definedName>
    <definedName name="Linking_40">Model!$A$6:$FM$191</definedName>
    <definedName name="Linking_41">'Balance Sheet'!$A$4:$FM$43</definedName>
    <definedName name="Linking_42">'Cash Flow'!$A$56:$FM$106</definedName>
    <definedName name="Linking_47">Metrics!$A$4:$FM$173</definedName>
    <definedName name="Linking_5">Model!$A$6:$FA$191</definedName>
    <definedName name="Linking_6">'Balance Sheet'!$A$4:$FA$43</definedName>
    <definedName name="Linking_7">Metrics!$A$4:$FA$173</definedName>
    <definedName name="Linking_8">'Cash Flow'!$A$56:$FA$110</definedName>
    <definedName name="Linking_Range_1">Metrics!$FZ$427:$GI$430</definedName>
    <definedName name="Linking_Range_10">'Cash Flow'!$A$56:$DW$106</definedName>
    <definedName name="Linking_Range_14">Metrics!$A$4:$DW$236</definedName>
    <definedName name="Linking_Range_15">'Balance Sheet'!$A$4:$DW$46</definedName>
    <definedName name="Linking_Range_16">'Cash Flow'!$A$56:$DW$107</definedName>
    <definedName name="Linking_Range_21">Model!$A$6:$EC$191</definedName>
    <definedName name="Linking_Range_22">Metrics!$A$4:$EC$237</definedName>
    <definedName name="Linking_Range_28">Metrics!$FZ$435:$GH$439</definedName>
    <definedName name="Linking_Range_30">Model!$A$6:$EC$230</definedName>
    <definedName name="Linking_Range_31">Metrics!$A$4:$EC$164</definedName>
    <definedName name="Linking_Range_32">'Balance Sheet'!$A$4:$EC$46</definedName>
    <definedName name="Linking_Range_33">'Cash Flow'!$A$4:$EC$52</definedName>
    <definedName name="Linking_Range_35">Model!$A$6:$FV$229</definedName>
    <definedName name="Linking_Range_36">Model!$A$274:$EC$352</definedName>
    <definedName name="Linking_Range_37">Metrics!$A$4:$EC$256</definedName>
    <definedName name="Linking_Range_38">'Cash Flow'!$A$56:$EC$106</definedName>
    <definedName name="Linking_Range_40">Model!$A$6:$EC$228</definedName>
    <definedName name="Linking_Range_41">'Cash Flow'!$A$56:$EC$107</definedName>
    <definedName name="Linking_Range_43">Model!$A$274:$EC$351</definedName>
    <definedName name="Linking_Range_44">Metrics!$A$4:$EC$236</definedName>
    <definedName name="Linking_Range_45">Model!$A$6:$FV$191</definedName>
    <definedName name="Linking_Range_46">'Balance Sheet'!$A$4:$EC$45</definedName>
    <definedName name="Linking_Range_50">Model!$A$6:$FW$191</definedName>
    <definedName name="Linking_Range_51">Metrics!$A$4:$EC$247</definedName>
    <definedName name="Linking_Range_54">Model!$A$6:$EI$191</definedName>
    <definedName name="Linking_Range_55">Model!$A$274:$EI$351</definedName>
    <definedName name="Linking_Range_56">Metrics!$A$4:$EI$247</definedName>
    <definedName name="Linking_Range_58">'Balance Sheet'!$A$4:$EI$46</definedName>
    <definedName name="Linking_Range_59">'Cash Flow'!$A$56:$EI$106</definedName>
    <definedName name="Linking_Range_6">Model!$A$6:$FV$230</definedName>
    <definedName name="Linking_Range_62">'Cash Flow'!$A$56:$EI$110</definedName>
    <definedName name="Linking_Range_63">Model!$A$7:$EI$191</definedName>
    <definedName name="Linking_Range_64">Metrics!$A$5:$EI$247</definedName>
    <definedName name="Linking_Range_67">Model!$A$6:$EO$189</definedName>
    <definedName name="Linking_Range_68">'Balance Sheet'!$A$4:$EO$43</definedName>
    <definedName name="Linking_Range_69">Metrics!$A$5:$EO$173</definedName>
    <definedName name="Linking_Range_7">Model!$A$274:$DW$351</definedName>
    <definedName name="Linking_Range_70">'Cash Flow'!$A$56:$EO$110</definedName>
    <definedName name="Linking_Range_72">Model!$A$6:$EU$191</definedName>
    <definedName name="Linking_Range_73">Metrics!$A$4:$EU$173</definedName>
    <definedName name="Linking_Range_74">'Balance Sheet'!$A$4:$EU$43</definedName>
    <definedName name="Linking_Range_75">'Cash Flow'!$A$4:$EU$52</definedName>
    <definedName name="Linking_Range_76">'Cash Flow'!$A$56:$EU$110</definedName>
    <definedName name="Linking_Range_77">Model!$A$6:$EU$189</definedName>
    <definedName name="Linking_Range_78">Model!$A$6:$EU$188</definedName>
    <definedName name="Linking_Range_79">'Cash Flow'!$A$56:$EU$106</definedName>
    <definedName name="Linking_Range_8">Metrics!$A$4:$DW$229</definedName>
    <definedName name="Linking_Range_9">'Balance Sheet'!$A$4:$DW$43</definedName>
    <definedName name="lintl">Model!$C$360:$HS$360</definedName>
    <definedName name="lrev">Model!$C$14:$HS$14</definedName>
    <definedName name="ltmeps">Model!$C$372:$HS$372</definedName>
    <definedName name="ltmfcf">Model!$B$398:$HS$398</definedName>
    <definedName name="ltmlrev">Model!$C$364:$HS$364</definedName>
    <definedName name="ltmni">Model!$C$371:$HS$371</definedName>
    <definedName name="ltmop">Model!$B$368:$HS$368</definedName>
    <definedName name="ltmopcash">Model!$C$373:$HS$373</definedName>
    <definedName name="ltmopex">Model!$B$366:$HS$366</definedName>
    <definedName name="ltmopmgn">Model!$C$369:$HS$369</definedName>
    <definedName name="ltmrev">Model!$C$365:$HS$365</definedName>
    <definedName name="ltmrnd">Model!$C$370:$HS$370</definedName>
    <definedName name="MacroVersion" localSheetId="6">IndexInformation!$B$1</definedName>
    <definedName name="ModelPrice" localSheetId="0">ImportantDisclosures!$A$14</definedName>
    <definedName name="mrev">Model!$C$46:$HS$46</definedName>
    <definedName name="Multiplier" localSheetId="6">IndexInformation!$B$35</definedName>
    <definedName name="NextYearEPS" localSheetId="6">IndexInformation!$B$13</definedName>
    <definedName name="NextYearTotalRevenue" localSheetId="6">IndexInformation!$B$12</definedName>
    <definedName name="NextYearTotalRevenueActual" localSheetId="6">IndexInformation!$B$33</definedName>
    <definedName name="ni">Model!$C$187:$HS$187</definedName>
    <definedName name="nirep">Model!$C$218:$HS$218</definedName>
    <definedName name="nopat">Model!$C$375:$HS$375</definedName>
    <definedName name="ObjectType">IndexInformation!$B$37</definedName>
    <definedName name="op">Model!$C$169:$HS$169</definedName>
    <definedName name="opcash">Model!$C$383:$HS$383</definedName>
    <definedName name="opmgn">Model!$C$170:$HS$170</definedName>
    <definedName name="othinc">Model!$C$176:$HS$176</definedName>
    <definedName name="PANA" localSheetId="7">ModPubIndex!$A$11</definedName>
    <definedName name="PathName" localSheetId="6">IndexInformation!$B$25</definedName>
    <definedName name="_xlnm.Print_Area" localSheetId="2">'Balance Sheet'!$A$1:$DW$46</definedName>
    <definedName name="_xlnm.Print_Area" localSheetId="3">'Cash Flow'!$A$53:$DW$107</definedName>
    <definedName name="_xlnm.Print_Area" localSheetId="5">'Geographic Detail'!$A$1:$DW$67</definedName>
    <definedName name="_xlnm.Print_Area" localSheetId="4">Metrics!$A$1:$DW$257</definedName>
    <definedName name="_xlnm.Print_Area" localSheetId="1">Model!$A$1:$FU$229,Model!$A$272:$DW$351</definedName>
    <definedName name="PRODUCT" localSheetId="7">ModPubIndex!$A$6</definedName>
    <definedName name="PSYM" localSheetId="7">ModPubIndex!$A$4</definedName>
    <definedName name="PublishDate" localSheetId="6">IndexInformation!$B$2</definedName>
    <definedName name="Rating" localSheetId="6">IndexInformation!$B$9</definedName>
    <definedName name="RatingsDefined" localSheetId="0">ImportantDisclosures!$A$21</definedName>
    <definedName name="RatingsDefs" localSheetId="0">ImportantDisclosures!#REF!</definedName>
    <definedName name="rdhc">Model!$C$389:$HS$389</definedName>
    <definedName name="RegACDisclosure" localSheetId="0">ImportantDisclosures!#REF!</definedName>
    <definedName name="ReportGroup" hidden="1">0</definedName>
    <definedName name="ResearchTopic" localSheetId="6">IndexInformation!$B$4</definedName>
    <definedName name="rev">Model!$C$91:$HS$91</definedName>
    <definedName name="revemp">Model!$C$392:$HS$392</definedName>
    <definedName name="revrndemp">Model!$C$394:$HS$394</definedName>
    <definedName name="RIC" localSheetId="6">IndexInformation!$B$21</definedName>
    <definedName name="rnd">Model!$C$150:$HS$150</definedName>
    <definedName name="rrev">Model!$C$99:$HS$99</definedName>
    <definedName name="SECSettlement" localSheetId="0">ImportantDisclosures!#REF!</definedName>
    <definedName name="SEDOL" localSheetId="6">IndexInformation!$B$22</definedName>
    <definedName name="servicecost">Model!$C$138:$HS$138</definedName>
    <definedName name="shs">Model!$C$223:$HS$223</definedName>
    <definedName name="slscost">Model!$C$141:$HS$141</definedName>
    <definedName name="smhc">Model!$C$388:$HS$388</definedName>
    <definedName name="snm">Model!$C$147:$HS$147</definedName>
    <definedName name="SourceDefined" localSheetId="0">ImportantDisclosures!$A$19</definedName>
    <definedName name="srev">Model!$C$87:$HS$87</definedName>
    <definedName name="StockRating" localSheetId="0">ImportantDisclosures!$A$11</definedName>
    <definedName name="SubjectCode" localSheetId="6">IndexInformation!$B$6</definedName>
    <definedName name="SubmitterUserId">IndexInformation!$B$39</definedName>
    <definedName name="SUPPRESSED" localSheetId="7">ModPubIndex!$A$13</definedName>
    <definedName name="TargetPrice" localSheetId="0">ImportantDisclosures!$A$15</definedName>
    <definedName name="taxes">Model!$C$184:$HS$184</definedName>
    <definedName name="taxrate">Model!$C$185:$HS$185</definedName>
    <definedName name="TemplateRegion">IndexInformation!$B$36</definedName>
    <definedName name="Ticker" localSheetId="0">ImportantDisclosures!$A$10</definedName>
    <definedName name="TickerRegion">IndexInformation!$B$41</definedName>
    <definedName name="Tickers" localSheetId="6">IndexInformation!$B$19</definedName>
    <definedName name="toteq">Model!$C$380:$HS$380</definedName>
    <definedName name="totexp">Model!$C$167:$HS$167</definedName>
    <definedName name="totrec">Model!$C$377:$HS$377</definedName>
    <definedName name="trans500k">Model!$C$396:$HS$396</definedName>
    <definedName name="UpdateReason" localSheetId="6">IndexInformation!$B$17</definedName>
    <definedName name="USRegDisclosures" localSheetId="0">ImportantDisclosures!#REF!</definedName>
    <definedName name="Z_9EE67DAB_A61A_4D9C_921F_C1D84D0D754F_.wvu.Cols" localSheetId="2" hidden="1">'Balance Sheet'!$B:$BI</definedName>
    <definedName name="Z_9EE67DAB_A61A_4D9C_921F_C1D84D0D754F_.wvu.Cols" localSheetId="3" hidden="1">'Cash Flow'!$B:$BI</definedName>
    <definedName name="Z_9EE67DAB_A61A_4D9C_921F_C1D84D0D754F_.wvu.Cols" localSheetId="5" hidden="1">'Geographic Detail'!$B:$BI</definedName>
    <definedName name="Z_9EE67DAB_A61A_4D9C_921F_C1D84D0D754F_.wvu.Cols" localSheetId="4" hidden="1">Metrics!$B:$BI</definedName>
    <definedName name="Z_9EE67DAB_A61A_4D9C_921F_C1D84D0D754F_.wvu.Cols" localSheetId="1" hidden="1">Model!$B:$BI</definedName>
    <definedName name="Z_CA614B88_8CF3_4BB8_8646_EEB6071A634F_.wvu.Cols" localSheetId="2" hidden="1">'Balance Sheet'!$B:$B,'Balance Sheet'!$O:$R,'Balance Sheet'!$T:$X,'Balance Sheet'!$Z:$AD,'Balance Sheet'!$AF:$AJ,'Balance Sheet'!$AL:$AP,'Balance Sheet'!$AR:$AV,'Balance Sheet'!$AX:$BB,'Balance Sheet'!$BD:$BH,'Balance Sheet'!$BK:$BN,'Balance Sheet'!$BQ:$BT,'Balance Sheet'!$BV:$BZ,'Balance Sheet'!$CB:$CF</definedName>
    <definedName name="Z_CA614B88_8CF3_4BB8_8646_EEB6071A634F_.wvu.Cols" localSheetId="3" hidden="1">'Cash Flow'!$B:$B,'Cash Flow'!$O:$R,'Cash Flow'!$T:$X,'Cash Flow'!$Z:$AD,'Cash Flow'!$AF:$AJ,'Cash Flow'!$AL:$AP,'Cash Flow'!$AR:$AV,'Cash Flow'!$AX:$BB,'Cash Flow'!$BD:$BH,'Cash Flow'!$BK:$BN,'Cash Flow'!$BP:$BT,'Cash Flow'!$BV:$BZ,'Cash Flow'!$CB:$CF</definedName>
    <definedName name="Z_CA614B88_8CF3_4BB8_8646_EEB6071A634F_.wvu.Cols" localSheetId="5" hidden="1">'Geographic Detail'!$B:$B,'Geographic Detail'!$O:$R,'Geographic Detail'!$T:$X,'Geographic Detail'!$Z:$AD,'Geographic Detail'!$AF:$AJ,'Geographic Detail'!$AL:$AP,'Geographic Detail'!$AR:$AV,'Geographic Detail'!$AX:$BB,'Geographic Detail'!$BD:$BH,'Geographic Detail'!$BK:$BN,'Geographic Detail'!$BP:$BT,'Geographic Detail'!$BV:$BZ,'Geographic Detail'!$CB:$CF</definedName>
    <definedName name="Z_CA614B88_8CF3_4BB8_8646_EEB6071A634F_.wvu.Cols" localSheetId="4" hidden="1">Metrics!$B:$B,Metrics!$N:$R,Metrics!$T:$X,Metrics!$Z:$AD,Metrics!$AF:$AJ,Metrics!$AL:$AP,Metrics!$AR:$AV,Metrics!$AX:$BB,Metrics!$BD:$BH,Metrics!$BK:$BN,Metrics!$BP:$BT,Metrics!$BV:$BZ,Metrics!$CB:$CF</definedName>
    <definedName name="Z_CA614B88_8CF3_4BB8_8646_EEB6071A634F_.wvu.Cols" localSheetId="1" hidden="1">Model!$B:$B,Model!$O:$R,Model!$T:$X,Model!$Z:$AD,Model!$AF:$AJ,Model!$AL:$AP,Model!$AR:$AV,Model!$AX:$BB,Model!$BD:$BH,Model!$BK:$BN,Model!$BP:$BT,Model!$BV:$BZ,Model!$CB:$CF</definedName>
  </definedNames>
  <calcPr calcId="145621"/>
  <customWorkbookViews>
    <customWorkbookView name="Qtr" guid="{9EE67DAB-A61A-4D9C-921F-C1D84D0D754F}" includePrintSettings="0" maximized="1" windowWidth="1020" windowHeight="543" tabRatio="877" activeSheetId="1"/>
    <customWorkbookView name="Annual" guid="{CA614B88-8CF3-4BB8-8646-EEB6071A634F}" includePrintSettings="0" maximized="1" windowWidth="1020" windowHeight="543" tabRatio="877" activeSheetId="1"/>
  </customWorkbookViews>
</workbook>
</file>

<file path=xl/calcChain.xml><?xml version="1.0" encoding="utf-8"?>
<calcChain xmlns="http://schemas.openxmlformats.org/spreadsheetml/2006/main">
  <c r="FC29" i="336" l="1"/>
  <c r="EY75" i="3"/>
  <c r="GG229" i="335"/>
  <c r="EY39" i="336" l="1"/>
  <c r="EZ175" i="336" l="1"/>
  <c r="FF151" i="335"/>
  <c r="FE27" i="335" l="1"/>
  <c r="FD61" i="335" l="1"/>
  <c r="FE61" i="335" s="1"/>
  <c r="FF61" i="335" s="1"/>
  <c r="EY19" i="11" l="1"/>
  <c r="EY18" i="11"/>
  <c r="EY44" i="11"/>
  <c r="EZ198" i="336"/>
  <c r="EZ486" i="338"/>
  <c r="EZ485" i="338"/>
  <c r="EY362" i="338"/>
  <c r="EY254" i="338"/>
  <c r="EY200" i="338"/>
  <c r="EY183" i="338"/>
  <c r="EY181" i="338"/>
  <c r="EY40" i="3"/>
  <c r="EY41" i="3" s="1"/>
  <c r="EY39" i="3"/>
  <c r="EY16" i="3"/>
  <c r="EY97" i="3"/>
  <c r="EY92" i="3"/>
  <c r="EY91" i="3"/>
  <c r="EY90" i="3"/>
  <c r="EY185" i="336" s="1"/>
  <c r="EY187" i="336" s="1"/>
  <c r="EY84" i="3"/>
  <c r="EY83" i="3"/>
  <c r="EY82" i="3"/>
  <c r="EY81" i="3"/>
  <c r="EY80" i="3"/>
  <c r="EY74" i="3"/>
  <c r="EY73" i="3"/>
  <c r="EY72" i="3"/>
  <c r="EY71" i="3"/>
  <c r="EY70" i="3"/>
  <c r="EY65" i="3"/>
  <c r="EY64" i="3"/>
  <c r="EY63" i="3"/>
  <c r="EY60" i="3"/>
  <c r="EY58" i="3"/>
  <c r="EY93" i="3"/>
  <c r="EY33" i="3"/>
  <c r="EY25" i="3"/>
  <c r="EY51" i="3" s="1"/>
  <c r="EY66" i="3"/>
  <c r="EY156" i="336"/>
  <c r="EY206" i="336"/>
  <c r="EY195" i="336"/>
  <c r="EY193" i="336"/>
  <c r="EY174" i="336" s="1"/>
  <c r="EY136" i="336"/>
  <c r="EY107" i="336"/>
  <c r="EY106" i="336"/>
  <c r="EY41" i="336"/>
  <c r="EY40" i="336" s="1"/>
  <c r="EY34" i="336"/>
  <c r="EY20" i="336"/>
  <c r="EY18" i="336"/>
  <c r="EY45" i="336"/>
  <c r="EY46" i="336" s="1"/>
  <c r="EY33" i="336"/>
  <c r="EY30" i="336"/>
  <c r="EY15" i="336"/>
  <c r="EY21" i="336" s="1"/>
  <c r="EY396" i="335"/>
  <c r="EY389" i="335"/>
  <c r="EY388" i="335"/>
  <c r="EY370" i="335"/>
  <c r="EY320" i="335"/>
  <c r="EY319" i="335"/>
  <c r="EY318" i="335"/>
  <c r="EY306" i="335"/>
  <c r="EY295" i="335"/>
  <c r="EY294" i="335"/>
  <c r="EY293" i="335"/>
  <c r="EY281" i="335"/>
  <c r="EY275" i="335"/>
  <c r="EY225" i="335"/>
  <c r="EY165" i="335"/>
  <c r="EY153" i="335"/>
  <c r="EY155" i="335" s="1"/>
  <c r="EY150" i="335"/>
  <c r="EY147" i="335"/>
  <c r="EY14" i="335"/>
  <c r="EY43" i="11" s="1"/>
  <c r="EY138" i="335"/>
  <c r="EY129" i="335"/>
  <c r="EY126" i="335"/>
  <c r="EY60" i="335"/>
  <c r="EY283" i="335" s="1"/>
  <c r="EY29" i="335"/>
  <c r="EY22" i="335"/>
  <c r="EY191" i="335"/>
  <c r="EY159" i="335"/>
  <c r="EY158" i="335"/>
  <c r="EY152" i="335"/>
  <c r="EY149" i="335"/>
  <c r="EY127" i="335"/>
  <c r="EY120" i="335"/>
  <c r="EY111" i="335"/>
  <c r="EY98" i="335"/>
  <c r="EY75" i="335"/>
  <c r="EY48" i="11" s="1"/>
  <c r="EY58" i="335"/>
  <c r="EY50" i="335"/>
  <c r="FE50" i="335" s="1"/>
  <c r="EY48" i="335"/>
  <c r="EY47" i="335"/>
  <c r="EY34" i="335"/>
  <c r="EY33" i="335"/>
  <c r="EY25" i="335"/>
  <c r="EY24" i="335"/>
  <c r="EY19" i="335"/>
  <c r="EY18" i="335"/>
  <c r="EY35" i="336" l="1"/>
  <c r="EY85" i="3"/>
  <c r="EY67" i="335"/>
  <c r="EY83" i="335" s="1"/>
  <c r="EY116" i="335"/>
  <c r="EY113" i="335" s="1"/>
  <c r="EY122" i="335" s="1"/>
  <c r="EY104" i="335" s="1"/>
  <c r="EY105" i="335" s="1"/>
  <c r="EY45" i="3"/>
  <c r="EY67" i="3"/>
  <c r="EY76" i="3" s="1"/>
  <c r="EY94" i="3"/>
  <c r="EY95" i="3" s="1"/>
  <c r="EY43" i="336"/>
  <c r="EY139" i="335"/>
  <c r="EY26" i="335"/>
  <c r="EY35" i="335" s="1"/>
  <c r="EY52" i="335"/>
  <c r="EY167" i="335"/>
  <c r="EY284" i="335" l="1"/>
  <c r="EY135" i="335"/>
  <c r="EY132" i="335" s="1"/>
  <c r="EY131" i="336" s="1"/>
  <c r="EY130" i="335"/>
  <c r="EY68" i="335"/>
  <c r="EY87" i="335"/>
  <c r="EY91" i="335" s="1"/>
  <c r="EY49" i="11" s="1"/>
  <c r="EY114" i="335"/>
  <c r="EY99" i="3"/>
  <c r="EY87" i="3"/>
  <c r="EY105" i="3"/>
  <c r="EY141" i="335"/>
  <c r="EY103" i="336" s="1"/>
  <c r="EY133" i="335"/>
  <c r="EY342" i="335"/>
  <c r="EY341" i="335"/>
  <c r="EY107" i="335"/>
  <c r="EY108" i="335" s="1"/>
  <c r="EY79" i="335"/>
  <c r="EY36" i="335"/>
  <c r="EY124" i="335"/>
  <c r="EY348" i="335" l="1"/>
  <c r="EY333" i="335"/>
  <c r="EY331" i="335"/>
  <c r="EY345" i="335"/>
  <c r="EY328" i="335"/>
  <c r="EY334" i="335"/>
  <c r="EY336" i="335"/>
  <c r="EY15" i="11"/>
  <c r="EY96" i="335"/>
  <c r="EY346" i="335"/>
  <c r="EY347" i="335"/>
  <c r="EY102" i="336"/>
  <c r="EY109" i="3"/>
  <c r="EY108" i="3"/>
  <c r="EY143" i="335"/>
  <c r="EY144" i="335" s="1"/>
  <c r="EY343" i="335"/>
  <c r="EY157" i="335"/>
  <c r="EY151" i="335"/>
  <c r="FE151" i="335" s="1"/>
  <c r="EY99" i="335"/>
  <c r="EY206" i="335" s="1"/>
  <c r="EY207" i="335" s="1"/>
  <c r="EY154" i="335"/>
  <c r="EY148" i="335"/>
  <c r="EY13" i="11" l="1"/>
  <c r="EY12" i="11"/>
  <c r="EY37" i="11" s="1"/>
  <c r="EY14" i="11"/>
  <c r="EY26" i="11" s="1"/>
  <c r="EY32" i="11" s="1"/>
  <c r="EY38" i="11"/>
  <c r="EY25" i="11"/>
  <c r="EY31" i="11" s="1"/>
  <c r="EY169" i="335"/>
  <c r="EY24" i="11" l="1"/>
  <c r="EY30" i="11" s="1"/>
  <c r="EY21" i="11"/>
  <c r="EY39" i="11"/>
  <c r="EY350" i="335"/>
  <c r="EY170" i="335"/>
  <c r="EX181" i="338" l="1"/>
  <c r="EW181" i="338"/>
  <c r="ET181" i="338"/>
  <c r="ES181" i="338"/>
  <c r="ER181" i="338"/>
  <c r="EQ181" i="338"/>
  <c r="FY23" i="335"/>
  <c r="FY32" i="335"/>
  <c r="FZ23" i="335"/>
  <c r="FZ32" i="335"/>
  <c r="DW182" i="338"/>
  <c r="J172" i="338"/>
  <c r="I172" i="338"/>
  <c r="H172" i="338"/>
  <c r="G172" i="338"/>
  <c r="F172" i="338"/>
  <c r="E172" i="338"/>
  <c r="D172" i="338"/>
  <c r="C172" i="338"/>
  <c r="DP172" i="338"/>
  <c r="DO172" i="338"/>
  <c r="EX172" i="338"/>
  <c r="EW172" i="338"/>
  <c r="ET172" i="338"/>
  <c r="ES172" i="338"/>
  <c r="ER172" i="338"/>
  <c r="EQ172" i="338"/>
  <c r="EN172" i="338"/>
  <c r="EM172" i="338"/>
  <c r="EL172" i="338"/>
  <c r="EK172" i="338"/>
  <c r="EH172" i="338"/>
  <c r="EG172" i="338"/>
  <c r="EF172" i="338"/>
  <c r="EE172" i="338"/>
  <c r="EB172" i="338"/>
  <c r="EA172" i="338"/>
  <c r="DZ172" i="338"/>
  <c r="DY172" i="338"/>
  <c r="DV172" i="338"/>
  <c r="DU172" i="338"/>
  <c r="DT172" i="338"/>
  <c r="DS172" i="338"/>
  <c r="EE196" i="338"/>
  <c r="EF196" i="338"/>
  <c r="EG196" i="338"/>
  <c r="EH196" i="338"/>
  <c r="DY196" i="338"/>
  <c r="DZ196" i="338"/>
  <c r="EA196" i="338"/>
  <c r="EB196" i="338"/>
  <c r="DS196" i="338"/>
  <c r="DT196" i="338"/>
  <c r="DU196" i="338"/>
  <c r="DV196" i="338"/>
  <c r="EH179" i="338"/>
  <c r="EG179" i="338"/>
  <c r="EF179" i="338"/>
  <c r="EE179" i="338"/>
  <c r="EB179" i="338"/>
  <c r="EA179" i="338"/>
  <c r="DZ179" i="338"/>
  <c r="DY179" i="338"/>
  <c r="DT179" i="338"/>
  <c r="DU179" i="338"/>
  <c r="DV179" i="338"/>
  <c r="DS179" i="338"/>
  <c r="CL199" i="338"/>
  <c r="CK199" i="338"/>
  <c r="CJ199" i="338"/>
  <c r="CI199" i="338"/>
  <c r="CL198" i="338"/>
  <c r="CK198" i="338"/>
  <c r="CK197" i="338" s="1"/>
  <c r="CJ198" i="338"/>
  <c r="CJ197" i="338" s="1"/>
  <c r="CI198" i="338"/>
  <c r="CI197" i="338" s="1"/>
  <c r="CL182" i="338"/>
  <c r="CK182" i="338"/>
  <c r="CJ182" i="338"/>
  <c r="CI182" i="338"/>
  <c r="CL181" i="338"/>
  <c r="CL180" i="338" s="1"/>
  <c r="CK181" i="338"/>
  <c r="CK180" i="338" s="1"/>
  <c r="CJ181" i="338"/>
  <c r="CJ180" i="338" s="1"/>
  <c r="CI181" i="338"/>
  <c r="CR197" i="338"/>
  <c r="CQ197" i="338"/>
  <c r="CP197" i="338"/>
  <c r="CO197" i="338"/>
  <c r="CS199" i="338"/>
  <c r="CS198" i="338"/>
  <c r="CR180" i="338"/>
  <c r="CQ180" i="338"/>
  <c r="CP180" i="338"/>
  <c r="CO180" i="338"/>
  <c r="CS182" i="338"/>
  <c r="CS181" i="338"/>
  <c r="CX180" i="338"/>
  <c r="CW180" i="338"/>
  <c r="CV180" i="338"/>
  <c r="CU180" i="338"/>
  <c r="DD180" i="338"/>
  <c r="DC180" i="338"/>
  <c r="DB180" i="338"/>
  <c r="DA180" i="338"/>
  <c r="CY182" i="338"/>
  <c r="CY181" i="338"/>
  <c r="CX197" i="338"/>
  <c r="CW197" i="338"/>
  <c r="CV197" i="338"/>
  <c r="CU197" i="338"/>
  <c r="CY199" i="338"/>
  <c r="CY198" i="338"/>
  <c r="DK180" i="338"/>
  <c r="DK182" i="338"/>
  <c r="DK181" i="338"/>
  <c r="DE182" i="338"/>
  <c r="DE181" i="338"/>
  <c r="DD197" i="338"/>
  <c r="DE197" i="338" s="1"/>
  <c r="DC197" i="338"/>
  <c r="DB197" i="338"/>
  <c r="DA197" i="338"/>
  <c r="DE199" i="338"/>
  <c r="DE198" i="338"/>
  <c r="DQ199" i="338"/>
  <c r="DQ198" i="338"/>
  <c r="DP197" i="338"/>
  <c r="DO197" i="338"/>
  <c r="DN197" i="338"/>
  <c r="DM197" i="338"/>
  <c r="DJ197" i="338"/>
  <c r="DI197" i="338"/>
  <c r="DH197" i="338"/>
  <c r="DG197" i="338"/>
  <c r="DK199" i="338"/>
  <c r="DK198" i="338"/>
  <c r="EN200" i="338"/>
  <c r="EM200" i="338"/>
  <c r="EL200" i="338"/>
  <c r="EO200" i="338" s="1"/>
  <c r="EK200" i="338"/>
  <c r="EO197" i="338"/>
  <c r="EO196" i="338"/>
  <c r="EN183" i="338"/>
  <c r="EO183" i="338" s="1"/>
  <c r="EM183" i="338"/>
  <c r="EL183" i="338"/>
  <c r="EK183" i="338"/>
  <c r="EO180" i="338"/>
  <c r="EO179" i="338"/>
  <c r="CM198" i="338"/>
  <c r="FL451" i="335"/>
  <c r="FK451" i="335"/>
  <c r="FJ451" i="335"/>
  <c r="FI451" i="335"/>
  <c r="FF451" i="335"/>
  <c r="FE451" i="335"/>
  <c r="FD451" i="335"/>
  <c r="FG451" i="335" s="1"/>
  <c r="FC451" i="335"/>
  <c r="EZ451" i="335"/>
  <c r="EY451" i="335"/>
  <c r="EX451" i="335"/>
  <c r="EW451" i="335"/>
  <c r="FL444" i="335"/>
  <c r="FK444" i="335"/>
  <c r="FJ444" i="335"/>
  <c r="FI444" i="335"/>
  <c r="FF444" i="335"/>
  <c r="FE444" i="335"/>
  <c r="FD444" i="335"/>
  <c r="FG444" i="335" s="1"/>
  <c r="FC444" i="335"/>
  <c r="EZ444" i="335"/>
  <c r="EY444" i="335"/>
  <c r="EX444" i="335"/>
  <c r="EW444" i="335"/>
  <c r="FL439" i="335"/>
  <c r="FK439" i="335"/>
  <c r="FJ439" i="335"/>
  <c r="FI439" i="335"/>
  <c r="FF439" i="335"/>
  <c r="FE439" i="335"/>
  <c r="FD439" i="335"/>
  <c r="FC439" i="335"/>
  <c r="EZ439" i="335"/>
  <c r="EY439" i="335"/>
  <c r="EX439" i="335"/>
  <c r="EW439" i="335"/>
  <c r="EX435" i="335"/>
  <c r="EW435" i="335"/>
  <c r="FL431" i="335"/>
  <c r="FK431" i="335"/>
  <c r="FJ431" i="335"/>
  <c r="FI431" i="335"/>
  <c r="FF431" i="335"/>
  <c r="FE431" i="335"/>
  <c r="FD431" i="335"/>
  <c r="FC431" i="335"/>
  <c r="EZ431" i="335"/>
  <c r="EY431" i="335"/>
  <c r="EX431" i="335"/>
  <c r="EW431" i="335"/>
  <c r="A451" i="335"/>
  <c r="A444" i="335"/>
  <c r="A439" i="335"/>
  <c r="A435" i="335"/>
  <c r="A431" i="335"/>
  <c r="EY74" i="336"/>
  <c r="EZ74" i="336" s="1"/>
  <c r="FY195" i="335"/>
  <c r="FL154" i="335"/>
  <c r="FK154" i="335"/>
  <c r="FJ154" i="335"/>
  <c r="FI154" i="335"/>
  <c r="FL117" i="335"/>
  <c r="FL111" i="335"/>
  <c r="FK111" i="335"/>
  <c r="FJ111" i="335"/>
  <c r="FI111" i="335"/>
  <c r="FL114" i="335"/>
  <c r="FF21" i="11"/>
  <c r="FE21" i="11"/>
  <c r="FD21" i="11"/>
  <c r="FC21" i="11"/>
  <c r="ER20" i="11"/>
  <c r="EX19" i="11"/>
  <c r="EX18" i="11"/>
  <c r="EW18" i="11"/>
  <c r="EX44" i="11"/>
  <c r="EY486" i="338"/>
  <c r="EY485" i="338"/>
  <c r="EX459" i="338"/>
  <c r="EX200" i="338"/>
  <c r="EX183" i="338"/>
  <c r="EX40" i="3"/>
  <c r="EX41" i="3"/>
  <c r="EX39" i="3"/>
  <c r="EX16" i="3"/>
  <c r="EX25" i="3"/>
  <c r="EX51" i="3"/>
  <c r="EX97" i="3"/>
  <c r="EX92" i="3"/>
  <c r="EX95" i="3" s="1"/>
  <c r="EX91" i="3"/>
  <c r="EX90" i="3"/>
  <c r="EX84" i="3"/>
  <c r="EX83" i="3"/>
  <c r="EX82" i="3"/>
  <c r="EX81" i="3"/>
  <c r="EX80" i="3"/>
  <c r="EX75" i="3"/>
  <c r="EX74" i="3"/>
  <c r="EX73" i="3"/>
  <c r="EX72" i="3"/>
  <c r="EX71" i="3"/>
  <c r="EX70" i="3"/>
  <c r="EX66" i="3"/>
  <c r="EX65" i="3"/>
  <c r="EX64" i="3"/>
  <c r="EX63" i="3"/>
  <c r="EX60" i="3"/>
  <c r="EX58" i="3"/>
  <c r="EX7" i="3" s="1"/>
  <c r="EX94" i="3"/>
  <c r="EX33" i="3"/>
  <c r="EX67" i="3"/>
  <c r="EX206" i="336"/>
  <c r="EX195" i="336"/>
  <c r="EX154" i="336"/>
  <c r="EX156" i="336" s="1"/>
  <c r="EX123" i="336"/>
  <c r="EX136" i="336"/>
  <c r="EX107" i="336"/>
  <c r="EX106" i="336"/>
  <c r="EX40" i="336"/>
  <c r="EX31" i="338"/>
  <c r="EX362" i="338"/>
  <c r="EX45" i="3"/>
  <c r="EX93" i="3"/>
  <c r="EX34" i="336"/>
  <c r="EX20" i="336"/>
  <c r="EX18" i="336"/>
  <c r="EX45" i="336"/>
  <c r="EX46" i="336" s="1"/>
  <c r="EX30" i="336"/>
  <c r="EX35" i="336" s="1"/>
  <c r="EX15" i="336"/>
  <c r="EX184" i="335"/>
  <c r="EX126" i="335"/>
  <c r="EX153" i="335"/>
  <c r="EX155" i="335"/>
  <c r="EX150" i="335"/>
  <c r="EX129" i="335"/>
  <c r="EX138" i="335"/>
  <c r="EX58" i="335"/>
  <c r="EX60" i="335"/>
  <c r="EX283" i="335" s="1"/>
  <c r="EX29" i="335"/>
  <c r="EX17" i="335"/>
  <c r="EX19" i="335"/>
  <c r="EX396" i="335"/>
  <c r="EX389" i="335"/>
  <c r="EX388" i="335"/>
  <c r="EX320" i="335"/>
  <c r="EX306" i="335"/>
  <c r="EX295" i="335"/>
  <c r="EX281" i="335"/>
  <c r="EX275" i="335"/>
  <c r="EX225" i="335"/>
  <c r="EX191" i="335"/>
  <c r="EX180" i="335"/>
  <c r="EX179" i="335"/>
  <c r="EY179" i="335" s="1"/>
  <c r="EX160" i="335"/>
  <c r="EX159" i="335"/>
  <c r="EX158" i="335"/>
  <c r="EX152" i="335"/>
  <c r="EX127" i="335"/>
  <c r="FD127" i="335" s="1"/>
  <c r="FJ127" i="335" s="1"/>
  <c r="EX120" i="335"/>
  <c r="EX111" i="335"/>
  <c r="EX98" i="335"/>
  <c r="EX50" i="335"/>
  <c r="EX48" i="335"/>
  <c r="EX47" i="335"/>
  <c r="EX34" i="335"/>
  <c r="EX33" i="335"/>
  <c r="EX25" i="335"/>
  <c r="EX24" i="335"/>
  <c r="EX18" i="335"/>
  <c r="EX14" i="335"/>
  <c r="EX21" i="336"/>
  <c r="EX149" i="335"/>
  <c r="EX318" i="335"/>
  <c r="EX370" i="335"/>
  <c r="EX167" i="335"/>
  <c r="EX293" i="335"/>
  <c r="EX319" i="335"/>
  <c r="EX294" i="335"/>
  <c r="EW200" i="338"/>
  <c r="ET200" i="338"/>
  <c r="ES200" i="338"/>
  <c r="ER200" i="338"/>
  <c r="EQ200" i="338"/>
  <c r="EU197" i="338"/>
  <c r="EU196" i="338"/>
  <c r="EW183" i="338"/>
  <c r="EU180" i="338"/>
  <c r="EU179" i="338"/>
  <c r="EQ183" i="338"/>
  <c r="ET183" i="338"/>
  <c r="ES183" i="338"/>
  <c r="ER183" i="338"/>
  <c r="EW580" i="338"/>
  <c r="EI162" i="335"/>
  <c r="EH162" i="335"/>
  <c r="EG162" i="335"/>
  <c r="EF162" i="335"/>
  <c r="EE162" i="335"/>
  <c r="ED162" i="335"/>
  <c r="EC162" i="335"/>
  <c r="EW319" i="338"/>
  <c r="ET362" i="338"/>
  <c r="EW362" i="338"/>
  <c r="ET357" i="338"/>
  <c r="EW605" i="338"/>
  <c r="EW672" i="338"/>
  <c r="EW611" i="338"/>
  <c r="EW610" i="338"/>
  <c r="EW587" i="338"/>
  <c r="EW588" i="338" s="1"/>
  <c r="EW581" i="338"/>
  <c r="EW582" i="338" s="1"/>
  <c r="EW560" i="338"/>
  <c r="EW562" i="338" s="1"/>
  <c r="EW563" i="338" s="1"/>
  <c r="ER466" i="338"/>
  <c r="EX464" i="338" s="1"/>
  <c r="EW38" i="3"/>
  <c r="EW16" i="3"/>
  <c r="EW25" i="3"/>
  <c r="EW51" i="3" s="1"/>
  <c r="EW33" i="3"/>
  <c r="EW40" i="336"/>
  <c r="EW34" i="336"/>
  <c r="EW20" i="336"/>
  <c r="EW18" i="336"/>
  <c r="EW195" i="336"/>
  <c r="EW193" i="336"/>
  <c r="EW166" i="336"/>
  <c r="EW156" i="336"/>
  <c r="EW136" i="336"/>
  <c r="EW107" i="336"/>
  <c r="EW106" i="336"/>
  <c r="EW98" i="336"/>
  <c r="EW99" i="336" s="1"/>
  <c r="EW45" i="336"/>
  <c r="EW46" i="336" s="1"/>
  <c r="EW30" i="336"/>
  <c r="EW35" i="336" s="1"/>
  <c r="EW43" i="336" s="1"/>
  <c r="EW15" i="336"/>
  <c r="EW21" i="336" s="1"/>
  <c r="EW147" i="335"/>
  <c r="EW104" i="335"/>
  <c r="EW141" i="335" s="1"/>
  <c r="EW609" i="338" s="1"/>
  <c r="EW184" i="335"/>
  <c r="EW153" i="335"/>
  <c r="EW150" i="335"/>
  <c r="EW138" i="335"/>
  <c r="EW129" i="335"/>
  <c r="EW126" i="335"/>
  <c r="EW255" i="338"/>
  <c r="EW254" i="338"/>
  <c r="EW60" i="335"/>
  <c r="EW171" i="336"/>
  <c r="EX465" i="338"/>
  <c r="EW41" i="3"/>
  <c r="EW228" i="335"/>
  <c r="EX228" i="335" s="1"/>
  <c r="EW225" i="335"/>
  <c r="EW191" i="335"/>
  <c r="EW176" i="335"/>
  <c r="EW214" i="335" s="1"/>
  <c r="EW165" i="335"/>
  <c r="EW160" i="335" s="1"/>
  <c r="EW159" i="335"/>
  <c r="EW158" i="335"/>
  <c r="EW155" i="335"/>
  <c r="EW167" i="335"/>
  <c r="EW127" i="335"/>
  <c r="FC127" i="335" s="1"/>
  <c r="FI127" i="335" s="1"/>
  <c r="EW120" i="335"/>
  <c r="EW111" i="335"/>
  <c r="EW75" i="335"/>
  <c r="EW34" i="335"/>
  <c r="EW33" i="335"/>
  <c r="EW25" i="335"/>
  <c r="EW24" i="335"/>
  <c r="EW19" i="335"/>
  <c r="EW18" i="335"/>
  <c r="EW139" i="335"/>
  <c r="EW48" i="335"/>
  <c r="EW152" i="335"/>
  <c r="EW50" i="335"/>
  <c r="EW149" i="335"/>
  <c r="EW98" i="335"/>
  <c r="EW47" i="335"/>
  <c r="ET135" i="335"/>
  <c r="ET132" i="335" s="1"/>
  <c r="ET131" i="336" s="1"/>
  <c r="EZ131" i="336" s="1"/>
  <c r="FF131" i="336" s="1"/>
  <c r="FL131" i="336" s="1"/>
  <c r="EA23" i="338"/>
  <c r="DZ23" i="338"/>
  <c r="DY23" i="338"/>
  <c r="EB23" i="338"/>
  <c r="EB22" i="338" s="1"/>
  <c r="A650" i="338"/>
  <c r="EI586" i="338"/>
  <c r="EH586" i="338"/>
  <c r="EI585" i="338"/>
  <c r="EI587" i="338"/>
  <c r="EI588" i="338" s="1"/>
  <c r="EO586" i="338"/>
  <c r="EN586" i="338" s="1"/>
  <c r="EO585" i="338"/>
  <c r="EN585" i="338" s="1"/>
  <c r="EU672" i="338"/>
  <c r="ET672" i="338"/>
  <c r="EG554" i="338"/>
  <c r="EF554" i="338"/>
  <c r="EE554" i="338"/>
  <c r="EG555" i="338"/>
  <c r="EF555" i="338"/>
  <c r="EE555" i="338"/>
  <c r="EO604" i="338"/>
  <c r="EM555" i="338"/>
  <c r="EL555" i="338"/>
  <c r="EI555" i="338"/>
  <c r="EI554" i="338"/>
  <c r="EO555" i="338"/>
  <c r="EO554" i="338"/>
  <c r="ER554" i="338"/>
  <c r="EM554" i="338"/>
  <c r="EL554" i="338"/>
  <c r="EK554" i="338"/>
  <c r="EK555" i="338"/>
  <c r="EH611" i="338"/>
  <c r="EG611" i="338"/>
  <c r="EF611" i="338"/>
  <c r="EE611" i="338"/>
  <c r="EH610" i="338"/>
  <c r="EG610" i="338"/>
  <c r="EF610" i="338"/>
  <c r="EE610" i="338"/>
  <c r="EI605" i="338"/>
  <c r="EI604" i="338"/>
  <c r="EN611" i="338"/>
  <c r="EM611" i="338"/>
  <c r="EL611" i="338"/>
  <c r="EK611" i="338"/>
  <c r="EN610" i="338"/>
  <c r="EM610" i="338"/>
  <c r="EL610" i="338"/>
  <c r="EK610" i="338"/>
  <c r="EO605" i="338"/>
  <c r="EU586" i="338"/>
  <c r="ET586" i="338"/>
  <c r="EU585" i="338"/>
  <c r="ET585" i="338" s="1"/>
  <c r="ET587" i="338" s="1"/>
  <c r="ET588" i="338" s="1"/>
  <c r="EU554" i="338"/>
  <c r="ES554" i="338"/>
  <c r="EQ554" i="338"/>
  <c r="ES555" i="338"/>
  <c r="ES605" i="338" s="1"/>
  <c r="ET605" i="338" s="1"/>
  <c r="ER555" i="338"/>
  <c r="EQ555" i="338"/>
  <c r="EU555" i="338"/>
  <c r="ET560" i="338"/>
  <c r="EU560" i="338" s="1"/>
  <c r="EU561" i="338"/>
  <c r="ET561" i="338" s="1"/>
  <c r="EU605" i="338"/>
  <c r="EU604" i="338"/>
  <c r="ET611" i="338"/>
  <c r="ET610" i="338"/>
  <c r="EU580" i="338"/>
  <c r="EU579" i="338"/>
  <c r="EU713" i="338"/>
  <c r="EU714" i="338" s="1"/>
  <c r="EO713" i="338"/>
  <c r="EO714" i="338" s="1"/>
  <c r="EI713" i="338"/>
  <c r="EI714" i="338" s="1"/>
  <c r="EU707" i="338"/>
  <c r="EU708" i="338" s="1"/>
  <c r="EO707" i="338"/>
  <c r="EO708" i="338" s="1"/>
  <c r="EI707" i="338"/>
  <c r="EI708" i="338" s="1"/>
  <c r="EU700" i="338"/>
  <c r="EU701" i="338" s="1"/>
  <c r="EO700" i="338"/>
  <c r="EO701" i="338" s="1"/>
  <c r="EI700" i="338"/>
  <c r="EI701" i="338" s="1"/>
  <c r="EU157" i="336"/>
  <c r="EU155" i="336"/>
  <c r="EU154" i="336"/>
  <c r="EU153" i="336"/>
  <c r="EU152" i="336"/>
  <c r="EU151" i="336"/>
  <c r="ER156" i="336"/>
  <c r="EZ93" i="338"/>
  <c r="EY93" i="338"/>
  <c r="EX93" i="338"/>
  <c r="EZ92" i="338"/>
  <c r="EY92" i="338"/>
  <c r="EX92" i="338"/>
  <c r="EZ91" i="338"/>
  <c r="EY91" i="338"/>
  <c r="EX91" i="338"/>
  <c r="EQ93" i="338"/>
  <c r="EX51" i="338"/>
  <c r="EW51" i="338"/>
  <c r="ET51" i="338"/>
  <c r="EQ10" i="338"/>
  <c r="EG605" i="338"/>
  <c r="EL605" i="338"/>
  <c r="EM605" i="338"/>
  <c r="ET554" i="338"/>
  <c r="EI606" i="338"/>
  <c r="EI607" i="338" s="1"/>
  <c r="ER605" i="338"/>
  <c r="EE605" i="338"/>
  <c r="EU658" i="338"/>
  <c r="EH585" i="338"/>
  <c r="ET555" i="338"/>
  <c r="EU587" i="338"/>
  <c r="EU588" i="338" s="1"/>
  <c r="EU670" i="338"/>
  <c r="EQ605" i="338"/>
  <c r="EO587" i="338"/>
  <c r="EO588" i="338" s="1"/>
  <c r="EH587" i="338"/>
  <c r="EH588" i="338" s="1"/>
  <c r="EF605" i="338"/>
  <c r="EK605" i="338"/>
  <c r="EO606" i="338"/>
  <c r="FA51" i="338"/>
  <c r="CS700" i="338"/>
  <c r="CS701" i="338" s="1"/>
  <c r="CQ700" i="338"/>
  <c r="CQ701" i="338" s="1"/>
  <c r="CP700" i="338"/>
  <c r="CP701" i="338" s="1"/>
  <c r="CO700" i="338"/>
  <c r="CO701" i="338" s="1"/>
  <c r="CM700" i="338"/>
  <c r="CM701" i="338" s="1"/>
  <c r="CK700" i="338"/>
  <c r="CK701" i="338" s="1"/>
  <c r="CJ700" i="338"/>
  <c r="CJ701" i="338" s="1"/>
  <c r="CI700" i="338"/>
  <c r="CI701" i="338" s="1"/>
  <c r="CG700" i="338"/>
  <c r="CG701" i="338" s="1"/>
  <c r="CE700" i="338"/>
  <c r="CE701" i="338" s="1"/>
  <c r="CD700" i="338"/>
  <c r="CD701" i="338" s="1"/>
  <c r="CC700" i="338"/>
  <c r="CC701" i="338" s="1"/>
  <c r="CA700" i="338"/>
  <c r="CA701" i="338" s="1"/>
  <c r="BY700" i="338"/>
  <c r="BY701" i="338" s="1"/>
  <c r="BX700" i="338"/>
  <c r="BX701" i="338" s="1"/>
  <c r="BW700" i="338"/>
  <c r="BW701" i="338" s="1"/>
  <c r="BU700" i="338"/>
  <c r="BU701" i="338" s="1"/>
  <c r="BS700" i="338"/>
  <c r="BS701" i="338" s="1"/>
  <c r="BR700" i="338"/>
  <c r="BR701" i="338" s="1"/>
  <c r="BQ700" i="338"/>
  <c r="BQ701" i="338" s="1"/>
  <c r="BO700" i="338"/>
  <c r="BO701" i="338" s="1"/>
  <c r="BM700" i="338"/>
  <c r="BM701" i="338" s="1"/>
  <c r="BL700" i="338"/>
  <c r="BL701" i="338" s="1"/>
  <c r="BK700" i="338"/>
  <c r="BK701" i="338" s="1"/>
  <c r="BI700" i="338"/>
  <c r="BI701" i="338" s="1"/>
  <c r="BG700" i="338"/>
  <c r="BG701" i="338" s="1"/>
  <c r="BF700" i="338"/>
  <c r="BF701" i="338" s="1"/>
  <c r="BE700" i="338"/>
  <c r="BE701" i="338" s="1"/>
  <c r="BC700" i="338"/>
  <c r="BC701" i="338" s="1"/>
  <c r="CR697" i="338"/>
  <c r="CL697" i="338"/>
  <c r="CF697" i="338"/>
  <c r="BZ697" i="338"/>
  <c r="BT697" i="338"/>
  <c r="BN697" i="338"/>
  <c r="BH697" i="338"/>
  <c r="CR696" i="338"/>
  <c r="CL696" i="338"/>
  <c r="CF696" i="338"/>
  <c r="BZ696" i="338"/>
  <c r="BT696" i="338"/>
  <c r="BN696" i="338"/>
  <c r="BH696" i="338"/>
  <c r="DV693" i="338"/>
  <c r="DU693" i="338"/>
  <c r="DT693" i="338"/>
  <c r="DS693" i="338"/>
  <c r="DQ693" i="338"/>
  <c r="DP693" i="338"/>
  <c r="DO693" i="338"/>
  <c r="DN693" i="338"/>
  <c r="DM693" i="338"/>
  <c r="DK693" i="338"/>
  <c r="DJ693" i="338"/>
  <c r="DI693" i="338"/>
  <c r="DH693" i="338"/>
  <c r="DG693" i="338"/>
  <c r="DE693" i="338"/>
  <c r="DD693" i="338"/>
  <c r="DC693" i="338"/>
  <c r="DB693" i="338"/>
  <c r="DA693" i="338"/>
  <c r="DS692" i="338"/>
  <c r="DM692" i="338"/>
  <c r="DG692" i="338"/>
  <c r="DA692" i="338"/>
  <c r="ET279" i="338"/>
  <c r="EU279" i="338" s="1"/>
  <c r="ET281" i="338"/>
  <c r="EU281" i="338" s="1"/>
  <c r="ET280" i="338"/>
  <c r="EU280" i="338"/>
  <c r="EU296" i="338"/>
  <c r="ET300" i="338"/>
  <c r="EU299" i="338"/>
  <c r="EU298" i="338"/>
  <c r="EU297" i="338"/>
  <c r="EU293" i="338"/>
  <c r="EU292" i="338"/>
  <c r="EU291" i="338"/>
  <c r="EO299" i="338"/>
  <c r="EO298" i="338"/>
  <c r="EO297" i="338"/>
  <c r="EO295" i="338"/>
  <c r="EO294" i="338"/>
  <c r="EO293" i="338"/>
  <c r="EO292" i="338"/>
  <c r="EO291" i="338"/>
  <c r="EN296" i="338"/>
  <c r="ET206" i="336"/>
  <c r="ET90" i="3"/>
  <c r="ET185" i="336" s="1"/>
  <c r="ET195" i="336"/>
  <c r="ET171" i="336"/>
  <c r="EU368" i="338"/>
  <c r="EU367" i="338"/>
  <c r="EU366" i="338"/>
  <c r="EU365" i="338"/>
  <c r="ET98" i="336"/>
  <c r="ES672" i="338"/>
  <c r="ER672" i="338"/>
  <c r="ES611" i="338"/>
  <c r="ER611" i="338"/>
  <c r="ES610" i="338"/>
  <c r="ER610" i="338"/>
  <c r="ES594" i="338"/>
  <c r="ES595" i="338" s="1"/>
  <c r="ER594" i="338"/>
  <c r="ER595" i="338" s="1"/>
  <c r="ES587" i="338"/>
  <c r="ES588" i="338" s="1"/>
  <c r="ER587" i="338"/>
  <c r="ER588" i="338" s="1"/>
  <c r="ES580" i="338"/>
  <c r="ER580" i="338"/>
  <c r="ES579" i="338"/>
  <c r="ER579" i="338"/>
  <c r="ES575" i="338"/>
  <c r="ES576" i="338" s="1"/>
  <c r="ER575" i="338"/>
  <c r="ER576" i="338" s="1"/>
  <c r="ES569" i="338"/>
  <c r="ES570" i="338" s="1"/>
  <c r="ER569" i="338"/>
  <c r="ER570" i="338" s="1"/>
  <c r="ES562" i="338"/>
  <c r="ES563" i="338"/>
  <c r="ER562" i="338"/>
  <c r="ER563" i="338" s="1"/>
  <c r="ES241" i="338"/>
  <c r="ES245" i="338" s="1"/>
  <c r="ET99" i="336"/>
  <c r="EH605" i="338"/>
  <c r="EN605" i="338"/>
  <c r="EO607" i="338"/>
  <c r="BN700" i="338"/>
  <c r="BN701" i="338" s="1"/>
  <c r="CL700" i="338"/>
  <c r="CL701" i="338" s="1"/>
  <c r="BT700" i="338"/>
  <c r="BT701" i="338" s="1"/>
  <c r="CR700" i="338"/>
  <c r="CR701" i="338" s="1"/>
  <c r="ES581" i="338"/>
  <c r="ES582" i="338" s="1"/>
  <c r="EO296" i="338"/>
  <c r="EO300" i="338" s="1"/>
  <c r="BH700" i="338"/>
  <c r="BH701" i="338" s="1"/>
  <c r="CF700" i="338"/>
  <c r="CF701" i="338" s="1"/>
  <c r="BZ700" i="338"/>
  <c r="BZ701" i="338" s="1"/>
  <c r="EU300" i="338"/>
  <c r="EU301" i="338" s="1"/>
  <c r="ER581" i="338"/>
  <c r="ER582" i="338" s="1"/>
  <c r="EU671" i="338"/>
  <c r="EU669" i="338" s="1"/>
  <c r="EU668" i="338" s="1"/>
  <c r="FJ415" i="335"/>
  <c r="FK415" i="335"/>
  <c r="FL415" i="335"/>
  <c r="FM415" i="335" s="1"/>
  <c r="FJ423" i="335"/>
  <c r="FK423" i="335"/>
  <c r="FL423" i="335"/>
  <c r="FK424" i="335"/>
  <c r="FL424" i="335"/>
  <c r="EZ21" i="11"/>
  <c r="ET44" i="11"/>
  <c r="FI132" i="11"/>
  <c r="FI69" i="11"/>
  <c r="FM8" i="11"/>
  <c r="FM133" i="11" s="1"/>
  <c r="FL8" i="11"/>
  <c r="FL133" i="11" s="1"/>
  <c r="FK8" i="11"/>
  <c r="FK70" i="11" s="1"/>
  <c r="FJ8" i="11"/>
  <c r="FJ70" i="11" s="1"/>
  <c r="FI8" i="11"/>
  <c r="DY146" i="335"/>
  <c r="EE146" i="335"/>
  <c r="ED171" i="335"/>
  <c r="DX171" i="335"/>
  <c r="FM743" i="338"/>
  <c r="FM718" i="338"/>
  <c r="FM159" i="338"/>
  <c r="FM158" i="338"/>
  <c r="FM157" i="338"/>
  <c r="FM156" i="338"/>
  <c r="FM155" i="338"/>
  <c r="FM154" i="338"/>
  <c r="FM153" i="338"/>
  <c r="FM152" i="338"/>
  <c r="FM151" i="338"/>
  <c r="FM150" i="338"/>
  <c r="FM149" i="338"/>
  <c r="FM148" i="338"/>
  <c r="FM147" i="338"/>
  <c r="FM146" i="338"/>
  <c r="FM145" i="338"/>
  <c r="FM144" i="338"/>
  <c r="FM143" i="338"/>
  <c r="FM142" i="338"/>
  <c r="FM141" i="338"/>
  <c r="FM140" i="338"/>
  <c r="FM139" i="338"/>
  <c r="FM138" i="338"/>
  <c r="FM137" i="338"/>
  <c r="FM136" i="338"/>
  <c r="FM135" i="338"/>
  <c r="FM134" i="338"/>
  <c r="FM133" i="338"/>
  <c r="FM132" i="338"/>
  <c r="FM131" i="338"/>
  <c r="FM130" i="338"/>
  <c r="FM129" i="338"/>
  <c r="FM128" i="338"/>
  <c r="FM127" i="338"/>
  <c r="FM126" i="338"/>
  <c r="FM125" i="338"/>
  <c r="FM124" i="338"/>
  <c r="FM123" i="338"/>
  <c r="FM122" i="338"/>
  <c r="FM121" i="338"/>
  <c r="FM120" i="338"/>
  <c r="FM119" i="338"/>
  <c r="FM118" i="338"/>
  <c r="FM117" i="338"/>
  <c r="FM116" i="338"/>
  <c r="FM115" i="338"/>
  <c r="FM107" i="338"/>
  <c r="FM106" i="338"/>
  <c r="FM105" i="338"/>
  <c r="FM104" i="338"/>
  <c r="FM103" i="338"/>
  <c r="FM102" i="338"/>
  <c r="FM101" i="338"/>
  <c r="FM94" i="338"/>
  <c r="FM90" i="338"/>
  <c r="FM89" i="338"/>
  <c r="FM88" i="338"/>
  <c r="FM87" i="338"/>
  <c r="FM86" i="338"/>
  <c r="FM85" i="338"/>
  <c r="FM84" i="338"/>
  <c r="FM83" i="338"/>
  <c r="FM82" i="338"/>
  <c r="FM81" i="338"/>
  <c r="FM80" i="338"/>
  <c r="FM79" i="338"/>
  <c r="FM78" i="338"/>
  <c r="FM77" i="338"/>
  <c r="FM76" i="338"/>
  <c r="FM75" i="338"/>
  <c r="FM74" i="338"/>
  <c r="FM73" i="338"/>
  <c r="FM72" i="338"/>
  <c r="FM71" i="338"/>
  <c r="FM70" i="338"/>
  <c r="FM69" i="338"/>
  <c r="FM68" i="338"/>
  <c r="FM67" i="338"/>
  <c r="FM66" i="338"/>
  <c r="FM65" i="338"/>
  <c r="FM64" i="338"/>
  <c r="FM63" i="338"/>
  <c r="FM62" i="338"/>
  <c r="FM61" i="338"/>
  <c r="FM60" i="338"/>
  <c r="FM59" i="338"/>
  <c r="FM52" i="338"/>
  <c r="FM50" i="338"/>
  <c r="FM49" i="338"/>
  <c r="FM48" i="338"/>
  <c r="FM47" i="338"/>
  <c r="FM46" i="338"/>
  <c r="FM45" i="338"/>
  <c r="FM44" i="338"/>
  <c r="FM43" i="338"/>
  <c r="FM42" i="338"/>
  <c r="FM41" i="338"/>
  <c r="FM32" i="338"/>
  <c r="FM31" i="338"/>
  <c r="FM30" i="338"/>
  <c r="FM29" i="338"/>
  <c r="FM28" i="338"/>
  <c r="FM27" i="338"/>
  <c r="FM26" i="338"/>
  <c r="FM25" i="338"/>
  <c r="FL24" i="338"/>
  <c r="FK24" i="338"/>
  <c r="FJ24" i="338"/>
  <c r="FI24" i="338"/>
  <c r="FL11" i="338"/>
  <c r="FK11" i="338"/>
  <c r="FJ11" i="338"/>
  <c r="FI11" i="338"/>
  <c r="FL10" i="338"/>
  <c r="FK10" i="338"/>
  <c r="FJ10" i="338"/>
  <c r="FI10" i="338"/>
  <c r="FM6" i="338"/>
  <c r="FM382" i="338" s="1"/>
  <c r="FL6" i="338"/>
  <c r="FL425" i="338" s="1"/>
  <c r="FK6" i="338"/>
  <c r="FK382" i="338" s="1"/>
  <c r="FJ6" i="338"/>
  <c r="FJ382" i="338" s="1"/>
  <c r="FI6" i="338"/>
  <c r="FI550" i="338" s="1"/>
  <c r="FI5" i="338"/>
  <c r="FI549" i="338" s="1"/>
  <c r="ET116" i="335"/>
  <c r="ET122" i="335"/>
  <c r="ET113" i="335" s="1"/>
  <c r="FF27" i="335"/>
  <c r="ET26" i="335"/>
  <c r="ES26" i="335"/>
  <c r="EY27" i="335" s="1"/>
  <c r="ER26" i="335"/>
  <c r="EM26" i="335"/>
  <c r="EL26" i="335"/>
  <c r="EN34" i="335"/>
  <c r="EM34" i="335"/>
  <c r="EL34" i="335"/>
  <c r="EK34" i="335"/>
  <c r="EN33" i="335"/>
  <c r="EM33" i="335"/>
  <c r="EL33" i="335"/>
  <c r="EK33" i="335"/>
  <c r="EH34" i="335"/>
  <c r="EG34" i="335"/>
  <c r="EF34" i="335"/>
  <c r="EH33" i="335"/>
  <c r="EI32" i="335"/>
  <c r="EH24" i="335"/>
  <c r="EI23" i="335"/>
  <c r="EN25" i="335"/>
  <c r="EM25" i="335"/>
  <c r="EL25" i="335"/>
  <c r="EK25" i="335"/>
  <c r="EH25" i="335"/>
  <c r="EG25" i="335"/>
  <c r="EF25" i="335"/>
  <c r="EN24" i="335"/>
  <c r="EM24" i="335"/>
  <c r="EL24" i="335"/>
  <c r="EK24" i="335"/>
  <c r="EM20" i="335"/>
  <c r="EM23" i="338" s="1"/>
  <c r="EL20" i="335"/>
  <c r="EL23" i="338" s="1"/>
  <c r="ET20" i="335"/>
  <c r="ES20" i="335"/>
  <c r="EY21" i="335" s="1"/>
  <c r="ER20" i="335"/>
  <c r="ER459" i="338" s="1"/>
  <c r="EX458" i="338" s="1"/>
  <c r="EZ23" i="335"/>
  <c r="ES362" i="338"/>
  <c r="EY363" i="338" s="1"/>
  <c r="ER362" i="338"/>
  <c r="EX363" i="338" s="1"/>
  <c r="EQ362" i="338"/>
  <c r="EW363" i="338" s="1"/>
  <c r="EN362" i="338"/>
  <c r="EM362" i="338"/>
  <c r="ES363" i="338"/>
  <c r="EL362" i="338"/>
  <c r="EK362" i="338"/>
  <c r="EH362" i="338"/>
  <c r="EG362" i="338"/>
  <c r="EF362" i="338"/>
  <c r="EE362" i="338"/>
  <c r="EU361" i="338"/>
  <c r="EO361" i="338"/>
  <c r="EI361" i="338"/>
  <c r="EU360" i="338"/>
  <c r="EO360" i="338"/>
  <c r="EI360" i="338"/>
  <c r="EU356" i="338"/>
  <c r="EU355" i="338"/>
  <c r="ES357" i="338"/>
  <c r="ER357" i="338"/>
  <c r="EQ357" i="338"/>
  <c r="EN357" i="338"/>
  <c r="EM357" i="338"/>
  <c r="EL357" i="338"/>
  <c r="ER358" i="338" s="1"/>
  <c r="EK357" i="338"/>
  <c r="EQ358" i="338" s="1"/>
  <c r="EH357" i="338"/>
  <c r="EG357" i="338"/>
  <c r="EF357" i="338"/>
  <c r="EE357" i="338"/>
  <c r="EO356" i="338"/>
  <c r="EI356" i="338"/>
  <c r="EO355" i="338"/>
  <c r="EI355" i="338"/>
  <c r="ES352" i="338"/>
  <c r="ES348" i="338"/>
  <c r="ET396" i="335"/>
  <c r="ET391" i="335"/>
  <c r="ET390" i="335"/>
  <c r="ET379" i="335"/>
  <c r="ET378" i="335"/>
  <c r="ET377" i="335"/>
  <c r="ET376" i="335"/>
  <c r="ET309" i="335"/>
  <c r="ET308" i="335"/>
  <c r="ET306" i="335"/>
  <c r="ET284" i="335"/>
  <c r="ET283" i="335"/>
  <c r="ES309" i="335"/>
  <c r="ES308" i="335"/>
  <c r="ES284" i="335"/>
  <c r="ES283" i="335"/>
  <c r="ET138" i="335"/>
  <c r="ET129" i="335"/>
  <c r="ET126" i="335"/>
  <c r="EN119" i="335"/>
  <c r="EN120" i="335"/>
  <c r="EN110" i="335"/>
  <c r="EN111" i="335"/>
  <c r="ET184" i="335"/>
  <c r="ET56" i="335"/>
  <c r="EW58" i="335" s="1"/>
  <c r="ES56" i="335"/>
  <c r="EY57" i="335" s="1"/>
  <c r="ER56" i="335"/>
  <c r="EX57" i="335" s="1"/>
  <c r="EQ56" i="335"/>
  <c r="EN56" i="335"/>
  <c r="EM56" i="335"/>
  <c r="EL56" i="335"/>
  <c r="FC23" i="335"/>
  <c r="DS56" i="335"/>
  <c r="DS57" i="335" s="1"/>
  <c r="ET119" i="335"/>
  <c r="EU119" i="335"/>
  <c r="ET110" i="335"/>
  <c r="EU110" i="335"/>
  <c r="ET147" i="335"/>
  <c r="FM10" i="338"/>
  <c r="EN363" i="338"/>
  <c r="FM11" i="338"/>
  <c r="ET358" i="338"/>
  <c r="EU362" i="338"/>
  <c r="ET363" i="338"/>
  <c r="FM24" i="338"/>
  <c r="FI424" i="338"/>
  <c r="FD23" i="335"/>
  <c r="FD110" i="335" s="1"/>
  <c r="EU357" i="338"/>
  <c r="ER363" i="338"/>
  <c r="EQ363" i="338"/>
  <c r="EO362" i="338"/>
  <c r="EM363" i="338"/>
  <c r="EI362" i="338"/>
  <c r="EL363" i="338"/>
  <c r="EO357" i="338"/>
  <c r="EO358" i="338" s="1"/>
  <c r="EI357" i="338"/>
  <c r="EK358" i="338"/>
  <c r="EN358" i="338"/>
  <c r="EL358" i="338"/>
  <c r="EM358" i="338"/>
  <c r="FE23" i="335"/>
  <c r="FA23" i="335"/>
  <c r="EU363" i="338"/>
  <c r="EU358" i="338"/>
  <c r="ET153" i="335"/>
  <c r="ET150" i="335"/>
  <c r="ET130" i="335"/>
  <c r="ET104" i="335"/>
  <c r="ET141" i="335" s="1"/>
  <c r="ES122" i="335"/>
  <c r="ES113" i="335"/>
  <c r="ES120" i="335"/>
  <c r="ER120" i="335"/>
  <c r="EQ120" i="335"/>
  <c r="ET111" i="335"/>
  <c r="ES111" i="335"/>
  <c r="ER111" i="335"/>
  <c r="EQ111" i="335"/>
  <c r="EQ25" i="335"/>
  <c r="ES24" i="335"/>
  <c r="ET32" i="335"/>
  <c r="ET120" i="335"/>
  <c r="ET39" i="3"/>
  <c r="ET41" i="3"/>
  <c r="ET38" i="3"/>
  <c r="ET92" i="3"/>
  <c r="ET16" i="3"/>
  <c r="ET97" i="3"/>
  <c r="ET91" i="3"/>
  <c r="ET84" i="3"/>
  <c r="ET83" i="3"/>
  <c r="ET382" i="335" s="1"/>
  <c r="ET82" i="3"/>
  <c r="ET81" i="3"/>
  <c r="ET80" i="3"/>
  <c r="ET75" i="3"/>
  <c r="ET74" i="3"/>
  <c r="ET73" i="3"/>
  <c r="ET72" i="3"/>
  <c r="ET71" i="3"/>
  <c r="ET70" i="3"/>
  <c r="ET65" i="3"/>
  <c r="ET64" i="3"/>
  <c r="ET63" i="3"/>
  <c r="ET384" i="335" s="1"/>
  <c r="ET60" i="3"/>
  <c r="ET58" i="3"/>
  <c r="ET94" i="3"/>
  <c r="ET33" i="3"/>
  <c r="ET67" i="3"/>
  <c r="ET166" i="336"/>
  <c r="ET156" i="336"/>
  <c r="EU156" i="336" s="1"/>
  <c r="ET136" i="336"/>
  <c r="ET107" i="336"/>
  <c r="ET106" i="336"/>
  <c r="ES193" i="336"/>
  <c r="ES174" i="336" s="1"/>
  <c r="ET40" i="336"/>
  <c r="ET380" i="335" s="1"/>
  <c r="ET34" i="336"/>
  <c r="ET20" i="336"/>
  <c r="ET18" i="336"/>
  <c r="ET45" i="336"/>
  <c r="ET46" i="336" s="1"/>
  <c r="ET30" i="336"/>
  <c r="ET35" i="336" s="1"/>
  <c r="ET43" i="336" s="1"/>
  <c r="ET13" i="336"/>
  <c r="ET15" i="336" s="1"/>
  <c r="ET21" i="336" s="1"/>
  <c r="ET25" i="335"/>
  <c r="ET255" i="338"/>
  <c r="ET254" i="338"/>
  <c r="ES34" i="335"/>
  <c r="ER34" i="335"/>
  <c r="EQ34" i="335"/>
  <c r="ES33" i="335"/>
  <c r="ER33" i="335"/>
  <c r="EQ33" i="335"/>
  <c r="EO32" i="335"/>
  <c r="ER25" i="335"/>
  <c r="ER24" i="335"/>
  <c r="EO23" i="335"/>
  <c r="ET275" i="335"/>
  <c r="ET225" i="335"/>
  <c r="ET191" i="335"/>
  <c r="ET160" i="335"/>
  <c r="ET159" i="335"/>
  <c r="ET158" i="335"/>
  <c r="ET127" i="335"/>
  <c r="ET83" i="335"/>
  <c r="ET75" i="335"/>
  <c r="ET69" i="335"/>
  <c r="ET68" i="335"/>
  <c r="ET62" i="335"/>
  <c r="ET61" i="335"/>
  <c r="ET50" i="335"/>
  <c r="ET48" i="335"/>
  <c r="ET31" i="335"/>
  <c r="ET37" i="335"/>
  <c r="ET79" i="335"/>
  <c r="ET19" i="335"/>
  <c r="ET18" i="335"/>
  <c r="FI97" i="3"/>
  <c r="FI94" i="3"/>
  <c r="FI84" i="3"/>
  <c r="FI80" i="3"/>
  <c r="FI66" i="3"/>
  <c r="FM58" i="3"/>
  <c r="FM7" i="3" s="1"/>
  <c r="FL58" i="3"/>
  <c r="FL7" i="3" s="1"/>
  <c r="FK58" i="3"/>
  <c r="FK7" i="3" s="1"/>
  <c r="FJ58" i="3"/>
  <c r="FJ7" i="3" s="1"/>
  <c r="FI58" i="3"/>
  <c r="FI7" i="3" s="1"/>
  <c r="FI57" i="3"/>
  <c r="FI6" i="3" s="1"/>
  <c r="FJ43" i="3"/>
  <c r="FK43" i="3" s="1"/>
  <c r="FJ40" i="3"/>
  <c r="FJ94" i="3"/>
  <c r="FJ32" i="3"/>
  <c r="FK32" i="3" s="1"/>
  <c r="FJ28" i="3"/>
  <c r="FJ80" i="3" s="1"/>
  <c r="FJ15" i="3"/>
  <c r="FJ66" i="3" s="1"/>
  <c r="FM217" i="336"/>
  <c r="FM216" i="336"/>
  <c r="FL198" i="336"/>
  <c r="FK198" i="336"/>
  <c r="FJ198" i="336"/>
  <c r="FI198" i="336"/>
  <c r="FI36" i="3" s="1"/>
  <c r="FM189" i="336"/>
  <c r="FM185" i="336"/>
  <c r="FL184" i="336"/>
  <c r="FL208" i="336" s="1"/>
  <c r="FK184" i="336"/>
  <c r="FK208" i="336" s="1"/>
  <c r="FJ184" i="336"/>
  <c r="FJ208" i="336" s="1"/>
  <c r="FI184" i="336"/>
  <c r="FI208" i="336" s="1"/>
  <c r="FL183" i="336"/>
  <c r="FM183" i="336" s="1"/>
  <c r="FK183" i="336"/>
  <c r="FJ183" i="336"/>
  <c r="FI183" i="336"/>
  <c r="FM156" i="336"/>
  <c r="FM153" i="336"/>
  <c r="FM151" i="336"/>
  <c r="FJ148" i="336"/>
  <c r="FK148" i="336" s="1"/>
  <c r="FL148" i="336" s="1"/>
  <c r="FJ140" i="336"/>
  <c r="FK140" i="336" s="1"/>
  <c r="FL140" i="336" s="1"/>
  <c r="FI53" i="336"/>
  <c r="FJ53" i="336" s="1"/>
  <c r="FM25" i="336"/>
  <c r="FM6" i="336"/>
  <c r="FL6" i="336"/>
  <c r="FK6" i="336"/>
  <c r="FJ6" i="336"/>
  <c r="FI6" i="336"/>
  <c r="FI5" i="336"/>
  <c r="FH464" i="335"/>
  <c r="FM455" i="335"/>
  <c r="FL448" i="335"/>
  <c r="FK448" i="335"/>
  <c r="FM448" i="335" s="1"/>
  <c r="FJ448" i="335"/>
  <c r="FI448" i="335"/>
  <c r="FL422" i="335"/>
  <c r="FI422" i="335"/>
  <c r="FM422" i="335" s="1"/>
  <c r="FL421" i="335"/>
  <c r="FK421" i="335"/>
  <c r="FJ421" i="335"/>
  <c r="FI421" i="335"/>
  <c r="FL420" i="335"/>
  <c r="FK420" i="335"/>
  <c r="FJ420" i="335"/>
  <c r="FI420" i="335"/>
  <c r="FL419" i="335"/>
  <c r="FK419" i="335"/>
  <c r="FJ419" i="335"/>
  <c r="FI419" i="335"/>
  <c r="FL418" i="335"/>
  <c r="FK418" i="335"/>
  <c r="FJ418" i="335"/>
  <c r="FI418" i="335"/>
  <c r="FM418" i="335" s="1"/>
  <c r="FL417" i="335"/>
  <c r="FK417" i="335"/>
  <c r="FJ417" i="335"/>
  <c r="FI417" i="335"/>
  <c r="FL416" i="335"/>
  <c r="FK416" i="335"/>
  <c r="FJ416" i="335"/>
  <c r="FI416" i="335"/>
  <c r="FI415" i="335"/>
  <c r="FL414" i="335"/>
  <c r="FL413" i="335"/>
  <c r="FK413" i="335"/>
  <c r="FM413" i="335" s="1"/>
  <c r="FJ413" i="335"/>
  <c r="FI413" i="335"/>
  <c r="FL412" i="335"/>
  <c r="FK412" i="335"/>
  <c r="FJ412" i="335"/>
  <c r="FI412" i="335"/>
  <c r="FL411" i="335"/>
  <c r="FK411" i="335"/>
  <c r="FJ411" i="335"/>
  <c r="FI411" i="335"/>
  <c r="FL408" i="335"/>
  <c r="FK408" i="335"/>
  <c r="FJ408" i="335"/>
  <c r="FI408" i="335"/>
  <c r="FM396" i="335"/>
  <c r="FL396" i="335"/>
  <c r="FK396" i="335"/>
  <c r="FJ396" i="335"/>
  <c r="FI396" i="335"/>
  <c r="FK389" i="335"/>
  <c r="FJ389" i="335"/>
  <c r="FI389" i="335"/>
  <c r="FK388" i="335"/>
  <c r="FJ388" i="335"/>
  <c r="FI388" i="335"/>
  <c r="FM275" i="335"/>
  <c r="FL275" i="335"/>
  <c r="FK275" i="335"/>
  <c r="FJ275" i="335"/>
  <c r="FI275" i="335"/>
  <c r="FI274" i="335"/>
  <c r="FM164" i="335"/>
  <c r="FM161" i="335"/>
  <c r="FJ61" i="335"/>
  <c r="FK61" i="335" s="1"/>
  <c r="ET48" i="11"/>
  <c r="EW77" i="335"/>
  <c r="FK40" i="3"/>
  <c r="FK94" i="3" s="1"/>
  <c r="FK28" i="3"/>
  <c r="FK80" i="3" s="1"/>
  <c r="EZ26" i="335"/>
  <c r="EZ113" i="335" s="1"/>
  <c r="ET87" i="335"/>
  <c r="EQ24" i="335"/>
  <c r="ES25" i="335"/>
  <c r="EU32" i="335"/>
  <c r="ET33" i="335"/>
  <c r="ET34" i="335"/>
  <c r="ET85" i="3"/>
  <c r="ET93" i="3"/>
  <c r="ET25" i="3"/>
  <c r="ET51" i="3" s="1"/>
  <c r="FK15" i="3"/>
  <c r="FK66" i="3" s="1"/>
  <c r="EU23" i="335"/>
  <c r="ET24" i="335"/>
  <c r="ET98" i="335"/>
  <c r="ET139" i="335"/>
  <c r="ET167" i="335"/>
  <c r="FK422" i="335"/>
  <c r="FJ422" i="335"/>
  <c r="FL40" i="3"/>
  <c r="FJ97" i="3"/>
  <c r="FM419" i="335"/>
  <c r="FL28" i="3"/>
  <c r="FM28" i="3" s="1"/>
  <c r="ET45" i="3"/>
  <c r="ET96" i="335"/>
  <c r="FL94" i="3"/>
  <c r="FM40" i="3"/>
  <c r="FF11" i="338"/>
  <c r="FE11" i="338"/>
  <c r="FD11" i="338"/>
  <c r="FC11" i="338"/>
  <c r="EZ11" i="338"/>
  <c r="EY11" i="338"/>
  <c r="EX11" i="338"/>
  <c r="EY35" i="338"/>
  <c r="ET486" i="338"/>
  <c r="ET485" i="338"/>
  <c r="EQ255" i="338"/>
  <c r="ES165" i="335"/>
  <c r="ES90" i="3"/>
  <c r="ES185" i="336" s="1"/>
  <c r="ES187" i="336" s="1"/>
  <c r="EU239" i="335"/>
  <c r="ES44" i="11"/>
  <c r="EY53" i="11" s="1"/>
  <c r="ES26" i="11"/>
  <c r="ES32" i="11" s="1"/>
  <c r="ES25" i="11"/>
  <c r="ES31" i="11" s="1"/>
  <c r="ES24" i="11"/>
  <c r="ES30" i="11"/>
  <c r="ES320" i="338"/>
  <c r="ES254" i="338"/>
  <c r="ER241" i="338"/>
  <c r="ES97" i="3"/>
  <c r="ES94" i="3"/>
  <c r="ES93" i="3"/>
  <c r="ES92" i="3"/>
  <c r="ES91" i="3"/>
  <c r="ES84" i="3"/>
  <c r="ES83" i="3"/>
  <c r="ES82" i="3"/>
  <c r="ES81" i="3"/>
  <c r="ES80" i="3"/>
  <c r="ES75" i="3"/>
  <c r="ES74" i="3"/>
  <c r="ES73" i="3"/>
  <c r="ES72" i="3"/>
  <c r="ES71" i="3"/>
  <c r="ES70" i="3"/>
  <c r="ES67" i="3"/>
  <c r="ES65" i="3"/>
  <c r="ES64" i="3"/>
  <c r="ES63" i="3"/>
  <c r="ES60" i="3"/>
  <c r="ES95" i="3"/>
  <c r="ER206" i="336"/>
  <c r="ER195" i="336"/>
  <c r="ER193" i="336"/>
  <c r="ER174" i="336" s="1"/>
  <c r="ER171" i="336"/>
  <c r="ER166" i="336"/>
  <c r="ES136" i="336"/>
  <c r="ES107" i="336"/>
  <c r="ES106" i="336"/>
  <c r="ES156" i="336"/>
  <c r="ER98" i="336"/>
  <c r="ER99" i="336" s="1"/>
  <c r="ES191" i="335"/>
  <c r="ES50" i="335"/>
  <c r="ES158" i="338"/>
  <c r="ES51" i="338"/>
  <c r="EU51" i="338" s="1"/>
  <c r="ES40" i="3"/>
  <c r="ES39" i="3"/>
  <c r="ES16" i="3"/>
  <c r="ES34" i="336"/>
  <c r="ES20" i="336"/>
  <c r="ES18" i="336"/>
  <c r="ER165" i="335"/>
  <c r="ES158" i="335"/>
  <c r="ES153" i="335"/>
  <c r="ET320" i="335"/>
  <c r="ES150" i="335"/>
  <c r="ES147" i="335"/>
  <c r="ET318" i="335"/>
  <c r="ES124" i="335"/>
  <c r="ES138" i="335"/>
  <c r="ES135" i="335"/>
  <c r="ES132" i="335"/>
  <c r="ES126" i="335"/>
  <c r="ES127" i="335"/>
  <c r="ES116" i="335"/>
  <c r="ES136" i="335"/>
  <c r="ES61" i="335"/>
  <c r="ES18" i="335"/>
  <c r="ES30" i="335"/>
  <c r="ES36" i="335"/>
  <c r="EQ267" i="335"/>
  <c r="EQ268" i="335"/>
  <c r="ES117" i="335"/>
  <c r="ES107" i="335"/>
  <c r="ET319" i="335"/>
  <c r="ES131" i="336"/>
  <c r="FE131" i="336" s="1"/>
  <c r="FK131" i="336" s="1"/>
  <c r="ES129" i="335"/>
  <c r="ES130" i="335" s="1"/>
  <c r="ES133" i="335"/>
  <c r="ES486" i="338"/>
  <c r="ES485" i="338"/>
  <c r="ER253" i="338"/>
  <c r="FC253" i="338"/>
  <c r="FI253" i="338" s="1"/>
  <c r="EZ253" i="338"/>
  <c r="EX75" i="335"/>
  <c r="ER75" i="335"/>
  <c r="ES75" i="335"/>
  <c r="ER44" i="11"/>
  <c r="ER26" i="11"/>
  <c r="ER32" i="11" s="1"/>
  <c r="ER25" i="11"/>
  <c r="ER24" i="11"/>
  <c r="ER30" i="11" s="1"/>
  <c r="ER352" i="338"/>
  <c r="ER348" i="338"/>
  <c r="ER320" i="338"/>
  <c r="ER391" i="335"/>
  <c r="ER184" i="335"/>
  <c r="ER147" i="335"/>
  <c r="ER153" i="335"/>
  <c r="ER150" i="335"/>
  <c r="ER138" i="335"/>
  <c r="ER135" i="335"/>
  <c r="ER132" i="335"/>
  <c r="ER126" i="335"/>
  <c r="ER116" i="335"/>
  <c r="ER40" i="3"/>
  <c r="ER94" i="3"/>
  <c r="ER90" i="3"/>
  <c r="ER39" i="3"/>
  <c r="ER16" i="3"/>
  <c r="ER97" i="3"/>
  <c r="ER93" i="3"/>
  <c r="ER91" i="3"/>
  <c r="ER84" i="3"/>
  <c r="ER83" i="3"/>
  <c r="ER82" i="3"/>
  <c r="ER81" i="3"/>
  <c r="ER80" i="3"/>
  <c r="ER85" i="3" s="1"/>
  <c r="ER75" i="3"/>
  <c r="ER74" i="3"/>
  <c r="ER73" i="3"/>
  <c r="ER72" i="3"/>
  <c r="ER71" i="3"/>
  <c r="ER70" i="3"/>
  <c r="ER67" i="3"/>
  <c r="ER66" i="3"/>
  <c r="ER65" i="3"/>
  <c r="ER64" i="3"/>
  <c r="ER63" i="3"/>
  <c r="ER60" i="3"/>
  <c r="ER76" i="3" s="1"/>
  <c r="ER58" i="3"/>
  <c r="ER7" i="3" s="1"/>
  <c r="ER92" i="3"/>
  <c r="ER33" i="3"/>
  <c r="ER25" i="3"/>
  <c r="ER51" i="3" s="1"/>
  <c r="ER40" i="336"/>
  <c r="ER34" i="336"/>
  <c r="ER20" i="336"/>
  <c r="ER18" i="336"/>
  <c r="EQ20" i="336"/>
  <c r="EQ18" i="336"/>
  <c r="ER13" i="336"/>
  <c r="ER15" i="336" s="1"/>
  <c r="ER21" i="336" s="1"/>
  <c r="ER136" i="336"/>
  <c r="ER131" i="336"/>
  <c r="ER107" i="336"/>
  <c r="ER106" i="336"/>
  <c r="ER45" i="336"/>
  <c r="ER46" i="336" s="1"/>
  <c r="ER30" i="336"/>
  <c r="ER35" i="336" s="1"/>
  <c r="ER122" i="335"/>
  <c r="ER113" i="335"/>
  <c r="ER396" i="335"/>
  <c r="ER390" i="335"/>
  <c r="ER389" i="335"/>
  <c r="ER388" i="335"/>
  <c r="ER309" i="335"/>
  <c r="ER308" i="335"/>
  <c r="ER284" i="335"/>
  <c r="ER283" i="335"/>
  <c r="ER281" i="335"/>
  <c r="ER275" i="335"/>
  <c r="ER225" i="335"/>
  <c r="ER191" i="335"/>
  <c r="ER180" i="335"/>
  <c r="ER179" i="335"/>
  <c r="ER159" i="335"/>
  <c r="ER158" i="335"/>
  <c r="ER136" i="335"/>
  <c r="ER133" i="335"/>
  <c r="ER127" i="335"/>
  <c r="ER117" i="335"/>
  <c r="ER98" i="335"/>
  <c r="ER83" i="335"/>
  <c r="ER79" i="335"/>
  <c r="ER69" i="335"/>
  <c r="ER68" i="335"/>
  <c r="ER62" i="335"/>
  <c r="ER61" i="335"/>
  <c r="ER47" i="335"/>
  <c r="ER31" i="335"/>
  <c r="ER30" i="335"/>
  <c r="ER36" i="335"/>
  <c r="ER19" i="335"/>
  <c r="ER18" i="335"/>
  <c r="EX77" i="335"/>
  <c r="EX286" i="335"/>
  <c r="EX311" i="335"/>
  <c r="EX76" i="335"/>
  <c r="EX139" i="335"/>
  <c r="ER129" i="335"/>
  <c r="ER130" i="335" s="1"/>
  <c r="ER107" i="335"/>
  <c r="ER124" i="335"/>
  <c r="FD253" i="338"/>
  <c r="EX255" i="338"/>
  <c r="ES87" i="335"/>
  <c r="ES48" i="11"/>
  <c r="FE253" i="338"/>
  <c r="EY255" i="338"/>
  <c r="FF253" i="338"/>
  <c r="FL253" i="338" s="1"/>
  <c r="EZ255" i="338"/>
  <c r="FC255" i="338"/>
  <c r="ER185" i="336"/>
  <c r="ES77" i="335"/>
  <c r="ES139" i="335"/>
  <c r="ER48" i="11"/>
  <c r="ER31" i="11"/>
  <c r="ER167" i="335"/>
  <c r="ER95" i="3"/>
  <c r="ER41" i="3"/>
  <c r="ER104" i="335"/>
  <c r="ER87" i="335"/>
  <c r="ER139" i="335"/>
  <c r="FE255" i="338"/>
  <c r="FK253" i="338"/>
  <c r="FK75" i="335" s="1"/>
  <c r="FD255" i="338"/>
  <c r="FJ253" i="338"/>
  <c r="ER198" i="336"/>
  <c r="ER187" i="336"/>
  <c r="FK255" i="338"/>
  <c r="FJ75" i="335"/>
  <c r="FJ151" i="335"/>
  <c r="FJ48" i="11"/>
  <c r="EQ19" i="11"/>
  <c r="EQ20" i="11"/>
  <c r="ES466" i="338"/>
  <c r="EW157" i="338"/>
  <c r="ET157" i="338"/>
  <c r="ES157" i="338"/>
  <c r="ER157" i="338"/>
  <c r="EW31" i="338"/>
  <c r="FA31" i="338" s="1"/>
  <c r="EW93" i="338"/>
  <c r="FA93" i="338" s="1"/>
  <c r="ET31" i="338"/>
  <c r="ET93" i="338"/>
  <c r="ER31" i="338"/>
  <c r="ER93" i="338"/>
  <c r="ES31" i="338"/>
  <c r="ES93" i="338"/>
  <c r="EU93" i="338" s="1"/>
  <c r="EX23" i="338"/>
  <c r="EX334" i="338" s="1"/>
  <c r="FG31" i="338"/>
  <c r="EU31" i="338"/>
  <c r="EU158" i="338"/>
  <c r="ES32" i="338"/>
  <c r="FG158" i="338"/>
  <c r="FG157" i="338"/>
  <c r="FG156" i="338"/>
  <c r="FG155" i="338"/>
  <c r="FA157" i="338"/>
  <c r="EU157" i="338"/>
  <c r="FG32" i="338"/>
  <c r="ET32" i="338"/>
  <c r="FA158" i="338"/>
  <c r="EX32" i="338"/>
  <c r="EW32" i="338"/>
  <c r="DU605" i="338"/>
  <c r="DT605" i="338"/>
  <c r="DS605" i="338"/>
  <c r="EA605" i="338"/>
  <c r="DZ605" i="338"/>
  <c r="DY605" i="338"/>
  <c r="DW554" i="338"/>
  <c r="DV554" i="338"/>
  <c r="DV553" i="338"/>
  <c r="EB555" i="338"/>
  <c r="EB554" i="338"/>
  <c r="EB553" i="338"/>
  <c r="EH555" i="338"/>
  <c r="EH554" i="338"/>
  <c r="EN555" i="338"/>
  <c r="EN554" i="338"/>
  <c r="DU556" i="338"/>
  <c r="DT556" i="338"/>
  <c r="DS556" i="338"/>
  <c r="EC556" i="338"/>
  <c r="EA556" i="338"/>
  <c r="DZ556" i="338"/>
  <c r="DY556" i="338"/>
  <c r="EN593" i="338"/>
  <c r="EN592" i="338"/>
  <c r="EN591" i="338"/>
  <c r="EH593" i="338"/>
  <c r="EH592" i="338"/>
  <c r="EB593" i="338"/>
  <c r="EB592" i="338"/>
  <c r="DW594" i="338"/>
  <c r="EC594" i="338"/>
  <c r="EA594" i="338"/>
  <c r="DZ594" i="338"/>
  <c r="DY594" i="338"/>
  <c r="EI594" i="338"/>
  <c r="EG594" i="338"/>
  <c r="EF594" i="338"/>
  <c r="EE594" i="338"/>
  <c r="EO594" i="338"/>
  <c r="EM594" i="338"/>
  <c r="EL594" i="338"/>
  <c r="EK594" i="338"/>
  <c r="EQ594" i="338"/>
  <c r="EQ595" i="338" s="1"/>
  <c r="EQ579" i="338"/>
  <c r="EQ672" i="338"/>
  <c r="EQ587" i="338"/>
  <c r="EQ588" i="338" s="1"/>
  <c r="EQ580" i="338"/>
  <c r="ET580" i="338" s="1"/>
  <c r="EQ575" i="338"/>
  <c r="EQ576" i="338" s="1"/>
  <c r="EQ569" i="338"/>
  <c r="EQ570" i="338" s="1"/>
  <c r="EQ562" i="338"/>
  <c r="EQ563" i="338" s="1"/>
  <c r="ET579" i="338"/>
  <c r="EN594" i="338"/>
  <c r="DW556" i="338"/>
  <c r="DV556" i="338"/>
  <c r="EB556" i="338"/>
  <c r="EQ206" i="336"/>
  <c r="EQ195" i="336"/>
  <c r="EQ171" i="336"/>
  <c r="EA241" i="338"/>
  <c r="DZ241" i="338"/>
  <c r="DZ245" i="338" s="1"/>
  <c r="DY241" i="338"/>
  <c r="DY245" i="338" s="1"/>
  <c r="EL241" i="338"/>
  <c r="EL245" i="338" s="1"/>
  <c r="EM241" i="338"/>
  <c r="EF241" i="338"/>
  <c r="EF245" i="338" s="1"/>
  <c r="EE241" i="338"/>
  <c r="EE245" i="338" s="1"/>
  <c r="EG241" i="338"/>
  <c r="EK241" i="338"/>
  <c r="EQ241" i="338"/>
  <c r="EQ245" i="338" s="1"/>
  <c r="EQ98" i="336"/>
  <c r="EQ99" i="336" s="1"/>
  <c r="FL151" i="335"/>
  <c r="EK21" i="11"/>
  <c r="EQ26" i="11"/>
  <c r="EQ32" i="11" s="1"/>
  <c r="EQ25" i="11"/>
  <c r="EQ31" i="11" s="1"/>
  <c r="EQ24" i="11"/>
  <c r="EQ30" i="11" s="1"/>
  <c r="EQ410" i="338"/>
  <c r="EQ408" i="338"/>
  <c r="EQ407" i="338"/>
  <c r="EQ398" i="338"/>
  <c r="EQ397" i="338"/>
  <c r="EQ352" i="338"/>
  <c r="EQ348" i="338"/>
  <c r="EQ320" i="338"/>
  <c r="EQ97" i="3"/>
  <c r="EQ94" i="3"/>
  <c r="EQ93" i="3"/>
  <c r="EQ92" i="3"/>
  <c r="EQ95" i="3" s="1"/>
  <c r="EQ91" i="3"/>
  <c r="EQ90" i="3"/>
  <c r="EQ84" i="3"/>
  <c r="EQ83" i="3"/>
  <c r="EQ85" i="3" s="1"/>
  <c r="EQ82" i="3"/>
  <c r="EQ81" i="3"/>
  <c r="EQ80" i="3"/>
  <c r="EQ75" i="3"/>
  <c r="EQ74" i="3"/>
  <c r="EQ73" i="3"/>
  <c r="EQ72" i="3"/>
  <c r="EQ71" i="3"/>
  <c r="EQ70" i="3"/>
  <c r="EQ66" i="3"/>
  <c r="EQ65" i="3"/>
  <c r="EQ64" i="3"/>
  <c r="EQ63" i="3"/>
  <c r="EQ60" i="3"/>
  <c r="EQ16" i="3"/>
  <c r="EQ67" i="3"/>
  <c r="EQ39" i="3"/>
  <c r="EQ38" i="3"/>
  <c r="EQ58" i="3"/>
  <c r="EQ57" i="3"/>
  <c r="EQ33" i="3"/>
  <c r="EQ156" i="336"/>
  <c r="EQ136" i="336"/>
  <c r="EQ107" i="336"/>
  <c r="EQ106" i="336"/>
  <c r="EQ40" i="336"/>
  <c r="EQ282" i="338"/>
  <c r="EW320" i="338"/>
  <c r="EW282" i="338"/>
  <c r="EQ185" i="336"/>
  <c r="EQ198" i="336" s="1"/>
  <c r="EQ412" i="338"/>
  <c r="EQ381" i="335" s="1"/>
  <c r="EQ25" i="3"/>
  <c r="EQ51" i="3" s="1"/>
  <c r="EQ87" i="3" s="1"/>
  <c r="EQ41" i="3"/>
  <c r="EQ34" i="336"/>
  <c r="EQ45" i="336"/>
  <c r="EQ46" i="336" s="1"/>
  <c r="EQ30" i="336"/>
  <c r="EQ35" i="336" s="1"/>
  <c r="EQ43" i="336" s="1"/>
  <c r="EQ15" i="336"/>
  <c r="EQ396" i="335"/>
  <c r="EQ389" i="335"/>
  <c r="EQ388" i="335"/>
  <c r="EQ309" i="335"/>
  <c r="EQ308" i="335"/>
  <c r="EQ283" i="335"/>
  <c r="EQ275" i="335"/>
  <c r="EQ274" i="335"/>
  <c r="EQ225" i="335"/>
  <c r="EQ184" i="335"/>
  <c r="EQ153" i="335"/>
  <c r="EQ150" i="335"/>
  <c r="ET370" i="335"/>
  <c r="EQ147" i="335"/>
  <c r="ER318" i="335"/>
  <c r="EQ116" i="335"/>
  <c r="EQ138" i="335"/>
  <c r="EQ135" i="335"/>
  <c r="EQ136" i="335"/>
  <c r="EQ132" i="335"/>
  <c r="EQ126" i="335"/>
  <c r="EQ122" i="335"/>
  <c r="EQ113" i="335"/>
  <c r="EQ46" i="335"/>
  <c r="EQ35" i="335"/>
  <c r="EQ191" i="335"/>
  <c r="EQ176" i="335"/>
  <c r="EQ214" i="335" s="1"/>
  <c r="EQ165" i="335"/>
  <c r="EQ464" i="335" s="1"/>
  <c r="EQ159" i="335"/>
  <c r="EQ158" i="335"/>
  <c r="EQ75" i="335"/>
  <c r="EQ62" i="335"/>
  <c r="EQ61" i="335"/>
  <c r="EQ30" i="335"/>
  <c r="EQ19" i="335"/>
  <c r="EQ18" i="335"/>
  <c r="ER77" i="335"/>
  <c r="EW76" i="335"/>
  <c r="EQ117" i="335"/>
  <c r="EQ107" i="335"/>
  <c r="EQ20" i="335"/>
  <c r="EQ26" i="335"/>
  <c r="EQ131" i="336"/>
  <c r="EQ129" i="335"/>
  <c r="EQ130" i="335" s="1"/>
  <c r="EQ127" i="335"/>
  <c r="ER37" i="335"/>
  <c r="EQ133" i="335"/>
  <c r="ER306" i="335"/>
  <c r="ER50" i="335"/>
  <c r="ER48" i="335"/>
  <c r="ER319" i="335"/>
  <c r="EQ611" i="338"/>
  <c r="ER320" i="335"/>
  <c r="EQ48" i="11"/>
  <c r="ER311" i="335"/>
  <c r="EQ79" i="335"/>
  <c r="EQ104" i="335"/>
  <c r="EQ141" i="335" s="1"/>
  <c r="EQ44" i="11"/>
  <c r="EQ166" i="336"/>
  <c r="EQ98" i="335"/>
  <c r="EQ610" i="338"/>
  <c r="EQ139" i="335"/>
  <c r="EQ87" i="335"/>
  <c r="ER89" i="335" s="1"/>
  <c r="EQ167" i="335"/>
  <c r="EQ69" i="335"/>
  <c r="EQ124" i="335"/>
  <c r="EQ83" i="335"/>
  <c r="EQ450" i="335"/>
  <c r="EQ443" i="335"/>
  <c r="EQ438" i="335"/>
  <c r="EQ433" i="335"/>
  <c r="EQ428" i="335"/>
  <c r="EN428" i="335"/>
  <c r="EM428" i="335"/>
  <c r="EL428" i="335"/>
  <c r="EK428" i="335"/>
  <c r="EN427" i="335"/>
  <c r="EM427" i="335"/>
  <c r="EL427" i="335"/>
  <c r="EK427" i="335"/>
  <c r="EH428" i="335"/>
  <c r="EG428" i="335"/>
  <c r="EF428" i="335"/>
  <c r="EE428" i="335"/>
  <c r="EI428" i="335" s="1"/>
  <c r="EH427" i="335"/>
  <c r="EG427" i="335"/>
  <c r="EF427" i="335"/>
  <c r="EE427" i="335"/>
  <c r="EB428" i="335"/>
  <c r="EA428" i="335"/>
  <c r="DZ428" i="335"/>
  <c r="DY428" i="335"/>
  <c r="EC428" i="335" s="1"/>
  <c r="EB427" i="335"/>
  <c r="EA427" i="335"/>
  <c r="DZ427" i="335"/>
  <c r="DY427" i="335"/>
  <c r="DV428" i="335"/>
  <c r="DU428" i="335"/>
  <c r="DT428" i="335"/>
  <c r="DS428" i="335"/>
  <c r="DV427" i="335"/>
  <c r="DU427" i="335"/>
  <c r="DT427" i="335"/>
  <c r="DS427" i="335"/>
  <c r="DW427" i="335" s="1"/>
  <c r="DP428" i="335"/>
  <c r="DO428" i="335"/>
  <c r="DN428" i="335"/>
  <c r="DM428" i="335"/>
  <c r="DQ428" i="335" s="1"/>
  <c r="DP427" i="335"/>
  <c r="DO427" i="335"/>
  <c r="DN427" i="335"/>
  <c r="DM427" i="335"/>
  <c r="DJ428" i="335"/>
  <c r="DI428" i="335"/>
  <c r="DH428" i="335"/>
  <c r="DJ427" i="335"/>
  <c r="DI427" i="335"/>
  <c r="DH427" i="335"/>
  <c r="DG428" i="335"/>
  <c r="DG427" i="335"/>
  <c r="DK427" i="335" s="1"/>
  <c r="EN426" i="335"/>
  <c r="EM426" i="335"/>
  <c r="EL426" i="335"/>
  <c r="EK426" i="335"/>
  <c r="DV426" i="335"/>
  <c r="DU426" i="335"/>
  <c r="DT426" i="335"/>
  <c r="DS426" i="335"/>
  <c r="DP426" i="335"/>
  <c r="DO426" i="335"/>
  <c r="DN426" i="335"/>
  <c r="DM426" i="335"/>
  <c r="DJ426" i="335"/>
  <c r="DI426" i="335"/>
  <c r="DH426" i="335"/>
  <c r="DG426" i="335"/>
  <c r="EH424" i="335"/>
  <c r="EG424" i="335"/>
  <c r="EF424" i="335"/>
  <c r="EE424" i="335"/>
  <c r="EB424" i="335"/>
  <c r="EA424" i="335"/>
  <c r="DZ424" i="335"/>
  <c r="DY424" i="335"/>
  <c r="DV424" i="335"/>
  <c r="DU424" i="335"/>
  <c r="DT424" i="335"/>
  <c r="DS424" i="335"/>
  <c r="DP424" i="335"/>
  <c r="DO424" i="335"/>
  <c r="DN424" i="335"/>
  <c r="DM424" i="335"/>
  <c r="DJ424" i="335"/>
  <c r="DI424" i="335"/>
  <c r="DH424" i="335"/>
  <c r="DG424" i="335"/>
  <c r="EN450" i="335"/>
  <c r="EM450" i="335"/>
  <c r="EL450" i="335"/>
  <c r="EK450" i="335"/>
  <c r="EH450" i="335"/>
  <c r="EG450" i="335"/>
  <c r="EF450" i="335"/>
  <c r="EE450" i="335"/>
  <c r="EB450" i="335"/>
  <c r="EA450" i="335"/>
  <c r="DZ450" i="335"/>
  <c r="DY450" i="335"/>
  <c r="DV450" i="335"/>
  <c r="DU450" i="335"/>
  <c r="DT450" i="335"/>
  <c r="DS450" i="335"/>
  <c r="DP450" i="335"/>
  <c r="DO450" i="335"/>
  <c r="DN450" i="335"/>
  <c r="DQ450" i="335" s="1"/>
  <c r="DM450" i="335"/>
  <c r="DJ450" i="335"/>
  <c r="DI450" i="335"/>
  <c r="DH450" i="335"/>
  <c r="DG450" i="335"/>
  <c r="A450" i="335"/>
  <c r="EN443" i="335"/>
  <c r="EM443" i="335"/>
  <c r="EL443" i="335"/>
  <c r="EK443" i="335"/>
  <c r="EH443" i="335"/>
  <c r="EG443" i="335"/>
  <c r="EF443" i="335"/>
  <c r="EE443" i="335"/>
  <c r="EB443" i="335"/>
  <c r="EA443" i="335"/>
  <c r="DZ443" i="335"/>
  <c r="DY443" i="335"/>
  <c r="DV443" i="335"/>
  <c r="DU443" i="335"/>
  <c r="DW443" i="335" s="1"/>
  <c r="DT443" i="335"/>
  <c r="DS443" i="335"/>
  <c r="DP443" i="335"/>
  <c r="DO443" i="335"/>
  <c r="DN443" i="335"/>
  <c r="DM443" i="335"/>
  <c r="DJ443" i="335"/>
  <c r="DI443" i="335"/>
  <c r="DH443" i="335"/>
  <c r="DG443" i="335"/>
  <c r="A443" i="335"/>
  <c r="EN438" i="335"/>
  <c r="EM438" i="335"/>
  <c r="EL438" i="335"/>
  <c r="EK438" i="335"/>
  <c r="EH438" i="335"/>
  <c r="EG438" i="335"/>
  <c r="EF438" i="335"/>
  <c r="EE438" i="335"/>
  <c r="EB438" i="335"/>
  <c r="EA438" i="335"/>
  <c r="DZ438" i="335"/>
  <c r="DY438" i="335"/>
  <c r="DV438" i="335"/>
  <c r="DU438" i="335"/>
  <c r="DT438" i="335"/>
  <c r="DS438" i="335"/>
  <c r="DP438" i="335"/>
  <c r="DO438" i="335"/>
  <c r="DN438" i="335"/>
  <c r="DM438" i="335"/>
  <c r="DJ438" i="335"/>
  <c r="DI438" i="335"/>
  <c r="DH438" i="335"/>
  <c r="DG438" i="335"/>
  <c r="DD438" i="335"/>
  <c r="DC438" i="335"/>
  <c r="DB438" i="335"/>
  <c r="DA438" i="335"/>
  <c r="A438" i="335"/>
  <c r="EN433" i="335"/>
  <c r="EM433" i="335"/>
  <c r="EL433" i="335"/>
  <c r="EK433" i="335"/>
  <c r="EH433" i="335"/>
  <c r="EG433" i="335"/>
  <c r="EF433" i="335"/>
  <c r="EE433" i="335"/>
  <c r="EB433" i="335"/>
  <c r="EA433" i="335"/>
  <c r="DZ433" i="335"/>
  <c r="DY433" i="335"/>
  <c r="DV433" i="335"/>
  <c r="DU433" i="335"/>
  <c r="DT433" i="335"/>
  <c r="DS433" i="335"/>
  <c r="DP433" i="335"/>
  <c r="DO433" i="335"/>
  <c r="DN433" i="335"/>
  <c r="DM433" i="335"/>
  <c r="DJ433" i="335"/>
  <c r="DI433" i="335"/>
  <c r="DH433" i="335"/>
  <c r="DG433" i="335"/>
  <c r="A433" i="335"/>
  <c r="ER89" i="336"/>
  <c r="ES89" i="336" s="1"/>
  <c r="ER82" i="336"/>
  <c r="ES82" i="336" s="1"/>
  <c r="ER77" i="336"/>
  <c r="ES77" i="336" s="1"/>
  <c r="ER72" i="336"/>
  <c r="ES72" i="336" s="1"/>
  <c r="EQ66" i="336"/>
  <c r="ER66" i="336" s="1"/>
  <c r="EQ65" i="336"/>
  <c r="ER65" i="336" s="1"/>
  <c r="DY65" i="336"/>
  <c r="DY426" i="335"/>
  <c r="DD64" i="336"/>
  <c r="DG64" i="336" s="1"/>
  <c r="EK63" i="336"/>
  <c r="EK424" i="335" s="1"/>
  <c r="DB62" i="336"/>
  <c r="DC62" i="336" s="1"/>
  <c r="DD62" i="336" s="1"/>
  <c r="DG62" i="336" s="1"/>
  <c r="DZ65" i="336"/>
  <c r="EA65" i="336" s="1"/>
  <c r="EL63" i="336"/>
  <c r="EL424" i="335" s="1"/>
  <c r="EI438" i="335"/>
  <c r="EC586" i="338"/>
  <c r="EC605" i="338" s="1"/>
  <c r="EO672" i="338"/>
  <c r="EO595" i="338"/>
  <c r="EO580" i="338"/>
  <c r="EO579" i="338"/>
  <c r="EO575" i="338"/>
  <c r="EO576" i="338" s="1"/>
  <c r="EO569" i="338"/>
  <c r="EO570" i="338" s="1"/>
  <c r="EO562" i="338"/>
  <c r="EO563" i="338" s="1"/>
  <c r="EN731" i="338"/>
  <c r="EN672" i="338"/>
  <c r="EN574" i="338"/>
  <c r="EN573" i="338"/>
  <c r="EN568" i="338"/>
  <c r="EN567" i="338"/>
  <c r="EN566" i="338"/>
  <c r="EN561" i="338"/>
  <c r="EN560" i="338"/>
  <c r="EN279" i="338"/>
  <c r="EO455" i="335"/>
  <c r="EU455" i="335"/>
  <c r="FA455" i="335"/>
  <c r="FG455" i="335"/>
  <c r="FF448" i="335"/>
  <c r="FE448" i="335"/>
  <c r="FD448" i="335"/>
  <c r="FC448" i="335"/>
  <c r="FF422" i="335"/>
  <c r="FF421" i="335"/>
  <c r="FE421" i="335"/>
  <c r="FD421" i="335"/>
  <c r="FC421" i="335"/>
  <c r="FF420" i="335"/>
  <c r="FE420" i="335"/>
  <c r="FD420" i="335"/>
  <c r="FC420" i="335"/>
  <c r="FF419" i="335"/>
  <c r="FE419" i="335"/>
  <c r="FD419" i="335"/>
  <c r="FC419" i="335"/>
  <c r="FF418" i="335"/>
  <c r="FE418" i="335"/>
  <c r="FD418" i="335"/>
  <c r="FC418" i="335"/>
  <c r="FF417" i="335"/>
  <c r="FE417" i="335"/>
  <c r="FD417" i="335"/>
  <c r="FG417" i="335" s="1"/>
  <c r="FC417" i="335"/>
  <c r="FF416" i="335"/>
  <c r="FE416" i="335"/>
  <c r="FD416" i="335"/>
  <c r="FC416" i="335"/>
  <c r="FF415" i="335"/>
  <c r="FE415" i="335"/>
  <c r="FD415" i="335"/>
  <c r="FC415" i="335"/>
  <c r="FF414" i="335"/>
  <c r="FF413" i="335"/>
  <c r="FE413" i="335"/>
  <c r="FD413" i="335"/>
  <c r="FC413" i="335"/>
  <c r="FF412" i="335"/>
  <c r="FE412" i="335"/>
  <c r="FG412" i="335" s="1"/>
  <c r="FD412" i="335"/>
  <c r="FC412" i="335"/>
  <c r="FF411" i="335"/>
  <c r="FE411" i="335"/>
  <c r="FD411" i="335"/>
  <c r="FC411" i="335"/>
  <c r="EZ448" i="335"/>
  <c r="EY448" i="335"/>
  <c r="EX448" i="335"/>
  <c r="EW448" i="335"/>
  <c r="EZ420" i="335"/>
  <c r="EY420" i="335"/>
  <c r="EZ419" i="335"/>
  <c r="EY419" i="335"/>
  <c r="EX419" i="335"/>
  <c r="EW419" i="335"/>
  <c r="EZ418" i="335"/>
  <c r="EY418" i="335"/>
  <c r="EX418" i="335"/>
  <c r="EW418" i="335"/>
  <c r="EZ417" i="335"/>
  <c r="EY417" i="335"/>
  <c r="EX417" i="335"/>
  <c r="EW417" i="335"/>
  <c r="EZ416" i="335"/>
  <c r="EY416" i="335"/>
  <c r="EX416" i="335"/>
  <c r="EW416" i="335"/>
  <c r="EZ415" i="335"/>
  <c r="EY415" i="335"/>
  <c r="EX415" i="335"/>
  <c r="EW415" i="335"/>
  <c r="EZ413" i="335"/>
  <c r="EY413" i="335"/>
  <c r="EX413" i="335"/>
  <c r="EW413" i="335"/>
  <c r="EZ412" i="335"/>
  <c r="EY412" i="335"/>
  <c r="EX412" i="335"/>
  <c r="EW412" i="335"/>
  <c r="EZ411" i="335"/>
  <c r="EY411" i="335"/>
  <c r="EX411" i="335"/>
  <c r="EW411" i="335"/>
  <c r="ET448" i="335"/>
  <c r="ES448" i="335"/>
  <c r="ER448" i="335"/>
  <c r="EQ448" i="335"/>
  <c r="EU448" i="335" s="1"/>
  <c r="ET419" i="335"/>
  <c r="ES419" i="335"/>
  <c r="ER419" i="335"/>
  <c r="EQ419" i="335"/>
  <c r="ET418" i="335"/>
  <c r="ES418" i="335"/>
  <c r="ER418" i="335"/>
  <c r="EQ418" i="335"/>
  <c r="ET417" i="335"/>
  <c r="ES417" i="335"/>
  <c r="ER417" i="335"/>
  <c r="EQ417" i="335"/>
  <c r="ET416" i="335"/>
  <c r="ES416" i="335"/>
  <c r="ER416" i="335"/>
  <c r="EQ416" i="335"/>
  <c r="ET415" i="335"/>
  <c r="ES415" i="335"/>
  <c r="ER415" i="335"/>
  <c r="EQ415" i="335"/>
  <c r="ET413" i="335"/>
  <c r="ES413" i="335"/>
  <c r="ER413" i="335"/>
  <c r="EQ413" i="335"/>
  <c r="ET412" i="335"/>
  <c r="ES412" i="335"/>
  <c r="ER412" i="335"/>
  <c r="EQ412" i="335"/>
  <c r="ET411" i="335"/>
  <c r="ES411" i="335"/>
  <c r="ER411" i="335"/>
  <c r="EQ411" i="335"/>
  <c r="EK452" i="335"/>
  <c r="EK449" i="335"/>
  <c r="EN448" i="335"/>
  <c r="EM448" i="335"/>
  <c r="EL448" i="335"/>
  <c r="EK448" i="335"/>
  <c r="EK442" i="335"/>
  <c r="EK441" i="335"/>
  <c r="EK440" i="335"/>
  <c r="EN437" i="335"/>
  <c r="EM437" i="335"/>
  <c r="EL437" i="335"/>
  <c r="EK437" i="335"/>
  <c r="EK436" i="335"/>
  <c r="EK429" i="335"/>
  <c r="EN419" i="335"/>
  <c r="EM419" i="335"/>
  <c r="EN418" i="335"/>
  <c r="EM418" i="335"/>
  <c r="EL418" i="335"/>
  <c r="EK418" i="335"/>
  <c r="EN417" i="335"/>
  <c r="EM417" i="335"/>
  <c r="EL417" i="335"/>
  <c r="EK417" i="335"/>
  <c r="EN416" i="335"/>
  <c r="EM416" i="335"/>
  <c r="EL416" i="335"/>
  <c r="EK416" i="335"/>
  <c r="EN415" i="335"/>
  <c r="EM415" i="335"/>
  <c r="EL415" i="335"/>
  <c r="EK415" i="335"/>
  <c r="EN413" i="335"/>
  <c r="EM413" i="335"/>
  <c r="EL413" i="335"/>
  <c r="EK413" i="335"/>
  <c r="EN412" i="335"/>
  <c r="EM412" i="335"/>
  <c r="EL412" i="335"/>
  <c r="EK412" i="335"/>
  <c r="EN411" i="335"/>
  <c r="EM411" i="335"/>
  <c r="EL411" i="335"/>
  <c r="EK411" i="335"/>
  <c r="EH452" i="335"/>
  <c r="EG452" i="335"/>
  <c r="EF452" i="335"/>
  <c r="EI452" i="335" s="1"/>
  <c r="EE452" i="335"/>
  <c r="EH449" i="335"/>
  <c r="EG449" i="335"/>
  <c r="EF449" i="335"/>
  <c r="EE449" i="335"/>
  <c r="EH448" i="335"/>
  <c r="EG448" i="335"/>
  <c r="EF448" i="335"/>
  <c r="EE448" i="335"/>
  <c r="EH442" i="335"/>
  <c r="EG442" i="335"/>
  <c r="EF442" i="335"/>
  <c r="EE442" i="335"/>
  <c r="EH441" i="335"/>
  <c r="EG441" i="335"/>
  <c r="EF441" i="335"/>
  <c r="EI441" i="335" s="1"/>
  <c r="EE441" i="335"/>
  <c r="EH440" i="335"/>
  <c r="EG440" i="335"/>
  <c r="EF440" i="335"/>
  <c r="EI440" i="335" s="1"/>
  <c r="EE440" i="335"/>
  <c r="EH436" i="335"/>
  <c r="EG436" i="335"/>
  <c r="EF436" i="335"/>
  <c r="EE436" i="335"/>
  <c r="EE434" i="335"/>
  <c r="EH429" i="335"/>
  <c r="EG429" i="335"/>
  <c r="EF429" i="335"/>
  <c r="EE429" i="335"/>
  <c r="EH418" i="335"/>
  <c r="EG418" i="335"/>
  <c r="EF418" i="335"/>
  <c r="EE418" i="335"/>
  <c r="EH417" i="335"/>
  <c r="EG417" i="335"/>
  <c r="EF417" i="335"/>
  <c r="EE417" i="335"/>
  <c r="EH416" i="335"/>
  <c r="EG416" i="335"/>
  <c r="EI416" i="335" s="1"/>
  <c r="EF416" i="335"/>
  <c r="EE416" i="335"/>
  <c r="EH415" i="335"/>
  <c r="EG415" i="335"/>
  <c r="EF415" i="335"/>
  <c r="EE415" i="335"/>
  <c r="EH413" i="335"/>
  <c r="EG413" i="335"/>
  <c r="EF413" i="335"/>
  <c r="EE413" i="335"/>
  <c r="EH412" i="335"/>
  <c r="EG412" i="335"/>
  <c r="EF412" i="335"/>
  <c r="EE412" i="335"/>
  <c r="EH411" i="335"/>
  <c r="EG411" i="335"/>
  <c r="EF411" i="335"/>
  <c r="EE411" i="335"/>
  <c r="EB452" i="335"/>
  <c r="EA452" i="335"/>
  <c r="DZ452" i="335"/>
  <c r="DY452" i="335"/>
  <c r="EB449" i="335"/>
  <c r="EA449" i="335"/>
  <c r="EC449" i="335" s="1"/>
  <c r="DZ449" i="335"/>
  <c r="DY449" i="335"/>
  <c r="EB448" i="335"/>
  <c r="EA448" i="335"/>
  <c r="DZ448" i="335"/>
  <c r="DY448" i="335"/>
  <c r="EB442" i="335"/>
  <c r="EA442" i="335"/>
  <c r="DZ442" i="335"/>
  <c r="DY442" i="335"/>
  <c r="EB441" i="335"/>
  <c r="EA441" i="335"/>
  <c r="DZ441" i="335"/>
  <c r="DY441" i="335"/>
  <c r="EB440" i="335"/>
  <c r="EA440" i="335"/>
  <c r="DZ440" i="335"/>
  <c r="DY440" i="335"/>
  <c r="EB436" i="335"/>
  <c r="EA436" i="335"/>
  <c r="EC436" i="335" s="1"/>
  <c r="DZ436" i="335"/>
  <c r="DY436" i="335"/>
  <c r="EB434" i="335"/>
  <c r="EA434" i="335"/>
  <c r="DZ434" i="335"/>
  <c r="DY434" i="335"/>
  <c r="DY432" i="335"/>
  <c r="EB429" i="335"/>
  <c r="EA429" i="335"/>
  <c r="DZ429" i="335"/>
  <c r="DY429" i="335"/>
  <c r="DY422" i="335"/>
  <c r="EB418" i="335"/>
  <c r="EA418" i="335"/>
  <c r="DZ418" i="335"/>
  <c r="DY418" i="335"/>
  <c r="EB417" i="335"/>
  <c r="EA417" i="335"/>
  <c r="DZ417" i="335"/>
  <c r="DY417" i="335"/>
  <c r="EB416" i="335"/>
  <c r="EA416" i="335"/>
  <c r="DZ416" i="335"/>
  <c r="DY416" i="335"/>
  <c r="EB415" i="335"/>
  <c r="EA415" i="335"/>
  <c r="DZ415" i="335"/>
  <c r="DY415" i="335"/>
  <c r="DY414" i="335"/>
  <c r="EB413" i="335"/>
  <c r="EA413" i="335"/>
  <c r="DZ413" i="335"/>
  <c r="DY413" i="335"/>
  <c r="EB412" i="335"/>
  <c r="EA412" i="335"/>
  <c r="DZ412" i="335"/>
  <c r="DY412" i="335"/>
  <c r="EB411" i="335"/>
  <c r="EA411" i="335"/>
  <c r="DZ411" i="335"/>
  <c r="DY411" i="335"/>
  <c r="DV452" i="335"/>
  <c r="DU452" i="335"/>
  <c r="DT452" i="335"/>
  <c r="DS452" i="335"/>
  <c r="DV449" i="335"/>
  <c r="DU449" i="335"/>
  <c r="DT449" i="335"/>
  <c r="DW449" i="335" s="1"/>
  <c r="DS449" i="335"/>
  <c r="DV448" i="335"/>
  <c r="DU448" i="335"/>
  <c r="DT448" i="335"/>
  <c r="DS448" i="335"/>
  <c r="DS447" i="335"/>
  <c r="DV442" i="335"/>
  <c r="DU442" i="335"/>
  <c r="DT442" i="335"/>
  <c r="DS442" i="335"/>
  <c r="DV441" i="335"/>
  <c r="DU441" i="335"/>
  <c r="DT441" i="335"/>
  <c r="DS441" i="335"/>
  <c r="DV440" i="335"/>
  <c r="DU440" i="335"/>
  <c r="DW440" i="335" s="1"/>
  <c r="DT440" i="335"/>
  <c r="DS440" i="335"/>
  <c r="DV437" i="335"/>
  <c r="DU437" i="335"/>
  <c r="DT437" i="335"/>
  <c r="DS437" i="335"/>
  <c r="DV436" i="335"/>
  <c r="DU436" i="335"/>
  <c r="DT436" i="335"/>
  <c r="DS436" i="335"/>
  <c r="DV434" i="335"/>
  <c r="DU434" i="335"/>
  <c r="DT434" i="335"/>
  <c r="DS434" i="335"/>
  <c r="DV432" i="335"/>
  <c r="DU432" i="335"/>
  <c r="DW432" i="335" s="1"/>
  <c r="DT432" i="335"/>
  <c r="DS432" i="335"/>
  <c r="DV430" i="335"/>
  <c r="DT430" i="335"/>
  <c r="DS430" i="335"/>
  <c r="DV429" i="335"/>
  <c r="DU429" i="335"/>
  <c r="DT429" i="335"/>
  <c r="DS429" i="335"/>
  <c r="DV422" i="335"/>
  <c r="DU422" i="335"/>
  <c r="DT422" i="335"/>
  <c r="DW422" i="335" s="1"/>
  <c r="DS422" i="335"/>
  <c r="DV420" i="335"/>
  <c r="DT420" i="335"/>
  <c r="DS420" i="335"/>
  <c r="DV419" i="335"/>
  <c r="DV418" i="335"/>
  <c r="DV417" i="335"/>
  <c r="DV416" i="335"/>
  <c r="DU416" i="335"/>
  <c r="DT416" i="335"/>
  <c r="DS416" i="335"/>
  <c r="DV415" i="335"/>
  <c r="DU415" i="335"/>
  <c r="DT415" i="335"/>
  <c r="DS415" i="335"/>
  <c r="DV414" i="335"/>
  <c r="DU414" i="335"/>
  <c r="DT414" i="335"/>
  <c r="DS414" i="335"/>
  <c r="DW414" i="335" s="1"/>
  <c r="DV413" i="335"/>
  <c r="DU413" i="335"/>
  <c r="DT413" i="335"/>
  <c r="DS413" i="335"/>
  <c r="DV412" i="335"/>
  <c r="DU412" i="335"/>
  <c r="DT412" i="335"/>
  <c r="DS412" i="335"/>
  <c r="DV411" i="335"/>
  <c r="DU411" i="335"/>
  <c r="DT411" i="335"/>
  <c r="DS411" i="335"/>
  <c r="DP452" i="335"/>
  <c r="DO452" i="335"/>
  <c r="DN452" i="335"/>
  <c r="DM452" i="335"/>
  <c r="DP449" i="335"/>
  <c r="DO449" i="335"/>
  <c r="DN449" i="335"/>
  <c r="DM449" i="335"/>
  <c r="DP448" i="335"/>
  <c r="DO448" i="335"/>
  <c r="DN448" i="335"/>
  <c r="DM448" i="335"/>
  <c r="DM447" i="335"/>
  <c r="DP442" i="335"/>
  <c r="DO442" i="335"/>
  <c r="DN442" i="335"/>
  <c r="DM442" i="335"/>
  <c r="DP441" i="335"/>
  <c r="DO441" i="335"/>
  <c r="DN441" i="335"/>
  <c r="DM441" i="335"/>
  <c r="DQ441" i="335" s="1"/>
  <c r="DP440" i="335"/>
  <c r="DO440" i="335"/>
  <c r="DN440" i="335"/>
  <c r="DM440" i="335"/>
  <c r="DP437" i="335"/>
  <c r="DO437" i="335"/>
  <c r="DN437" i="335"/>
  <c r="DM437" i="335"/>
  <c r="DP436" i="335"/>
  <c r="DO436" i="335"/>
  <c r="DN436" i="335"/>
  <c r="DM436" i="335"/>
  <c r="DP434" i="335"/>
  <c r="DO434" i="335"/>
  <c r="DN434" i="335"/>
  <c r="DM434" i="335"/>
  <c r="DQ434" i="335" s="1"/>
  <c r="DP432" i="335"/>
  <c r="DO432" i="335"/>
  <c r="DN432" i="335"/>
  <c r="DM432" i="335"/>
  <c r="DP430" i="335"/>
  <c r="DO430" i="335"/>
  <c r="DN430" i="335"/>
  <c r="DM430" i="335"/>
  <c r="DP429" i="335"/>
  <c r="DO429" i="335"/>
  <c r="DN429" i="335"/>
  <c r="DM429" i="335"/>
  <c r="DP422" i="335"/>
  <c r="DO422" i="335"/>
  <c r="DN422" i="335"/>
  <c r="DM422" i="335"/>
  <c r="DP420" i="335"/>
  <c r="DO420" i="335"/>
  <c r="DN420" i="335"/>
  <c r="DM420" i="335"/>
  <c r="DP419" i="335"/>
  <c r="DN419" i="335"/>
  <c r="DM419" i="335"/>
  <c r="DP418" i="335"/>
  <c r="DN418" i="335"/>
  <c r="DM418" i="335"/>
  <c r="DN417" i="335"/>
  <c r="DM417" i="335"/>
  <c r="DP416" i="335"/>
  <c r="DO416" i="335"/>
  <c r="DN416" i="335"/>
  <c r="DM416" i="335"/>
  <c r="DP415" i="335"/>
  <c r="DO415" i="335"/>
  <c r="DN415" i="335"/>
  <c r="DM415" i="335"/>
  <c r="DP414" i="335"/>
  <c r="DO414" i="335"/>
  <c r="DN414" i="335"/>
  <c r="DM414" i="335"/>
  <c r="DP413" i="335"/>
  <c r="DO413" i="335"/>
  <c r="DN413" i="335"/>
  <c r="DM413" i="335"/>
  <c r="DP412" i="335"/>
  <c r="DO412" i="335"/>
  <c r="DN412" i="335"/>
  <c r="DM412" i="335"/>
  <c r="DP411" i="335"/>
  <c r="DO411" i="335"/>
  <c r="DN411" i="335"/>
  <c r="DM411" i="335"/>
  <c r="DJ452" i="335"/>
  <c r="DI452" i="335"/>
  <c r="DH452" i="335"/>
  <c r="DJ449" i="335"/>
  <c r="DK449" i="335" s="1"/>
  <c r="DI449" i="335"/>
  <c r="DH449" i="335"/>
  <c r="DJ448" i="335"/>
  <c r="DI448" i="335"/>
  <c r="DH448" i="335"/>
  <c r="DJ442" i="335"/>
  <c r="DI442" i="335"/>
  <c r="DH442" i="335"/>
  <c r="DJ441" i="335"/>
  <c r="DI441" i="335"/>
  <c r="DH441" i="335"/>
  <c r="DJ440" i="335"/>
  <c r="DK440" i="335" s="1"/>
  <c r="DI440" i="335"/>
  <c r="DH440" i="335"/>
  <c r="DJ437" i="335"/>
  <c r="DI437" i="335"/>
  <c r="DH437" i="335"/>
  <c r="DJ436" i="335"/>
  <c r="DI436" i="335"/>
  <c r="DH436" i="335"/>
  <c r="DJ434" i="335"/>
  <c r="DI434" i="335"/>
  <c r="DH434" i="335"/>
  <c r="DJ432" i="335"/>
  <c r="DI432" i="335"/>
  <c r="DH432" i="335"/>
  <c r="DJ430" i="335"/>
  <c r="DI430" i="335"/>
  <c r="DK430" i="335" s="1"/>
  <c r="DH430" i="335"/>
  <c r="DJ429" i="335"/>
  <c r="DI429" i="335"/>
  <c r="DH429" i="335"/>
  <c r="DJ422" i="335"/>
  <c r="DI422" i="335"/>
  <c r="DH422" i="335"/>
  <c r="DJ420" i="335"/>
  <c r="DI420" i="335"/>
  <c r="DH420" i="335"/>
  <c r="DJ416" i="335"/>
  <c r="DI416" i="335"/>
  <c r="DJ415" i="335"/>
  <c r="DI415" i="335"/>
  <c r="DH415" i="335"/>
  <c r="DJ414" i="335"/>
  <c r="DI414" i="335"/>
  <c r="DH414" i="335"/>
  <c r="DJ413" i="335"/>
  <c r="DI413" i="335"/>
  <c r="DH413" i="335"/>
  <c r="DJ412" i="335"/>
  <c r="DI412" i="335"/>
  <c r="DH412" i="335"/>
  <c r="DJ411" i="335"/>
  <c r="DI411" i="335"/>
  <c r="DH411" i="335"/>
  <c r="DG452" i="335"/>
  <c r="DG449" i="335"/>
  <c r="DG448" i="335"/>
  <c r="DG447" i="335"/>
  <c r="DG442" i="335"/>
  <c r="DK442" i="335" s="1"/>
  <c r="DG441" i="335"/>
  <c r="DG440" i="335"/>
  <c r="DG437" i="335"/>
  <c r="DG436" i="335"/>
  <c r="DG434" i="335"/>
  <c r="DG432" i="335"/>
  <c r="DG430" i="335"/>
  <c r="DG429" i="335"/>
  <c r="DG422" i="335"/>
  <c r="DG420" i="335"/>
  <c r="DG415" i="335"/>
  <c r="DK415" i="335" s="1"/>
  <c r="DG414" i="335"/>
  <c r="DK414" i="335" s="1"/>
  <c r="DG413" i="335"/>
  <c r="DG412" i="335"/>
  <c r="A452" i="335"/>
  <c r="A449" i="335"/>
  <c r="A448" i="335"/>
  <c r="A447" i="335"/>
  <c r="A446" i="335"/>
  <c r="A445" i="335"/>
  <c r="A442" i="335"/>
  <c r="A441" i="335"/>
  <c r="A440" i="335"/>
  <c r="A437" i="335"/>
  <c r="A436" i="335"/>
  <c r="A434" i="335"/>
  <c r="A432" i="335"/>
  <c r="A430" i="335"/>
  <c r="A429" i="335"/>
  <c r="A428" i="335"/>
  <c r="A427" i="335"/>
  <c r="A426" i="335"/>
  <c r="A425" i="335"/>
  <c r="A424" i="335"/>
  <c r="A423" i="335"/>
  <c r="A422" i="335"/>
  <c r="A421" i="335"/>
  <c r="A420" i="335"/>
  <c r="A419" i="335"/>
  <c r="A418" i="335"/>
  <c r="A417" i="335"/>
  <c r="A416" i="335"/>
  <c r="A415" i="335"/>
  <c r="A414" i="335"/>
  <c r="A413" i="335"/>
  <c r="A412" i="335"/>
  <c r="EL80" i="336"/>
  <c r="EL441" i="335" s="1"/>
  <c r="DT86" i="336"/>
  <c r="DU86" i="336" s="1"/>
  <c r="DN86" i="336"/>
  <c r="DO86" i="336" s="1"/>
  <c r="EN171" i="336"/>
  <c r="EO180" i="336"/>
  <c r="EN40" i="336"/>
  <c r="EN98" i="336"/>
  <c r="EN99" i="336" s="1"/>
  <c r="EU652" i="338"/>
  <c r="DZ426" i="335"/>
  <c r="EM63" i="336"/>
  <c r="EN63" i="336" s="1"/>
  <c r="EO581" i="338"/>
  <c r="EO582" i="338" s="1"/>
  <c r="EU653" i="338" s="1"/>
  <c r="EU651" i="338" s="1"/>
  <c r="EM80" i="336"/>
  <c r="EN80" i="336" s="1"/>
  <c r="EN441" i="335" s="1"/>
  <c r="ER67" i="336"/>
  <c r="ER428" i="335" s="1"/>
  <c r="DW428" i="335"/>
  <c r="EC413" i="335"/>
  <c r="DK428" i="335"/>
  <c r="DK434" i="335"/>
  <c r="DQ427" i="335"/>
  <c r="DQ452" i="335"/>
  <c r="EI412" i="335"/>
  <c r="EC418" i="335"/>
  <c r="EI417" i="335"/>
  <c r="EN575" i="338"/>
  <c r="EN576" i="338" s="1"/>
  <c r="EN579" i="338"/>
  <c r="EN580" i="338"/>
  <c r="EN562" i="338"/>
  <c r="EN563" i="338" s="1"/>
  <c r="EN569" i="338"/>
  <c r="EN570" i="338" s="1"/>
  <c r="EN595" i="338"/>
  <c r="EN581" i="338"/>
  <c r="EN582" i="338" s="1"/>
  <c r="FG30" i="338"/>
  <c r="FG29" i="338"/>
  <c r="EO239" i="335"/>
  <c r="EQ155" i="338"/>
  <c r="EQ156" i="338"/>
  <c r="EQ92" i="338"/>
  <c r="EQ30" i="338"/>
  <c r="ER155" i="338"/>
  <c r="FA28" i="338"/>
  <c r="EO156" i="338"/>
  <c r="EO155" i="338"/>
  <c r="EW156" i="338"/>
  <c r="EW155" i="338"/>
  <c r="ET156" i="338"/>
  <c r="ES156" i="338"/>
  <c r="ER156" i="338"/>
  <c r="ET155" i="338"/>
  <c r="ET91" i="338"/>
  <c r="ES155" i="338"/>
  <c r="FA156" i="338"/>
  <c r="EW92" i="338"/>
  <c r="FA92" i="338"/>
  <c r="ER29" i="338"/>
  <c r="ER91" i="338"/>
  <c r="ER30" i="338"/>
  <c r="ER92" i="338"/>
  <c r="EU92" i="338" s="1"/>
  <c r="ES30" i="338"/>
  <c r="ES92" i="338"/>
  <c r="ES29" i="338"/>
  <c r="ES91" i="338"/>
  <c r="ES11" i="338" s="1"/>
  <c r="ET30" i="338"/>
  <c r="ET92" i="338"/>
  <c r="FA155" i="338"/>
  <c r="EW91" i="338"/>
  <c r="FA91" i="338" s="1"/>
  <c r="FA11" i="338" s="1"/>
  <c r="EQ29" i="338"/>
  <c r="EQ91" i="338"/>
  <c r="EU155" i="338"/>
  <c r="EU156" i="338"/>
  <c r="ET29" i="338"/>
  <c r="EW29" i="338"/>
  <c r="FA29" i="338" s="1"/>
  <c r="EW30" i="338"/>
  <c r="FA30" i="338" s="1"/>
  <c r="ER11" i="338"/>
  <c r="EU30" i="338"/>
  <c r="EW11" i="338"/>
  <c r="EU29" i="338"/>
  <c r="EO368" i="338"/>
  <c r="EO367" i="338"/>
  <c r="EO366" i="338"/>
  <c r="EO365" i="338"/>
  <c r="EO351" i="338"/>
  <c r="EO350" i="338"/>
  <c r="EO347" i="338"/>
  <c r="EO346" i="338"/>
  <c r="EQ466" i="338"/>
  <c r="EM473" i="338"/>
  <c r="EQ489" i="338"/>
  <c r="EN156" i="336"/>
  <c r="EO156" i="336" s="1"/>
  <c r="EO157" i="336"/>
  <c r="EO155" i="336"/>
  <c r="EO154" i="336"/>
  <c r="EO153" i="336"/>
  <c r="EO152" i="336"/>
  <c r="EO151" i="336"/>
  <c r="EN352" i="338"/>
  <c r="EN348" i="338"/>
  <c r="EN320" i="338"/>
  <c r="EN300" i="338"/>
  <c r="ET301" i="338" s="1"/>
  <c r="EM320" i="338"/>
  <c r="EL320" i="338"/>
  <c r="EL282" i="338"/>
  <c r="EN193" i="336"/>
  <c r="EN174" i="336" s="1"/>
  <c r="EN195" i="336"/>
  <c r="EN206" i="336"/>
  <c r="EN97" i="3"/>
  <c r="EN91" i="3"/>
  <c r="EN90" i="3"/>
  <c r="EN84" i="3"/>
  <c r="EN83" i="3"/>
  <c r="EN82" i="3"/>
  <c r="EN81" i="3"/>
  <c r="EN80" i="3"/>
  <c r="EN75" i="3"/>
  <c r="EN74" i="3"/>
  <c r="EN73" i="3"/>
  <c r="EN72" i="3"/>
  <c r="EN71" i="3"/>
  <c r="EN70" i="3"/>
  <c r="EN66" i="3"/>
  <c r="EN65" i="3"/>
  <c r="EN64" i="3"/>
  <c r="EN63" i="3"/>
  <c r="EN60" i="3"/>
  <c r="EN58" i="3"/>
  <c r="EN39" i="3"/>
  <c r="EN93" i="3"/>
  <c r="EN40" i="3"/>
  <c r="EN38" i="3"/>
  <c r="EN16" i="3"/>
  <c r="EN136" i="336"/>
  <c r="EN107" i="336"/>
  <c r="EN106" i="336"/>
  <c r="EN18" i="336"/>
  <c r="EN34" i="336"/>
  <c r="EN185" i="336"/>
  <c r="EN187" i="336" s="1"/>
  <c r="EO348" i="338"/>
  <c r="EO352" i="338"/>
  <c r="EN85" i="3"/>
  <c r="EN309" i="335"/>
  <c r="EN308" i="335"/>
  <c r="EN283" i="335"/>
  <c r="EM283" i="335"/>
  <c r="EN195" i="335"/>
  <c r="EN184" i="335"/>
  <c r="EN138" i="335"/>
  <c r="EN135" i="335"/>
  <c r="EN136" i="335"/>
  <c r="EN132" i="335"/>
  <c r="EN133" i="335"/>
  <c r="EN126" i="335"/>
  <c r="EN116" i="335"/>
  <c r="EN122" i="335"/>
  <c r="EN158" i="335"/>
  <c r="EN153" i="335"/>
  <c r="ET295" i="335"/>
  <c r="EN150" i="335"/>
  <c r="ET294" i="335"/>
  <c r="EN147" i="335"/>
  <c r="ET293" i="335"/>
  <c r="EN255" i="338"/>
  <c r="EN61" i="335"/>
  <c r="EN46" i="335"/>
  <c r="ET281" i="335"/>
  <c r="EN18" i="335"/>
  <c r="EN29" i="335"/>
  <c r="EN35" i="335"/>
  <c r="EN107" i="335"/>
  <c r="EN129" i="335"/>
  <c r="EN130" i="335" s="1"/>
  <c r="EN131" i="336"/>
  <c r="EN124" i="335"/>
  <c r="EN113" i="335"/>
  <c r="ET36" i="335"/>
  <c r="EN26" i="335"/>
  <c r="EN20" i="335"/>
  <c r="EN23" i="338" s="1"/>
  <c r="ET30" i="335"/>
  <c r="ET149" i="335"/>
  <c r="EN50" i="335"/>
  <c r="ET47" i="335"/>
  <c r="ET152" i="335"/>
  <c r="ET155" i="335"/>
  <c r="EQ31" i="335"/>
  <c r="EN117" i="335"/>
  <c r="EQ37" i="335"/>
  <c r="EN127" i="335"/>
  <c r="FF127" i="335"/>
  <c r="FL127" i="335" s="1"/>
  <c r="EQ318" i="335"/>
  <c r="EN728" i="338"/>
  <c r="EN735" i="338" s="1"/>
  <c r="EN30" i="335"/>
  <c r="EQ319" i="335"/>
  <c r="EQ320" i="335"/>
  <c r="EQ306" i="335"/>
  <c r="EQ50" i="335"/>
  <c r="EQ48" i="335"/>
  <c r="EN166" i="336"/>
  <c r="ET466" i="338"/>
  <c r="EU35" i="335"/>
  <c r="EZ29" i="335"/>
  <c r="ET473" i="338"/>
  <c r="EU29" i="335"/>
  <c r="FC7" i="11"/>
  <c r="FC132" i="11" s="1"/>
  <c r="EW7" i="11"/>
  <c r="FG8" i="11"/>
  <c r="FG133" i="11" s="1"/>
  <c r="FF8" i="11"/>
  <c r="FF133" i="11" s="1"/>
  <c r="FE8" i="11"/>
  <c r="FE70" i="11" s="1"/>
  <c r="FD8" i="11"/>
  <c r="FD70" i="11" s="1"/>
  <c r="FC8" i="11"/>
  <c r="FC133" i="11" s="1"/>
  <c r="FG743" i="338"/>
  <c r="FG718" i="338"/>
  <c r="FG159" i="338"/>
  <c r="FG154" i="338"/>
  <c r="FG153" i="338"/>
  <c r="FG152" i="338"/>
  <c r="FG151" i="338"/>
  <c r="FG150" i="338"/>
  <c r="FG149" i="338"/>
  <c r="FG148" i="338"/>
  <c r="FG147" i="338"/>
  <c r="FG146" i="338"/>
  <c r="FG145" i="338"/>
  <c r="FG144" i="338"/>
  <c r="FG143" i="338"/>
  <c r="FG142" i="338"/>
  <c r="FG141" i="338"/>
  <c r="FG140" i="338"/>
  <c r="FG139" i="338"/>
  <c r="FG138" i="338"/>
  <c r="FG137" i="338"/>
  <c r="FG136" i="338"/>
  <c r="FG135" i="338"/>
  <c r="FG134" i="338"/>
  <c r="FG133" i="338"/>
  <c r="FG132" i="338"/>
  <c r="FG131" i="338"/>
  <c r="FG130" i="338"/>
  <c r="FG129" i="338"/>
  <c r="FG128" i="338"/>
  <c r="FG127" i="338"/>
  <c r="FG126" i="338"/>
  <c r="FG125" i="338"/>
  <c r="FG124" i="338"/>
  <c r="FG123" i="338"/>
  <c r="FG122" i="338"/>
  <c r="FG121" i="338"/>
  <c r="FG120" i="338"/>
  <c r="FG119" i="338"/>
  <c r="FG118" i="338"/>
  <c r="FG117" i="338"/>
  <c r="FG116" i="338"/>
  <c r="FG115" i="338"/>
  <c r="FG107" i="338"/>
  <c r="FG106" i="338"/>
  <c r="FG105" i="338"/>
  <c r="FG104" i="338"/>
  <c r="FG103" i="338"/>
  <c r="FG102" i="338"/>
  <c r="FG101" i="338"/>
  <c r="FG94" i="338"/>
  <c r="FG90" i="338"/>
  <c r="FG89" i="338"/>
  <c r="FG88" i="338"/>
  <c r="FG87" i="338"/>
  <c r="FG86" i="338"/>
  <c r="FG85" i="338"/>
  <c r="FG84" i="338"/>
  <c r="FG83" i="338"/>
  <c r="FG82" i="338"/>
  <c r="FG81" i="338"/>
  <c r="FG80" i="338"/>
  <c r="FG79" i="338"/>
  <c r="FG78" i="338"/>
  <c r="FG77" i="338"/>
  <c r="FG76" i="338"/>
  <c r="FG75" i="338"/>
  <c r="FG74" i="338"/>
  <c r="FG73" i="338"/>
  <c r="FG72" i="338"/>
  <c r="FG71" i="338"/>
  <c r="FG70" i="338"/>
  <c r="FG69" i="338"/>
  <c r="FG68" i="338"/>
  <c r="FG67" i="338"/>
  <c r="FG66" i="338"/>
  <c r="FG65" i="338"/>
  <c r="FG64" i="338"/>
  <c r="FG63" i="338"/>
  <c r="FG62" i="338"/>
  <c r="FG61" i="338"/>
  <c r="FG60" i="338"/>
  <c r="FG59" i="338"/>
  <c r="FG52" i="338"/>
  <c r="FG50" i="338"/>
  <c r="FG49" i="338"/>
  <c r="FG48" i="338"/>
  <c r="FG47" i="338"/>
  <c r="FG46" i="338"/>
  <c r="FG45" i="338"/>
  <c r="FG44" i="338"/>
  <c r="FG43" i="338"/>
  <c r="FG42" i="338"/>
  <c r="FG41" i="338"/>
  <c r="FG28" i="338"/>
  <c r="FG27" i="338"/>
  <c r="FG26" i="338"/>
  <c r="FG25" i="338"/>
  <c r="FF24" i="338"/>
  <c r="FE24" i="338"/>
  <c r="FD24" i="338"/>
  <c r="FC24" i="338"/>
  <c r="FF10" i="338"/>
  <c r="FE10" i="338"/>
  <c r="FD10" i="338"/>
  <c r="FC10" i="338"/>
  <c r="FG6" i="338"/>
  <c r="FG550" i="338" s="1"/>
  <c r="FF6" i="338"/>
  <c r="FF425" i="338" s="1"/>
  <c r="FE6" i="338"/>
  <c r="FE382" i="338" s="1"/>
  <c r="FD6" i="338"/>
  <c r="FD550" i="338" s="1"/>
  <c r="FC6" i="338"/>
  <c r="FC425" i="338" s="1"/>
  <c r="FC5" i="338"/>
  <c r="FC424" i="338" s="1"/>
  <c r="FC97" i="3"/>
  <c r="FC94" i="3"/>
  <c r="FC84" i="3"/>
  <c r="FC80" i="3"/>
  <c r="FC66" i="3"/>
  <c r="FG58" i="3"/>
  <c r="FG7" i="3" s="1"/>
  <c r="FF58" i="3"/>
  <c r="FF7" i="3" s="1"/>
  <c r="FE58" i="3"/>
  <c r="FE7" i="3" s="1"/>
  <c r="FD58" i="3"/>
  <c r="FD7" i="3" s="1"/>
  <c r="FC58" i="3"/>
  <c r="FC7" i="3" s="1"/>
  <c r="FC57" i="3"/>
  <c r="FC6" i="3" s="1"/>
  <c r="FD43" i="3"/>
  <c r="FD97" i="3" s="1"/>
  <c r="FD40" i="3"/>
  <c r="FD94" i="3" s="1"/>
  <c r="FD32" i="3"/>
  <c r="FE32" i="3" s="1"/>
  <c r="FD28" i="3"/>
  <c r="FD15" i="3"/>
  <c r="FD66" i="3" s="1"/>
  <c r="FG217" i="336"/>
  <c r="FG216" i="336"/>
  <c r="FC198" i="336"/>
  <c r="FC36" i="3" s="1"/>
  <c r="FC90" i="3" s="1"/>
  <c r="FG189" i="336"/>
  <c r="FD184" i="336"/>
  <c r="FD208" i="336" s="1"/>
  <c r="FC184" i="336"/>
  <c r="FC208" i="336" s="1"/>
  <c r="FC183" i="336"/>
  <c r="FG156" i="336"/>
  <c r="FG153" i="336"/>
  <c r="FG151" i="336"/>
  <c r="FD148" i="336"/>
  <c r="FE148" i="336" s="1"/>
  <c r="FF148" i="336" s="1"/>
  <c r="FD140" i="336"/>
  <c r="FE140" i="336" s="1"/>
  <c r="FF140" i="336" s="1"/>
  <c r="FG25" i="336"/>
  <c r="FG6" i="336"/>
  <c r="FF6" i="336"/>
  <c r="FE6" i="336"/>
  <c r="FD6" i="336"/>
  <c r="FC6" i="336"/>
  <c r="FC5" i="336"/>
  <c r="FB464" i="335"/>
  <c r="FF408" i="335"/>
  <c r="FE408" i="335"/>
  <c r="FD408" i="335"/>
  <c r="FC408" i="335"/>
  <c r="FG396" i="335"/>
  <c r="FF396" i="335"/>
  <c r="FE396" i="335"/>
  <c r="FD396" i="335"/>
  <c r="FC396" i="335"/>
  <c r="FE389" i="335"/>
  <c r="FD389" i="335"/>
  <c r="FC389" i="335"/>
  <c r="FE388" i="335"/>
  <c r="FD388" i="335"/>
  <c r="FC388" i="335"/>
  <c r="FG275" i="335"/>
  <c r="FF275" i="335"/>
  <c r="FE275" i="335"/>
  <c r="FD275" i="335"/>
  <c r="FC275" i="335"/>
  <c r="FC274" i="335"/>
  <c r="FG164" i="335"/>
  <c r="FG161" i="335"/>
  <c r="FA159" i="338"/>
  <c r="FA154" i="338"/>
  <c r="FA153" i="338"/>
  <c r="FA152" i="338"/>
  <c r="FA151" i="338"/>
  <c r="EU159" i="338"/>
  <c r="EU154" i="338"/>
  <c r="EU153" i="338"/>
  <c r="EU152" i="338"/>
  <c r="FA107" i="338"/>
  <c r="FA106" i="338"/>
  <c r="FA105" i="338"/>
  <c r="FA104" i="338"/>
  <c r="FA103" i="338"/>
  <c r="FA102" i="338"/>
  <c r="EU107" i="338"/>
  <c r="EU106" i="338"/>
  <c r="EU105" i="338"/>
  <c r="EU104" i="338"/>
  <c r="EU103" i="338"/>
  <c r="EU102" i="338"/>
  <c r="EO107" i="338"/>
  <c r="EO106" i="338"/>
  <c r="EO105" i="338"/>
  <c r="EO104" i="338"/>
  <c r="EO103" i="338"/>
  <c r="FA94" i="338"/>
  <c r="FA90" i="338"/>
  <c r="FA89" i="338"/>
  <c r="FA88" i="338"/>
  <c r="FA87" i="338"/>
  <c r="FA86" i="338"/>
  <c r="FA85" i="338"/>
  <c r="FA84" i="338"/>
  <c r="FA83" i="338"/>
  <c r="FA82" i="338"/>
  <c r="FA81" i="338"/>
  <c r="FA80" i="338"/>
  <c r="FA79" i="338"/>
  <c r="FA78" i="338"/>
  <c r="FA77" i="338"/>
  <c r="FA76" i="338"/>
  <c r="FA75" i="338"/>
  <c r="EU94" i="338"/>
  <c r="EU89" i="338"/>
  <c r="EU88" i="338"/>
  <c r="EU87" i="338"/>
  <c r="EU86" i="338"/>
  <c r="EU85" i="338"/>
  <c r="EU84" i="338"/>
  <c r="EU83" i="338"/>
  <c r="EU82" i="338"/>
  <c r="EU81" i="338"/>
  <c r="EU80" i="338"/>
  <c r="EU79" i="338"/>
  <c r="EU78" i="338"/>
  <c r="EU77" i="338"/>
  <c r="EU76" i="338"/>
  <c r="EU75" i="338"/>
  <c r="EO94" i="338"/>
  <c r="EO87" i="338"/>
  <c r="EO86" i="338"/>
  <c r="EO85" i="338"/>
  <c r="EO84" i="338"/>
  <c r="EO83" i="338"/>
  <c r="EO82" i="338"/>
  <c r="EO81" i="338"/>
  <c r="EO80" i="338"/>
  <c r="EO79" i="338"/>
  <c r="EO78" i="338"/>
  <c r="EO77" i="338"/>
  <c r="EO76" i="338"/>
  <c r="EO75" i="338"/>
  <c r="EI94" i="338"/>
  <c r="EI90" i="338"/>
  <c r="EI87" i="338"/>
  <c r="EI83" i="338"/>
  <c r="EI82" i="338"/>
  <c r="EI81" i="338"/>
  <c r="EI80" i="338"/>
  <c r="EI79" i="338"/>
  <c r="EI78" i="338"/>
  <c r="EI77" i="338"/>
  <c r="EI76" i="338"/>
  <c r="FA52" i="338"/>
  <c r="FA50" i="338"/>
  <c r="FA49" i="338"/>
  <c r="FA48" i="338"/>
  <c r="FA47" i="338"/>
  <c r="EU52" i="338"/>
  <c r="EU50" i="338"/>
  <c r="EU49" i="338"/>
  <c r="EU48" i="338"/>
  <c r="EU47" i="338"/>
  <c r="EO52" i="338"/>
  <c r="EO50" i="338"/>
  <c r="EO49" i="338"/>
  <c r="EO48" i="338"/>
  <c r="EO47" i="338"/>
  <c r="FA27" i="338"/>
  <c r="FA26" i="338"/>
  <c r="FA25" i="338"/>
  <c r="EU27" i="338"/>
  <c r="EU26" i="338"/>
  <c r="EU25" i="338"/>
  <c r="EZ32" i="335"/>
  <c r="FE43" i="3"/>
  <c r="FE97" i="3" s="1"/>
  <c r="FG10" i="338"/>
  <c r="FE198" i="336"/>
  <c r="FG11" i="338"/>
  <c r="FE184" i="336"/>
  <c r="FE208" i="336" s="1"/>
  <c r="FC549" i="338"/>
  <c r="FF382" i="338"/>
  <c r="FG382" i="338"/>
  <c r="FG24" i="338"/>
  <c r="FE15" i="3"/>
  <c r="FE28" i="3"/>
  <c r="FE40" i="3"/>
  <c r="FD80" i="3"/>
  <c r="FD84" i="3"/>
  <c r="FD183" i="336"/>
  <c r="FD198" i="336"/>
  <c r="FF43" i="3"/>
  <c r="FG43" i="3" s="1"/>
  <c r="FE183" i="336"/>
  <c r="FE80" i="3"/>
  <c r="FF28" i="3"/>
  <c r="FE94" i="3"/>
  <c r="FF40" i="3"/>
  <c r="FF15" i="3"/>
  <c r="FG15" i="3" s="1"/>
  <c r="FE66" i="3"/>
  <c r="FF183" i="336"/>
  <c r="FF198" i="336"/>
  <c r="FF184" i="336"/>
  <c r="FG185" i="336"/>
  <c r="FF97" i="3"/>
  <c r="FF80" i="3"/>
  <c r="FG28" i="3"/>
  <c r="FF94" i="3"/>
  <c r="FG40" i="3"/>
  <c r="FF208" i="336"/>
  <c r="FG80" i="3"/>
  <c r="EV464" i="335"/>
  <c r="EP464" i="335"/>
  <c r="EM464" i="335"/>
  <c r="EL464" i="335"/>
  <c r="EJ464" i="335"/>
  <c r="ED464" i="335"/>
  <c r="DX464" i="335"/>
  <c r="DU464" i="335"/>
  <c r="DT464" i="335"/>
  <c r="DS464" i="335"/>
  <c r="EM672" i="338"/>
  <c r="EM595" i="338"/>
  <c r="EM587" i="338"/>
  <c r="EM588" i="338" s="1"/>
  <c r="EM580" i="338"/>
  <c r="EM579" i="338"/>
  <c r="ES583" i="338" s="1"/>
  <c r="EM575" i="338"/>
  <c r="EM569" i="338"/>
  <c r="EM570" i="338" s="1"/>
  <c r="EM562" i="338"/>
  <c r="EM563" i="338" s="1"/>
  <c r="EM98" i="336"/>
  <c r="EM99" i="336" s="1"/>
  <c r="EM576" i="338"/>
  <c r="EI368" i="338"/>
  <c r="EI367" i="338"/>
  <c r="EI366" i="338"/>
  <c r="EI365" i="338"/>
  <c r="EG352" i="338"/>
  <c r="EF352" i="338"/>
  <c r="EM352" i="338"/>
  <c r="ES353" i="338"/>
  <c r="EL352" i="338"/>
  <c r="ER353" i="338" s="1"/>
  <c r="EK352" i="338"/>
  <c r="EQ353" i="338"/>
  <c r="EE352" i="338"/>
  <c r="EI350" i="338"/>
  <c r="EF348" i="338"/>
  <c r="EG348" i="338"/>
  <c r="EH348" i="338"/>
  <c r="EK348" i="338"/>
  <c r="EL348" i="338"/>
  <c r="EM348" i="338"/>
  <c r="EE348" i="338"/>
  <c r="EI347" i="338"/>
  <c r="EI346" i="338"/>
  <c r="EB346" i="338"/>
  <c r="EA346" i="338"/>
  <c r="EL353" i="338"/>
  <c r="EK353" i="338"/>
  <c r="EM353" i="338"/>
  <c r="EI348" i="338"/>
  <c r="EI351" i="338"/>
  <c r="EI352" i="338" s="1"/>
  <c r="EH352" i="338"/>
  <c r="EN353" i="338" s="1"/>
  <c r="EM447" i="338"/>
  <c r="EM448" i="338"/>
  <c r="EM20" i="11"/>
  <c r="EM19" i="11"/>
  <c r="EM18" i="11"/>
  <c r="EN486" i="338"/>
  <c r="EN485" i="338"/>
  <c r="EM40" i="3"/>
  <c r="EN94" i="3"/>
  <c r="EM38" i="3"/>
  <c r="EN92" i="3"/>
  <c r="EM16" i="3"/>
  <c r="EN67" i="3"/>
  <c r="EN76" i="3"/>
  <c r="EM40" i="336"/>
  <c r="EM34" i="336"/>
  <c r="EM14" i="336"/>
  <c r="EM18" i="336"/>
  <c r="EM138" i="335"/>
  <c r="EM135" i="335"/>
  <c r="EM132" i="335"/>
  <c r="EM126" i="335"/>
  <c r="EM127" i="335"/>
  <c r="FE127" i="335"/>
  <c r="FK127" i="335" s="1"/>
  <c r="EM116" i="335"/>
  <c r="EM107" i="335"/>
  <c r="EM184" i="335"/>
  <c r="EM153" i="335"/>
  <c r="EM150" i="335"/>
  <c r="ER370" i="335"/>
  <c r="EM147" i="335"/>
  <c r="EM129" i="335"/>
  <c r="EM130" i="335" s="1"/>
  <c r="EN95" i="3"/>
  <c r="EN99" i="3" s="1"/>
  <c r="EN105" i="3"/>
  <c r="EN87" i="3"/>
  <c r="EM255" i="338"/>
  <c r="EM193" i="336"/>
  <c r="EM166" i="336"/>
  <c r="EM156" i="336"/>
  <c r="EM136" i="336"/>
  <c r="EM131" i="336"/>
  <c r="EM106" i="336"/>
  <c r="EM308" i="335"/>
  <c r="EM309" i="335"/>
  <c r="EM195" i="335"/>
  <c r="EM136" i="335"/>
  <c r="EM133" i="335"/>
  <c r="EM117" i="335"/>
  <c r="EN108" i="3"/>
  <c r="EN109" i="3"/>
  <c r="EM61" i="335"/>
  <c r="EM50" i="335"/>
  <c r="FK50" i="335" s="1"/>
  <c r="EM30" i="335"/>
  <c r="EM18" i="335"/>
  <c r="FA743" i="338"/>
  <c r="FA718" i="338"/>
  <c r="FA6" i="338"/>
  <c r="FA550" i="338" s="1"/>
  <c r="EZ6" i="338"/>
  <c r="EZ425" i="338" s="1"/>
  <c r="EY6" i="338"/>
  <c r="EY425" i="338" s="1"/>
  <c r="EX6" i="338"/>
  <c r="EW6" i="338"/>
  <c r="EW425" i="338" s="1"/>
  <c r="EU6" i="338"/>
  <c r="EU550" i="338" s="1"/>
  <c r="ET6" i="338"/>
  <c r="ET382" i="338" s="1"/>
  <c r="ES6" i="338"/>
  <c r="ER6" i="338"/>
  <c r="ER550" i="338" s="1"/>
  <c r="EQ6" i="338"/>
  <c r="EQ382" i="338" s="1"/>
  <c r="EL672" i="338"/>
  <c r="EL595" i="338"/>
  <c r="EL587" i="338"/>
  <c r="EL588" i="338" s="1"/>
  <c r="EL580" i="338"/>
  <c r="EL579" i="338"/>
  <c r="EL575" i="338"/>
  <c r="EL569" i="338"/>
  <c r="EL570" i="338" s="1"/>
  <c r="EL562" i="338"/>
  <c r="EL563" i="338" s="1"/>
  <c r="EL20" i="11"/>
  <c r="EL19" i="11"/>
  <c r="EL18" i="11"/>
  <c r="EK18" i="11"/>
  <c r="EK19" i="11"/>
  <c r="EK20" i="11"/>
  <c r="DS83" i="335"/>
  <c r="EL79" i="335"/>
  <c r="ER80" i="335" s="1"/>
  <c r="EL83" i="335"/>
  <c r="EL156" i="336"/>
  <c r="EL90" i="3"/>
  <c r="EL185" i="336" s="1"/>
  <c r="EL198" i="336" s="1"/>
  <c r="EM486" i="338"/>
  <c r="EM485" i="338"/>
  <c r="EL410" i="338"/>
  <c r="EL408" i="338"/>
  <c r="EL407" i="338"/>
  <c r="EL398" i="338"/>
  <c r="EL397" i="338"/>
  <c r="EL122" i="335"/>
  <c r="EL124" i="335"/>
  <c r="EL396" i="335"/>
  <c r="EL389" i="335"/>
  <c r="EL388" i="335"/>
  <c r="EL379" i="335"/>
  <c r="EL378" i="335"/>
  <c r="EL377" i="335"/>
  <c r="EL376" i="335"/>
  <c r="EL308" i="335"/>
  <c r="EL283" i="335"/>
  <c r="EL184" i="335"/>
  <c r="EL153" i="335"/>
  <c r="EL150" i="335"/>
  <c r="EL147" i="335"/>
  <c r="EL158" i="335"/>
  <c r="EL138" i="335"/>
  <c r="EL135" i="335"/>
  <c r="EL136" i="335"/>
  <c r="FD136" i="335"/>
  <c r="FJ136" i="335" s="1"/>
  <c r="EL132" i="335"/>
  <c r="EL126" i="335"/>
  <c r="EL127" i="335"/>
  <c r="EL116" i="335"/>
  <c r="EL107" i="335"/>
  <c r="EL108" i="335" s="1"/>
  <c r="EL117" i="335"/>
  <c r="EL255" i="338"/>
  <c r="EK255" i="338"/>
  <c r="EL61" i="335"/>
  <c r="EL30" i="335"/>
  <c r="EL40" i="3"/>
  <c r="EL38" i="3"/>
  <c r="EL16" i="3"/>
  <c r="EL206" i="336"/>
  <c r="EL195" i="336"/>
  <c r="EL166" i="336"/>
  <c r="ER167" i="336" s="1"/>
  <c r="EL136" i="336"/>
  <c r="EL107" i="336"/>
  <c r="EL106" i="336"/>
  <c r="EL98" i="336"/>
  <c r="EL99" i="336" s="1"/>
  <c r="EL34" i="336"/>
  <c r="EL18" i="336"/>
  <c r="EL18" i="335"/>
  <c r="EK672" i="338"/>
  <c r="EK595" i="338"/>
  <c r="EK587" i="338"/>
  <c r="EK588" i="338" s="1"/>
  <c r="EK580" i="338"/>
  <c r="EK579" i="338"/>
  <c r="EK575" i="338"/>
  <c r="EK569" i="338"/>
  <c r="EK570" i="338" s="1"/>
  <c r="EK562" i="338"/>
  <c r="EK563" i="338" s="1"/>
  <c r="EK38" i="336"/>
  <c r="EM154" i="338"/>
  <c r="EM90" i="338"/>
  <c r="EL154" i="338"/>
  <c r="EL28" i="338"/>
  <c r="ER268" i="338"/>
  <c r="EX268" i="338" s="1"/>
  <c r="FD268" i="338" s="1"/>
  <c r="FJ268" i="338" s="1"/>
  <c r="EU151" i="338"/>
  <c r="FA150" i="338"/>
  <c r="EU150" i="338"/>
  <c r="FA149" i="338"/>
  <c r="EU149" i="338"/>
  <c r="FA148" i="338"/>
  <c r="EU148" i="338"/>
  <c r="FA147" i="338"/>
  <c r="EU147" i="338"/>
  <c r="FA146" i="338"/>
  <c r="EU146" i="338"/>
  <c r="FA145" i="338"/>
  <c r="EU145" i="338"/>
  <c r="FA144" i="338"/>
  <c r="EU144" i="338"/>
  <c r="FA143" i="338"/>
  <c r="EU143" i="338"/>
  <c r="FA142" i="338"/>
  <c r="EU142" i="338"/>
  <c r="FA141" i="338"/>
  <c r="EU141" i="338"/>
  <c r="FA140" i="338"/>
  <c r="EU140" i="338"/>
  <c r="FA139" i="338"/>
  <c r="EU139" i="338"/>
  <c r="FA138" i="338"/>
  <c r="EU138" i="338"/>
  <c r="FA137" i="338"/>
  <c r="EU137" i="338"/>
  <c r="FA136" i="338"/>
  <c r="EU136" i="338"/>
  <c r="FA135" i="338"/>
  <c r="EU135" i="338"/>
  <c r="FA134" i="338"/>
  <c r="EU134" i="338"/>
  <c r="FA133" i="338"/>
  <c r="EU133" i="338"/>
  <c r="FA132" i="338"/>
  <c r="EU132" i="338"/>
  <c r="FA131" i="338"/>
  <c r="EU131" i="338"/>
  <c r="FA130" i="338"/>
  <c r="EU130" i="338"/>
  <c r="FA129" i="338"/>
  <c r="EU129" i="338"/>
  <c r="FA128" i="338"/>
  <c r="EU128" i="338"/>
  <c r="FA127" i="338"/>
  <c r="EU127" i="338"/>
  <c r="FA126" i="338"/>
  <c r="EU126" i="338"/>
  <c r="FA125" i="338"/>
  <c r="EU125" i="338"/>
  <c r="FA124" i="338"/>
  <c r="EU124" i="338"/>
  <c r="FA123" i="338"/>
  <c r="EU123" i="338"/>
  <c r="FA122" i="338"/>
  <c r="EU122" i="338"/>
  <c r="FA121" i="338"/>
  <c r="EU121" i="338"/>
  <c r="FA120" i="338"/>
  <c r="EU120" i="338"/>
  <c r="FA119" i="338"/>
  <c r="EU119" i="338"/>
  <c r="FA118" i="338"/>
  <c r="EU118" i="338"/>
  <c r="FA117" i="338"/>
  <c r="EU117" i="338"/>
  <c r="FA116" i="338"/>
  <c r="EU116" i="338"/>
  <c r="FA115" i="338"/>
  <c r="EU115" i="338"/>
  <c r="FA101" i="338"/>
  <c r="EU101" i="338"/>
  <c r="EQ90" i="338"/>
  <c r="EQ11" i="338" s="1"/>
  <c r="FA74" i="338"/>
  <c r="EU74" i="338"/>
  <c r="FA73" i="338"/>
  <c r="EU73" i="338"/>
  <c r="FA72" i="338"/>
  <c r="EU72" i="338"/>
  <c r="FA71" i="338"/>
  <c r="EU71" i="338"/>
  <c r="FA70" i="338"/>
  <c r="EU70" i="338"/>
  <c r="FA69" i="338"/>
  <c r="EU69" i="338"/>
  <c r="FA68" i="338"/>
  <c r="EU68" i="338"/>
  <c r="FA67" i="338"/>
  <c r="EU67" i="338"/>
  <c r="FA66" i="338"/>
  <c r="EU66" i="338"/>
  <c r="FA65" i="338"/>
  <c r="EU65" i="338"/>
  <c r="FA64" i="338"/>
  <c r="EU64" i="338"/>
  <c r="FA63" i="338"/>
  <c r="EU63" i="338"/>
  <c r="FA62" i="338"/>
  <c r="EU62" i="338"/>
  <c r="FA61" i="338"/>
  <c r="EU61" i="338"/>
  <c r="FA60" i="338"/>
  <c r="EU60" i="338"/>
  <c r="FA59" i="338"/>
  <c r="EU59" i="338"/>
  <c r="FA46" i="338"/>
  <c r="EU46" i="338"/>
  <c r="FA45" i="338"/>
  <c r="EU45" i="338"/>
  <c r="FA44" i="338"/>
  <c r="EU44" i="338"/>
  <c r="FA43" i="338"/>
  <c r="EU43" i="338"/>
  <c r="FA42" i="338"/>
  <c r="EU42" i="338"/>
  <c r="FA41" i="338"/>
  <c r="EU41" i="338"/>
  <c r="EQ28" i="338"/>
  <c r="EU28" i="338" s="1"/>
  <c r="EZ24" i="338"/>
  <c r="EY24" i="338"/>
  <c r="EX24" i="338"/>
  <c r="EW24" i="338"/>
  <c r="ET24" i="338"/>
  <c r="ES24" i="338"/>
  <c r="ER24" i="338"/>
  <c r="EQ24" i="338"/>
  <c r="EZ10" i="338"/>
  <c r="EY10" i="338"/>
  <c r="EX10" i="338"/>
  <c r="EW10" i="338"/>
  <c r="ET10" i="338"/>
  <c r="ES10" i="338"/>
  <c r="ER10" i="338"/>
  <c r="EN90" i="338"/>
  <c r="EN11" i="338" s="1"/>
  <c r="EN28" i="338"/>
  <c r="EK156" i="336"/>
  <c r="EL486" i="338"/>
  <c r="EL485" i="338"/>
  <c r="EK410" i="338"/>
  <c r="EK408" i="338"/>
  <c r="EK407" i="338"/>
  <c r="EK398" i="338"/>
  <c r="EK397" i="338"/>
  <c r="EK320" i="338"/>
  <c r="EK97" i="3"/>
  <c r="EK93" i="3"/>
  <c r="EK91" i="3"/>
  <c r="EK90" i="3"/>
  <c r="EK185" i="336" s="1"/>
  <c r="EK198" i="336" s="1"/>
  <c r="EK84" i="3"/>
  <c r="EK83" i="3"/>
  <c r="EK82" i="3"/>
  <c r="EK81" i="3"/>
  <c r="EK80" i="3"/>
  <c r="EK75" i="3"/>
  <c r="EK74" i="3"/>
  <c r="EK73" i="3"/>
  <c r="EK72" i="3"/>
  <c r="EK71" i="3"/>
  <c r="EK70" i="3"/>
  <c r="EK66" i="3"/>
  <c r="EK65" i="3"/>
  <c r="EK64" i="3"/>
  <c r="EK63" i="3"/>
  <c r="EK60" i="3"/>
  <c r="EK40" i="3"/>
  <c r="EK94" i="3"/>
  <c r="EK38" i="3"/>
  <c r="EK92" i="3"/>
  <c r="EK16" i="3"/>
  <c r="EK67" i="3"/>
  <c r="EK58" i="3"/>
  <c r="EK7" i="3" s="1"/>
  <c r="EK57" i="3"/>
  <c r="EK6" i="3" s="1"/>
  <c r="EK33" i="3"/>
  <c r="EK206" i="336"/>
  <c r="EK195" i="336"/>
  <c r="EK136" i="336"/>
  <c r="EK107" i="336"/>
  <c r="EK106" i="336"/>
  <c r="EK98" i="336"/>
  <c r="EK45" i="336"/>
  <c r="EK46" i="336" s="1"/>
  <c r="EK40" i="336"/>
  <c r="EK34" i="336"/>
  <c r="EK28" i="336"/>
  <c r="EK30" i="336"/>
  <c r="EK20" i="336"/>
  <c r="EK18" i="336"/>
  <c r="EK15" i="336"/>
  <c r="EK396" i="335"/>
  <c r="EK389" i="335"/>
  <c r="EK388" i="335"/>
  <c r="EK308" i="335"/>
  <c r="EK283" i="335"/>
  <c r="EK225" i="335"/>
  <c r="EK184" i="335"/>
  <c r="EK153" i="335"/>
  <c r="EL320" i="335"/>
  <c r="EK150" i="335"/>
  <c r="EK147" i="335"/>
  <c r="EK165" i="335"/>
  <c r="EK159" i="335"/>
  <c r="EK158" i="335"/>
  <c r="EK138" i="335"/>
  <c r="EK135" i="335"/>
  <c r="EK132" i="335"/>
  <c r="EK126" i="335"/>
  <c r="EK127" i="335"/>
  <c r="EK116" i="335"/>
  <c r="EK122" i="335"/>
  <c r="EK67" i="335"/>
  <c r="EK56" i="335"/>
  <c r="EK62" i="335"/>
  <c r="EK61" i="335"/>
  <c r="EK46" i="335"/>
  <c r="EK31" i="335"/>
  <c r="EK30" i="335"/>
  <c r="EK35" i="335"/>
  <c r="EK19" i="335"/>
  <c r="EK18" i="335"/>
  <c r="EK25" i="3"/>
  <c r="EK51" i="3" s="1"/>
  <c r="EK87" i="3" s="1"/>
  <c r="EK41" i="3"/>
  <c r="DS24" i="338"/>
  <c r="DT24" i="338"/>
  <c r="DU24" i="338"/>
  <c r="DU33" i="338" s="1"/>
  <c r="DU36" i="338" s="1"/>
  <c r="DZ84" i="338"/>
  <c r="EA84" i="338"/>
  <c r="EA85" i="338"/>
  <c r="EB84" i="338"/>
  <c r="EB85" i="338"/>
  <c r="EC35" i="338"/>
  <c r="DW35" i="338"/>
  <c r="DQ35" i="338"/>
  <c r="EE35" i="338"/>
  <c r="EB35" i="338"/>
  <c r="EA35" i="338"/>
  <c r="DZ35" i="338"/>
  <c r="DY35" i="338"/>
  <c r="DV35" i="338"/>
  <c r="DU35" i="338"/>
  <c r="DT35" i="338"/>
  <c r="DS35" i="338"/>
  <c r="DP35" i="338"/>
  <c r="DO35" i="338"/>
  <c r="DN35" i="338"/>
  <c r="DM35" i="338"/>
  <c r="DP330" i="338"/>
  <c r="DO330" i="338"/>
  <c r="DN14" i="335"/>
  <c r="DN172" i="338" s="1"/>
  <c r="EA138" i="335"/>
  <c r="EA147" i="335"/>
  <c r="DZ138" i="335"/>
  <c r="DZ147" i="335"/>
  <c r="ED104" i="335"/>
  <c r="EH342" i="338"/>
  <c r="EG342" i="338"/>
  <c r="EB342" i="338"/>
  <c r="EA342" i="338"/>
  <c r="EH282" i="338"/>
  <c r="EH387" i="335" s="1"/>
  <c r="EI21" i="11"/>
  <c r="EI20" i="11"/>
  <c r="EI19" i="11"/>
  <c r="EI18" i="11"/>
  <c r="EC585" i="338"/>
  <c r="EB585" i="338" s="1"/>
  <c r="EI672" i="338"/>
  <c r="EI575" i="338"/>
  <c r="EI576" i="338" s="1"/>
  <c r="EC575" i="338"/>
  <c r="EC576" i="338" s="1"/>
  <c r="EI569" i="338"/>
  <c r="EI570" i="338" s="1"/>
  <c r="EC569" i="338"/>
  <c r="EC570" i="338" s="1"/>
  <c r="EI562" i="338"/>
  <c r="EI563" i="338"/>
  <c r="EC562" i="338"/>
  <c r="EC563" i="338" s="1"/>
  <c r="EI595" i="338"/>
  <c r="EO666" i="338" s="1"/>
  <c r="EB591" i="338"/>
  <c r="EC595" i="338"/>
  <c r="EI580" i="338"/>
  <c r="EI579" i="338"/>
  <c r="EH731" i="338"/>
  <c r="EH672" i="338"/>
  <c r="EH574" i="338"/>
  <c r="EH573" i="338"/>
  <c r="EH566" i="338"/>
  <c r="EH568" i="338"/>
  <c r="EH567" i="338"/>
  <c r="EH561" i="338"/>
  <c r="EH560" i="338"/>
  <c r="EA75" i="335"/>
  <c r="EC293" i="338"/>
  <c r="EI293" i="338"/>
  <c r="EH98" i="336"/>
  <c r="EH99" i="336" s="1"/>
  <c r="EB573" i="338"/>
  <c r="EB574" i="338"/>
  <c r="EB560" i="338"/>
  <c r="EB561" i="338"/>
  <c r="EB566" i="338"/>
  <c r="EB579" i="338" s="1"/>
  <c r="EB567" i="338"/>
  <c r="EB568" i="338"/>
  <c r="EH126" i="335"/>
  <c r="EH116" i="335"/>
  <c r="EH122" i="335"/>
  <c r="EA126" i="335"/>
  <c r="EA116" i="335"/>
  <c r="EA107" i="335"/>
  <c r="EA122" i="335"/>
  <c r="EG126" i="335"/>
  <c r="EG116" i="335"/>
  <c r="EG122" i="335"/>
  <c r="DZ126" i="335"/>
  <c r="DZ116" i="335"/>
  <c r="DZ122" i="335"/>
  <c r="EF126" i="335"/>
  <c r="EF116" i="335"/>
  <c r="EF122" i="335"/>
  <c r="DY126" i="335"/>
  <c r="DY116" i="335"/>
  <c r="DY107" i="335"/>
  <c r="DY122" i="335"/>
  <c r="EE126" i="335"/>
  <c r="EE127" i="335"/>
  <c r="EE116" i="335"/>
  <c r="EE122" i="335"/>
  <c r="EA117" i="335"/>
  <c r="DV126" i="335"/>
  <c r="DV116" i="335"/>
  <c r="DV122" i="335"/>
  <c r="EB126" i="335"/>
  <c r="EB127" i="335"/>
  <c r="EB116" i="335"/>
  <c r="EB122" i="335"/>
  <c r="EI189" i="336"/>
  <c r="EI186" i="336"/>
  <c r="EK75" i="335"/>
  <c r="EK87" i="335"/>
  <c r="EH156" i="336"/>
  <c r="EK7" i="11"/>
  <c r="EK132" i="11" s="1"/>
  <c r="EK489" i="338"/>
  <c r="EI157" i="336"/>
  <c r="EI156" i="336"/>
  <c r="EI155" i="336"/>
  <c r="EI154" i="336"/>
  <c r="EI153" i="336"/>
  <c r="EI152" i="336"/>
  <c r="EI151" i="336"/>
  <c r="EI180" i="336"/>
  <c r="EH39" i="3"/>
  <c r="EH40" i="3"/>
  <c r="EH16" i="3"/>
  <c r="EH206" i="336"/>
  <c r="EH195" i="336"/>
  <c r="EH136" i="336"/>
  <c r="EI136" i="336" s="1"/>
  <c r="EH107" i="336"/>
  <c r="EH106" i="336"/>
  <c r="EH34" i="336"/>
  <c r="EH28" i="336"/>
  <c r="EH18" i="336"/>
  <c r="EH20" i="336"/>
  <c r="EH320" i="338"/>
  <c r="EH300" i="338"/>
  <c r="EH255" i="338"/>
  <c r="EH184" i="335"/>
  <c r="EH158" i="335"/>
  <c r="EH153" i="335"/>
  <c r="EH150" i="335"/>
  <c r="EH147" i="335"/>
  <c r="EK318" i="335"/>
  <c r="EH138" i="335"/>
  <c r="EH135" i="335"/>
  <c r="EH132" i="335"/>
  <c r="EH131" i="336"/>
  <c r="EH67" i="335"/>
  <c r="EH61" i="335"/>
  <c r="EH35" i="335"/>
  <c r="EH46" i="335"/>
  <c r="EH30" i="335"/>
  <c r="EH18" i="335"/>
  <c r="EL91" i="336"/>
  <c r="EL452" i="335" s="1"/>
  <c r="EL88" i="336"/>
  <c r="EL449" i="335" s="1"/>
  <c r="EL81" i="336"/>
  <c r="EL442" i="335" s="1"/>
  <c r="EL79" i="336"/>
  <c r="EL440" i="335" s="1"/>
  <c r="EL75" i="336"/>
  <c r="EL436" i="335" s="1"/>
  <c r="EL68" i="336"/>
  <c r="EL429" i="335" s="1"/>
  <c r="DM14" i="335"/>
  <c r="DM172" i="338" s="1"/>
  <c r="DV6" i="338"/>
  <c r="DV425" i="338" s="1"/>
  <c r="DY6" i="338"/>
  <c r="DZ6" i="338"/>
  <c r="DZ425" i="338" s="1"/>
  <c r="EA6" i="338"/>
  <c r="EA425" i="338" s="1"/>
  <c r="EB6" i="338"/>
  <c r="EB382" i="338" s="1"/>
  <c r="EE6" i="338"/>
  <c r="EF6" i="338"/>
  <c r="EF425" i="338" s="1"/>
  <c r="EG6" i="338"/>
  <c r="EM19" i="335"/>
  <c r="EQ473" i="338"/>
  <c r="EQ474" i="338" s="1"/>
  <c r="EM62" i="335"/>
  <c r="DQ60" i="335"/>
  <c r="DK60" i="335"/>
  <c r="DE60" i="335"/>
  <c r="DE100" i="338" s="1"/>
  <c r="FS223" i="335"/>
  <c r="FT223" i="335"/>
  <c r="FU223" i="335"/>
  <c r="FV223" i="335"/>
  <c r="FW223" i="335"/>
  <c r="FU184" i="335"/>
  <c r="FT184" i="335"/>
  <c r="FS184" i="335"/>
  <c r="FW178" i="335"/>
  <c r="FV178" i="335"/>
  <c r="FU178" i="335"/>
  <c r="FT178" i="335"/>
  <c r="FS178" i="335"/>
  <c r="FW177" i="335"/>
  <c r="FV177" i="335"/>
  <c r="FU177" i="335"/>
  <c r="FT177" i="335"/>
  <c r="FS177" i="335"/>
  <c r="FW156" i="335"/>
  <c r="FV156" i="335"/>
  <c r="FU156" i="335"/>
  <c r="FT156" i="335"/>
  <c r="FW97" i="335"/>
  <c r="FV97" i="335"/>
  <c r="FU97" i="335"/>
  <c r="FT97" i="335"/>
  <c r="FS97" i="335"/>
  <c r="FS74" i="335"/>
  <c r="FS73" i="335"/>
  <c r="FS72" i="335"/>
  <c r="FT67" i="335"/>
  <c r="FS67" i="335"/>
  <c r="FU60" i="335"/>
  <c r="FT60" i="335"/>
  <c r="FS60" i="335"/>
  <c r="FS46" i="335"/>
  <c r="FT42" i="335"/>
  <c r="FS42" i="335"/>
  <c r="FT39" i="335"/>
  <c r="FS39" i="335"/>
  <c r="FW29" i="335"/>
  <c r="FV29" i="335"/>
  <c r="FU29" i="335"/>
  <c r="FT29" i="335"/>
  <c r="FS29" i="335"/>
  <c r="FT35" i="335"/>
  <c r="FS35" i="335"/>
  <c r="FW17" i="335"/>
  <c r="FV17" i="335"/>
  <c r="FU17" i="335"/>
  <c r="FT17" i="335"/>
  <c r="FS17" i="335"/>
  <c r="FP156" i="335"/>
  <c r="EG21" i="11"/>
  <c r="EG20" i="11"/>
  <c r="EG19" i="11"/>
  <c r="EG18" i="11"/>
  <c r="EG98" i="336"/>
  <c r="EG99" i="336" s="1"/>
  <c r="EG672" i="338"/>
  <c r="EG587" i="338"/>
  <c r="EG588" i="338" s="1"/>
  <c r="EG580" i="338"/>
  <c r="EG579" i="338"/>
  <c r="EG575" i="338"/>
  <c r="EG576" i="338" s="1"/>
  <c r="EG569" i="338"/>
  <c r="EG570" i="338" s="1"/>
  <c r="EG562" i="338"/>
  <c r="EG563" i="338" s="1"/>
  <c r="EG595" i="338"/>
  <c r="EA595" i="338"/>
  <c r="EA666" i="338" s="1"/>
  <c r="EE50" i="335"/>
  <c r="EG156" i="336"/>
  <c r="EG320" i="338"/>
  <c r="EH472" i="338"/>
  <c r="EH471" i="338"/>
  <c r="EG473" i="338"/>
  <c r="EG255" i="338"/>
  <c r="EG195" i="336"/>
  <c r="EG171" i="336"/>
  <c r="EG136" i="336"/>
  <c r="EG107" i="336"/>
  <c r="EG106" i="336"/>
  <c r="EG40" i="3"/>
  <c r="EG39" i="3"/>
  <c r="EG16" i="3"/>
  <c r="EG34" i="336"/>
  <c r="EG28" i="336"/>
  <c r="EG20" i="336"/>
  <c r="EG18" i="336"/>
  <c r="EH21" i="11"/>
  <c r="EG184" i="335"/>
  <c r="EG158" i="335"/>
  <c r="EG153" i="335"/>
  <c r="EL153" i="338"/>
  <c r="EL27" i="338"/>
  <c r="EK153" i="338"/>
  <c r="EK89" i="338"/>
  <c r="EH153" i="338"/>
  <c r="EH89" i="338"/>
  <c r="EG153" i="338"/>
  <c r="EG150" i="335"/>
  <c r="EG147" i="335"/>
  <c r="EG138" i="335"/>
  <c r="EG135" i="335"/>
  <c r="EG132" i="335"/>
  <c r="EG129" i="335"/>
  <c r="EG35" i="335"/>
  <c r="EG466" i="338"/>
  <c r="EG67" i="335"/>
  <c r="EG62" i="335"/>
  <c r="EG46" i="335"/>
  <c r="EG83" i="335"/>
  <c r="EG31" i="335"/>
  <c r="EG30" i="335"/>
  <c r="EG19" i="335"/>
  <c r="EG18" i="335"/>
  <c r="EG89" i="338"/>
  <c r="EG27" i="338"/>
  <c r="EF255" i="338"/>
  <c r="EF21" i="11"/>
  <c r="EF20" i="11"/>
  <c r="EF19" i="11"/>
  <c r="EF18" i="11"/>
  <c r="EB75" i="335"/>
  <c r="EE75" i="335"/>
  <c r="EF75" i="335"/>
  <c r="DY75" i="335"/>
  <c r="DY48" i="11"/>
  <c r="DV75" i="335"/>
  <c r="DZ75" i="335"/>
  <c r="DU75" i="335"/>
  <c r="DJ14" i="335"/>
  <c r="DJ172" i="338" s="1"/>
  <c r="DS75" i="335"/>
  <c r="DT75" i="335"/>
  <c r="DT48" i="11"/>
  <c r="DI75" i="335"/>
  <c r="DI87" i="335" s="1"/>
  <c r="DJ75" i="335"/>
  <c r="DJ286" i="335" s="1"/>
  <c r="DH14" i="335"/>
  <c r="DH172" i="338" s="1"/>
  <c r="DI14" i="335"/>
  <c r="DI172" i="338" s="1"/>
  <c r="EA176" i="335"/>
  <c r="EA214" i="335" s="1"/>
  <c r="EB179" i="335"/>
  <c r="EB180" i="335"/>
  <c r="FW180" i="335" s="1"/>
  <c r="EE176" i="335"/>
  <c r="EE214" i="335" s="1"/>
  <c r="EF176" i="335"/>
  <c r="EF214" i="335" s="1"/>
  <c r="CR179" i="335"/>
  <c r="CR180" i="335"/>
  <c r="CU180" i="335" s="1"/>
  <c r="DC14" i="335"/>
  <c r="DD14" i="335"/>
  <c r="DD172" i="338" s="1"/>
  <c r="DG14" i="335"/>
  <c r="DG172" i="338" s="1"/>
  <c r="DC75" i="335"/>
  <c r="DC87" i="335" s="1"/>
  <c r="DD75" i="335"/>
  <c r="DG75" i="335"/>
  <c r="DH75" i="335"/>
  <c r="EK376" i="335"/>
  <c r="EZ106" i="336"/>
  <c r="FE106" i="336"/>
  <c r="C6" i="338"/>
  <c r="D6" i="338"/>
  <c r="D382" i="338" s="1"/>
  <c r="E6" i="338"/>
  <c r="E382" i="338" s="1"/>
  <c r="F6" i="338"/>
  <c r="F382" i="338" s="1"/>
  <c r="G6" i="338"/>
  <c r="G382" i="338" s="1"/>
  <c r="H6" i="338"/>
  <c r="H382" i="338" s="1"/>
  <c r="I6" i="338"/>
  <c r="I382" i="338" s="1"/>
  <c r="J6" i="338"/>
  <c r="J382" i="338" s="1"/>
  <c r="K6" i="338"/>
  <c r="K382" i="338" s="1"/>
  <c r="L6" i="338"/>
  <c r="L382" i="338" s="1"/>
  <c r="M6" i="338"/>
  <c r="M382" i="338" s="1"/>
  <c r="O6" i="338"/>
  <c r="O382" i="338" s="1"/>
  <c r="P6" i="338"/>
  <c r="P382" i="338" s="1"/>
  <c r="Q6" i="338"/>
  <c r="Q382" i="338" s="1"/>
  <c r="R6" i="338"/>
  <c r="R382" i="338" s="1"/>
  <c r="S6" i="338"/>
  <c r="S382" i="338" s="1"/>
  <c r="U6" i="338"/>
  <c r="U382" i="338" s="1"/>
  <c r="V6" i="338"/>
  <c r="V382" i="338" s="1"/>
  <c r="W6" i="338"/>
  <c r="W382" i="338" s="1"/>
  <c r="X6" i="338"/>
  <c r="X382" i="338" s="1"/>
  <c r="Y6" i="338"/>
  <c r="Y382" i="338" s="1"/>
  <c r="AA6" i="338"/>
  <c r="AA382" i="338" s="1"/>
  <c r="AB6" i="338"/>
  <c r="AB382" i="338" s="1"/>
  <c r="AC6" i="338"/>
  <c r="AC382" i="338" s="1"/>
  <c r="AD6" i="338"/>
  <c r="AD382" i="338" s="1"/>
  <c r="AE6" i="338"/>
  <c r="AE382" i="338" s="1"/>
  <c r="AG6" i="338"/>
  <c r="AG382" i="338" s="1"/>
  <c r="AH6" i="338"/>
  <c r="AH382" i="338" s="1"/>
  <c r="AI6" i="338"/>
  <c r="AI382" i="338" s="1"/>
  <c r="AJ6" i="338"/>
  <c r="AJ382" i="338" s="1"/>
  <c r="AK6" i="338"/>
  <c r="AK382" i="338" s="1"/>
  <c r="AM6" i="338"/>
  <c r="AM382" i="338" s="1"/>
  <c r="AN6" i="338"/>
  <c r="AN382" i="338" s="1"/>
  <c r="AO6" i="338"/>
  <c r="AO382" i="338" s="1"/>
  <c r="AP6" i="338"/>
  <c r="AP382" i="338" s="1"/>
  <c r="AQ6" i="338"/>
  <c r="AQ382" i="338" s="1"/>
  <c r="AS6" i="338"/>
  <c r="AS382" i="338" s="1"/>
  <c r="AT6" i="338"/>
  <c r="AU6" i="338"/>
  <c r="AU382" i="338" s="1"/>
  <c r="AV6" i="338"/>
  <c r="AV382" i="338" s="1"/>
  <c r="AW6" i="338"/>
  <c r="AW382" i="338" s="1"/>
  <c r="AY6" i="338"/>
  <c r="AY382" i="338" s="1"/>
  <c r="AZ6" i="338"/>
  <c r="AZ382" i="338" s="1"/>
  <c r="BA6" i="338"/>
  <c r="BA382" i="338" s="1"/>
  <c r="BB6" i="338"/>
  <c r="BB382" i="338" s="1"/>
  <c r="BC6" i="338"/>
  <c r="BC382" i="338" s="1"/>
  <c r="BE6" i="338"/>
  <c r="BE382" i="338" s="1"/>
  <c r="BF6" i="338"/>
  <c r="BF382" i="338" s="1"/>
  <c r="BG6" i="338"/>
  <c r="BG382" i="338" s="1"/>
  <c r="BH6" i="338"/>
  <c r="BH382" i="338" s="1"/>
  <c r="BI6" i="338"/>
  <c r="BI382" i="338" s="1"/>
  <c r="BK6" i="338"/>
  <c r="BK382" i="338" s="1"/>
  <c r="BL6" i="338"/>
  <c r="BL382" i="338" s="1"/>
  <c r="BM6" i="338"/>
  <c r="BM382" i="338" s="1"/>
  <c r="BN6" i="338"/>
  <c r="BN382" i="338" s="1"/>
  <c r="BO6" i="338"/>
  <c r="BO382" i="338" s="1"/>
  <c r="BQ6" i="338"/>
  <c r="BQ382" i="338" s="1"/>
  <c r="BR6" i="338"/>
  <c r="BR382" i="338" s="1"/>
  <c r="BS6" i="338"/>
  <c r="BS382" i="338" s="1"/>
  <c r="BT6" i="338"/>
  <c r="BT382" i="338" s="1"/>
  <c r="BU6" i="338"/>
  <c r="BU382" i="338" s="1"/>
  <c r="BW6" i="338"/>
  <c r="BW382" i="338" s="1"/>
  <c r="BX6" i="338"/>
  <c r="BX382" i="338" s="1"/>
  <c r="BY6" i="338"/>
  <c r="BY382" i="338" s="1"/>
  <c r="BZ6" i="338"/>
  <c r="BZ382" i="338" s="1"/>
  <c r="CA6" i="338"/>
  <c r="CA425" i="338" s="1"/>
  <c r="CC6" i="338"/>
  <c r="CD6" i="338"/>
  <c r="CE6" i="338"/>
  <c r="CE382" i="338" s="1"/>
  <c r="CF6" i="338"/>
  <c r="CF382" i="338" s="1"/>
  <c r="CG6" i="338"/>
  <c r="CG382" i="338" s="1"/>
  <c r="CI6" i="338"/>
  <c r="CI382" i="338" s="1"/>
  <c r="CJ6" i="338"/>
  <c r="CJ382" i="338" s="1"/>
  <c r="CK6" i="338"/>
  <c r="CK382" i="338" s="1"/>
  <c r="CL6" i="338"/>
  <c r="CL382" i="338" s="1"/>
  <c r="CM6" i="338"/>
  <c r="CM382" i="338" s="1"/>
  <c r="CO6" i="338"/>
  <c r="CO382" i="338" s="1"/>
  <c r="CP6" i="338"/>
  <c r="CQ6" i="338"/>
  <c r="CQ382" i="338" s="1"/>
  <c r="CR6" i="338"/>
  <c r="CS6" i="338"/>
  <c r="CS382" i="338" s="1"/>
  <c r="CU6" i="338"/>
  <c r="CU382" i="338" s="1"/>
  <c r="CV6" i="338"/>
  <c r="CW6" i="338"/>
  <c r="CW425" i="338" s="1"/>
  <c r="CX6" i="338"/>
  <c r="CX382" i="338" s="1"/>
  <c r="CY6" i="338"/>
  <c r="CY425" i="338" s="1"/>
  <c r="DA6" i="338"/>
  <c r="DB6" i="338"/>
  <c r="DC6" i="338"/>
  <c r="DC382" i="338" s="1"/>
  <c r="DD6" i="338"/>
  <c r="DE6" i="338"/>
  <c r="DG6" i="338"/>
  <c r="DH6" i="338"/>
  <c r="DH382" i="338" s="1"/>
  <c r="DI6" i="338"/>
  <c r="DI425" i="338" s="1"/>
  <c r="DJ6" i="338"/>
  <c r="DK6" i="338"/>
  <c r="DK550" i="338" s="1"/>
  <c r="DM6" i="338"/>
  <c r="DM382" i="338" s="1"/>
  <c r="DN6" i="338"/>
  <c r="DN382" i="338" s="1"/>
  <c r="DO6" i="338"/>
  <c r="DP6" i="338"/>
  <c r="DP550" i="338" s="1"/>
  <c r="DQ6" i="338"/>
  <c r="DS6" i="338"/>
  <c r="DT6" i="338"/>
  <c r="DU6" i="338"/>
  <c r="DU425" i="338" s="1"/>
  <c r="DW6" i="338"/>
  <c r="DW382" i="338" s="1"/>
  <c r="EC6" i="338"/>
  <c r="EC382" i="338" s="1"/>
  <c r="EH6" i="338"/>
  <c r="EI6" i="338"/>
  <c r="EI382" i="338" s="1"/>
  <c r="EK6" i="338"/>
  <c r="EL6" i="338"/>
  <c r="EL550" i="338" s="1"/>
  <c r="EM6" i="338"/>
  <c r="EN6" i="338"/>
  <c r="EO6" i="338"/>
  <c r="DW184" i="335"/>
  <c r="DQ184" i="335"/>
  <c r="DK184" i="335"/>
  <c r="DE184" i="335"/>
  <c r="DA14" i="335"/>
  <c r="DA52" i="335" s="1"/>
  <c r="DA75" i="335"/>
  <c r="DA139" i="335" s="1"/>
  <c r="DB14" i="335"/>
  <c r="DB172" i="338" s="1"/>
  <c r="DB75" i="335"/>
  <c r="DB87" i="335" s="1"/>
  <c r="DC15" i="3"/>
  <c r="DD15" i="3" s="1"/>
  <c r="CY184" i="335"/>
  <c r="CV75" i="335"/>
  <c r="CV48" i="11" s="1"/>
  <c r="CW14" i="335"/>
  <c r="CW172" i="338" s="1"/>
  <c r="CW75" i="335"/>
  <c r="CX14" i="335"/>
  <c r="CX172" i="338" s="1"/>
  <c r="CX75" i="335"/>
  <c r="CX48" i="11" s="1"/>
  <c r="CO179" i="335"/>
  <c r="CO180" i="335"/>
  <c r="CP176" i="335"/>
  <c r="CP214" i="335" s="1"/>
  <c r="CQ176" i="335"/>
  <c r="CQ214" i="335" s="1"/>
  <c r="CS184" i="335"/>
  <c r="CO75" i="335"/>
  <c r="CP75" i="335"/>
  <c r="CQ75" i="335"/>
  <c r="CQ48" i="11" s="1"/>
  <c r="CR75" i="335"/>
  <c r="CR48" i="11" s="1"/>
  <c r="CL176" i="335"/>
  <c r="CL214" i="335" s="1"/>
  <c r="CI75" i="335"/>
  <c r="CJ75" i="335"/>
  <c r="CK75" i="335"/>
  <c r="CK87" i="335" s="1"/>
  <c r="CL75" i="335"/>
  <c r="CD176" i="335"/>
  <c r="CD214" i="335" s="1"/>
  <c r="CE176" i="335"/>
  <c r="CE214" i="335" s="1"/>
  <c r="CF176" i="335"/>
  <c r="CF214" i="335" s="1"/>
  <c r="CE75" i="335"/>
  <c r="CE160" i="335"/>
  <c r="CC75" i="335"/>
  <c r="CC87" i="335" s="1"/>
  <c r="CC141" i="335"/>
  <c r="CC167" i="335"/>
  <c r="CC316" i="338" s="1"/>
  <c r="CD75" i="335"/>
  <c r="CD141" i="335"/>
  <c r="CD167" i="335"/>
  <c r="CF75" i="335"/>
  <c r="BZ176" i="335"/>
  <c r="BZ214" i="335" s="1"/>
  <c r="BW87" i="335"/>
  <c r="BW96" i="335" s="1"/>
  <c r="BW141" i="335"/>
  <c r="BW160" i="335"/>
  <c r="BW214" i="335"/>
  <c r="BX87" i="335"/>
  <c r="BX96" i="335" s="1"/>
  <c r="BX141" i="335"/>
  <c r="BX160" i="335"/>
  <c r="BX214" i="335"/>
  <c r="BY141" i="335"/>
  <c r="BY167" i="335"/>
  <c r="BZ141" i="335"/>
  <c r="CC317" i="335" s="1"/>
  <c r="BZ167" i="335"/>
  <c r="BX13" i="3"/>
  <c r="BY13" i="3" s="1"/>
  <c r="BZ13" i="3" s="1"/>
  <c r="BQ87" i="335"/>
  <c r="BQ141" i="335"/>
  <c r="BQ167" i="335"/>
  <c r="BQ160" i="335"/>
  <c r="BR87" i="335"/>
  <c r="BR141" i="335"/>
  <c r="BR167" i="335"/>
  <c r="BR160" i="335"/>
  <c r="BS87" i="335"/>
  <c r="BS141" i="335"/>
  <c r="BS167" i="335"/>
  <c r="BS160" i="335"/>
  <c r="BT87" i="335"/>
  <c r="BT141" i="335"/>
  <c r="BT167" i="335"/>
  <c r="BT160" i="335"/>
  <c r="BT214" i="335"/>
  <c r="BK87" i="335"/>
  <c r="BK141" i="335"/>
  <c r="BK167" i="335"/>
  <c r="BK160" i="335"/>
  <c r="BL87" i="335"/>
  <c r="BL141" i="335"/>
  <c r="BL167" i="335"/>
  <c r="BL160" i="335"/>
  <c r="BM87" i="335"/>
  <c r="BM96" i="335" s="1"/>
  <c r="BM141" i="335"/>
  <c r="BM167" i="335"/>
  <c r="BM160" i="335"/>
  <c r="BN87" i="335"/>
  <c r="BN96" i="335" s="1"/>
  <c r="BN141" i="335"/>
  <c r="BN167" i="335"/>
  <c r="BN160" i="335"/>
  <c r="BL60" i="3"/>
  <c r="BM60" i="3" s="1"/>
  <c r="BN60" i="3" s="1"/>
  <c r="BK9" i="3"/>
  <c r="BL63" i="3"/>
  <c r="BL384" i="335" s="1"/>
  <c r="BK12" i="3"/>
  <c r="BL65" i="3"/>
  <c r="BM65" i="3" s="1"/>
  <c r="BK14" i="3"/>
  <c r="BL66" i="3"/>
  <c r="BM66" i="3" s="1"/>
  <c r="BN66" i="3" s="1"/>
  <c r="BK15" i="3"/>
  <c r="BL70" i="3"/>
  <c r="BM70" i="3" s="1"/>
  <c r="BK19" i="3"/>
  <c r="BL72" i="3"/>
  <c r="BM72" i="3" s="1"/>
  <c r="BN72" i="3" s="1"/>
  <c r="BK21" i="3"/>
  <c r="BL73" i="3"/>
  <c r="BM73" i="3" s="1"/>
  <c r="BK22" i="3"/>
  <c r="BL74" i="3"/>
  <c r="BK23" i="3"/>
  <c r="BL75" i="3"/>
  <c r="BK24" i="3"/>
  <c r="BE14" i="335"/>
  <c r="BE172" i="338" s="1"/>
  <c r="BE87" i="335"/>
  <c r="BE96" i="335" s="1"/>
  <c r="BE141" i="335"/>
  <c r="BE167" i="335"/>
  <c r="BF14" i="335"/>
  <c r="BF172" i="338" s="1"/>
  <c r="BF87" i="335"/>
  <c r="BF141" i="335"/>
  <c r="BF317" i="335" s="1"/>
  <c r="BF167" i="335"/>
  <c r="BG14" i="335"/>
  <c r="BG172" i="338" s="1"/>
  <c r="BG87" i="335"/>
  <c r="BG141" i="335"/>
  <c r="BG167" i="335"/>
  <c r="BH14" i="335"/>
  <c r="BH172" i="338" s="1"/>
  <c r="BH87" i="335"/>
  <c r="BH141" i="335"/>
  <c r="BH167" i="335"/>
  <c r="BH160" i="335"/>
  <c r="BF60" i="3"/>
  <c r="BG60" i="3" s="1"/>
  <c r="BE9" i="3"/>
  <c r="BF63" i="3"/>
  <c r="BF384" i="335" s="1"/>
  <c r="BE12" i="3"/>
  <c r="BE142" i="336"/>
  <c r="BF65" i="3"/>
  <c r="BG65" i="3" s="1"/>
  <c r="BE14" i="3"/>
  <c r="BF66" i="3"/>
  <c r="BG66" i="3" s="1"/>
  <c r="BE15" i="3"/>
  <c r="BF74" i="3"/>
  <c r="BG74" i="3" s="1"/>
  <c r="BE23" i="3"/>
  <c r="BF75" i="3"/>
  <c r="BG75" i="3" s="1"/>
  <c r="BE24" i="3"/>
  <c r="AY14" i="335"/>
  <c r="AZ50" i="335" s="1"/>
  <c r="AY141" i="335"/>
  <c r="AY167" i="335"/>
  <c r="AZ14" i="335"/>
  <c r="AZ172" i="338" s="1"/>
  <c r="AZ141" i="335"/>
  <c r="AZ167" i="335"/>
  <c r="BA14" i="335"/>
  <c r="BA172" i="338" s="1"/>
  <c r="BA141" i="335"/>
  <c r="BA167" i="335"/>
  <c r="BB14" i="335"/>
  <c r="BB172" i="338" s="1"/>
  <c r="BB141" i="335"/>
  <c r="BB167" i="335"/>
  <c r="AZ60" i="3"/>
  <c r="BA60" i="3" s="1"/>
  <c r="AY9" i="3"/>
  <c r="AZ63" i="3"/>
  <c r="AZ384" i="335" s="1"/>
  <c r="AY12" i="3"/>
  <c r="AY142" i="336" s="1"/>
  <c r="AZ65" i="3"/>
  <c r="BA65" i="3" s="1"/>
  <c r="AY14" i="3"/>
  <c r="AZ66" i="3"/>
  <c r="BA66" i="3" s="1"/>
  <c r="BB66" i="3" s="1"/>
  <c r="AY15" i="3"/>
  <c r="AZ72" i="3"/>
  <c r="BA72" i="3" s="1"/>
  <c r="AY21" i="3"/>
  <c r="AS14" i="335"/>
  <c r="AS172" i="338" s="1"/>
  <c r="AS141" i="335"/>
  <c r="AS167" i="335"/>
  <c r="AT14" i="335"/>
  <c r="AT172" i="338" s="1"/>
  <c r="AT141" i="335"/>
  <c r="AT167" i="335"/>
  <c r="AU14" i="335"/>
  <c r="AU172" i="338" s="1"/>
  <c r="AU141" i="335"/>
  <c r="AU167" i="335"/>
  <c r="AU160" i="335"/>
  <c r="AV14" i="335"/>
  <c r="AV172" i="338" s="1"/>
  <c r="AV141" i="335"/>
  <c r="AV317" i="335" s="1"/>
  <c r="AV167" i="335"/>
  <c r="AV160" i="335"/>
  <c r="AT65" i="3"/>
  <c r="AU65" i="3" s="1"/>
  <c r="AS14" i="3"/>
  <c r="AU66" i="3"/>
  <c r="AV66" i="3" s="1"/>
  <c r="AS15" i="3"/>
  <c r="AT15" i="3" s="1"/>
  <c r="AU15" i="3" s="1"/>
  <c r="AV15" i="3" s="1"/>
  <c r="AW15" i="3" s="1"/>
  <c r="AT72" i="3"/>
  <c r="AU72" i="3" s="1"/>
  <c r="AS21" i="3"/>
  <c r="AT73" i="3"/>
  <c r="AU73" i="3" s="1"/>
  <c r="AV73" i="3" s="1"/>
  <c r="AS22" i="3"/>
  <c r="C58" i="3"/>
  <c r="C7" i="3" s="1"/>
  <c r="D58" i="3"/>
  <c r="D7" i="3" s="1"/>
  <c r="E58" i="3"/>
  <c r="E7" i="3" s="1"/>
  <c r="F58" i="3"/>
  <c r="F7" i="3" s="1"/>
  <c r="G58" i="3"/>
  <c r="G7" i="3" s="1"/>
  <c r="H58" i="3"/>
  <c r="H7" i="3" s="1"/>
  <c r="I58" i="3"/>
  <c r="I7" i="3" s="1"/>
  <c r="J58" i="3"/>
  <c r="J7" i="3" s="1"/>
  <c r="K58" i="3"/>
  <c r="K7" i="3" s="1"/>
  <c r="L58" i="3"/>
  <c r="L7" i="3" s="1"/>
  <c r="M58" i="3"/>
  <c r="M7" i="3" s="1"/>
  <c r="O58" i="3"/>
  <c r="O7" i="3" s="1"/>
  <c r="P58" i="3"/>
  <c r="P7" i="3" s="1"/>
  <c r="Q58" i="3"/>
  <c r="Q7" i="3" s="1"/>
  <c r="R58" i="3"/>
  <c r="R7" i="3" s="1"/>
  <c r="S58" i="3"/>
  <c r="S7" i="3" s="1"/>
  <c r="U58" i="3"/>
  <c r="U7" i="3" s="1"/>
  <c r="V58" i="3"/>
  <c r="V7" i="3" s="1"/>
  <c r="W58" i="3"/>
  <c r="W7" i="3" s="1"/>
  <c r="X58" i="3"/>
  <c r="X7" i="3" s="1"/>
  <c r="Y58" i="3"/>
  <c r="Y7" i="3" s="1"/>
  <c r="AA58" i="3"/>
  <c r="AA7" i="3" s="1"/>
  <c r="AB58" i="3"/>
  <c r="AB7" i="3" s="1"/>
  <c r="AC58" i="3"/>
  <c r="AC7" i="3" s="1"/>
  <c r="AD58" i="3"/>
  <c r="AD7" i="3" s="1"/>
  <c r="AE58" i="3"/>
  <c r="AE7" i="3" s="1"/>
  <c r="AG58" i="3"/>
  <c r="AG7" i="3" s="1"/>
  <c r="AH58" i="3"/>
  <c r="AH7" i="3" s="1"/>
  <c r="AI58" i="3"/>
  <c r="AI7" i="3" s="1"/>
  <c r="AJ58" i="3"/>
  <c r="AJ7" i="3" s="1"/>
  <c r="AK58" i="3"/>
  <c r="AK7" i="3" s="1"/>
  <c r="AM58" i="3"/>
  <c r="AM7" i="3" s="1"/>
  <c r="AN58" i="3"/>
  <c r="AN7" i="3" s="1"/>
  <c r="AO58" i="3"/>
  <c r="AO7" i="3" s="1"/>
  <c r="AP58" i="3"/>
  <c r="AP7" i="3" s="1"/>
  <c r="AQ58" i="3"/>
  <c r="AQ7" i="3" s="1"/>
  <c r="AS58" i="3"/>
  <c r="AS7" i="3" s="1"/>
  <c r="AT58" i="3"/>
  <c r="AT7" i="3" s="1"/>
  <c r="AU58" i="3"/>
  <c r="AU7" i="3" s="1"/>
  <c r="AV58" i="3"/>
  <c r="AV7" i="3" s="1"/>
  <c r="AW58" i="3"/>
  <c r="AW7" i="3" s="1"/>
  <c r="AY58" i="3"/>
  <c r="AY7" i="3" s="1"/>
  <c r="AZ58" i="3"/>
  <c r="AZ7" i="3" s="1"/>
  <c r="BA58" i="3"/>
  <c r="BA7" i="3" s="1"/>
  <c r="BB58" i="3"/>
  <c r="BB7" i="3" s="1"/>
  <c r="BC58" i="3"/>
  <c r="BC7" i="3" s="1"/>
  <c r="BE58" i="3"/>
  <c r="BE7" i="3" s="1"/>
  <c r="BF58" i="3"/>
  <c r="BF7" i="3" s="1"/>
  <c r="BG58" i="3"/>
  <c r="BG7" i="3" s="1"/>
  <c r="BH58" i="3"/>
  <c r="BH7" i="3" s="1"/>
  <c r="BI58" i="3"/>
  <c r="BI7" i="3" s="1"/>
  <c r="BK58" i="3"/>
  <c r="BK7" i="3" s="1"/>
  <c r="BL58" i="3"/>
  <c r="BL7" i="3" s="1"/>
  <c r="BM58" i="3"/>
  <c r="BM7" i="3" s="1"/>
  <c r="BN58" i="3"/>
  <c r="BN7" i="3" s="1"/>
  <c r="BO58" i="3"/>
  <c r="BO7" i="3" s="1"/>
  <c r="BQ58" i="3"/>
  <c r="BQ7" i="3" s="1"/>
  <c r="BR58" i="3"/>
  <c r="BR7" i="3" s="1"/>
  <c r="BS58" i="3"/>
  <c r="BS7" i="3" s="1"/>
  <c r="BT58" i="3"/>
  <c r="BT7" i="3" s="1"/>
  <c r="BU58" i="3"/>
  <c r="BU7" i="3" s="1"/>
  <c r="BW58" i="3"/>
  <c r="BW7" i="3" s="1"/>
  <c r="BX58" i="3"/>
  <c r="BX7" i="3" s="1"/>
  <c r="BY58" i="3"/>
  <c r="BY7" i="3" s="1"/>
  <c r="BZ58" i="3"/>
  <c r="BZ7" i="3" s="1"/>
  <c r="CA58" i="3"/>
  <c r="CA7" i="3" s="1"/>
  <c r="CC58" i="3"/>
  <c r="CC7" i="3" s="1"/>
  <c r="CD58" i="3"/>
  <c r="CD7" i="3" s="1"/>
  <c r="CE58" i="3"/>
  <c r="CE7" i="3" s="1"/>
  <c r="CF58" i="3"/>
  <c r="CF7" i="3" s="1"/>
  <c r="CG58" i="3"/>
  <c r="CG7" i="3" s="1"/>
  <c r="CI58" i="3"/>
  <c r="CI7" i="3" s="1"/>
  <c r="CJ58" i="3"/>
  <c r="CJ7" i="3" s="1"/>
  <c r="CK58" i="3"/>
  <c r="CK7" i="3" s="1"/>
  <c r="CL58" i="3"/>
  <c r="CL7" i="3" s="1"/>
  <c r="CM58" i="3"/>
  <c r="CM7" i="3" s="1"/>
  <c r="CO58" i="3"/>
  <c r="CO7" i="3" s="1"/>
  <c r="CP58" i="3"/>
  <c r="CP7" i="3" s="1"/>
  <c r="CQ58" i="3"/>
  <c r="CQ7" i="3" s="1"/>
  <c r="CR58" i="3"/>
  <c r="CR7" i="3" s="1"/>
  <c r="CS58" i="3"/>
  <c r="CS7" i="3" s="1"/>
  <c r="CU58" i="3"/>
  <c r="CU7" i="3" s="1"/>
  <c r="CV58" i="3"/>
  <c r="CV7" i="3" s="1"/>
  <c r="CW58" i="3"/>
  <c r="CW7" i="3" s="1"/>
  <c r="CX58" i="3"/>
  <c r="CX7" i="3" s="1"/>
  <c r="CY58" i="3"/>
  <c r="CY7" i="3" s="1"/>
  <c r="DA58" i="3"/>
  <c r="DA7" i="3" s="1"/>
  <c r="DB58" i="3"/>
  <c r="DB7" i="3" s="1"/>
  <c r="DC58" i="3"/>
  <c r="DC7" i="3" s="1"/>
  <c r="DD58" i="3"/>
  <c r="DD7" i="3" s="1"/>
  <c r="DE58" i="3"/>
  <c r="DE7" i="3" s="1"/>
  <c r="DG58" i="3"/>
  <c r="DG7" i="3" s="1"/>
  <c r="DH58" i="3"/>
  <c r="DH7" i="3" s="1"/>
  <c r="DI58" i="3"/>
  <c r="DI7" i="3" s="1"/>
  <c r="DJ58" i="3"/>
  <c r="DJ7" i="3" s="1"/>
  <c r="DK58" i="3"/>
  <c r="DK7" i="3" s="1"/>
  <c r="DM58" i="3"/>
  <c r="DM7" i="3" s="1"/>
  <c r="DN58" i="3"/>
  <c r="DN7" i="3" s="1"/>
  <c r="DO58" i="3"/>
  <c r="DO7" i="3" s="1"/>
  <c r="DP58" i="3"/>
  <c r="DP7" i="3" s="1"/>
  <c r="DQ58" i="3"/>
  <c r="DQ7" i="3" s="1"/>
  <c r="DS58" i="3"/>
  <c r="DS7" i="3" s="1"/>
  <c r="DT58" i="3"/>
  <c r="DT7" i="3" s="1"/>
  <c r="DU58" i="3"/>
  <c r="DU7" i="3" s="1"/>
  <c r="DV58" i="3"/>
  <c r="DV7" i="3" s="1"/>
  <c r="DW58" i="3"/>
  <c r="DW7" i="3" s="1"/>
  <c r="DY58" i="3"/>
  <c r="DY7" i="3" s="1"/>
  <c r="DZ58" i="3"/>
  <c r="DZ7" i="3" s="1"/>
  <c r="EA58" i="3"/>
  <c r="EA7" i="3" s="1"/>
  <c r="EB58" i="3"/>
  <c r="EB7" i="3" s="1"/>
  <c r="EC58" i="3"/>
  <c r="EC7" i="3" s="1"/>
  <c r="EE58" i="3"/>
  <c r="EE7" i="3" s="1"/>
  <c r="EF58" i="3"/>
  <c r="EF7" i="3" s="1"/>
  <c r="EG58" i="3"/>
  <c r="EG7" i="3" s="1"/>
  <c r="EH58" i="3"/>
  <c r="EH7" i="3" s="1"/>
  <c r="EI58" i="3"/>
  <c r="EI7" i="3" s="1"/>
  <c r="EL58" i="3"/>
  <c r="EL7" i="3" s="1"/>
  <c r="EM58" i="3"/>
  <c r="EM7" i="3" s="1"/>
  <c r="EN7" i="3"/>
  <c r="EO58" i="3"/>
  <c r="EO7" i="3" s="1"/>
  <c r="EQ7" i="3"/>
  <c r="ES58" i="3"/>
  <c r="ES7" i="3" s="1"/>
  <c r="ET7" i="3"/>
  <c r="EU58" i="3"/>
  <c r="EU7" i="3" s="1"/>
  <c r="EW58" i="3"/>
  <c r="EW7" i="3" s="1"/>
  <c r="EY7" i="3"/>
  <c r="EZ58" i="3"/>
  <c r="EZ7" i="3" s="1"/>
  <c r="FA58" i="3"/>
  <c r="FA7" i="3" s="1"/>
  <c r="BL83" i="3"/>
  <c r="BL144" i="336" s="1"/>
  <c r="BK31" i="3"/>
  <c r="BF83" i="3"/>
  <c r="BE31" i="3"/>
  <c r="AZ83" i="3"/>
  <c r="AZ144" i="336" s="1"/>
  <c r="AY31" i="3"/>
  <c r="CU325" i="338"/>
  <c r="DK46" i="335"/>
  <c r="DK67" i="335"/>
  <c r="DE67" i="335"/>
  <c r="CU75" i="335"/>
  <c r="DE223" i="335"/>
  <c r="DE191" i="335" s="1"/>
  <c r="CS223" i="335"/>
  <c r="CG223" i="335"/>
  <c r="BU223" i="335"/>
  <c r="BU191" i="335" s="1"/>
  <c r="DG63" i="3"/>
  <c r="DG384" i="335" s="1"/>
  <c r="DH63" i="3"/>
  <c r="DI63" i="3"/>
  <c r="DI384" i="335" s="1"/>
  <c r="DJ63" i="3"/>
  <c r="DJ384" i="335"/>
  <c r="DA63" i="3"/>
  <c r="DA384" i="335" s="1"/>
  <c r="DB63" i="3"/>
  <c r="DB384" i="335" s="1"/>
  <c r="DC63" i="3"/>
  <c r="DC384" i="335" s="1"/>
  <c r="DD63" i="3"/>
  <c r="DD384" i="335" s="1"/>
  <c r="CU63" i="3"/>
  <c r="CU384" i="335" s="1"/>
  <c r="CV63" i="3"/>
  <c r="CW63" i="3"/>
  <c r="CX63" i="3"/>
  <c r="CX384" i="335" s="1"/>
  <c r="CO63" i="3"/>
  <c r="CO384" i="335" s="1"/>
  <c r="CP63" i="3"/>
  <c r="CP384" i="335" s="1"/>
  <c r="CQ63" i="3"/>
  <c r="CQ384" i="335" s="1"/>
  <c r="CR63" i="3"/>
  <c r="CR384" i="335" s="1"/>
  <c r="CI63" i="3"/>
  <c r="CI384" i="335" s="1"/>
  <c r="CJ63" i="3"/>
  <c r="CJ384" i="335" s="1"/>
  <c r="CK63" i="3"/>
  <c r="CK384" i="335" s="1"/>
  <c r="CL63" i="3"/>
  <c r="CL384" i="335" s="1"/>
  <c r="CC63" i="3"/>
  <c r="CC384" i="335" s="1"/>
  <c r="CD63" i="3"/>
  <c r="CE63" i="3"/>
  <c r="CE384" i="335" s="1"/>
  <c r="CF63" i="3"/>
  <c r="CF384" i="335"/>
  <c r="BX63" i="3"/>
  <c r="BX384" i="335" s="1"/>
  <c r="BY63" i="3"/>
  <c r="BY384" i="335" s="1"/>
  <c r="BZ63" i="3"/>
  <c r="BZ142" i="336" s="1"/>
  <c r="BQ12" i="3"/>
  <c r="BR63" i="3"/>
  <c r="BR384" i="335" s="1"/>
  <c r="BS63" i="3"/>
  <c r="BS384" i="335" s="1"/>
  <c r="BT63" i="3"/>
  <c r="CA147" i="335"/>
  <c r="CA150" i="335"/>
  <c r="CA610" i="338" s="1"/>
  <c r="BO147" i="335"/>
  <c r="BO728" i="338" s="1"/>
  <c r="BO150" i="335"/>
  <c r="BO153" i="335"/>
  <c r="BC147" i="335"/>
  <c r="BC150" i="335"/>
  <c r="BC610" i="338" s="1"/>
  <c r="BC153" i="335"/>
  <c r="BU153" i="335"/>
  <c r="BI153" i="335"/>
  <c r="BI777" i="338" s="1"/>
  <c r="AW153" i="335"/>
  <c r="AW777" i="338" s="1"/>
  <c r="BU150" i="335"/>
  <c r="BU754" i="338" s="1"/>
  <c r="BI150" i="335"/>
  <c r="AW150" i="335"/>
  <c r="EL180" i="335"/>
  <c r="EL179" i="335"/>
  <c r="DZ53" i="336"/>
  <c r="DZ414" i="335" s="1"/>
  <c r="DY59" i="336"/>
  <c r="DY420" i="335" s="1"/>
  <c r="DZ61" i="336"/>
  <c r="DZ422" i="335" s="1"/>
  <c r="DY69" i="336"/>
  <c r="DY430" i="335" s="1"/>
  <c r="DZ71" i="336"/>
  <c r="DZ432" i="335" s="1"/>
  <c r="EF73" i="336"/>
  <c r="EF434" i="335" s="1"/>
  <c r="FC97" i="335"/>
  <c r="FI97" i="335" s="1"/>
  <c r="DM61" i="335"/>
  <c r="DM64" i="335" s="1"/>
  <c r="DS61" i="335"/>
  <c r="DY61" i="335"/>
  <c r="EE61" i="335"/>
  <c r="DN61" i="335"/>
  <c r="DT61" i="335"/>
  <c r="DO61" i="335"/>
  <c r="DJ61" i="335"/>
  <c r="DP61" i="335"/>
  <c r="DS39" i="335"/>
  <c r="DS228" i="338" s="1"/>
  <c r="DT39" i="335"/>
  <c r="DT228" i="338" s="1"/>
  <c r="DU39" i="335"/>
  <c r="FA8" i="11"/>
  <c r="EZ8" i="11"/>
  <c r="EZ133" i="11" s="1"/>
  <c r="EY8" i="11"/>
  <c r="EX8" i="11"/>
  <c r="EW8" i="11"/>
  <c r="EW132" i="11"/>
  <c r="EW5" i="338"/>
  <c r="EW381" i="338" s="1"/>
  <c r="EW97" i="3"/>
  <c r="EW94" i="3"/>
  <c r="EW84" i="3"/>
  <c r="EW80" i="3"/>
  <c r="EW66" i="3"/>
  <c r="EW57" i="3"/>
  <c r="EW6" i="3" s="1"/>
  <c r="FA217" i="336"/>
  <c r="FA216" i="336"/>
  <c r="FA189" i="336"/>
  <c r="FA156" i="336"/>
  <c r="FA153" i="336"/>
  <c r="FA151" i="336"/>
  <c r="FA25" i="336"/>
  <c r="FA6" i="336"/>
  <c r="EZ6" i="336"/>
  <c r="EY6" i="336"/>
  <c r="EX6" i="336"/>
  <c r="EW6" i="336"/>
  <c r="EW5" i="336"/>
  <c r="EZ408" i="335"/>
  <c r="EY408" i="335"/>
  <c r="EX408" i="335"/>
  <c r="EW408" i="335"/>
  <c r="FA396" i="335"/>
  <c r="EZ396" i="335"/>
  <c r="EW396" i="335"/>
  <c r="EW389" i="335"/>
  <c r="EW388" i="335"/>
  <c r="FA275" i="335"/>
  <c r="EZ275" i="335"/>
  <c r="EW275" i="335"/>
  <c r="EW274" i="335"/>
  <c r="FA164" i="335"/>
  <c r="FA161" i="335"/>
  <c r="CA223" i="335"/>
  <c r="CA191" i="335" s="1"/>
  <c r="CM223" i="335"/>
  <c r="CY223" i="335"/>
  <c r="DK223" i="335"/>
  <c r="DK191" i="335" s="1"/>
  <c r="AW147" i="335"/>
  <c r="BI147" i="335"/>
  <c r="BU147" i="335"/>
  <c r="EF98" i="336"/>
  <c r="EF99" i="336" s="1"/>
  <c r="EF672" i="338"/>
  <c r="EF587" i="338"/>
  <c r="EF588" i="338" s="1"/>
  <c r="EF580" i="338"/>
  <c r="EF579" i="338"/>
  <c r="EF575" i="338"/>
  <c r="EF576" i="338" s="1"/>
  <c r="EF569" i="338"/>
  <c r="EF570" i="338" s="1"/>
  <c r="EF562" i="338"/>
  <c r="EF563" i="338" s="1"/>
  <c r="DZ595" i="338"/>
  <c r="DZ666" i="338" s="1"/>
  <c r="EF595" i="338"/>
  <c r="EG472" i="338"/>
  <c r="EG471" i="338"/>
  <c r="EF46" i="335"/>
  <c r="EF320" i="338"/>
  <c r="EF282" i="338"/>
  <c r="EF171" i="336"/>
  <c r="EF195" i="336"/>
  <c r="EF193" i="336"/>
  <c r="EF174" i="336" s="1"/>
  <c r="EF136" i="336"/>
  <c r="EF107" i="336"/>
  <c r="EF106" i="336"/>
  <c r="EF38" i="3"/>
  <c r="EF40" i="3"/>
  <c r="EG94" i="3"/>
  <c r="EF16" i="3"/>
  <c r="EF34" i="336"/>
  <c r="EF28" i="336"/>
  <c r="EF20" i="336"/>
  <c r="EF18" i="336"/>
  <c r="EE274" i="335"/>
  <c r="EF195" i="335"/>
  <c r="EF12" i="335"/>
  <c r="EF11" i="335"/>
  <c r="EF10" i="335"/>
  <c r="EF156" i="336"/>
  <c r="EF184" i="335"/>
  <c r="EF138" i="335"/>
  <c r="EE165" i="335"/>
  <c r="EE464" i="335" s="1"/>
  <c r="EF158" i="335"/>
  <c r="EF153" i="335"/>
  <c r="EF150" i="335"/>
  <c r="EL294" i="335"/>
  <c r="EF147" i="335"/>
  <c r="EF135" i="335"/>
  <c r="EF132" i="335"/>
  <c r="EF67" i="335"/>
  <c r="EF30" i="335"/>
  <c r="EF35" i="335"/>
  <c r="EF18" i="335"/>
  <c r="EG97" i="3"/>
  <c r="EG84" i="3"/>
  <c r="EG80" i="3"/>
  <c r="EG66" i="3"/>
  <c r="EF97" i="3"/>
  <c r="EF84" i="3"/>
  <c r="EF80" i="3"/>
  <c r="EF66" i="3"/>
  <c r="EF6" i="336"/>
  <c r="EF408" i="335"/>
  <c r="EF396" i="335"/>
  <c r="EF389" i="335"/>
  <c r="EF388" i="335"/>
  <c r="EF376" i="335"/>
  <c r="EF275" i="335"/>
  <c r="EF62" i="335"/>
  <c r="EF31" i="335"/>
  <c r="EF19" i="335"/>
  <c r="EF308" i="335"/>
  <c r="EF74" i="3"/>
  <c r="EE90" i="3"/>
  <c r="EE185" i="336" s="1"/>
  <c r="EE198" i="336" s="1"/>
  <c r="EI26" i="338"/>
  <c r="EB255" i="338"/>
  <c r="EA255" i="338"/>
  <c r="DZ255" i="338"/>
  <c r="DY255" i="338"/>
  <c r="EO26" i="338"/>
  <c r="EN25" i="338"/>
  <c r="EN24" i="338"/>
  <c r="EM25" i="338"/>
  <c r="EM24" i="338"/>
  <c r="EL25" i="338"/>
  <c r="EL24" i="338"/>
  <c r="EK24" i="338"/>
  <c r="EI106" i="338"/>
  <c r="EF88" i="338"/>
  <c r="DV166" i="338"/>
  <c r="DU166" i="338"/>
  <c r="DT166" i="338"/>
  <c r="DS166" i="338"/>
  <c r="EB166" i="338"/>
  <c r="EA166" i="338"/>
  <c r="DZ166" i="338"/>
  <c r="DZ167" i="338" s="1"/>
  <c r="DY166" i="338"/>
  <c r="CY157" i="336"/>
  <c r="DK157" i="336"/>
  <c r="DE157" i="336"/>
  <c r="DQ157" i="336"/>
  <c r="DW157" i="336"/>
  <c r="EC157" i="336"/>
  <c r="EC155" i="336"/>
  <c r="EC154" i="336"/>
  <c r="DW155" i="336"/>
  <c r="DW154" i="336"/>
  <c r="EE98" i="336"/>
  <c r="EE99" i="336" s="1"/>
  <c r="DU666" i="338"/>
  <c r="DT666" i="338"/>
  <c r="DS666" i="338"/>
  <c r="DY604" i="338"/>
  <c r="DY672" i="338"/>
  <c r="EE672" i="338"/>
  <c r="EE562" i="338"/>
  <c r="EE563" i="338"/>
  <c r="EE595" i="338"/>
  <c r="EK666" i="338" s="1"/>
  <c r="EE587" i="338"/>
  <c r="EE588" i="338" s="1"/>
  <c r="EE580" i="338"/>
  <c r="EE579" i="338"/>
  <c r="EE575" i="338"/>
  <c r="EE576" i="338" s="1"/>
  <c r="EE569" i="338"/>
  <c r="EE570" i="338" s="1"/>
  <c r="EE166" i="338"/>
  <c r="EO150" i="338"/>
  <c r="EO149" i="338"/>
  <c r="EO148" i="338"/>
  <c r="EO147" i="338"/>
  <c r="EO146" i="338"/>
  <c r="EO145" i="338"/>
  <c r="EO144" i="338"/>
  <c r="EO143" i="338"/>
  <c r="EO142" i="338"/>
  <c r="EO141" i="338"/>
  <c r="EO140" i="338"/>
  <c r="EO139" i="338"/>
  <c r="EO138" i="338"/>
  <c r="EO137" i="338"/>
  <c r="EI151" i="338"/>
  <c r="EO151" i="338"/>
  <c r="EE156" i="336"/>
  <c r="EF472" i="338"/>
  <c r="EF471" i="338"/>
  <c r="EE473" i="338"/>
  <c r="EE255" i="338"/>
  <c r="EE166" i="336"/>
  <c r="EE193" i="336"/>
  <c r="EE174" i="336" s="1"/>
  <c r="EE142" i="336"/>
  <c r="EF142" i="336"/>
  <c r="EG142" i="336" s="1"/>
  <c r="EH142" i="336" s="1"/>
  <c r="EE136" i="336"/>
  <c r="EE107" i="336"/>
  <c r="EE106" i="336"/>
  <c r="EE158" i="335"/>
  <c r="EE320" i="338"/>
  <c r="EE12" i="335"/>
  <c r="EE11" i="335"/>
  <c r="EE10" i="335"/>
  <c r="EE39" i="3"/>
  <c r="EE40" i="3"/>
  <c r="EF94" i="3"/>
  <c r="EE16" i="3"/>
  <c r="EE34" i="336"/>
  <c r="EE28" i="336"/>
  <c r="EE20" i="336"/>
  <c r="EE18" i="336"/>
  <c r="EE184" i="335"/>
  <c r="EE150" i="335"/>
  <c r="EE153" i="335"/>
  <c r="EE138" i="335"/>
  <c r="EE135" i="335"/>
  <c r="EI135" i="335"/>
  <c r="EE132" i="335"/>
  <c r="EE147" i="335"/>
  <c r="DY138" i="335"/>
  <c r="DY147" i="335"/>
  <c r="EE67" i="335"/>
  <c r="EE35" i="335"/>
  <c r="EE30" i="335"/>
  <c r="EE18" i="335"/>
  <c r="EF166" i="338"/>
  <c r="EC29" i="335"/>
  <c r="EB31" i="335"/>
  <c r="EA31" i="335"/>
  <c r="DZ31" i="335"/>
  <c r="DY31" i="335"/>
  <c r="EB30" i="335"/>
  <c r="EA30" i="335"/>
  <c r="DZ30" i="335"/>
  <c r="DY30" i="335"/>
  <c r="EB19" i="335"/>
  <c r="EA19" i="335"/>
  <c r="DZ19" i="335"/>
  <c r="DY19" i="335"/>
  <c r="EB18" i="335"/>
  <c r="EA18" i="335"/>
  <c r="DZ18" i="335"/>
  <c r="DY18" i="335"/>
  <c r="EC17" i="335"/>
  <c r="EC172" i="338" s="1"/>
  <c r="EB35" i="335"/>
  <c r="EA35" i="335"/>
  <c r="EA20" i="335"/>
  <c r="DZ35" i="335"/>
  <c r="DZ20" i="335"/>
  <c r="DY35" i="335"/>
  <c r="DV35" i="335"/>
  <c r="DV20" i="335"/>
  <c r="DU35" i="335"/>
  <c r="DS35" i="335"/>
  <c r="DT35" i="335"/>
  <c r="DV31" i="335"/>
  <c r="DU31" i="335"/>
  <c r="DT31" i="335"/>
  <c r="DV19" i="335"/>
  <c r="DU19" i="335"/>
  <c r="DT19" i="335"/>
  <c r="DW29" i="335"/>
  <c r="DW17" i="335"/>
  <c r="DW172" i="338" s="1"/>
  <c r="EH166" i="338"/>
  <c r="EG166" i="338"/>
  <c r="EF473" i="338"/>
  <c r="EG475" i="338" s="1"/>
  <c r="EE31" i="335"/>
  <c r="EH31" i="335"/>
  <c r="EI17" i="335"/>
  <c r="EI172" i="338" s="1"/>
  <c r="EH19" i="335"/>
  <c r="EI29" i="335"/>
  <c r="EK166" i="338"/>
  <c r="EE19" i="335"/>
  <c r="DP137" i="338"/>
  <c r="EG152" i="338"/>
  <c r="EG88" i="338" s="1"/>
  <c r="DQ375" i="338"/>
  <c r="DQ374" i="338"/>
  <c r="DQ373" i="338"/>
  <c r="EC375" i="338"/>
  <c r="EC374" i="338"/>
  <c r="EC373" i="338"/>
  <c r="DW375" i="338"/>
  <c r="DW374" i="338"/>
  <c r="DW373" i="338"/>
  <c r="EA98" i="336"/>
  <c r="EA99" i="336" s="1"/>
  <c r="EB98" i="336"/>
  <c r="EB99" i="336" s="1"/>
  <c r="EC672" i="338"/>
  <c r="EB672" i="338"/>
  <c r="DW604" i="338"/>
  <c r="DQ604" i="338"/>
  <c r="DI580" i="338"/>
  <c r="DH580" i="338"/>
  <c r="DG580" i="338"/>
  <c r="DI579" i="338"/>
  <c r="DH579" i="338"/>
  <c r="DG579" i="338"/>
  <c r="EC580" i="338"/>
  <c r="EA580" i="338"/>
  <c r="DZ580" i="338"/>
  <c r="DY580" i="338"/>
  <c r="DW580" i="338"/>
  <c r="DU580" i="338"/>
  <c r="DT580" i="338"/>
  <c r="DS580" i="338"/>
  <c r="DQ580" i="338"/>
  <c r="DO580" i="338"/>
  <c r="DN580" i="338"/>
  <c r="DM580" i="338"/>
  <c r="DK580" i="338"/>
  <c r="EC579" i="338"/>
  <c r="EA579" i="338"/>
  <c r="DZ579" i="338"/>
  <c r="DY579" i="338"/>
  <c r="DW579" i="338"/>
  <c r="DU579" i="338"/>
  <c r="DT579" i="338"/>
  <c r="DS579" i="338"/>
  <c r="DQ579" i="338"/>
  <c r="DO579" i="338"/>
  <c r="DN579" i="338"/>
  <c r="DM579" i="338"/>
  <c r="DK579" i="338"/>
  <c r="DE580" i="338"/>
  <c r="DE579" i="338"/>
  <c r="DW595" i="338"/>
  <c r="DQ592" i="338"/>
  <c r="DQ594" i="338"/>
  <c r="DQ595" i="338" s="1"/>
  <c r="DQ554" i="338"/>
  <c r="DP554" i="338"/>
  <c r="EB156" i="336"/>
  <c r="EC156" i="336" s="1"/>
  <c r="DV156" i="336"/>
  <c r="DW156" i="336" s="1"/>
  <c r="EC152" i="336"/>
  <c r="EB184" i="335"/>
  <c r="EC180" i="336"/>
  <c r="EB193" i="336"/>
  <c r="EB174" i="336" s="1"/>
  <c r="EB107" i="336"/>
  <c r="EA107" i="336"/>
  <c r="EB106" i="336"/>
  <c r="EA106" i="336"/>
  <c r="EB166" i="336"/>
  <c r="EB136" i="336"/>
  <c r="EC136" i="336" s="1"/>
  <c r="DS444" i="338"/>
  <c r="EE472" i="338"/>
  <c r="EE471" i="338"/>
  <c r="EA466" i="338"/>
  <c r="EB320" i="338"/>
  <c r="EB300" i="338"/>
  <c r="EB301" i="338" s="1"/>
  <c r="EB40" i="3"/>
  <c r="EB16" i="3"/>
  <c r="EB25" i="3"/>
  <c r="EB34" i="336"/>
  <c r="EB28" i="336"/>
  <c r="EB20" i="336"/>
  <c r="EB18" i="336"/>
  <c r="EB161" i="335"/>
  <c r="EC161" i="335"/>
  <c r="EB158" i="335"/>
  <c r="EB153" i="335"/>
  <c r="EB611" i="338"/>
  <c r="EB150" i="335"/>
  <c r="EB147" i="335"/>
  <c r="EB135" i="335"/>
  <c r="EB132" i="335"/>
  <c r="DV147" i="335"/>
  <c r="EB138" i="335"/>
  <c r="DV138" i="335"/>
  <c r="EB12" i="335"/>
  <c r="EB11" i="335"/>
  <c r="EB10" i="335"/>
  <c r="EB150" i="338"/>
  <c r="EB86" i="338"/>
  <c r="EE150" i="338"/>
  <c r="EE86" i="338"/>
  <c r="EC149" i="338"/>
  <c r="EC148" i="338"/>
  <c r="DO803" i="338"/>
  <c r="EB67" i="335"/>
  <c r="EH268" i="338"/>
  <c r="EN268" i="338" s="1"/>
  <c r="ET268" i="338" s="1"/>
  <c r="EZ268" i="338" s="1"/>
  <c r="FF268" i="338" s="1"/>
  <c r="FL268" i="338" s="1"/>
  <c r="EG268" i="338"/>
  <c r="EM268" i="338" s="1"/>
  <c r="EF268" i="338"/>
  <c r="EA672" i="338"/>
  <c r="EA604" i="338"/>
  <c r="EA587" i="338"/>
  <c r="EA588" i="338" s="1"/>
  <c r="EA575" i="338"/>
  <c r="EA576" i="338" s="1"/>
  <c r="EA569" i="338"/>
  <c r="EA570" i="338" s="1"/>
  <c r="EA562" i="338"/>
  <c r="EA563" i="338" s="1"/>
  <c r="EA557" i="338"/>
  <c r="EA552" i="338"/>
  <c r="DP9" i="338"/>
  <c r="DO9" i="338"/>
  <c r="EA153" i="336"/>
  <c r="EA105" i="338"/>
  <c r="EA165" i="335"/>
  <c r="CC215" i="336"/>
  <c r="CC216" i="336"/>
  <c r="CG216" i="336" s="1"/>
  <c r="CF14" i="336"/>
  <c r="CG14" i="336" s="1"/>
  <c r="CI14" i="336"/>
  <c r="CI15" i="336" s="1"/>
  <c r="CI21" i="336" s="1"/>
  <c r="CJ15" i="336"/>
  <c r="CK15" i="336"/>
  <c r="CL15" i="336"/>
  <c r="CM15" i="336" s="1"/>
  <c r="CO19" i="336"/>
  <c r="CO15" i="336"/>
  <c r="CP26" i="336"/>
  <c r="CP15" i="336"/>
  <c r="CQ15" i="336"/>
  <c r="CR15" i="336"/>
  <c r="CS15" i="336" s="1"/>
  <c r="CU30" i="336"/>
  <c r="CU35" i="336" s="1"/>
  <c r="CU19" i="336"/>
  <c r="CU15" i="336"/>
  <c r="CV30" i="336"/>
  <c r="CV15" i="336"/>
  <c r="CV21" i="336" s="1"/>
  <c r="CW30" i="336"/>
  <c r="CW15" i="336"/>
  <c r="CX30" i="336"/>
  <c r="CY30" i="336" s="1"/>
  <c r="CX19" i="336"/>
  <c r="CY19" i="336" s="1"/>
  <c r="CX15" i="336"/>
  <c r="DA30" i="336"/>
  <c r="DA35" i="336" s="1"/>
  <c r="DA15" i="336"/>
  <c r="DA21" i="336" s="1"/>
  <c r="DB30" i="336"/>
  <c r="DB15" i="336"/>
  <c r="DC30" i="336"/>
  <c r="DC15" i="336"/>
  <c r="DD30" i="336"/>
  <c r="DE30" i="336" s="1"/>
  <c r="DD15" i="336"/>
  <c r="DG30" i="336"/>
  <c r="DG35" i="336" s="1"/>
  <c r="DG15" i="336"/>
  <c r="DH30" i="336"/>
  <c r="DH35" i="336" s="1"/>
  <c r="DH15" i="336"/>
  <c r="DI30" i="336"/>
  <c r="DI15" i="336"/>
  <c r="DI21" i="336" s="1"/>
  <c r="DJ30" i="336"/>
  <c r="DK30" i="336" s="1"/>
  <c r="DJ15" i="336"/>
  <c r="DM26" i="336"/>
  <c r="DM30" i="336" s="1"/>
  <c r="DM15" i="336"/>
  <c r="DN19" i="336"/>
  <c r="DN98" i="336" s="1"/>
  <c r="DN15" i="336"/>
  <c r="DO15" i="336"/>
  <c r="DP15" i="336"/>
  <c r="DQ15" i="336" s="1"/>
  <c r="DS30" i="336"/>
  <c r="DS15" i="336"/>
  <c r="DT30" i="336"/>
  <c r="DT15" i="336"/>
  <c r="DU26" i="336"/>
  <c r="DV26" i="336" s="1"/>
  <c r="DV15" i="336"/>
  <c r="DW15" i="336" s="1"/>
  <c r="DZ15" i="336"/>
  <c r="DV193" i="336"/>
  <c r="DV174" i="336" s="1"/>
  <c r="DS193" i="336"/>
  <c r="DT193" i="336"/>
  <c r="DU193" i="336"/>
  <c r="EB438" i="338"/>
  <c r="DC159" i="338"/>
  <c r="DB159" i="338"/>
  <c r="DI94" i="338"/>
  <c r="DI159" i="338" s="1"/>
  <c r="DH159" i="338"/>
  <c r="DO74" i="338"/>
  <c r="DO75" i="338"/>
  <c r="DN159" i="338"/>
  <c r="DU138" i="338"/>
  <c r="DU139" i="338"/>
  <c r="DU140" i="338"/>
  <c r="DU141" i="338"/>
  <c r="DU142" i="338"/>
  <c r="DU143" i="338"/>
  <c r="DU144" i="338"/>
  <c r="DU145" i="338"/>
  <c r="DU159" i="338"/>
  <c r="DT137" i="338"/>
  <c r="DT138" i="338"/>
  <c r="DT139" i="338"/>
  <c r="DT140" i="338"/>
  <c r="DT141" i="338"/>
  <c r="DT142" i="338"/>
  <c r="DT143" i="338"/>
  <c r="DT144" i="338"/>
  <c r="DT159" i="338"/>
  <c r="EA159" i="338"/>
  <c r="DZ159" i="338"/>
  <c r="DJ94" i="338"/>
  <c r="DJ159" i="338" s="1"/>
  <c r="EA193" i="336"/>
  <c r="EA206" i="336"/>
  <c r="EA136" i="336"/>
  <c r="EB105" i="338"/>
  <c r="EA104" i="338"/>
  <c r="DY104" i="338"/>
  <c r="DY105" i="338"/>
  <c r="DV104" i="338"/>
  <c r="DW104" i="338" s="1"/>
  <c r="EA320" i="338"/>
  <c r="EA282" i="338"/>
  <c r="EA387" i="335"/>
  <c r="EA40" i="336"/>
  <c r="EA380" i="335" s="1"/>
  <c r="EA34" i="336"/>
  <c r="EA28" i="336"/>
  <c r="EA20" i="336"/>
  <c r="EA18" i="336"/>
  <c r="EA40" i="3"/>
  <c r="EA16" i="3"/>
  <c r="EA65" i="3"/>
  <c r="EA147" i="336" s="1"/>
  <c r="EA184" i="335"/>
  <c r="EA153" i="335"/>
  <c r="EA150" i="335"/>
  <c r="EA135" i="335"/>
  <c r="EA136" i="335"/>
  <c r="EA132" i="335"/>
  <c r="EA67" i="335"/>
  <c r="EA46" i="335"/>
  <c r="EA60" i="335"/>
  <c r="EA21" i="338"/>
  <c r="EA225" i="335"/>
  <c r="EA158" i="335"/>
  <c r="DZ158" i="335"/>
  <c r="EA49" i="335"/>
  <c r="EA50" i="335" s="1"/>
  <c r="DZ98" i="336"/>
  <c r="DZ99" i="336" s="1"/>
  <c r="DO480" i="338"/>
  <c r="DP480" i="338"/>
  <c r="EG85" i="338"/>
  <c r="EF85" i="338"/>
  <c r="EE85" i="338"/>
  <c r="EI149" i="338"/>
  <c r="DZ672" i="338"/>
  <c r="DZ604" i="338"/>
  <c r="DZ587" i="338"/>
  <c r="DZ588" i="338" s="1"/>
  <c r="DZ575" i="338"/>
  <c r="DZ576" i="338" s="1"/>
  <c r="DZ569" i="338"/>
  <c r="DZ570" i="338" s="1"/>
  <c r="DZ562" i="338"/>
  <c r="DZ563" i="338" s="1"/>
  <c r="DZ557" i="338"/>
  <c r="DZ552" i="338"/>
  <c r="DO162" i="336"/>
  <c r="DN162" i="336"/>
  <c r="DG164" i="336"/>
  <c r="DZ379" i="335"/>
  <c r="DZ378" i="335"/>
  <c r="EA438" i="338"/>
  <c r="DZ320" i="338"/>
  <c r="DZ16" i="3"/>
  <c r="DZ40" i="3"/>
  <c r="DZ29" i="3"/>
  <c r="DZ40" i="336"/>
  <c r="DZ380" i="335" s="1"/>
  <c r="DZ34" i="336"/>
  <c r="DZ28" i="336"/>
  <c r="DZ30" i="336"/>
  <c r="DZ20" i="336"/>
  <c r="DZ18" i="336"/>
  <c r="DZ184" i="335"/>
  <c r="DZ135" i="335"/>
  <c r="DZ132" i="335"/>
  <c r="DZ153" i="335"/>
  <c r="DZ150" i="335"/>
  <c r="DZ610" i="338"/>
  <c r="DZ67" i="335"/>
  <c r="DZ46" i="335"/>
  <c r="DZ60" i="335"/>
  <c r="DZ228" i="335"/>
  <c r="DZ206" i="336"/>
  <c r="DZ195" i="336"/>
  <c r="DZ193" i="336"/>
  <c r="DZ174" i="336" s="1"/>
  <c r="DZ171" i="336"/>
  <c r="DZ136" i="336"/>
  <c r="DZ107" i="336"/>
  <c r="DZ106" i="336"/>
  <c r="EO6" i="336"/>
  <c r="DZ49" i="335"/>
  <c r="EB49" i="335"/>
  <c r="EB50" i="335" s="1"/>
  <c r="DA142" i="336"/>
  <c r="DB142" i="336" s="1"/>
  <c r="DG142" i="336"/>
  <c r="DH142" i="336"/>
  <c r="DI142" i="336" s="1"/>
  <c r="DJ142" i="336" s="1"/>
  <c r="DM142" i="336"/>
  <c r="DN142" i="336" s="1"/>
  <c r="DS142" i="336"/>
  <c r="DT142" i="336"/>
  <c r="DU142" i="336" s="1"/>
  <c r="DV142" i="336" s="1"/>
  <c r="DY142" i="336"/>
  <c r="DZ142" i="336" s="1"/>
  <c r="EA142" i="336" s="1"/>
  <c r="EB142" i="336" s="1"/>
  <c r="EC142" i="336" s="1"/>
  <c r="DZ66" i="3"/>
  <c r="EA66" i="3"/>
  <c r="EB66" i="3"/>
  <c r="DY193" i="336"/>
  <c r="DY174" i="336" s="1"/>
  <c r="DJ40" i="338"/>
  <c r="DJ53" i="338" s="1"/>
  <c r="DP43" i="11"/>
  <c r="DN40" i="338"/>
  <c r="DO40" i="338"/>
  <c r="DO53" i="338" s="1"/>
  <c r="DO43" i="11"/>
  <c r="EC41" i="338"/>
  <c r="EC42" i="338"/>
  <c r="EC43" i="338"/>
  <c r="EC44" i="338"/>
  <c r="EC45" i="338"/>
  <c r="EC46" i="338"/>
  <c r="EC47" i="338"/>
  <c r="EC48" i="338"/>
  <c r="EC52" i="338"/>
  <c r="EC59" i="338"/>
  <c r="EC60" i="338"/>
  <c r="EC61" i="338"/>
  <c r="EC62" i="338"/>
  <c r="EC63" i="338"/>
  <c r="EC64" i="338"/>
  <c r="EC65" i="338"/>
  <c r="EC66" i="338"/>
  <c r="EC67" i="338"/>
  <c r="EC68" i="338"/>
  <c r="EC69" i="338"/>
  <c r="EC70" i="338"/>
  <c r="EC71" i="338"/>
  <c r="EC72" i="338"/>
  <c r="EC73" i="338"/>
  <c r="EC74" i="338"/>
  <c r="EC75" i="338"/>
  <c r="EC76" i="338"/>
  <c r="EC77" i="338"/>
  <c r="EC78" i="338"/>
  <c r="EC79" i="338"/>
  <c r="EC80" i="338"/>
  <c r="EC81" i="338"/>
  <c r="EC82" i="338"/>
  <c r="EC144" i="338" s="1"/>
  <c r="EC94" i="338"/>
  <c r="CU431" i="338"/>
  <c r="DY58" i="336"/>
  <c r="DY419" i="335" s="1"/>
  <c r="DG160" i="335"/>
  <c r="DY49" i="338"/>
  <c r="DY50" i="338"/>
  <c r="EB50" i="338"/>
  <c r="DN75" i="338"/>
  <c r="DN74" i="338"/>
  <c r="DM75" i="338"/>
  <c r="EF84" i="338"/>
  <c r="EE84" i="338"/>
  <c r="EI115" i="338"/>
  <c r="EI116" i="338"/>
  <c r="EI117" i="338"/>
  <c r="EI118" i="338"/>
  <c r="EI119" i="338"/>
  <c r="EI120" i="338"/>
  <c r="EI121" i="338"/>
  <c r="EI122" i="338"/>
  <c r="EI123" i="338"/>
  <c r="EI124" i="338"/>
  <c r="EI125" i="338"/>
  <c r="EI126" i="338"/>
  <c r="EI127" i="338"/>
  <c r="EI128" i="338"/>
  <c r="EI129" i="338"/>
  <c r="EI130" i="338"/>
  <c r="EI131" i="338"/>
  <c r="EI132" i="338"/>
  <c r="EI133" i="338"/>
  <c r="EI134" i="338"/>
  <c r="EI135" i="338"/>
  <c r="EI136" i="338"/>
  <c r="EI137" i="338"/>
  <c r="EI138" i="338"/>
  <c r="EI139" i="338"/>
  <c r="EI140" i="338"/>
  <c r="EI141" i="338"/>
  <c r="EI142" i="338"/>
  <c r="EI143" i="338"/>
  <c r="EI144" i="338"/>
  <c r="EI145" i="338"/>
  <c r="EI146" i="338"/>
  <c r="EI147" i="338"/>
  <c r="EI148" i="338"/>
  <c r="EE159" i="338"/>
  <c r="EF159" i="338"/>
  <c r="EC115" i="338"/>
  <c r="EC116" i="338"/>
  <c r="EC117" i="338"/>
  <c r="EC118" i="338"/>
  <c r="EC119" i="338"/>
  <c r="EC120" i="338"/>
  <c r="EC121" i="338"/>
  <c r="EC122" i="338"/>
  <c r="EC123" i="338"/>
  <c r="EC124" i="338"/>
  <c r="EC125" i="338"/>
  <c r="EC126" i="338"/>
  <c r="EC127" i="338"/>
  <c r="EC128" i="338"/>
  <c r="EC129" i="338"/>
  <c r="EC130" i="338"/>
  <c r="EC131" i="338"/>
  <c r="EC132" i="338"/>
  <c r="EC133" i="338"/>
  <c r="EC134" i="338"/>
  <c r="EC135" i="338"/>
  <c r="EC136" i="338"/>
  <c r="EC137" i="338"/>
  <c r="EC138" i="338"/>
  <c r="EC139" i="338"/>
  <c r="DY140" i="338"/>
  <c r="EC140" i="338" s="1"/>
  <c r="DY141" i="338"/>
  <c r="EC141" i="338" s="1"/>
  <c r="DY142" i="338"/>
  <c r="EC142" i="338" s="1"/>
  <c r="EC143" i="338"/>
  <c r="EC147" i="338"/>
  <c r="EB159" i="338"/>
  <c r="DY587" i="338"/>
  <c r="DY588" i="338" s="1"/>
  <c r="DS587" i="338"/>
  <c r="DS588" i="338"/>
  <c r="DY575" i="338"/>
  <c r="DY576" i="338" s="1"/>
  <c r="DY569" i="338"/>
  <c r="DY570" i="338" s="1"/>
  <c r="DY562" i="338"/>
  <c r="DY563" i="338"/>
  <c r="DS562" i="338"/>
  <c r="DS563" i="338" s="1"/>
  <c r="DY557" i="338"/>
  <c r="DS557" i="338"/>
  <c r="DY552" i="338"/>
  <c r="DS166" i="336"/>
  <c r="DY34" i="338"/>
  <c r="DW39" i="336"/>
  <c r="EC206" i="336" s="1"/>
  <c r="DY171" i="336"/>
  <c r="DY195" i="336"/>
  <c r="DY206" i="336"/>
  <c r="CX320" i="338"/>
  <c r="CM291" i="338"/>
  <c r="CM731" i="338" s="1"/>
  <c r="CM292" i="338"/>
  <c r="CM746" i="338" s="1"/>
  <c r="CM297" i="338"/>
  <c r="CM772" i="338" s="1"/>
  <c r="CM298" i="338"/>
  <c r="CM759" i="338" s="1"/>
  <c r="CL299" i="338"/>
  <c r="CL282" i="338" s="1"/>
  <c r="CS291" i="338"/>
  <c r="CS731" i="338" s="1"/>
  <c r="CS292" i="338"/>
  <c r="CS297" i="338"/>
  <c r="CS772" i="338" s="1"/>
  <c r="CS298" i="338"/>
  <c r="CS759" i="338" s="1"/>
  <c r="CS299" i="338"/>
  <c r="CS780" i="338" s="1"/>
  <c r="DK291" i="338"/>
  <c r="DK731" i="338" s="1"/>
  <c r="DK292" i="338"/>
  <c r="DK746" i="338" s="1"/>
  <c r="DK294" i="338"/>
  <c r="DK295" i="338"/>
  <c r="DK297" i="338"/>
  <c r="DK772" i="338" s="1"/>
  <c r="DK298" i="338"/>
  <c r="DK759" i="338" s="1"/>
  <c r="DK299" i="338"/>
  <c r="DK780" i="338" s="1"/>
  <c r="DQ291" i="338"/>
  <c r="DQ294" i="338"/>
  <c r="DQ295" i="338"/>
  <c r="DQ297" i="338"/>
  <c r="DQ298" i="338"/>
  <c r="DQ759" i="338" s="1"/>
  <c r="DQ299" i="338"/>
  <c r="DQ780" i="338" s="1"/>
  <c r="DW291" i="338"/>
  <c r="DW292" i="338"/>
  <c r="DW746" i="338" s="1"/>
  <c r="DW294" i="338"/>
  <c r="DW295" i="338"/>
  <c r="DW297" i="338"/>
  <c r="DW772" i="338"/>
  <c r="DW298" i="338"/>
  <c r="DW759" i="338" s="1"/>
  <c r="DW299" i="338"/>
  <c r="DW780" i="338" s="1"/>
  <c r="DW781" i="338" s="1"/>
  <c r="EC103" i="338"/>
  <c r="EB146" i="338"/>
  <c r="EB104" i="338"/>
  <c r="DY144" i="338"/>
  <c r="DY67" i="335"/>
  <c r="DU60" i="335"/>
  <c r="DV60" i="335"/>
  <c r="DV61" i="335"/>
  <c r="DT67" i="335"/>
  <c r="DT56" i="335"/>
  <c r="DT284" i="335"/>
  <c r="DU67" i="335"/>
  <c r="DV67" i="335"/>
  <c r="DY46" i="335"/>
  <c r="DO42" i="335"/>
  <c r="DO280" i="335" s="1"/>
  <c r="DP39" i="335"/>
  <c r="DQ39" i="335"/>
  <c r="DP42" i="335"/>
  <c r="DT46" i="335"/>
  <c r="DU46" i="335"/>
  <c r="DV46" i="335"/>
  <c r="DQ67" i="335"/>
  <c r="DN46" i="335"/>
  <c r="DO306" i="335"/>
  <c r="DA46" i="335"/>
  <c r="CV39" i="335"/>
  <c r="DS47" i="335"/>
  <c r="DP47" i="335"/>
  <c r="DO47" i="335"/>
  <c r="DM47" i="335"/>
  <c r="DJ47" i="335"/>
  <c r="DI47" i="335"/>
  <c r="DH47" i="335"/>
  <c r="CU46" i="335"/>
  <c r="DD47" i="335"/>
  <c r="DC47" i="335"/>
  <c r="DB47" i="335"/>
  <c r="CO46" i="335"/>
  <c r="CQ46" i="335"/>
  <c r="CR46" i="335"/>
  <c r="DS50" i="335"/>
  <c r="DP50" i="335"/>
  <c r="CR39" i="335"/>
  <c r="CU39" i="335"/>
  <c r="CU304" i="335"/>
  <c r="DS309" i="335"/>
  <c r="DP309" i="335"/>
  <c r="DO309" i="335"/>
  <c r="DN309" i="335"/>
  <c r="DM309" i="335"/>
  <c r="DJ309" i="335"/>
  <c r="DI309" i="335"/>
  <c r="DH309" i="335"/>
  <c r="DG309" i="335"/>
  <c r="DD309" i="335"/>
  <c r="DC309" i="335"/>
  <c r="DB309" i="335"/>
  <c r="DA309" i="335"/>
  <c r="CX309" i="335"/>
  <c r="CW309" i="335"/>
  <c r="CV309" i="335"/>
  <c r="CU309" i="335"/>
  <c r="CR309" i="335"/>
  <c r="CQ309" i="335"/>
  <c r="CP309" i="335"/>
  <c r="CO309" i="335"/>
  <c r="CL309" i="335"/>
  <c r="CK309" i="335"/>
  <c r="CJ309" i="335"/>
  <c r="CI309" i="335"/>
  <c r="CF309" i="335"/>
  <c r="CE309" i="335"/>
  <c r="CD309" i="335"/>
  <c r="CC309" i="335"/>
  <c r="BZ309" i="335"/>
  <c r="BY309" i="335"/>
  <c r="BX309" i="335"/>
  <c r="BW309" i="335"/>
  <c r="BT309" i="335"/>
  <c r="BS309" i="335"/>
  <c r="BR309" i="335"/>
  <c r="BQ309" i="335"/>
  <c r="BN309" i="335"/>
  <c r="BM309" i="335"/>
  <c r="BL309" i="335"/>
  <c r="BK309" i="335"/>
  <c r="BH309" i="335"/>
  <c r="BG309" i="335"/>
  <c r="BF309" i="335"/>
  <c r="BE309" i="335"/>
  <c r="BB309" i="335"/>
  <c r="BA309" i="335"/>
  <c r="AZ309" i="335"/>
  <c r="AY309" i="335"/>
  <c r="AV309" i="335"/>
  <c r="AU309" i="335"/>
  <c r="AT309" i="335"/>
  <c r="AS309" i="335"/>
  <c r="AP309" i="335"/>
  <c r="AO309" i="335"/>
  <c r="AN309" i="335"/>
  <c r="AM309" i="335"/>
  <c r="AJ309" i="335"/>
  <c r="AI309" i="335"/>
  <c r="AH309" i="335"/>
  <c r="AG309" i="335"/>
  <c r="AD309" i="335"/>
  <c r="AC309" i="335"/>
  <c r="AB309" i="335"/>
  <c r="AA309" i="335"/>
  <c r="X309" i="335"/>
  <c r="W309" i="335"/>
  <c r="V309" i="335"/>
  <c r="U309" i="335"/>
  <c r="R309" i="335"/>
  <c r="Q309" i="335"/>
  <c r="P309" i="335"/>
  <c r="DU308" i="335"/>
  <c r="DT308" i="335"/>
  <c r="DS308" i="335"/>
  <c r="DP308" i="335"/>
  <c r="DO308" i="335"/>
  <c r="DN308" i="335"/>
  <c r="DM308" i="335"/>
  <c r="DJ308" i="335"/>
  <c r="DI308" i="335"/>
  <c r="DH308" i="335"/>
  <c r="DG308" i="335"/>
  <c r="DD308" i="335"/>
  <c r="DC308" i="335"/>
  <c r="DB308" i="335"/>
  <c r="DA308" i="335"/>
  <c r="CX308" i="335"/>
  <c r="CW308" i="335"/>
  <c r="CV308" i="335"/>
  <c r="CU308" i="335"/>
  <c r="CR308" i="335"/>
  <c r="CQ308" i="335"/>
  <c r="CP308" i="335"/>
  <c r="CO308" i="335"/>
  <c r="CL308" i="335"/>
  <c r="CK308" i="335"/>
  <c r="CJ308" i="335"/>
  <c r="CI308" i="335"/>
  <c r="CF308" i="335"/>
  <c r="CE308" i="335"/>
  <c r="CD308" i="335"/>
  <c r="CC308" i="335"/>
  <c r="BZ308" i="335"/>
  <c r="BY308" i="335"/>
  <c r="BX308" i="335"/>
  <c r="BW308" i="335"/>
  <c r="BT308" i="335"/>
  <c r="BS308" i="335"/>
  <c r="BR308" i="335"/>
  <c r="BQ308" i="335"/>
  <c r="BN308" i="335"/>
  <c r="BM308" i="335"/>
  <c r="BL308" i="335"/>
  <c r="BK308" i="335"/>
  <c r="BH308" i="335"/>
  <c r="BG308" i="335"/>
  <c r="BF308" i="335"/>
  <c r="BE308" i="335"/>
  <c r="BB308" i="335"/>
  <c r="BA308" i="335"/>
  <c r="AZ308" i="335"/>
  <c r="AY308" i="335"/>
  <c r="AV308" i="335"/>
  <c r="AU308" i="335"/>
  <c r="AT308" i="335"/>
  <c r="AS308" i="335"/>
  <c r="AP308" i="335"/>
  <c r="AO308" i="335"/>
  <c r="AN308" i="335"/>
  <c r="AM308" i="335"/>
  <c r="AJ308" i="335"/>
  <c r="AI308" i="335"/>
  <c r="AH308" i="335"/>
  <c r="AG308" i="335"/>
  <c r="AD308" i="335"/>
  <c r="AC308" i="335"/>
  <c r="AB308" i="335"/>
  <c r="AA308" i="335"/>
  <c r="X308" i="335"/>
  <c r="W308" i="335"/>
  <c r="V308" i="335"/>
  <c r="U308" i="335"/>
  <c r="R308" i="335"/>
  <c r="Q308" i="335"/>
  <c r="P308" i="335"/>
  <c r="DY262" i="338"/>
  <c r="DZ262" i="338" s="1"/>
  <c r="DS284" i="335"/>
  <c r="DP284" i="335"/>
  <c r="DO284" i="335"/>
  <c r="DN284" i="335"/>
  <c r="DM284" i="335"/>
  <c r="EE283" i="335"/>
  <c r="DY283" i="335"/>
  <c r="DT283" i="335"/>
  <c r="DS283" i="335"/>
  <c r="DP283" i="335"/>
  <c r="DO283" i="335"/>
  <c r="DN283" i="335"/>
  <c r="DM283" i="335"/>
  <c r="DK42" i="335"/>
  <c r="DN43" i="335"/>
  <c r="DM43" i="335"/>
  <c r="DE42" i="335"/>
  <c r="DJ43" i="335"/>
  <c r="DI43" i="335"/>
  <c r="DH43" i="335"/>
  <c r="DG43" i="335"/>
  <c r="DD43" i="335"/>
  <c r="DC43" i="335"/>
  <c r="DB43" i="335"/>
  <c r="DA43" i="335"/>
  <c r="CX43" i="335"/>
  <c r="CW43" i="335"/>
  <c r="CV43" i="335"/>
  <c r="CU43" i="335"/>
  <c r="CS42" i="335"/>
  <c r="CM42" i="335"/>
  <c r="CR43" i="335"/>
  <c r="CQ43" i="335"/>
  <c r="CP43" i="335"/>
  <c r="CO43" i="335"/>
  <c r="DM104" i="335"/>
  <c r="DM141" i="335"/>
  <c r="DM138" i="335"/>
  <c r="DM132" i="335"/>
  <c r="DM135" i="335"/>
  <c r="DM147" i="335"/>
  <c r="DM150" i="335"/>
  <c r="DM153" i="335"/>
  <c r="DP104" i="335"/>
  <c r="DP138" i="335"/>
  <c r="DP132" i="335"/>
  <c r="DP135" i="335"/>
  <c r="DP147" i="335"/>
  <c r="DP150" i="335"/>
  <c r="DP610" i="338"/>
  <c r="DP153" i="335"/>
  <c r="DJ104" i="335"/>
  <c r="DJ138" i="335"/>
  <c r="DJ132" i="335"/>
  <c r="DJ133" i="335"/>
  <c r="DJ135" i="335"/>
  <c r="DJ147" i="335"/>
  <c r="DJ150" i="335"/>
  <c r="DJ153" i="335"/>
  <c r="DO104" i="335"/>
  <c r="DO138" i="335"/>
  <c r="DO132" i="335"/>
  <c r="DO135" i="335"/>
  <c r="DO147" i="335"/>
  <c r="DO150" i="335"/>
  <c r="DO153" i="335"/>
  <c r="DI104" i="335"/>
  <c r="DI138" i="335"/>
  <c r="DI132" i="335"/>
  <c r="DI135" i="335"/>
  <c r="DI147" i="335"/>
  <c r="DI150" i="335"/>
  <c r="DI153" i="335"/>
  <c r="DN104" i="335"/>
  <c r="DN138" i="335"/>
  <c r="DN132" i="335"/>
  <c r="DN135" i="335"/>
  <c r="DN147" i="335"/>
  <c r="DN150" i="335"/>
  <c r="DN153" i="335"/>
  <c r="DH104" i="335"/>
  <c r="DH138" i="335"/>
  <c r="DH132" i="335"/>
  <c r="DH135" i="335"/>
  <c r="DH147" i="335"/>
  <c r="DH150" i="335"/>
  <c r="DH153" i="335"/>
  <c r="DG104" i="335"/>
  <c r="DG138" i="335"/>
  <c r="DG132" i="335"/>
  <c r="DG135" i="335"/>
  <c r="DG147" i="335"/>
  <c r="DG150" i="335"/>
  <c r="DG153" i="335"/>
  <c r="DT147" i="335"/>
  <c r="DT150" i="335"/>
  <c r="DY150" i="335"/>
  <c r="DY153" i="335"/>
  <c r="DV150" i="335"/>
  <c r="DV153" i="335"/>
  <c r="DU147" i="335"/>
  <c r="DU150" i="335"/>
  <c r="DU153" i="335"/>
  <c r="DM239" i="335"/>
  <c r="DN239" i="335"/>
  <c r="DO239" i="335"/>
  <c r="DP239" i="335"/>
  <c r="DT104" i="335"/>
  <c r="DY165" i="335"/>
  <c r="DY132" i="335"/>
  <c r="DY135" i="335"/>
  <c r="DY28" i="336"/>
  <c r="DY30" i="336"/>
  <c r="DY34" i="336"/>
  <c r="DY10" i="336"/>
  <c r="DY377" i="335"/>
  <c r="DY14" i="336"/>
  <c r="DY229" i="335"/>
  <c r="DY209" i="336" s="1"/>
  <c r="DU160" i="335"/>
  <c r="DU104" i="335"/>
  <c r="DU138" i="335"/>
  <c r="DU132" i="335"/>
  <c r="DU129" i="335"/>
  <c r="DU135" i="335"/>
  <c r="DU229" i="335"/>
  <c r="DU209" i="336" s="1"/>
  <c r="DZ74" i="3"/>
  <c r="DY107" i="336"/>
  <c r="DY106" i="336"/>
  <c r="DT438" i="338"/>
  <c r="DZ437" i="338" s="1"/>
  <c r="DY184" i="335"/>
  <c r="DV139" i="338"/>
  <c r="DV140" i="338"/>
  <c r="DV141" i="338"/>
  <c r="DV142" i="338"/>
  <c r="DV143" i="338"/>
  <c r="DV144" i="338"/>
  <c r="DV159" i="338"/>
  <c r="DA159" i="338"/>
  <c r="CX130" i="338"/>
  <c r="DG159" i="338"/>
  <c r="DD159" i="338"/>
  <c r="DM159" i="338"/>
  <c r="DS137" i="338"/>
  <c r="DS138" i="338"/>
  <c r="DS139" i="338"/>
  <c r="DS140" i="338"/>
  <c r="DS141" i="338"/>
  <c r="DS142" i="338"/>
  <c r="DS143" i="338"/>
  <c r="DS159" i="338"/>
  <c r="DP139" i="338"/>
  <c r="DQ139" i="338" s="1"/>
  <c r="DP159" i="338"/>
  <c r="DY320" i="338"/>
  <c r="DV320" i="338"/>
  <c r="DY95" i="11"/>
  <c r="DY99" i="11" s="1"/>
  <c r="DY40" i="3"/>
  <c r="DY94" i="3"/>
  <c r="DY39" i="3"/>
  <c r="DY41" i="3"/>
  <c r="DY16" i="3"/>
  <c r="DY20" i="336"/>
  <c r="DY18" i="336"/>
  <c r="DY17" i="336"/>
  <c r="DY13" i="336"/>
  <c r="DY9" i="336"/>
  <c r="DY8" i="336"/>
  <c r="DY159" i="335"/>
  <c r="DY158" i="335"/>
  <c r="DS153" i="335"/>
  <c r="DS150" i="335"/>
  <c r="DS610" i="338"/>
  <c r="DS147" i="335"/>
  <c r="DS318" i="335"/>
  <c r="DY49" i="335"/>
  <c r="DY50" i="335" s="1"/>
  <c r="DY254" i="338"/>
  <c r="DK39" i="335"/>
  <c r="DK723" i="338" s="1"/>
  <c r="DE39" i="335"/>
  <c r="DK279" i="335" s="1"/>
  <c r="DY83" i="3"/>
  <c r="DY382" i="335"/>
  <c r="DY81" i="3"/>
  <c r="DY82" i="3"/>
  <c r="DY80" i="3"/>
  <c r="DY70" i="3"/>
  <c r="DY72" i="3"/>
  <c r="DT153" i="335"/>
  <c r="DY73" i="3"/>
  <c r="DY75" i="3"/>
  <c r="DY60" i="3"/>
  <c r="DY64" i="3"/>
  <c r="DY71" i="3"/>
  <c r="DY67" i="3"/>
  <c r="DY74" i="3"/>
  <c r="DY63" i="3"/>
  <c r="DY65" i="3"/>
  <c r="DY147" i="336"/>
  <c r="DY91" i="3"/>
  <c r="DY92" i="3"/>
  <c r="DY93" i="3"/>
  <c r="DY90" i="3"/>
  <c r="DY185" i="336" s="1"/>
  <c r="DY97" i="3"/>
  <c r="DJ161" i="335"/>
  <c r="CO39" i="335"/>
  <c r="CO14" i="335"/>
  <c r="CO172" i="338" s="1"/>
  <c r="CO104" i="335"/>
  <c r="CO138" i="335"/>
  <c r="CO147" i="335"/>
  <c r="CO150" i="335"/>
  <c r="CO153" i="335"/>
  <c r="CO165" i="335"/>
  <c r="CK39" i="335"/>
  <c r="CK104" i="335"/>
  <c r="CK138" i="335"/>
  <c r="CK147" i="335"/>
  <c r="CK150" i="335"/>
  <c r="CK153" i="335"/>
  <c r="CK165" i="335"/>
  <c r="CK160" i="335" s="1"/>
  <c r="CK180" i="335"/>
  <c r="CI39" i="335"/>
  <c r="CI104" i="335"/>
  <c r="CI138" i="335"/>
  <c r="CI147" i="335"/>
  <c r="CI150" i="335"/>
  <c r="CI153" i="335"/>
  <c r="CI165" i="335"/>
  <c r="CI239" i="335" s="1"/>
  <c r="CI180" i="335"/>
  <c r="CI176" i="335"/>
  <c r="CI214" i="335" s="1"/>
  <c r="DV49" i="338"/>
  <c r="DV10" i="338" s="1"/>
  <c r="DV561" i="338"/>
  <c r="CC39" i="335"/>
  <c r="BZ39" i="335"/>
  <c r="BZ46" i="335"/>
  <c r="BY39" i="335"/>
  <c r="BY14" i="335"/>
  <c r="BY172" i="338" s="1"/>
  <c r="BY46" i="335"/>
  <c r="BX39" i="335"/>
  <c r="CF39" i="335"/>
  <c r="CE39" i="335"/>
  <c r="CE14" i="335"/>
  <c r="CE172" i="338" s="1"/>
  <c r="CD39" i="335"/>
  <c r="CJ39" i="335"/>
  <c r="DS70" i="335"/>
  <c r="DS104" i="335"/>
  <c r="DV378" i="335"/>
  <c r="DW378" i="335" s="1"/>
  <c r="DS138" i="335"/>
  <c r="DS132" i="335"/>
  <c r="DS135" i="335"/>
  <c r="DV132" i="335"/>
  <c r="DZ80" i="3"/>
  <c r="DT138" i="335"/>
  <c r="DT132" i="335"/>
  <c r="DT135" i="335"/>
  <c r="DT136" i="335"/>
  <c r="DZ97" i="3"/>
  <c r="EA402" i="335"/>
  <c r="EB402" i="335" s="1"/>
  <c r="EE402" i="335" s="1"/>
  <c r="EF402" i="335" s="1"/>
  <c r="EG402" i="335" s="1"/>
  <c r="EH402" i="335" s="1"/>
  <c r="EK402" i="335" s="1"/>
  <c r="EL402" i="335" s="1"/>
  <c r="EM402" i="335" s="1"/>
  <c r="EN402" i="335" s="1"/>
  <c r="EQ402" i="335" s="1"/>
  <c r="ER402" i="335" s="1"/>
  <c r="ES402" i="335" s="1"/>
  <c r="CP39" i="335"/>
  <c r="CP14" i="335"/>
  <c r="CP172" i="338" s="1"/>
  <c r="DT274" i="338"/>
  <c r="DQ223" i="335"/>
  <c r="DQ191" i="335" s="1"/>
  <c r="BS39" i="335"/>
  <c r="BT39" i="335"/>
  <c r="BT14" i="335"/>
  <c r="BT172" i="338" s="1"/>
  <c r="BW39" i="335"/>
  <c r="BZ59" i="338"/>
  <c r="CE59" i="338"/>
  <c r="CF43" i="338"/>
  <c r="CK43" i="338"/>
  <c r="CL39" i="335"/>
  <c r="CL723" i="338"/>
  <c r="CL46" i="335"/>
  <c r="CQ39" i="335"/>
  <c r="CW279" i="335"/>
  <c r="CR45" i="338"/>
  <c r="CR10" i="338" s="1"/>
  <c r="CR69" i="338"/>
  <c r="CR11" i="338" s="1"/>
  <c r="BQ39" i="335"/>
  <c r="BQ14" i="335"/>
  <c r="BR39" i="335"/>
  <c r="CX46" i="338"/>
  <c r="BW10" i="338"/>
  <c r="BW11" i="338"/>
  <c r="BX10" i="338"/>
  <c r="BX11" i="338"/>
  <c r="BY10" i="338"/>
  <c r="BY11" i="338"/>
  <c r="CA60" i="338"/>
  <c r="BZ10" i="338"/>
  <c r="CC11" i="338"/>
  <c r="CC10" i="338"/>
  <c r="CD11" i="338"/>
  <c r="CD10" i="338"/>
  <c r="CE10" i="338"/>
  <c r="CF41" i="338"/>
  <c r="CF11" i="338"/>
  <c r="CI10" i="338"/>
  <c r="CI64" i="338"/>
  <c r="CI11" i="338" s="1"/>
  <c r="CJ10" i="338"/>
  <c r="CJ11" i="338"/>
  <c r="CK11" i="338"/>
  <c r="CL10" i="338"/>
  <c r="CL11" i="338"/>
  <c r="CO10" i="338"/>
  <c r="CP10" i="338"/>
  <c r="CP11" i="338"/>
  <c r="CQ44" i="338"/>
  <c r="CQ10" i="338" s="1"/>
  <c r="CQ11" i="338"/>
  <c r="CU10" i="338"/>
  <c r="CV10" i="338"/>
  <c r="CW10" i="338"/>
  <c r="CS73" i="335"/>
  <c r="CY73" i="335"/>
  <c r="DE73" i="335"/>
  <c r="DK73" i="335"/>
  <c r="CP147" i="335"/>
  <c r="CQ147" i="335"/>
  <c r="CR147" i="335"/>
  <c r="CP150" i="335"/>
  <c r="CQ150" i="335"/>
  <c r="CR150" i="335"/>
  <c r="CJ104" i="335"/>
  <c r="CJ138" i="335"/>
  <c r="CJ147" i="335"/>
  <c r="CJ150" i="335"/>
  <c r="CJ153" i="335"/>
  <c r="CL104" i="335"/>
  <c r="CL138" i="335"/>
  <c r="CL147" i="335"/>
  <c r="CL150" i="335"/>
  <c r="CL153" i="335"/>
  <c r="CJ180" i="335"/>
  <c r="CJ176" i="335"/>
  <c r="CK184" i="335"/>
  <c r="CP104" i="335"/>
  <c r="CP138" i="335"/>
  <c r="CP153" i="335"/>
  <c r="CP155" i="335"/>
  <c r="CQ104" i="335"/>
  <c r="CQ138" i="335"/>
  <c r="CQ153" i="335"/>
  <c r="CR104" i="335"/>
  <c r="CR138" i="335"/>
  <c r="CR153" i="335"/>
  <c r="CV104" i="335"/>
  <c r="CV138" i="335"/>
  <c r="CV147" i="335"/>
  <c r="CV150" i="335"/>
  <c r="CV153" i="335"/>
  <c r="CW104" i="335"/>
  <c r="CW138" i="335"/>
  <c r="CW147" i="335"/>
  <c r="CW150" i="335"/>
  <c r="CW153" i="335"/>
  <c r="CX104" i="335"/>
  <c r="CX138" i="335"/>
  <c r="CX147" i="335"/>
  <c r="CX150" i="335"/>
  <c r="CX153" i="335"/>
  <c r="CU104" i="335"/>
  <c r="CU138" i="335"/>
  <c r="CU147" i="335"/>
  <c r="CU146" i="335"/>
  <c r="CU150" i="335"/>
  <c r="CU153" i="335"/>
  <c r="DA104" i="335"/>
  <c r="DA138" i="335"/>
  <c r="DA147" i="335"/>
  <c r="DA150" i="335"/>
  <c r="DA153" i="335"/>
  <c r="DA155" i="335"/>
  <c r="DB104" i="335"/>
  <c r="DB138" i="335"/>
  <c r="DB147" i="335"/>
  <c r="DB150" i="335"/>
  <c r="DB153" i="335"/>
  <c r="DC104" i="335"/>
  <c r="DC138" i="335"/>
  <c r="DC132" i="335"/>
  <c r="DC135" i="335"/>
  <c r="DC147" i="335"/>
  <c r="DC318" i="335"/>
  <c r="DC150" i="335"/>
  <c r="DC153" i="335"/>
  <c r="DD104" i="335"/>
  <c r="DD138" i="335"/>
  <c r="DD132" i="335"/>
  <c r="DD135" i="335"/>
  <c r="DD147" i="335"/>
  <c r="DD728" i="338"/>
  <c r="DD150" i="335"/>
  <c r="DD153" i="335"/>
  <c r="DV135" i="335"/>
  <c r="DW135" i="335"/>
  <c r="BI104" i="335"/>
  <c r="BI743" i="338" s="1"/>
  <c r="BI138" i="335"/>
  <c r="BI768" i="338" s="1"/>
  <c r="BO104" i="335"/>
  <c r="BO138" i="335"/>
  <c r="BO768" i="338" s="1"/>
  <c r="BU104" i="335"/>
  <c r="BU743" i="338" s="1"/>
  <c r="BU138" i="335"/>
  <c r="BK39" i="335"/>
  <c r="BL39" i="335"/>
  <c r="BM39" i="335"/>
  <c r="BN39" i="335"/>
  <c r="BN14" i="335"/>
  <c r="BN172" i="338" s="1"/>
  <c r="BE160" i="335"/>
  <c r="BF160" i="335"/>
  <c r="BG160" i="335"/>
  <c r="CG42" i="335"/>
  <c r="CG725" i="338" s="1"/>
  <c r="CG46" i="335"/>
  <c r="CM97" i="335"/>
  <c r="CG72" i="335"/>
  <c r="CM72" i="335"/>
  <c r="CG73" i="335"/>
  <c r="CM73" i="335"/>
  <c r="CM46" i="11" s="1"/>
  <c r="CG74" i="335"/>
  <c r="CM74" i="335"/>
  <c r="AO14" i="335"/>
  <c r="AO172" i="338" s="1"/>
  <c r="AP14" i="335"/>
  <c r="AP172" i="338" s="1"/>
  <c r="AO87" i="335"/>
  <c r="AP87" i="335"/>
  <c r="AS74" i="335"/>
  <c r="AV74" i="335"/>
  <c r="AV72" i="335" s="1"/>
  <c r="AT74" i="335"/>
  <c r="AT72" i="335"/>
  <c r="AT87" i="335" s="1"/>
  <c r="AT91" i="335" s="1"/>
  <c r="AU74" i="335"/>
  <c r="AW74" i="335"/>
  <c r="AY46" i="335"/>
  <c r="AZ46" i="335"/>
  <c r="AZ87" i="335"/>
  <c r="BA46" i="335"/>
  <c r="BB46" i="335"/>
  <c r="AO141" i="335"/>
  <c r="AO167" i="335"/>
  <c r="AP141" i="335"/>
  <c r="AP167" i="335"/>
  <c r="AV296" i="335" s="1"/>
  <c r="AO176" i="335"/>
  <c r="AO214" i="335"/>
  <c r="AO160" i="335"/>
  <c r="AO223" i="335"/>
  <c r="AP160" i="335"/>
  <c r="AP214" i="335"/>
  <c r="AP223" i="335"/>
  <c r="AP191" i="335"/>
  <c r="AS176" i="335"/>
  <c r="AT176" i="335"/>
  <c r="AT214" i="335"/>
  <c r="AU176" i="335"/>
  <c r="AU214" i="335"/>
  <c r="AV176" i="335"/>
  <c r="AV214" i="335"/>
  <c r="AY176" i="335"/>
  <c r="AZ176" i="335"/>
  <c r="BA176" i="335"/>
  <c r="BA214" i="335"/>
  <c r="BB176" i="335"/>
  <c r="BE176" i="335"/>
  <c r="BF176" i="335"/>
  <c r="BG176" i="335"/>
  <c r="BG214" i="335"/>
  <c r="BH176" i="335"/>
  <c r="BH214" i="335"/>
  <c r="BH216" i="335"/>
  <c r="BK176" i="335"/>
  <c r="BK214" i="335"/>
  <c r="BL176" i="335"/>
  <c r="BL214" i="335"/>
  <c r="BM176" i="335"/>
  <c r="BM214" i="335"/>
  <c r="BN176" i="335"/>
  <c r="BN214" i="335"/>
  <c r="BQ176" i="335"/>
  <c r="BR176" i="335"/>
  <c r="BR214" i="335"/>
  <c r="AO10" i="335"/>
  <c r="AP10" i="335"/>
  <c r="AS10" i="335"/>
  <c r="AT10" i="335"/>
  <c r="AU10" i="335"/>
  <c r="AV10" i="335"/>
  <c r="AY10" i="335"/>
  <c r="AZ10" i="335"/>
  <c r="BA10" i="335"/>
  <c r="BB10" i="335"/>
  <c r="BE10" i="335"/>
  <c r="BF10" i="335"/>
  <c r="BG10" i="335"/>
  <c r="BH10" i="335"/>
  <c r="BK10" i="335"/>
  <c r="BL10" i="335"/>
  <c r="BM10" i="335"/>
  <c r="BN10" i="335"/>
  <c r="BQ10" i="335"/>
  <c r="BR10" i="335"/>
  <c r="CE104" i="335"/>
  <c r="CE138" i="335"/>
  <c r="CE147" i="335"/>
  <c r="CE150" i="335"/>
  <c r="CF104" i="335"/>
  <c r="CF138" i="335"/>
  <c r="CF147" i="335"/>
  <c r="CF150" i="335"/>
  <c r="CF153" i="335"/>
  <c r="CW10" i="335"/>
  <c r="CX10" i="335"/>
  <c r="DA10" i="335"/>
  <c r="DB10" i="335"/>
  <c r="CJ611" i="338"/>
  <c r="CU15" i="11"/>
  <c r="CU49" i="11"/>
  <c r="CY41" i="338"/>
  <c r="CY42" i="338"/>
  <c r="CY43" i="338"/>
  <c r="CY44" i="338"/>
  <c r="CY45" i="338"/>
  <c r="CY52" i="338"/>
  <c r="CY59" i="338"/>
  <c r="CY60" i="338"/>
  <c r="CY61" i="338"/>
  <c r="CY62" i="338"/>
  <c r="CY63" i="338"/>
  <c r="CY64" i="338"/>
  <c r="CY65" i="338"/>
  <c r="CY66" i="338"/>
  <c r="CY67" i="338"/>
  <c r="CY68" i="338"/>
  <c r="CY69" i="338"/>
  <c r="CY72" i="338"/>
  <c r="CY73" i="338"/>
  <c r="CY94" i="338"/>
  <c r="DE41" i="338"/>
  <c r="DE42" i="338"/>
  <c r="DE43" i="338"/>
  <c r="DE44" i="338"/>
  <c r="DE45" i="338"/>
  <c r="DE46" i="338"/>
  <c r="DE52" i="338"/>
  <c r="DE59" i="338"/>
  <c r="DE60" i="338"/>
  <c r="DE61" i="338"/>
  <c r="DE62" i="338"/>
  <c r="DE109" i="338" s="1"/>
  <c r="DE63" i="338"/>
  <c r="DE64" i="338"/>
  <c r="DE65" i="338"/>
  <c r="DE66" i="338"/>
  <c r="DE67" i="338"/>
  <c r="DE68" i="338"/>
  <c r="DE69" i="338"/>
  <c r="DE70" i="338"/>
  <c r="DE72" i="338"/>
  <c r="DE73" i="338"/>
  <c r="DE94" i="338"/>
  <c r="CU114" i="338"/>
  <c r="CU160" i="338" s="1"/>
  <c r="CY115" i="338"/>
  <c r="CY116" i="338"/>
  <c r="CY117" i="338"/>
  <c r="CY118" i="338"/>
  <c r="CY119" i="338"/>
  <c r="CY120" i="338"/>
  <c r="CY121" i="338"/>
  <c r="CY122" i="338"/>
  <c r="CY123" i="338"/>
  <c r="CY124" i="338"/>
  <c r="CY125" i="338"/>
  <c r="CY126" i="338"/>
  <c r="CY127" i="338"/>
  <c r="CY128" i="338"/>
  <c r="CY159" i="338"/>
  <c r="DE115" i="338"/>
  <c r="DE116" i="338"/>
  <c r="DE117" i="338"/>
  <c r="DE118" i="338"/>
  <c r="DE119" i="338"/>
  <c r="DE120" i="338"/>
  <c r="DE121" i="338"/>
  <c r="DE122" i="338"/>
  <c r="DE123" i="338"/>
  <c r="DE124" i="338"/>
  <c r="DE125" i="338"/>
  <c r="DE126" i="338"/>
  <c r="DE127" i="338"/>
  <c r="DE128" i="338"/>
  <c r="DE129" i="338"/>
  <c r="BU42" i="335"/>
  <c r="CA42" i="335"/>
  <c r="CS72" i="335"/>
  <c r="CY72" i="335"/>
  <c r="CU99" i="335"/>
  <c r="CY74" i="335"/>
  <c r="CY42" i="335"/>
  <c r="DE72" i="335"/>
  <c r="DE74" i="335"/>
  <c r="DE47" i="11" s="1"/>
  <c r="CU56" i="336"/>
  <c r="CV56" i="336" s="1"/>
  <c r="CU58" i="336"/>
  <c r="CV58" i="336" s="1"/>
  <c r="CV417" i="335" s="1"/>
  <c r="CU60" i="336"/>
  <c r="CU419" i="335" s="1"/>
  <c r="CU84" i="336"/>
  <c r="CV84" i="336" s="1"/>
  <c r="AY396" i="335"/>
  <c r="AZ396" i="335"/>
  <c r="BA396" i="335"/>
  <c r="BB396" i="335"/>
  <c r="BE396" i="335"/>
  <c r="BF396" i="335"/>
  <c r="BG396" i="335"/>
  <c r="BH396" i="335"/>
  <c r="BK396" i="335"/>
  <c r="BL396" i="335"/>
  <c r="BM396" i="335"/>
  <c r="BN396" i="335"/>
  <c r="BQ396" i="335"/>
  <c r="BR396" i="335"/>
  <c r="BS396" i="335"/>
  <c r="BT396" i="335"/>
  <c r="BW396" i="335"/>
  <c r="BX396" i="335"/>
  <c r="BY396" i="335"/>
  <c r="BZ396" i="335"/>
  <c r="CC396" i="335"/>
  <c r="CD396" i="335"/>
  <c r="CE396" i="335"/>
  <c r="CF396" i="335"/>
  <c r="CI396" i="335"/>
  <c r="CJ396" i="335"/>
  <c r="CK396" i="335"/>
  <c r="CL396" i="335"/>
  <c r="CO396" i="335"/>
  <c r="CP396" i="335"/>
  <c r="CQ396" i="335"/>
  <c r="CR396" i="335"/>
  <c r="CU396" i="335"/>
  <c r="CV396" i="335"/>
  <c r="CW396" i="335"/>
  <c r="CX396" i="335"/>
  <c r="BQ10" i="338"/>
  <c r="BQ11" i="338"/>
  <c r="BR10" i="338"/>
  <c r="BR11" i="338"/>
  <c r="BS10" i="338"/>
  <c r="BS11" i="338"/>
  <c r="BT10" i="338"/>
  <c r="BT11" i="338"/>
  <c r="DA10" i="338"/>
  <c r="DB10" i="338"/>
  <c r="DC11" i="338"/>
  <c r="DD11" i="338"/>
  <c r="DG10" i="338"/>
  <c r="DG11" i="338"/>
  <c r="DH10" i="338"/>
  <c r="DH11" i="338"/>
  <c r="DI10" i="338"/>
  <c r="DJ10" i="338"/>
  <c r="DM10" i="338"/>
  <c r="DM74" i="338"/>
  <c r="DN10" i="338"/>
  <c r="DO10" i="338"/>
  <c r="DP10" i="338"/>
  <c r="DP74" i="338"/>
  <c r="DP75" i="338"/>
  <c r="DS10" i="338"/>
  <c r="DS11" i="338"/>
  <c r="DT10" i="338"/>
  <c r="DT11" i="338"/>
  <c r="DU10" i="338"/>
  <c r="DU11" i="338"/>
  <c r="CC119" i="338"/>
  <c r="CD119" i="338"/>
  <c r="CE119" i="338"/>
  <c r="CF119" i="338"/>
  <c r="CF117" i="338"/>
  <c r="CG117" i="338" s="1"/>
  <c r="CK120" i="338"/>
  <c r="CO126" i="338"/>
  <c r="CP126" i="338"/>
  <c r="CR126" i="338"/>
  <c r="CR128" i="338"/>
  <c r="CS128" i="338" s="1"/>
  <c r="CS115" i="338"/>
  <c r="CS116" i="338"/>
  <c r="CS117" i="338"/>
  <c r="CS118" i="338"/>
  <c r="CS119" i="338"/>
  <c r="CS120" i="338"/>
  <c r="CS121" i="338"/>
  <c r="CS122" i="338"/>
  <c r="CS124" i="338"/>
  <c r="CS127" i="338"/>
  <c r="CS129" i="338"/>
  <c r="CS159" i="338"/>
  <c r="CR282" i="338"/>
  <c r="CR387" i="335" s="1"/>
  <c r="BQ55" i="338"/>
  <c r="BR55" i="338"/>
  <c r="BS55" i="338"/>
  <c r="BT55" i="338"/>
  <c r="CE119" i="11"/>
  <c r="CL40" i="338"/>
  <c r="CL53" i="338"/>
  <c r="CO40" i="338"/>
  <c r="CO53" i="338"/>
  <c r="CP40" i="338"/>
  <c r="CP53" i="338"/>
  <c r="CQ40" i="338"/>
  <c r="CR40" i="338"/>
  <c r="CR39" i="338" s="1"/>
  <c r="CU40" i="338"/>
  <c r="CU53" i="338" s="1"/>
  <c r="CV40" i="338"/>
  <c r="CV53" i="338" s="1"/>
  <c r="CV54" i="338"/>
  <c r="CW119" i="11"/>
  <c r="CW104" i="11" s="1"/>
  <c r="CX119" i="11"/>
  <c r="CX123" i="11" s="1"/>
  <c r="CX127" i="11" s="1"/>
  <c r="DA119" i="11"/>
  <c r="DA123" i="11" s="1"/>
  <c r="DB119" i="11"/>
  <c r="DC119" i="11"/>
  <c r="DC40" i="338" s="1"/>
  <c r="DD119" i="11"/>
  <c r="DD104" i="11" s="1"/>
  <c r="DG40" i="338"/>
  <c r="DG53" i="338" s="1"/>
  <c r="DH40" i="338"/>
  <c r="DH53" i="338" s="1"/>
  <c r="DI40" i="338"/>
  <c r="DI53" i="338" s="1"/>
  <c r="DM40" i="338"/>
  <c r="DW41" i="338"/>
  <c r="DW42" i="338"/>
  <c r="DW43" i="338"/>
  <c r="DW44" i="338"/>
  <c r="DW45" i="338"/>
  <c r="DW46" i="338"/>
  <c r="DW47" i="338"/>
  <c r="DW48" i="338"/>
  <c r="DW50" i="338"/>
  <c r="DW52" i="338"/>
  <c r="BQ97" i="338"/>
  <c r="BR97" i="338"/>
  <c r="BS97" i="338"/>
  <c r="BT97" i="338"/>
  <c r="BW120" i="11"/>
  <c r="BX120" i="11"/>
  <c r="BY120" i="11"/>
  <c r="BZ120" i="11"/>
  <c r="BZ58" i="338" s="1"/>
  <c r="CC120" i="11"/>
  <c r="CD120" i="11"/>
  <c r="CE120" i="11"/>
  <c r="CE124" i="11" s="1"/>
  <c r="CE96" i="338" s="1"/>
  <c r="CF120" i="11"/>
  <c r="CF58" i="338" s="1"/>
  <c r="CI120" i="11"/>
  <c r="CJ120" i="11"/>
  <c r="CK120" i="11"/>
  <c r="CL120" i="11"/>
  <c r="CO120" i="11"/>
  <c r="CP120" i="11"/>
  <c r="CQ58" i="338"/>
  <c r="CQ95" i="338" s="1"/>
  <c r="CR120" i="11"/>
  <c r="CU120" i="11"/>
  <c r="CV120" i="11"/>
  <c r="CV96" i="338"/>
  <c r="CW120" i="11"/>
  <c r="CX120" i="11"/>
  <c r="CX58" i="338" s="1"/>
  <c r="CX95" i="338" s="1"/>
  <c r="DA120" i="11"/>
  <c r="DA58" i="338" s="1"/>
  <c r="DA95" i="338" s="1"/>
  <c r="DB120" i="11"/>
  <c r="DB58" i="338" s="1"/>
  <c r="DB95" i="338" s="1"/>
  <c r="DC120" i="11"/>
  <c r="DC58" i="338" s="1"/>
  <c r="DD120" i="11"/>
  <c r="DD58" i="338" s="1"/>
  <c r="DD95" i="338" s="1"/>
  <c r="DG58" i="338"/>
  <c r="DG95" i="338" s="1"/>
  <c r="DH58" i="338"/>
  <c r="DH95" i="338" s="1"/>
  <c r="DI58" i="338"/>
  <c r="DI95" i="338" s="1"/>
  <c r="DJ58" i="338"/>
  <c r="DJ95" i="338" s="1"/>
  <c r="DM58" i="338"/>
  <c r="DM95" i="338" s="1"/>
  <c r="DN58" i="338"/>
  <c r="DN95" i="338" s="1"/>
  <c r="DW59" i="338"/>
  <c r="DW60" i="338"/>
  <c r="DW61" i="338"/>
  <c r="DW62" i="338"/>
  <c r="DW63" i="338"/>
  <c r="DW64" i="338"/>
  <c r="DW65" i="338"/>
  <c r="DW66" i="338"/>
  <c r="DW67" i="338"/>
  <c r="DW68" i="338"/>
  <c r="DW69" i="338"/>
  <c r="DW70" i="338"/>
  <c r="DW71" i="338"/>
  <c r="DW72" i="338"/>
  <c r="DW73" i="338"/>
  <c r="DW74" i="338"/>
  <c r="DW75" i="338"/>
  <c r="DW76" i="338"/>
  <c r="DW77" i="338"/>
  <c r="DW78" i="338"/>
  <c r="DW79" i="338"/>
  <c r="DW80" i="338"/>
  <c r="DW81" i="338"/>
  <c r="DW82" i="338"/>
  <c r="DW144" i="338" s="1"/>
  <c r="DW94" i="338"/>
  <c r="BS10" i="335"/>
  <c r="BT10" i="335"/>
  <c r="BW10" i="335"/>
  <c r="BX10" i="335"/>
  <c r="BY12" i="11"/>
  <c r="BY10" i="335" s="1"/>
  <c r="BZ12" i="11"/>
  <c r="DC10" i="335"/>
  <c r="DD10" i="335"/>
  <c r="BQ11" i="335"/>
  <c r="BR11" i="335"/>
  <c r="BS11" i="335"/>
  <c r="BT11" i="335"/>
  <c r="BW11" i="335"/>
  <c r="BX11" i="335"/>
  <c r="BY13" i="11"/>
  <c r="BY11" i="335" s="1"/>
  <c r="BZ13" i="11"/>
  <c r="BZ11" i="335" s="1"/>
  <c r="CW11" i="335"/>
  <c r="CX11" i="335"/>
  <c r="DA11" i="335"/>
  <c r="DB11" i="335"/>
  <c r="DC11" i="335"/>
  <c r="DD11" i="335"/>
  <c r="CW12" i="335"/>
  <c r="CX12" i="335"/>
  <c r="DB12" i="335"/>
  <c r="DC12" i="335"/>
  <c r="DD12" i="335"/>
  <c r="BZ37" i="338"/>
  <c r="DU21" i="338"/>
  <c r="DV21" i="338"/>
  <c r="DO22" i="338"/>
  <c r="DP22" i="338"/>
  <c r="DV22" i="338"/>
  <c r="BQ166" i="336"/>
  <c r="BR166" i="336"/>
  <c r="BS166" i="336"/>
  <c r="BT166" i="336"/>
  <c r="BW166" i="336"/>
  <c r="BX166" i="336"/>
  <c r="CC166" i="336"/>
  <c r="CD166" i="336"/>
  <c r="CE166" i="336"/>
  <c r="CE168" i="336" s="1"/>
  <c r="CF166" i="336"/>
  <c r="CI166" i="336"/>
  <c r="CJ166" i="336"/>
  <c r="CK166" i="336"/>
  <c r="CP166" i="336"/>
  <c r="CV166" i="336"/>
  <c r="CV168" i="336" s="1"/>
  <c r="CW166" i="336"/>
  <c r="CW168" i="336" s="1"/>
  <c r="CX166" i="336"/>
  <c r="BW153" i="335"/>
  <c r="BW611" i="338"/>
  <c r="BX153" i="335"/>
  <c r="K39" i="335"/>
  <c r="K14" i="335"/>
  <c r="K172" i="338" s="1"/>
  <c r="L14" i="335"/>
  <c r="L172" i="338" s="1"/>
  <c r="M14" i="335"/>
  <c r="M172" i="338" s="1"/>
  <c r="O14" i="335"/>
  <c r="O172" i="338" s="1"/>
  <c r="P14" i="335"/>
  <c r="P172" i="338" s="1"/>
  <c r="Q14" i="335"/>
  <c r="Q172" i="338" s="1"/>
  <c r="R14" i="335"/>
  <c r="R172" i="338" s="1"/>
  <c r="S147" i="335"/>
  <c r="S293" i="335" s="1"/>
  <c r="U14" i="335"/>
  <c r="U172" i="338" s="1"/>
  <c r="V14" i="335"/>
  <c r="V172" i="338" s="1"/>
  <c r="W14" i="335"/>
  <c r="X14" i="335"/>
  <c r="X172" i="338" s="1"/>
  <c r="Y147" i="335"/>
  <c r="AA39" i="335"/>
  <c r="AA40" i="335" s="1"/>
  <c r="AB39" i="335"/>
  <c r="AC39" i="335"/>
  <c r="AC40" i="335" s="1"/>
  <c r="AD39" i="335"/>
  <c r="AE147" i="335"/>
  <c r="AG14" i="335"/>
  <c r="AG172" i="338" s="1"/>
  <c r="AH14" i="335"/>
  <c r="AH172" i="338" s="1"/>
  <c r="AI14" i="335"/>
  <c r="AI172" i="338" s="1"/>
  <c r="AJ14" i="335"/>
  <c r="AJ172" i="338" s="1"/>
  <c r="AP173" i="338" s="1"/>
  <c r="AK147" i="335"/>
  <c r="AQ147" i="335"/>
  <c r="AM14" i="335"/>
  <c r="AM172" i="338" s="1"/>
  <c r="AN14" i="335"/>
  <c r="AN172" i="338" s="1"/>
  <c r="AE46" i="335"/>
  <c r="AK46" i="335"/>
  <c r="AQ46" i="335"/>
  <c r="AW46" i="335"/>
  <c r="AW98" i="335" s="1"/>
  <c r="BI46" i="335"/>
  <c r="BO46" i="335"/>
  <c r="BU46" i="335"/>
  <c r="BU98" i="335" s="1"/>
  <c r="S150" i="335"/>
  <c r="Y150" i="335"/>
  <c r="AE150" i="335"/>
  <c r="AK150" i="335"/>
  <c r="AQ150" i="335"/>
  <c r="AW294" i="335" s="1"/>
  <c r="DC164" i="336"/>
  <c r="DD164" i="336"/>
  <c r="BZ164" i="336"/>
  <c r="CC164" i="336"/>
  <c r="CD164" i="336"/>
  <c r="CE164" i="336"/>
  <c r="CU163" i="336"/>
  <c r="DA98" i="336"/>
  <c r="DB98" i="336"/>
  <c r="DC98" i="336"/>
  <c r="DD98" i="336"/>
  <c r="DG98" i="336"/>
  <c r="DH98" i="336"/>
  <c r="DI98" i="336"/>
  <c r="DJ98" i="336"/>
  <c r="DM98" i="336"/>
  <c r="CM41" i="338"/>
  <c r="CM42" i="338"/>
  <c r="CM44" i="338"/>
  <c r="CM45" i="338"/>
  <c r="CM46" i="338"/>
  <c r="CM52" i="338"/>
  <c r="CM59" i="338"/>
  <c r="CM60" i="338"/>
  <c r="CM61" i="338"/>
  <c r="CM62" i="338"/>
  <c r="CM63" i="338"/>
  <c r="CM65" i="338"/>
  <c r="CM66" i="338"/>
  <c r="CM67" i="338"/>
  <c r="CM68" i="338"/>
  <c r="CM69" i="338"/>
  <c r="CM70" i="338"/>
  <c r="CM94" i="338"/>
  <c r="CS41" i="338"/>
  <c r="CS42" i="338"/>
  <c r="CS43" i="338"/>
  <c r="CS46" i="338"/>
  <c r="CS52" i="338"/>
  <c r="CS59" i="338"/>
  <c r="CS60" i="338"/>
  <c r="CS61" i="338"/>
  <c r="CS62" i="338"/>
  <c r="CS63" i="338"/>
  <c r="CS65" i="338"/>
  <c r="CS66" i="338"/>
  <c r="CS67" i="338"/>
  <c r="CS68" i="338"/>
  <c r="CS70" i="338"/>
  <c r="CS71" i="338"/>
  <c r="CS94" i="338"/>
  <c r="DQ59" i="338"/>
  <c r="DQ60" i="338"/>
  <c r="DQ61" i="338"/>
  <c r="DQ62" i="338"/>
  <c r="DQ63" i="338"/>
  <c r="DQ64" i="338"/>
  <c r="DQ65" i="338"/>
  <c r="DQ66" i="338"/>
  <c r="DQ67" i="338"/>
  <c r="DQ68" i="338"/>
  <c r="DQ69" i="338"/>
  <c r="DQ70" i="338"/>
  <c r="DQ71" i="338"/>
  <c r="DQ72" i="338"/>
  <c r="DQ77" i="338"/>
  <c r="BY180" i="335"/>
  <c r="BY176" i="335"/>
  <c r="CC180" i="335"/>
  <c r="CC176" i="335"/>
  <c r="CC214" i="335" s="1"/>
  <c r="BT378" i="335"/>
  <c r="BU378" i="335"/>
  <c r="CA177" i="335"/>
  <c r="BZ378" i="335"/>
  <c r="CA378" i="335" s="1"/>
  <c r="CG177" i="335"/>
  <c r="CF378" i="335"/>
  <c r="CI402" i="335" s="1"/>
  <c r="CM177" i="335"/>
  <c r="CL378" i="335"/>
  <c r="CM378" i="335" s="1"/>
  <c r="CS402" i="335" s="1"/>
  <c r="CS177" i="335"/>
  <c r="CR378" i="335"/>
  <c r="CS378" i="335" s="1"/>
  <c r="CY177" i="335"/>
  <c r="DD378" i="335"/>
  <c r="DE378" i="335" s="1"/>
  <c r="DK177" i="335"/>
  <c r="DJ378" i="335"/>
  <c r="DQ177" i="335"/>
  <c r="DV376" i="335"/>
  <c r="DW376" i="335" s="1"/>
  <c r="DY376" i="335"/>
  <c r="DU376" i="335"/>
  <c r="DP376" i="335"/>
  <c r="DQ376" i="335" s="1"/>
  <c r="DS376" i="335"/>
  <c r="DT376" i="335"/>
  <c r="DO376" i="335"/>
  <c r="DJ376" i="335"/>
  <c r="DK376" i="335" s="1"/>
  <c r="DM376" i="335"/>
  <c r="DS438" i="338"/>
  <c r="DW223" i="335"/>
  <c r="DW191" i="335" s="1"/>
  <c r="DW269" i="335" s="1"/>
  <c r="EC258" i="335"/>
  <c r="EI258" i="335" s="1"/>
  <c r="EO258" i="335" s="1"/>
  <c r="EU258" i="335" s="1"/>
  <c r="FA258" i="335" s="1"/>
  <c r="FG258" i="335" s="1"/>
  <c r="FM258" i="335" s="1"/>
  <c r="EG455" i="335"/>
  <c r="EH455" i="335"/>
  <c r="DU379" i="335"/>
  <c r="EL66" i="3"/>
  <c r="DU378" i="335"/>
  <c r="DV402" i="335" s="1"/>
  <c r="BS176" i="335"/>
  <c r="BS214" i="335"/>
  <c r="CJ40" i="336"/>
  <c r="CJ380" i="335" s="1"/>
  <c r="CP40" i="336"/>
  <c r="DB40" i="336"/>
  <c r="DB380" i="335" s="1"/>
  <c r="DH40" i="336"/>
  <c r="BX40" i="336"/>
  <c r="BX380" i="335" s="1"/>
  <c r="BR40" i="336"/>
  <c r="BR380" i="335" s="1"/>
  <c r="BL40" i="336"/>
  <c r="BL380" i="335" s="1"/>
  <c r="BY138" i="11"/>
  <c r="BY140" i="11"/>
  <c r="BY145" i="11" s="1"/>
  <c r="CS74" i="335"/>
  <c r="AA87" i="335"/>
  <c r="AB87" i="335"/>
  <c r="AB96" i="335" s="1"/>
  <c r="AC87" i="335"/>
  <c r="AD87" i="335"/>
  <c r="AG87" i="335"/>
  <c r="AH87" i="335"/>
  <c r="AH96" i="335" s="1"/>
  <c r="AI87" i="335"/>
  <c r="AI88" i="335" s="1"/>
  <c r="AJ87" i="335"/>
  <c r="AM87" i="335"/>
  <c r="AN87" i="335"/>
  <c r="AN286" i="335" s="1"/>
  <c r="U114" i="338"/>
  <c r="U160" i="338" s="1"/>
  <c r="R114" i="338"/>
  <c r="R160" i="338" s="1"/>
  <c r="V114" i="338"/>
  <c r="V160" i="338" s="1"/>
  <c r="W114" i="338"/>
  <c r="X114" i="338"/>
  <c r="X160" i="338" s="1"/>
  <c r="DA259" i="338"/>
  <c r="DB259" i="338"/>
  <c r="DC259" i="338"/>
  <c r="DD259" i="338"/>
  <c r="DG259" i="338"/>
  <c r="DH259" i="338"/>
  <c r="DI259" i="338"/>
  <c r="DQ41" i="338"/>
  <c r="DQ42" i="338"/>
  <c r="DQ43" i="338"/>
  <c r="DQ44" i="338"/>
  <c r="DQ45" i="338"/>
  <c r="DQ46" i="338"/>
  <c r="DQ47" i="338"/>
  <c r="DQ48" i="338"/>
  <c r="DQ52" i="338"/>
  <c r="DC228" i="338"/>
  <c r="DD228" i="338"/>
  <c r="DG228" i="338"/>
  <c r="DH228" i="338"/>
  <c r="DI228" i="338"/>
  <c r="DI229" i="338" s="1"/>
  <c r="DJ228" i="338"/>
  <c r="DM228" i="338"/>
  <c r="DN228" i="338"/>
  <c r="FR39" i="335"/>
  <c r="CW228" i="338"/>
  <c r="CX228" i="338"/>
  <c r="DA228" i="338"/>
  <c r="DB228" i="338"/>
  <c r="DO228" i="338"/>
  <c r="FO46" i="335"/>
  <c r="DQ115" i="338"/>
  <c r="DQ116" i="338"/>
  <c r="DQ117" i="338"/>
  <c r="DQ118" i="338"/>
  <c r="DQ119" i="338"/>
  <c r="DQ120" i="338"/>
  <c r="DQ121" i="338"/>
  <c r="DQ122" i="338"/>
  <c r="DQ123" i="338"/>
  <c r="DQ124" i="338"/>
  <c r="DQ125" i="338"/>
  <c r="DQ126" i="338"/>
  <c r="DQ127" i="338"/>
  <c r="DQ128" i="338"/>
  <c r="DQ129" i="338"/>
  <c r="DQ130" i="338"/>
  <c r="DQ131" i="338"/>
  <c r="DQ132" i="338"/>
  <c r="DQ133" i="338"/>
  <c r="DQ134" i="338"/>
  <c r="DQ135" i="338"/>
  <c r="DQ136" i="338"/>
  <c r="FQ184" i="335"/>
  <c r="FR184" i="335"/>
  <c r="FO223" i="335"/>
  <c r="FP223" i="335"/>
  <c r="FQ223" i="335"/>
  <c r="FR223" i="335"/>
  <c r="BZ165" i="335"/>
  <c r="CC165" i="335"/>
  <c r="CC160" i="335"/>
  <c r="CD165" i="335"/>
  <c r="CD160" i="335"/>
  <c r="CV156" i="335"/>
  <c r="CV159" i="335" s="1"/>
  <c r="CW156" i="335"/>
  <c r="CX156" i="335"/>
  <c r="DA159" i="335" s="1"/>
  <c r="CU156" i="335"/>
  <c r="DA158" i="335" s="1"/>
  <c r="DC239" i="335"/>
  <c r="DC156" i="335" s="1"/>
  <c r="A1" i="11"/>
  <c r="C7" i="11"/>
  <c r="C132" i="11" s="1"/>
  <c r="O7" i="11"/>
  <c r="O132" i="11" s="1"/>
  <c r="U7" i="11"/>
  <c r="U132" i="11" s="1"/>
  <c r="AA7" i="11"/>
  <c r="AA69" i="11" s="1"/>
  <c r="AG7" i="11"/>
  <c r="AM7" i="11"/>
  <c r="AM132" i="11" s="1"/>
  <c r="AS7" i="11"/>
  <c r="AS69" i="11" s="1"/>
  <c r="AY7" i="11"/>
  <c r="BE7" i="11"/>
  <c r="BK7" i="11"/>
  <c r="BK132" i="11" s="1"/>
  <c r="BQ7" i="11"/>
  <c r="BW7" i="11"/>
  <c r="BW132" i="11" s="1"/>
  <c r="CC7" i="11"/>
  <c r="CI7" i="11"/>
  <c r="CI132" i="11" s="1"/>
  <c r="CO7" i="11"/>
  <c r="CU7" i="11"/>
  <c r="DA7" i="11"/>
  <c r="DA69" i="11" s="1"/>
  <c r="DG7" i="11"/>
  <c r="DG132" i="11" s="1"/>
  <c r="DM7" i="11"/>
  <c r="DM69" i="11" s="1"/>
  <c r="DS7" i="11"/>
  <c r="DS69" i="11" s="1"/>
  <c r="DY7" i="11"/>
  <c r="EE7" i="11"/>
  <c r="EE132" i="11" s="1"/>
  <c r="EQ7" i="11"/>
  <c r="C8" i="11"/>
  <c r="C70" i="11" s="1"/>
  <c r="D8" i="11"/>
  <c r="E8" i="11"/>
  <c r="E133" i="11" s="1"/>
  <c r="F8" i="11"/>
  <c r="G8" i="11"/>
  <c r="G70" i="11" s="1"/>
  <c r="H8" i="11"/>
  <c r="I8" i="11"/>
  <c r="I70" i="11" s="1"/>
  <c r="J8" i="11"/>
  <c r="J133" i="11" s="1"/>
  <c r="K8" i="11"/>
  <c r="K70" i="11" s="1"/>
  <c r="L8" i="11"/>
  <c r="M8" i="11"/>
  <c r="M70" i="11" s="1"/>
  <c r="O8" i="11"/>
  <c r="O70" i="11" s="1"/>
  <c r="P8" i="11"/>
  <c r="Q8" i="11"/>
  <c r="R8" i="11"/>
  <c r="R133" i="11" s="1"/>
  <c r="S8" i="11"/>
  <c r="S70" i="11" s="1"/>
  <c r="U8" i="11"/>
  <c r="U70" i="11" s="1"/>
  <c r="V8" i="11"/>
  <c r="W8" i="11"/>
  <c r="W70" i="11" s="1"/>
  <c r="X8" i="11"/>
  <c r="Y8" i="11"/>
  <c r="Y70" i="11" s="1"/>
  <c r="AA8" i="11"/>
  <c r="AB8" i="11"/>
  <c r="AB70" i="11" s="1"/>
  <c r="AC8" i="11"/>
  <c r="AC133" i="11" s="1"/>
  <c r="AD8" i="11"/>
  <c r="AD133" i="11" s="1"/>
  <c r="AE8" i="11"/>
  <c r="AG8" i="11"/>
  <c r="AG70" i="11" s="1"/>
  <c r="AH8" i="11"/>
  <c r="AI8" i="11"/>
  <c r="AI70" i="11" s="1"/>
  <c r="AJ8" i="11"/>
  <c r="AK8" i="11"/>
  <c r="AK70" i="11" s="1"/>
  <c r="AM8" i="11"/>
  <c r="AN8" i="11"/>
  <c r="AN70" i="11" s="1"/>
  <c r="AO8" i="11"/>
  <c r="AP8" i="11"/>
  <c r="AP133" i="11" s="1"/>
  <c r="AQ8" i="11"/>
  <c r="AQ133" i="11" s="1"/>
  <c r="AS8" i="11"/>
  <c r="AS70" i="11" s="1"/>
  <c r="AT8" i="11"/>
  <c r="AU8" i="11"/>
  <c r="AU70" i="11" s="1"/>
  <c r="AV8" i="11"/>
  <c r="AV133" i="11" s="1"/>
  <c r="AW8" i="11"/>
  <c r="AW133" i="11" s="1"/>
  <c r="AY8" i="11"/>
  <c r="AZ8" i="11"/>
  <c r="AZ70" i="11" s="1"/>
  <c r="BA8" i="11"/>
  <c r="BB8" i="11"/>
  <c r="BB70" i="11" s="1"/>
  <c r="BC8" i="11"/>
  <c r="BC133" i="11" s="1"/>
  <c r="BE8" i="11"/>
  <c r="BE133" i="11" s="1"/>
  <c r="BF8" i="11"/>
  <c r="BG8" i="11"/>
  <c r="BG70" i="11" s="1"/>
  <c r="BH8" i="11"/>
  <c r="BI8" i="11"/>
  <c r="BI70" i="11" s="1"/>
  <c r="BK8" i="11"/>
  <c r="BL8" i="11"/>
  <c r="BL133" i="11" s="1"/>
  <c r="BM8" i="11"/>
  <c r="BN8" i="11"/>
  <c r="BN133" i="11" s="1"/>
  <c r="BO8" i="11"/>
  <c r="BO133" i="11" s="1"/>
  <c r="BQ8" i="11"/>
  <c r="BQ133" i="11" s="1"/>
  <c r="BR8" i="11"/>
  <c r="BS8" i="11"/>
  <c r="BS133" i="11" s="1"/>
  <c r="BT8" i="11"/>
  <c r="BT70" i="11" s="1"/>
  <c r="BU8" i="11"/>
  <c r="BU70" i="11" s="1"/>
  <c r="BW8" i="11"/>
  <c r="BX8" i="11"/>
  <c r="BX70" i="11" s="1"/>
  <c r="BY8" i="11"/>
  <c r="BZ8" i="11"/>
  <c r="BZ70" i="11" s="1"/>
  <c r="CA8" i="11"/>
  <c r="CA70" i="11" s="1"/>
  <c r="CC8" i="11"/>
  <c r="CC70" i="11" s="1"/>
  <c r="CD8" i="11"/>
  <c r="CE8" i="11"/>
  <c r="CE70" i="11" s="1"/>
  <c r="CF8" i="11"/>
  <c r="CG8" i="11"/>
  <c r="CG70" i="11" s="1"/>
  <c r="CI8" i="11"/>
  <c r="CJ8" i="11"/>
  <c r="CJ70" i="11" s="1"/>
  <c r="CK8" i="11"/>
  <c r="CL8" i="11"/>
  <c r="CL70" i="11" s="1"/>
  <c r="CM8" i="11"/>
  <c r="CM70" i="11" s="1"/>
  <c r="CO8" i="11"/>
  <c r="CO70" i="11" s="1"/>
  <c r="CP8" i="11"/>
  <c r="CQ8" i="11"/>
  <c r="CQ133" i="11" s="1"/>
  <c r="CR8" i="11"/>
  <c r="CR70" i="11" s="1"/>
  <c r="CS8" i="11"/>
  <c r="CS70" i="11" s="1"/>
  <c r="CU8" i="11"/>
  <c r="CV8" i="11"/>
  <c r="CV70" i="11" s="1"/>
  <c r="CW8" i="11"/>
  <c r="CX8" i="11"/>
  <c r="CX133" i="11" s="1"/>
  <c r="CY8" i="11"/>
  <c r="DA8" i="11"/>
  <c r="DA133" i="11" s="1"/>
  <c r="DB8" i="11"/>
  <c r="DB70" i="11" s="1"/>
  <c r="DC8" i="11"/>
  <c r="DC70" i="11" s="1"/>
  <c r="DD8" i="11"/>
  <c r="DE8" i="11"/>
  <c r="DE70" i="11" s="1"/>
  <c r="DG8" i="11"/>
  <c r="DG70" i="11" s="1"/>
  <c r="DH8" i="11"/>
  <c r="DH133" i="11" s="1"/>
  <c r="DI8" i="11"/>
  <c r="DJ8" i="11"/>
  <c r="DJ70" i="11" s="1"/>
  <c r="DK8" i="11"/>
  <c r="DM8" i="11"/>
  <c r="DM133" i="11" s="1"/>
  <c r="DN8" i="11"/>
  <c r="DO8" i="11"/>
  <c r="DO70" i="11" s="1"/>
  <c r="DP8" i="11"/>
  <c r="DQ8" i="11"/>
  <c r="DQ133" i="11" s="1"/>
  <c r="DS8" i="11"/>
  <c r="DT8" i="11"/>
  <c r="DT133" i="11" s="1"/>
  <c r="DU8" i="11"/>
  <c r="DU70" i="11" s="1"/>
  <c r="DV8" i="11"/>
  <c r="DV133" i="11" s="1"/>
  <c r="DW8" i="11"/>
  <c r="DY8" i="11"/>
  <c r="DY70" i="11" s="1"/>
  <c r="DZ8" i="11"/>
  <c r="DZ70" i="11" s="1"/>
  <c r="EA8" i="11"/>
  <c r="EA70" i="11" s="1"/>
  <c r="EB8" i="11"/>
  <c r="EC8" i="11"/>
  <c r="EC133" i="11" s="1"/>
  <c r="EE8" i="11"/>
  <c r="EE70" i="11" s="1"/>
  <c r="EF8" i="11"/>
  <c r="EF133" i="11" s="1"/>
  <c r="EG8" i="11"/>
  <c r="EH8" i="11"/>
  <c r="EH70" i="11" s="1"/>
  <c r="EI8" i="11"/>
  <c r="EI70" i="11" s="1"/>
  <c r="EK8" i="11"/>
  <c r="EK133" i="11" s="1"/>
  <c r="EL8" i="11"/>
  <c r="EM8" i="11"/>
  <c r="EN8" i="11"/>
  <c r="EN133" i="11" s="1"/>
  <c r="EO8" i="11"/>
  <c r="EO70" i="11" s="1"/>
  <c r="EQ8" i="11"/>
  <c r="ER8" i="11"/>
  <c r="ES8" i="11"/>
  <c r="ES70" i="11" s="1"/>
  <c r="ET8" i="11"/>
  <c r="EU8" i="11"/>
  <c r="EU70" i="11" s="1"/>
  <c r="S12" i="11"/>
  <c r="S355" i="335" s="1"/>
  <c r="Y12" i="11"/>
  <c r="AE12" i="11"/>
  <c r="AK12" i="11"/>
  <c r="AK355" i="335" s="1"/>
  <c r="AQ12" i="11"/>
  <c r="AW12" i="11"/>
  <c r="BC12" i="11"/>
  <c r="BI12" i="11"/>
  <c r="BO12" i="11"/>
  <c r="BU12" i="11"/>
  <c r="BU355" i="335"/>
  <c r="CC12" i="11"/>
  <c r="CC10" i="335"/>
  <c r="CD12" i="11"/>
  <c r="CD10" i="335"/>
  <c r="CE12" i="11"/>
  <c r="CE10" i="335"/>
  <c r="CF12" i="11"/>
  <c r="CF10" i="335"/>
  <c r="CI12" i="11"/>
  <c r="CI10" i="335"/>
  <c r="CJ12" i="11"/>
  <c r="CK12" i="11"/>
  <c r="CK10" i="335"/>
  <c r="CL12" i="11"/>
  <c r="CL10" i="335"/>
  <c r="CO12" i="11"/>
  <c r="CP12" i="11"/>
  <c r="CP10" i="335"/>
  <c r="CQ12" i="11"/>
  <c r="CQ10" i="335"/>
  <c r="CR12" i="11"/>
  <c r="CR24" i="11"/>
  <c r="CR30" i="11" s="1"/>
  <c r="CU12" i="11"/>
  <c r="CV12" i="11"/>
  <c r="DE12" i="11"/>
  <c r="DQ12" i="11"/>
  <c r="DQ355" i="335" s="1"/>
  <c r="DQ322" i="338" s="1"/>
  <c r="DW12" i="11"/>
  <c r="DW355" i="335" s="1"/>
  <c r="FO12" i="11"/>
  <c r="FO45" i="11" s="1"/>
  <c r="FO52" i="11" s="1"/>
  <c r="FO58" i="11" s="1"/>
  <c r="FO64" i="11" s="1"/>
  <c r="S13" i="11"/>
  <c r="S25" i="11" s="1"/>
  <c r="Y13" i="11"/>
  <c r="AE13" i="11"/>
  <c r="AE357" i="335" s="1"/>
  <c r="AK13" i="11"/>
  <c r="AK357" i="335" s="1"/>
  <c r="AQ13" i="11"/>
  <c r="AW13" i="11"/>
  <c r="BC13" i="11"/>
  <c r="BC357" i="335" s="1"/>
  <c r="BI13" i="11"/>
  <c r="BI357" i="335" s="1"/>
  <c r="BO13" i="11"/>
  <c r="BU13" i="11"/>
  <c r="BU357" i="335"/>
  <c r="CC13" i="11"/>
  <c r="CC11" i="335"/>
  <c r="CD13" i="11"/>
  <c r="CD25" i="11"/>
  <c r="CE13" i="11"/>
  <c r="CE11" i="335"/>
  <c r="CF13" i="11"/>
  <c r="CF11" i="335"/>
  <c r="CI13" i="11"/>
  <c r="CI11" i="335"/>
  <c r="CJ13" i="11"/>
  <c r="CJ11" i="335"/>
  <c r="CK13" i="11"/>
  <c r="CL13" i="11"/>
  <c r="CL11" i="335"/>
  <c r="CO13" i="11"/>
  <c r="CP13" i="11"/>
  <c r="CQ13" i="11"/>
  <c r="CR13" i="11"/>
  <c r="CU13" i="11"/>
  <c r="CV13" i="11"/>
  <c r="DE13" i="11"/>
  <c r="DE357" i="335" s="1"/>
  <c r="DQ13" i="11"/>
  <c r="DQ357" i="335" s="1"/>
  <c r="DW13" i="11"/>
  <c r="DW357" i="335" s="1"/>
  <c r="FO13" i="11"/>
  <c r="H91" i="335"/>
  <c r="H342" i="335" s="1"/>
  <c r="I91" i="335"/>
  <c r="J91" i="335"/>
  <c r="J123" i="336" s="1"/>
  <c r="O15" i="11"/>
  <c r="P15" i="11"/>
  <c r="P37" i="11" s="1"/>
  <c r="Q15" i="11"/>
  <c r="Q37" i="11" s="1"/>
  <c r="R15" i="11"/>
  <c r="R14" i="11" s="1"/>
  <c r="U15" i="11"/>
  <c r="U27" i="11" s="1"/>
  <c r="V15" i="11"/>
  <c r="V38" i="11" s="1"/>
  <c r="W15" i="11"/>
  <c r="W38" i="11" s="1"/>
  <c r="X15" i="11"/>
  <c r="X37" i="11" s="1"/>
  <c r="DQ14" i="11"/>
  <c r="DW14" i="11"/>
  <c r="FO14" i="11"/>
  <c r="FO47" i="11" s="1"/>
  <c r="FO54" i="11" s="1"/>
  <c r="FO60" i="11" s="1"/>
  <c r="FO66" i="11" s="1"/>
  <c r="C91" i="335"/>
  <c r="C328" i="335" s="1"/>
  <c r="D91" i="335"/>
  <c r="E91" i="335"/>
  <c r="E123" i="336" s="1"/>
  <c r="F91" i="335"/>
  <c r="G91" i="335"/>
  <c r="S91" i="335"/>
  <c r="Y91" i="335"/>
  <c r="Y114" i="338" s="1"/>
  <c r="Y160" i="338" s="1"/>
  <c r="I24" i="11"/>
  <c r="J24" i="11"/>
  <c r="K24" i="11"/>
  <c r="L24" i="11"/>
  <c r="M24" i="11"/>
  <c r="U24" i="11"/>
  <c r="V24" i="11"/>
  <c r="W24" i="11"/>
  <c r="X24" i="11"/>
  <c r="AA24" i="11"/>
  <c r="AB24" i="11"/>
  <c r="AC24" i="11"/>
  <c r="AD24" i="11"/>
  <c r="AG24" i="11"/>
  <c r="AH24" i="11"/>
  <c r="AI24" i="11"/>
  <c r="AJ24" i="11"/>
  <c r="AM24" i="11"/>
  <c r="AN24" i="11"/>
  <c r="AO24" i="11"/>
  <c r="AP24" i="11"/>
  <c r="AS24" i="11"/>
  <c r="AT24" i="11"/>
  <c r="AU24" i="11"/>
  <c r="AV24" i="11"/>
  <c r="AY24" i="11"/>
  <c r="AZ24" i="11"/>
  <c r="BA24" i="11"/>
  <c r="BB24" i="11"/>
  <c r="BE24" i="11"/>
  <c r="BF24" i="11"/>
  <c r="BG24" i="11"/>
  <c r="BH24" i="11"/>
  <c r="BK24" i="11"/>
  <c r="BL24" i="11"/>
  <c r="BM24" i="11"/>
  <c r="BN24" i="11"/>
  <c r="BQ24" i="11"/>
  <c r="BR24" i="11"/>
  <c r="BS24" i="11"/>
  <c r="BT24" i="11"/>
  <c r="BW24" i="11"/>
  <c r="BX24" i="11"/>
  <c r="CC24" i="11"/>
  <c r="CD24" i="11"/>
  <c r="CI24" i="11"/>
  <c r="CK24" i="11"/>
  <c r="CL24" i="11"/>
  <c r="CP24" i="11"/>
  <c r="CP30" i="11" s="1"/>
  <c r="CQ24" i="11"/>
  <c r="CQ30" i="11" s="1"/>
  <c r="CW24" i="11"/>
  <c r="CW30" i="11" s="1"/>
  <c r="DA24" i="11"/>
  <c r="DA30" i="11" s="1"/>
  <c r="DC24" i="11"/>
  <c r="DC30" i="11" s="1"/>
  <c r="DD24" i="11"/>
  <c r="DD30" i="11" s="1"/>
  <c r="DH24" i="11"/>
  <c r="DH30" i="11" s="1"/>
  <c r="DI24" i="11"/>
  <c r="DI30" i="11" s="1"/>
  <c r="DJ24" i="11"/>
  <c r="DJ30" i="11" s="1"/>
  <c r="DN24" i="11"/>
  <c r="DN30" i="11" s="1"/>
  <c r="DO24" i="11"/>
  <c r="DO30" i="11" s="1"/>
  <c r="DP24" i="11"/>
  <c r="DP30" i="11" s="1"/>
  <c r="DS24" i="11"/>
  <c r="DS30" i="11"/>
  <c r="DT24" i="11"/>
  <c r="DT30" i="11"/>
  <c r="DU24" i="11"/>
  <c r="DU30" i="11"/>
  <c r="DV24" i="11"/>
  <c r="DV30" i="11"/>
  <c r="DY24" i="11"/>
  <c r="DY30" i="11"/>
  <c r="FO24" i="11"/>
  <c r="I25" i="11"/>
  <c r="J25" i="11"/>
  <c r="K25" i="11"/>
  <c r="L25" i="11"/>
  <c r="M25" i="11"/>
  <c r="U25" i="11"/>
  <c r="V25" i="11"/>
  <c r="W25" i="11"/>
  <c r="X25" i="11"/>
  <c r="AA25" i="11"/>
  <c r="AB25" i="11"/>
  <c r="AC25" i="11"/>
  <c r="AD25" i="11"/>
  <c r="AG25" i="11"/>
  <c r="AH25" i="11"/>
  <c r="AI25" i="11"/>
  <c r="AJ25" i="11"/>
  <c r="AM25" i="11"/>
  <c r="AN25" i="11"/>
  <c r="AO25" i="11"/>
  <c r="AP25" i="11"/>
  <c r="AS25" i="11"/>
  <c r="AT25" i="11"/>
  <c r="AU25" i="11"/>
  <c r="AV25" i="11"/>
  <c r="AY25" i="11"/>
  <c r="AZ25" i="11"/>
  <c r="BA25" i="11"/>
  <c r="BB25" i="11"/>
  <c r="BE25" i="11"/>
  <c r="BF25" i="11"/>
  <c r="BG25" i="11"/>
  <c r="BH25" i="11"/>
  <c r="BK25" i="11"/>
  <c r="BL25" i="11"/>
  <c r="BM25" i="11"/>
  <c r="BN25" i="11"/>
  <c r="BQ25" i="11"/>
  <c r="BR25" i="11"/>
  <c r="BS25" i="11"/>
  <c r="BT25" i="11"/>
  <c r="BW25" i="11"/>
  <c r="BX25" i="11"/>
  <c r="CC25" i="11"/>
  <c r="CI25" i="11"/>
  <c r="CL25" i="11"/>
  <c r="CO25" i="11"/>
  <c r="CO31" i="11" s="1"/>
  <c r="DC25" i="11"/>
  <c r="DC31" i="11" s="1"/>
  <c r="DD25" i="11"/>
  <c r="DD31" i="11" s="1"/>
  <c r="DH25" i="11"/>
  <c r="DH31" i="11" s="1"/>
  <c r="DI25" i="11"/>
  <c r="DI31" i="11" s="1"/>
  <c r="DJ25" i="11"/>
  <c r="DJ31" i="11" s="1"/>
  <c r="DN25" i="11"/>
  <c r="DN31" i="11" s="1"/>
  <c r="DO25" i="11"/>
  <c r="DO31" i="11" s="1"/>
  <c r="DP25" i="11"/>
  <c r="DP31" i="11" s="1"/>
  <c r="DS25" i="11"/>
  <c r="DS31" i="11" s="1"/>
  <c r="DT25" i="11"/>
  <c r="DT31" i="11" s="1"/>
  <c r="DU25" i="11"/>
  <c r="DU31" i="11" s="1"/>
  <c r="DV25" i="11"/>
  <c r="DV31" i="11" s="1"/>
  <c r="DY25" i="11"/>
  <c r="DY31" i="11" s="1"/>
  <c r="FO25" i="11"/>
  <c r="DC26" i="11"/>
  <c r="DC32" i="11" s="1"/>
  <c r="DD26" i="11"/>
  <c r="DD32" i="11" s="1"/>
  <c r="DH26" i="11"/>
  <c r="DH32" i="11" s="1"/>
  <c r="DI26" i="11"/>
  <c r="DI32" i="11" s="1"/>
  <c r="DJ26" i="11"/>
  <c r="DJ32" i="11" s="1"/>
  <c r="DN26" i="11"/>
  <c r="DN32" i="11" s="1"/>
  <c r="DO26" i="11"/>
  <c r="DO32" i="11" s="1"/>
  <c r="DP26" i="11"/>
  <c r="DP32" i="11" s="1"/>
  <c r="DS26" i="11"/>
  <c r="DS32" i="11" s="1"/>
  <c r="DT26" i="11"/>
  <c r="DT32" i="11" s="1"/>
  <c r="DU26" i="11"/>
  <c r="DU32" i="11" s="1"/>
  <c r="DV26" i="11"/>
  <c r="DV32" i="11" s="1"/>
  <c r="DY26" i="11"/>
  <c r="DY32" i="11" s="1"/>
  <c r="FO26" i="11"/>
  <c r="FO30" i="11"/>
  <c r="FP30" i="11"/>
  <c r="FQ30" i="11"/>
  <c r="FO31" i="11"/>
  <c r="FP31" i="11"/>
  <c r="FQ31" i="11"/>
  <c r="FO32" i="11"/>
  <c r="FP32" i="11"/>
  <c r="FQ32" i="11"/>
  <c r="FP33" i="11"/>
  <c r="FQ33" i="11"/>
  <c r="FO37" i="11"/>
  <c r="FO38" i="11"/>
  <c r="FO39" i="11"/>
  <c r="AE43" i="11"/>
  <c r="AK43" i="11"/>
  <c r="AQ43" i="11"/>
  <c r="AW43" i="11"/>
  <c r="BC43" i="11"/>
  <c r="AE44" i="11"/>
  <c r="AK44" i="11"/>
  <c r="AQ44" i="11"/>
  <c r="AW44" i="11"/>
  <c r="AY44" i="11"/>
  <c r="AY53" i="11"/>
  <c r="AZ44" i="11"/>
  <c r="BA44" i="11"/>
  <c r="BB44" i="11"/>
  <c r="BE44" i="11"/>
  <c r="BE53" i="11" s="1"/>
  <c r="BF44" i="11"/>
  <c r="BF53" i="11" s="1"/>
  <c r="BG44" i="11"/>
  <c r="BH44" i="11"/>
  <c r="BH53" i="11" s="1"/>
  <c r="BK44" i="11"/>
  <c r="BL44" i="11"/>
  <c r="BM44" i="11"/>
  <c r="BM53" i="11" s="1"/>
  <c r="BN44" i="11"/>
  <c r="BQ44" i="11"/>
  <c r="BR44" i="11"/>
  <c r="BS44" i="11"/>
  <c r="BT44" i="11"/>
  <c r="BW44" i="11"/>
  <c r="BX44" i="11"/>
  <c r="BX53" i="11" s="1"/>
  <c r="CC44" i="11"/>
  <c r="CD44" i="11"/>
  <c r="CE44" i="11"/>
  <c r="CF44" i="11"/>
  <c r="CI44" i="11"/>
  <c r="CI53" i="11" s="1"/>
  <c r="CJ44" i="11"/>
  <c r="CJ53" i="11" s="1"/>
  <c r="CK44" i="11"/>
  <c r="CP44" i="11"/>
  <c r="CQ44" i="11"/>
  <c r="CV44" i="11"/>
  <c r="CW44" i="11"/>
  <c r="CX44" i="11"/>
  <c r="DB44" i="11"/>
  <c r="DC44" i="11"/>
  <c r="DD44" i="11"/>
  <c r="DG44" i="11"/>
  <c r="DH44" i="11"/>
  <c r="DH53" i="11" s="1"/>
  <c r="DI44" i="11"/>
  <c r="DJ44" i="11"/>
  <c r="DM44" i="11"/>
  <c r="DM53" i="11" s="1"/>
  <c r="DO44" i="11"/>
  <c r="DP44" i="11"/>
  <c r="DS44" i="11"/>
  <c r="DY44" i="11"/>
  <c r="AE45" i="11"/>
  <c r="AK45" i="11"/>
  <c r="AQ45" i="11"/>
  <c r="AW45" i="11"/>
  <c r="BC45" i="11"/>
  <c r="BE45" i="11"/>
  <c r="BE54" i="11" s="1"/>
  <c r="BF45" i="11"/>
  <c r="BG45" i="11"/>
  <c r="BG54" i="11" s="1"/>
  <c r="BH45" i="11"/>
  <c r="BH54" i="11" s="1"/>
  <c r="BK45" i="11"/>
  <c r="BL45" i="11"/>
  <c r="BL54" i="11" s="1"/>
  <c r="BM45" i="11"/>
  <c r="BN45" i="11"/>
  <c r="BN54" i="11" s="1"/>
  <c r="BQ45" i="11"/>
  <c r="BQ54" i="11" s="1"/>
  <c r="BR45" i="11"/>
  <c r="BS45" i="11"/>
  <c r="BS54" i="11" s="1"/>
  <c r="BT45" i="11"/>
  <c r="BU72" i="335"/>
  <c r="BW45" i="11"/>
  <c r="BX45" i="11"/>
  <c r="BY45" i="11"/>
  <c r="BZ45" i="11"/>
  <c r="CA72" i="335"/>
  <c r="CC45" i="11"/>
  <c r="CD45" i="11"/>
  <c r="CE45" i="11"/>
  <c r="CF45" i="11"/>
  <c r="CI45" i="11"/>
  <c r="CI54" i="11" s="1"/>
  <c r="CJ45" i="11"/>
  <c r="CK45" i="11"/>
  <c r="CK54" i="11" s="1"/>
  <c r="CL45" i="11"/>
  <c r="CO45" i="11"/>
  <c r="CP45" i="11"/>
  <c r="CP54" i="11" s="1"/>
  <c r="CQ45" i="11"/>
  <c r="CQ54" i="11" s="1"/>
  <c r="CR45" i="11"/>
  <c r="CU45" i="11"/>
  <c r="CU54" i="11" s="1"/>
  <c r="CV45" i="11"/>
  <c r="CW45" i="11"/>
  <c r="CW54" i="11" s="1"/>
  <c r="CX45" i="11"/>
  <c r="CX54" i="11" s="1"/>
  <c r="DA45" i="11"/>
  <c r="DB45" i="11"/>
  <c r="DB54" i="11" s="1"/>
  <c r="DC45" i="11"/>
  <c r="DD45" i="11"/>
  <c r="DG45" i="11"/>
  <c r="DH45" i="11"/>
  <c r="DI45" i="11"/>
  <c r="DI54" i="11" s="1"/>
  <c r="DJ45" i="11"/>
  <c r="DJ54" i="11" s="1"/>
  <c r="DK72" i="335"/>
  <c r="DK45" i="11" s="1"/>
  <c r="EG262" i="338"/>
  <c r="EM262" i="338" s="1"/>
  <c r="ES262" i="338" s="1"/>
  <c r="EY262" i="338" s="1"/>
  <c r="FE262" i="338" s="1"/>
  <c r="FK262" i="338" s="1"/>
  <c r="EH262" i="338"/>
  <c r="EN262" i="338" s="1"/>
  <c r="ET262" i="338" s="1"/>
  <c r="BE46" i="11"/>
  <c r="BF46" i="11"/>
  <c r="BG46" i="11"/>
  <c r="BH46" i="11"/>
  <c r="BK46" i="11"/>
  <c r="BK55" i="11" s="1"/>
  <c r="BL46" i="11"/>
  <c r="BL55" i="11" s="1"/>
  <c r="BM46" i="11"/>
  <c r="BN46" i="11"/>
  <c r="BQ46" i="11"/>
  <c r="BR46" i="11"/>
  <c r="BR55" i="11" s="1"/>
  <c r="BS46" i="11"/>
  <c r="BS55" i="11" s="1"/>
  <c r="BT46" i="11"/>
  <c r="BU73" i="335"/>
  <c r="BU46" i="11" s="1"/>
  <c r="BW46" i="11"/>
  <c r="BX46" i="11"/>
  <c r="BY46" i="11"/>
  <c r="BZ46" i="11"/>
  <c r="CA73" i="335"/>
  <c r="CC46" i="11"/>
  <c r="CD46" i="11"/>
  <c r="CE46" i="11"/>
  <c r="CF46" i="11"/>
  <c r="CI46" i="11"/>
  <c r="CI55" i="11" s="1"/>
  <c r="CJ46" i="11"/>
  <c r="CK46" i="11"/>
  <c r="CK55" i="11" s="1"/>
  <c r="CL46" i="11"/>
  <c r="CL55" i="11" s="1"/>
  <c r="CO46" i="11"/>
  <c r="CO55" i="11" s="1"/>
  <c r="CP46" i="11"/>
  <c r="CP55" i="11" s="1"/>
  <c r="CQ46" i="11"/>
  <c r="CQ55" i="11" s="1"/>
  <c r="CR46" i="11"/>
  <c r="CU46" i="11"/>
  <c r="CU55" i="11" s="1"/>
  <c r="CV46" i="11"/>
  <c r="CW46" i="11"/>
  <c r="CX46" i="11"/>
  <c r="DA46" i="11"/>
  <c r="DA55" i="11" s="1"/>
  <c r="DB46" i="11"/>
  <c r="DC46" i="11"/>
  <c r="DD46" i="11"/>
  <c r="DG46" i="11"/>
  <c r="DG55" i="11" s="1"/>
  <c r="DH46" i="11"/>
  <c r="DH55" i="11" s="1"/>
  <c r="DI46" i="11"/>
  <c r="DJ46" i="11"/>
  <c r="DJ55" i="11" s="1"/>
  <c r="EK268" i="338"/>
  <c r="EQ268" i="338" s="1"/>
  <c r="FO46" i="11"/>
  <c r="FO53" i="11" s="1"/>
  <c r="FO59" i="11" s="1"/>
  <c r="FO65" i="11" s="1"/>
  <c r="BC47" i="11"/>
  <c r="BE47" i="11"/>
  <c r="BE56" i="11" s="1"/>
  <c r="BF47" i="11"/>
  <c r="BF56" i="11" s="1"/>
  <c r="BG47" i="11"/>
  <c r="BH47" i="11"/>
  <c r="BH56" i="11" s="1"/>
  <c r="BK47" i="11"/>
  <c r="BL47" i="11"/>
  <c r="BM47" i="11"/>
  <c r="BN47" i="11"/>
  <c r="BQ47" i="11"/>
  <c r="BW47" i="11"/>
  <c r="BR47" i="11"/>
  <c r="BS47" i="11"/>
  <c r="BT47" i="11"/>
  <c r="BU74" i="335"/>
  <c r="BU47" i="11" s="1"/>
  <c r="BX47" i="11"/>
  <c r="BY47" i="11"/>
  <c r="BY56" i="11" s="1"/>
  <c r="BZ47" i="11"/>
  <c r="CA74" i="335"/>
  <c r="CA47" i="11" s="1"/>
  <c r="CC47" i="11"/>
  <c r="CD47" i="11"/>
  <c r="CE47" i="11"/>
  <c r="CF47" i="11"/>
  <c r="CI47" i="11"/>
  <c r="CI56" i="11" s="1"/>
  <c r="CJ47" i="11"/>
  <c r="CJ56" i="11" s="1"/>
  <c r="CK47" i="11"/>
  <c r="CK56" i="11" s="1"/>
  <c r="CL47" i="11"/>
  <c r="CO47" i="11"/>
  <c r="CP47" i="11"/>
  <c r="CP56" i="11" s="1"/>
  <c r="CQ47" i="11"/>
  <c r="CQ56" i="11" s="1"/>
  <c r="CR47" i="11"/>
  <c r="CU47" i="11"/>
  <c r="CU56" i="11" s="1"/>
  <c r="CV47" i="11"/>
  <c r="CW47" i="11"/>
  <c r="CW56" i="11" s="1"/>
  <c r="CX47" i="11"/>
  <c r="DA47" i="11"/>
  <c r="DG47" i="11"/>
  <c r="DB47" i="11"/>
  <c r="DC47" i="11"/>
  <c r="DD47" i="11"/>
  <c r="DK74" i="335"/>
  <c r="DH47" i="11"/>
  <c r="DH56" i="11" s="1"/>
  <c r="DI47" i="11"/>
  <c r="DI56" i="11" s="1"/>
  <c r="DJ47" i="11"/>
  <c r="DJ56" i="11" s="1"/>
  <c r="EF274" i="338"/>
  <c r="EL274" i="338" s="1"/>
  <c r="EG274" i="338"/>
  <c r="EM274" i="338"/>
  <c r="EH274" i="338"/>
  <c r="EN274" i="338" s="1"/>
  <c r="EK274" i="338"/>
  <c r="EQ274" i="338" s="1"/>
  <c r="EW274" i="338" s="1"/>
  <c r="FC274" i="338" s="1"/>
  <c r="FI274" i="338" s="1"/>
  <c r="AE48" i="11"/>
  <c r="AK48" i="11"/>
  <c r="AQ48" i="11"/>
  <c r="AQ57" i="11" s="1"/>
  <c r="AW48" i="11"/>
  <c r="BC48" i="11"/>
  <c r="BC57" i="11" s="1"/>
  <c r="BE48" i="11"/>
  <c r="BE57" i="11" s="1"/>
  <c r="BF48" i="11"/>
  <c r="BF57" i="11" s="1"/>
  <c r="BG48" i="11"/>
  <c r="BH48" i="11"/>
  <c r="BH57" i="11" s="1"/>
  <c r="BK48" i="11"/>
  <c r="BL48" i="11"/>
  <c r="BM48" i="11"/>
  <c r="BN48" i="11"/>
  <c r="BQ48" i="11"/>
  <c r="BR48" i="11"/>
  <c r="BS48" i="11"/>
  <c r="BT48" i="11"/>
  <c r="BU75" i="335"/>
  <c r="BU48" i="11" s="1"/>
  <c r="BW48" i="11"/>
  <c r="BX48" i="11"/>
  <c r="BY48" i="11"/>
  <c r="BZ48" i="11"/>
  <c r="CA75" i="335"/>
  <c r="AA49" i="11"/>
  <c r="AB49" i="11"/>
  <c r="AC49" i="11"/>
  <c r="AD49" i="11"/>
  <c r="AG49" i="11"/>
  <c r="AG58" i="11"/>
  <c r="AG162" i="338" s="1"/>
  <c r="AH49" i="11"/>
  <c r="AI49" i="11"/>
  <c r="AJ49" i="11"/>
  <c r="AM49" i="11"/>
  <c r="AM58" i="11" s="1"/>
  <c r="AN49" i="11"/>
  <c r="AO49" i="11"/>
  <c r="AO58" i="11" s="1"/>
  <c r="AP49" i="11"/>
  <c r="AP58" i="11" s="1"/>
  <c r="AS49" i="11"/>
  <c r="AS58" i="11" s="1"/>
  <c r="AT49" i="11"/>
  <c r="AT58" i="11"/>
  <c r="AU49" i="11"/>
  <c r="AV49" i="11"/>
  <c r="AV58" i="11" s="1"/>
  <c r="AV162" i="338" s="1"/>
  <c r="AY49" i="11"/>
  <c r="AY58" i="11"/>
  <c r="BA49" i="11"/>
  <c r="BB49" i="11"/>
  <c r="AG52" i="11"/>
  <c r="AG16" i="338"/>
  <c r="AH52" i="11"/>
  <c r="AH16" i="338"/>
  <c r="AI52" i="11"/>
  <c r="AJ52" i="11"/>
  <c r="AJ16" i="338" s="1"/>
  <c r="AM52" i="11"/>
  <c r="AM16" i="338" s="1"/>
  <c r="AN52" i="11"/>
  <c r="AN16" i="338" s="1"/>
  <c r="AO52" i="11"/>
  <c r="AO16" i="338" s="1"/>
  <c r="AP52" i="11"/>
  <c r="AP16" i="338" s="1"/>
  <c r="AS52" i="11"/>
  <c r="AS16" i="338" s="1"/>
  <c r="AT52" i="11"/>
  <c r="AT16" i="338" s="1"/>
  <c r="AU52" i="11"/>
  <c r="AU16" i="338" s="1"/>
  <c r="AV52" i="11"/>
  <c r="AV16" i="338" s="1"/>
  <c r="AY52" i="11"/>
  <c r="AY16" i="338" s="1"/>
  <c r="AZ52" i="11"/>
  <c r="AZ16" i="338" s="1"/>
  <c r="BA52" i="11"/>
  <c r="BA16" i="338" s="1"/>
  <c r="BB52" i="11"/>
  <c r="FR52" i="11"/>
  <c r="AG53" i="11"/>
  <c r="AH53" i="11"/>
  <c r="AI53" i="11"/>
  <c r="AJ53" i="11"/>
  <c r="AM53" i="11"/>
  <c r="AN53" i="11"/>
  <c r="AO53" i="11"/>
  <c r="AP53" i="11"/>
  <c r="AS53" i="11"/>
  <c r="AT53" i="11"/>
  <c r="AU53" i="11"/>
  <c r="AV53" i="11"/>
  <c r="BA53" i="11"/>
  <c r="BB53" i="11"/>
  <c r="FR53" i="11"/>
  <c r="AG54" i="11"/>
  <c r="AH54" i="11"/>
  <c r="AI54" i="11"/>
  <c r="AJ54" i="11"/>
  <c r="AM54" i="11"/>
  <c r="AN54" i="11"/>
  <c r="AO54" i="11"/>
  <c r="AP54" i="11"/>
  <c r="AS54" i="11"/>
  <c r="AT54" i="11"/>
  <c r="AU54" i="11"/>
  <c r="AV54" i="11"/>
  <c r="FR55" i="11"/>
  <c r="AG57" i="11"/>
  <c r="AH57" i="11"/>
  <c r="AI57" i="11"/>
  <c r="AJ57" i="11"/>
  <c r="AM57" i="11"/>
  <c r="AN57" i="11"/>
  <c r="AO57" i="11"/>
  <c r="AP57" i="11"/>
  <c r="AS57" i="11"/>
  <c r="AT57" i="11"/>
  <c r="AU57" i="11"/>
  <c r="AV57" i="11"/>
  <c r="AY57" i="11"/>
  <c r="AZ57" i="11"/>
  <c r="BA57" i="11"/>
  <c r="BB57" i="11"/>
  <c r="FP58" i="11"/>
  <c r="FQ58" i="11"/>
  <c r="FR58" i="11"/>
  <c r="FP59" i="11"/>
  <c r="FQ59" i="11"/>
  <c r="FR59" i="11"/>
  <c r="FP60" i="11"/>
  <c r="FQ60" i="11"/>
  <c r="FR60" i="11"/>
  <c r="FP61" i="11"/>
  <c r="FQ61" i="11"/>
  <c r="FR61" i="11"/>
  <c r="BY63" i="11"/>
  <c r="CA67" i="11"/>
  <c r="CE67" i="11"/>
  <c r="CF67" i="11"/>
  <c r="CG67" i="11"/>
  <c r="AE72" i="11"/>
  <c r="AK72" i="11"/>
  <c r="AQ72" i="11"/>
  <c r="AW72" i="11"/>
  <c r="AE73" i="11"/>
  <c r="AK73" i="11"/>
  <c r="AW73" i="11"/>
  <c r="AA74" i="11"/>
  <c r="AA76" i="11"/>
  <c r="AA359" i="335"/>
  <c r="AB74" i="11"/>
  <c r="AB76" i="11"/>
  <c r="AC74" i="11"/>
  <c r="AC76" i="11"/>
  <c r="AD74" i="11"/>
  <c r="AG74" i="11"/>
  <c r="AG76" i="11"/>
  <c r="AH74" i="11"/>
  <c r="AI74" i="11"/>
  <c r="AJ74" i="11"/>
  <c r="AM74" i="11"/>
  <c r="AN74" i="11"/>
  <c r="AN78" i="11"/>
  <c r="AO74" i="11"/>
  <c r="AP74" i="11"/>
  <c r="AP76" i="11"/>
  <c r="AP359" i="335" s="1"/>
  <c r="AS74" i="11"/>
  <c r="AT74" i="11"/>
  <c r="AT82" i="11"/>
  <c r="AU74" i="11"/>
  <c r="AU76" i="11"/>
  <c r="AU359" i="335" s="1"/>
  <c r="AV74" i="11"/>
  <c r="AV76" i="11"/>
  <c r="AY74" i="11"/>
  <c r="BE78" i="11"/>
  <c r="AZ74" i="11"/>
  <c r="BA74" i="11"/>
  <c r="BA76" i="11"/>
  <c r="BB74" i="11"/>
  <c r="BI74" i="11"/>
  <c r="BO74" i="11"/>
  <c r="BU74" i="11"/>
  <c r="CA74" i="11"/>
  <c r="CG74" i="11"/>
  <c r="CG78" i="11" s="1"/>
  <c r="FP52" i="11" s="1"/>
  <c r="CM74" i="11"/>
  <c r="CS74" i="11"/>
  <c r="FR45" i="11" s="1"/>
  <c r="CY74" i="11"/>
  <c r="FS45" i="11" s="1"/>
  <c r="DE74" i="11"/>
  <c r="DK74" i="11"/>
  <c r="DQ74" i="11"/>
  <c r="DS74" i="11"/>
  <c r="DY74" i="11" s="1"/>
  <c r="DT74" i="11"/>
  <c r="DZ74" i="11" s="1"/>
  <c r="DZ78" i="11" s="1"/>
  <c r="DZ82" i="11" s="1"/>
  <c r="DU74" i="11"/>
  <c r="EA74" i="11" s="1"/>
  <c r="EG74" i="11" s="1"/>
  <c r="DV74" i="11"/>
  <c r="EB74" i="11" s="1"/>
  <c r="AE75" i="11"/>
  <c r="AK75" i="11"/>
  <c r="AQ75" i="11"/>
  <c r="AW75" i="11"/>
  <c r="BC75" i="11"/>
  <c r="BI75" i="11"/>
  <c r="BU75" i="11"/>
  <c r="BU79" i="11" s="1"/>
  <c r="BU83" i="11" s="1"/>
  <c r="CA75" i="11"/>
  <c r="CG75" i="11"/>
  <c r="CM75" i="11"/>
  <c r="CS75" i="11"/>
  <c r="CY75" i="11"/>
  <c r="DE75" i="11"/>
  <c r="DK75" i="11"/>
  <c r="DQ75" i="11"/>
  <c r="AM76" i="11"/>
  <c r="BE76" i="11"/>
  <c r="BE359" i="335" s="1"/>
  <c r="BF76" i="11"/>
  <c r="BG76" i="11"/>
  <c r="BG359" i="335" s="1"/>
  <c r="BH76" i="11"/>
  <c r="BH359" i="335"/>
  <c r="BK76" i="11"/>
  <c r="BK80" i="11" s="1"/>
  <c r="BL76" i="11"/>
  <c r="BL359" i="335"/>
  <c r="BM76" i="11"/>
  <c r="BM359" i="335" s="1"/>
  <c r="BN76" i="11"/>
  <c r="BN80" i="11"/>
  <c r="BQ76" i="11"/>
  <c r="BQ359" i="335" s="1"/>
  <c r="BR76" i="11"/>
  <c r="BS76" i="11"/>
  <c r="BS80" i="11" s="1"/>
  <c r="BT76" i="11"/>
  <c r="BT359" i="335" s="1"/>
  <c r="BW76" i="11"/>
  <c r="BW80" i="11" s="1"/>
  <c r="BX76" i="11"/>
  <c r="BX359" i="335" s="1"/>
  <c r="BY76" i="11"/>
  <c r="BY359" i="335" s="1"/>
  <c r="BZ76" i="11"/>
  <c r="BZ359" i="335" s="1"/>
  <c r="CC76" i="11"/>
  <c r="CC359" i="335" s="1"/>
  <c r="CD76" i="11"/>
  <c r="CD359" i="335" s="1"/>
  <c r="CE76" i="11"/>
  <c r="CE80" i="11" s="1"/>
  <c r="CE85" i="11" s="1"/>
  <c r="CF76" i="11"/>
  <c r="CF359" i="335"/>
  <c r="CI76" i="11"/>
  <c r="CI359" i="335"/>
  <c r="CJ76" i="11"/>
  <c r="CK76" i="11"/>
  <c r="CK359" i="335" s="1"/>
  <c r="CL76" i="11"/>
  <c r="CO76" i="11"/>
  <c r="CO359" i="335" s="1"/>
  <c r="CP76" i="11"/>
  <c r="CQ76" i="11"/>
  <c r="CR76" i="11"/>
  <c r="CR359" i="335" s="1"/>
  <c r="CU76" i="11"/>
  <c r="CU359" i="335" s="1"/>
  <c r="CV76" i="11"/>
  <c r="CV80" i="11" s="1"/>
  <c r="CV85" i="11" s="1"/>
  <c r="CW76" i="11"/>
  <c r="CW359" i="335" s="1"/>
  <c r="CX76" i="11"/>
  <c r="CX359" i="335" s="1"/>
  <c r="DA76" i="11"/>
  <c r="DA359" i="335" s="1"/>
  <c r="DB76" i="11"/>
  <c r="DC76" i="11"/>
  <c r="DC80" i="11" s="1"/>
  <c r="DC84" i="11" s="1"/>
  <c r="DD76" i="11"/>
  <c r="DD359" i="335" s="1"/>
  <c r="DG76" i="11"/>
  <c r="DG359" i="335" s="1"/>
  <c r="DH76" i="11"/>
  <c r="DI76" i="11"/>
  <c r="DI80" i="11"/>
  <c r="DI84" i="11" s="1"/>
  <c r="DJ76" i="11"/>
  <c r="DM76" i="11"/>
  <c r="DS80" i="11" s="1"/>
  <c r="DS84" i="11" s="1"/>
  <c r="DN76" i="11"/>
  <c r="DT80" i="11" s="1"/>
  <c r="DT84" i="11" s="1"/>
  <c r="DO76" i="11"/>
  <c r="DO359" i="335" s="1"/>
  <c r="DP76" i="11"/>
  <c r="DV80" i="11"/>
  <c r="DV84" i="11" s="1"/>
  <c r="AC78" i="11"/>
  <c r="AD78" i="11"/>
  <c r="AM78" i="11"/>
  <c r="BA78" i="11"/>
  <c r="BG78" i="11"/>
  <c r="BK78" i="11"/>
  <c r="BL78" i="11"/>
  <c r="BM78" i="11"/>
  <c r="BN78" i="11"/>
  <c r="BQ78" i="11"/>
  <c r="BR78" i="11"/>
  <c r="BS78" i="11"/>
  <c r="BT78" i="11"/>
  <c r="BW78" i="11"/>
  <c r="BX78" i="11"/>
  <c r="BY78" i="11"/>
  <c r="BZ78" i="11"/>
  <c r="CC78" i="11"/>
  <c r="CD78" i="11"/>
  <c r="CE78" i="11"/>
  <c r="CF78" i="11"/>
  <c r="CI78" i="11"/>
  <c r="CJ78" i="11"/>
  <c r="CJ82" i="11" s="1"/>
  <c r="CK78" i="11"/>
  <c r="CK82" i="11" s="1"/>
  <c r="CL78" i="11"/>
  <c r="CU78" i="11"/>
  <c r="CV78" i="11"/>
  <c r="CW78" i="11"/>
  <c r="CX78" i="11"/>
  <c r="CX82" i="11" s="1"/>
  <c r="DA78" i="11"/>
  <c r="DB78" i="11"/>
  <c r="DB82" i="11"/>
  <c r="DC78" i="11"/>
  <c r="DC82" i="11" s="1"/>
  <c r="DD78" i="11"/>
  <c r="DD82" i="11"/>
  <c r="DG78" i="11"/>
  <c r="DG82" i="11" s="1"/>
  <c r="DH78" i="11"/>
  <c r="DH82" i="11"/>
  <c r="DI78" i="11"/>
  <c r="DI82" i="11" s="1"/>
  <c r="DJ78" i="11"/>
  <c r="DJ82" i="11"/>
  <c r="DM78" i="11"/>
  <c r="DM82" i="11" s="1"/>
  <c r="DN78" i="11"/>
  <c r="DN82" i="11"/>
  <c r="DO78" i="11"/>
  <c r="DO82" i="11" s="1"/>
  <c r="DP78" i="11"/>
  <c r="DP82" i="11"/>
  <c r="AG79" i="11"/>
  <c r="AH79" i="11"/>
  <c r="AI79" i="11"/>
  <c r="AJ79" i="11"/>
  <c r="AM79" i="11"/>
  <c r="AN79" i="11"/>
  <c r="AO79" i="11"/>
  <c r="AP79" i="11"/>
  <c r="AS79" i="11"/>
  <c r="AT79" i="11"/>
  <c r="AU79" i="11"/>
  <c r="AV79" i="11"/>
  <c r="AY79" i="11"/>
  <c r="AZ79" i="11"/>
  <c r="BA79" i="11"/>
  <c r="BB79" i="11"/>
  <c r="BE79" i="11"/>
  <c r="BF79" i="11"/>
  <c r="BG79" i="11"/>
  <c r="BH79" i="11"/>
  <c r="BK79" i="11"/>
  <c r="BL79" i="11"/>
  <c r="BM79" i="11"/>
  <c r="BN79" i="11"/>
  <c r="BQ79" i="11"/>
  <c r="BR79" i="11"/>
  <c r="BS79" i="11"/>
  <c r="BT79" i="11"/>
  <c r="BW79" i="11"/>
  <c r="BX79" i="11"/>
  <c r="BY79" i="11"/>
  <c r="BZ79" i="11"/>
  <c r="CC79" i="11"/>
  <c r="CD79" i="11"/>
  <c r="CE79" i="11"/>
  <c r="CF79" i="11"/>
  <c r="CI79" i="11"/>
  <c r="CJ79" i="11"/>
  <c r="CK79" i="11"/>
  <c r="CK83" i="11"/>
  <c r="CL79" i="11"/>
  <c r="CO79" i="11"/>
  <c r="CP79" i="11"/>
  <c r="CQ79" i="11"/>
  <c r="CR79" i="11"/>
  <c r="CU79" i="11"/>
  <c r="CV79" i="11"/>
  <c r="CW79" i="11"/>
  <c r="CX79" i="11"/>
  <c r="CX83" i="11" s="1"/>
  <c r="DA79" i="11"/>
  <c r="DB79" i="11"/>
  <c r="DB83" i="11" s="1"/>
  <c r="DC79" i="11"/>
  <c r="DC83" i="11" s="1"/>
  <c r="DD79" i="11"/>
  <c r="DD83" i="11" s="1"/>
  <c r="DG79" i="11"/>
  <c r="DG83" i="11" s="1"/>
  <c r="DH79" i="11"/>
  <c r="DH83" i="11" s="1"/>
  <c r="DI79" i="11"/>
  <c r="DI83" i="11" s="1"/>
  <c r="DJ79" i="11"/>
  <c r="DJ83" i="11" s="1"/>
  <c r="DM79" i="11"/>
  <c r="DM83" i="11" s="1"/>
  <c r="DN79" i="11"/>
  <c r="DN83" i="11" s="1"/>
  <c r="DO79" i="11"/>
  <c r="DO83" i="11" s="1"/>
  <c r="DP79" i="11"/>
  <c r="DP83" i="11" s="1"/>
  <c r="BM80" i="11"/>
  <c r="DY80" i="11"/>
  <c r="DY84" i="11" s="1"/>
  <c r="AB82" i="11"/>
  <c r="AD82" i="11"/>
  <c r="AG82" i="11"/>
  <c r="AM82" i="11"/>
  <c r="AP82" i="11"/>
  <c r="AU82" i="11"/>
  <c r="CO85" i="11"/>
  <c r="CP85" i="11"/>
  <c r="CQ85" i="11"/>
  <c r="CR85" i="11"/>
  <c r="CS85" i="11"/>
  <c r="AA87" i="11"/>
  <c r="AA89" i="11"/>
  <c r="AK87" i="11"/>
  <c r="AQ87" i="11"/>
  <c r="AW87" i="11"/>
  <c r="AK88" i="11"/>
  <c r="AQ88" i="11"/>
  <c r="AB89" i="11"/>
  <c r="AB91" i="11" s="1"/>
  <c r="AC89" i="11"/>
  <c r="AI93" i="11"/>
  <c r="AD89" i="11"/>
  <c r="AD97" i="11" s="1"/>
  <c r="AE89" i="11"/>
  <c r="AG89" i="11"/>
  <c r="AG97" i="11"/>
  <c r="AH89" i="11"/>
  <c r="AI89" i="11"/>
  <c r="AI91" i="11"/>
  <c r="AI361" i="335" s="1"/>
  <c r="AJ89" i="11"/>
  <c r="AJ91" i="11"/>
  <c r="AM89" i="11"/>
  <c r="AM91" i="11"/>
  <c r="AM361" i="335"/>
  <c r="AN89" i="11"/>
  <c r="AN91" i="11"/>
  <c r="AO89" i="11"/>
  <c r="AO91" i="11"/>
  <c r="AO361" i="335" s="1"/>
  <c r="AP89" i="11"/>
  <c r="AS89" i="11"/>
  <c r="AS91" i="11"/>
  <c r="AT89" i="11"/>
  <c r="AU89" i="11"/>
  <c r="AV89" i="11"/>
  <c r="AV91" i="11"/>
  <c r="AV361" i="335" s="1"/>
  <c r="BC89" i="11"/>
  <c r="BI89" i="11"/>
  <c r="BO89" i="11"/>
  <c r="BU89" i="11"/>
  <c r="CA89" i="11"/>
  <c r="CG89" i="11"/>
  <c r="CM89" i="11"/>
  <c r="CS89" i="11"/>
  <c r="CS91" i="11" s="1"/>
  <c r="CS361" i="335" s="1"/>
  <c r="CY89" i="11"/>
  <c r="FS46" i="11" s="1"/>
  <c r="DE89" i="11"/>
  <c r="DK89" i="11"/>
  <c r="DQ89" i="11"/>
  <c r="DS89" i="11"/>
  <c r="DY89" i="11" s="1"/>
  <c r="DT89" i="11"/>
  <c r="DT93" i="11" s="1"/>
  <c r="DT97" i="11" s="1"/>
  <c r="DU89" i="11"/>
  <c r="DV89" i="11"/>
  <c r="DV93" i="11" s="1"/>
  <c r="DV97" i="11" s="1"/>
  <c r="AE90" i="11"/>
  <c r="AK90" i="11"/>
  <c r="AQ90" i="11"/>
  <c r="AW90" i="11"/>
  <c r="BC90" i="11"/>
  <c r="BI90" i="11"/>
  <c r="BO90" i="11"/>
  <c r="BO94" i="11" s="1"/>
  <c r="BU90" i="11"/>
  <c r="BU91" i="11" s="1"/>
  <c r="BU361" i="335" s="1"/>
  <c r="CA90" i="11"/>
  <c r="CG90" i="11"/>
  <c r="CM90" i="11"/>
  <c r="CS90" i="11"/>
  <c r="CY90" i="11"/>
  <c r="DE90" i="11"/>
  <c r="DK90" i="11"/>
  <c r="DQ90" i="11"/>
  <c r="AG91" i="11"/>
  <c r="AG361" i="335" s="1"/>
  <c r="AP91" i="11"/>
  <c r="AT91" i="11"/>
  <c r="AU91" i="11"/>
  <c r="AU361" i="335" s="1"/>
  <c r="AY91" i="11"/>
  <c r="AZ91" i="11"/>
  <c r="AZ361" i="335"/>
  <c r="BA91" i="11"/>
  <c r="BB91" i="11"/>
  <c r="BB361" i="335" s="1"/>
  <c r="BE91" i="11"/>
  <c r="BE361" i="335" s="1"/>
  <c r="BF91" i="11"/>
  <c r="BF361" i="335" s="1"/>
  <c r="BG91" i="11"/>
  <c r="BH91" i="11"/>
  <c r="BH361" i="335"/>
  <c r="BK91" i="11"/>
  <c r="BK361" i="335" s="1"/>
  <c r="BL91" i="11"/>
  <c r="BM91" i="11"/>
  <c r="BM95" i="11" s="1"/>
  <c r="BN91" i="11"/>
  <c r="BN361" i="335" s="1"/>
  <c r="BQ91" i="11"/>
  <c r="BQ361" i="335" s="1"/>
  <c r="BR91" i="11"/>
  <c r="BS91" i="11"/>
  <c r="BS361" i="335"/>
  <c r="BT91" i="11"/>
  <c r="BW91" i="11"/>
  <c r="BW95" i="11"/>
  <c r="BX91" i="11"/>
  <c r="BX361" i="335" s="1"/>
  <c r="BY91" i="11"/>
  <c r="BY95" i="11"/>
  <c r="BZ91" i="11"/>
  <c r="BZ95" i="11" s="1"/>
  <c r="CC91" i="11"/>
  <c r="CC361" i="335"/>
  <c r="CD91" i="11"/>
  <c r="CD95" i="11" s="1"/>
  <c r="CD100" i="11" s="1"/>
  <c r="CE91" i="11"/>
  <c r="CE361" i="335" s="1"/>
  <c r="CF91" i="11"/>
  <c r="CF361" i="335" s="1"/>
  <c r="CI91" i="11"/>
  <c r="CI95" i="11" s="1"/>
  <c r="CI100" i="11" s="1"/>
  <c r="CJ91" i="11"/>
  <c r="CJ361" i="335"/>
  <c r="CK91" i="11"/>
  <c r="CQ95" i="11" s="1"/>
  <c r="CQ100" i="11" s="1"/>
  <c r="CL91" i="11"/>
  <c r="CO91" i="11"/>
  <c r="CO361" i="335"/>
  <c r="CP91" i="11"/>
  <c r="CP361" i="335" s="1"/>
  <c r="CQ91" i="11"/>
  <c r="CR91" i="11"/>
  <c r="CR361" i="335" s="1"/>
  <c r="CU91" i="11"/>
  <c r="CU361" i="335" s="1"/>
  <c r="CV91" i="11"/>
  <c r="CV361" i="335"/>
  <c r="CX91" i="11"/>
  <c r="DA91" i="11"/>
  <c r="DA121" i="11" s="1"/>
  <c r="DB91" i="11"/>
  <c r="DB361" i="335"/>
  <c r="DC91" i="11"/>
  <c r="DD91" i="11"/>
  <c r="DD361" i="335"/>
  <c r="DG91" i="11"/>
  <c r="DG361" i="335" s="1"/>
  <c r="DH91" i="11"/>
  <c r="DH361" i="335"/>
  <c r="DI91" i="11"/>
  <c r="DJ91" i="11"/>
  <c r="DJ95" i="11" s="1"/>
  <c r="DJ99" i="11" s="1"/>
  <c r="DM91" i="11"/>
  <c r="DS95" i="11"/>
  <c r="DS99" i="11" s="1"/>
  <c r="DN91" i="11"/>
  <c r="DN95" i="11" s="1"/>
  <c r="DN99" i="11" s="1"/>
  <c r="DO91" i="11"/>
  <c r="DU95" i="11"/>
  <c r="DU99" i="11" s="1"/>
  <c r="DP91" i="11"/>
  <c r="DV95" i="11" s="1"/>
  <c r="DV99" i="11" s="1"/>
  <c r="AV93" i="11"/>
  <c r="AZ93" i="11"/>
  <c r="BA93" i="11"/>
  <c r="BE93" i="11"/>
  <c r="BF93" i="11"/>
  <c r="BG93" i="11"/>
  <c r="BH93" i="11"/>
  <c r="BK93" i="11"/>
  <c r="BL93" i="11"/>
  <c r="BM93" i="11"/>
  <c r="BN93" i="11"/>
  <c r="BQ93" i="11"/>
  <c r="BR93" i="11"/>
  <c r="BS93" i="11"/>
  <c r="BT93" i="11"/>
  <c r="BW93" i="11"/>
  <c r="BX93" i="11"/>
  <c r="BY93" i="11"/>
  <c r="BZ93" i="11"/>
  <c r="CC93" i="11"/>
  <c r="CD93" i="11"/>
  <c r="CE93" i="11"/>
  <c r="CF93" i="11"/>
  <c r="CI93" i="11"/>
  <c r="CJ93" i="11"/>
  <c r="CK93" i="11"/>
  <c r="CL93" i="11"/>
  <c r="CQ93" i="11"/>
  <c r="CU93" i="11"/>
  <c r="CV93" i="11"/>
  <c r="CW93" i="11"/>
  <c r="CX93" i="11"/>
  <c r="CX97" i="11"/>
  <c r="DA93" i="11"/>
  <c r="DB93" i="11"/>
  <c r="DB97" i="11" s="1"/>
  <c r="DC93" i="11"/>
  <c r="DC97" i="11"/>
  <c r="DD93" i="11"/>
  <c r="DD97" i="11" s="1"/>
  <c r="DG93" i="11"/>
  <c r="DG97" i="11"/>
  <c r="DH93" i="11"/>
  <c r="DH97" i="11" s="1"/>
  <c r="DI93" i="11"/>
  <c r="DI97" i="11"/>
  <c r="DJ93" i="11"/>
  <c r="DJ97" i="11" s="1"/>
  <c r="DM93" i="11"/>
  <c r="DM97" i="11"/>
  <c r="DN93" i="11"/>
  <c r="DN97" i="11" s="1"/>
  <c r="DO93" i="11"/>
  <c r="DP93" i="11"/>
  <c r="DP97" i="11" s="1"/>
  <c r="AG94" i="11"/>
  <c r="AH94" i="11"/>
  <c r="AI94" i="11"/>
  <c r="AJ94" i="11"/>
  <c r="AM94" i="11"/>
  <c r="AN94" i="11"/>
  <c r="AO94" i="11"/>
  <c r="AP94" i="11"/>
  <c r="AS94" i="11"/>
  <c r="AT94" i="11"/>
  <c r="AU94" i="11"/>
  <c r="AV94" i="11"/>
  <c r="AY94" i="11"/>
  <c r="AZ94" i="11"/>
  <c r="BA94" i="11"/>
  <c r="BB94" i="11"/>
  <c r="BE94" i="11"/>
  <c r="BF94" i="11"/>
  <c r="BG94" i="11"/>
  <c r="BH94" i="11"/>
  <c r="BK94" i="11"/>
  <c r="BL94" i="11"/>
  <c r="BM94" i="11"/>
  <c r="BN94" i="11"/>
  <c r="BQ94" i="11"/>
  <c r="BR94" i="11"/>
  <c r="BS94" i="11"/>
  <c r="BT94" i="11"/>
  <c r="BW94" i="11"/>
  <c r="BX94" i="11"/>
  <c r="BY94" i="11"/>
  <c r="BZ94" i="11"/>
  <c r="CC94" i="11"/>
  <c r="CD94" i="11"/>
  <c r="CE94" i="11"/>
  <c r="CF94" i="11"/>
  <c r="CI94" i="11"/>
  <c r="CJ94" i="11"/>
  <c r="CK94" i="11"/>
  <c r="CL94" i="11"/>
  <c r="CP94" i="11"/>
  <c r="CQ94" i="11"/>
  <c r="CV94" i="11"/>
  <c r="CW94" i="11"/>
  <c r="CX94" i="11"/>
  <c r="CX98" i="11" s="1"/>
  <c r="DA94" i="11"/>
  <c r="DB94" i="11"/>
  <c r="DB98" i="11" s="1"/>
  <c r="DC94" i="11"/>
  <c r="DC98" i="11"/>
  <c r="DD94" i="11"/>
  <c r="DD98" i="11" s="1"/>
  <c r="DG94" i="11"/>
  <c r="DG98" i="11"/>
  <c r="DH94" i="11"/>
  <c r="DH98" i="11" s="1"/>
  <c r="DI94" i="11"/>
  <c r="DI98" i="11"/>
  <c r="DJ94" i="11"/>
  <c r="DJ98" i="11" s="1"/>
  <c r="DM94" i="11"/>
  <c r="DM98" i="11"/>
  <c r="DN94" i="11"/>
  <c r="DN98" i="11" s="1"/>
  <c r="DO94" i="11"/>
  <c r="DP94" i="11"/>
  <c r="DP98" i="11" s="1"/>
  <c r="AI97" i="11"/>
  <c r="AJ97" i="11"/>
  <c r="AN97" i="11"/>
  <c r="AS97" i="11"/>
  <c r="AT97" i="11"/>
  <c r="AU97" i="11"/>
  <c r="CO100" i="11"/>
  <c r="CP100" i="11"/>
  <c r="CR100" i="11"/>
  <c r="CS100" i="11"/>
  <c r="AE102" i="11"/>
  <c r="AK102" i="11"/>
  <c r="AQ102" i="11"/>
  <c r="AW102" i="11"/>
  <c r="AE103" i="11"/>
  <c r="AK103" i="11"/>
  <c r="AQ103" i="11"/>
  <c r="AW103" i="11"/>
  <c r="AA104" i="11"/>
  <c r="AA106" i="11"/>
  <c r="AA362" i="335"/>
  <c r="AB104" i="11"/>
  <c r="AB112" i="11" s="1"/>
  <c r="AC104" i="11"/>
  <c r="AC108" i="11"/>
  <c r="AD104" i="11"/>
  <c r="AD108" i="11" s="1"/>
  <c r="AG104" i="11"/>
  <c r="AH104" i="11"/>
  <c r="AH119" i="11"/>
  <c r="AI104" i="11"/>
  <c r="AJ104" i="11"/>
  <c r="AJ112" i="11"/>
  <c r="AM104" i="11"/>
  <c r="AN104" i="11"/>
  <c r="AO104" i="11"/>
  <c r="AP104" i="11"/>
  <c r="AS104" i="11"/>
  <c r="AS108" i="11"/>
  <c r="AT104" i="11"/>
  <c r="AU104" i="11"/>
  <c r="AU106" i="11"/>
  <c r="AV104" i="11"/>
  <c r="BC104" i="11"/>
  <c r="BI104" i="11"/>
  <c r="BO108" i="11" s="1"/>
  <c r="BO104" i="11"/>
  <c r="BU104" i="11"/>
  <c r="CG104" i="11"/>
  <c r="CM104" i="11"/>
  <c r="CS104" i="11"/>
  <c r="DG119" i="11"/>
  <c r="DG104" i="11" s="1"/>
  <c r="DH119" i="11"/>
  <c r="DI119" i="11"/>
  <c r="DI104" i="11" s="1"/>
  <c r="DI108" i="11" s="1"/>
  <c r="DI112" i="11" s="1"/>
  <c r="DJ119" i="11"/>
  <c r="DO119" i="11"/>
  <c r="DO104" i="11" s="1"/>
  <c r="AE105" i="11"/>
  <c r="AE120" i="11" s="1"/>
  <c r="AG105" i="11"/>
  <c r="AQ105" i="11"/>
  <c r="AW105" i="11"/>
  <c r="BC105" i="11"/>
  <c r="BI105" i="11"/>
  <c r="BI109" i="11" s="1"/>
  <c r="BO105" i="11"/>
  <c r="BU105" i="11"/>
  <c r="BU106" i="11" s="1"/>
  <c r="BU362" i="335" s="1"/>
  <c r="CG105" i="11"/>
  <c r="CM105" i="11"/>
  <c r="CM106" i="11" s="1"/>
  <c r="CQ105" i="11"/>
  <c r="CQ109" i="11"/>
  <c r="DG120" i="11"/>
  <c r="DH120" i="11"/>
  <c r="DH105" i="11" s="1"/>
  <c r="DI120" i="11"/>
  <c r="DI105" i="11" s="1"/>
  <c r="DI109" i="11" s="1"/>
  <c r="DI113" i="11" s="1"/>
  <c r="DJ120" i="11"/>
  <c r="DP120" i="11"/>
  <c r="DP105" i="11" s="1"/>
  <c r="AD106" i="11"/>
  <c r="AD362" i="335" s="1"/>
  <c r="AH106" i="11"/>
  <c r="AH362" i="335"/>
  <c r="AI106" i="11"/>
  <c r="AI362" i="335" s="1"/>
  <c r="AS106" i="11"/>
  <c r="AS362" i="335" s="1"/>
  <c r="AY106" i="11"/>
  <c r="AY362" i="335" s="1"/>
  <c r="AZ106" i="11"/>
  <c r="BA106" i="11"/>
  <c r="BA362" i="335" s="1"/>
  <c r="BB106" i="11"/>
  <c r="BB362" i="335" s="1"/>
  <c r="BE106" i="11"/>
  <c r="BE110" i="11" s="1"/>
  <c r="BF106" i="11"/>
  <c r="BG106" i="11"/>
  <c r="BG110" i="11" s="1"/>
  <c r="BH106" i="11"/>
  <c r="BH362" i="335" s="1"/>
  <c r="BK106" i="11"/>
  <c r="BK110" i="11" s="1"/>
  <c r="BL106" i="11"/>
  <c r="BM106" i="11"/>
  <c r="BM362" i="335"/>
  <c r="BN106" i="11"/>
  <c r="BQ106" i="11"/>
  <c r="BR106" i="11"/>
  <c r="BS106" i="11"/>
  <c r="BS362" i="335" s="1"/>
  <c r="BT106" i="11"/>
  <c r="CC106" i="11"/>
  <c r="CC362" i="335" s="1"/>
  <c r="CD106" i="11"/>
  <c r="CE106" i="11"/>
  <c r="CE362" i="335" s="1"/>
  <c r="CF106" i="11"/>
  <c r="CF362" i="335" s="1"/>
  <c r="CI106" i="11"/>
  <c r="CI110" i="11" s="1"/>
  <c r="CI115" i="11" s="1"/>
  <c r="CJ106" i="11"/>
  <c r="CJ362" i="335" s="1"/>
  <c r="CJ360" i="335" s="1"/>
  <c r="CK106" i="11"/>
  <c r="CL106" i="11"/>
  <c r="CL110" i="11"/>
  <c r="CL115" i="11" s="1"/>
  <c r="CO106" i="11"/>
  <c r="CO362" i="335" s="1"/>
  <c r="CP106" i="11"/>
  <c r="CP362" i="335"/>
  <c r="CR106" i="11"/>
  <c r="CR362" i="335" s="1"/>
  <c r="CR360" i="335" s="1"/>
  <c r="CU106" i="11"/>
  <c r="DA110" i="11" s="1"/>
  <c r="CV106" i="11"/>
  <c r="CX106" i="11"/>
  <c r="DB106" i="11"/>
  <c r="DB362" i="335" s="1"/>
  <c r="DC106" i="11"/>
  <c r="DM106" i="11"/>
  <c r="DM362" i="335" s="1"/>
  <c r="DN106" i="11"/>
  <c r="DT110" i="11"/>
  <c r="DT114" i="11" s="1"/>
  <c r="AH108" i="11"/>
  <c r="AJ108" i="11"/>
  <c r="AO108" i="11"/>
  <c r="AY108" i="11"/>
  <c r="AZ108" i="11"/>
  <c r="BA108" i="11"/>
  <c r="BE108" i="11"/>
  <c r="BF108" i="11"/>
  <c r="BG108" i="11"/>
  <c r="BH108" i="11"/>
  <c r="BK108" i="11"/>
  <c r="BL108" i="11"/>
  <c r="BM108" i="11"/>
  <c r="BN108" i="11"/>
  <c r="BQ108" i="11"/>
  <c r="BR108" i="11"/>
  <c r="BS108" i="11"/>
  <c r="BT108" i="11"/>
  <c r="CI108" i="11"/>
  <c r="CJ108" i="11"/>
  <c r="CK108" i="11"/>
  <c r="CL108" i="11"/>
  <c r="CP108" i="11"/>
  <c r="CQ108" i="11"/>
  <c r="CU108" i="11"/>
  <c r="CV108" i="11"/>
  <c r="CX108" i="11"/>
  <c r="CX112" i="11" s="1"/>
  <c r="DA108" i="11"/>
  <c r="DB108" i="11"/>
  <c r="DB112" i="11" s="1"/>
  <c r="AN109" i="11"/>
  <c r="AO109" i="11"/>
  <c r="AP109" i="11"/>
  <c r="AS109" i="11"/>
  <c r="AT109" i="11"/>
  <c r="AU109" i="11"/>
  <c r="AV109" i="11"/>
  <c r="AY109" i="11"/>
  <c r="AZ109" i="11"/>
  <c r="BA109" i="11"/>
  <c r="BB109" i="11"/>
  <c r="BE109" i="11"/>
  <c r="BF109" i="11"/>
  <c r="BG109" i="11"/>
  <c r="BH109" i="11"/>
  <c r="BK109" i="11"/>
  <c r="BL109" i="11"/>
  <c r="BM109" i="11"/>
  <c r="BN109" i="11"/>
  <c r="BQ109" i="11"/>
  <c r="BR109" i="11"/>
  <c r="BS109" i="11"/>
  <c r="BT109" i="11"/>
  <c r="CI109" i="11"/>
  <c r="CJ109" i="11"/>
  <c r="CK109" i="11"/>
  <c r="CL109" i="11"/>
  <c r="CP109" i="11"/>
  <c r="CU109" i="11"/>
  <c r="CV109" i="11"/>
  <c r="CX109" i="11"/>
  <c r="CX113" i="11"/>
  <c r="DA109" i="11"/>
  <c r="DB109" i="11"/>
  <c r="DB113" i="11"/>
  <c r="DV110" i="11"/>
  <c r="DV114" i="11" s="1"/>
  <c r="DY110" i="11"/>
  <c r="DY114" i="11" s="1"/>
  <c r="AH112" i="11"/>
  <c r="AN112" i="11"/>
  <c r="AO112" i="11"/>
  <c r="AS112" i="11"/>
  <c r="CP115" i="11"/>
  <c r="CQ115" i="11"/>
  <c r="CR115" i="11"/>
  <c r="AE117" i="11"/>
  <c r="AK117" i="11"/>
  <c r="AQ117" i="11"/>
  <c r="AW117" i="11"/>
  <c r="AE118" i="11"/>
  <c r="AK118" i="11"/>
  <c r="AQ118" i="11"/>
  <c r="AW118" i="11"/>
  <c r="AI119" i="11"/>
  <c r="AI127" i="11" s="1"/>
  <c r="BC119" i="11"/>
  <c r="BE119" i="11"/>
  <c r="BE123" i="11" s="1"/>
  <c r="BF119" i="11"/>
  <c r="BF123" i="11" s="1"/>
  <c r="BG119" i="11"/>
  <c r="BG123" i="11" s="1"/>
  <c r="BH119" i="11"/>
  <c r="BH123" i="11" s="1"/>
  <c r="BK119" i="11"/>
  <c r="BK40" i="338" s="1"/>
  <c r="BL119" i="11"/>
  <c r="BM119" i="11"/>
  <c r="BM123" i="11"/>
  <c r="BN119" i="11"/>
  <c r="BN123" i="11" s="1"/>
  <c r="BQ119" i="11"/>
  <c r="BQ40" i="338" s="1"/>
  <c r="BQ53" i="338" s="1"/>
  <c r="BR119" i="11"/>
  <c r="BS119" i="11"/>
  <c r="BS40" i="338" s="1"/>
  <c r="BS53" i="338" s="1"/>
  <c r="BT119" i="11"/>
  <c r="BT40" i="338"/>
  <c r="BT53" i="338" s="1"/>
  <c r="DM119" i="11"/>
  <c r="DN119" i="11"/>
  <c r="AA120" i="11"/>
  <c r="AB120" i="11"/>
  <c r="AC120" i="11"/>
  <c r="AD120" i="11"/>
  <c r="AH120" i="11"/>
  <c r="AI120" i="11"/>
  <c r="AJ120" i="11"/>
  <c r="AM120" i="11"/>
  <c r="AN120" i="11"/>
  <c r="AO120" i="11"/>
  <c r="AP120" i="11"/>
  <c r="AP124" i="11"/>
  <c r="AS120" i="11"/>
  <c r="AY124" i="11" s="1"/>
  <c r="AT120" i="11"/>
  <c r="AZ124" i="11" s="1"/>
  <c r="AU120" i="11"/>
  <c r="BA124" i="11" s="1"/>
  <c r="AV120" i="11"/>
  <c r="AV124" i="11"/>
  <c r="BC120" i="11"/>
  <c r="BE120" i="11"/>
  <c r="BE124" i="11" s="1"/>
  <c r="BF120" i="11"/>
  <c r="BF124" i="11" s="1"/>
  <c r="BG120" i="11"/>
  <c r="BG124" i="11" s="1"/>
  <c r="BH120" i="11"/>
  <c r="BH124" i="11" s="1"/>
  <c r="BK120" i="11"/>
  <c r="BL120" i="11"/>
  <c r="BL58" i="338" s="1"/>
  <c r="BM120" i="11"/>
  <c r="BM58" i="338" s="1"/>
  <c r="BM95" i="338" s="1"/>
  <c r="BN120" i="11"/>
  <c r="BN58" i="338"/>
  <c r="BQ120" i="11"/>
  <c r="BR120" i="11"/>
  <c r="BR58" i="338"/>
  <c r="BR95" i="338" s="1"/>
  <c r="BS120" i="11"/>
  <c r="BS124" i="11" s="1"/>
  <c r="BS96" i="338" s="1"/>
  <c r="BT120" i="11"/>
  <c r="BT124" i="11"/>
  <c r="BT96" i="338" s="1"/>
  <c r="DM120" i="11"/>
  <c r="DN120" i="11"/>
  <c r="AY121" i="11"/>
  <c r="AZ121" i="11"/>
  <c r="BA121" i="11"/>
  <c r="BB121" i="11"/>
  <c r="DS121" i="11"/>
  <c r="DT121" i="11"/>
  <c r="DU121" i="11"/>
  <c r="DV121" i="11"/>
  <c r="DY121" i="11"/>
  <c r="CU123" i="11"/>
  <c r="CV123" i="11"/>
  <c r="CO130" i="11"/>
  <c r="CP130" i="11"/>
  <c r="CQ130" i="11"/>
  <c r="CR130" i="11"/>
  <c r="CS130" i="11"/>
  <c r="AE137" i="11"/>
  <c r="AK137" i="11"/>
  <c r="AQ137" i="11"/>
  <c r="AW137" i="11"/>
  <c r="AW142" i="11" s="1"/>
  <c r="AY137" i="11"/>
  <c r="AY142" i="11" s="1"/>
  <c r="AZ137" i="11"/>
  <c r="BA137" i="11"/>
  <c r="BB137" i="11"/>
  <c r="BI137" i="11"/>
  <c r="BO137" i="11"/>
  <c r="BU137" i="11"/>
  <c r="CA137" i="11"/>
  <c r="CG137" i="11"/>
  <c r="CS137" i="11"/>
  <c r="CS142" i="11" s="1"/>
  <c r="AY138" i="11"/>
  <c r="AZ138" i="11"/>
  <c r="BA138" i="11"/>
  <c r="BB138" i="11"/>
  <c r="BI138" i="11"/>
  <c r="BO138" i="11"/>
  <c r="BU138" i="11"/>
  <c r="CE138" i="11"/>
  <c r="CF138" i="11"/>
  <c r="CF143" i="11"/>
  <c r="CI138" i="11"/>
  <c r="CI140" i="11"/>
  <c r="CJ138" i="11"/>
  <c r="CK138" i="11"/>
  <c r="CS138" i="11"/>
  <c r="CS143" i="11"/>
  <c r="AK139" i="11"/>
  <c r="AQ139" i="11"/>
  <c r="AW139" i="11"/>
  <c r="BI139" i="11"/>
  <c r="BO139" i="11"/>
  <c r="BU139" i="11"/>
  <c r="CA139" i="11"/>
  <c r="AG140" i="11"/>
  <c r="AH140" i="11"/>
  <c r="AI140" i="11"/>
  <c r="AJ140" i="11"/>
  <c r="AM140" i="11"/>
  <c r="AM145" i="11" s="1"/>
  <c r="AN140" i="11"/>
  <c r="AO140" i="11"/>
  <c r="AO145" i="11"/>
  <c r="AP140" i="11"/>
  <c r="AS140" i="11"/>
  <c r="AY145" i="11" s="1"/>
  <c r="AT140" i="11"/>
  <c r="AZ145" i="11" s="1"/>
  <c r="AU140" i="11"/>
  <c r="BA145" i="11"/>
  <c r="AV140" i="11"/>
  <c r="BB145" i="11" s="1"/>
  <c r="BE140" i="11"/>
  <c r="BE145" i="11" s="1"/>
  <c r="BF140" i="11"/>
  <c r="BF145" i="11" s="1"/>
  <c r="BG140" i="11"/>
  <c r="BG145" i="11"/>
  <c r="BH140" i="11"/>
  <c r="BK140" i="11"/>
  <c r="BL140" i="11"/>
  <c r="BM140" i="11"/>
  <c r="BN140" i="11"/>
  <c r="BQ140" i="11"/>
  <c r="BR140" i="11"/>
  <c r="BS140" i="11"/>
  <c r="BT140" i="11"/>
  <c r="BW140" i="11"/>
  <c r="BW145" i="11" s="1"/>
  <c r="BX140" i="11"/>
  <c r="BX145" i="11"/>
  <c r="BZ140" i="11"/>
  <c r="CC140" i="11"/>
  <c r="CD140" i="11"/>
  <c r="CL140" i="11"/>
  <c r="CM140" i="11"/>
  <c r="CO140" i="11"/>
  <c r="CO145" i="11" s="1"/>
  <c r="CP140" i="11"/>
  <c r="CQ140" i="11"/>
  <c r="CR140" i="11"/>
  <c r="AG142" i="11"/>
  <c r="AH142" i="11"/>
  <c r="AI142" i="11"/>
  <c r="AJ142" i="11"/>
  <c r="AM142" i="11"/>
  <c r="AN142" i="11"/>
  <c r="AO142" i="11"/>
  <c r="AP142" i="11"/>
  <c r="AS142" i="11"/>
  <c r="AT142" i="11"/>
  <c r="AU142" i="11"/>
  <c r="AV142" i="11"/>
  <c r="BK142" i="11"/>
  <c r="BL142" i="11"/>
  <c r="BM142" i="11"/>
  <c r="BN142" i="11"/>
  <c r="BQ142" i="11"/>
  <c r="BR142" i="11"/>
  <c r="BS142" i="11"/>
  <c r="BT142" i="11"/>
  <c r="BW142" i="11"/>
  <c r="BX142" i="11"/>
  <c r="BY142" i="11"/>
  <c r="BZ142" i="11"/>
  <c r="CC142" i="11"/>
  <c r="CD142" i="11"/>
  <c r="CE142" i="11"/>
  <c r="CF142" i="11"/>
  <c r="CI142" i="11"/>
  <c r="CJ142" i="11"/>
  <c r="CK142" i="11"/>
  <c r="CL142" i="11"/>
  <c r="CO142" i="11"/>
  <c r="CP142" i="11"/>
  <c r="CQ142" i="11"/>
  <c r="CR142" i="11"/>
  <c r="BK143" i="11"/>
  <c r="BL143" i="11"/>
  <c r="BM143" i="11"/>
  <c r="BN143" i="11"/>
  <c r="BQ143" i="11"/>
  <c r="BR143" i="11"/>
  <c r="BS143" i="11"/>
  <c r="BT143" i="11"/>
  <c r="BW143" i="11"/>
  <c r="BX143" i="11"/>
  <c r="BZ143" i="11"/>
  <c r="CC143" i="11"/>
  <c r="CD143" i="11"/>
  <c r="CP143" i="11"/>
  <c r="CR143" i="11"/>
  <c r="AM144" i="11"/>
  <c r="AN144" i="11"/>
  <c r="AO144" i="11"/>
  <c r="AP144" i="11"/>
  <c r="AS144" i="11"/>
  <c r="AT144" i="11"/>
  <c r="AU144" i="11"/>
  <c r="AV144" i="11"/>
  <c r="BK144" i="11"/>
  <c r="BK100" i="338"/>
  <c r="BK108" i="338" s="1"/>
  <c r="BL144" i="11"/>
  <c r="BL100" i="338" s="1"/>
  <c r="BL108" i="338" s="1"/>
  <c r="BM144" i="11"/>
  <c r="BM100" i="338" s="1"/>
  <c r="BM108" i="338" s="1"/>
  <c r="BN144" i="11"/>
  <c r="BN100" i="338" s="1"/>
  <c r="BN108" i="338" s="1"/>
  <c r="BQ144" i="11"/>
  <c r="BR144" i="11"/>
  <c r="BS144" i="11"/>
  <c r="BT144" i="11"/>
  <c r="BW144" i="11"/>
  <c r="BX144" i="11"/>
  <c r="BY144" i="11"/>
  <c r="BZ144" i="11"/>
  <c r="CC144" i="11"/>
  <c r="CD144" i="11"/>
  <c r="AE152" i="11"/>
  <c r="AK152" i="11"/>
  <c r="AQ152" i="11"/>
  <c r="AW152" i="11"/>
  <c r="BC152" i="11"/>
  <c r="AE153" i="11"/>
  <c r="AK153" i="11"/>
  <c r="AQ153" i="11"/>
  <c r="AQ164" i="11" s="1"/>
  <c r="AW153" i="11"/>
  <c r="AW164" i="11"/>
  <c r="BC153" i="11"/>
  <c r="BC164" i="11" s="1"/>
  <c r="AA154" i="11"/>
  <c r="AB154" i="11"/>
  <c r="AC154" i="11"/>
  <c r="AD154" i="11"/>
  <c r="AG154" i="11"/>
  <c r="AM159" i="11" s="1"/>
  <c r="AH154" i="11"/>
  <c r="AH159" i="11" s="1"/>
  <c r="AI154" i="11"/>
  <c r="AJ154" i="11"/>
  <c r="AP159" i="11"/>
  <c r="AQ154" i="11"/>
  <c r="AW154" i="11"/>
  <c r="BC154" i="11"/>
  <c r="BI154" i="11"/>
  <c r="BO154" i="11"/>
  <c r="BU154" i="11"/>
  <c r="CA154" i="11"/>
  <c r="CG154" i="11"/>
  <c r="CS154" i="11"/>
  <c r="CS159" i="11" s="1"/>
  <c r="AY155" i="11"/>
  <c r="AY156" i="11" s="1"/>
  <c r="BE161" i="11" s="1"/>
  <c r="AZ155" i="11"/>
  <c r="AZ156" i="11"/>
  <c r="BF161" i="11" s="1"/>
  <c r="BA155" i="11"/>
  <c r="BA156" i="11"/>
  <c r="BG161" i="11" s="1"/>
  <c r="BB155" i="11"/>
  <c r="BB156" i="11" s="1"/>
  <c r="BH161" i="11" s="1"/>
  <c r="BI155" i="11"/>
  <c r="BC155" i="11" s="1"/>
  <c r="BO155" i="11"/>
  <c r="BU155" i="11"/>
  <c r="CA155" i="11"/>
  <c r="CG155" i="11"/>
  <c r="CM160" i="11" s="1"/>
  <c r="CS155" i="11"/>
  <c r="CS160" i="11" s="1"/>
  <c r="AK156" i="11"/>
  <c r="AQ156" i="11"/>
  <c r="AW156" i="11"/>
  <c r="BI156" i="11"/>
  <c r="BO156" i="11"/>
  <c r="BU156" i="11"/>
  <c r="CA156" i="11"/>
  <c r="AG157" i="11"/>
  <c r="AH157" i="11"/>
  <c r="AI157" i="11"/>
  <c r="AJ157" i="11"/>
  <c r="AK157" i="11"/>
  <c r="AM157" i="11"/>
  <c r="AN157" i="11"/>
  <c r="AO157" i="11"/>
  <c r="AO162" i="11" s="1"/>
  <c r="AP157" i="11"/>
  <c r="AQ157" i="11"/>
  <c r="AS157" i="11"/>
  <c r="AT157" i="11"/>
  <c r="AZ162" i="11" s="1"/>
  <c r="AU157" i="11"/>
  <c r="AV157" i="11"/>
  <c r="BB162" i="11" s="1"/>
  <c r="AW157" i="11"/>
  <c r="BC157" i="11"/>
  <c r="BE157" i="11"/>
  <c r="BE162" i="11"/>
  <c r="BF157" i="11"/>
  <c r="BF162" i="11"/>
  <c r="BG157" i="11"/>
  <c r="BH157" i="11"/>
  <c r="BH162" i="11"/>
  <c r="BI157" i="11"/>
  <c r="BK157" i="11"/>
  <c r="BL157" i="11"/>
  <c r="BM157" i="11"/>
  <c r="BN157" i="11"/>
  <c r="BN162" i="11"/>
  <c r="BO157" i="11"/>
  <c r="BQ157" i="11"/>
  <c r="BQ162" i="11"/>
  <c r="BR157" i="11"/>
  <c r="BR162" i="11"/>
  <c r="BS157" i="11"/>
  <c r="BS162" i="11"/>
  <c r="BT157" i="11"/>
  <c r="BU157" i="11"/>
  <c r="BW157" i="11"/>
  <c r="BX157" i="11"/>
  <c r="BY157" i="11"/>
  <c r="BZ157" i="11"/>
  <c r="CA157" i="11"/>
  <c r="CC157" i="11"/>
  <c r="CD157" i="11"/>
  <c r="AA159" i="11"/>
  <c r="AB159" i="11"/>
  <c r="AC159" i="11"/>
  <c r="AD159" i="11"/>
  <c r="AG159" i="11"/>
  <c r="AS159" i="11"/>
  <c r="AT159" i="11"/>
  <c r="AU159" i="11"/>
  <c r="AV159" i="11"/>
  <c r="AY159" i="11"/>
  <c r="AZ159" i="11"/>
  <c r="BA159" i="11"/>
  <c r="BB159" i="11"/>
  <c r="BE159" i="11"/>
  <c r="BF159" i="11"/>
  <c r="BG159" i="11"/>
  <c r="BH159" i="11"/>
  <c r="BK159" i="11"/>
  <c r="BL159" i="11"/>
  <c r="BM159" i="11"/>
  <c r="BN159" i="11"/>
  <c r="BW159" i="11"/>
  <c r="BX159" i="11"/>
  <c r="BY159" i="11"/>
  <c r="BZ159" i="11"/>
  <c r="CC159" i="11"/>
  <c r="CD159" i="11"/>
  <c r="CE159" i="11"/>
  <c r="CF159" i="11"/>
  <c r="CI159" i="11"/>
  <c r="CJ159" i="11"/>
  <c r="CK159" i="11"/>
  <c r="CL159" i="11"/>
  <c r="CO159" i="11"/>
  <c r="CP159" i="11"/>
  <c r="CQ159" i="11"/>
  <c r="CR159" i="11"/>
  <c r="BK160" i="11"/>
  <c r="BL160" i="11"/>
  <c r="BM160" i="11"/>
  <c r="BN160" i="11"/>
  <c r="BQ160" i="11"/>
  <c r="BR160" i="11"/>
  <c r="BS160" i="11"/>
  <c r="BT160" i="11"/>
  <c r="BW160" i="11"/>
  <c r="BX160" i="11"/>
  <c r="BY160" i="11"/>
  <c r="BZ160" i="11"/>
  <c r="CC160" i="11"/>
  <c r="CD160" i="11"/>
  <c r="CE160" i="11"/>
  <c r="CF160" i="11"/>
  <c r="CI160" i="11"/>
  <c r="CJ160" i="11"/>
  <c r="CK160" i="11"/>
  <c r="CL160" i="11"/>
  <c r="CO160" i="11"/>
  <c r="CP160" i="11"/>
  <c r="CQ160" i="11"/>
  <c r="CR160" i="11"/>
  <c r="AM161" i="11"/>
  <c r="AN161" i="11"/>
  <c r="AO161" i="11"/>
  <c r="AP161" i="11"/>
  <c r="AS161" i="11"/>
  <c r="AT161" i="11"/>
  <c r="AU161" i="11"/>
  <c r="AV161" i="11"/>
  <c r="BK161" i="11"/>
  <c r="BL161" i="11"/>
  <c r="BM161" i="11"/>
  <c r="BN161" i="11"/>
  <c r="BW161" i="11"/>
  <c r="BX161" i="11"/>
  <c r="BY161" i="11"/>
  <c r="CC161" i="11"/>
  <c r="CD161" i="11"/>
  <c r="AA164" i="11"/>
  <c r="AB164" i="11"/>
  <c r="AC164" i="11"/>
  <c r="AD164" i="11"/>
  <c r="AG164" i="11"/>
  <c r="AH164" i="11"/>
  <c r="AI164" i="11"/>
  <c r="AJ164" i="11"/>
  <c r="AM164" i="11"/>
  <c r="AN164" i="11"/>
  <c r="AO164" i="11"/>
  <c r="AP164" i="11"/>
  <c r="AS164" i="11"/>
  <c r="AT164" i="11"/>
  <c r="AU164" i="11"/>
  <c r="AV164" i="11"/>
  <c r="AY164" i="11"/>
  <c r="AZ164" i="11"/>
  <c r="BA164" i="11"/>
  <c r="BB164" i="11"/>
  <c r="AG173" i="11"/>
  <c r="AH173" i="11"/>
  <c r="AI173" i="11"/>
  <c r="AJ173" i="11"/>
  <c r="AK173" i="11"/>
  <c r="AM173" i="11"/>
  <c r="AN173" i="11"/>
  <c r="AO173" i="11"/>
  <c r="AP173" i="11"/>
  <c r="AQ173" i="11"/>
  <c r="AS173" i="11"/>
  <c r="AT173" i="11"/>
  <c r="AU173" i="11"/>
  <c r="AV173" i="11"/>
  <c r="AW173" i="11"/>
  <c r="BC173" i="11"/>
  <c r="BE173" i="11"/>
  <c r="BF173" i="11"/>
  <c r="BG173" i="11"/>
  <c r="BH173" i="11"/>
  <c r="BI173" i="11"/>
  <c r="BK173" i="11"/>
  <c r="BL173" i="11"/>
  <c r="BM173" i="11"/>
  <c r="BN173" i="11"/>
  <c r="BO173" i="11"/>
  <c r="BQ173" i="11"/>
  <c r="BR173" i="11"/>
  <c r="BS173" i="11"/>
  <c r="BT173" i="11"/>
  <c r="BU173" i="11"/>
  <c r="BW173" i="11"/>
  <c r="BX173" i="11"/>
  <c r="BY173" i="11"/>
  <c r="BZ173" i="11"/>
  <c r="CA173" i="11"/>
  <c r="CC173" i="11"/>
  <c r="CD173" i="11"/>
  <c r="AG174" i="11"/>
  <c r="AH174" i="11"/>
  <c r="AI174" i="11"/>
  <c r="AJ174" i="11"/>
  <c r="AK174" i="11"/>
  <c r="AM174" i="11"/>
  <c r="AN174" i="11"/>
  <c r="AO174" i="11"/>
  <c r="AP174" i="11"/>
  <c r="AQ174" i="11"/>
  <c r="AS174" i="11"/>
  <c r="AT174" i="11"/>
  <c r="AU174" i="11"/>
  <c r="AV174" i="11"/>
  <c r="AW174" i="11"/>
  <c r="BC174" i="11"/>
  <c r="BE174" i="11"/>
  <c r="BF174" i="11"/>
  <c r="BG174" i="11"/>
  <c r="BH174" i="11"/>
  <c r="BI174" i="11"/>
  <c r="BK174" i="11"/>
  <c r="BL174" i="11"/>
  <c r="BM174" i="11"/>
  <c r="BN174" i="11"/>
  <c r="BO174" i="11"/>
  <c r="BQ174" i="11"/>
  <c r="BR174" i="11"/>
  <c r="BS174" i="11"/>
  <c r="BT174" i="11"/>
  <c r="BU174" i="11"/>
  <c r="BW174" i="11"/>
  <c r="BX174" i="11"/>
  <c r="BY174" i="11"/>
  <c r="BZ174" i="11"/>
  <c r="CA174" i="11"/>
  <c r="CC174" i="11"/>
  <c r="CD174" i="11"/>
  <c r="A1" i="338"/>
  <c r="C5" i="338"/>
  <c r="C381" i="338" s="1"/>
  <c r="O5" i="338"/>
  <c r="O381" i="338" s="1"/>
  <c r="U5" i="338"/>
  <c r="U381" i="338" s="1"/>
  <c r="AA5" i="338"/>
  <c r="AA381" i="338" s="1"/>
  <c r="AG5" i="338"/>
  <c r="AG381" i="338" s="1"/>
  <c r="AM5" i="338"/>
  <c r="AM381" i="338" s="1"/>
  <c r="AS5" i="338"/>
  <c r="AS381" i="338" s="1"/>
  <c r="AY5" i="338"/>
  <c r="AY381" i="338" s="1"/>
  <c r="BE5" i="338"/>
  <c r="BE381" i="338" s="1"/>
  <c r="BK5" i="338"/>
  <c r="BK381" i="338" s="1"/>
  <c r="BQ5" i="338"/>
  <c r="BQ381" i="338" s="1"/>
  <c r="BW5" i="338"/>
  <c r="BW381" i="338" s="1"/>
  <c r="CC5" i="338"/>
  <c r="CC381" i="338" s="1"/>
  <c r="CI5" i="338"/>
  <c r="CI381" i="338" s="1"/>
  <c r="CO5" i="338"/>
  <c r="CO381" i="338" s="1"/>
  <c r="CU5" i="338"/>
  <c r="DA5" i="338"/>
  <c r="DA381" i="338" s="1"/>
  <c r="DG5" i="338"/>
  <c r="DG424" i="338" s="1"/>
  <c r="DM5" i="338"/>
  <c r="DM549" i="338" s="1"/>
  <c r="DS5" i="338"/>
  <c r="DS381" i="338" s="1"/>
  <c r="DY5" i="338"/>
  <c r="DY381" i="338" s="1"/>
  <c r="EE5" i="338"/>
  <c r="EE424" i="338" s="1"/>
  <c r="EK5" i="338"/>
  <c r="EK381" i="338" s="1"/>
  <c r="EQ5" i="338"/>
  <c r="D9" i="338"/>
  <c r="C9" i="338"/>
  <c r="C12" i="338" s="1"/>
  <c r="E9" i="338"/>
  <c r="E12" i="338" s="1"/>
  <c r="F9" i="338"/>
  <c r="F12" i="338" s="1"/>
  <c r="G9" i="338"/>
  <c r="H9" i="338"/>
  <c r="H12" i="338" s="1"/>
  <c r="I9" i="338"/>
  <c r="J9" i="338"/>
  <c r="J12" i="338" s="1"/>
  <c r="BU41" i="338"/>
  <c r="BU42" i="338"/>
  <c r="BU43" i="338"/>
  <c r="BU44" i="338"/>
  <c r="BU45" i="338"/>
  <c r="BU46" i="338"/>
  <c r="BU52" i="338"/>
  <c r="CA41" i="338"/>
  <c r="CA42" i="338"/>
  <c r="CA43" i="338"/>
  <c r="CA44" i="338"/>
  <c r="CA45" i="338"/>
  <c r="CA46" i="338"/>
  <c r="CA52" i="338"/>
  <c r="CG42" i="338"/>
  <c r="CG44" i="338"/>
  <c r="CG45" i="338"/>
  <c r="CG46" i="338"/>
  <c r="CG52" i="338"/>
  <c r="DK41" i="338"/>
  <c r="DK42" i="338"/>
  <c r="DK43" i="338"/>
  <c r="DK44" i="338"/>
  <c r="DK45" i="338"/>
  <c r="DK46" i="338"/>
  <c r="DK47" i="338"/>
  <c r="DK52" i="338"/>
  <c r="EE10" i="338"/>
  <c r="EF10" i="338"/>
  <c r="EG10" i="338"/>
  <c r="EH10" i="338"/>
  <c r="EI41" i="338"/>
  <c r="EI42" i="338"/>
  <c r="EI43" i="338"/>
  <c r="EI44" i="338"/>
  <c r="EI45" i="338"/>
  <c r="EI46" i="338"/>
  <c r="EI47" i="338"/>
  <c r="EI48" i="338"/>
  <c r="EI49" i="338"/>
  <c r="EI50" i="338"/>
  <c r="EI52" i="338"/>
  <c r="EK10" i="338"/>
  <c r="EL10" i="338"/>
  <c r="EM10" i="338"/>
  <c r="EN10" i="338"/>
  <c r="EO41" i="338"/>
  <c r="EO42" i="338"/>
  <c r="EO43" i="338"/>
  <c r="EO44" i="338"/>
  <c r="EO45" i="338"/>
  <c r="EO46" i="338"/>
  <c r="BU59" i="338"/>
  <c r="BU60" i="338"/>
  <c r="BU61" i="338"/>
  <c r="BU62" i="338"/>
  <c r="BU63" i="338"/>
  <c r="BU64" i="338"/>
  <c r="BU65" i="338"/>
  <c r="BU66" i="338"/>
  <c r="BU67" i="338"/>
  <c r="BU68" i="338"/>
  <c r="BU69" i="338"/>
  <c r="BU94" i="338"/>
  <c r="CA61" i="338"/>
  <c r="CA62" i="338"/>
  <c r="CA63" i="338"/>
  <c r="CA64" i="338"/>
  <c r="CA65" i="338"/>
  <c r="CA66" i="338"/>
  <c r="CA67" i="338"/>
  <c r="CA68" i="338"/>
  <c r="CA69" i="338"/>
  <c r="CA94" i="338"/>
  <c r="CG61" i="338"/>
  <c r="CG62" i="338"/>
  <c r="CG63" i="338"/>
  <c r="CG64" i="338"/>
  <c r="CG65" i="338"/>
  <c r="CG66" i="338"/>
  <c r="CG67" i="338"/>
  <c r="CG68" i="338"/>
  <c r="CG69" i="338"/>
  <c r="CG70" i="338"/>
  <c r="CG94" i="338"/>
  <c r="DK59" i="338"/>
  <c r="DK60" i="338"/>
  <c r="DK61" i="338"/>
  <c r="DK62" i="338"/>
  <c r="DK63" i="338"/>
  <c r="DK64" i="338"/>
  <c r="DK65" i="338"/>
  <c r="DK66" i="338"/>
  <c r="DK67" i="338"/>
  <c r="DK68" i="338"/>
  <c r="DK69" i="338"/>
  <c r="DK70" i="338"/>
  <c r="DK71" i="338"/>
  <c r="DK72" i="338"/>
  <c r="DK73" i="338"/>
  <c r="EI59" i="338"/>
  <c r="EI60" i="338"/>
  <c r="EI61" i="338"/>
  <c r="EI62" i="338"/>
  <c r="EI63" i="338"/>
  <c r="EI64" i="338"/>
  <c r="EI65" i="338"/>
  <c r="EI66" i="338"/>
  <c r="EI67" i="338"/>
  <c r="EI68" i="338"/>
  <c r="EI69" i="338"/>
  <c r="EI70" i="338"/>
  <c r="EI71" i="338"/>
  <c r="EI72" i="338"/>
  <c r="EI73" i="338"/>
  <c r="EI74" i="338"/>
  <c r="EI75" i="338"/>
  <c r="EO59" i="338"/>
  <c r="EO60" i="338"/>
  <c r="EO61" i="338"/>
  <c r="EO62" i="338"/>
  <c r="EO63" i="338"/>
  <c r="EO64" i="338"/>
  <c r="EO65" i="338"/>
  <c r="EO66" i="338"/>
  <c r="EO67" i="338"/>
  <c r="EO68" i="338"/>
  <c r="EO69" i="338"/>
  <c r="EO70" i="338"/>
  <c r="EO71" i="338"/>
  <c r="EO72" i="338"/>
  <c r="EO73" i="338"/>
  <c r="EO74" i="338"/>
  <c r="FZ12" i="338"/>
  <c r="AA16" i="338"/>
  <c r="AB16" i="338"/>
  <c r="AC16" i="338"/>
  <c r="AD16" i="338"/>
  <c r="AE16" i="338"/>
  <c r="AI16" i="338"/>
  <c r="BB16" i="338"/>
  <c r="FZ18" i="338"/>
  <c r="DM23" i="338"/>
  <c r="DQ23" i="338"/>
  <c r="DS23" i="338"/>
  <c r="DT23" i="338"/>
  <c r="DM24" i="338"/>
  <c r="DN24" i="338"/>
  <c r="DN33" i="338" s="1"/>
  <c r="AA37" i="338"/>
  <c r="AB37" i="338"/>
  <c r="AC37" i="338"/>
  <c r="AD37" i="338"/>
  <c r="AE37" i="338"/>
  <c r="AG37" i="338"/>
  <c r="AH37" i="338"/>
  <c r="AI37" i="338"/>
  <c r="AJ37" i="338"/>
  <c r="AK37" i="338"/>
  <c r="AM37" i="338"/>
  <c r="AN37" i="338"/>
  <c r="AO37" i="338"/>
  <c r="AP37" i="338"/>
  <c r="AQ37" i="338"/>
  <c r="AS37" i="338"/>
  <c r="AT37" i="338"/>
  <c r="AU37" i="338"/>
  <c r="AV37" i="338"/>
  <c r="AW37" i="338"/>
  <c r="AY37" i="338"/>
  <c r="AZ37" i="338"/>
  <c r="BA37" i="338"/>
  <c r="BB37" i="338"/>
  <c r="BC37" i="338"/>
  <c r="BE37" i="338"/>
  <c r="BF37" i="338"/>
  <c r="BG37" i="338"/>
  <c r="BH37" i="338"/>
  <c r="BI37" i="338"/>
  <c r="BK37" i="338"/>
  <c r="BL37" i="338"/>
  <c r="BM37" i="338"/>
  <c r="BN37" i="338"/>
  <c r="BO37" i="338"/>
  <c r="BQ37" i="338"/>
  <c r="BR37" i="338"/>
  <c r="BS37" i="338"/>
  <c r="BT37" i="338"/>
  <c r="BU37" i="338"/>
  <c r="BW37" i="338"/>
  <c r="BX37" i="338"/>
  <c r="BY37" i="338"/>
  <c r="CA37" i="338"/>
  <c r="CC37" i="338"/>
  <c r="CD37" i="338"/>
  <c r="CE37" i="338"/>
  <c r="CF37" i="338"/>
  <c r="CG37" i="338"/>
  <c r="CI37" i="338"/>
  <c r="CJ37" i="338"/>
  <c r="CK37" i="338"/>
  <c r="CL37" i="338"/>
  <c r="CM37" i="338"/>
  <c r="CO37" i="338"/>
  <c r="CP37" i="338"/>
  <c r="CQ37" i="338"/>
  <c r="CR37" i="338"/>
  <c r="CS37" i="338"/>
  <c r="FZ37" i="338"/>
  <c r="BM40" i="338"/>
  <c r="FZ41" i="338"/>
  <c r="FZ42" i="338"/>
  <c r="FZ43" i="338"/>
  <c r="FZ44" i="338"/>
  <c r="FZ45" i="338"/>
  <c r="FZ52" i="338"/>
  <c r="BU55" i="338"/>
  <c r="BV58" i="338"/>
  <c r="FZ60" i="338"/>
  <c r="FZ63" i="338"/>
  <c r="FZ64" i="338"/>
  <c r="FZ68" i="338"/>
  <c r="FZ69" i="338"/>
  <c r="CU70" i="338"/>
  <c r="CU11" i="338"/>
  <c r="CV70" i="338"/>
  <c r="CV11" i="338"/>
  <c r="CW70" i="338"/>
  <c r="CX70" i="338"/>
  <c r="CW71" i="338"/>
  <c r="CY71" i="338"/>
  <c r="DA71" i="338"/>
  <c r="DB71" i="338"/>
  <c r="DB130" i="338"/>
  <c r="DM73" i="338"/>
  <c r="DQ73" i="338"/>
  <c r="DO76" i="338"/>
  <c r="DO24" i="338"/>
  <c r="DO33" i="338"/>
  <c r="DP76" i="338"/>
  <c r="DP24" i="338"/>
  <c r="DP33" i="338" s="1"/>
  <c r="DV83" i="338"/>
  <c r="DY83" i="338"/>
  <c r="DY24" i="338" s="1"/>
  <c r="DY33" i="338" s="1"/>
  <c r="DY36" i="338" s="1"/>
  <c r="BU97" i="338"/>
  <c r="DJ100" i="338"/>
  <c r="DD100" i="338"/>
  <c r="DD101" i="338" s="1"/>
  <c r="DD108" i="338" s="1"/>
  <c r="DM100" i="338"/>
  <c r="DG100" i="338"/>
  <c r="DG101" i="338" s="1"/>
  <c r="DG108" i="338" s="1"/>
  <c r="DN100" i="338"/>
  <c r="DH100" i="338"/>
  <c r="DH101" i="338" s="1"/>
  <c r="DH108" i="338" s="1"/>
  <c r="DO100" i="338"/>
  <c r="DI100" i="338"/>
  <c r="DI101" i="338" s="1"/>
  <c r="DP100" i="338"/>
  <c r="DS100" i="338"/>
  <c r="DT100" i="338"/>
  <c r="DT108" i="338" s="1"/>
  <c r="DY100" i="338"/>
  <c r="DZ100" i="338"/>
  <c r="EB100" i="338"/>
  <c r="EE100" i="338"/>
  <c r="DC100" i="338"/>
  <c r="DQ101" i="338"/>
  <c r="DW101" i="338"/>
  <c r="EC101" i="338"/>
  <c r="EI101" i="338"/>
  <c r="EO101" i="338"/>
  <c r="DE102" i="338"/>
  <c r="DK102" i="338"/>
  <c r="DM102" i="338"/>
  <c r="DN102" i="338"/>
  <c r="DO102" i="338"/>
  <c r="DP102" i="338"/>
  <c r="DS102" i="338"/>
  <c r="DW102" i="338" s="1"/>
  <c r="EC102" i="338"/>
  <c r="EI102" i="338"/>
  <c r="EO102" i="338"/>
  <c r="DW103" i="338"/>
  <c r="DW105" i="338"/>
  <c r="DE107" i="338"/>
  <c r="DK107" i="338"/>
  <c r="DQ107" i="338"/>
  <c r="DW107" i="338"/>
  <c r="EC107" i="338"/>
  <c r="EI107" i="338"/>
  <c r="DG109" i="338"/>
  <c r="DH109" i="338"/>
  <c r="GG111" i="338"/>
  <c r="O114" i="338"/>
  <c r="O160" i="338" s="1"/>
  <c r="P114" i="338"/>
  <c r="Q114" i="338"/>
  <c r="Q160" i="338" s="1"/>
  <c r="CM115" i="338"/>
  <c r="DK115" i="338"/>
  <c r="DW115" i="338"/>
  <c r="EO115" i="338"/>
  <c r="CM116" i="338"/>
  <c r="DK116" i="338"/>
  <c r="DW116" i="338"/>
  <c r="EO116" i="338"/>
  <c r="CA117" i="338"/>
  <c r="CM117" i="338"/>
  <c r="DK117" i="338"/>
  <c r="DW117" i="338"/>
  <c r="EO117" i="338"/>
  <c r="CG118" i="338"/>
  <c r="CM118" i="338"/>
  <c r="DK118" i="338"/>
  <c r="DW118" i="338"/>
  <c r="EO118" i="338"/>
  <c r="CM119" i="338"/>
  <c r="DK119" i="338"/>
  <c r="DW119" i="338"/>
  <c r="EO119" i="338"/>
  <c r="CG120" i="338"/>
  <c r="CJ120" i="338"/>
  <c r="DK120" i="338"/>
  <c r="DW120" i="338"/>
  <c r="EO120" i="338"/>
  <c r="CG121" i="338"/>
  <c r="CI121" i="338"/>
  <c r="CJ121" i="338"/>
  <c r="CK121" i="338"/>
  <c r="DK121" i="338"/>
  <c r="DW121" i="338"/>
  <c r="EO121" i="338"/>
  <c r="CG122" i="338"/>
  <c r="CM122" i="338"/>
  <c r="DK122" i="338"/>
  <c r="DW122" i="338"/>
  <c r="EO122" i="338"/>
  <c r="CG123" i="338"/>
  <c r="CK123" i="338"/>
  <c r="CL123" i="338"/>
  <c r="CO123" i="338"/>
  <c r="CP123" i="338"/>
  <c r="DK123" i="338"/>
  <c r="DW123" i="338"/>
  <c r="EO123" i="338"/>
  <c r="CG124" i="338"/>
  <c r="CM124" i="338"/>
  <c r="DK124" i="338"/>
  <c r="DW124" i="338"/>
  <c r="EO124" i="338"/>
  <c r="CG125" i="338"/>
  <c r="CK125" i="338"/>
  <c r="CL125" i="338"/>
  <c r="CO125" i="338"/>
  <c r="CP125" i="338"/>
  <c r="DK125" i="338"/>
  <c r="DW125" i="338"/>
  <c r="EO125" i="338"/>
  <c r="CG126" i="338"/>
  <c r="CM126" i="338"/>
  <c r="DK126" i="338"/>
  <c r="DW126" i="338"/>
  <c r="EO126" i="338"/>
  <c r="CG127" i="338"/>
  <c r="CM127" i="338"/>
  <c r="DK127" i="338"/>
  <c r="DW127" i="338"/>
  <c r="EO127" i="338"/>
  <c r="CG128" i="338"/>
  <c r="CM128" i="338"/>
  <c r="DK128" i="338"/>
  <c r="DW128" i="338"/>
  <c r="EO128" i="338"/>
  <c r="CG129" i="338"/>
  <c r="CM129" i="338"/>
  <c r="CU129" i="338"/>
  <c r="CV129" i="338"/>
  <c r="CW129" i="338"/>
  <c r="CX129" i="338"/>
  <c r="DK129" i="338"/>
  <c r="DW129" i="338"/>
  <c r="EO129" i="338"/>
  <c r="DK130" i="338"/>
  <c r="DW130" i="338"/>
  <c r="EO130" i="338"/>
  <c r="DW131" i="338"/>
  <c r="EO131" i="338"/>
  <c r="DK132" i="338"/>
  <c r="DW132" i="338"/>
  <c r="EO132" i="338"/>
  <c r="DK133" i="338"/>
  <c r="DW133" i="338"/>
  <c r="EO133" i="338"/>
  <c r="DK134" i="338"/>
  <c r="DW134" i="338"/>
  <c r="EO134" i="338"/>
  <c r="DW135" i="338"/>
  <c r="EO135" i="338"/>
  <c r="DW136" i="338"/>
  <c r="EO136" i="338"/>
  <c r="DO137" i="338"/>
  <c r="DX144" i="338"/>
  <c r="DW146" i="338"/>
  <c r="DW147" i="338"/>
  <c r="CG159" i="338"/>
  <c r="CM159" i="338"/>
  <c r="EO159" i="338"/>
  <c r="AA162" i="338"/>
  <c r="AB162" i="338"/>
  <c r="AC162" i="338"/>
  <c r="AD162" i="338"/>
  <c r="AE162" i="338"/>
  <c r="BO214" i="338"/>
  <c r="BU214" i="338"/>
  <c r="CA214" i="338"/>
  <c r="CG214" i="338"/>
  <c r="CM214" i="338"/>
  <c r="CR214" i="338"/>
  <c r="CX214" i="338" s="1"/>
  <c r="CU214" i="338"/>
  <c r="DA214" i="338" s="1"/>
  <c r="DG214" i="338" s="1"/>
  <c r="BQ215" i="338"/>
  <c r="BR215" i="338"/>
  <c r="BS215" i="338"/>
  <c r="BT215" i="338"/>
  <c r="BW215" i="338"/>
  <c r="BX215" i="338"/>
  <c r="BY215" i="338"/>
  <c r="BZ215" i="338"/>
  <c r="CC215" i="338"/>
  <c r="CD215" i="338"/>
  <c r="CE215" i="338"/>
  <c r="CF215" i="338"/>
  <c r="CI215" i="338"/>
  <c r="CJ215" i="338"/>
  <c r="CK215" i="338"/>
  <c r="CL215" i="338"/>
  <c r="CO215" i="338"/>
  <c r="BK217" i="338"/>
  <c r="BL217" i="338"/>
  <c r="BM217" i="338"/>
  <c r="BN217" i="338"/>
  <c r="BQ217" i="338"/>
  <c r="BR217" i="338"/>
  <c r="BR218" i="338" s="1"/>
  <c r="BS217" i="338"/>
  <c r="BT217" i="338"/>
  <c r="BT218" i="338" s="1"/>
  <c r="BW217" i="338"/>
  <c r="BX217" i="338"/>
  <c r="BX218" i="338" s="1"/>
  <c r="BY217" i="338"/>
  <c r="BY218" i="338"/>
  <c r="BZ217" i="338"/>
  <c r="CC217" i="338"/>
  <c r="CC218" i="338"/>
  <c r="CD217" i="338"/>
  <c r="CE217" i="338"/>
  <c r="CF217" i="338"/>
  <c r="CI217" i="338"/>
  <c r="CJ217" i="338"/>
  <c r="CK217" i="338"/>
  <c r="CK218" i="338" s="1"/>
  <c r="CL217" i="338"/>
  <c r="CO217" i="338"/>
  <c r="CO218" i="338" s="1"/>
  <c r="CP217" i="338"/>
  <c r="CQ217" i="338"/>
  <c r="CQ218" i="338" s="1"/>
  <c r="BO219" i="338"/>
  <c r="BU219" i="338"/>
  <c r="CA219" i="338"/>
  <c r="CG219" i="338"/>
  <c r="CM219" i="338"/>
  <c r="CR219" i="338"/>
  <c r="CS219" i="338" s="1"/>
  <c r="CS220" i="338" s="1"/>
  <c r="CU219" i="338"/>
  <c r="DA219" i="338" s="1"/>
  <c r="DG219" i="338" s="1"/>
  <c r="DM219" i="338" s="1"/>
  <c r="DS219" i="338" s="1"/>
  <c r="DY219" i="338" s="1"/>
  <c r="EE219" i="338" s="1"/>
  <c r="EK219" i="338" s="1"/>
  <c r="EQ219" i="338" s="1"/>
  <c r="EW219" i="338" s="1"/>
  <c r="FC219" i="338" s="1"/>
  <c r="FI219" i="338" s="1"/>
  <c r="CV219" i="338"/>
  <c r="DB219" i="338" s="1"/>
  <c r="DH219" i="338" s="1"/>
  <c r="CW219" i="338"/>
  <c r="DC219" i="338"/>
  <c r="DI219" i="338" s="1"/>
  <c r="DO219" i="338" s="1"/>
  <c r="DU219" i="338" s="1"/>
  <c r="EA219" i="338"/>
  <c r="EG219" i="338" s="1"/>
  <c r="EM219" i="338" s="1"/>
  <c r="ES219" i="338" s="1"/>
  <c r="EY219" i="338" s="1"/>
  <c r="FE219" i="338" s="1"/>
  <c r="FK219" i="338" s="1"/>
  <c r="BQ220" i="338"/>
  <c r="BR220" i="338"/>
  <c r="BS220" i="338"/>
  <c r="BT220" i="338"/>
  <c r="BW220" i="338"/>
  <c r="BX220" i="338"/>
  <c r="BY220" i="338"/>
  <c r="BZ220" i="338"/>
  <c r="CC220" i="338"/>
  <c r="CD220" i="338"/>
  <c r="CE220" i="338"/>
  <c r="CF220" i="338"/>
  <c r="CI220" i="338"/>
  <c r="CJ220" i="338"/>
  <c r="CK220" i="338"/>
  <c r="CL220" i="338"/>
  <c r="CO220" i="338"/>
  <c r="CP220" i="338"/>
  <c r="CQ220" i="338"/>
  <c r="BO221" i="338"/>
  <c r="BU221" i="338"/>
  <c r="CA221" i="338"/>
  <c r="CG221" i="338"/>
  <c r="CM221" i="338"/>
  <c r="CR221" i="338"/>
  <c r="CS221" i="338"/>
  <c r="CU221" i="338"/>
  <c r="DA221" i="338" s="1"/>
  <c r="CV221" i="338"/>
  <c r="DB221" i="338" s="1"/>
  <c r="DH221" i="338" s="1"/>
  <c r="DN221" i="338" s="1"/>
  <c r="DT221" i="338" s="1"/>
  <c r="DZ221" i="338" s="1"/>
  <c r="EF221" i="338" s="1"/>
  <c r="EL221" i="338" s="1"/>
  <c r="ER221" i="338" s="1"/>
  <c r="EX221" i="338" s="1"/>
  <c r="FD221" i="338" s="1"/>
  <c r="FJ221" i="338" s="1"/>
  <c r="CW221" i="338"/>
  <c r="DC221" i="338"/>
  <c r="BQ222" i="338"/>
  <c r="BR222" i="338"/>
  <c r="BS222" i="338"/>
  <c r="BT222" i="338"/>
  <c r="BW222" i="338"/>
  <c r="BX222" i="338"/>
  <c r="BY222" i="338"/>
  <c r="BZ222" i="338"/>
  <c r="CC222" i="338"/>
  <c r="CD222" i="338"/>
  <c r="CE222" i="338"/>
  <c r="CF222" i="338"/>
  <c r="CI222" i="338"/>
  <c r="CJ222" i="338"/>
  <c r="CK222" i="338"/>
  <c r="CL222" i="338"/>
  <c r="CO222" i="338"/>
  <c r="CP222" i="338"/>
  <c r="CQ222" i="338"/>
  <c r="BO224" i="338"/>
  <c r="BU224" i="338"/>
  <c r="CA224" i="338"/>
  <c r="CG224" i="338"/>
  <c r="CM224" i="338"/>
  <c r="BQ225" i="338"/>
  <c r="BR225" i="338"/>
  <c r="BS225" i="338"/>
  <c r="BT225" i="338"/>
  <c r="BW225" i="338"/>
  <c r="BX225" i="338"/>
  <c r="BY225" i="338"/>
  <c r="BZ225" i="338"/>
  <c r="CC225" i="338"/>
  <c r="CD225" i="338"/>
  <c r="CE225" i="338"/>
  <c r="CF225" i="338"/>
  <c r="CI225" i="338"/>
  <c r="CJ225" i="338"/>
  <c r="CK225" i="338"/>
  <c r="CL225" i="338"/>
  <c r="CO225" i="338"/>
  <c r="CP225" i="338"/>
  <c r="CQ225" i="338"/>
  <c r="CL226" i="338"/>
  <c r="CO226" i="338"/>
  <c r="CP226" i="338"/>
  <c r="CQ226" i="338"/>
  <c r="BN228" i="338"/>
  <c r="BN230" i="338" s="1"/>
  <c r="BQ228" i="338"/>
  <c r="BS228" i="338"/>
  <c r="BT228" i="338"/>
  <c r="BY228" i="338"/>
  <c r="BY230" i="338" s="1"/>
  <c r="CD228" i="338"/>
  <c r="CE228" i="338"/>
  <c r="CO228" i="338"/>
  <c r="BC239" i="338"/>
  <c r="BI239" i="338"/>
  <c r="DO241" i="338"/>
  <c r="DO245" i="338" s="1"/>
  <c r="AA253" i="338"/>
  <c r="AB253" i="338"/>
  <c r="AC253" i="338"/>
  <c r="AD253" i="338"/>
  <c r="AE72" i="335"/>
  <c r="AE253" i="338" s="1"/>
  <c r="AG253" i="338"/>
  <c r="AH253" i="338"/>
  <c r="AI253" i="338"/>
  <c r="AJ253" i="338"/>
  <c r="AK72" i="335"/>
  <c r="AK253" i="338" s="1"/>
  <c r="AM253" i="338"/>
  <c r="AN253" i="338"/>
  <c r="AO253" i="338"/>
  <c r="AP253" i="338"/>
  <c r="AQ72" i="335"/>
  <c r="AQ253" i="338" s="1"/>
  <c r="AY253" i="338"/>
  <c r="AZ253" i="338"/>
  <c r="BA253" i="338"/>
  <c r="BB253" i="338"/>
  <c r="BC72" i="335"/>
  <c r="BC74" i="335"/>
  <c r="BC289" i="335" s="1"/>
  <c r="BE253" i="338"/>
  <c r="BF253" i="338"/>
  <c r="BG253" i="338"/>
  <c r="BH253" i="338"/>
  <c r="BI72" i="335"/>
  <c r="BI73" i="335"/>
  <c r="BI265" i="338" s="1"/>
  <c r="BI74" i="335"/>
  <c r="BK253" i="338"/>
  <c r="BL253" i="338"/>
  <c r="BM253" i="338"/>
  <c r="BN253" i="338"/>
  <c r="BO72" i="335"/>
  <c r="BO259" i="338" s="1"/>
  <c r="BO73" i="335"/>
  <c r="BO74" i="335"/>
  <c r="BO271" i="338" s="1"/>
  <c r="BQ253" i="338"/>
  <c r="BR253" i="338"/>
  <c r="BS253" i="338"/>
  <c r="BT259" i="338"/>
  <c r="BT265" i="338"/>
  <c r="BT271" i="338"/>
  <c r="BW259" i="338"/>
  <c r="BW265" i="338"/>
  <c r="BW271" i="338"/>
  <c r="BX259" i="338"/>
  <c r="BX265" i="338"/>
  <c r="BX271" i="338"/>
  <c r="BY259" i="338"/>
  <c r="BY265" i="338"/>
  <c r="BY271" i="338"/>
  <c r="BZ259" i="338"/>
  <c r="BZ260" i="338" s="1"/>
  <c r="BZ265" i="338"/>
  <c r="BZ271" i="338"/>
  <c r="CC259" i="338"/>
  <c r="CC260" i="338" s="1"/>
  <c r="CC265" i="338"/>
  <c r="CC271" i="338"/>
  <c r="CD259" i="338"/>
  <c r="CD265" i="338"/>
  <c r="CD266" i="338" s="1"/>
  <c r="CD271" i="338"/>
  <c r="CE259" i="338"/>
  <c r="CE265" i="338"/>
  <c r="CE271" i="338"/>
  <c r="CE272" i="338" s="1"/>
  <c r="CF259" i="338"/>
  <c r="CF265" i="338"/>
  <c r="CF271" i="338"/>
  <c r="CF272" i="338" s="1"/>
  <c r="CI259" i="338"/>
  <c r="CI260" i="338" s="1"/>
  <c r="CI265" i="338"/>
  <c r="CI266" i="338" s="1"/>
  <c r="CI271" i="338"/>
  <c r="CI272" i="338" s="1"/>
  <c r="CJ259" i="338"/>
  <c r="CJ265" i="338"/>
  <c r="CJ271" i="338"/>
  <c r="CJ272" i="338" s="1"/>
  <c r="CK259" i="338"/>
  <c r="CK260" i="338" s="1"/>
  <c r="CK265" i="338"/>
  <c r="CK271" i="338"/>
  <c r="CK272" i="338" s="1"/>
  <c r="CL259" i="338"/>
  <c r="CL265" i="338"/>
  <c r="CL271" i="338"/>
  <c r="CL272" i="338" s="1"/>
  <c r="CO259" i="338"/>
  <c r="CO265" i="338"/>
  <c r="CO271" i="338"/>
  <c r="CO272" i="338" s="1"/>
  <c r="CP259" i="338"/>
  <c r="CP260" i="338" s="1"/>
  <c r="CP265" i="338"/>
  <c r="CP266" i="338" s="1"/>
  <c r="CP271" i="338"/>
  <c r="CQ259" i="338"/>
  <c r="CQ265" i="338"/>
  <c r="CQ266" i="338" s="1"/>
  <c r="CQ271" i="338"/>
  <c r="CR259" i="338"/>
  <c r="CR260" i="338" s="1"/>
  <c r="CR265" i="338"/>
  <c r="CR271" i="338"/>
  <c r="CR272" i="338" s="1"/>
  <c r="CU259" i="338"/>
  <c r="CU265" i="338"/>
  <c r="CU271" i="338"/>
  <c r="CV259" i="338"/>
  <c r="CV260" i="338" s="1"/>
  <c r="CV265" i="338"/>
  <c r="CV266" i="338" s="1"/>
  <c r="CV271" i="338"/>
  <c r="CW259" i="338"/>
  <c r="CW265" i="338"/>
  <c r="CW266" i="338" s="1"/>
  <c r="CW271" i="338"/>
  <c r="CX259" i="338"/>
  <c r="CX265" i="338"/>
  <c r="CX271" i="338"/>
  <c r="DA265" i="338"/>
  <c r="DA271" i="338"/>
  <c r="DB265" i="338"/>
  <c r="DB271" i="338"/>
  <c r="DC265" i="338"/>
  <c r="DC271" i="338"/>
  <c r="DD265" i="338"/>
  <c r="DD266" i="338" s="1"/>
  <c r="DD271" i="338"/>
  <c r="DD272" i="338" s="1"/>
  <c r="DG265" i="338"/>
  <c r="DG271" i="338"/>
  <c r="DH265" i="338"/>
  <c r="DH271" i="338"/>
  <c r="DI265" i="338"/>
  <c r="DI271" i="338"/>
  <c r="DJ259" i="338"/>
  <c r="DJ265" i="338"/>
  <c r="DJ271" i="338"/>
  <c r="DZ254" i="338"/>
  <c r="DT255" i="338"/>
  <c r="BE259" i="338"/>
  <c r="BF259" i="338"/>
  <c r="BG259" i="338"/>
  <c r="BH259" i="338"/>
  <c r="BK259" i="338"/>
  <c r="BK260" i="338" s="1"/>
  <c r="BL259" i="338"/>
  <c r="BL260" i="338" s="1"/>
  <c r="BM259" i="338"/>
  <c r="BN259" i="338"/>
  <c r="BQ259" i="338"/>
  <c r="BR259" i="338"/>
  <c r="BS259" i="338"/>
  <c r="BE265" i="338"/>
  <c r="BF265" i="338"/>
  <c r="BG265" i="338"/>
  <c r="BH265" i="338"/>
  <c r="BK265" i="338"/>
  <c r="BL265" i="338"/>
  <c r="BL266" i="338" s="1"/>
  <c r="BM265" i="338"/>
  <c r="BM266" i="338" s="1"/>
  <c r="BN265" i="338"/>
  <c r="BQ265" i="338"/>
  <c r="BR265" i="338"/>
  <c r="BR266" i="338" s="1"/>
  <c r="BS265" i="338"/>
  <c r="BE271" i="338"/>
  <c r="BF271" i="338"/>
  <c r="BG271" i="338"/>
  <c r="BH271" i="338"/>
  <c r="BK271" i="338"/>
  <c r="BK272" i="338" s="1"/>
  <c r="BL271" i="338"/>
  <c r="BM271" i="338"/>
  <c r="BN271" i="338"/>
  <c r="BQ271" i="338"/>
  <c r="BR271" i="338"/>
  <c r="BS271" i="338"/>
  <c r="BS272" i="338" s="1"/>
  <c r="S277" i="338"/>
  <c r="S388" i="335" s="1"/>
  <c r="Y277" i="338"/>
  <c r="Y388" i="335"/>
  <c r="AE277" i="338"/>
  <c r="AE388" i="335" s="1"/>
  <c r="AK277" i="338"/>
  <c r="AK388" i="335" s="1"/>
  <c r="AQ277" i="338"/>
  <c r="AQ388" i="335" s="1"/>
  <c r="AW277" i="338"/>
  <c r="AW388" i="335" s="1"/>
  <c r="BC277" i="338"/>
  <c r="BC388" i="335" s="1"/>
  <c r="BI277" i="338"/>
  <c r="BI388" i="335" s="1"/>
  <c r="BO277" i="338"/>
  <c r="BO388" i="335" s="1"/>
  <c r="BU277" i="338"/>
  <c r="CA277" i="338"/>
  <c r="CA388" i="335" s="1"/>
  <c r="CF277" i="338"/>
  <c r="CG277" i="338"/>
  <c r="S278" i="338"/>
  <c r="Y278" i="338"/>
  <c r="AE278" i="338"/>
  <c r="AK278" i="338"/>
  <c r="AQ278" i="338"/>
  <c r="AW278" i="338"/>
  <c r="BC278" i="338"/>
  <c r="BI278" i="338"/>
  <c r="BO278" i="338"/>
  <c r="BU278" i="338"/>
  <c r="DD279" i="338"/>
  <c r="DE279" i="338" s="1"/>
  <c r="S280" i="338"/>
  <c r="S389" i="335" s="1"/>
  <c r="Y280" i="338"/>
  <c r="AE280" i="338"/>
  <c r="AE389" i="335" s="1"/>
  <c r="AK280" i="338"/>
  <c r="AQ280" i="338"/>
  <c r="AQ389" i="335" s="1"/>
  <c r="AW280" i="338"/>
  <c r="BC280" i="338"/>
  <c r="BC298" i="338" s="1"/>
  <c r="BC759" i="338" s="1"/>
  <c r="BI280" i="338"/>
  <c r="BO280" i="338"/>
  <c r="BO298" i="338" s="1"/>
  <c r="BO759" i="338" s="1"/>
  <c r="BU280" i="338"/>
  <c r="BU298" i="338" s="1"/>
  <c r="BU759" i="338" s="1"/>
  <c r="CA280" i="338"/>
  <c r="CA389" i="335" s="1"/>
  <c r="CG280" i="338"/>
  <c r="CL280" i="338"/>
  <c r="CL389" i="335" s="1"/>
  <c r="CR280" i="338"/>
  <c r="CR389" i="335" s="1"/>
  <c r="CX280" i="338"/>
  <c r="CY280" i="338" s="1"/>
  <c r="CY389" i="335" s="1"/>
  <c r="DD280" i="338"/>
  <c r="DD389" i="335" s="1"/>
  <c r="DJ280" i="338"/>
  <c r="DK280" i="338" s="1"/>
  <c r="DK389" i="335" s="1"/>
  <c r="DP280" i="338"/>
  <c r="DQ280" i="338" s="1"/>
  <c r="DQ389" i="335" s="1"/>
  <c r="DV280" i="338"/>
  <c r="DW280" i="338" s="1"/>
  <c r="DW389" i="335" s="1"/>
  <c r="AE281" i="338"/>
  <c r="BO281" i="338"/>
  <c r="BO299" i="338" s="1"/>
  <c r="BO780" i="338" s="1"/>
  <c r="CA281" i="338"/>
  <c r="CG281" i="338"/>
  <c r="CR281" i="338"/>
  <c r="CS281" i="338"/>
  <c r="CX281" i="338"/>
  <c r="CY281" i="338" s="1"/>
  <c r="DD281" i="338"/>
  <c r="DE281" i="338" s="1"/>
  <c r="DJ281" i="338"/>
  <c r="DK281" i="338" s="1"/>
  <c r="DP281" i="338"/>
  <c r="DQ281" i="338" s="1"/>
  <c r="DW288" i="338" s="1"/>
  <c r="DV281" i="338"/>
  <c r="DW281" i="338" s="1"/>
  <c r="J282" i="338"/>
  <c r="K282" i="338"/>
  <c r="K281" i="338" s="1"/>
  <c r="L282" i="338"/>
  <c r="L387" i="335" s="1"/>
  <c r="M282" i="338"/>
  <c r="M387" i="335"/>
  <c r="O282" i="338"/>
  <c r="O387" i="335" s="1"/>
  <c r="P282" i="338"/>
  <c r="P281" i="338" s="1"/>
  <c r="Q282" i="338"/>
  <c r="Q387" i="335" s="1"/>
  <c r="W282" i="338"/>
  <c r="W387" i="335" s="1"/>
  <c r="R282" i="338"/>
  <c r="U282" i="338"/>
  <c r="V282" i="338"/>
  <c r="V387" i="335" s="1"/>
  <c r="X282" i="338"/>
  <c r="Y282" i="338" s="1"/>
  <c r="AA282" i="338"/>
  <c r="AB282" i="338"/>
  <c r="AB281" i="338" s="1"/>
  <c r="AC282" i="338"/>
  <c r="AC387" i="335" s="1"/>
  <c r="AD282" i="338"/>
  <c r="AD387" i="335" s="1"/>
  <c r="AG282" i="338"/>
  <c r="AH282" i="338"/>
  <c r="AH281" i="338" s="1"/>
  <c r="AI282" i="338"/>
  <c r="AI387" i="335" s="1"/>
  <c r="AJ282" i="338"/>
  <c r="AK282" i="338" s="1"/>
  <c r="AK387" i="335" s="1"/>
  <c r="AM282" i="338"/>
  <c r="AN282" i="338"/>
  <c r="AN281" i="338" s="1"/>
  <c r="AO282" i="338"/>
  <c r="AO281" i="338" s="1"/>
  <c r="AP282" i="338"/>
  <c r="AQ282" i="338"/>
  <c r="AQ387" i="335" s="1"/>
  <c r="AS282" i="338"/>
  <c r="AT282" i="338"/>
  <c r="AT387" i="335" s="1"/>
  <c r="AU282" i="338"/>
  <c r="AU281" i="338" s="1"/>
  <c r="AV282" i="338"/>
  <c r="AV387" i="335" s="1"/>
  <c r="AY282" i="338"/>
  <c r="AY387" i="335" s="1"/>
  <c r="AZ282" i="338"/>
  <c r="BA282" i="338"/>
  <c r="BA387" i="335" s="1"/>
  <c r="BB282" i="338"/>
  <c r="BB281" i="338"/>
  <c r="BC281" i="338" s="1"/>
  <c r="BE282" i="338"/>
  <c r="BF282" i="338"/>
  <c r="BF387" i="335"/>
  <c r="BG282" i="338"/>
  <c r="BH282" i="338"/>
  <c r="BH281" i="338" s="1"/>
  <c r="BI281" i="338" s="1"/>
  <c r="BO288" i="338" s="1"/>
  <c r="BK282" i="338"/>
  <c r="BL282" i="338"/>
  <c r="BM282" i="338"/>
  <c r="BM387" i="335" s="1"/>
  <c r="BN282" i="338"/>
  <c r="BN387" i="335" s="1"/>
  <c r="BQ282" i="338"/>
  <c r="BR282" i="338"/>
  <c r="BS282" i="338"/>
  <c r="BT282" i="338"/>
  <c r="BT387" i="335" s="1"/>
  <c r="BW282" i="338"/>
  <c r="BX282" i="338"/>
  <c r="BY282" i="338"/>
  <c r="BZ282" i="338"/>
  <c r="BZ278" i="338" s="1"/>
  <c r="CA278" i="338" s="1"/>
  <c r="CD282" i="338"/>
  <c r="CE282" i="338"/>
  <c r="CF282" i="338"/>
  <c r="CF387" i="335" s="1"/>
  <c r="CI282" i="338"/>
  <c r="CI387" i="335" s="1"/>
  <c r="CJ282" i="338"/>
  <c r="CK282" i="338"/>
  <c r="CK387" i="335"/>
  <c r="CY282" i="338"/>
  <c r="CY387" i="335" s="1"/>
  <c r="DJ282" i="338"/>
  <c r="DJ387" i="335" s="1"/>
  <c r="DV282" i="338"/>
  <c r="DY282" i="338"/>
  <c r="DY387" i="335" s="1"/>
  <c r="DZ282" i="338"/>
  <c r="DZ387" i="335" s="1"/>
  <c r="U285" i="338"/>
  <c r="V285" i="338"/>
  <c r="W285" i="338"/>
  <c r="X285" i="338"/>
  <c r="U286" i="338"/>
  <c r="V286" i="338"/>
  <c r="W286" i="338"/>
  <c r="X286" i="338"/>
  <c r="U287" i="338"/>
  <c r="V287" i="338"/>
  <c r="W287" i="338"/>
  <c r="X287" i="338"/>
  <c r="BZ291" i="338"/>
  <c r="BZ731" i="338" s="1"/>
  <c r="CG291" i="338"/>
  <c r="CG731" i="338" s="1"/>
  <c r="CY291" i="338"/>
  <c r="CY731" i="338" s="1"/>
  <c r="DE291" i="338"/>
  <c r="DE731" i="338" s="1"/>
  <c r="BZ292" i="338"/>
  <c r="CG292" i="338"/>
  <c r="CY292" i="338"/>
  <c r="CY746" i="338" s="1"/>
  <c r="DE292" i="338"/>
  <c r="DE746" i="338" s="1"/>
  <c r="DE294" i="338"/>
  <c r="DE295" i="338"/>
  <c r="BZ297" i="338"/>
  <c r="CG297" i="338"/>
  <c r="CG772" i="338" s="1"/>
  <c r="CY297" i="338"/>
  <c r="CY772" i="338" s="1"/>
  <c r="DE297" i="338"/>
  <c r="DE772" i="338" s="1"/>
  <c r="BZ298" i="338"/>
  <c r="CG298" i="338"/>
  <c r="CG759" i="338"/>
  <c r="CY298" i="338"/>
  <c r="CY759" i="338" s="1"/>
  <c r="DE298" i="338"/>
  <c r="DE759" i="338" s="1"/>
  <c r="BZ299" i="338"/>
  <c r="CG299" i="338"/>
  <c r="CG780" i="338" s="1"/>
  <c r="CY299" i="338"/>
  <c r="CY780" i="338" s="1"/>
  <c r="DE299" i="338"/>
  <c r="DE780" i="338" s="1"/>
  <c r="BE300" i="338"/>
  <c r="BF300" i="338"/>
  <c r="BG300" i="338"/>
  <c r="BH300" i="338"/>
  <c r="BK300" i="338"/>
  <c r="BL300" i="338"/>
  <c r="BM300" i="338"/>
  <c r="BN300" i="338"/>
  <c r="BQ300" i="338"/>
  <c r="BR300" i="338"/>
  <c r="BS300" i="338"/>
  <c r="BT300" i="338"/>
  <c r="BW300" i="338"/>
  <c r="BW301" i="338" s="1"/>
  <c r="BX300" i="338"/>
  <c r="BY300" i="338"/>
  <c r="CA300" i="338"/>
  <c r="CA308" i="338" s="1"/>
  <c r="CC300" i="338"/>
  <c r="CD300" i="338"/>
  <c r="CD301" i="338" s="1"/>
  <c r="CE300" i="338"/>
  <c r="CE301" i="338" s="1"/>
  <c r="CF300" i="338"/>
  <c r="CL301" i="338"/>
  <c r="CI300" i="338"/>
  <c r="CI273" i="336" s="1"/>
  <c r="CJ300" i="338"/>
  <c r="CK300" i="338"/>
  <c r="CK301" i="338" s="1"/>
  <c r="DE300" i="338"/>
  <c r="DE243" i="335" s="1"/>
  <c r="CY226" i="335"/>
  <c r="CY193" i="336" s="1"/>
  <c r="DY300" i="338"/>
  <c r="DY301" i="338" s="1"/>
  <c r="DZ300" i="338"/>
  <c r="DZ301" i="338" s="1"/>
  <c r="DB301" i="338"/>
  <c r="DG301" i="338"/>
  <c r="DH301" i="338"/>
  <c r="DI301" i="338"/>
  <c r="DM301" i="338"/>
  <c r="DN301" i="338"/>
  <c r="DO301" i="338"/>
  <c r="DS301" i="338"/>
  <c r="DT301" i="338"/>
  <c r="DV301" i="338"/>
  <c r="X365" i="335"/>
  <c r="S319" i="338"/>
  <c r="S390" i="335" s="1"/>
  <c r="Y319" i="338"/>
  <c r="AE319" i="338"/>
  <c r="AE390" i="335"/>
  <c r="AK319" i="338"/>
  <c r="AK390" i="335" s="1"/>
  <c r="AQ319" i="338"/>
  <c r="AQ390" i="335" s="1"/>
  <c r="AW319" i="338"/>
  <c r="AW390" i="335" s="1"/>
  <c r="BC319" i="338"/>
  <c r="BI319" i="338"/>
  <c r="BI390" i="335" s="1"/>
  <c r="BO319" i="338"/>
  <c r="BU319" i="338"/>
  <c r="CA319" i="338"/>
  <c r="CA390" i="335" s="1"/>
  <c r="CG319" i="338"/>
  <c r="CM319" i="338"/>
  <c r="CS319" i="338"/>
  <c r="CS390" i="335" s="1"/>
  <c r="CY319" i="338"/>
  <c r="CY390" i="335" s="1"/>
  <c r="DE319" i="338"/>
  <c r="DK319" i="338"/>
  <c r="DK390" i="335" s="1"/>
  <c r="DQ319" i="338"/>
  <c r="DW319" i="338"/>
  <c r="DW390" i="335"/>
  <c r="S320" i="338"/>
  <c r="S391" i="335" s="1"/>
  <c r="Y320" i="338"/>
  <c r="Y391" i="335" s="1"/>
  <c r="AE320" i="338"/>
  <c r="AE391" i="335" s="1"/>
  <c r="AK320" i="338"/>
  <c r="AK391" i="335" s="1"/>
  <c r="AQ320" i="338"/>
  <c r="AQ391" i="335" s="1"/>
  <c r="AW320" i="338"/>
  <c r="AW391" i="335"/>
  <c r="BC320" i="338"/>
  <c r="BC391" i="335" s="1"/>
  <c r="BI320" i="338"/>
  <c r="BI391" i="335" s="1"/>
  <c r="BO320" i="338"/>
  <c r="BO391" i="335" s="1"/>
  <c r="BU320" i="338"/>
  <c r="BU391" i="335" s="1"/>
  <c r="CA320" i="338"/>
  <c r="CA391" i="335" s="1"/>
  <c r="CG320" i="338"/>
  <c r="CG391" i="335" s="1"/>
  <c r="CL320" i="338"/>
  <c r="CO320" i="338"/>
  <c r="CO300" i="338"/>
  <c r="CO303" i="338" s="1"/>
  <c r="CP320" i="338"/>
  <c r="CQ320" i="338"/>
  <c r="CU320" i="338"/>
  <c r="CU300" i="338"/>
  <c r="CV320" i="338"/>
  <c r="CW320" i="338"/>
  <c r="DA320" i="338"/>
  <c r="DA391" i="335" s="1"/>
  <c r="DB320" i="338"/>
  <c r="DB282" i="338" s="1"/>
  <c r="DC320" i="338"/>
  <c r="DC282" i="338" s="1"/>
  <c r="DD320" i="338"/>
  <c r="DD282" i="338"/>
  <c r="DE282" i="338" s="1"/>
  <c r="DG320" i="338"/>
  <c r="DG282" i="338"/>
  <c r="DH320" i="338"/>
  <c r="DI320" i="338"/>
  <c r="DJ320" i="338"/>
  <c r="DM320" i="338"/>
  <c r="DM391" i="335"/>
  <c r="DN320" i="338"/>
  <c r="DO320" i="338"/>
  <c r="DP320" i="338"/>
  <c r="DS320" i="338"/>
  <c r="DT320" i="338"/>
  <c r="DT282" i="338"/>
  <c r="DW320" i="338"/>
  <c r="DW391" i="335"/>
  <c r="J355" i="335"/>
  <c r="J322" i="338"/>
  <c r="K355" i="335"/>
  <c r="K322" i="338"/>
  <c r="L355" i="335"/>
  <c r="L322" i="338"/>
  <c r="M355" i="335"/>
  <c r="M322" i="338"/>
  <c r="Y355" i="335"/>
  <c r="AE355" i="335"/>
  <c r="AW355" i="335"/>
  <c r="BC355" i="335"/>
  <c r="DE355" i="335"/>
  <c r="J357" i="335"/>
  <c r="K357" i="335"/>
  <c r="L357" i="335"/>
  <c r="M357" i="335"/>
  <c r="S357" i="335"/>
  <c r="Y357" i="335"/>
  <c r="AQ357" i="335"/>
  <c r="AW357" i="335"/>
  <c r="BO357" i="335"/>
  <c r="DQ358" i="335"/>
  <c r="A379" i="338"/>
  <c r="D385" i="338"/>
  <c r="E385" i="338"/>
  <c r="F385" i="338"/>
  <c r="G385" i="338"/>
  <c r="H385" i="338"/>
  <c r="I385" i="338"/>
  <c r="J385" i="338"/>
  <c r="K385" i="338"/>
  <c r="L385" i="338"/>
  <c r="M385" i="338"/>
  <c r="S385" i="338"/>
  <c r="Y385" i="338"/>
  <c r="F141" i="335"/>
  <c r="F167" i="335"/>
  <c r="F160" i="335"/>
  <c r="F214" i="335"/>
  <c r="G141" i="335"/>
  <c r="G167" i="335"/>
  <c r="G160" i="335"/>
  <c r="G214" i="335"/>
  <c r="H141" i="335"/>
  <c r="H292" i="335" s="1"/>
  <c r="H167" i="335"/>
  <c r="H296" i="335" s="1"/>
  <c r="H160" i="335"/>
  <c r="H214" i="335"/>
  <c r="I141" i="335"/>
  <c r="I167" i="335"/>
  <c r="I160" i="335"/>
  <c r="I214" i="335"/>
  <c r="J141" i="335"/>
  <c r="J167" i="335"/>
  <c r="J176" i="335"/>
  <c r="J214" i="335"/>
  <c r="J160" i="335"/>
  <c r="K141" i="335"/>
  <c r="K167" i="335"/>
  <c r="K366" i="335" s="1"/>
  <c r="K160" i="335"/>
  <c r="K214" i="335"/>
  <c r="L141" i="335"/>
  <c r="L167" i="335"/>
  <c r="L176" i="335"/>
  <c r="L214" i="335"/>
  <c r="L160" i="335"/>
  <c r="M141" i="335"/>
  <c r="M167" i="335"/>
  <c r="M366" i="335" s="1"/>
  <c r="M160" i="335"/>
  <c r="M214" i="335"/>
  <c r="O141" i="335"/>
  <c r="O343" i="335" s="1"/>
  <c r="O167" i="335"/>
  <c r="O348" i="335" s="1"/>
  <c r="O160" i="335"/>
  <c r="O214" i="335"/>
  <c r="P141" i="335"/>
  <c r="P343" i="335" s="1"/>
  <c r="P167" i="335"/>
  <c r="P160" i="335"/>
  <c r="P214" i="335"/>
  <c r="Q141" i="335"/>
  <c r="Q343" i="335" s="1"/>
  <c r="Q167" i="335"/>
  <c r="Q103" i="336" s="1"/>
  <c r="Q413" i="338" s="1"/>
  <c r="Q160" i="335"/>
  <c r="Q214" i="335"/>
  <c r="R141" i="335"/>
  <c r="R167" i="335"/>
  <c r="R160" i="335"/>
  <c r="R214" i="335"/>
  <c r="U141" i="335"/>
  <c r="U167" i="335"/>
  <c r="U160" i="335"/>
  <c r="U214" i="335"/>
  <c r="V141" i="335"/>
  <c r="V292" i="335" s="1"/>
  <c r="V167" i="335"/>
  <c r="V160" i="335"/>
  <c r="V214" i="335"/>
  <c r="W141" i="335"/>
  <c r="W317" i="335" s="1"/>
  <c r="W167" i="335"/>
  <c r="W160" i="335"/>
  <c r="W214" i="335"/>
  <c r="X141" i="335"/>
  <c r="X167" i="335"/>
  <c r="X160" i="335"/>
  <c r="X214" i="335"/>
  <c r="AA141" i="335"/>
  <c r="AA292" i="335" s="1"/>
  <c r="AA167" i="335"/>
  <c r="AA321" i="335" s="1"/>
  <c r="AA160" i="335"/>
  <c r="AA214" i="335"/>
  <c r="AB141" i="335"/>
  <c r="AB167" i="335"/>
  <c r="AB296" i="335" s="1"/>
  <c r="AB160" i="335"/>
  <c r="AB214" i="335"/>
  <c r="AC141" i="335"/>
  <c r="AC167" i="335"/>
  <c r="AC160" i="335"/>
  <c r="AC214" i="335"/>
  <c r="AD141" i="335"/>
  <c r="AD167" i="335"/>
  <c r="AD160" i="335"/>
  <c r="AD214" i="335"/>
  <c r="AG141" i="335"/>
  <c r="AG317" i="335" s="1"/>
  <c r="AG167" i="335"/>
  <c r="AI167" i="335"/>
  <c r="AH167" i="335"/>
  <c r="AH141" i="335"/>
  <c r="AH160" i="335"/>
  <c r="AH214" i="335"/>
  <c r="AI141" i="335"/>
  <c r="AI160" i="335"/>
  <c r="AI214" i="335"/>
  <c r="AJ141" i="335"/>
  <c r="AJ167" i="335"/>
  <c r="AJ160" i="335"/>
  <c r="AJ214" i="335"/>
  <c r="AM141" i="335"/>
  <c r="AM167" i="335"/>
  <c r="AM160" i="335"/>
  <c r="AM214" i="335"/>
  <c r="AN141" i="335"/>
  <c r="AN167" i="335"/>
  <c r="AN160" i="335"/>
  <c r="AN214" i="335"/>
  <c r="D388" i="338"/>
  <c r="E388" i="338"/>
  <c r="F388" i="338"/>
  <c r="D141" i="335"/>
  <c r="D143" i="335" s="1"/>
  <c r="E141" i="335"/>
  <c r="D385" i="335"/>
  <c r="D391" i="338" s="1"/>
  <c r="E385" i="335"/>
  <c r="E391" i="338" s="1"/>
  <c r="F385" i="335"/>
  <c r="F391" i="338" s="1"/>
  <c r="G385" i="335"/>
  <c r="G391" i="338" s="1"/>
  <c r="H385" i="335"/>
  <c r="H391" i="338" s="1"/>
  <c r="I385" i="335"/>
  <c r="I391" i="338" s="1"/>
  <c r="J385" i="335"/>
  <c r="J391" i="338" s="1"/>
  <c r="K385" i="335"/>
  <c r="K391" i="338" s="1"/>
  <c r="L385" i="335"/>
  <c r="L391" i="338" s="1"/>
  <c r="M385" i="335"/>
  <c r="M391" i="338" s="1"/>
  <c r="R102" i="336"/>
  <c r="X102" i="336"/>
  <c r="Y102" i="336" s="1"/>
  <c r="R365" i="335"/>
  <c r="U365" i="335"/>
  <c r="V365" i="335"/>
  <c r="V145" i="336" s="1"/>
  <c r="W365" i="335"/>
  <c r="E397" i="338"/>
  <c r="H397" i="338"/>
  <c r="I397" i="338"/>
  <c r="J397" i="338"/>
  <c r="K397" i="338"/>
  <c r="L397" i="338"/>
  <c r="M397" i="338"/>
  <c r="U397" i="338"/>
  <c r="W397" i="338"/>
  <c r="X397" i="338"/>
  <c r="AA397" i="338"/>
  <c r="AC397" i="338"/>
  <c r="AD397" i="338"/>
  <c r="AG397" i="338"/>
  <c r="AH397" i="338"/>
  <c r="AJ397" i="338"/>
  <c r="AM397" i="338"/>
  <c r="AN397" i="338"/>
  <c r="AS397" i="338"/>
  <c r="AY397" i="338"/>
  <c r="BE397" i="338"/>
  <c r="BF397" i="338"/>
  <c r="BG397" i="338"/>
  <c r="BH397" i="338"/>
  <c r="BK397" i="338"/>
  <c r="BL397" i="338"/>
  <c r="BM397" i="338"/>
  <c r="BN397" i="338"/>
  <c r="BQ397" i="338"/>
  <c r="BR397" i="338"/>
  <c r="BS397" i="338"/>
  <c r="BT397" i="338"/>
  <c r="BW397" i="338"/>
  <c r="BX397" i="338"/>
  <c r="BY397" i="338"/>
  <c r="BZ397" i="338"/>
  <c r="CC397" i="338"/>
  <c r="CD397" i="338"/>
  <c r="CE397" i="338"/>
  <c r="CF397" i="338"/>
  <c r="CI397" i="338"/>
  <c r="CJ397" i="338"/>
  <c r="CK397" i="338"/>
  <c r="CL397" i="338"/>
  <c r="CP397" i="338"/>
  <c r="CQ397" i="338"/>
  <c r="CR397" i="338"/>
  <c r="CV397" i="338"/>
  <c r="CW397" i="338"/>
  <c r="CX397" i="338"/>
  <c r="DA397" i="338"/>
  <c r="DB397" i="338"/>
  <c r="DC397" i="338"/>
  <c r="DD397" i="338"/>
  <c r="DG397" i="338"/>
  <c r="DH397" i="338"/>
  <c r="DI397" i="338"/>
  <c r="DJ397" i="338"/>
  <c r="DM397" i="338"/>
  <c r="DN397" i="338"/>
  <c r="DO397" i="338"/>
  <c r="DP397" i="338"/>
  <c r="DS397" i="338"/>
  <c r="DT397" i="338"/>
  <c r="DU397" i="338"/>
  <c r="DV397" i="338"/>
  <c r="DY397" i="338"/>
  <c r="E398" i="338"/>
  <c r="F398" i="338"/>
  <c r="G398" i="338"/>
  <c r="H398" i="338"/>
  <c r="I398" i="338"/>
  <c r="J398" i="338"/>
  <c r="K398" i="338"/>
  <c r="L398" i="338"/>
  <c r="M398" i="338"/>
  <c r="U398" i="338"/>
  <c r="V398" i="338"/>
  <c r="W398" i="338"/>
  <c r="X398" i="338"/>
  <c r="AA398" i="338"/>
  <c r="AB398" i="338"/>
  <c r="AC398" i="338"/>
  <c r="AD398" i="338"/>
  <c r="AG398" i="338"/>
  <c r="AH398" i="338"/>
  <c r="AI398" i="338"/>
  <c r="AJ398" i="338"/>
  <c r="AM398" i="338"/>
  <c r="AN398" i="338"/>
  <c r="AO398" i="338"/>
  <c r="AP398" i="338"/>
  <c r="AS398" i="338"/>
  <c r="AT398" i="338"/>
  <c r="AU398" i="338"/>
  <c r="AV398" i="338"/>
  <c r="AY398" i="338"/>
  <c r="AZ398" i="338"/>
  <c r="BA398" i="338"/>
  <c r="BB398" i="338"/>
  <c r="BE398" i="338"/>
  <c r="BF398" i="338"/>
  <c r="BG398" i="338"/>
  <c r="BH398" i="338"/>
  <c r="BK398" i="338"/>
  <c r="BL398" i="338"/>
  <c r="BM398" i="338"/>
  <c r="BN398" i="338"/>
  <c r="BQ398" i="338"/>
  <c r="BR398" i="338"/>
  <c r="BS398" i="338"/>
  <c r="BT398" i="338"/>
  <c r="BW398" i="338"/>
  <c r="BX398" i="338"/>
  <c r="BY398" i="338"/>
  <c r="BZ398" i="338"/>
  <c r="CC398" i="338"/>
  <c r="CD398" i="338"/>
  <c r="CE398" i="338"/>
  <c r="CF398" i="338"/>
  <c r="CI398" i="338"/>
  <c r="CJ398" i="338"/>
  <c r="CK398" i="338"/>
  <c r="CL398" i="338"/>
  <c r="CP398" i="338"/>
  <c r="CQ398" i="338"/>
  <c r="CR398" i="338"/>
  <c r="CV398" i="338"/>
  <c r="CW398" i="338"/>
  <c r="CX398" i="338"/>
  <c r="DA398" i="338"/>
  <c r="DB398" i="338"/>
  <c r="DC398" i="338"/>
  <c r="DD398" i="338"/>
  <c r="DG398" i="338"/>
  <c r="DH398" i="338"/>
  <c r="DI398" i="338"/>
  <c r="DJ398" i="338"/>
  <c r="DM398" i="338"/>
  <c r="DN398" i="338"/>
  <c r="DO398" i="338"/>
  <c r="DP398" i="338"/>
  <c r="DS398" i="338"/>
  <c r="DT398" i="338"/>
  <c r="DU398" i="338"/>
  <c r="DV398" i="338"/>
  <c r="DY398" i="338"/>
  <c r="DZ398" i="338"/>
  <c r="EE398" i="338"/>
  <c r="EF398" i="338"/>
  <c r="C407" i="338"/>
  <c r="D407" i="338"/>
  <c r="E407" i="338"/>
  <c r="F407" i="338"/>
  <c r="G407" i="338"/>
  <c r="H407" i="338"/>
  <c r="I407" i="338"/>
  <c r="J407" i="338"/>
  <c r="K407" i="338"/>
  <c r="L407" i="338"/>
  <c r="M407" i="338"/>
  <c r="O407" i="338"/>
  <c r="P407" i="338"/>
  <c r="Q407" i="338"/>
  <c r="R407" i="338"/>
  <c r="S407" i="338" s="1"/>
  <c r="U407" i="338"/>
  <c r="V407" i="338"/>
  <c r="W407" i="338"/>
  <c r="X407" i="338"/>
  <c r="Y407" i="338" s="1"/>
  <c r="AA407" i="338"/>
  <c r="AB407" i="338"/>
  <c r="AC407" i="338"/>
  <c r="AG407" i="338"/>
  <c r="AI407" i="338"/>
  <c r="AJ407" i="338"/>
  <c r="AM407" i="338"/>
  <c r="AN407" i="338"/>
  <c r="AP407" i="338"/>
  <c r="AQ407" i="338" s="1"/>
  <c r="AS407" i="338"/>
  <c r="AT407" i="338"/>
  <c r="AU407" i="338"/>
  <c r="AV407" i="338"/>
  <c r="AW407" i="338" s="1"/>
  <c r="AY407" i="338"/>
  <c r="BA407" i="338"/>
  <c r="BB407" i="338"/>
  <c r="BC407" i="338" s="1"/>
  <c r="BC223" i="335"/>
  <c r="BC191" i="335" s="1"/>
  <c r="BB410" i="338"/>
  <c r="BE407" i="338"/>
  <c r="BF407" i="338"/>
  <c r="BG407" i="338"/>
  <c r="BH407" i="338"/>
  <c r="BK407" i="338"/>
  <c r="BL407" i="338"/>
  <c r="BM407" i="338"/>
  <c r="BN407" i="338"/>
  <c r="BO407" i="338" s="1"/>
  <c r="BQ407" i="338"/>
  <c r="BR407" i="338"/>
  <c r="BS407" i="338"/>
  <c r="BT407" i="338"/>
  <c r="BU407" i="338" s="1"/>
  <c r="BX407" i="338"/>
  <c r="BY407" i="338"/>
  <c r="BZ407" i="338"/>
  <c r="CA407" i="338" s="1"/>
  <c r="CC407" i="338"/>
  <c r="CD407" i="338"/>
  <c r="CE407" i="338"/>
  <c r="CF407" i="338"/>
  <c r="CG407" i="338" s="1"/>
  <c r="CI407" i="338"/>
  <c r="CJ407" i="338"/>
  <c r="CK407" i="338"/>
  <c r="CL407" i="338"/>
  <c r="CM407" i="338" s="1"/>
  <c r="CO407" i="338"/>
  <c r="CP407" i="338"/>
  <c r="CQ407" i="338"/>
  <c r="CR407" i="338"/>
  <c r="CS407" i="338" s="1"/>
  <c r="CU407" i="338"/>
  <c r="CV407" i="338"/>
  <c r="CW407" i="338"/>
  <c r="CX407" i="338"/>
  <c r="CY407" i="338" s="1"/>
  <c r="DA407" i="338"/>
  <c r="DB407" i="338"/>
  <c r="DC407" i="338"/>
  <c r="DD407" i="338"/>
  <c r="DE407" i="338" s="1"/>
  <c r="DG407" i="338"/>
  <c r="DH407" i="338"/>
  <c r="DI407" i="338"/>
  <c r="DJ407" i="338"/>
  <c r="DK407" i="338" s="1"/>
  <c r="DM407" i="338"/>
  <c r="DN407" i="338"/>
  <c r="DO407" i="338"/>
  <c r="DP407" i="338"/>
  <c r="DQ407" i="338" s="1"/>
  <c r="DS407" i="338"/>
  <c r="DT407" i="338"/>
  <c r="DU407" i="338"/>
  <c r="DV407" i="338"/>
  <c r="DW407" i="338" s="1"/>
  <c r="C408" i="338"/>
  <c r="D408" i="338"/>
  <c r="E408" i="338"/>
  <c r="F408" i="338"/>
  <c r="G408" i="338"/>
  <c r="H408" i="338"/>
  <c r="I408" i="338"/>
  <c r="J408" i="338"/>
  <c r="K408" i="338"/>
  <c r="L408" i="338"/>
  <c r="M408" i="338"/>
  <c r="O408" i="338"/>
  <c r="P408" i="338"/>
  <c r="Q408" i="338"/>
  <c r="R408" i="338"/>
  <c r="S408" i="338" s="1"/>
  <c r="U408" i="338"/>
  <c r="V408" i="338"/>
  <c r="W408" i="338"/>
  <c r="X408" i="338"/>
  <c r="Y408" i="338" s="1"/>
  <c r="AA408" i="338"/>
  <c r="AB408" i="338"/>
  <c r="AC408" i="338"/>
  <c r="AD408" i="338"/>
  <c r="AE408" i="338" s="1"/>
  <c r="AG408" i="338"/>
  <c r="AH408" i="338"/>
  <c r="AI408" i="338"/>
  <c r="AJ408" i="338"/>
  <c r="AK408" i="338" s="1"/>
  <c r="AM408" i="338"/>
  <c r="AN408" i="338"/>
  <c r="AO408" i="338"/>
  <c r="AP408" i="338"/>
  <c r="AQ408" i="338" s="1"/>
  <c r="AS408" i="338"/>
  <c r="AT408" i="338"/>
  <c r="AU408" i="338"/>
  <c r="AV408" i="338"/>
  <c r="AW408" i="338" s="1"/>
  <c r="AY408" i="338"/>
  <c r="BA408" i="338"/>
  <c r="BB408" i="338"/>
  <c r="BC408" i="338" s="1"/>
  <c r="BE408" i="338"/>
  <c r="BF408" i="338"/>
  <c r="BH408" i="338"/>
  <c r="BI408" i="338" s="1"/>
  <c r="BK408" i="338"/>
  <c r="BL408" i="338"/>
  <c r="BM408" i="338"/>
  <c r="BN408" i="338"/>
  <c r="BO408" i="338" s="1"/>
  <c r="BQ408" i="338"/>
  <c r="BR408" i="338"/>
  <c r="BS408" i="338"/>
  <c r="BT408" i="338"/>
  <c r="BU408" i="338" s="1"/>
  <c r="BW408" i="338"/>
  <c r="BX408" i="338"/>
  <c r="BY408" i="338"/>
  <c r="BZ408" i="338"/>
  <c r="CA408" i="338" s="1"/>
  <c r="CC408" i="338"/>
  <c r="CD408" i="338"/>
  <c r="CJ408" i="338"/>
  <c r="CK408" i="338"/>
  <c r="CL408" i="338"/>
  <c r="CM408" i="338" s="1"/>
  <c r="CO408" i="338"/>
  <c r="CP408" i="338"/>
  <c r="CQ408" i="338"/>
  <c r="CR408" i="338"/>
  <c r="CS408" i="338" s="1"/>
  <c r="CU408" i="338"/>
  <c r="CV408" i="338"/>
  <c r="CW408" i="338"/>
  <c r="CX408" i="338"/>
  <c r="CY408" i="338" s="1"/>
  <c r="DA408" i="338"/>
  <c r="DB408" i="338"/>
  <c r="DC408" i="338"/>
  <c r="DD408" i="338"/>
  <c r="DE408" i="338" s="1"/>
  <c r="DG408" i="338"/>
  <c r="DH408" i="338"/>
  <c r="DI408" i="338"/>
  <c r="DJ408" i="338"/>
  <c r="DK408" i="338" s="1"/>
  <c r="DM408" i="338"/>
  <c r="DN408" i="338"/>
  <c r="DO408" i="338"/>
  <c r="DP408" i="338"/>
  <c r="DQ408" i="338" s="1"/>
  <c r="DS408" i="338"/>
  <c r="DT408" i="338"/>
  <c r="DU408" i="338"/>
  <c r="DV408" i="338"/>
  <c r="DW408" i="338" s="1"/>
  <c r="C409" i="338"/>
  <c r="D409" i="338"/>
  <c r="E409" i="338"/>
  <c r="F409" i="338"/>
  <c r="G409" i="338"/>
  <c r="H409" i="338"/>
  <c r="I409" i="338"/>
  <c r="J409" i="338"/>
  <c r="K409" i="338"/>
  <c r="L409" i="338"/>
  <c r="M409" i="338"/>
  <c r="O409" i="338"/>
  <c r="P409" i="338"/>
  <c r="Q409" i="338"/>
  <c r="R409" i="338"/>
  <c r="S409" i="338" s="1"/>
  <c r="U409" i="338"/>
  <c r="V409" i="338"/>
  <c r="W409" i="338"/>
  <c r="X409" i="338"/>
  <c r="Y409" i="338" s="1"/>
  <c r="AA409" i="338"/>
  <c r="AB409" i="338"/>
  <c r="AC409" i="338"/>
  <c r="AD409" i="338"/>
  <c r="AE409" i="338" s="1"/>
  <c r="AG409" i="338"/>
  <c r="AH409" i="338"/>
  <c r="AI409" i="338"/>
  <c r="AJ409" i="338"/>
  <c r="AK409" i="338" s="1"/>
  <c r="AM409" i="338"/>
  <c r="AN409" i="338"/>
  <c r="AO409" i="338"/>
  <c r="AP409" i="338"/>
  <c r="AQ409" i="338" s="1"/>
  <c r="AS409" i="338"/>
  <c r="AT409" i="338"/>
  <c r="AU409" i="338"/>
  <c r="AV409" i="338"/>
  <c r="AW409" i="338" s="1"/>
  <c r="AY409" i="338"/>
  <c r="AZ409" i="338"/>
  <c r="BA409" i="338"/>
  <c r="BB409" i="338"/>
  <c r="BC409" i="338" s="1"/>
  <c r="BE409" i="338"/>
  <c r="BF409" i="338"/>
  <c r="BG409" i="338"/>
  <c r="BH409" i="338"/>
  <c r="BI409" i="338" s="1"/>
  <c r="BK409" i="338"/>
  <c r="BL409" i="338"/>
  <c r="BM409" i="338"/>
  <c r="BN409" i="338"/>
  <c r="BO409" i="338" s="1"/>
  <c r="BQ409" i="338"/>
  <c r="BR409" i="338"/>
  <c r="BS409" i="338"/>
  <c r="BT409" i="338"/>
  <c r="BU409" i="338" s="1"/>
  <c r="BW409" i="338"/>
  <c r="BX409" i="338"/>
  <c r="BY409" i="338"/>
  <c r="BZ409" i="338"/>
  <c r="CA409" i="338" s="1"/>
  <c r="CC409" i="338"/>
  <c r="CD409" i="338"/>
  <c r="CE409" i="338"/>
  <c r="CF409" i="338"/>
  <c r="CG409" i="338" s="1"/>
  <c r="CK409" i="338"/>
  <c r="CL409" i="338"/>
  <c r="CM409" i="338" s="1"/>
  <c r="CO409" i="338"/>
  <c r="CP409" i="338"/>
  <c r="CQ409" i="338"/>
  <c r="CR409" i="338"/>
  <c r="CS409" i="338" s="1"/>
  <c r="CU409" i="338"/>
  <c r="CV409" i="338"/>
  <c r="CW409" i="338"/>
  <c r="CX409" i="338"/>
  <c r="CY409" i="338" s="1"/>
  <c r="DA409" i="338"/>
  <c r="DB409" i="338"/>
  <c r="DC409" i="338"/>
  <c r="DD409" i="338"/>
  <c r="DE409" i="338" s="1"/>
  <c r="DG409" i="338"/>
  <c r="DH409" i="338"/>
  <c r="DI409" i="338"/>
  <c r="DJ409" i="338"/>
  <c r="DK409" i="338" s="1"/>
  <c r="DM409" i="338"/>
  <c r="DN409" i="338"/>
  <c r="DO409" i="338"/>
  <c r="DU409" i="338"/>
  <c r="EW123" i="336"/>
  <c r="FC123" i="336" s="1"/>
  <c r="FI123" i="336" s="1"/>
  <c r="C410" i="338"/>
  <c r="D410" i="338"/>
  <c r="E410" i="338"/>
  <c r="F410" i="338"/>
  <c r="G410" i="338"/>
  <c r="H410" i="338"/>
  <c r="I410" i="338"/>
  <c r="J410" i="338"/>
  <c r="K410" i="338"/>
  <c r="L410" i="338"/>
  <c r="M410" i="338"/>
  <c r="O410" i="338"/>
  <c r="P410" i="338"/>
  <c r="Q410" i="338"/>
  <c r="R410" i="338"/>
  <c r="S410" i="338" s="1"/>
  <c r="U410" i="338"/>
  <c r="V410" i="338"/>
  <c r="W410" i="338"/>
  <c r="X410" i="338"/>
  <c r="Y410" i="338" s="1"/>
  <c r="AA410" i="338"/>
  <c r="AB410" i="338"/>
  <c r="AC410" i="338"/>
  <c r="AD410" i="338"/>
  <c r="AE410" i="338" s="1"/>
  <c r="AG410" i="338"/>
  <c r="AH410" i="338"/>
  <c r="AI410" i="338"/>
  <c r="AJ410" i="338"/>
  <c r="AK410" i="338" s="1"/>
  <c r="AM410" i="338"/>
  <c r="AN410" i="338"/>
  <c r="AO410" i="338"/>
  <c r="AP410" i="338"/>
  <c r="AQ410" i="338" s="1"/>
  <c r="AS410" i="338"/>
  <c r="AT410" i="338"/>
  <c r="AU410" i="338"/>
  <c r="AV410" i="338"/>
  <c r="AW223" i="335"/>
  <c r="AW191" i="335" s="1"/>
  <c r="AY410" i="338"/>
  <c r="AZ410" i="338"/>
  <c r="BA410" i="338"/>
  <c r="BE410" i="338"/>
  <c r="BF410" i="338"/>
  <c r="BG410" i="338"/>
  <c r="BH410" i="338"/>
  <c r="BI410" i="338" s="1"/>
  <c r="BK410" i="338"/>
  <c r="BL410" i="338"/>
  <c r="BM410" i="338"/>
  <c r="BN410" i="338"/>
  <c r="BO410" i="338" s="1"/>
  <c r="BQ410" i="338"/>
  <c r="BR410" i="338"/>
  <c r="BS410" i="338"/>
  <c r="BT410" i="338"/>
  <c r="BU410" i="338" s="1"/>
  <c r="BW410" i="338"/>
  <c r="BX410" i="338"/>
  <c r="BY410" i="338"/>
  <c r="BZ410" i="338"/>
  <c r="CC410" i="338"/>
  <c r="CD410" i="338"/>
  <c r="CE410" i="338"/>
  <c r="CF410" i="338"/>
  <c r="CG410" i="338" s="1"/>
  <c r="CI410" i="338"/>
  <c r="CJ410" i="338"/>
  <c r="CK410" i="338"/>
  <c r="CL410" i="338"/>
  <c r="CO410" i="338"/>
  <c r="CP410" i="338"/>
  <c r="CQ410" i="338"/>
  <c r="CR410" i="338"/>
  <c r="CU410" i="338"/>
  <c r="CV410" i="338"/>
  <c r="CW410" i="338"/>
  <c r="CX410" i="338"/>
  <c r="CY410" i="338" s="1"/>
  <c r="DA410" i="338"/>
  <c r="DB410" i="338"/>
  <c r="DC410" i="338"/>
  <c r="DD410" i="338"/>
  <c r="DE410" i="338" s="1"/>
  <c r="DG410" i="338"/>
  <c r="DH410" i="338"/>
  <c r="DI410" i="338"/>
  <c r="DJ410" i="338"/>
  <c r="DK410" i="338" s="1"/>
  <c r="DM410" i="338"/>
  <c r="DN410" i="338"/>
  <c r="DO410" i="338"/>
  <c r="DP410" i="338"/>
  <c r="DQ410" i="338" s="1"/>
  <c r="DS410" i="338"/>
  <c r="DT410" i="338"/>
  <c r="DU410" i="338"/>
  <c r="DV410" i="338"/>
  <c r="DW410" i="338" s="1"/>
  <c r="DY410" i="338"/>
  <c r="D223" i="335"/>
  <c r="D224" i="335"/>
  <c r="D225" i="335" s="1"/>
  <c r="E223" i="335"/>
  <c r="F223" i="335"/>
  <c r="G223" i="335"/>
  <c r="G191" i="335"/>
  <c r="H223" i="335"/>
  <c r="I223" i="335"/>
  <c r="J223" i="335"/>
  <c r="K223" i="335"/>
  <c r="L223" i="335"/>
  <c r="L224" i="335"/>
  <c r="L225" i="335" s="1"/>
  <c r="M223" i="335"/>
  <c r="S223" i="335"/>
  <c r="Y223" i="335"/>
  <c r="AA223" i="335"/>
  <c r="AA191" i="335"/>
  <c r="AB223" i="335"/>
  <c r="AC223" i="335"/>
  <c r="AD223" i="335"/>
  <c r="AD191" i="335"/>
  <c r="AG223" i="335"/>
  <c r="AH223" i="335"/>
  <c r="AI223" i="335"/>
  <c r="AJ223" i="335"/>
  <c r="AM223" i="335"/>
  <c r="AN223" i="335"/>
  <c r="BI223" i="335"/>
  <c r="BI191" i="335" s="1"/>
  <c r="C413" i="338"/>
  <c r="D413" i="338"/>
  <c r="E413" i="338"/>
  <c r="F413" i="338"/>
  <c r="G413" i="338"/>
  <c r="H413" i="338"/>
  <c r="I413" i="338"/>
  <c r="J413" i="338"/>
  <c r="K413" i="338"/>
  <c r="L413" i="338"/>
  <c r="M413" i="338"/>
  <c r="A420" i="338"/>
  <c r="BW429" i="338"/>
  <c r="BW430" i="338"/>
  <c r="DD438" i="338"/>
  <c r="DD439" i="338" s="1"/>
  <c r="DG438" i="338"/>
  <c r="DM436" i="338" s="1"/>
  <c r="DH438" i="338"/>
  <c r="DH439" i="338" s="1"/>
  <c r="DI438" i="338"/>
  <c r="DI439" i="338" s="1"/>
  <c r="DM438" i="338"/>
  <c r="DN438" i="338"/>
  <c r="DT437" i="338" s="1"/>
  <c r="DO438" i="338"/>
  <c r="DU437" i="338" s="1"/>
  <c r="DP438" i="338"/>
  <c r="DV436" i="338" s="1"/>
  <c r="DJ438" i="338"/>
  <c r="DY438" i="338"/>
  <c r="CF160" i="335"/>
  <c r="CL165" i="335"/>
  <c r="CR160" i="335"/>
  <c r="CX160" i="335"/>
  <c r="DD160" i="335"/>
  <c r="CU161" i="335"/>
  <c r="CU160" i="335"/>
  <c r="DA160" i="335"/>
  <c r="DM161" i="335"/>
  <c r="DM160" i="335"/>
  <c r="BW492" i="338"/>
  <c r="BW493" i="338"/>
  <c r="BY164" i="335"/>
  <c r="CJ165" i="335"/>
  <c r="CP160" i="335"/>
  <c r="CQ160" i="335"/>
  <c r="CV160" i="335"/>
  <c r="CW160" i="335"/>
  <c r="DB165" i="335"/>
  <c r="DB160" i="335" s="1"/>
  <c r="DC160" i="335"/>
  <c r="DH160" i="335"/>
  <c r="DI160" i="335"/>
  <c r="DN161" i="335"/>
  <c r="DN160" i="335"/>
  <c r="DO160" i="335"/>
  <c r="DP161" i="335"/>
  <c r="DN507" i="338"/>
  <c r="BZ233" i="335"/>
  <c r="CA233" i="335" s="1"/>
  <c r="BZ232" i="335"/>
  <c r="CA232" i="335" s="1"/>
  <c r="CD233" i="335"/>
  <c r="CF233" i="335"/>
  <c r="CF232" i="335"/>
  <c r="A545" i="338"/>
  <c r="DN552" i="338"/>
  <c r="DO552" i="338"/>
  <c r="DS552" i="338"/>
  <c r="DT552" i="338"/>
  <c r="DU552" i="338"/>
  <c r="BH553" i="338"/>
  <c r="BN553" i="338"/>
  <c r="BT553" i="338"/>
  <c r="BZ553" i="338"/>
  <c r="CF553" i="338"/>
  <c r="CL553" i="338"/>
  <c r="CR553" i="338"/>
  <c r="CX553" i="338"/>
  <c r="DD553" i="338"/>
  <c r="DJ553" i="338"/>
  <c r="DP553" i="338"/>
  <c r="BH554" i="338"/>
  <c r="BN554" i="338"/>
  <c r="BT554" i="338"/>
  <c r="BZ554" i="338"/>
  <c r="CF554" i="338"/>
  <c r="CL554" i="338"/>
  <c r="CR554" i="338"/>
  <c r="CX554" i="338"/>
  <c r="DD554" i="338"/>
  <c r="DJ554" i="338"/>
  <c r="BC556" i="338"/>
  <c r="BC557" i="338" s="1"/>
  <c r="BI556" i="338"/>
  <c r="BI557" i="338" s="1"/>
  <c r="BE556" i="338"/>
  <c r="BE557" i="338" s="1"/>
  <c r="BF556" i="338"/>
  <c r="BF557" i="338" s="1"/>
  <c r="BG556" i="338"/>
  <c r="BG557" i="338" s="1"/>
  <c r="BK556" i="338"/>
  <c r="BK557" i="338" s="1"/>
  <c r="BL556" i="338"/>
  <c r="BL557" i="338" s="1"/>
  <c r="BM556" i="338"/>
  <c r="BM557" i="338" s="1"/>
  <c r="BO556" i="338"/>
  <c r="BO557" i="338" s="1"/>
  <c r="BQ556" i="338"/>
  <c r="BQ557" i="338" s="1"/>
  <c r="BR556" i="338"/>
  <c r="BR557" i="338" s="1"/>
  <c r="BR630" i="338" s="1"/>
  <c r="BS556" i="338"/>
  <c r="BS557" i="338"/>
  <c r="BU556" i="338"/>
  <c r="BU557" i="338"/>
  <c r="BW556" i="338"/>
  <c r="BW557" i="338" s="1"/>
  <c r="BX556" i="338"/>
  <c r="BX557" i="338" s="1"/>
  <c r="BX630" i="338" s="1"/>
  <c r="BY556" i="338"/>
  <c r="BY557" i="338" s="1"/>
  <c r="CA556" i="338"/>
  <c r="CA557" i="338" s="1"/>
  <c r="CC556" i="338"/>
  <c r="CC557" i="338" s="1"/>
  <c r="CC630" i="338" s="1"/>
  <c r="CD556" i="338"/>
  <c r="CD557" i="338" s="1"/>
  <c r="CE556" i="338"/>
  <c r="CE557" i="338" s="1"/>
  <c r="CG556" i="338"/>
  <c r="CG557" i="338" s="1"/>
  <c r="CI556" i="338"/>
  <c r="CI557" i="338" s="1"/>
  <c r="CJ556" i="338"/>
  <c r="CJ557" i="338" s="1"/>
  <c r="CK556" i="338"/>
  <c r="CK557" i="338" s="1"/>
  <c r="CM556" i="338"/>
  <c r="CM557" i="338" s="1"/>
  <c r="CM630" i="338" s="1"/>
  <c r="CO556" i="338"/>
  <c r="CO557" i="338" s="1"/>
  <c r="CP556" i="338"/>
  <c r="CP557" i="338" s="1"/>
  <c r="CQ556" i="338"/>
  <c r="CQ557" i="338" s="1"/>
  <c r="CS556" i="338"/>
  <c r="CS557" i="338" s="1"/>
  <c r="CU556" i="338"/>
  <c r="CU557" i="338" s="1"/>
  <c r="CV556" i="338"/>
  <c r="CV557" i="338" s="1"/>
  <c r="CW556" i="338"/>
  <c r="CW557" i="338" s="1"/>
  <c r="CY556" i="338"/>
  <c r="CY557" i="338" s="1"/>
  <c r="DA556" i="338"/>
  <c r="DA557" i="338"/>
  <c r="DB556" i="338"/>
  <c r="DB557" i="338" s="1"/>
  <c r="DC556" i="338"/>
  <c r="DC557" i="338" s="1"/>
  <c r="DE556" i="338"/>
  <c r="DE557" i="338" s="1"/>
  <c r="DG556" i="338"/>
  <c r="DG557" i="338" s="1"/>
  <c r="DH556" i="338"/>
  <c r="DH557" i="338" s="1"/>
  <c r="DI556" i="338"/>
  <c r="DI557" i="338" s="1"/>
  <c r="DK556" i="338"/>
  <c r="DK557" i="338" s="1"/>
  <c r="DM556" i="338"/>
  <c r="DM557" i="338" s="1"/>
  <c r="DN556" i="338"/>
  <c r="DN557" i="338" s="1"/>
  <c r="DO556" i="338"/>
  <c r="DO557" i="338" s="1"/>
  <c r="DQ556" i="338"/>
  <c r="DQ557" i="338" s="1"/>
  <c r="DQ630" i="338" s="1"/>
  <c r="DT557" i="338"/>
  <c r="DU557" i="338"/>
  <c r="DW557" i="338"/>
  <c r="BE560" i="338"/>
  <c r="BE604" i="338" s="1"/>
  <c r="BF560" i="338"/>
  <c r="BF604" i="338"/>
  <c r="BN560" i="338"/>
  <c r="BT560" i="338"/>
  <c r="BZ560" i="338"/>
  <c r="CF560" i="338"/>
  <c r="CL560" i="338"/>
  <c r="CR560" i="338"/>
  <c r="CX560" i="338"/>
  <c r="DD560" i="338"/>
  <c r="DJ560" i="338"/>
  <c r="DP560" i="338"/>
  <c r="DV560" i="338"/>
  <c r="BE561" i="338"/>
  <c r="BE605" i="338" s="1"/>
  <c r="BF561" i="338"/>
  <c r="BF605" i="338"/>
  <c r="BN561" i="338"/>
  <c r="BT561" i="338"/>
  <c r="BZ561" i="338"/>
  <c r="CF561" i="338"/>
  <c r="CL561" i="338"/>
  <c r="CR561" i="338"/>
  <c r="CX561" i="338"/>
  <c r="DD561" i="338"/>
  <c r="DJ561" i="338"/>
  <c r="DP561" i="338"/>
  <c r="BC562" i="338"/>
  <c r="BC563" i="338" s="1"/>
  <c r="BG562" i="338"/>
  <c r="BG563" i="338" s="1"/>
  <c r="BI562" i="338"/>
  <c r="BI563" i="338" s="1"/>
  <c r="BK562" i="338"/>
  <c r="BK563" i="338" s="1"/>
  <c r="BL562" i="338"/>
  <c r="BL563" i="338" s="1"/>
  <c r="BM562" i="338"/>
  <c r="BM563" i="338" s="1"/>
  <c r="BM636" i="338" s="1"/>
  <c r="BO562" i="338"/>
  <c r="BO563" i="338" s="1"/>
  <c r="BQ562" i="338"/>
  <c r="BQ563" i="338" s="1"/>
  <c r="BR562" i="338"/>
  <c r="BR563" i="338" s="1"/>
  <c r="BS562" i="338"/>
  <c r="BS563" i="338" s="1"/>
  <c r="BS636" i="338" s="1"/>
  <c r="BU562" i="338"/>
  <c r="BU563" i="338" s="1"/>
  <c r="BW562" i="338"/>
  <c r="BW563" i="338" s="1"/>
  <c r="BX562" i="338"/>
  <c r="BX563" i="338" s="1"/>
  <c r="BY562" i="338"/>
  <c r="BY563" i="338" s="1"/>
  <c r="CA562" i="338"/>
  <c r="CA563" i="338" s="1"/>
  <c r="CC562" i="338"/>
  <c r="CC563" i="338" s="1"/>
  <c r="CD562" i="338"/>
  <c r="CD563" i="338" s="1"/>
  <c r="CE562" i="338"/>
  <c r="CE563" i="338" s="1"/>
  <c r="CG562" i="338"/>
  <c r="CG563" i="338" s="1"/>
  <c r="CI562" i="338"/>
  <c r="CI563" i="338" s="1"/>
  <c r="CJ562" i="338"/>
  <c r="CJ563" i="338" s="1"/>
  <c r="CK562" i="338"/>
  <c r="CK563" i="338" s="1"/>
  <c r="CM562" i="338"/>
  <c r="CM563" i="338" s="1"/>
  <c r="CO562" i="338"/>
  <c r="CO563" i="338" s="1"/>
  <c r="CP562" i="338"/>
  <c r="CP563" i="338"/>
  <c r="CQ562" i="338"/>
  <c r="CQ563" i="338" s="1"/>
  <c r="CQ565" i="338" s="1"/>
  <c r="CS562" i="338"/>
  <c r="CS563" i="338" s="1"/>
  <c r="CU562" i="338"/>
  <c r="CU563" i="338" s="1"/>
  <c r="CV562" i="338"/>
  <c r="CV563" i="338" s="1"/>
  <c r="CW562" i="338"/>
  <c r="CW563" i="338" s="1"/>
  <c r="CY562" i="338"/>
  <c r="CY563" i="338" s="1"/>
  <c r="DA562" i="338"/>
  <c r="DA563" i="338" s="1"/>
  <c r="DB562" i="338"/>
  <c r="DB563" i="338" s="1"/>
  <c r="DC562" i="338"/>
  <c r="DC563" i="338" s="1"/>
  <c r="DE562" i="338"/>
  <c r="DE563" i="338" s="1"/>
  <c r="DG562" i="338"/>
  <c r="DG563" i="338" s="1"/>
  <c r="DH562" i="338"/>
  <c r="DH563" i="338" s="1"/>
  <c r="DI562" i="338"/>
  <c r="DI563" i="338" s="1"/>
  <c r="DK562" i="338"/>
  <c r="DK563" i="338" s="1"/>
  <c r="DM562" i="338"/>
  <c r="DM563" i="338" s="1"/>
  <c r="DN562" i="338"/>
  <c r="DN563" i="338" s="1"/>
  <c r="DO562" i="338"/>
  <c r="DO563" i="338" s="1"/>
  <c r="DQ562" i="338"/>
  <c r="DQ563" i="338" s="1"/>
  <c r="DT562" i="338"/>
  <c r="DT563" i="338" s="1"/>
  <c r="DU562" i="338"/>
  <c r="DU563" i="338" s="1"/>
  <c r="DW562" i="338"/>
  <c r="DW563" i="338" s="1"/>
  <c r="DD566" i="338"/>
  <c r="DJ566" i="338"/>
  <c r="DP566" i="338"/>
  <c r="DV566" i="338"/>
  <c r="DD567" i="338"/>
  <c r="DJ567" i="338"/>
  <c r="DP567" i="338"/>
  <c r="DV567" i="338"/>
  <c r="DD568" i="338"/>
  <c r="DJ568" i="338"/>
  <c r="DP568" i="338"/>
  <c r="DV568" i="338"/>
  <c r="DC569" i="338"/>
  <c r="DC570" i="338" s="1"/>
  <c r="DE569" i="338"/>
  <c r="DE570" i="338" s="1"/>
  <c r="CY570" i="338" s="1"/>
  <c r="DG569" i="338"/>
  <c r="DG570" i="338" s="1"/>
  <c r="DH569" i="338"/>
  <c r="DH570" i="338" s="1"/>
  <c r="DI569" i="338"/>
  <c r="DI570" i="338" s="1"/>
  <c r="DK569" i="338"/>
  <c r="DK570" i="338" s="1"/>
  <c r="DM569" i="338"/>
  <c r="DM570" i="338" s="1"/>
  <c r="DN569" i="338"/>
  <c r="DN570" i="338" s="1"/>
  <c r="DO569" i="338"/>
  <c r="DO570" i="338" s="1"/>
  <c r="DQ569" i="338"/>
  <c r="DQ570" i="338" s="1"/>
  <c r="DS569" i="338"/>
  <c r="DS570" i="338" s="1"/>
  <c r="DT569" i="338"/>
  <c r="DT570" i="338" s="1"/>
  <c r="DU569" i="338"/>
  <c r="DU570" i="338" s="1"/>
  <c r="DW569" i="338"/>
  <c r="DW570" i="338" s="1"/>
  <c r="DD573" i="338"/>
  <c r="DJ573" i="338"/>
  <c r="DP573" i="338"/>
  <c r="DV573" i="338"/>
  <c r="DD574" i="338"/>
  <c r="DJ574" i="338"/>
  <c r="DP574" i="338"/>
  <c r="DV574" i="338"/>
  <c r="DC575" i="338"/>
  <c r="DC576" i="338" s="1"/>
  <c r="CW576" i="338" s="1"/>
  <c r="DE575" i="338"/>
  <c r="DE576" i="338" s="1"/>
  <c r="DG575" i="338"/>
  <c r="DG576" i="338" s="1"/>
  <c r="DH575" i="338"/>
  <c r="DH576" i="338" s="1"/>
  <c r="DI575" i="338"/>
  <c r="DI576" i="338" s="1"/>
  <c r="DI578" i="338" s="1"/>
  <c r="DK575" i="338"/>
  <c r="DK576" i="338" s="1"/>
  <c r="DM575" i="338"/>
  <c r="DM576" i="338" s="1"/>
  <c r="DN575" i="338"/>
  <c r="DN576" i="338" s="1"/>
  <c r="DO575" i="338"/>
  <c r="DO576" i="338" s="1"/>
  <c r="DQ575" i="338"/>
  <c r="DQ576" i="338" s="1"/>
  <c r="DS575" i="338"/>
  <c r="DS576" i="338" s="1"/>
  <c r="DT575" i="338"/>
  <c r="DT576" i="338" s="1"/>
  <c r="DU575" i="338"/>
  <c r="DU576" i="338" s="1"/>
  <c r="DW575" i="338"/>
  <c r="DW576" i="338" s="1"/>
  <c r="BH585" i="338"/>
  <c r="BN585" i="338"/>
  <c r="BT585" i="338"/>
  <c r="BZ585" i="338"/>
  <c r="CF585" i="338"/>
  <c r="CL585" i="338"/>
  <c r="CR585" i="338"/>
  <c r="CX585" i="338"/>
  <c r="DD585" i="338"/>
  <c r="DJ585" i="338"/>
  <c r="DP585" i="338"/>
  <c r="DV585" i="338"/>
  <c r="BH586" i="338"/>
  <c r="BN586" i="338"/>
  <c r="BT586" i="338"/>
  <c r="BZ586" i="338"/>
  <c r="CF586" i="338"/>
  <c r="CL586" i="338"/>
  <c r="CR586" i="338"/>
  <c r="CX586" i="338"/>
  <c r="DD586" i="338"/>
  <c r="DJ586" i="338"/>
  <c r="BC587" i="338"/>
  <c r="BC588" i="338" s="1"/>
  <c r="BE587" i="338"/>
  <c r="BE588" i="338"/>
  <c r="BF587" i="338"/>
  <c r="BF588" i="338" s="1"/>
  <c r="BG587" i="338"/>
  <c r="BG588" i="338" s="1"/>
  <c r="BI587" i="338"/>
  <c r="BI588" i="338" s="1"/>
  <c r="BK587" i="338"/>
  <c r="BK588" i="338" s="1"/>
  <c r="BL587" i="338"/>
  <c r="BL588" i="338" s="1"/>
  <c r="BL660" i="338" s="1"/>
  <c r="BM587" i="338"/>
  <c r="BM588" i="338" s="1"/>
  <c r="BO587" i="338"/>
  <c r="BO588" i="338" s="1"/>
  <c r="BQ587" i="338"/>
  <c r="BQ588" i="338" s="1"/>
  <c r="BR587" i="338"/>
  <c r="BR588" i="338" s="1"/>
  <c r="BS587" i="338"/>
  <c r="BS588" i="338" s="1"/>
  <c r="BU587" i="338"/>
  <c r="BU588" i="338" s="1"/>
  <c r="BU660" i="338" s="1"/>
  <c r="BW587" i="338"/>
  <c r="BW588" i="338" s="1"/>
  <c r="BX587" i="338"/>
  <c r="BX588" i="338" s="1"/>
  <c r="BY587" i="338"/>
  <c r="BY588" i="338" s="1"/>
  <c r="CA587" i="338"/>
  <c r="CA588" i="338" s="1"/>
  <c r="CC587" i="338"/>
  <c r="CC588" i="338" s="1"/>
  <c r="CD587" i="338"/>
  <c r="CD588" i="338" s="1"/>
  <c r="CE587" i="338"/>
  <c r="CE588" i="338" s="1"/>
  <c r="CG587" i="338"/>
  <c r="CG588" i="338" s="1"/>
  <c r="CI587" i="338"/>
  <c r="CI588" i="338" s="1"/>
  <c r="CJ587" i="338"/>
  <c r="CJ588" i="338" s="1"/>
  <c r="CK587" i="338"/>
  <c r="CK588" i="338"/>
  <c r="CM587" i="338"/>
  <c r="CO587" i="338"/>
  <c r="CO588" i="338" s="1"/>
  <c r="CP587" i="338"/>
  <c r="CP588" i="338" s="1"/>
  <c r="CQ587" i="338"/>
  <c r="CQ588" i="338" s="1"/>
  <c r="CS587" i="338"/>
  <c r="CS588" i="338" s="1"/>
  <c r="CU587" i="338"/>
  <c r="CU588" i="338" s="1"/>
  <c r="CV587" i="338"/>
  <c r="CV588" i="338" s="1"/>
  <c r="CW587" i="338"/>
  <c r="CW588" i="338" s="1"/>
  <c r="CY587" i="338"/>
  <c r="CY588" i="338" s="1"/>
  <c r="DA587" i="338"/>
  <c r="DA588" i="338" s="1"/>
  <c r="DB587" i="338"/>
  <c r="DB588" i="338" s="1"/>
  <c r="DC587" i="338"/>
  <c r="DC588" i="338" s="1"/>
  <c r="DE587" i="338"/>
  <c r="DE588" i="338" s="1"/>
  <c r="DE660" i="338" s="1"/>
  <c r="DG587" i="338"/>
  <c r="DG588" i="338" s="1"/>
  <c r="DH587" i="338"/>
  <c r="DH588" i="338" s="1"/>
  <c r="DI587" i="338"/>
  <c r="DI588" i="338"/>
  <c r="DK587" i="338"/>
  <c r="DK588" i="338" s="1"/>
  <c r="DM587" i="338"/>
  <c r="DM588" i="338" s="1"/>
  <c r="DN587" i="338"/>
  <c r="DN588" i="338"/>
  <c r="DO587" i="338"/>
  <c r="DO588" i="338" s="1"/>
  <c r="DT587" i="338"/>
  <c r="DT588" i="338" s="1"/>
  <c r="DU587" i="338"/>
  <c r="DU588" i="338" s="1"/>
  <c r="BH591" i="338"/>
  <c r="BN591" i="338"/>
  <c r="BT591" i="338"/>
  <c r="BZ591" i="338"/>
  <c r="CF591" i="338"/>
  <c r="CL591" i="338"/>
  <c r="CR591" i="338"/>
  <c r="CX591" i="338"/>
  <c r="DD591" i="338"/>
  <c r="DJ591" i="338"/>
  <c r="BH592" i="338"/>
  <c r="BN592" i="338"/>
  <c r="BT592" i="338"/>
  <c r="BZ592" i="338"/>
  <c r="CF592" i="338"/>
  <c r="CL592" i="338"/>
  <c r="CR592" i="338"/>
  <c r="CX592" i="338"/>
  <c r="DD592" i="338"/>
  <c r="DJ592" i="338"/>
  <c r="BC594" i="338"/>
  <c r="BC595" i="338" s="1"/>
  <c r="BE594" i="338"/>
  <c r="BE595" i="338" s="1"/>
  <c r="BF594" i="338"/>
  <c r="BF595" i="338" s="1"/>
  <c r="BG594" i="338"/>
  <c r="BG595" i="338" s="1"/>
  <c r="BI594" i="338"/>
  <c r="BI595" i="338" s="1"/>
  <c r="BK594" i="338"/>
  <c r="BK595" i="338" s="1"/>
  <c r="BL594" i="338"/>
  <c r="BL595" i="338" s="1"/>
  <c r="BM594" i="338"/>
  <c r="BM595" i="338" s="1"/>
  <c r="BO594" i="338"/>
  <c r="BO595" i="338" s="1"/>
  <c r="BQ594" i="338"/>
  <c r="BQ595" i="338" s="1"/>
  <c r="BR594" i="338"/>
  <c r="BR595" i="338" s="1"/>
  <c r="BS594" i="338"/>
  <c r="BS595" i="338" s="1"/>
  <c r="BU594" i="338"/>
  <c r="BU595" i="338" s="1"/>
  <c r="BW594" i="338"/>
  <c r="BW595" i="338" s="1"/>
  <c r="BX594" i="338"/>
  <c r="BX595" i="338" s="1"/>
  <c r="BY594" i="338"/>
  <c r="BY595" i="338" s="1"/>
  <c r="BY666" i="338" s="1"/>
  <c r="CA594" i="338"/>
  <c r="CA595" i="338" s="1"/>
  <c r="CC594" i="338"/>
  <c r="CC595" i="338" s="1"/>
  <c r="CD594" i="338"/>
  <c r="CD595" i="338" s="1"/>
  <c r="CE594" i="338"/>
  <c r="CE595" i="338" s="1"/>
  <c r="CE666" i="338" s="1"/>
  <c r="CG594" i="338"/>
  <c r="CG595" i="338" s="1"/>
  <c r="CI594" i="338"/>
  <c r="CI595" i="338" s="1"/>
  <c r="CJ594" i="338"/>
  <c r="CJ595" i="338" s="1"/>
  <c r="CK594" i="338"/>
  <c r="CK595" i="338" s="1"/>
  <c r="CM594" i="338"/>
  <c r="CM595" i="338" s="1"/>
  <c r="CM666" i="338" s="1"/>
  <c r="CO594" i="338"/>
  <c r="CO595" i="338" s="1"/>
  <c r="CP594" i="338"/>
  <c r="CP595" i="338" s="1"/>
  <c r="CQ594" i="338"/>
  <c r="CQ595" i="338" s="1"/>
  <c r="CS594" i="338"/>
  <c r="CS595" i="338" s="1"/>
  <c r="CU594" i="338"/>
  <c r="CU595" i="338"/>
  <c r="CV594" i="338"/>
  <c r="CV595" i="338" s="1"/>
  <c r="CW594" i="338"/>
  <c r="CW595" i="338" s="1"/>
  <c r="CY594" i="338"/>
  <c r="CY595" i="338" s="1"/>
  <c r="DA594" i="338"/>
  <c r="DA595" i="338" s="1"/>
  <c r="DB594" i="338"/>
  <c r="DB595" i="338" s="1"/>
  <c r="DC594" i="338"/>
  <c r="DC595" i="338" s="1"/>
  <c r="DE594" i="338"/>
  <c r="DE595" i="338" s="1"/>
  <c r="DE666" i="338" s="1"/>
  <c r="DG594" i="338"/>
  <c r="DG595" i="338" s="1"/>
  <c r="DM665" i="338" s="1"/>
  <c r="DM663" i="338" s="1"/>
  <c r="DH594" i="338"/>
  <c r="DH595" i="338" s="1"/>
  <c r="DI594" i="338"/>
  <c r="DI595" i="338" s="1"/>
  <c r="DK594" i="338"/>
  <c r="DK595" i="338" s="1"/>
  <c r="DQ666" i="338" s="1"/>
  <c r="BH598" i="338"/>
  <c r="BN598" i="338"/>
  <c r="BT598" i="338"/>
  <c r="BZ598" i="338"/>
  <c r="CF598" i="338"/>
  <c r="CL598" i="338"/>
  <c r="CR598" i="338"/>
  <c r="CX598" i="338"/>
  <c r="DD598" i="338"/>
  <c r="DJ598" i="338"/>
  <c r="BH599" i="338"/>
  <c r="BN599" i="338"/>
  <c r="BT599" i="338"/>
  <c r="BZ599" i="338"/>
  <c r="CF599" i="338"/>
  <c r="CL599" i="338"/>
  <c r="CR599" i="338"/>
  <c r="CX599" i="338"/>
  <c r="DD599" i="338"/>
  <c r="DJ599" i="338"/>
  <c r="BC600" i="338"/>
  <c r="BC601" i="338" s="1"/>
  <c r="BE600" i="338"/>
  <c r="BE601" i="338" s="1"/>
  <c r="BF600" i="338"/>
  <c r="BF601" i="338" s="1"/>
  <c r="BG600" i="338"/>
  <c r="BG601" i="338" s="1"/>
  <c r="BI600" i="338"/>
  <c r="BI601" i="338" s="1"/>
  <c r="BK600" i="338"/>
  <c r="BK601" i="338" s="1"/>
  <c r="BL600" i="338"/>
  <c r="BL601" i="338" s="1"/>
  <c r="BR671" i="338" s="1"/>
  <c r="BR669" i="338" s="1"/>
  <c r="BR675" i="338" s="1"/>
  <c r="BR683" i="338" s="1"/>
  <c r="BM600" i="338"/>
  <c r="BM601" i="338" s="1"/>
  <c r="BO600" i="338"/>
  <c r="BO601" i="338" s="1"/>
  <c r="BQ600" i="338"/>
  <c r="BQ601" i="338" s="1"/>
  <c r="BQ672" i="338" s="1"/>
  <c r="BR600" i="338"/>
  <c r="BR601" i="338" s="1"/>
  <c r="BS600" i="338"/>
  <c r="BS601" i="338" s="1"/>
  <c r="BS672" i="338" s="1"/>
  <c r="BU600" i="338"/>
  <c r="BU601" i="338" s="1"/>
  <c r="BW600" i="338"/>
  <c r="BW601" i="338" s="1"/>
  <c r="BW672" i="338" s="1"/>
  <c r="BX600" i="338"/>
  <c r="BX601" i="338" s="1"/>
  <c r="BX672" i="338" s="1"/>
  <c r="BY600" i="338"/>
  <c r="BY601" i="338" s="1"/>
  <c r="CA600" i="338"/>
  <c r="CA601" i="338" s="1"/>
  <c r="CC600" i="338"/>
  <c r="CC601" i="338" s="1"/>
  <c r="CD600" i="338"/>
  <c r="CD601" i="338" s="1"/>
  <c r="CD672" i="338" s="1"/>
  <c r="CE600" i="338"/>
  <c r="CE601" i="338" s="1"/>
  <c r="CG600" i="338"/>
  <c r="CG601" i="338" s="1"/>
  <c r="CI600" i="338"/>
  <c r="CI601" i="338" s="1"/>
  <c r="CI672" i="338" s="1"/>
  <c r="CJ600" i="338"/>
  <c r="CJ601" i="338" s="1"/>
  <c r="CK600" i="338"/>
  <c r="CK601" i="338" s="1"/>
  <c r="CM600" i="338"/>
  <c r="CM601" i="338" s="1"/>
  <c r="CM672" i="338" s="1"/>
  <c r="CO600" i="338"/>
  <c r="CO601" i="338" s="1"/>
  <c r="CP600" i="338"/>
  <c r="CP601" i="338" s="1"/>
  <c r="CQ600" i="338"/>
  <c r="CQ601" i="338" s="1"/>
  <c r="CS600" i="338"/>
  <c r="CS601" i="338" s="1"/>
  <c r="CU600" i="338"/>
  <c r="CU601" i="338" s="1"/>
  <c r="CV600" i="338"/>
  <c r="CV601" i="338" s="1"/>
  <c r="CW600" i="338"/>
  <c r="CW601" i="338" s="1"/>
  <c r="CY600" i="338"/>
  <c r="CY601" i="338" s="1"/>
  <c r="DA600" i="338"/>
  <c r="DA601" i="338" s="1"/>
  <c r="DB600" i="338"/>
  <c r="DB601" i="338" s="1"/>
  <c r="DC600" i="338"/>
  <c r="DC601" i="338" s="1"/>
  <c r="DE600" i="338"/>
  <c r="DE601" i="338" s="1"/>
  <c r="DG600" i="338"/>
  <c r="DG601" i="338" s="1"/>
  <c r="DG672" i="338" s="1"/>
  <c r="DH600" i="338"/>
  <c r="DH601" i="338"/>
  <c r="DN672" i="338" s="1"/>
  <c r="DI600" i="338"/>
  <c r="DI601" i="338" s="1"/>
  <c r="DK600" i="338"/>
  <c r="DK601" i="338" s="1"/>
  <c r="DQ672" i="338" s="1"/>
  <c r="BA604" i="338"/>
  <c r="BC604" i="338"/>
  <c r="BG604" i="338"/>
  <c r="BI604" i="338"/>
  <c r="BK604" i="338"/>
  <c r="BL604" i="338"/>
  <c r="BM604" i="338"/>
  <c r="BM658" i="338" s="1"/>
  <c r="BO604" i="338"/>
  <c r="BQ604" i="338"/>
  <c r="BR604" i="338"/>
  <c r="BS604" i="338"/>
  <c r="BU604" i="338"/>
  <c r="BW604" i="338"/>
  <c r="BW658" i="338" s="1"/>
  <c r="BX604" i="338"/>
  <c r="BX670" i="338" s="1"/>
  <c r="BY604" i="338"/>
  <c r="BY634" i="338" s="1"/>
  <c r="CA604" i="338"/>
  <c r="CC604" i="338"/>
  <c r="CC634" i="338"/>
  <c r="CD604" i="338"/>
  <c r="CE604" i="338"/>
  <c r="CG604" i="338"/>
  <c r="CI604" i="338"/>
  <c r="CJ604" i="338"/>
  <c r="CK604" i="338"/>
  <c r="CK658" i="338" s="1"/>
  <c r="CM604" i="338"/>
  <c r="CM670" i="338" s="1"/>
  <c r="CO604" i="338"/>
  <c r="CO664" i="338" s="1"/>
  <c r="CP604" i="338"/>
  <c r="CP658" i="338" s="1"/>
  <c r="CQ604" i="338"/>
  <c r="CQ664" i="338" s="1"/>
  <c r="CS604" i="338"/>
  <c r="CS664" i="338" s="1"/>
  <c r="CU604" i="338"/>
  <c r="CU634" i="338" s="1"/>
  <c r="CV604" i="338"/>
  <c r="CV664" i="338" s="1"/>
  <c r="CW604" i="338"/>
  <c r="CY604" i="338"/>
  <c r="CY658" i="338" s="1"/>
  <c r="DA604" i="338"/>
  <c r="DG658" i="338" s="1"/>
  <c r="DB604" i="338"/>
  <c r="DB658" i="338" s="1"/>
  <c r="DC604" i="338"/>
  <c r="DC670" i="338"/>
  <c r="DE604" i="338"/>
  <c r="DG604" i="338"/>
  <c r="DH604" i="338"/>
  <c r="DH640" i="338" s="1"/>
  <c r="DI604" i="338"/>
  <c r="DK604" i="338"/>
  <c r="DQ664" i="338" s="1"/>
  <c r="DM604" i="338"/>
  <c r="DM658" i="338" s="1"/>
  <c r="DN604" i="338"/>
  <c r="DO604" i="338"/>
  <c r="DO640" i="338" s="1"/>
  <c r="DS604" i="338"/>
  <c r="DY628" i="338" s="1"/>
  <c r="DT604" i="338"/>
  <c r="DT606" i="338" s="1"/>
  <c r="DT607" i="338" s="1"/>
  <c r="DZ635" i="338" s="1"/>
  <c r="DU604" i="338"/>
  <c r="BA605" i="338"/>
  <c r="BC605" i="338"/>
  <c r="BG605" i="338"/>
  <c r="BI605" i="338"/>
  <c r="BK605" i="338"/>
  <c r="BL605" i="338"/>
  <c r="BM605" i="338"/>
  <c r="BO605" i="338"/>
  <c r="BQ605" i="338"/>
  <c r="BR605" i="338"/>
  <c r="BS605" i="338"/>
  <c r="BU605" i="338"/>
  <c r="BW605" i="338"/>
  <c r="BX605" i="338"/>
  <c r="BY605" i="338"/>
  <c r="CA605" i="338"/>
  <c r="CC605" i="338"/>
  <c r="CD605" i="338"/>
  <c r="CE605" i="338"/>
  <c r="CG605" i="338"/>
  <c r="CI605" i="338"/>
  <c r="CJ605" i="338"/>
  <c r="CK605" i="338"/>
  <c r="CM605" i="338"/>
  <c r="CO605" i="338"/>
  <c r="CP605" i="338"/>
  <c r="CQ605" i="338"/>
  <c r="CS605" i="338"/>
  <c r="CU605" i="338"/>
  <c r="CV605" i="338"/>
  <c r="CW605" i="338"/>
  <c r="CY605" i="338"/>
  <c r="DA605" i="338"/>
  <c r="DB605" i="338"/>
  <c r="DC605" i="338"/>
  <c r="DE605" i="338"/>
  <c r="DG605" i="338"/>
  <c r="DH605" i="338"/>
  <c r="DI605" i="338"/>
  <c r="DK605" i="338"/>
  <c r="DM605" i="338"/>
  <c r="DN605" i="338"/>
  <c r="DO605" i="338"/>
  <c r="BY610" i="338"/>
  <c r="BY611" i="338"/>
  <c r="BA610" i="338"/>
  <c r="BE610" i="338"/>
  <c r="BF610" i="338"/>
  <c r="BG610" i="338"/>
  <c r="BK610" i="338"/>
  <c r="BL610" i="338"/>
  <c r="BM610" i="338"/>
  <c r="BQ610" i="338"/>
  <c r="BR610" i="338"/>
  <c r="BS610" i="338"/>
  <c r="BW610" i="338"/>
  <c r="BX610" i="338"/>
  <c r="CC610" i="338"/>
  <c r="CD610" i="338"/>
  <c r="CE610" i="338"/>
  <c r="CO610" i="338"/>
  <c r="CP610" i="338"/>
  <c r="CV610" i="338"/>
  <c r="DA610" i="338"/>
  <c r="DB610" i="338"/>
  <c r="DC610" i="338"/>
  <c r="DG610" i="338"/>
  <c r="DH610" i="338"/>
  <c r="DJ610" i="338"/>
  <c r="DO610" i="338"/>
  <c r="DT610" i="338"/>
  <c r="BA611" i="338"/>
  <c r="BE611" i="338"/>
  <c r="BF611" i="338"/>
  <c r="BG611" i="338"/>
  <c r="BK611" i="338"/>
  <c r="BL611" i="338"/>
  <c r="BM611" i="338"/>
  <c r="BQ611" i="338"/>
  <c r="BR611" i="338"/>
  <c r="BS611" i="338"/>
  <c r="CC611" i="338"/>
  <c r="CD611" i="338"/>
  <c r="CE611" i="338"/>
  <c r="CO611" i="338"/>
  <c r="CR611" i="338"/>
  <c r="CU611" i="338"/>
  <c r="DB611" i="338"/>
  <c r="DD611" i="338"/>
  <c r="DI611" i="338"/>
  <c r="DM611" i="338"/>
  <c r="DO611" i="338"/>
  <c r="DT611" i="338"/>
  <c r="DV611" i="338"/>
  <c r="A626" i="338"/>
  <c r="A632" i="338"/>
  <c r="A638" i="338"/>
  <c r="A644" i="338"/>
  <c r="A656" i="338"/>
  <c r="A662" i="338"/>
  <c r="DV666" i="338"/>
  <c r="A668" i="338"/>
  <c r="DT672" i="338"/>
  <c r="DU672" i="338"/>
  <c r="DV672" i="338"/>
  <c r="DW672" i="338"/>
  <c r="AW39" i="335"/>
  <c r="AW723" i="338" s="1"/>
  <c r="AW42" i="335"/>
  <c r="BC43" i="335" s="1"/>
  <c r="BC39" i="335"/>
  <c r="BC42" i="335"/>
  <c r="BI39" i="335"/>
  <c r="BI723" i="338" s="1"/>
  <c r="BI42" i="335"/>
  <c r="BO42" i="335"/>
  <c r="BO725" i="338" s="1"/>
  <c r="BZ725" i="338"/>
  <c r="CF725" i="338"/>
  <c r="CL725" i="338"/>
  <c r="CR723" i="338"/>
  <c r="CR725" i="338"/>
  <c r="CX723" i="338"/>
  <c r="CX725" i="338"/>
  <c r="DD723" i="338"/>
  <c r="DD725" i="338"/>
  <c r="DJ723" i="338"/>
  <c r="DJ725" i="338"/>
  <c r="DP725" i="338"/>
  <c r="BZ728" i="338"/>
  <c r="CR728" i="338"/>
  <c r="DJ728" i="338"/>
  <c r="DP728" i="338"/>
  <c r="DQ731" i="338"/>
  <c r="CA731" i="338"/>
  <c r="CF731" i="338"/>
  <c r="CL731" i="338"/>
  <c r="CR731" i="338"/>
  <c r="CX731" i="338"/>
  <c r="DD731" i="338"/>
  <c r="DJ731" i="338"/>
  <c r="DP731" i="338"/>
  <c r="DV731" i="338"/>
  <c r="BC737" i="338"/>
  <c r="BI737" i="338"/>
  <c r="BO737" i="338"/>
  <c r="BU737" i="338"/>
  <c r="CA737" i="338"/>
  <c r="CG737" i="338"/>
  <c r="CM737" i="338"/>
  <c r="AW743" i="338"/>
  <c r="BC743" i="338"/>
  <c r="CA104" i="335"/>
  <c r="CA743" i="338" s="1"/>
  <c r="CA746" i="338"/>
  <c r="BC751" i="338"/>
  <c r="BI751" i="338"/>
  <c r="BO751" i="338"/>
  <c r="BU751" i="338"/>
  <c r="CA751" i="338"/>
  <c r="CG751" i="338"/>
  <c r="CM751" i="338"/>
  <c r="CA759" i="338"/>
  <c r="CA138" i="335"/>
  <c r="CG138" i="335"/>
  <c r="CG768" i="338" s="1"/>
  <c r="DK138" i="335"/>
  <c r="DK768" i="338" s="1"/>
  <c r="CA772" i="338"/>
  <c r="CA780" i="338"/>
  <c r="A1" i="3"/>
  <c r="C57" i="3"/>
  <c r="C6" i="3" s="1"/>
  <c r="O57" i="3"/>
  <c r="O6" i="3" s="1"/>
  <c r="U57" i="3"/>
  <c r="U6" i="3" s="1"/>
  <c r="AA57" i="3"/>
  <c r="AA6" i="3" s="1"/>
  <c r="AG57" i="3"/>
  <c r="AG6" i="3" s="1"/>
  <c r="AM57" i="3"/>
  <c r="AM6" i="3" s="1"/>
  <c r="AS57" i="3"/>
  <c r="AS6" i="3" s="1"/>
  <c r="AY57" i="3"/>
  <c r="AY6" i="3" s="1"/>
  <c r="BE57" i="3"/>
  <c r="BE6" i="3" s="1"/>
  <c r="BK57" i="3"/>
  <c r="BK6" i="3" s="1"/>
  <c r="BQ57" i="3"/>
  <c r="BQ6" i="3" s="1"/>
  <c r="BW57" i="3"/>
  <c r="BW6" i="3" s="1"/>
  <c r="CC57" i="3"/>
  <c r="CC6" i="3" s="1"/>
  <c r="CI57" i="3"/>
  <c r="CI6" i="3" s="1"/>
  <c r="CO57" i="3"/>
  <c r="CO6" i="3" s="1"/>
  <c r="CU57" i="3"/>
  <c r="CU6" i="3" s="1"/>
  <c r="DA57" i="3"/>
  <c r="DA6" i="3" s="1"/>
  <c r="DG57" i="3"/>
  <c r="DG6" i="3" s="1"/>
  <c r="DM57" i="3"/>
  <c r="DM6" i="3" s="1"/>
  <c r="DS57" i="3"/>
  <c r="DS6" i="3" s="1"/>
  <c r="DY57" i="3"/>
  <c r="DY6" i="3" s="1"/>
  <c r="EE57" i="3"/>
  <c r="EE6" i="3" s="1"/>
  <c r="EQ6" i="3"/>
  <c r="C9" i="3"/>
  <c r="D9" i="3"/>
  <c r="E9" i="3"/>
  <c r="F9" i="3"/>
  <c r="G9" i="3"/>
  <c r="I9" i="3"/>
  <c r="J9" i="3"/>
  <c r="K9" i="3"/>
  <c r="U9" i="3"/>
  <c r="AA9" i="3"/>
  <c r="AM9" i="3"/>
  <c r="BQ9" i="3"/>
  <c r="BR60" i="3" s="1"/>
  <c r="BU9" i="3"/>
  <c r="CA9" i="3"/>
  <c r="CG9" i="3"/>
  <c r="CM9" i="3"/>
  <c r="CS9" i="3"/>
  <c r="CY9" i="3"/>
  <c r="DE9" i="3"/>
  <c r="DQ9" i="3"/>
  <c r="DW9" i="3"/>
  <c r="C12" i="3"/>
  <c r="D12" i="3"/>
  <c r="E12" i="3"/>
  <c r="E416" i="338" s="1"/>
  <c r="F12" i="3"/>
  <c r="F416" i="338"/>
  <c r="G12" i="3"/>
  <c r="G416" i="338" s="1"/>
  <c r="H12" i="3"/>
  <c r="I12" i="3"/>
  <c r="I416" i="338" s="1"/>
  <c r="J12" i="3"/>
  <c r="J416" i="338" s="1"/>
  <c r="K12" i="3"/>
  <c r="L12" i="3"/>
  <c r="M12" i="3"/>
  <c r="M416" i="338" s="1"/>
  <c r="U12" i="3"/>
  <c r="AA12" i="3"/>
  <c r="AM12" i="3"/>
  <c r="BU12" i="3"/>
  <c r="CA12" i="3"/>
  <c r="CG12" i="3"/>
  <c r="CM12" i="3"/>
  <c r="CS12" i="3"/>
  <c r="CS416" i="338" s="1"/>
  <c r="CY12" i="3"/>
  <c r="DE12" i="3"/>
  <c r="DK12" i="3"/>
  <c r="DK416" i="338" s="1"/>
  <c r="DQ12" i="3"/>
  <c r="DW12" i="3"/>
  <c r="CD13" i="3"/>
  <c r="CD64" i="3" s="1"/>
  <c r="CD180" i="336" s="1"/>
  <c r="CG13" i="3"/>
  <c r="CM13" i="3"/>
  <c r="CO13" i="3"/>
  <c r="CO64" i="3"/>
  <c r="CS13" i="3"/>
  <c r="CY13" i="3"/>
  <c r="DE13" i="3"/>
  <c r="DK13" i="3"/>
  <c r="DQ13" i="3"/>
  <c r="DW13" i="3"/>
  <c r="C14" i="3"/>
  <c r="D14" i="3"/>
  <c r="E14" i="3"/>
  <c r="F14" i="3"/>
  <c r="G14" i="3"/>
  <c r="H14" i="3"/>
  <c r="I14" i="3"/>
  <c r="J14" i="3"/>
  <c r="K14" i="3"/>
  <c r="L14" i="3"/>
  <c r="M14" i="3"/>
  <c r="O14" i="3"/>
  <c r="P14" i="3" s="1"/>
  <c r="Q14" i="3" s="1"/>
  <c r="R14" i="3" s="1"/>
  <c r="S14" i="3" s="1"/>
  <c r="U14" i="3"/>
  <c r="AA14" i="3"/>
  <c r="AB14" i="3" s="1"/>
  <c r="AM14" i="3"/>
  <c r="AN14" i="3" s="1"/>
  <c r="BQ14" i="3"/>
  <c r="BU14" i="3"/>
  <c r="CA14" i="3"/>
  <c r="CE14" i="3"/>
  <c r="CE25" i="3"/>
  <c r="CE51" i="3" s="1"/>
  <c r="CF14" i="3"/>
  <c r="CM14" i="3"/>
  <c r="CS14" i="3"/>
  <c r="CY14" i="3"/>
  <c r="DE14" i="3"/>
  <c r="DK14" i="3"/>
  <c r="DQ14" i="3"/>
  <c r="DW14" i="3"/>
  <c r="C15" i="3"/>
  <c r="D15" i="3"/>
  <c r="E15" i="3"/>
  <c r="F15" i="3"/>
  <c r="G15" i="3"/>
  <c r="H15" i="3"/>
  <c r="I15" i="3"/>
  <c r="J15" i="3"/>
  <c r="K15" i="3"/>
  <c r="L15" i="3"/>
  <c r="M15" i="3"/>
  <c r="O15" i="3"/>
  <c r="U15" i="3"/>
  <c r="V15" i="3" s="1"/>
  <c r="W15" i="3" s="1"/>
  <c r="X15" i="3" s="1"/>
  <c r="Y15" i="3" s="1"/>
  <c r="AA15" i="3"/>
  <c r="AB15" i="3" s="1"/>
  <c r="AC15" i="3" s="1"/>
  <c r="AD15" i="3" s="1"/>
  <c r="AE15" i="3" s="1"/>
  <c r="AG15" i="3"/>
  <c r="AH15" i="3" s="1"/>
  <c r="AI15" i="3" s="1"/>
  <c r="AJ15" i="3" s="1"/>
  <c r="AK15" i="3" s="1"/>
  <c r="AM15" i="3"/>
  <c r="AN15" i="3" s="1"/>
  <c r="BQ15" i="3"/>
  <c r="BR66" i="3" s="1"/>
  <c r="BU15" i="3"/>
  <c r="BZ15" i="3"/>
  <c r="CA15" i="3"/>
  <c r="CC15" i="3"/>
  <c r="CD15" i="3"/>
  <c r="CG15" i="3"/>
  <c r="CJ15" i="3"/>
  <c r="CK15" i="3"/>
  <c r="CL15" i="3"/>
  <c r="CM15" i="3"/>
  <c r="CP15" i="3"/>
  <c r="CP25" i="3" s="1"/>
  <c r="CP51" i="3" s="1"/>
  <c r="CS15" i="3"/>
  <c r="CV15" i="3"/>
  <c r="CW66" i="3" s="1"/>
  <c r="CY15" i="3"/>
  <c r="DI15" i="3"/>
  <c r="DI66" i="3" s="1"/>
  <c r="DK15" i="3"/>
  <c r="DQ15" i="3"/>
  <c r="DW15" i="3"/>
  <c r="EC15" i="3"/>
  <c r="C16" i="3"/>
  <c r="D16" i="3"/>
  <c r="E16" i="3"/>
  <c r="BU16" i="3"/>
  <c r="CA16" i="3"/>
  <c r="CF16" i="3"/>
  <c r="CG16" i="3"/>
  <c r="CI16" i="3"/>
  <c r="CJ16" i="3"/>
  <c r="CK16" i="3"/>
  <c r="CL16" i="3"/>
  <c r="CM16" i="3"/>
  <c r="CP16" i="3"/>
  <c r="CQ16" i="3"/>
  <c r="CQ25" i="3"/>
  <c r="CQ51" i="3" s="1"/>
  <c r="CR16" i="3"/>
  <c r="CS16" i="3"/>
  <c r="CU16" i="3"/>
  <c r="CV16" i="3"/>
  <c r="CW16" i="3"/>
  <c r="CW25" i="3"/>
  <c r="CW51" i="3" s="1"/>
  <c r="CX16" i="3"/>
  <c r="DA16" i="3"/>
  <c r="DB16" i="3"/>
  <c r="DB25" i="3"/>
  <c r="DC16" i="3"/>
  <c r="DD16" i="3"/>
  <c r="DE16" i="3"/>
  <c r="DG16" i="3"/>
  <c r="DG67" i="3"/>
  <c r="DH16" i="3"/>
  <c r="DI16" i="3"/>
  <c r="DJ16" i="3"/>
  <c r="DK16" i="3"/>
  <c r="DM16" i="3"/>
  <c r="DN16" i="3"/>
  <c r="DO16" i="3"/>
  <c r="DP16" i="3"/>
  <c r="DP25" i="3"/>
  <c r="DP51" i="3" s="1"/>
  <c r="DQ51" i="3" s="1"/>
  <c r="DS16" i="3"/>
  <c r="DT16" i="3"/>
  <c r="DU16" i="3"/>
  <c r="DU25" i="3"/>
  <c r="DU51" i="3" s="1"/>
  <c r="DV16" i="3"/>
  <c r="DW16" i="3"/>
  <c r="C19" i="3"/>
  <c r="D19" i="3"/>
  <c r="E19" i="3"/>
  <c r="BQ19" i="3"/>
  <c r="BR70" i="3" s="1"/>
  <c r="BT19" i="3"/>
  <c r="BZ19" i="3"/>
  <c r="CA19" i="3"/>
  <c r="CG19" i="3"/>
  <c r="CM19" i="3"/>
  <c r="CS19" i="3"/>
  <c r="CY19" i="3"/>
  <c r="DE19" i="3"/>
  <c r="DK19" i="3"/>
  <c r="DQ19" i="3"/>
  <c r="DW19" i="3"/>
  <c r="DE20" i="3"/>
  <c r="DK20" i="3"/>
  <c r="DQ20" i="3"/>
  <c r="DW20" i="3"/>
  <c r="C21" i="3"/>
  <c r="D21" i="3"/>
  <c r="E21" i="3"/>
  <c r="F21" i="3"/>
  <c r="G21" i="3"/>
  <c r="O21" i="3"/>
  <c r="BQ21" i="3"/>
  <c r="BR72" i="3"/>
  <c r="BU21" i="3"/>
  <c r="CA21" i="3"/>
  <c r="CG21" i="3"/>
  <c r="CM21" i="3"/>
  <c r="CS21" i="3"/>
  <c r="CY21" i="3"/>
  <c r="DE21" i="3"/>
  <c r="DK21" i="3"/>
  <c r="DQ21" i="3"/>
  <c r="DW21" i="3"/>
  <c r="C22" i="3"/>
  <c r="D22" i="3"/>
  <c r="E22" i="3"/>
  <c r="F22" i="3"/>
  <c r="G22" i="3"/>
  <c r="I22" i="3"/>
  <c r="J22" i="3"/>
  <c r="K22" i="3"/>
  <c r="L22" i="3"/>
  <c r="M22" i="3"/>
  <c r="U22" i="3"/>
  <c r="AA22" i="3"/>
  <c r="BQ22" i="3"/>
  <c r="BR73" i="3" s="1"/>
  <c r="BU22" i="3"/>
  <c r="CA22" i="3"/>
  <c r="CG22" i="3"/>
  <c r="CM22" i="3"/>
  <c r="CS22" i="3"/>
  <c r="CY22" i="3"/>
  <c r="DE22" i="3"/>
  <c r="DK22" i="3"/>
  <c r="DQ22" i="3"/>
  <c r="DW22" i="3"/>
  <c r="C23" i="3"/>
  <c r="D23" i="3"/>
  <c r="E23" i="3"/>
  <c r="F23" i="3"/>
  <c r="H23" i="3"/>
  <c r="L23" i="3"/>
  <c r="M23" i="3"/>
  <c r="U23" i="3"/>
  <c r="AA23" i="3"/>
  <c r="AM23" i="3"/>
  <c r="BQ23" i="3"/>
  <c r="BR74" i="3"/>
  <c r="BU23" i="3"/>
  <c r="CA23" i="3"/>
  <c r="CG23" i="3"/>
  <c r="CM23" i="3"/>
  <c r="CS23" i="3"/>
  <c r="CY23" i="3"/>
  <c r="DE23" i="3"/>
  <c r="DK23" i="3"/>
  <c r="DQ23" i="3"/>
  <c r="DW23" i="3"/>
  <c r="C24" i="3"/>
  <c r="D24" i="3"/>
  <c r="E24" i="3"/>
  <c r="BQ24" i="3"/>
  <c r="BR24" i="3"/>
  <c r="BR25" i="3"/>
  <c r="BR51" i="3" s="1"/>
  <c r="BS24" i="3"/>
  <c r="BT24" i="3"/>
  <c r="BU24" i="3"/>
  <c r="BW24" i="3"/>
  <c r="BW25" i="3"/>
  <c r="BX24" i="3"/>
  <c r="BY24" i="3"/>
  <c r="BZ24" i="3"/>
  <c r="BZ75" i="3"/>
  <c r="CG24" i="3"/>
  <c r="CM24" i="3"/>
  <c r="CO24" i="3"/>
  <c r="CP24" i="3"/>
  <c r="CS24" i="3"/>
  <c r="CY24" i="3"/>
  <c r="DE24" i="3"/>
  <c r="DK24" i="3"/>
  <c r="DM24" i="3"/>
  <c r="DM25" i="3"/>
  <c r="DQ24" i="3"/>
  <c r="DW24" i="3"/>
  <c r="E25" i="3"/>
  <c r="BS25" i="3"/>
  <c r="BS51" i="3" s="1"/>
  <c r="CC25" i="3"/>
  <c r="CC51" i="3" s="1"/>
  <c r="CC87" i="3" s="1"/>
  <c r="CJ25" i="3"/>
  <c r="CJ51" i="3" s="1"/>
  <c r="CU25" i="3"/>
  <c r="CU51" i="3" s="1"/>
  <c r="CU87" i="3" s="1"/>
  <c r="DA25" i="3"/>
  <c r="DA51" i="3" s="1"/>
  <c r="DA87" i="3" s="1"/>
  <c r="DH25" i="3"/>
  <c r="DH51" i="3" s="1"/>
  <c r="DN25" i="3"/>
  <c r="DN51" i="3" s="1"/>
  <c r="DO25" i="3"/>
  <c r="DO51" i="3" s="1"/>
  <c r="DS25" i="3"/>
  <c r="DT25" i="3"/>
  <c r="DT51" i="3" s="1"/>
  <c r="DY25" i="3"/>
  <c r="BU28" i="3"/>
  <c r="CA28" i="3"/>
  <c r="CD28" i="3"/>
  <c r="CE28" i="3"/>
  <c r="CE33" i="3"/>
  <c r="CF28" i="3"/>
  <c r="CG28" i="3"/>
  <c r="CJ28" i="3"/>
  <c r="CK28" i="3"/>
  <c r="CL28" i="3"/>
  <c r="CM28" i="3"/>
  <c r="CS28" i="3"/>
  <c r="CY28" i="3"/>
  <c r="DE28" i="3"/>
  <c r="DK28" i="3"/>
  <c r="DQ28" i="3"/>
  <c r="DW28" i="3"/>
  <c r="C29" i="3"/>
  <c r="D29" i="3"/>
  <c r="E29" i="3"/>
  <c r="F29" i="3"/>
  <c r="G29" i="3"/>
  <c r="H29" i="3"/>
  <c r="I29" i="3"/>
  <c r="J29" i="3"/>
  <c r="K29" i="3"/>
  <c r="L29" i="3"/>
  <c r="M29" i="3"/>
  <c r="O29" i="3"/>
  <c r="U29" i="3"/>
  <c r="AA29" i="3"/>
  <c r="AM29" i="3"/>
  <c r="AY29" i="3"/>
  <c r="BE29" i="3"/>
  <c r="BK29" i="3"/>
  <c r="BQ29" i="3"/>
  <c r="BR81" i="3"/>
  <c r="BU29" i="3"/>
  <c r="CA29" i="3"/>
  <c r="CG29" i="3"/>
  <c r="CM29" i="3"/>
  <c r="CO29" i="3"/>
  <c r="CS29" i="3"/>
  <c r="CY29" i="3"/>
  <c r="DE29" i="3"/>
  <c r="DK29" i="3"/>
  <c r="DQ29" i="3"/>
  <c r="DU29" i="3"/>
  <c r="DW29" i="3"/>
  <c r="C30" i="3"/>
  <c r="D30" i="3"/>
  <c r="E30" i="3"/>
  <c r="F30" i="3"/>
  <c r="G30" i="3"/>
  <c r="H30" i="3"/>
  <c r="I30" i="3"/>
  <c r="J30" i="3"/>
  <c r="K30" i="3"/>
  <c r="L30" i="3"/>
  <c r="M30" i="3"/>
  <c r="O30" i="3"/>
  <c r="P30" i="3" s="1"/>
  <c r="Q30" i="3" s="1"/>
  <c r="AA30" i="3"/>
  <c r="AB30" i="3" s="1"/>
  <c r="AC30" i="3" s="1"/>
  <c r="AG30" i="3"/>
  <c r="AM30" i="3"/>
  <c r="AN30" i="3" s="1"/>
  <c r="AS30" i="3"/>
  <c r="BE30" i="3"/>
  <c r="BK30" i="3"/>
  <c r="BQ30" i="3"/>
  <c r="BR82" i="3" s="1"/>
  <c r="BU30" i="3"/>
  <c r="CA30" i="3"/>
  <c r="CG30" i="3"/>
  <c r="CM30" i="3"/>
  <c r="CS30" i="3"/>
  <c r="CY30" i="3"/>
  <c r="DE30" i="3"/>
  <c r="DK30" i="3"/>
  <c r="DQ30" i="3"/>
  <c r="DU30" i="3"/>
  <c r="DW30" i="3"/>
  <c r="C31" i="3"/>
  <c r="C418" i="338" s="1"/>
  <c r="D31" i="3"/>
  <c r="D418" i="338" s="1"/>
  <c r="F31" i="3"/>
  <c r="G31" i="3"/>
  <c r="G418" i="338" s="1"/>
  <c r="H31" i="3"/>
  <c r="H418" i="338" s="1"/>
  <c r="I31" i="3"/>
  <c r="J31" i="3"/>
  <c r="L31" i="3"/>
  <c r="L418" i="338" s="1"/>
  <c r="M31" i="3"/>
  <c r="M418" i="338" s="1"/>
  <c r="O31" i="3"/>
  <c r="U31" i="3"/>
  <c r="AM31" i="3"/>
  <c r="BQ31" i="3"/>
  <c r="BR83" i="3" s="1"/>
  <c r="BU31" i="3"/>
  <c r="CA31" i="3"/>
  <c r="CG31" i="3"/>
  <c r="CM31" i="3"/>
  <c r="CS31" i="3"/>
  <c r="CY31" i="3"/>
  <c r="CY418" i="338" s="1"/>
  <c r="DE31" i="3"/>
  <c r="DK31" i="3"/>
  <c r="DQ31" i="3"/>
  <c r="DQ418" i="338"/>
  <c r="DW31" i="3"/>
  <c r="DW418" i="338" s="1"/>
  <c r="C32" i="3"/>
  <c r="D32" i="3"/>
  <c r="E32" i="3"/>
  <c r="I32" i="3"/>
  <c r="J32" i="3"/>
  <c r="K32" i="3"/>
  <c r="BK32" i="3"/>
  <c r="BQ32" i="3"/>
  <c r="BT32" i="3"/>
  <c r="BU32" i="3"/>
  <c r="CA32" i="3"/>
  <c r="CC32" i="3"/>
  <c r="CD32" i="3"/>
  <c r="CG32" i="3"/>
  <c r="CJ32" i="3"/>
  <c r="CK32" i="3" s="1"/>
  <c r="CP32" i="3"/>
  <c r="CQ84" i="3" s="1"/>
  <c r="CS32" i="3"/>
  <c r="CY32" i="3"/>
  <c r="DC32" i="3"/>
  <c r="DC84" i="3" s="1"/>
  <c r="DH32" i="3"/>
  <c r="DI84" i="3" s="1"/>
  <c r="DK32" i="3"/>
  <c r="DN32" i="3"/>
  <c r="DO32" i="3" s="1"/>
  <c r="DQ32" i="3"/>
  <c r="DT32" i="3"/>
  <c r="DV32" i="3"/>
  <c r="DV33" i="3" s="1"/>
  <c r="DW33" i="3" s="1"/>
  <c r="DZ84" i="3"/>
  <c r="EB32" i="3"/>
  <c r="EB84" i="3" s="1"/>
  <c r="BR33" i="3"/>
  <c r="BS33" i="3"/>
  <c r="BW33" i="3"/>
  <c r="BX33" i="3"/>
  <c r="BY33" i="3"/>
  <c r="BZ33" i="3"/>
  <c r="CA33" i="3" s="1"/>
  <c r="CI33" i="3"/>
  <c r="CO33" i="3"/>
  <c r="CQ33" i="3"/>
  <c r="CR33" i="3"/>
  <c r="CS33" i="3" s="1"/>
  <c r="CU33" i="3"/>
  <c r="CV33" i="3"/>
  <c r="CW33" i="3"/>
  <c r="CX33" i="3"/>
  <c r="CY33" i="3" s="1"/>
  <c r="DA33" i="3"/>
  <c r="DB33" i="3"/>
  <c r="DG33" i="3"/>
  <c r="DI33" i="3"/>
  <c r="DJ33" i="3"/>
  <c r="DK33" i="3" s="1"/>
  <c r="DM33" i="3"/>
  <c r="DP33" i="3"/>
  <c r="DQ33" i="3" s="1"/>
  <c r="DS33" i="3"/>
  <c r="DY33" i="3"/>
  <c r="C36" i="3"/>
  <c r="D36" i="3"/>
  <c r="L36" i="3"/>
  <c r="U36" i="3"/>
  <c r="AA36" i="3"/>
  <c r="AG36" i="3"/>
  <c r="AY36" i="3"/>
  <c r="BE36" i="3"/>
  <c r="BK36" i="3"/>
  <c r="BQ36" i="3"/>
  <c r="BR90" i="3" s="1"/>
  <c r="BS36" i="3"/>
  <c r="BS41" i="3"/>
  <c r="BU36" i="3"/>
  <c r="CA36" i="3"/>
  <c r="CG36" i="3"/>
  <c r="CM36" i="3"/>
  <c r="CS36" i="3"/>
  <c r="CY36" i="3"/>
  <c r="DE36" i="3"/>
  <c r="DK36" i="3"/>
  <c r="DQ36" i="3"/>
  <c r="DU36" i="3"/>
  <c r="DW36" i="3"/>
  <c r="CY37" i="3"/>
  <c r="DE37" i="3"/>
  <c r="DK37" i="3"/>
  <c r="DQ37" i="3"/>
  <c r="DU37" i="3"/>
  <c r="DW37" i="3"/>
  <c r="C38" i="3"/>
  <c r="D38" i="3"/>
  <c r="I38" i="3"/>
  <c r="J38" i="3"/>
  <c r="K38" i="3"/>
  <c r="BK38" i="3"/>
  <c r="BQ38" i="3"/>
  <c r="BU38" i="3"/>
  <c r="CA38" i="3"/>
  <c r="CG38" i="3"/>
  <c r="CM38" i="3"/>
  <c r="CS38" i="3"/>
  <c r="CY38" i="3"/>
  <c r="DE38" i="3"/>
  <c r="DK38" i="3"/>
  <c r="DQ38" i="3"/>
  <c r="DU38" i="3"/>
  <c r="DV38" i="3"/>
  <c r="DW38" i="3"/>
  <c r="BI39" i="3"/>
  <c r="BK39" i="3"/>
  <c r="BL39" i="3" s="1"/>
  <c r="BM39" i="3" s="1"/>
  <c r="BU39" i="3"/>
  <c r="BY39" i="3"/>
  <c r="BZ39" i="3"/>
  <c r="CA39" i="3"/>
  <c r="CC39" i="3"/>
  <c r="CD39" i="3"/>
  <c r="CE39" i="3"/>
  <c r="CE41" i="3"/>
  <c r="CF39" i="3"/>
  <c r="CG39" i="3"/>
  <c r="CL39" i="3"/>
  <c r="CR39" i="3"/>
  <c r="CS39" i="3"/>
  <c r="CY39" i="3"/>
  <c r="DC39" i="3"/>
  <c r="DD39" i="3"/>
  <c r="DE39" i="3"/>
  <c r="DG39" i="3"/>
  <c r="DH39" i="3"/>
  <c r="DI39" i="3"/>
  <c r="DJ39" i="3"/>
  <c r="DK39" i="3"/>
  <c r="DP39" i="3"/>
  <c r="DQ39" i="3"/>
  <c r="DS39" i="3"/>
  <c r="DT39" i="3"/>
  <c r="DU39" i="3"/>
  <c r="DV39" i="3"/>
  <c r="DW39" i="3"/>
  <c r="BK40" i="3"/>
  <c r="BU40" i="3"/>
  <c r="CA40" i="3"/>
  <c r="CG40" i="3"/>
  <c r="CI40" i="3"/>
  <c r="CJ40" i="3"/>
  <c r="CJ41" i="3"/>
  <c r="CK40" i="3"/>
  <c r="CK41" i="3"/>
  <c r="CL40" i="3"/>
  <c r="CM40" i="3"/>
  <c r="CO40" i="3"/>
  <c r="CO41" i="3"/>
  <c r="CP40" i="3"/>
  <c r="CP41" i="3"/>
  <c r="CQ40" i="3"/>
  <c r="CR40" i="3"/>
  <c r="CU40" i="3"/>
  <c r="CU41" i="3"/>
  <c r="CV40" i="3"/>
  <c r="CW40" i="3"/>
  <c r="CX40" i="3"/>
  <c r="CY40" i="3"/>
  <c r="DA40" i="3"/>
  <c r="DA41" i="3"/>
  <c r="DA45" i="3" s="1"/>
  <c r="DB40" i="3"/>
  <c r="DC40" i="3"/>
  <c r="DD40" i="3"/>
  <c r="DE40" i="3"/>
  <c r="DG40" i="3"/>
  <c r="DG94" i="3"/>
  <c r="DH40" i="3"/>
  <c r="DI40" i="3"/>
  <c r="DJ40" i="3"/>
  <c r="DK40" i="3"/>
  <c r="DM40" i="3"/>
  <c r="DM41" i="3"/>
  <c r="DN40" i="3"/>
  <c r="DN41" i="3"/>
  <c r="DO40" i="3"/>
  <c r="DP40" i="3"/>
  <c r="DS40" i="3"/>
  <c r="DS41" i="3"/>
  <c r="DS45" i="3" s="1"/>
  <c r="DT40" i="3"/>
  <c r="DU40" i="3"/>
  <c r="DV40" i="3"/>
  <c r="DW40" i="3"/>
  <c r="EM94" i="3"/>
  <c r="BR41" i="3"/>
  <c r="BT41" i="3"/>
  <c r="BW41" i="3"/>
  <c r="BX41" i="3"/>
  <c r="CC41" i="3"/>
  <c r="CF41" i="3"/>
  <c r="CQ41" i="3"/>
  <c r="CV41" i="3"/>
  <c r="CX41" i="3"/>
  <c r="DI41" i="3"/>
  <c r="DJ41" i="3"/>
  <c r="DO41" i="3"/>
  <c r="C43" i="3"/>
  <c r="D43" i="3"/>
  <c r="E43" i="3"/>
  <c r="F43" i="3"/>
  <c r="G43" i="3"/>
  <c r="H43" i="3"/>
  <c r="I43" i="3"/>
  <c r="J43" i="3"/>
  <c r="K43" i="3"/>
  <c r="L43" i="3"/>
  <c r="M43" i="3"/>
  <c r="O43" i="3"/>
  <c r="AA43" i="3"/>
  <c r="AM43" i="3"/>
  <c r="AY43" i="3"/>
  <c r="BE43" i="3"/>
  <c r="BK43" i="3"/>
  <c r="BQ43" i="3"/>
  <c r="BR97" i="3"/>
  <c r="BU43" i="3"/>
  <c r="CA43" i="3"/>
  <c r="CG43" i="3"/>
  <c r="CM43" i="3"/>
  <c r="CS43" i="3"/>
  <c r="CY43" i="3"/>
  <c r="DE43" i="3"/>
  <c r="DK43" i="3"/>
  <c r="DQ43" i="3"/>
  <c r="DW43" i="3"/>
  <c r="C47" i="3"/>
  <c r="D47" i="3"/>
  <c r="E101" i="3"/>
  <c r="E47" i="3" s="1"/>
  <c r="F47" i="3"/>
  <c r="G47" i="3"/>
  <c r="H47" i="3"/>
  <c r="I47" i="3"/>
  <c r="J47" i="3"/>
  <c r="K47" i="3"/>
  <c r="L47" i="3"/>
  <c r="M47" i="3"/>
  <c r="DC47" i="3"/>
  <c r="DD47" i="3" s="1"/>
  <c r="DE47" i="3" s="1"/>
  <c r="DS51" i="3"/>
  <c r="DS87" i="3" s="1"/>
  <c r="A53" i="3"/>
  <c r="H60" i="3"/>
  <c r="H9" i="3"/>
  <c r="L60" i="3"/>
  <c r="L9" i="3"/>
  <c r="M60" i="3"/>
  <c r="M9" i="3"/>
  <c r="O60" i="3"/>
  <c r="O9" i="3"/>
  <c r="V60" i="3"/>
  <c r="W60" i="3"/>
  <c r="X60" i="3" s="1"/>
  <c r="AB60" i="3"/>
  <c r="AC60" i="3"/>
  <c r="AD60" i="3" s="1"/>
  <c r="AG60" i="3"/>
  <c r="AN60" i="3"/>
  <c r="AO60" i="3" s="1"/>
  <c r="AS60" i="3"/>
  <c r="BS60" i="3"/>
  <c r="BT60" i="3"/>
  <c r="BX60" i="3"/>
  <c r="BY60" i="3"/>
  <c r="BZ60" i="3"/>
  <c r="CC60" i="3"/>
  <c r="CD60" i="3"/>
  <c r="CE60" i="3"/>
  <c r="CF60" i="3"/>
  <c r="CQ60" i="3"/>
  <c r="CR60" i="3"/>
  <c r="CU60" i="3"/>
  <c r="CV60" i="3"/>
  <c r="CW60" i="3"/>
  <c r="CX60" i="3"/>
  <c r="DA60" i="3"/>
  <c r="DB60" i="3"/>
  <c r="DC60" i="3"/>
  <c r="DD60" i="3"/>
  <c r="DI60" i="3"/>
  <c r="DM60" i="3"/>
  <c r="DN60" i="3"/>
  <c r="DO60" i="3"/>
  <c r="DP60" i="3"/>
  <c r="DS60" i="3"/>
  <c r="DT60" i="3"/>
  <c r="DU60" i="3"/>
  <c r="DV60" i="3"/>
  <c r="O63" i="3"/>
  <c r="P63" i="3"/>
  <c r="O12" i="3"/>
  <c r="V63" i="3"/>
  <c r="V384" i="335" s="1"/>
  <c r="AB63" i="3"/>
  <c r="AB384" i="335" s="1"/>
  <c r="AG63" i="3"/>
  <c r="AG12" i="3"/>
  <c r="AN63" i="3"/>
  <c r="AN384" i="335" s="1"/>
  <c r="AS63" i="3"/>
  <c r="BT384" i="335"/>
  <c r="DM63" i="3"/>
  <c r="DN63" i="3"/>
  <c r="DN384" i="335" s="1"/>
  <c r="DO63" i="3"/>
  <c r="DO384" i="335" s="1"/>
  <c r="DP63" i="3"/>
  <c r="DP384" i="335" s="1"/>
  <c r="DS63" i="3"/>
  <c r="DT63" i="3"/>
  <c r="DT384" i="335" s="1"/>
  <c r="DU63" i="3"/>
  <c r="DU384" i="335" s="1"/>
  <c r="DV63" i="3"/>
  <c r="DV384" i="335" s="1"/>
  <c r="BW64" i="3"/>
  <c r="CC64" i="3"/>
  <c r="CC180" i="336" s="1"/>
  <c r="CF64" i="3"/>
  <c r="CI64" i="3"/>
  <c r="CJ64" i="3"/>
  <c r="CK64" i="3"/>
  <c r="CL64" i="3"/>
  <c r="CP64" i="3"/>
  <c r="CQ64" i="3"/>
  <c r="CR64" i="3"/>
  <c r="CU64" i="3"/>
  <c r="CV64" i="3"/>
  <c r="CW64" i="3"/>
  <c r="CX64" i="3"/>
  <c r="DA64" i="3"/>
  <c r="DB64" i="3"/>
  <c r="DC64" i="3"/>
  <c r="DD64" i="3"/>
  <c r="DG64" i="3"/>
  <c r="DH64" i="3"/>
  <c r="DI64" i="3"/>
  <c r="DJ64" i="3"/>
  <c r="DJ180" i="336" s="1"/>
  <c r="DM64" i="3"/>
  <c r="DN64" i="3"/>
  <c r="DO64" i="3"/>
  <c r="DP64" i="3"/>
  <c r="DS64" i="3"/>
  <c r="DT64" i="3"/>
  <c r="DU64" i="3"/>
  <c r="DV64" i="3"/>
  <c r="S65" i="3"/>
  <c r="V65" i="3"/>
  <c r="W65" i="3" s="1"/>
  <c r="AC65" i="3"/>
  <c r="AG65" i="3"/>
  <c r="AH65" i="3"/>
  <c r="AO65" i="3"/>
  <c r="AO147" i="336" s="1"/>
  <c r="BR65" i="3"/>
  <c r="BR147" i="336"/>
  <c r="BR148" i="336" s="1"/>
  <c r="BS65" i="3"/>
  <c r="BS147" i="336" s="1"/>
  <c r="BT65" i="3"/>
  <c r="BX65" i="3"/>
  <c r="BX147" i="336"/>
  <c r="BX148" i="336" s="1"/>
  <c r="BY65" i="3"/>
  <c r="BY147" i="336" s="1"/>
  <c r="BZ65" i="3"/>
  <c r="CC65" i="3"/>
  <c r="CD65" i="3"/>
  <c r="CD147" i="336" s="1"/>
  <c r="CD148" i="336" s="1"/>
  <c r="CF65" i="3"/>
  <c r="CI65" i="3"/>
  <c r="CI147" i="336" s="1"/>
  <c r="CJ65" i="3"/>
  <c r="CK65" i="3"/>
  <c r="CK147" i="336" s="1"/>
  <c r="CL65" i="3"/>
  <c r="CL147" i="336" s="1"/>
  <c r="CL148" i="336" s="1"/>
  <c r="CO65" i="3"/>
  <c r="CO147" i="336" s="1"/>
  <c r="CP65" i="3"/>
  <c r="CQ65" i="3"/>
  <c r="CQ147" i="336" s="1"/>
  <c r="CQ148" i="336" s="1"/>
  <c r="CR65" i="3"/>
  <c r="CR147" i="336" s="1"/>
  <c r="CR148" i="336" s="1"/>
  <c r="CU65" i="3"/>
  <c r="CU147" i="336" s="1"/>
  <c r="CV65" i="3"/>
  <c r="CW65" i="3"/>
  <c r="CX65" i="3"/>
  <c r="CX147" i="336" s="1"/>
  <c r="DA65" i="3"/>
  <c r="DA147" i="336" s="1"/>
  <c r="DA148" i="336" s="1"/>
  <c r="DB65" i="3"/>
  <c r="DC65" i="3"/>
  <c r="DC147" i="336" s="1"/>
  <c r="DD65" i="3"/>
  <c r="DD147" i="336" s="1"/>
  <c r="DD148" i="336" s="1"/>
  <c r="DG65" i="3"/>
  <c r="DH65" i="3"/>
  <c r="DH147" i="336" s="1"/>
  <c r="DH148" i="336" s="1"/>
  <c r="DI65" i="3"/>
  <c r="DI147" i="336" s="1"/>
  <c r="DJ65" i="3"/>
  <c r="DJ147" i="336" s="1"/>
  <c r="DM65" i="3"/>
  <c r="DN65" i="3"/>
  <c r="DN147" i="336" s="1"/>
  <c r="DO65" i="3"/>
  <c r="DO147" i="336" s="1"/>
  <c r="DO148" i="336" s="1"/>
  <c r="DP65" i="3"/>
  <c r="DP147" i="336" s="1"/>
  <c r="DS65" i="3"/>
  <c r="DT65" i="3"/>
  <c r="DT147" i="336" s="1"/>
  <c r="DT148" i="336" s="1"/>
  <c r="DU65" i="3"/>
  <c r="DU147" i="336" s="1"/>
  <c r="DU148" i="336" s="1"/>
  <c r="DV65" i="3"/>
  <c r="DV147" i="336" s="1"/>
  <c r="S66" i="3"/>
  <c r="Y66" i="3"/>
  <c r="AE66" i="3"/>
  <c r="AK66" i="3"/>
  <c r="AO66" i="3"/>
  <c r="AP66" i="3" s="1"/>
  <c r="BS66" i="3"/>
  <c r="BT66" i="3"/>
  <c r="BX66" i="3"/>
  <c r="BY66" i="3"/>
  <c r="CC66" i="3"/>
  <c r="CD66" i="3"/>
  <c r="CE66" i="3"/>
  <c r="CF66" i="3"/>
  <c r="CI66" i="3"/>
  <c r="CJ66" i="3"/>
  <c r="CK66" i="3"/>
  <c r="CL66" i="3"/>
  <c r="CO66" i="3"/>
  <c r="CR66" i="3"/>
  <c r="CU66" i="3"/>
  <c r="CX66" i="3"/>
  <c r="DA66" i="3"/>
  <c r="DB66" i="3"/>
  <c r="DG66" i="3"/>
  <c r="DH66" i="3"/>
  <c r="DM66" i="3"/>
  <c r="DN66" i="3"/>
  <c r="DO66" i="3"/>
  <c r="DP66" i="3"/>
  <c r="DS66" i="3"/>
  <c r="DT66" i="3"/>
  <c r="DU66" i="3"/>
  <c r="DV66" i="3"/>
  <c r="DY66" i="3"/>
  <c r="EE66" i="3"/>
  <c r="F67" i="3"/>
  <c r="G67" i="3"/>
  <c r="H67" i="3"/>
  <c r="H16" i="3"/>
  <c r="I67" i="3"/>
  <c r="I16" i="3"/>
  <c r="J67" i="3"/>
  <c r="J16" i="3"/>
  <c r="K67" i="3"/>
  <c r="L67" i="3"/>
  <c r="L16" i="3"/>
  <c r="M67" i="3"/>
  <c r="M16" i="3"/>
  <c r="O67" i="3"/>
  <c r="O16" i="3"/>
  <c r="U67" i="3"/>
  <c r="AA67" i="3"/>
  <c r="AA16" i="3"/>
  <c r="AG67" i="3"/>
  <c r="AG16" i="3"/>
  <c r="AM67" i="3"/>
  <c r="AM16" i="3"/>
  <c r="AS67" i="3"/>
  <c r="AY67" i="3"/>
  <c r="BE67" i="3"/>
  <c r="BK67" i="3"/>
  <c r="BQ67" i="3"/>
  <c r="BS67" i="3"/>
  <c r="BT67" i="3"/>
  <c r="BX67" i="3"/>
  <c r="BY67" i="3"/>
  <c r="BZ67" i="3"/>
  <c r="CC67" i="3"/>
  <c r="CD67" i="3"/>
  <c r="CE67" i="3"/>
  <c r="CF67" i="3"/>
  <c r="CI67" i="3"/>
  <c r="CJ67" i="3"/>
  <c r="CK67" i="3"/>
  <c r="CO67" i="3"/>
  <c r="CP67" i="3"/>
  <c r="CQ67" i="3"/>
  <c r="CU67" i="3"/>
  <c r="DA67" i="3"/>
  <c r="DD67" i="3"/>
  <c r="DI67" i="3"/>
  <c r="DM67" i="3"/>
  <c r="DN67" i="3"/>
  <c r="DO67" i="3"/>
  <c r="DS67" i="3"/>
  <c r="DT67" i="3"/>
  <c r="F70" i="3"/>
  <c r="F19" i="3"/>
  <c r="G70" i="3"/>
  <c r="G19" i="3"/>
  <c r="H70" i="3"/>
  <c r="H19" i="3"/>
  <c r="I70" i="3"/>
  <c r="J70" i="3"/>
  <c r="J19" i="3"/>
  <c r="K70" i="3"/>
  <c r="K19" i="3"/>
  <c r="L70" i="3"/>
  <c r="L19" i="3"/>
  <c r="M70" i="3"/>
  <c r="O70" i="3"/>
  <c r="P70" i="3"/>
  <c r="Q70" i="3" s="1"/>
  <c r="O19" i="3"/>
  <c r="U70" i="3"/>
  <c r="U19" i="3"/>
  <c r="AA70" i="3"/>
  <c r="AA19" i="3"/>
  <c r="AG70" i="3"/>
  <c r="AM70" i="3"/>
  <c r="AM19" i="3"/>
  <c r="AS70" i="3"/>
  <c r="AY70" i="3"/>
  <c r="BE70" i="3"/>
  <c r="BS70" i="3"/>
  <c r="BX70" i="3"/>
  <c r="BY70" i="3"/>
  <c r="BZ70" i="3"/>
  <c r="CC70" i="3"/>
  <c r="CD70" i="3"/>
  <c r="CE70" i="3"/>
  <c r="CF70" i="3"/>
  <c r="CI70" i="3"/>
  <c r="CJ70" i="3"/>
  <c r="CK70" i="3"/>
  <c r="CL70" i="3"/>
  <c r="CO70" i="3"/>
  <c r="CP70" i="3"/>
  <c r="CQ70" i="3"/>
  <c r="CR70" i="3"/>
  <c r="CU70" i="3"/>
  <c r="CV70" i="3"/>
  <c r="CW70" i="3"/>
  <c r="CX70" i="3"/>
  <c r="DA70" i="3"/>
  <c r="DB70" i="3"/>
  <c r="DC70" i="3"/>
  <c r="DD70" i="3"/>
  <c r="DG70" i="3"/>
  <c r="DH70" i="3"/>
  <c r="DI70" i="3"/>
  <c r="DJ70" i="3"/>
  <c r="DM70" i="3"/>
  <c r="DN70" i="3"/>
  <c r="DO70" i="3"/>
  <c r="DP70" i="3"/>
  <c r="DS70" i="3"/>
  <c r="DT70" i="3"/>
  <c r="DU70" i="3"/>
  <c r="DV70" i="3"/>
  <c r="DA71" i="3"/>
  <c r="DB71" i="3"/>
  <c r="DC71" i="3"/>
  <c r="DD71" i="3"/>
  <c r="DG71" i="3"/>
  <c r="DH71" i="3"/>
  <c r="DI71" i="3"/>
  <c r="DJ71" i="3"/>
  <c r="DM71" i="3"/>
  <c r="DN71" i="3"/>
  <c r="DO71" i="3"/>
  <c r="DP71" i="3"/>
  <c r="DS71" i="3"/>
  <c r="DT71" i="3"/>
  <c r="DU71" i="3"/>
  <c r="DV71" i="3"/>
  <c r="H72" i="3"/>
  <c r="H21" i="3"/>
  <c r="I72" i="3"/>
  <c r="I21" i="3"/>
  <c r="J72" i="3"/>
  <c r="J21" i="3"/>
  <c r="K72" i="3"/>
  <c r="K21" i="3"/>
  <c r="L72" i="3"/>
  <c r="L21" i="3"/>
  <c r="M72" i="3"/>
  <c r="M21" i="3"/>
  <c r="P72" i="3"/>
  <c r="Q72" i="3" s="1"/>
  <c r="U72" i="3"/>
  <c r="V72" i="3"/>
  <c r="W72" i="3" s="1"/>
  <c r="U21" i="3"/>
  <c r="AA72" i="3"/>
  <c r="AA21" i="3"/>
  <c r="AG72" i="3"/>
  <c r="AG21" i="3"/>
  <c r="AM72" i="3"/>
  <c r="BE72" i="3"/>
  <c r="BS72" i="3"/>
  <c r="BT72" i="3"/>
  <c r="BX72" i="3"/>
  <c r="BY72" i="3"/>
  <c r="BZ72" i="3"/>
  <c r="CC72" i="3"/>
  <c r="CD72" i="3"/>
  <c r="CE72" i="3"/>
  <c r="CF72" i="3"/>
  <c r="CI72" i="3"/>
  <c r="CJ72" i="3"/>
  <c r="CK72" i="3"/>
  <c r="CL72" i="3"/>
  <c r="CO72" i="3"/>
  <c r="CP72" i="3"/>
  <c r="CQ72" i="3"/>
  <c r="CR72" i="3"/>
  <c r="CU72" i="3"/>
  <c r="CV72" i="3"/>
  <c r="CW72" i="3"/>
  <c r="CX72" i="3"/>
  <c r="DA72" i="3"/>
  <c r="DB72" i="3"/>
  <c r="DC72" i="3"/>
  <c r="DD72" i="3"/>
  <c r="DG72" i="3"/>
  <c r="DH72" i="3"/>
  <c r="DI72" i="3"/>
  <c r="DJ72" i="3"/>
  <c r="DM72" i="3"/>
  <c r="DN72" i="3"/>
  <c r="DO72" i="3"/>
  <c r="DP72" i="3"/>
  <c r="DS72" i="3"/>
  <c r="DT72" i="3"/>
  <c r="DU72" i="3"/>
  <c r="DV72" i="3"/>
  <c r="H73" i="3"/>
  <c r="H22" i="3"/>
  <c r="O73" i="3"/>
  <c r="V73" i="3"/>
  <c r="AB73" i="3"/>
  <c r="AG73" i="3"/>
  <c r="AH73" i="3"/>
  <c r="AM73" i="3"/>
  <c r="AN73" i="3"/>
  <c r="AY73" i="3"/>
  <c r="BE73" i="3"/>
  <c r="BS73" i="3"/>
  <c r="BT73" i="3"/>
  <c r="BX73" i="3"/>
  <c r="BY73" i="3"/>
  <c r="BZ73" i="3"/>
  <c r="CC73" i="3"/>
  <c r="CD73" i="3"/>
  <c r="CE73" i="3"/>
  <c r="CF73" i="3"/>
  <c r="CI73" i="3"/>
  <c r="CJ73" i="3"/>
  <c r="CK73" i="3"/>
  <c r="CL73" i="3"/>
  <c r="CO73" i="3"/>
  <c r="CP73" i="3"/>
  <c r="CQ73" i="3"/>
  <c r="CR73" i="3"/>
  <c r="CU73" i="3"/>
  <c r="CV73" i="3"/>
  <c r="CW73" i="3"/>
  <c r="CX73" i="3"/>
  <c r="DA73" i="3"/>
  <c r="DB73" i="3"/>
  <c r="DC73" i="3"/>
  <c r="DD73" i="3"/>
  <c r="DG73" i="3"/>
  <c r="DH73" i="3"/>
  <c r="DI73" i="3"/>
  <c r="DJ73" i="3"/>
  <c r="DM73" i="3"/>
  <c r="DN73" i="3"/>
  <c r="DO73" i="3"/>
  <c r="DP73" i="3"/>
  <c r="DS73" i="3"/>
  <c r="DT73" i="3"/>
  <c r="DU73" i="3"/>
  <c r="DV73" i="3"/>
  <c r="G74" i="3"/>
  <c r="G23" i="3"/>
  <c r="I74" i="3"/>
  <c r="I23" i="3"/>
  <c r="J74" i="3"/>
  <c r="K74" i="3"/>
  <c r="K23" i="3"/>
  <c r="O74" i="3"/>
  <c r="O23" i="3"/>
  <c r="V74" i="3"/>
  <c r="W74" i="3" s="1"/>
  <c r="AB74" i="3"/>
  <c r="AG74" i="3"/>
  <c r="AH74" i="3"/>
  <c r="AN74" i="3"/>
  <c r="AS74" i="3"/>
  <c r="AY74" i="3"/>
  <c r="BS74" i="3"/>
  <c r="BT74" i="3"/>
  <c r="BX74" i="3"/>
  <c r="BY74" i="3"/>
  <c r="BZ74" i="3"/>
  <c r="CC74" i="3"/>
  <c r="CD74" i="3"/>
  <c r="CE74" i="3"/>
  <c r="CF74" i="3"/>
  <c r="CI74" i="3"/>
  <c r="CJ74" i="3"/>
  <c r="CK74" i="3"/>
  <c r="CL74" i="3"/>
  <c r="CO74" i="3"/>
  <c r="CP74" i="3"/>
  <c r="CQ74" i="3"/>
  <c r="CR74" i="3"/>
  <c r="CU74" i="3"/>
  <c r="CU327" i="338"/>
  <c r="CV74" i="3"/>
  <c r="CW74" i="3"/>
  <c r="CX74" i="3"/>
  <c r="DA74" i="3"/>
  <c r="DB74" i="3"/>
  <c r="DC74" i="3"/>
  <c r="DD74" i="3"/>
  <c r="DG74" i="3"/>
  <c r="DH74" i="3"/>
  <c r="DI74" i="3"/>
  <c r="DJ74" i="3"/>
  <c r="DM74" i="3"/>
  <c r="DN74" i="3"/>
  <c r="DO74" i="3"/>
  <c r="DP74" i="3"/>
  <c r="DS74" i="3"/>
  <c r="DT74" i="3"/>
  <c r="DU74" i="3"/>
  <c r="DV74" i="3"/>
  <c r="F75" i="3"/>
  <c r="F24" i="3"/>
  <c r="G75" i="3"/>
  <c r="G24" i="3"/>
  <c r="H75" i="3"/>
  <c r="H24" i="3"/>
  <c r="I75" i="3"/>
  <c r="I24" i="3"/>
  <c r="J75" i="3"/>
  <c r="J24" i="3"/>
  <c r="K75" i="3"/>
  <c r="K24" i="3"/>
  <c r="L75" i="3"/>
  <c r="L24" i="3"/>
  <c r="M75" i="3"/>
  <c r="M24" i="3"/>
  <c r="O75" i="3"/>
  <c r="O24" i="3"/>
  <c r="U75" i="3"/>
  <c r="AA75" i="3"/>
  <c r="AA24" i="3"/>
  <c r="AG75" i="3"/>
  <c r="AH75" i="3"/>
  <c r="AG24" i="3"/>
  <c r="AM75" i="3"/>
  <c r="AM24" i="3"/>
  <c r="AS75" i="3"/>
  <c r="AY75" i="3"/>
  <c r="BS75" i="3"/>
  <c r="BT75" i="3"/>
  <c r="BW75" i="3"/>
  <c r="BX75" i="3"/>
  <c r="BY75" i="3"/>
  <c r="CC75" i="3"/>
  <c r="CD75" i="3"/>
  <c r="CE75" i="3"/>
  <c r="CF75" i="3"/>
  <c r="CI75" i="3"/>
  <c r="CJ75" i="3"/>
  <c r="CK75" i="3"/>
  <c r="CL75" i="3"/>
  <c r="CO75" i="3"/>
  <c r="CP75" i="3"/>
  <c r="CQ75" i="3"/>
  <c r="CR75" i="3"/>
  <c r="CU75" i="3"/>
  <c r="CV75" i="3"/>
  <c r="CW75" i="3"/>
  <c r="CX75" i="3"/>
  <c r="DA75" i="3"/>
  <c r="DB75" i="3"/>
  <c r="DC75" i="3"/>
  <c r="DD75" i="3"/>
  <c r="DG75" i="3"/>
  <c r="DH75" i="3"/>
  <c r="DI75" i="3"/>
  <c r="DJ75" i="3"/>
  <c r="DM75" i="3"/>
  <c r="DN75" i="3"/>
  <c r="DO75" i="3"/>
  <c r="DP75" i="3"/>
  <c r="DS75" i="3"/>
  <c r="DT75" i="3"/>
  <c r="DU75" i="3"/>
  <c r="DV75" i="3"/>
  <c r="C76" i="3"/>
  <c r="C373" i="335" s="1"/>
  <c r="D76" i="3"/>
  <c r="L76" i="3"/>
  <c r="L87" i="3" s="1"/>
  <c r="BK76" i="3"/>
  <c r="BK383" i="335" s="1"/>
  <c r="BQ80" i="3"/>
  <c r="BR80" i="3"/>
  <c r="BS80" i="3"/>
  <c r="BT80" i="3"/>
  <c r="BW80" i="3"/>
  <c r="BX80" i="3"/>
  <c r="BY80" i="3"/>
  <c r="BZ80" i="3"/>
  <c r="CC80" i="3"/>
  <c r="CD80" i="3"/>
  <c r="CE80" i="3"/>
  <c r="CF80" i="3"/>
  <c r="CJ80" i="3"/>
  <c r="CK80" i="3"/>
  <c r="CL80" i="3"/>
  <c r="CO80" i="3"/>
  <c r="CP80" i="3"/>
  <c r="CQ80" i="3"/>
  <c r="CR80" i="3"/>
  <c r="CU80" i="3"/>
  <c r="CV80" i="3"/>
  <c r="CW80" i="3"/>
  <c r="CX80" i="3"/>
  <c r="DA80" i="3"/>
  <c r="DB80" i="3"/>
  <c r="DC80" i="3"/>
  <c r="DD80" i="3"/>
  <c r="DG80" i="3"/>
  <c r="DH80" i="3"/>
  <c r="DI80" i="3"/>
  <c r="DJ80" i="3"/>
  <c r="DM80" i="3"/>
  <c r="DN80" i="3"/>
  <c r="DO80" i="3"/>
  <c r="DP80" i="3"/>
  <c r="DS80" i="3"/>
  <c r="DT80" i="3"/>
  <c r="DU80" i="3"/>
  <c r="DV80" i="3"/>
  <c r="EE80" i="3"/>
  <c r="P81" i="3"/>
  <c r="Q81" i="3" s="1"/>
  <c r="R81" i="3" s="1"/>
  <c r="V81" i="3"/>
  <c r="AB81" i="3"/>
  <c r="AC81" i="3" s="1"/>
  <c r="AD81" i="3" s="1"/>
  <c r="AG81" i="3"/>
  <c r="AG29" i="3"/>
  <c r="AH81" i="3"/>
  <c r="AI81" i="3"/>
  <c r="AJ81" i="3" s="1"/>
  <c r="AN81" i="3"/>
  <c r="AS81" i="3"/>
  <c r="AT81" i="3"/>
  <c r="AS29" i="3"/>
  <c r="AZ81" i="3"/>
  <c r="BA81" i="3" s="1"/>
  <c r="BF81" i="3"/>
  <c r="BL81" i="3"/>
  <c r="BS81" i="3"/>
  <c r="BT81" i="3"/>
  <c r="BX81" i="3"/>
  <c r="BY81" i="3"/>
  <c r="BZ81" i="3"/>
  <c r="CC81" i="3"/>
  <c r="CD81" i="3"/>
  <c r="CE81" i="3"/>
  <c r="CF81" i="3"/>
  <c r="CI81" i="3"/>
  <c r="CJ81" i="3"/>
  <c r="CK81" i="3"/>
  <c r="CL81" i="3"/>
  <c r="CO81" i="3"/>
  <c r="CP81" i="3"/>
  <c r="CQ81" i="3"/>
  <c r="CR81" i="3"/>
  <c r="CU81" i="3"/>
  <c r="CV81" i="3"/>
  <c r="CW81" i="3"/>
  <c r="CX81" i="3"/>
  <c r="DA81" i="3"/>
  <c r="DB81" i="3"/>
  <c r="DC81" i="3"/>
  <c r="DD81" i="3"/>
  <c r="DG81" i="3"/>
  <c r="DH81" i="3"/>
  <c r="DI81" i="3"/>
  <c r="DJ81" i="3"/>
  <c r="DM81" i="3"/>
  <c r="DN81" i="3"/>
  <c r="DO81" i="3"/>
  <c r="DP81" i="3"/>
  <c r="DS81" i="3"/>
  <c r="DT81" i="3"/>
  <c r="DU81" i="3"/>
  <c r="DV81" i="3"/>
  <c r="R82" i="3"/>
  <c r="S82" i="3" s="1"/>
  <c r="AD82" i="3"/>
  <c r="AH82" i="3"/>
  <c r="AO82" i="3"/>
  <c r="AT82" i="3"/>
  <c r="AU82" i="3" s="1"/>
  <c r="AY82" i="3"/>
  <c r="BF82" i="3"/>
  <c r="BG82" i="3" s="1"/>
  <c r="BH82" i="3" s="1"/>
  <c r="BL82" i="3"/>
  <c r="BS82" i="3"/>
  <c r="BT82" i="3"/>
  <c r="BX82" i="3"/>
  <c r="BY82" i="3"/>
  <c r="BZ82" i="3"/>
  <c r="CC82" i="3"/>
  <c r="CD82" i="3"/>
  <c r="CE82" i="3"/>
  <c r="CF82" i="3"/>
  <c r="CI82" i="3"/>
  <c r="CJ82" i="3"/>
  <c r="CK82" i="3"/>
  <c r="CL82" i="3"/>
  <c r="CO82" i="3"/>
  <c r="CP82" i="3"/>
  <c r="CQ82" i="3"/>
  <c r="CR82" i="3"/>
  <c r="CU82" i="3"/>
  <c r="CV82" i="3"/>
  <c r="CW82" i="3"/>
  <c r="CX82" i="3"/>
  <c r="DA82" i="3"/>
  <c r="DB82" i="3"/>
  <c r="DC82" i="3"/>
  <c r="DD82" i="3"/>
  <c r="DG82" i="3"/>
  <c r="DH82" i="3"/>
  <c r="DI82" i="3"/>
  <c r="DJ82" i="3"/>
  <c r="DM82" i="3"/>
  <c r="DN82" i="3"/>
  <c r="DO82" i="3"/>
  <c r="DP82" i="3"/>
  <c r="DS82" i="3"/>
  <c r="DT82" i="3"/>
  <c r="DU82" i="3"/>
  <c r="DV82" i="3"/>
  <c r="E83" i="3"/>
  <c r="E87" i="3"/>
  <c r="E31" i="3"/>
  <c r="E418" i="338" s="1"/>
  <c r="K83" i="3"/>
  <c r="K31" i="3"/>
  <c r="K418" i="338" s="1"/>
  <c r="P83" i="3"/>
  <c r="V83" i="3"/>
  <c r="W83" i="3" s="1"/>
  <c r="AA83" i="3"/>
  <c r="AB83" i="3"/>
  <c r="AG83" i="3"/>
  <c r="AN83" i="3"/>
  <c r="AO83" i="3" s="1"/>
  <c r="AO382" i="335" s="1"/>
  <c r="AS83" i="3"/>
  <c r="BS83" i="3"/>
  <c r="BS382" i="335" s="1"/>
  <c r="BT83" i="3"/>
  <c r="BT144" i="336" s="1"/>
  <c r="BX83" i="3"/>
  <c r="BX144" i="336" s="1"/>
  <c r="BY83" i="3"/>
  <c r="BY144" i="336"/>
  <c r="BZ83" i="3"/>
  <c r="BZ382" i="335" s="1"/>
  <c r="CC83" i="3"/>
  <c r="CC382" i="335" s="1"/>
  <c r="CD83" i="3"/>
  <c r="CD144" i="336" s="1"/>
  <c r="CE83" i="3"/>
  <c r="CE144" i="336" s="1"/>
  <c r="CF83" i="3"/>
  <c r="CF144" i="336" s="1"/>
  <c r="CI83" i="3"/>
  <c r="CI382" i="335" s="1"/>
  <c r="CJ83" i="3"/>
  <c r="CJ382" i="335" s="1"/>
  <c r="CK83" i="3"/>
  <c r="CK382" i="335"/>
  <c r="CL83" i="3"/>
  <c r="CO83" i="3"/>
  <c r="CO144" i="336" s="1"/>
  <c r="CP83" i="3"/>
  <c r="CP144" i="336"/>
  <c r="CQ83" i="3"/>
  <c r="CQ144" i="336" s="1"/>
  <c r="CR83" i="3"/>
  <c r="CR382" i="335" s="1"/>
  <c r="CU83" i="3"/>
  <c r="CU382" i="335" s="1"/>
  <c r="CV83" i="3"/>
  <c r="CV144" i="336" s="1"/>
  <c r="CW83" i="3"/>
  <c r="CW144" i="336" s="1"/>
  <c r="CX83" i="3"/>
  <c r="CX144" i="336" s="1"/>
  <c r="DA83" i="3"/>
  <c r="DB83" i="3"/>
  <c r="DB382" i="335"/>
  <c r="DC83" i="3"/>
  <c r="DC144" i="336" s="1"/>
  <c r="DD83" i="3"/>
  <c r="DG83" i="3"/>
  <c r="DG144" i="336"/>
  <c r="DH83" i="3"/>
  <c r="DH382" i="335" s="1"/>
  <c r="DI83" i="3"/>
  <c r="DI144" i="336" s="1"/>
  <c r="DJ83" i="3"/>
  <c r="DJ144" i="336" s="1"/>
  <c r="DM83" i="3"/>
  <c r="DM382" i="335" s="1"/>
  <c r="DN83" i="3"/>
  <c r="DN382" i="335" s="1"/>
  <c r="DO83" i="3"/>
  <c r="DO382" i="335" s="1"/>
  <c r="DP83" i="3"/>
  <c r="DP382" i="335" s="1"/>
  <c r="DS83" i="3"/>
  <c r="DS382" i="335" s="1"/>
  <c r="DS397" i="335" s="1"/>
  <c r="DT83" i="3"/>
  <c r="DT382" i="335" s="1"/>
  <c r="DU83" i="3"/>
  <c r="DU144" i="336" s="1"/>
  <c r="DV83" i="3"/>
  <c r="DV382" i="335" s="1"/>
  <c r="F84" i="3"/>
  <c r="F32" i="3"/>
  <c r="G84" i="3"/>
  <c r="G85" i="3"/>
  <c r="H84" i="3"/>
  <c r="H32" i="3"/>
  <c r="L84" i="3"/>
  <c r="L32" i="3"/>
  <c r="M84" i="3"/>
  <c r="M32" i="3"/>
  <c r="O84" i="3"/>
  <c r="U84" i="3"/>
  <c r="U32" i="3"/>
  <c r="AA84" i="3"/>
  <c r="AA85" i="3"/>
  <c r="AG84" i="3"/>
  <c r="AG32" i="3"/>
  <c r="AM84" i="3"/>
  <c r="AS84" i="3"/>
  <c r="AS32" i="3"/>
  <c r="AY84" i="3"/>
  <c r="AY32" i="3"/>
  <c r="BE84" i="3"/>
  <c r="BF84" i="3"/>
  <c r="BG84" i="3" s="1"/>
  <c r="BH84" i="3" s="1"/>
  <c r="BL84" i="3"/>
  <c r="BM84" i="3" s="1"/>
  <c r="BS84" i="3"/>
  <c r="BT84" i="3"/>
  <c r="BX84" i="3"/>
  <c r="BY84" i="3"/>
  <c r="BZ84" i="3"/>
  <c r="CC84" i="3"/>
  <c r="CE84" i="3"/>
  <c r="CF84" i="3"/>
  <c r="CI84" i="3"/>
  <c r="CO84" i="3"/>
  <c r="CR84" i="3"/>
  <c r="CU84" i="3"/>
  <c r="CV84" i="3"/>
  <c r="CV85" i="3" s="1"/>
  <c r="CW84" i="3"/>
  <c r="CX84" i="3"/>
  <c r="DA84" i="3"/>
  <c r="DB84" i="3"/>
  <c r="DG84" i="3"/>
  <c r="DJ84" i="3"/>
  <c r="DM84" i="3"/>
  <c r="DS84" i="3"/>
  <c r="DV84" i="3"/>
  <c r="DY84" i="3"/>
  <c r="EE84" i="3"/>
  <c r="C85" i="3"/>
  <c r="D85" i="3"/>
  <c r="E85" i="3"/>
  <c r="F85" i="3"/>
  <c r="I85" i="3"/>
  <c r="J85" i="3"/>
  <c r="K85" i="3"/>
  <c r="BK85" i="3"/>
  <c r="BQ85" i="3"/>
  <c r="E90" i="3"/>
  <c r="E36" i="3"/>
  <c r="F90" i="3"/>
  <c r="F36" i="3"/>
  <c r="G90" i="3"/>
  <c r="H90" i="3"/>
  <c r="H36" i="3"/>
  <c r="I90" i="3"/>
  <c r="I36" i="3"/>
  <c r="J90" i="3"/>
  <c r="J36" i="3"/>
  <c r="K90" i="3"/>
  <c r="K95" i="3"/>
  <c r="M90" i="3"/>
  <c r="M36" i="3"/>
  <c r="O90" i="3"/>
  <c r="P90" i="3"/>
  <c r="P36" i="3" s="1"/>
  <c r="O36" i="3"/>
  <c r="V90" i="3"/>
  <c r="AB90" i="3"/>
  <c r="AH90" i="3"/>
  <c r="AM90" i="3"/>
  <c r="AM36" i="3"/>
  <c r="AS90" i="3"/>
  <c r="AZ90" i="3"/>
  <c r="AZ36" i="3" s="1"/>
  <c r="BF90" i="3"/>
  <c r="BL90" i="3"/>
  <c r="BM90" i="3" s="1"/>
  <c r="BN90" i="3" s="1"/>
  <c r="BS90" i="3"/>
  <c r="BT90" i="3"/>
  <c r="BX90" i="3"/>
  <c r="BY90" i="3"/>
  <c r="BZ90" i="3"/>
  <c r="CC90" i="3"/>
  <c r="CD90" i="3"/>
  <c r="CE90" i="3"/>
  <c r="CF90" i="3"/>
  <c r="CF185" i="336" s="1"/>
  <c r="CF186" i="336" s="1"/>
  <c r="CI90" i="3"/>
  <c r="CJ90" i="3"/>
  <c r="CK90" i="3"/>
  <c r="CL90" i="3"/>
  <c r="CO90" i="3"/>
  <c r="CP90" i="3"/>
  <c r="CQ90" i="3"/>
  <c r="CR90" i="3"/>
  <c r="CU90" i="3"/>
  <c r="CV90" i="3"/>
  <c r="CW90" i="3"/>
  <c r="CX90" i="3"/>
  <c r="DA90" i="3"/>
  <c r="DB90" i="3"/>
  <c r="DC90" i="3"/>
  <c r="DD90" i="3"/>
  <c r="DG90" i="3"/>
  <c r="DH90" i="3"/>
  <c r="DH185" i="336" s="1"/>
  <c r="DI90" i="3"/>
  <c r="DI185" i="336" s="1"/>
  <c r="DI187" i="336" s="1"/>
  <c r="DJ90" i="3"/>
  <c r="DJ185" i="336" s="1"/>
  <c r="DM90" i="3"/>
  <c r="DN90" i="3"/>
  <c r="DN185" i="336"/>
  <c r="DN186" i="336" s="1"/>
  <c r="DO90" i="3"/>
  <c r="DO185" i="336" s="1"/>
  <c r="DO201" i="336"/>
  <c r="DP90" i="3"/>
  <c r="DP185" i="336" s="1"/>
  <c r="DP198" i="336" s="1"/>
  <c r="DS90" i="3"/>
  <c r="DT90" i="3"/>
  <c r="DT185" i="336"/>
  <c r="DT186" i="336" s="1"/>
  <c r="DU90" i="3"/>
  <c r="DU185" i="336"/>
  <c r="DU198" i="336" s="1"/>
  <c r="DV90" i="3"/>
  <c r="CI91" i="3"/>
  <c r="CJ91" i="3"/>
  <c r="CK91" i="3"/>
  <c r="CL91" i="3"/>
  <c r="CO91" i="3"/>
  <c r="CP91" i="3"/>
  <c r="CQ91" i="3"/>
  <c r="CR91" i="3"/>
  <c r="CU91" i="3"/>
  <c r="CV91" i="3"/>
  <c r="CW91" i="3"/>
  <c r="CX91" i="3"/>
  <c r="DA91" i="3"/>
  <c r="DB91" i="3"/>
  <c r="DC91" i="3"/>
  <c r="DD91" i="3"/>
  <c r="DG91" i="3"/>
  <c r="DH91" i="3"/>
  <c r="DI91" i="3"/>
  <c r="DJ91" i="3"/>
  <c r="DM91" i="3"/>
  <c r="DN91" i="3"/>
  <c r="DO91" i="3"/>
  <c r="DP91" i="3"/>
  <c r="DS91" i="3"/>
  <c r="DT91" i="3"/>
  <c r="DU91" i="3"/>
  <c r="DV91" i="3"/>
  <c r="E92" i="3"/>
  <c r="F92" i="3"/>
  <c r="F38" i="3"/>
  <c r="G92" i="3"/>
  <c r="G38" i="3"/>
  <c r="H92" i="3"/>
  <c r="H38" i="3"/>
  <c r="H41" i="3" s="1"/>
  <c r="L92" i="3"/>
  <c r="L95" i="3"/>
  <c r="M92" i="3"/>
  <c r="M95" i="3"/>
  <c r="O92" i="3"/>
  <c r="P92" i="3"/>
  <c r="O38" i="3"/>
  <c r="U92" i="3"/>
  <c r="V92" i="3"/>
  <c r="AA92" i="3"/>
  <c r="AG92" i="3"/>
  <c r="AH92" i="3"/>
  <c r="AM92" i="3"/>
  <c r="AM38" i="3"/>
  <c r="AS92" i="3"/>
  <c r="AT92" i="3"/>
  <c r="AS38" i="3"/>
  <c r="AY92" i="3"/>
  <c r="BE92" i="3"/>
  <c r="BE38" i="3"/>
  <c r="BL92" i="3"/>
  <c r="BS92" i="3"/>
  <c r="BT92" i="3"/>
  <c r="BX92" i="3"/>
  <c r="BY92" i="3"/>
  <c r="BZ92" i="3"/>
  <c r="CC92" i="3"/>
  <c r="CD92" i="3"/>
  <c r="CE92" i="3"/>
  <c r="CF92" i="3"/>
  <c r="CI92" i="3"/>
  <c r="CJ92" i="3"/>
  <c r="CK92" i="3"/>
  <c r="CL92" i="3"/>
  <c r="CO92" i="3"/>
  <c r="CP92" i="3"/>
  <c r="CQ92" i="3"/>
  <c r="CR92" i="3"/>
  <c r="CU92" i="3"/>
  <c r="CV92" i="3"/>
  <c r="CW92" i="3"/>
  <c r="CX92" i="3"/>
  <c r="DA92" i="3"/>
  <c r="DB92" i="3"/>
  <c r="DC92" i="3"/>
  <c r="DD92" i="3"/>
  <c r="DG92" i="3"/>
  <c r="DH92" i="3"/>
  <c r="DI92" i="3"/>
  <c r="DJ92" i="3"/>
  <c r="DM92" i="3"/>
  <c r="DN92" i="3"/>
  <c r="DO92" i="3"/>
  <c r="DP92" i="3"/>
  <c r="DS92" i="3"/>
  <c r="DT92" i="3"/>
  <c r="DU92" i="3"/>
  <c r="DV92" i="3"/>
  <c r="BC93" i="3"/>
  <c r="BI93" i="3"/>
  <c r="BO93" i="3"/>
  <c r="BR93" i="3"/>
  <c r="BS93" i="3"/>
  <c r="BT93" i="3"/>
  <c r="BW93" i="3"/>
  <c r="BW95" i="3" s="1"/>
  <c r="BX93" i="3"/>
  <c r="BY93" i="3"/>
  <c r="CC93" i="3"/>
  <c r="CD93" i="3"/>
  <c r="CF93" i="3"/>
  <c r="CI93" i="3"/>
  <c r="CJ93" i="3"/>
  <c r="CK93" i="3"/>
  <c r="CO93" i="3"/>
  <c r="CP93" i="3"/>
  <c r="CQ93" i="3"/>
  <c r="CR93" i="3"/>
  <c r="CU93" i="3"/>
  <c r="CV93" i="3"/>
  <c r="CW93" i="3"/>
  <c r="CX93" i="3"/>
  <c r="DA93" i="3"/>
  <c r="DB93" i="3"/>
  <c r="DC93" i="3"/>
  <c r="DD93" i="3"/>
  <c r="DG93" i="3"/>
  <c r="DI93" i="3"/>
  <c r="DJ93" i="3"/>
  <c r="DM93" i="3"/>
  <c r="DN93" i="3"/>
  <c r="DO93" i="3"/>
  <c r="DP93" i="3"/>
  <c r="DS93" i="3"/>
  <c r="DU93" i="3"/>
  <c r="DV93" i="3"/>
  <c r="BC94" i="3"/>
  <c r="BI94" i="3"/>
  <c r="BL94" i="3"/>
  <c r="BT94" i="3"/>
  <c r="BX94" i="3"/>
  <c r="BY94" i="3"/>
  <c r="BZ94" i="3"/>
  <c r="CC94" i="3"/>
  <c r="CD94" i="3"/>
  <c r="CE94" i="3"/>
  <c r="CF94" i="3"/>
  <c r="CJ94" i="3"/>
  <c r="CK94" i="3"/>
  <c r="CL94" i="3"/>
  <c r="CO94" i="3"/>
  <c r="CP94" i="3"/>
  <c r="CQ94" i="3"/>
  <c r="CU94" i="3"/>
  <c r="CV94" i="3"/>
  <c r="CX94" i="3"/>
  <c r="DA94" i="3"/>
  <c r="DC94" i="3"/>
  <c r="DD94" i="3"/>
  <c r="DH94" i="3"/>
  <c r="DI94" i="3"/>
  <c r="DJ94" i="3"/>
  <c r="DM94" i="3"/>
  <c r="DN94" i="3"/>
  <c r="DO94" i="3"/>
  <c r="DS94" i="3"/>
  <c r="DT94" i="3"/>
  <c r="DV94" i="3"/>
  <c r="EE94" i="3"/>
  <c r="C95" i="3"/>
  <c r="D95" i="3"/>
  <c r="D99" i="3" s="1"/>
  <c r="D103" i="3" s="1"/>
  <c r="I95" i="3"/>
  <c r="J95" i="3"/>
  <c r="O95" i="3"/>
  <c r="BE95" i="3"/>
  <c r="BK95" i="3"/>
  <c r="BQ95" i="3"/>
  <c r="P97" i="3"/>
  <c r="P43" i="3" s="1"/>
  <c r="U97" i="3"/>
  <c r="V97" i="3"/>
  <c r="AB97" i="3"/>
  <c r="AG97" i="3"/>
  <c r="AH97" i="3"/>
  <c r="AN97" i="3"/>
  <c r="AS97" i="3"/>
  <c r="AT97" i="3"/>
  <c r="AZ97" i="3"/>
  <c r="BF97" i="3"/>
  <c r="BG97" i="3" s="1"/>
  <c r="BL97" i="3"/>
  <c r="BS97" i="3"/>
  <c r="BT97" i="3"/>
  <c r="BX97" i="3"/>
  <c r="BY97" i="3"/>
  <c r="BZ97" i="3"/>
  <c r="CC97" i="3"/>
  <c r="CD97" i="3"/>
  <c r="CE97" i="3"/>
  <c r="CF97" i="3"/>
  <c r="CI97" i="3"/>
  <c r="CJ97" i="3"/>
  <c r="CK97" i="3"/>
  <c r="CL97" i="3"/>
  <c r="CO97" i="3"/>
  <c r="CP97" i="3"/>
  <c r="CQ97" i="3"/>
  <c r="CR97" i="3"/>
  <c r="CU97" i="3"/>
  <c r="CV97" i="3"/>
  <c r="CW97" i="3"/>
  <c r="CX97" i="3"/>
  <c r="DA97" i="3"/>
  <c r="DB97" i="3"/>
  <c r="DC97" i="3"/>
  <c r="DD97" i="3"/>
  <c r="DG97" i="3"/>
  <c r="DH97" i="3"/>
  <c r="DI97" i="3"/>
  <c r="DJ97" i="3"/>
  <c r="DM97" i="3"/>
  <c r="DN97" i="3"/>
  <c r="DO97" i="3"/>
  <c r="DP97" i="3"/>
  <c r="DS97" i="3"/>
  <c r="DT97" i="3"/>
  <c r="DU97" i="3"/>
  <c r="DV97" i="3"/>
  <c r="EE97" i="3"/>
  <c r="S101" i="3"/>
  <c r="F110" i="3"/>
  <c r="G110" i="3"/>
  <c r="H110" i="3"/>
  <c r="I110" i="3"/>
  <c r="J110" i="3"/>
  <c r="K110" i="3"/>
  <c r="L110" i="3"/>
  <c r="M110" i="3"/>
  <c r="C5" i="336"/>
  <c r="O5" i="336"/>
  <c r="U5" i="336"/>
  <c r="AA5" i="336"/>
  <c r="AG5" i="336"/>
  <c r="AM5" i="336"/>
  <c r="AS5" i="336"/>
  <c r="AY5" i="336"/>
  <c r="BE5" i="336"/>
  <c r="BK5" i="336"/>
  <c r="BQ5" i="336"/>
  <c r="BW5" i="336"/>
  <c r="CC5" i="336"/>
  <c r="CI5" i="336"/>
  <c r="CO5" i="336"/>
  <c r="CU5" i="336"/>
  <c r="DA5" i="336"/>
  <c r="DG5" i="336"/>
  <c r="DM5" i="336"/>
  <c r="DS5" i="336"/>
  <c r="DY5" i="336"/>
  <c r="EE5" i="336"/>
  <c r="EK5" i="336"/>
  <c r="EQ5" i="336"/>
  <c r="C6" i="336"/>
  <c r="D6" i="336"/>
  <c r="E6" i="336"/>
  <c r="F6" i="336"/>
  <c r="G6" i="336"/>
  <c r="H6" i="336"/>
  <c r="I6" i="336"/>
  <c r="J6" i="336"/>
  <c r="K6" i="336"/>
  <c r="L6" i="336"/>
  <c r="M6" i="336"/>
  <c r="O6" i="336"/>
  <c r="P6" i="336"/>
  <c r="Q6" i="336"/>
  <c r="R6" i="336"/>
  <c r="S6" i="336"/>
  <c r="U6" i="336"/>
  <c r="V6" i="336"/>
  <c r="W6" i="336"/>
  <c r="X6" i="336"/>
  <c r="Y6" i="336"/>
  <c r="AA6" i="336"/>
  <c r="AB6" i="336"/>
  <c r="AC6" i="336"/>
  <c r="AD6" i="336"/>
  <c r="AE6" i="336"/>
  <c r="AG6" i="336"/>
  <c r="AH6" i="336"/>
  <c r="AI6" i="336"/>
  <c r="AJ6" i="336"/>
  <c r="AK6" i="336"/>
  <c r="AM6" i="336"/>
  <c r="AN6" i="336"/>
  <c r="AO6" i="336"/>
  <c r="AP6" i="336"/>
  <c r="AQ6" i="336"/>
  <c r="AS6" i="336"/>
  <c r="AT6" i="336"/>
  <c r="AU6" i="336"/>
  <c r="AV6" i="336"/>
  <c r="AW6" i="336"/>
  <c r="AY6" i="336"/>
  <c r="AZ6" i="336"/>
  <c r="BA6" i="336"/>
  <c r="BB6" i="336"/>
  <c r="BC6" i="336"/>
  <c r="BE6" i="336"/>
  <c r="BF6" i="336"/>
  <c r="BG6" i="336"/>
  <c r="BH6" i="336"/>
  <c r="BI6" i="336"/>
  <c r="BK6" i="336"/>
  <c r="BL6" i="336"/>
  <c r="BM6" i="336"/>
  <c r="BN6" i="336"/>
  <c r="BO6" i="336"/>
  <c r="BQ6" i="336"/>
  <c r="BR6" i="336"/>
  <c r="BS6" i="336"/>
  <c r="BT6" i="336"/>
  <c r="BU6" i="336"/>
  <c r="BW6" i="336"/>
  <c r="BX6" i="336"/>
  <c r="BY6" i="336"/>
  <c r="BZ6" i="336"/>
  <c r="CA6" i="336"/>
  <c r="CC6" i="336"/>
  <c r="CD6" i="336"/>
  <c r="CE6" i="336"/>
  <c r="CF6" i="336"/>
  <c r="CG6" i="336"/>
  <c r="CI6" i="336"/>
  <c r="CJ6" i="336"/>
  <c r="CK6" i="336"/>
  <c r="CL6" i="336"/>
  <c r="CM6" i="336"/>
  <c r="CO6" i="336"/>
  <c r="CP6" i="336"/>
  <c r="CQ6" i="336"/>
  <c r="CR6" i="336"/>
  <c r="CS6" i="336"/>
  <c r="CU6" i="336"/>
  <c r="CV6" i="336"/>
  <c r="CW6" i="336"/>
  <c r="CX6" i="336"/>
  <c r="CY6" i="336"/>
  <c r="DA6" i="336"/>
  <c r="DB6" i="336"/>
  <c r="DC6" i="336"/>
  <c r="DD6" i="336"/>
  <c r="DE6" i="336"/>
  <c r="DG6" i="336"/>
  <c r="DH6" i="336"/>
  <c r="DI6" i="336"/>
  <c r="DJ6" i="336"/>
  <c r="DK6" i="336"/>
  <c r="DM6" i="336"/>
  <c r="DN6" i="336"/>
  <c r="DO6" i="336"/>
  <c r="DP6" i="336"/>
  <c r="DQ6" i="336"/>
  <c r="DS6" i="336"/>
  <c r="DT6" i="336"/>
  <c r="DU6" i="336"/>
  <c r="DV6" i="336"/>
  <c r="DW6" i="336"/>
  <c r="DY6" i="336"/>
  <c r="DZ6" i="336"/>
  <c r="EA6" i="336"/>
  <c r="EB6" i="336"/>
  <c r="EC6" i="336"/>
  <c r="EE6" i="336"/>
  <c r="EG6" i="336"/>
  <c r="EH6" i="336"/>
  <c r="EI6" i="336"/>
  <c r="EK6" i="336"/>
  <c r="EL6" i="336"/>
  <c r="EM6" i="336"/>
  <c r="EN6" i="336"/>
  <c r="EQ6" i="336"/>
  <c r="ER6" i="336"/>
  <c r="ES6" i="336"/>
  <c r="ET6" i="336"/>
  <c r="EU6" i="336"/>
  <c r="S8" i="336"/>
  <c r="Y8" i="336"/>
  <c r="AD8" i="336"/>
  <c r="AD407" i="338"/>
  <c r="AH8" i="336"/>
  <c r="AH15" i="336"/>
  <c r="AH21" i="336" s="1"/>
  <c r="AK8" i="336"/>
  <c r="AO8" i="336"/>
  <c r="AQ8" i="336"/>
  <c r="AQ9" i="336"/>
  <c r="AQ25" i="336"/>
  <c r="AQ32" i="336"/>
  <c r="AW8" i="336"/>
  <c r="AZ8" i="336"/>
  <c r="BC8" i="336"/>
  <c r="BI8" i="336"/>
  <c r="BO8" i="336"/>
  <c r="BU8" i="336"/>
  <c r="CA8" i="336"/>
  <c r="CG8" i="336"/>
  <c r="CM8" i="336"/>
  <c r="CS8" i="336"/>
  <c r="CS9" i="336"/>
  <c r="CS19" i="336"/>
  <c r="CY8" i="336"/>
  <c r="DE8" i="336"/>
  <c r="DK8" i="336"/>
  <c r="DK9" i="336"/>
  <c r="DK25" i="336"/>
  <c r="DK32" i="336"/>
  <c r="DQ8" i="336"/>
  <c r="DW8" i="336"/>
  <c r="S9" i="336"/>
  <c r="S25" i="336"/>
  <c r="S32" i="336"/>
  <c r="Y9" i="336"/>
  <c r="AE9" i="336"/>
  <c r="AK9" i="336"/>
  <c r="AO9" i="336"/>
  <c r="AW9" i="336"/>
  <c r="AZ9" i="336"/>
  <c r="BC9" i="336"/>
  <c r="BI9" i="336"/>
  <c r="BO9" i="336"/>
  <c r="BO296" i="336" s="1"/>
  <c r="BO25" i="336"/>
  <c r="BO32" i="336"/>
  <c r="BU9" i="336"/>
  <c r="CA9" i="336"/>
  <c r="CG9" i="336"/>
  <c r="CM9" i="336"/>
  <c r="CY9" i="336"/>
  <c r="DE9" i="336"/>
  <c r="DQ9" i="336"/>
  <c r="DW9" i="336"/>
  <c r="EC9" i="336"/>
  <c r="S10" i="336"/>
  <c r="Y10" i="336"/>
  <c r="AE10" i="336"/>
  <c r="AK10" i="336"/>
  <c r="AQ10" i="336"/>
  <c r="AW10" i="336"/>
  <c r="BC129" i="336" s="1"/>
  <c r="AZ10" i="336"/>
  <c r="AZ408" i="338"/>
  <c r="BC10" i="336"/>
  <c r="BI129" i="336" s="1"/>
  <c r="BC122" i="336"/>
  <c r="BG10" i="336"/>
  <c r="BG377" i="335"/>
  <c r="BI10" i="336"/>
  <c r="BO129" i="336" s="1"/>
  <c r="BO10" i="336"/>
  <c r="BU129" i="336" s="1"/>
  <c r="BU10" i="336"/>
  <c r="CA129" i="336" s="1"/>
  <c r="CA10" i="336"/>
  <c r="CG128" i="336" s="1"/>
  <c r="CE10" i="336"/>
  <c r="CE15" i="336"/>
  <c r="CF10" i="336"/>
  <c r="CG10" i="336"/>
  <c r="CM128" i="336" s="1"/>
  <c r="CG122" i="336"/>
  <c r="CI10" i="336"/>
  <c r="CL125" i="336"/>
  <c r="CM10" i="336"/>
  <c r="CS128" i="336" s="1"/>
  <c r="CS10" i="336"/>
  <c r="CY128" i="336" s="1"/>
  <c r="CY122" i="336"/>
  <c r="CS122" i="336"/>
  <c r="CY10" i="336"/>
  <c r="DE128" i="336" s="1"/>
  <c r="DE122" i="336"/>
  <c r="DE10" i="336"/>
  <c r="DK128" i="336" s="1"/>
  <c r="DK10" i="336"/>
  <c r="DQ128" i="336" s="1"/>
  <c r="DQ10" i="336"/>
  <c r="DW128" i="336" s="1"/>
  <c r="DW10" i="336"/>
  <c r="EC128" i="336" s="1"/>
  <c r="S11" i="336"/>
  <c r="Y11" i="336"/>
  <c r="AE11" i="336"/>
  <c r="AK11" i="336"/>
  <c r="AQ11" i="336"/>
  <c r="AW11" i="336"/>
  <c r="BC11" i="336"/>
  <c r="BI11" i="336"/>
  <c r="BO11" i="336"/>
  <c r="BU11" i="336"/>
  <c r="CA11" i="336"/>
  <c r="CG11" i="336"/>
  <c r="CM11" i="336"/>
  <c r="CS11" i="336"/>
  <c r="CY11" i="336"/>
  <c r="DE11" i="336"/>
  <c r="DK11" i="336"/>
  <c r="DQ11" i="336"/>
  <c r="DW11" i="336"/>
  <c r="DE12" i="336"/>
  <c r="DK12" i="336"/>
  <c r="DQ12" i="336"/>
  <c r="DW12" i="336"/>
  <c r="S13" i="336"/>
  <c r="Y13" i="336"/>
  <c r="AE13" i="336"/>
  <c r="AK13" i="336"/>
  <c r="AQ13" i="336"/>
  <c r="AW13" i="336"/>
  <c r="BC13" i="336"/>
  <c r="BI13" i="336"/>
  <c r="BO13" i="336"/>
  <c r="BU13" i="336"/>
  <c r="CA13" i="336"/>
  <c r="CG13" i="336"/>
  <c r="CM13" i="336"/>
  <c r="CS13" i="336"/>
  <c r="CY13" i="336"/>
  <c r="DE13" i="336"/>
  <c r="DK13" i="336"/>
  <c r="DQ13" i="336"/>
  <c r="DW13" i="336"/>
  <c r="S14" i="336"/>
  <c r="Y14" i="336"/>
  <c r="AD14" i="336"/>
  <c r="AK14" i="336"/>
  <c r="AQ14" i="336"/>
  <c r="AW14" i="336"/>
  <c r="BC14" i="336"/>
  <c r="BI14" i="336"/>
  <c r="BO14" i="336"/>
  <c r="BU14" i="336"/>
  <c r="CA14" i="336"/>
  <c r="CM14" i="336"/>
  <c r="CS14" i="336"/>
  <c r="CY14" i="336"/>
  <c r="DE14" i="336"/>
  <c r="DK14" i="336"/>
  <c r="DQ14" i="336"/>
  <c r="DW14" i="336"/>
  <c r="C15" i="336"/>
  <c r="C21" i="336" s="1"/>
  <c r="D15" i="336"/>
  <c r="E15" i="336"/>
  <c r="E21" i="336" s="1"/>
  <c r="F15" i="336"/>
  <c r="F21" i="336" s="1"/>
  <c r="G15" i="336"/>
  <c r="G21" i="336" s="1"/>
  <c r="H15" i="336"/>
  <c r="H21" i="336" s="1"/>
  <c r="I15" i="336"/>
  <c r="I21" i="336" s="1"/>
  <c r="J15" i="336"/>
  <c r="J21" i="336" s="1"/>
  <c r="K15" i="336"/>
  <c r="K21" i="336" s="1"/>
  <c r="L15" i="336"/>
  <c r="L21" i="336" s="1"/>
  <c r="M15" i="336"/>
  <c r="M21" i="336" s="1"/>
  <c r="O15" i="336"/>
  <c r="O21" i="336" s="1"/>
  <c r="P15" i="336"/>
  <c r="P21" i="336" s="1"/>
  <c r="Q15" i="336"/>
  <c r="Q21" i="336" s="1"/>
  <c r="R15" i="336"/>
  <c r="S15" i="336" s="1"/>
  <c r="U15" i="336"/>
  <c r="U21" i="336" s="1"/>
  <c r="V15" i="336"/>
  <c r="V21" i="336" s="1"/>
  <c r="W15" i="336"/>
  <c r="W21" i="336" s="1"/>
  <c r="X15" i="336"/>
  <c r="Y15" i="336" s="1"/>
  <c r="AA15" i="336"/>
  <c r="AA21" i="336" s="1"/>
  <c r="AB15" i="336"/>
  <c r="AB21" i="336" s="1"/>
  <c r="AC15" i="336"/>
  <c r="AC21" i="336" s="1"/>
  <c r="AG15" i="336"/>
  <c r="AG21" i="336" s="1"/>
  <c r="AI15" i="336"/>
  <c r="AI21" i="336" s="1"/>
  <c r="AJ15" i="336"/>
  <c r="AK15" i="336" s="1"/>
  <c r="AM15" i="336"/>
  <c r="AM21" i="336" s="1"/>
  <c r="AN15" i="336"/>
  <c r="AN21" i="336" s="1"/>
  <c r="AP15" i="336"/>
  <c r="AQ15" i="336" s="1"/>
  <c r="AS15" i="336"/>
  <c r="AT15" i="336"/>
  <c r="AU15" i="336"/>
  <c r="AU21" i="336" s="1"/>
  <c r="AV15" i="336"/>
  <c r="AW15" i="336" s="1"/>
  <c r="AY15" i="336"/>
  <c r="AY21" i="336" s="1"/>
  <c r="BA15" i="336"/>
  <c r="BA21" i="336" s="1"/>
  <c r="BB15" i="336"/>
  <c r="BC15" i="336" s="1"/>
  <c r="BE15" i="336"/>
  <c r="BE21" i="336" s="1"/>
  <c r="BF15" i="336"/>
  <c r="BF21" i="336" s="1"/>
  <c r="BH15" i="336"/>
  <c r="BK15" i="336"/>
  <c r="BK21" i="336" s="1"/>
  <c r="BL15" i="336"/>
  <c r="BL21" i="336" s="1"/>
  <c r="BM15" i="336"/>
  <c r="BM21" i="336" s="1"/>
  <c r="BN15" i="336"/>
  <c r="BQ15" i="336"/>
  <c r="BQ21" i="336" s="1"/>
  <c r="BR15" i="336"/>
  <c r="BR21" i="336" s="1"/>
  <c r="BS15" i="336"/>
  <c r="BS21" i="336" s="1"/>
  <c r="BT15" i="336"/>
  <c r="BU15" i="336" s="1"/>
  <c r="BX15" i="336"/>
  <c r="BX21" i="336" s="1"/>
  <c r="BY15" i="336"/>
  <c r="BZ15" i="336"/>
  <c r="CA15" i="336" s="1"/>
  <c r="CC15" i="336"/>
  <c r="CD15" i="336"/>
  <c r="CD21" i="336" s="1"/>
  <c r="S17" i="336"/>
  <c r="Y17" i="336"/>
  <c r="AE17" i="336"/>
  <c r="AK17" i="336"/>
  <c r="AQ17" i="336"/>
  <c r="AW17" i="336"/>
  <c r="BC17" i="336"/>
  <c r="BI17" i="336"/>
  <c r="BO17" i="336"/>
  <c r="BU17" i="336"/>
  <c r="CA17" i="336"/>
  <c r="CG17" i="336"/>
  <c r="CM17" i="336"/>
  <c r="CS17" i="336"/>
  <c r="CY17" i="336"/>
  <c r="DE17" i="336"/>
  <c r="DK17" i="336"/>
  <c r="DQ17" i="336"/>
  <c r="DW17" i="336"/>
  <c r="S18" i="336"/>
  <c r="Y18" i="336"/>
  <c r="AE18" i="336"/>
  <c r="AK18" i="336"/>
  <c r="AO18" i="336"/>
  <c r="AP18" i="336"/>
  <c r="AQ18" i="336"/>
  <c r="AS18" i="336"/>
  <c r="AT18" i="336"/>
  <c r="AU18" i="336"/>
  <c r="AW18" i="336"/>
  <c r="BC18" i="336"/>
  <c r="BI18" i="336"/>
  <c r="BO18" i="336"/>
  <c r="BU18" i="336"/>
  <c r="BY18" i="336"/>
  <c r="BZ18" i="336"/>
  <c r="CA18" i="336"/>
  <c r="CC18" i="336"/>
  <c r="CD18" i="336"/>
  <c r="CE18" i="336"/>
  <c r="CF18" i="336"/>
  <c r="CG18" i="336"/>
  <c r="CI18" i="336"/>
  <c r="CJ18" i="336"/>
  <c r="CK18" i="336"/>
  <c r="CL18" i="336"/>
  <c r="CM18" i="336"/>
  <c r="CO18" i="336"/>
  <c r="CP18" i="336"/>
  <c r="CQ18" i="336"/>
  <c r="CR18" i="336"/>
  <c r="CS18" i="336"/>
  <c r="CU18" i="336"/>
  <c r="CV18" i="336"/>
  <c r="CW18" i="336"/>
  <c r="CX18" i="336"/>
  <c r="CY18" i="336"/>
  <c r="DA18" i="336"/>
  <c r="DB18" i="336"/>
  <c r="DC18" i="336"/>
  <c r="DD18" i="336"/>
  <c r="DE18" i="336"/>
  <c r="DG18" i="336"/>
  <c r="DH18" i="336"/>
  <c r="DI18" i="336"/>
  <c r="DJ18" i="336"/>
  <c r="DK18" i="336"/>
  <c r="DM18" i="336"/>
  <c r="DN18" i="336"/>
  <c r="DO18" i="336"/>
  <c r="DP18" i="336"/>
  <c r="DQ18" i="336"/>
  <c r="DS18" i="336"/>
  <c r="DT18" i="336"/>
  <c r="DU18" i="336"/>
  <c r="DV18" i="336"/>
  <c r="DW18" i="336"/>
  <c r="S19" i="336"/>
  <c r="Y19" i="336"/>
  <c r="AE19" i="336"/>
  <c r="AK19" i="336"/>
  <c r="AQ19" i="336"/>
  <c r="AW19" i="336"/>
  <c r="BC19" i="336"/>
  <c r="BI19" i="336"/>
  <c r="BO19" i="336"/>
  <c r="BU19" i="336"/>
  <c r="CA19" i="336"/>
  <c r="CG19" i="336"/>
  <c r="CM19" i="336"/>
  <c r="DE19" i="336"/>
  <c r="DK19" i="336"/>
  <c r="D20" i="336"/>
  <c r="S20" i="336"/>
  <c r="Y20" i="336"/>
  <c r="AE20" i="336"/>
  <c r="AK20" i="336"/>
  <c r="AQ20" i="336"/>
  <c r="AW20" i="336"/>
  <c r="BC20" i="336"/>
  <c r="BI20" i="336"/>
  <c r="BO20" i="336"/>
  <c r="BU20" i="336"/>
  <c r="CA20" i="336"/>
  <c r="CD20" i="336"/>
  <c r="CE20" i="336"/>
  <c r="CG20" i="336"/>
  <c r="CM20" i="336"/>
  <c r="CO20" i="336"/>
  <c r="CP20" i="336"/>
  <c r="CQ20" i="336"/>
  <c r="CS20" i="336"/>
  <c r="CY20" i="336"/>
  <c r="DE20" i="336"/>
  <c r="DG20" i="336"/>
  <c r="DH20" i="336"/>
  <c r="DI20" i="336"/>
  <c r="DJ20" i="336"/>
  <c r="DK20" i="336"/>
  <c r="DM20" i="336"/>
  <c r="DN20" i="336"/>
  <c r="DO20" i="336"/>
  <c r="DP20" i="336"/>
  <c r="DQ20" i="336"/>
  <c r="DS20" i="336"/>
  <c r="DT20" i="336"/>
  <c r="DU20" i="336"/>
  <c r="DV20" i="336"/>
  <c r="DW20" i="336"/>
  <c r="EC20" i="336"/>
  <c r="S24" i="336"/>
  <c r="Y24" i="336"/>
  <c r="AE24" i="336"/>
  <c r="AK24" i="336"/>
  <c r="AQ24" i="336"/>
  <c r="AW24" i="336"/>
  <c r="BC24" i="336"/>
  <c r="BI24" i="336"/>
  <c r="BO24" i="336"/>
  <c r="BU24" i="336"/>
  <c r="CA24" i="336"/>
  <c r="CG24" i="336"/>
  <c r="CM24" i="336"/>
  <c r="CS24" i="336"/>
  <c r="CY24" i="336"/>
  <c r="DE24" i="336"/>
  <c r="DK24" i="336"/>
  <c r="DQ24" i="336"/>
  <c r="DW24" i="336"/>
  <c r="D25" i="336"/>
  <c r="D30" i="336"/>
  <c r="D35" i="336" s="1"/>
  <c r="E25" i="336"/>
  <c r="E379" i="335"/>
  <c r="F25" i="336"/>
  <c r="H25" i="336"/>
  <c r="I25" i="336"/>
  <c r="I379" i="335"/>
  <c r="J25" i="336"/>
  <c r="J379" i="335"/>
  <c r="K25" i="336"/>
  <c r="L25" i="336"/>
  <c r="M25" i="336"/>
  <c r="M379" i="335"/>
  <c r="X25" i="336"/>
  <c r="Y25" i="336"/>
  <c r="AE25" i="336"/>
  <c r="AK25" i="336"/>
  <c r="AK32" i="336"/>
  <c r="AW25" i="336"/>
  <c r="BC25" i="336"/>
  <c r="BI25" i="336"/>
  <c r="BI32" i="336"/>
  <c r="BU25" i="336"/>
  <c r="CA25" i="336"/>
  <c r="CG25" i="336"/>
  <c r="CM25" i="336"/>
  <c r="CS25" i="336"/>
  <c r="CY25" i="336"/>
  <c r="DE25" i="336"/>
  <c r="DE32" i="336"/>
  <c r="DQ25" i="336"/>
  <c r="DW25" i="336"/>
  <c r="EC25" i="336"/>
  <c r="EO25" i="336"/>
  <c r="EU25" i="336"/>
  <c r="E26" i="336"/>
  <c r="F26" i="336"/>
  <c r="G26" i="336"/>
  <c r="G30" i="336"/>
  <c r="G35" i="336" s="1"/>
  <c r="H26" i="336"/>
  <c r="H30" i="336"/>
  <c r="H35" i="336" s="1"/>
  <c r="I26" i="336"/>
  <c r="J26" i="336"/>
  <c r="K26" i="336"/>
  <c r="K30" i="336"/>
  <c r="K35" i="336" s="1"/>
  <c r="L26" i="336"/>
  <c r="M26" i="336"/>
  <c r="O26" i="336"/>
  <c r="P26" i="336"/>
  <c r="P30" i="336"/>
  <c r="Q26" i="336"/>
  <c r="R26" i="336"/>
  <c r="S26" i="336"/>
  <c r="U26" i="336"/>
  <c r="U30" i="336"/>
  <c r="V26" i="336"/>
  <c r="V30" i="336"/>
  <c r="V35" i="336" s="1"/>
  <c r="W26" i="336"/>
  <c r="W30" i="336"/>
  <c r="W35" i="336" s="1"/>
  <c r="X26" i="336"/>
  <c r="Y26" i="336"/>
  <c r="AA26" i="336"/>
  <c r="AA30" i="336"/>
  <c r="AA35" i="336" s="1"/>
  <c r="AB26" i="336"/>
  <c r="AB30" i="336"/>
  <c r="AB35" i="336" s="1"/>
  <c r="AC26" i="336"/>
  <c r="AD26" i="336"/>
  <c r="AE26" i="336"/>
  <c r="AG26" i="336"/>
  <c r="AG30" i="336"/>
  <c r="AG35" i="336" s="1"/>
  <c r="AH26" i="336"/>
  <c r="AI26" i="336"/>
  <c r="AJ26" i="336"/>
  <c r="AK26" i="336"/>
  <c r="AM26" i="336"/>
  <c r="AM30" i="336"/>
  <c r="AM35" i="336" s="1"/>
  <c r="AN26" i="336"/>
  <c r="AN30" i="336"/>
  <c r="AN35" i="336" s="1"/>
  <c r="AO26" i="336"/>
  <c r="AO30" i="336"/>
  <c r="AO35" i="336" s="1"/>
  <c r="AP26" i="336"/>
  <c r="AQ26" i="336"/>
  <c r="AS26" i="336"/>
  <c r="AS30" i="336"/>
  <c r="AS35" i="336" s="1"/>
  <c r="AT26" i="336"/>
  <c r="AU26" i="336"/>
  <c r="AV26" i="336"/>
  <c r="AY26" i="336"/>
  <c r="AY30" i="336"/>
  <c r="AY35" i="336" s="1"/>
  <c r="AZ26" i="336"/>
  <c r="AZ30" i="336"/>
  <c r="AZ35" i="336" s="1"/>
  <c r="BA26" i="336"/>
  <c r="BA30" i="336"/>
  <c r="BA35" i="336" s="1"/>
  <c r="BB26" i="336"/>
  <c r="BC26" i="336"/>
  <c r="BE26" i="336"/>
  <c r="BE30" i="336"/>
  <c r="BE35" i="336" s="1"/>
  <c r="BF26" i="336"/>
  <c r="BF30" i="336"/>
  <c r="BF35" i="336" s="1"/>
  <c r="BG26" i="336"/>
  <c r="BG30" i="336"/>
  <c r="BG35" i="336" s="1"/>
  <c r="BH26" i="336"/>
  <c r="BI26" i="336"/>
  <c r="BK26" i="336"/>
  <c r="BK30" i="336"/>
  <c r="BK35" i="336" s="1"/>
  <c r="BL26" i="336"/>
  <c r="BL30" i="336"/>
  <c r="BL35" i="336" s="1"/>
  <c r="BM26" i="336"/>
  <c r="BM30" i="336"/>
  <c r="BM35" i="336" s="1"/>
  <c r="BO26" i="336"/>
  <c r="BU26" i="336"/>
  <c r="CA26" i="336"/>
  <c r="CG26" i="336"/>
  <c r="CM26" i="336"/>
  <c r="CS26" i="336"/>
  <c r="CY26" i="336"/>
  <c r="DE26" i="336"/>
  <c r="DK26" i="336"/>
  <c r="F27" i="336"/>
  <c r="S27" i="336"/>
  <c r="V27" i="336"/>
  <c r="Y27" i="336"/>
  <c r="AE27" i="336"/>
  <c r="AI27" i="336"/>
  <c r="AK27" i="336"/>
  <c r="AP27" i="336"/>
  <c r="AT27" i="336"/>
  <c r="AT397" i="338"/>
  <c r="AU27" i="336"/>
  <c r="AV27" i="336"/>
  <c r="BB397" i="338"/>
  <c r="BC27" i="336"/>
  <c r="BI27" i="336"/>
  <c r="BO27" i="336"/>
  <c r="BU27" i="336"/>
  <c r="CA27" i="336"/>
  <c r="CG27" i="336"/>
  <c r="CM27" i="336"/>
  <c r="CO27" i="336"/>
  <c r="CS27" i="336"/>
  <c r="CY27" i="336"/>
  <c r="DE27" i="336"/>
  <c r="DK27" i="336"/>
  <c r="DQ27" i="336"/>
  <c r="DW27" i="336"/>
  <c r="S28" i="336"/>
  <c r="V28" i="336"/>
  <c r="Y28" i="336"/>
  <c r="AE28" i="336"/>
  <c r="AH28" i="336"/>
  <c r="AK28" i="336"/>
  <c r="AP28" i="336"/>
  <c r="AQ28" i="336"/>
  <c r="AT28" i="336"/>
  <c r="AW28" i="336"/>
  <c r="BC28" i="336"/>
  <c r="BI28" i="336"/>
  <c r="BO28" i="336"/>
  <c r="BU28" i="336"/>
  <c r="BZ28" i="336"/>
  <c r="CA28" i="336"/>
  <c r="CC28" i="336"/>
  <c r="CC30" i="336"/>
  <c r="CD28" i="336"/>
  <c r="CD30" i="336"/>
  <c r="CE28" i="336"/>
  <c r="CE30" i="336"/>
  <c r="CF28" i="336"/>
  <c r="CF30" i="336"/>
  <c r="CG30" i="336" s="1"/>
  <c r="CI28" i="336"/>
  <c r="CI30" i="336"/>
  <c r="CJ28" i="336"/>
  <c r="CJ30" i="336"/>
  <c r="CK28" i="336"/>
  <c r="CK30" i="336"/>
  <c r="CL28" i="336"/>
  <c r="CL30" i="336"/>
  <c r="CM30" i="336" s="1"/>
  <c r="CO28" i="336"/>
  <c r="CP28" i="336"/>
  <c r="CQ28" i="336"/>
  <c r="CQ30" i="336"/>
  <c r="CR28" i="336"/>
  <c r="CR30" i="336"/>
  <c r="CY28" i="336"/>
  <c r="DE28" i="336"/>
  <c r="DK28" i="336"/>
  <c r="DQ28" i="336"/>
  <c r="DV28" i="336"/>
  <c r="DW28" i="336"/>
  <c r="S29" i="336"/>
  <c r="S398" i="338" s="1"/>
  <c r="Y29" i="336"/>
  <c r="AE29" i="336"/>
  <c r="AK29" i="336"/>
  <c r="AQ29" i="336"/>
  <c r="AW29" i="336"/>
  <c r="BC29" i="336"/>
  <c r="BI29" i="336"/>
  <c r="BO29" i="336"/>
  <c r="BU29" i="336"/>
  <c r="CA29" i="336"/>
  <c r="CG29" i="336"/>
  <c r="CM29" i="336"/>
  <c r="CO29" i="336"/>
  <c r="CO106" i="336"/>
  <c r="CS29" i="336"/>
  <c r="CY29" i="336"/>
  <c r="DE29" i="336"/>
  <c r="DK29" i="336"/>
  <c r="DQ29" i="336"/>
  <c r="DW29" i="336"/>
  <c r="EC29" i="336"/>
  <c r="C30" i="336"/>
  <c r="C35" i="336" s="1"/>
  <c r="L30" i="336"/>
  <c r="L35" i="336" s="1"/>
  <c r="O30" i="336"/>
  <c r="Q30" i="336"/>
  <c r="AC30" i="336"/>
  <c r="AC35" i="336" s="1"/>
  <c r="AJ30" i="336"/>
  <c r="AK30" i="336" s="1"/>
  <c r="BN30" i="336"/>
  <c r="BO30" i="336" s="1"/>
  <c r="BQ30" i="336"/>
  <c r="BQ35" i="336" s="1"/>
  <c r="BR30" i="336"/>
  <c r="BR35" i="336" s="1"/>
  <c r="BS30" i="336"/>
  <c r="BS35" i="336" s="1"/>
  <c r="BT30" i="336"/>
  <c r="BU30" i="336" s="1"/>
  <c r="BW30" i="336"/>
  <c r="BW35" i="336" s="1"/>
  <c r="BX30" i="336"/>
  <c r="BX35" i="336" s="1"/>
  <c r="BY30" i="336"/>
  <c r="Y32" i="336"/>
  <c r="AE32" i="336"/>
  <c r="AW32" i="336"/>
  <c r="BC32" i="336"/>
  <c r="BU32" i="336"/>
  <c r="CA32" i="336"/>
  <c r="CG32" i="336"/>
  <c r="CM32" i="336"/>
  <c r="CS32" i="336"/>
  <c r="CY32" i="336"/>
  <c r="DQ32" i="336"/>
  <c r="DW32" i="336"/>
  <c r="S33" i="336"/>
  <c r="Y33" i="336"/>
  <c r="AE33" i="336"/>
  <c r="AK33" i="336"/>
  <c r="AQ33" i="336"/>
  <c r="AW33" i="336"/>
  <c r="BC33" i="336"/>
  <c r="BI33" i="336"/>
  <c r="BO33" i="336"/>
  <c r="BU33" i="336"/>
  <c r="CA33" i="336"/>
  <c r="CG33" i="336"/>
  <c r="CM33" i="336"/>
  <c r="CO33" i="336"/>
  <c r="CS33" i="336"/>
  <c r="CY33" i="336"/>
  <c r="DE33" i="336"/>
  <c r="DK33" i="336"/>
  <c r="DO33" i="336"/>
  <c r="DP33" i="336" s="1"/>
  <c r="DQ33" i="336" s="1"/>
  <c r="DW33" i="336"/>
  <c r="M34" i="336"/>
  <c r="O34" i="336"/>
  <c r="P34" i="336"/>
  <c r="Q34" i="336"/>
  <c r="R34" i="336"/>
  <c r="S34" i="336"/>
  <c r="U34" i="336"/>
  <c r="Y34" i="336"/>
  <c r="AE34" i="336"/>
  <c r="AK34" i="336"/>
  <c r="AQ34" i="336"/>
  <c r="AW34" i="336"/>
  <c r="BC34" i="336"/>
  <c r="BI34" i="336"/>
  <c r="BO34" i="336"/>
  <c r="BU34" i="336"/>
  <c r="BY34" i="336"/>
  <c r="BZ34" i="336"/>
  <c r="CA34" i="336"/>
  <c r="CC34" i="336"/>
  <c r="CD34" i="336"/>
  <c r="CE34" i="336"/>
  <c r="CF34" i="336"/>
  <c r="CG34" i="336"/>
  <c r="CI34" i="336"/>
  <c r="CJ34" i="336"/>
  <c r="CK34" i="336"/>
  <c r="CL34" i="336"/>
  <c r="CM34" i="336"/>
  <c r="CO34" i="336"/>
  <c r="CP34" i="336"/>
  <c r="CQ34" i="336"/>
  <c r="CR34" i="336"/>
  <c r="CS34" i="336"/>
  <c r="CU34" i="336"/>
  <c r="CV34" i="336"/>
  <c r="CW34" i="336"/>
  <c r="CX34" i="336"/>
  <c r="CY34" i="336"/>
  <c r="DA34" i="336"/>
  <c r="DB34" i="336"/>
  <c r="DC34" i="336"/>
  <c r="DD34" i="336"/>
  <c r="DE34" i="336"/>
  <c r="DG34" i="336"/>
  <c r="DH34" i="336"/>
  <c r="DI34" i="336"/>
  <c r="DJ34" i="336"/>
  <c r="DK34" i="336"/>
  <c r="DM34" i="336"/>
  <c r="DN34" i="336"/>
  <c r="DO34" i="336"/>
  <c r="DP34" i="336"/>
  <c r="DQ34" i="336"/>
  <c r="DS34" i="336"/>
  <c r="DT34" i="336"/>
  <c r="DU34" i="336"/>
  <c r="DV34" i="336"/>
  <c r="DW34" i="336"/>
  <c r="D37" i="336"/>
  <c r="D40" i="336"/>
  <c r="F37" i="336"/>
  <c r="G37" i="336"/>
  <c r="H37" i="336"/>
  <c r="I37" i="336"/>
  <c r="J37" i="336"/>
  <c r="K37" i="336"/>
  <c r="S37" i="336"/>
  <c r="Y37" i="336"/>
  <c r="AE37" i="336"/>
  <c r="AK37" i="336"/>
  <c r="AQ37" i="336"/>
  <c r="AW37" i="336"/>
  <c r="BC195" i="336" s="1"/>
  <c r="BC37" i="336"/>
  <c r="BI195" i="336" s="1"/>
  <c r="BI37" i="336"/>
  <c r="BO195" i="336"/>
  <c r="BN37" i="336"/>
  <c r="BO37" i="336"/>
  <c r="BU195" i="336" s="1"/>
  <c r="BQ37" i="336"/>
  <c r="BQ40" i="336"/>
  <c r="BU37" i="336"/>
  <c r="CA195" i="336" s="1"/>
  <c r="CA37" i="336"/>
  <c r="CG195" i="336" s="1"/>
  <c r="CG37" i="336"/>
  <c r="CM195" i="336" s="1"/>
  <c r="CM37" i="336"/>
  <c r="CS195" i="336" s="1"/>
  <c r="CS37" i="336"/>
  <c r="CY195" i="336" s="1"/>
  <c r="CV37" i="336"/>
  <c r="CV40" i="336"/>
  <c r="CV380" i="335" s="1"/>
  <c r="CY37" i="336"/>
  <c r="DE195" i="336" s="1"/>
  <c r="DE37" i="336"/>
  <c r="DK195" i="336" s="1"/>
  <c r="DK37" i="336"/>
  <c r="DN195" i="336" s="1"/>
  <c r="DQ37" i="336"/>
  <c r="DW195" i="336" s="1"/>
  <c r="DW37" i="336"/>
  <c r="EC195" i="336" s="1"/>
  <c r="S38" i="336"/>
  <c r="Y38" i="336"/>
  <c r="AE38" i="336"/>
  <c r="AK38" i="336"/>
  <c r="AQ38" i="336"/>
  <c r="AW38" i="336"/>
  <c r="BC38" i="336"/>
  <c r="BC213" i="336" s="1"/>
  <c r="BI38" i="336"/>
  <c r="BI213" i="336" s="1"/>
  <c r="BO38" i="336"/>
  <c r="BO213" i="336" s="1"/>
  <c r="BU38" i="336"/>
  <c r="BU213" i="336" s="1"/>
  <c r="BY38" i="336"/>
  <c r="BY40" i="336"/>
  <c r="BY380" i="335" s="1"/>
  <c r="BZ38" i="336"/>
  <c r="BZ213" i="336"/>
  <c r="CC38" i="336"/>
  <c r="CC40" i="336"/>
  <c r="CC380" i="335" s="1"/>
  <c r="CD38" i="336"/>
  <c r="CD40" i="336"/>
  <c r="CD380" i="335" s="1"/>
  <c r="CE38" i="336"/>
  <c r="CE40" i="336"/>
  <c r="CE380" i="335" s="1"/>
  <c r="CF38" i="336"/>
  <c r="CF40" i="336"/>
  <c r="CM38" i="336"/>
  <c r="CS38" i="336"/>
  <c r="CY38" i="336"/>
  <c r="DE38" i="336"/>
  <c r="DK38" i="336"/>
  <c r="DN38" i="336"/>
  <c r="DQ38" i="336"/>
  <c r="DW38" i="336"/>
  <c r="E39" i="336"/>
  <c r="E40" i="336"/>
  <c r="E380" i="335" s="1"/>
  <c r="F39" i="336"/>
  <c r="G39" i="336"/>
  <c r="H39" i="336"/>
  <c r="I39" i="336"/>
  <c r="J39" i="336"/>
  <c r="K39" i="336"/>
  <c r="L39" i="336"/>
  <c r="L40" i="336"/>
  <c r="M39" i="336"/>
  <c r="M40" i="336"/>
  <c r="S39" i="336"/>
  <c r="Y39" i="336"/>
  <c r="AE39" i="336"/>
  <c r="AK39" i="336"/>
  <c r="AQ39" i="336"/>
  <c r="AW39" i="336"/>
  <c r="BC206" i="336" s="1"/>
  <c r="BC39" i="336"/>
  <c r="BI206" i="336" s="1"/>
  <c r="BG39" i="336"/>
  <c r="BG40" i="336"/>
  <c r="BG380" i="335" s="1"/>
  <c r="BI39" i="336"/>
  <c r="BO206" i="336" s="1"/>
  <c r="BO39" i="336"/>
  <c r="BU206" i="336" s="1"/>
  <c r="BU39" i="336"/>
  <c r="CA206" i="336" s="1"/>
  <c r="CA39" i="336"/>
  <c r="CG206" i="336" s="1"/>
  <c r="CG39" i="336"/>
  <c r="CM206" i="336" s="1"/>
  <c r="CM39" i="336"/>
  <c r="CS206" i="336" s="1"/>
  <c r="CS39" i="336"/>
  <c r="CY206" i="336" s="1"/>
  <c r="CY39" i="336"/>
  <c r="DE206" i="336"/>
  <c r="DE39" i="336"/>
  <c r="DK206" i="336" s="1"/>
  <c r="DK39" i="336"/>
  <c r="DQ206" i="336" s="1"/>
  <c r="DN39" i="336"/>
  <c r="DQ39" i="336"/>
  <c r="DW206" i="336" s="1"/>
  <c r="C40" i="336"/>
  <c r="O40" i="336"/>
  <c r="O380" i="335" s="1"/>
  <c r="P40" i="336"/>
  <c r="P380" i="335" s="1"/>
  <c r="Q40" i="336"/>
  <c r="Q380" i="335" s="1"/>
  <c r="R40" i="336"/>
  <c r="S40" i="336" s="1"/>
  <c r="S222" i="336" s="1"/>
  <c r="U40" i="336"/>
  <c r="U380" i="335" s="1"/>
  <c r="V40" i="336"/>
  <c r="V380" i="335" s="1"/>
  <c r="W40" i="336"/>
  <c r="W380" i="335" s="1"/>
  <c r="X40" i="336"/>
  <c r="Y40" i="336" s="1"/>
  <c r="Y222" i="336" s="1"/>
  <c r="AA40" i="336"/>
  <c r="AA380" i="335" s="1"/>
  <c r="AB40" i="336"/>
  <c r="AC40" i="336"/>
  <c r="AC380" i="335" s="1"/>
  <c r="AD40" i="336"/>
  <c r="AD380" i="335" s="1"/>
  <c r="AE380" i="335" s="1"/>
  <c r="AG40" i="336"/>
  <c r="AG380" i="335" s="1"/>
  <c r="AH40" i="336"/>
  <c r="AH380" i="335" s="1"/>
  <c r="AI40" i="336"/>
  <c r="AI380" i="335" s="1"/>
  <c r="AJ40" i="336"/>
  <c r="AJ380" i="335" s="1"/>
  <c r="AK380" i="335" s="1"/>
  <c r="AM40" i="336"/>
  <c r="AM380" i="335" s="1"/>
  <c r="AN40" i="336"/>
  <c r="AN380" i="335" s="1"/>
  <c r="AO40" i="336"/>
  <c r="AO380" i="335" s="1"/>
  <c r="AP40" i="336"/>
  <c r="AP380" i="335" s="1"/>
  <c r="AQ380" i="335" s="1"/>
  <c r="AS40" i="336"/>
  <c r="AS380" i="335" s="1"/>
  <c r="AT40" i="336"/>
  <c r="AT380" i="335" s="1"/>
  <c r="AU40" i="336"/>
  <c r="AU380" i="335" s="1"/>
  <c r="AV40" i="336"/>
  <c r="AW40" i="336" s="1"/>
  <c r="AW222" i="336" s="1"/>
  <c r="AY40" i="336"/>
  <c r="AY380" i="335" s="1"/>
  <c r="AZ40" i="336"/>
  <c r="AZ380" i="335" s="1"/>
  <c r="BA40" i="336"/>
  <c r="BA380" i="335" s="1"/>
  <c r="BB40" i="336"/>
  <c r="BC40" i="336" s="1"/>
  <c r="BC222" i="336" s="1"/>
  <c r="BE40" i="336"/>
  <c r="BE380" i="335" s="1"/>
  <c r="BF40" i="336"/>
  <c r="BF380" i="335" s="1"/>
  <c r="BH40" i="336"/>
  <c r="BI40" i="336" s="1"/>
  <c r="BI222" i="336" s="1"/>
  <c r="BK40" i="336"/>
  <c r="BK380" i="335" s="1"/>
  <c r="BM40" i="336"/>
  <c r="BM380" i="335" s="1"/>
  <c r="BS40" i="336"/>
  <c r="BS380" i="335" s="1"/>
  <c r="BU40" i="336"/>
  <c r="BU222" i="336" s="1"/>
  <c r="BW40" i="336"/>
  <c r="BW380" i="335" s="1"/>
  <c r="CI40" i="336"/>
  <c r="CI380" i="335" s="1"/>
  <c r="CK40" i="336"/>
  <c r="CK380" i="335" s="1"/>
  <c r="CL40" i="336"/>
  <c r="CM40" i="336" s="1"/>
  <c r="CM222" i="336" s="1"/>
  <c r="CO40" i="336"/>
  <c r="CO380" i="335" s="1"/>
  <c r="CR40" i="336"/>
  <c r="CR380" i="335" s="1"/>
  <c r="CS380" i="335" s="1"/>
  <c r="CU40" i="336"/>
  <c r="CU380" i="335" s="1"/>
  <c r="CW40" i="336"/>
  <c r="CW380" i="335" s="1"/>
  <c r="CX40" i="336"/>
  <c r="CX380" i="335" s="1"/>
  <c r="CY380" i="335" s="1"/>
  <c r="DA40" i="336"/>
  <c r="DA380" i="335" s="1"/>
  <c r="DC40" i="336"/>
  <c r="DC380" i="335" s="1"/>
  <c r="DD40" i="336"/>
  <c r="DD380" i="335" s="1"/>
  <c r="DE380" i="335" s="1"/>
  <c r="DG40" i="336"/>
  <c r="DG380" i="335" s="1"/>
  <c r="DI40" i="336"/>
  <c r="DI380" i="335" s="1"/>
  <c r="DJ40" i="336"/>
  <c r="DJ380" i="335" s="1"/>
  <c r="DK380" i="335" s="1"/>
  <c r="DM40" i="336"/>
  <c r="DM380" i="335" s="1"/>
  <c r="DO40" i="336"/>
  <c r="DO380" i="335" s="1"/>
  <c r="DP40" i="336"/>
  <c r="DQ40" i="336"/>
  <c r="DQ222" i="336" s="1"/>
  <c r="DS40" i="336"/>
  <c r="DS380" i="335"/>
  <c r="DT40" i="336"/>
  <c r="DT380" i="335"/>
  <c r="DW40" i="336"/>
  <c r="DW222" i="336" s="1"/>
  <c r="DE41" i="336"/>
  <c r="DK41" i="336"/>
  <c r="DQ41" i="336"/>
  <c r="DW41" i="336"/>
  <c r="EC41" i="336"/>
  <c r="AS45" i="336"/>
  <c r="AT45" i="336"/>
  <c r="AU45" i="336"/>
  <c r="AV45" i="336"/>
  <c r="AY45" i="336"/>
  <c r="BA45" i="336"/>
  <c r="BB45" i="336"/>
  <c r="BE45" i="336"/>
  <c r="BF45" i="336"/>
  <c r="BG45" i="336"/>
  <c r="BH45" i="336"/>
  <c r="BK45" i="336"/>
  <c r="BL45" i="336"/>
  <c r="BM45" i="336"/>
  <c r="BN45" i="336"/>
  <c r="BQ45" i="336"/>
  <c r="BR45" i="336"/>
  <c r="BS45" i="336"/>
  <c r="BT45" i="336"/>
  <c r="BX45" i="336"/>
  <c r="BY45" i="336"/>
  <c r="BZ45" i="336"/>
  <c r="CC45" i="336"/>
  <c r="CD45" i="336"/>
  <c r="CE45" i="336"/>
  <c r="CF45" i="336"/>
  <c r="CI45" i="336"/>
  <c r="CJ45" i="336"/>
  <c r="CK45" i="336"/>
  <c r="CL45" i="336"/>
  <c r="CO45" i="336"/>
  <c r="CO46" i="336" s="1"/>
  <c r="CP45" i="336"/>
  <c r="CP46" i="336" s="1"/>
  <c r="CQ45" i="336"/>
  <c r="CQ46" i="336" s="1"/>
  <c r="CR45" i="336"/>
  <c r="CR46" i="336" s="1"/>
  <c r="CU45" i="336"/>
  <c r="CU46" i="336" s="1"/>
  <c r="CV45" i="336"/>
  <c r="CV46" i="336" s="1"/>
  <c r="CW45" i="336"/>
  <c r="CW46" i="336" s="1"/>
  <c r="CX45" i="336"/>
  <c r="CX46" i="336" s="1"/>
  <c r="DA45" i="336"/>
  <c r="DA46" i="336" s="1"/>
  <c r="DB45" i="336"/>
  <c r="DB46" i="336" s="1"/>
  <c r="DC45" i="336"/>
  <c r="DC46" i="336" s="1"/>
  <c r="DD45" i="336"/>
  <c r="DD46" i="336" s="1"/>
  <c r="DG45" i="336"/>
  <c r="DG46" i="336" s="1"/>
  <c r="DH45" i="336"/>
  <c r="DH46" i="336" s="1"/>
  <c r="DI45" i="336"/>
  <c r="DI46" i="336" s="1"/>
  <c r="DJ45" i="336"/>
  <c r="DJ46" i="336" s="1"/>
  <c r="DM45" i="336"/>
  <c r="DM46" i="336" s="1"/>
  <c r="DN45" i="336"/>
  <c r="DN46" i="336" s="1"/>
  <c r="DO45" i="336"/>
  <c r="DO46" i="336" s="1"/>
  <c r="DP45" i="336"/>
  <c r="DP46" i="336" s="1"/>
  <c r="DS45" i="336"/>
  <c r="DS46" i="336" s="1"/>
  <c r="DT45" i="336"/>
  <c r="DT46" i="336" s="1"/>
  <c r="DU45" i="336"/>
  <c r="DU46" i="336" s="1"/>
  <c r="DV45" i="336"/>
  <c r="DV46" i="336" s="1"/>
  <c r="DY45" i="336"/>
  <c r="DY46" i="336" s="1"/>
  <c r="CE48" i="336"/>
  <c r="CF48" i="336"/>
  <c r="CI48" i="336"/>
  <c r="CJ48" i="336"/>
  <c r="CK48" i="336"/>
  <c r="CL48" i="336"/>
  <c r="CO48" i="336"/>
  <c r="CP48" i="336"/>
  <c r="CQ48" i="336"/>
  <c r="CR48" i="336"/>
  <c r="CU55" i="336"/>
  <c r="CU414" i="335" s="1"/>
  <c r="DA55" i="336"/>
  <c r="DB55" i="336" s="1"/>
  <c r="DA58" i="336"/>
  <c r="DB57" i="336"/>
  <c r="DC57" i="336" s="1"/>
  <c r="DC416" i="335" s="1"/>
  <c r="DB422" i="335"/>
  <c r="DB85" i="336"/>
  <c r="DB437" i="335" s="1"/>
  <c r="DH86" i="336"/>
  <c r="DH447" i="335" s="1"/>
  <c r="DO56" i="336"/>
  <c r="DO417" i="335" s="1"/>
  <c r="DO57" i="336"/>
  <c r="DO418" i="335" s="1"/>
  <c r="DQ418" i="335" s="1"/>
  <c r="DO58" i="336"/>
  <c r="DO419" i="335" s="1"/>
  <c r="DS57" i="336"/>
  <c r="DS418" i="335" s="1"/>
  <c r="DS58" i="336"/>
  <c r="DS419" i="335" s="1"/>
  <c r="DU59" i="336"/>
  <c r="DU420" i="335" s="1"/>
  <c r="DW420" i="335" s="1"/>
  <c r="DU69" i="336"/>
  <c r="DU430" i="335" s="1"/>
  <c r="DY76" i="336"/>
  <c r="O102" i="336"/>
  <c r="O385" i="335" s="1"/>
  <c r="P102" i="336"/>
  <c r="P385" i="335" s="1"/>
  <c r="Q102" i="336"/>
  <c r="Q385" i="335" s="1"/>
  <c r="U102" i="336"/>
  <c r="U385" i="335" s="1"/>
  <c r="V102" i="336"/>
  <c r="V385" i="335" s="1"/>
  <c r="W102" i="336"/>
  <c r="W385" i="335" s="1"/>
  <c r="CU102" i="336"/>
  <c r="CU385" i="335" s="1"/>
  <c r="F106" i="336"/>
  <c r="G106" i="336"/>
  <c r="H106" i="336"/>
  <c r="I106" i="336"/>
  <c r="J106" i="336"/>
  <c r="K106" i="336"/>
  <c r="L106" i="336"/>
  <c r="M106" i="336"/>
  <c r="O106" i="336"/>
  <c r="P106" i="336"/>
  <c r="Q106" i="336"/>
  <c r="R106" i="336"/>
  <c r="S106" i="336" s="1"/>
  <c r="U106" i="336"/>
  <c r="V106" i="336"/>
  <c r="W106" i="336"/>
  <c r="X106" i="336"/>
  <c r="AA106" i="336"/>
  <c r="AB106" i="336"/>
  <c r="AC106" i="336"/>
  <c r="AD106" i="336"/>
  <c r="AG106" i="336"/>
  <c r="AH106" i="336"/>
  <c r="AI106" i="336"/>
  <c r="AJ106" i="336"/>
  <c r="AM106" i="336"/>
  <c r="AN106" i="336"/>
  <c r="AO106" i="336"/>
  <c r="AP106" i="336"/>
  <c r="AS106" i="336"/>
  <c r="AT106" i="336"/>
  <c r="AU106" i="336"/>
  <c r="AV106" i="336"/>
  <c r="AY106" i="336"/>
  <c r="AZ106" i="336"/>
  <c r="BA106" i="336"/>
  <c r="BB106" i="336"/>
  <c r="BE106" i="336"/>
  <c r="BF106" i="336"/>
  <c r="BG106" i="336"/>
  <c r="BH106" i="336"/>
  <c r="BK106" i="336"/>
  <c r="BL106" i="336"/>
  <c r="BM106" i="336"/>
  <c r="BN106" i="336"/>
  <c r="BQ106" i="336"/>
  <c r="BR106" i="336"/>
  <c r="BS106" i="336"/>
  <c r="BT106" i="336"/>
  <c r="BW106" i="336"/>
  <c r="BX106" i="336"/>
  <c r="BY106" i="336"/>
  <c r="BZ106" i="336"/>
  <c r="CC106" i="336"/>
  <c r="CD106" i="336"/>
  <c r="CE106" i="336"/>
  <c r="CF106" i="336"/>
  <c r="CI106" i="336"/>
  <c r="CJ106" i="336"/>
  <c r="CK106" i="336"/>
  <c r="CL106" i="336"/>
  <c r="CP106" i="336"/>
  <c r="CQ106" i="336"/>
  <c r="CR106" i="336"/>
  <c r="CV106" i="336"/>
  <c r="CW106" i="336"/>
  <c r="CX106" i="336"/>
  <c r="DA106" i="336"/>
  <c r="DB106" i="336"/>
  <c r="DC106" i="336"/>
  <c r="DD106" i="336"/>
  <c r="DG106" i="336"/>
  <c r="DH106" i="336"/>
  <c r="DI106" i="336"/>
  <c r="DJ106" i="336"/>
  <c r="DM106" i="336"/>
  <c r="DN106" i="336"/>
  <c r="DO106" i="336"/>
  <c r="DP106" i="336"/>
  <c r="DS106" i="336"/>
  <c r="DT106" i="336"/>
  <c r="DU106" i="336"/>
  <c r="DV106" i="336"/>
  <c r="S107" i="336"/>
  <c r="U107" i="336"/>
  <c r="V107" i="336"/>
  <c r="W107" i="336"/>
  <c r="X107" i="336"/>
  <c r="AA107" i="336"/>
  <c r="AB107" i="336"/>
  <c r="AC107" i="336"/>
  <c r="AD107" i="336"/>
  <c r="AG107" i="336"/>
  <c r="AH107" i="336"/>
  <c r="AI107" i="336"/>
  <c r="AJ107" i="336"/>
  <c r="AM107" i="336"/>
  <c r="AN107" i="336"/>
  <c r="AO107" i="336"/>
  <c r="AP107" i="336"/>
  <c r="AS107" i="336"/>
  <c r="AT107" i="336"/>
  <c r="AU107" i="336"/>
  <c r="AV107" i="336"/>
  <c r="AY107" i="336"/>
  <c r="AZ107" i="336"/>
  <c r="BA107" i="336"/>
  <c r="BB107" i="336"/>
  <c r="BE107" i="336"/>
  <c r="BF107" i="336"/>
  <c r="BG107" i="336"/>
  <c r="BH107" i="336"/>
  <c r="BK107" i="336"/>
  <c r="BL107" i="336"/>
  <c r="BM107" i="336"/>
  <c r="BN107" i="336"/>
  <c r="BQ107" i="336"/>
  <c r="BR107" i="336"/>
  <c r="BS107" i="336"/>
  <c r="BT107" i="336"/>
  <c r="BW107" i="336"/>
  <c r="BX107" i="336"/>
  <c r="BY107" i="336"/>
  <c r="BZ107" i="336"/>
  <c r="CC107" i="336"/>
  <c r="CD107" i="336"/>
  <c r="CE107" i="336"/>
  <c r="CF107" i="336"/>
  <c r="CI107" i="336"/>
  <c r="CJ107" i="336"/>
  <c r="CK107" i="336"/>
  <c r="CL107" i="336"/>
  <c r="CO107" i="336"/>
  <c r="CQ107" i="336"/>
  <c r="CR107" i="336"/>
  <c r="CU107" i="336"/>
  <c r="CV107" i="336"/>
  <c r="CW107" i="336"/>
  <c r="CX107" i="336"/>
  <c r="DA107" i="336"/>
  <c r="DB107" i="336"/>
  <c r="DC107" i="336"/>
  <c r="DD107" i="336"/>
  <c r="DG107" i="336"/>
  <c r="DH107" i="336"/>
  <c r="DI107" i="336"/>
  <c r="DJ107" i="336"/>
  <c r="DM107" i="336"/>
  <c r="DN107" i="336"/>
  <c r="DO107" i="336"/>
  <c r="DP107" i="336"/>
  <c r="DS107" i="336"/>
  <c r="DT107" i="336"/>
  <c r="DU107" i="336"/>
  <c r="DV107" i="336"/>
  <c r="AS108" i="336"/>
  <c r="BE108" i="336"/>
  <c r="BF108" i="336"/>
  <c r="BG108" i="336"/>
  <c r="BH108" i="336"/>
  <c r="BK108" i="336"/>
  <c r="BL108" i="336"/>
  <c r="BM108" i="336"/>
  <c r="BN108" i="336"/>
  <c r="BQ108" i="336"/>
  <c r="BR108" i="336"/>
  <c r="BS108" i="336"/>
  <c r="CC108" i="336"/>
  <c r="CD108" i="336"/>
  <c r="CE108" i="336"/>
  <c r="CF108" i="336"/>
  <c r="CV108" i="336"/>
  <c r="DB108" i="336"/>
  <c r="DC108" i="336"/>
  <c r="DD108" i="336"/>
  <c r="DG108" i="336"/>
  <c r="DH108" i="336"/>
  <c r="S111" i="336"/>
  <c r="S122" i="336"/>
  <c r="Y122" i="336"/>
  <c r="AE122" i="336"/>
  <c r="AK122" i="336"/>
  <c r="AQ122" i="336"/>
  <c r="AW122" i="336"/>
  <c r="BI122" i="336"/>
  <c r="BO122" i="336"/>
  <c r="BU122" i="336"/>
  <c r="CA122" i="336"/>
  <c r="CM122" i="336"/>
  <c r="DK122" i="336"/>
  <c r="DQ123" i="336"/>
  <c r="DW123" i="336"/>
  <c r="EC123" i="336"/>
  <c r="EI123" i="336"/>
  <c r="D124" i="336"/>
  <c r="E124" i="336"/>
  <c r="F124" i="336"/>
  <c r="G124" i="336"/>
  <c r="H124" i="336"/>
  <c r="I124" i="336"/>
  <c r="J124" i="336"/>
  <c r="K124" i="336"/>
  <c r="L124" i="336"/>
  <c r="M124" i="336"/>
  <c r="R124" i="336"/>
  <c r="X124" i="336"/>
  <c r="AD124" i="336"/>
  <c r="AJ124" i="336"/>
  <c r="AP124" i="336"/>
  <c r="AV124" i="336"/>
  <c r="AY124" i="336"/>
  <c r="AZ124" i="336"/>
  <c r="BA124" i="336"/>
  <c r="BB124" i="336"/>
  <c r="BE124" i="336"/>
  <c r="BF124" i="336"/>
  <c r="BH124" i="336"/>
  <c r="BK124" i="336"/>
  <c r="BL124" i="336"/>
  <c r="BM124" i="336"/>
  <c r="BN124" i="336"/>
  <c r="BQ124" i="336"/>
  <c r="BR124" i="336"/>
  <c r="BS124" i="336"/>
  <c r="BT124" i="336"/>
  <c r="BW124" i="336"/>
  <c r="BX124" i="336"/>
  <c r="BY124" i="336"/>
  <c r="BZ124" i="336"/>
  <c r="CC124" i="336"/>
  <c r="CD124" i="336"/>
  <c r="CK124" i="336"/>
  <c r="CL124" i="336"/>
  <c r="CO124" i="336"/>
  <c r="CP124" i="336"/>
  <c r="CQ124" i="336"/>
  <c r="CR124" i="336"/>
  <c r="CU124" i="336"/>
  <c r="CV124" i="336"/>
  <c r="CW124" i="336"/>
  <c r="CX124" i="336"/>
  <c r="DA124" i="336"/>
  <c r="DB124" i="336"/>
  <c r="DC124" i="336"/>
  <c r="DD124" i="336"/>
  <c r="DG124" i="336"/>
  <c r="DH124" i="336"/>
  <c r="DI124" i="336"/>
  <c r="DJ124" i="336"/>
  <c r="DM124" i="336"/>
  <c r="DN124" i="336"/>
  <c r="DO124" i="336"/>
  <c r="DU124" i="336"/>
  <c r="R125" i="336"/>
  <c r="X125" i="336"/>
  <c r="AD125" i="336"/>
  <c r="AJ125" i="336"/>
  <c r="AP125" i="336"/>
  <c r="AV125" i="336"/>
  <c r="AY125" i="336"/>
  <c r="BB125" i="336"/>
  <c r="BF125" i="336"/>
  <c r="BK125" i="336"/>
  <c r="BM125" i="336"/>
  <c r="BN125" i="336"/>
  <c r="BQ125" i="336"/>
  <c r="BR125" i="336"/>
  <c r="BS125" i="336"/>
  <c r="BT125" i="336"/>
  <c r="BW125" i="336"/>
  <c r="BX125" i="336"/>
  <c r="BY125" i="336"/>
  <c r="BZ125" i="336"/>
  <c r="CC125" i="336"/>
  <c r="CD125" i="336"/>
  <c r="CE125" i="336"/>
  <c r="CO125" i="336"/>
  <c r="CP125" i="336"/>
  <c r="CQ125" i="336"/>
  <c r="CR125" i="336"/>
  <c r="CU125" i="336"/>
  <c r="CV125" i="336"/>
  <c r="CW125" i="336"/>
  <c r="CX125" i="336"/>
  <c r="DA125" i="336"/>
  <c r="DB125" i="336"/>
  <c r="DC125" i="336"/>
  <c r="DD125" i="336"/>
  <c r="DG125" i="336"/>
  <c r="DH125" i="336"/>
  <c r="DI125" i="336"/>
  <c r="DJ125" i="336"/>
  <c r="DM125" i="336"/>
  <c r="DN125" i="336"/>
  <c r="DO125" i="336"/>
  <c r="DU125" i="336"/>
  <c r="DD131" i="336"/>
  <c r="DG131" i="336"/>
  <c r="DI131" i="336"/>
  <c r="DM131" i="336"/>
  <c r="DO131" i="336"/>
  <c r="DT131" i="336"/>
  <c r="DU131" i="336"/>
  <c r="S134" i="336"/>
  <c r="Y134" i="336"/>
  <c r="AE134" i="336"/>
  <c r="AK134" i="336"/>
  <c r="AQ134" i="336"/>
  <c r="AW134" i="336"/>
  <c r="BC134" i="336"/>
  <c r="BI134" i="336"/>
  <c r="BO134" i="336"/>
  <c r="BQ144" i="336"/>
  <c r="BU134" i="336"/>
  <c r="BW144" i="336"/>
  <c r="BW142" i="336"/>
  <c r="CA134" i="336"/>
  <c r="BY142" i="336"/>
  <c r="CC142" i="336"/>
  <c r="CD142" i="336" s="1"/>
  <c r="CE142" i="336" s="1"/>
  <c r="CF142" i="336" s="1"/>
  <c r="CG134" i="336"/>
  <c r="CI142" i="336"/>
  <c r="CJ142" i="336"/>
  <c r="CK142" i="336" s="1"/>
  <c r="CM134" i="336"/>
  <c r="CO142" i="336"/>
  <c r="CP142" i="336" s="1"/>
  <c r="CS134" i="336"/>
  <c r="CU142" i="336"/>
  <c r="CV142" i="336" s="1"/>
  <c r="CW142" i="336" s="1"/>
  <c r="CX142" i="336" s="1"/>
  <c r="CY142" i="336" s="1"/>
  <c r="CY134" i="336"/>
  <c r="S135" i="336"/>
  <c r="Y135" i="336"/>
  <c r="AE135" i="336"/>
  <c r="AK135" i="336"/>
  <c r="AQ135" i="336"/>
  <c r="AS135" i="336" s="1"/>
  <c r="AW135" i="336"/>
  <c r="AZ136" i="336"/>
  <c r="AY136" i="336"/>
  <c r="BC135" i="336"/>
  <c r="BE135" i="336" s="1"/>
  <c r="BI135" i="336"/>
  <c r="BL136" i="336"/>
  <c r="BO135" i="336"/>
  <c r="BU135" i="336"/>
  <c r="CA135" i="336"/>
  <c r="CG135" i="336"/>
  <c r="CY135" i="336"/>
  <c r="D136" i="336"/>
  <c r="E136" i="336"/>
  <c r="F136" i="336"/>
  <c r="G136" i="336"/>
  <c r="H136" i="336"/>
  <c r="I136" i="336"/>
  <c r="J136" i="336"/>
  <c r="K136" i="336"/>
  <c r="L136" i="336"/>
  <c r="M136" i="336"/>
  <c r="R136" i="336"/>
  <c r="S136" i="336" s="1"/>
  <c r="X136" i="336"/>
  <c r="Y136" i="336" s="1"/>
  <c r="AD136" i="336"/>
  <c r="AE136" i="336" s="1"/>
  <c r="AJ136" i="336"/>
  <c r="AK136" i="336" s="1"/>
  <c r="AP136" i="336"/>
  <c r="AQ136" i="336" s="1"/>
  <c r="AS136" i="336"/>
  <c r="AT136" i="336"/>
  <c r="AU136" i="336"/>
  <c r="AV136" i="336"/>
  <c r="AW136" i="336" s="1"/>
  <c r="BA136" i="336"/>
  <c r="BB136" i="336"/>
  <c r="BC136" i="336" s="1"/>
  <c r="BE136" i="336"/>
  <c r="BF136" i="336"/>
  <c r="BG136" i="336"/>
  <c r="BH136" i="336"/>
  <c r="BI136" i="336" s="1"/>
  <c r="BK136" i="336"/>
  <c r="BM136" i="336"/>
  <c r="BN136" i="336"/>
  <c r="BO136" i="336" s="1"/>
  <c r="BQ136" i="336"/>
  <c r="BR136" i="336"/>
  <c r="BS136" i="336"/>
  <c r="BT136" i="336"/>
  <c r="BU136" i="336" s="1"/>
  <c r="BW136" i="336"/>
  <c r="BX136" i="336"/>
  <c r="BY136" i="336"/>
  <c r="BZ136" i="336"/>
  <c r="CA136" i="336" s="1"/>
  <c r="CC136" i="336"/>
  <c r="CD136" i="336"/>
  <c r="CE136" i="336"/>
  <c r="CF136" i="336"/>
  <c r="CG136" i="336" s="1"/>
  <c r="CI136" i="336"/>
  <c r="CJ136" i="336"/>
  <c r="CK136" i="336"/>
  <c r="CL136" i="336"/>
  <c r="CO136" i="336"/>
  <c r="CP136" i="336"/>
  <c r="CQ136" i="336"/>
  <c r="CR136" i="336"/>
  <c r="CR135" i="336" s="1"/>
  <c r="CS135" i="336" s="1"/>
  <c r="CU136" i="336"/>
  <c r="CV136" i="336"/>
  <c r="CW136" i="336"/>
  <c r="CX136" i="336"/>
  <c r="CY136" i="336" s="1"/>
  <c r="DA136" i="336"/>
  <c r="DB136" i="336"/>
  <c r="DC136" i="336"/>
  <c r="DD136" i="336"/>
  <c r="DE136" i="336" s="1"/>
  <c r="DG136" i="336"/>
  <c r="DH136" i="336"/>
  <c r="DI136" i="336"/>
  <c r="DJ136" i="336"/>
  <c r="DK136" i="336" s="1"/>
  <c r="DM136" i="336"/>
  <c r="DN136" i="336"/>
  <c r="DO136" i="336"/>
  <c r="DP136" i="336"/>
  <c r="DQ136" i="336" s="1"/>
  <c r="DS136" i="336"/>
  <c r="DT136" i="336"/>
  <c r="DU136" i="336"/>
  <c r="DV136" i="336"/>
  <c r="DW136" i="336" s="1"/>
  <c r="D137" i="336"/>
  <c r="E137" i="336"/>
  <c r="F137" i="336"/>
  <c r="G137" i="336"/>
  <c r="H137" i="336"/>
  <c r="I137" i="336"/>
  <c r="J137" i="336"/>
  <c r="K137" i="336"/>
  <c r="L137" i="336"/>
  <c r="M137" i="336"/>
  <c r="U144" i="336"/>
  <c r="AA144" i="336"/>
  <c r="AM144" i="336"/>
  <c r="AS144" i="336"/>
  <c r="AY144" i="336"/>
  <c r="BE144" i="336"/>
  <c r="BK144" i="336"/>
  <c r="O147" i="336"/>
  <c r="O148" i="336" s="1"/>
  <c r="P147" i="336"/>
  <c r="P148" i="336"/>
  <c r="Q147" i="336"/>
  <c r="Q148" i="336" s="1"/>
  <c r="R147" i="336"/>
  <c r="R148" i="336"/>
  <c r="U147" i="336"/>
  <c r="U148" i="336" s="1"/>
  <c r="V147" i="336"/>
  <c r="V148" i="336"/>
  <c r="AA147" i="336"/>
  <c r="AA148" i="336" s="1"/>
  <c r="AB147" i="336"/>
  <c r="AB148" i="336" s="1"/>
  <c r="AG147" i="336"/>
  <c r="AG148" i="336" s="1"/>
  <c r="AM147" i="336"/>
  <c r="AM148" i="336"/>
  <c r="AN147" i="336"/>
  <c r="AN148" i="336" s="1"/>
  <c r="AS147" i="336"/>
  <c r="AY147" i="336"/>
  <c r="AY148" i="336" s="1"/>
  <c r="AZ147" i="336"/>
  <c r="AZ148" i="336" s="1"/>
  <c r="BE147" i="336"/>
  <c r="BE148" i="336" s="1"/>
  <c r="BK147" i="336"/>
  <c r="BK148" i="336" s="1"/>
  <c r="BQ147" i="336"/>
  <c r="BQ148" i="336" s="1"/>
  <c r="BW147" i="336"/>
  <c r="BW148" i="336" s="1"/>
  <c r="CW147" i="336"/>
  <c r="S151" i="336"/>
  <c r="BI151" i="336"/>
  <c r="BO151" i="336"/>
  <c r="BU151" i="336"/>
  <c r="CA151" i="336"/>
  <c r="CG151" i="336"/>
  <c r="CM151" i="336"/>
  <c r="CS151" i="336"/>
  <c r="CY151" i="336"/>
  <c r="DE151" i="336"/>
  <c r="DK151" i="336"/>
  <c r="DQ151" i="336"/>
  <c r="DW151" i="336"/>
  <c r="EC151" i="336"/>
  <c r="DE152" i="336"/>
  <c r="DK152" i="336"/>
  <c r="DQ152" i="336"/>
  <c r="DW152" i="336"/>
  <c r="S153" i="336"/>
  <c r="BI153" i="336"/>
  <c r="BO153" i="336"/>
  <c r="BU153" i="336"/>
  <c r="CA153" i="336"/>
  <c r="CG153" i="336"/>
  <c r="CM153" i="336"/>
  <c r="CS153" i="336"/>
  <c r="CY153" i="336"/>
  <c r="DE153" i="336"/>
  <c r="DK153" i="336"/>
  <c r="DQ153" i="336"/>
  <c r="EC153" i="336"/>
  <c r="S156" i="336"/>
  <c r="BI156" i="336"/>
  <c r="BO156" i="336"/>
  <c r="BU156" i="336"/>
  <c r="CA156" i="336"/>
  <c r="CG156" i="336"/>
  <c r="CM156" i="336"/>
  <c r="CS156" i="336"/>
  <c r="CY156" i="336"/>
  <c r="DE156" i="336"/>
  <c r="DK156" i="336"/>
  <c r="DQ156" i="336"/>
  <c r="DE158" i="336"/>
  <c r="DO160" i="336"/>
  <c r="DP160" i="336"/>
  <c r="DO161" i="336"/>
  <c r="DP161" i="336"/>
  <c r="BM164" i="336"/>
  <c r="BN164" i="336"/>
  <c r="BQ164" i="336"/>
  <c r="BR164" i="336"/>
  <c r="DB166" i="336"/>
  <c r="DC166" i="336"/>
  <c r="DC168" i="336" s="1"/>
  <c r="DD166" i="336"/>
  <c r="DD168" i="336" s="1"/>
  <c r="DG166" i="336"/>
  <c r="DG168" i="336" s="1"/>
  <c r="DH166" i="336"/>
  <c r="DI166" i="336"/>
  <c r="DJ166" i="336"/>
  <c r="DM166" i="336"/>
  <c r="DM167" i="336" s="1"/>
  <c r="DO166" i="336"/>
  <c r="DP166" i="336"/>
  <c r="U171" i="336"/>
  <c r="V171" i="336"/>
  <c r="W171" i="336"/>
  <c r="X171" i="336"/>
  <c r="AA171" i="336"/>
  <c r="AB171" i="336"/>
  <c r="AC171" i="336"/>
  <c r="AD171" i="336"/>
  <c r="AG171" i="336"/>
  <c r="AH171" i="336"/>
  <c r="AI171" i="336"/>
  <c r="AJ171" i="336"/>
  <c r="AM171" i="336"/>
  <c r="AN171" i="336"/>
  <c r="AO171" i="336"/>
  <c r="AP171" i="336"/>
  <c r="AS171" i="336"/>
  <c r="AT171" i="336"/>
  <c r="AU171" i="336"/>
  <c r="AV171" i="336"/>
  <c r="AY171" i="336"/>
  <c r="AZ171" i="336"/>
  <c r="BA171" i="336"/>
  <c r="BB171" i="336"/>
  <c r="BE171" i="336"/>
  <c r="BF171" i="336"/>
  <c r="BG171" i="336"/>
  <c r="BH171" i="336"/>
  <c r="BK171" i="336"/>
  <c r="BL171" i="336"/>
  <c r="BM171" i="336"/>
  <c r="BN171" i="336"/>
  <c r="BQ171" i="336"/>
  <c r="BR171" i="336"/>
  <c r="BS171" i="336"/>
  <c r="BT171" i="336"/>
  <c r="BW171" i="336"/>
  <c r="BX171" i="336"/>
  <c r="BY171" i="336"/>
  <c r="BZ171" i="336"/>
  <c r="CC171" i="336"/>
  <c r="CD171" i="336"/>
  <c r="CE171" i="336"/>
  <c r="CF171" i="336"/>
  <c r="CI171" i="336"/>
  <c r="CJ171" i="336"/>
  <c r="CK171" i="336"/>
  <c r="CL171" i="336"/>
  <c r="CO171" i="336"/>
  <c r="CP171" i="336"/>
  <c r="CQ171" i="336"/>
  <c r="CR171" i="336"/>
  <c r="CU171" i="336"/>
  <c r="CX171" i="336"/>
  <c r="DA171" i="336"/>
  <c r="DB171" i="336"/>
  <c r="DC171" i="336"/>
  <c r="DD171" i="336"/>
  <c r="DG171" i="336"/>
  <c r="DH171" i="336"/>
  <c r="DI171" i="336"/>
  <c r="DJ171" i="336"/>
  <c r="DM171" i="336"/>
  <c r="DN171" i="336"/>
  <c r="DO171" i="336"/>
  <c r="DP171" i="336"/>
  <c r="DS171" i="336"/>
  <c r="DT171" i="336"/>
  <c r="DU171" i="336"/>
  <c r="DV171" i="336"/>
  <c r="BC173" i="336"/>
  <c r="BC192" i="336"/>
  <c r="BI173" i="336"/>
  <c r="BI179" i="336"/>
  <c r="BO173" i="336"/>
  <c r="BO192" i="336"/>
  <c r="BU173" i="336"/>
  <c r="BU179" i="336"/>
  <c r="CA173" i="336"/>
  <c r="CA179" i="336"/>
  <c r="CD185" i="336"/>
  <c r="CD198" i="336" s="1"/>
  <c r="CG173" i="336"/>
  <c r="CG179" i="336"/>
  <c r="CR183" i="336"/>
  <c r="CX229" i="335"/>
  <c r="DA228" i="335"/>
  <c r="DA229" i="335" s="1"/>
  <c r="DA209" i="336" s="1"/>
  <c r="DJ229" i="335"/>
  <c r="DJ209" i="336" s="1"/>
  <c r="DM228" i="335"/>
  <c r="DS160" i="335"/>
  <c r="DT160" i="335"/>
  <c r="DV161" i="335"/>
  <c r="DV229" i="335"/>
  <c r="DV209" i="336" s="1"/>
  <c r="BC174" i="336"/>
  <c r="BE193" i="336"/>
  <c r="BE174" i="336" s="1"/>
  <c r="BF193" i="336"/>
  <c r="BF174" i="336" s="1"/>
  <c r="BG193" i="336"/>
  <c r="BG174" i="336" s="1"/>
  <c r="BH193" i="336"/>
  <c r="BH186" i="336"/>
  <c r="BK193" i="336"/>
  <c r="BK174" i="336" s="1"/>
  <c r="BL193" i="336"/>
  <c r="BL186" i="336"/>
  <c r="BM193" i="336"/>
  <c r="BN193" i="336"/>
  <c r="BO174" i="336"/>
  <c r="BQ193" i="336"/>
  <c r="BQ174" i="336" s="1"/>
  <c r="BR193" i="336"/>
  <c r="BR186" i="336"/>
  <c r="BS186" i="336" s="1"/>
  <c r="BS193" i="336"/>
  <c r="BU174" i="336"/>
  <c r="BW193" i="336"/>
  <c r="BW174" i="336" s="1"/>
  <c r="BX193" i="336"/>
  <c r="BX174" i="336" s="1"/>
  <c r="BY193" i="336"/>
  <c r="BY174" i="336" s="1"/>
  <c r="CA174" i="336"/>
  <c r="CC193" i="336"/>
  <c r="CC174" i="336" s="1"/>
  <c r="CD193" i="336"/>
  <c r="CD186" i="336"/>
  <c r="CE186" i="336" s="1"/>
  <c r="CE193" i="336"/>
  <c r="CE174" i="336" s="1"/>
  <c r="CG174" i="336"/>
  <c r="CI193" i="336"/>
  <c r="CI174" i="336" s="1"/>
  <c r="CJ193" i="336"/>
  <c r="CJ186" i="336"/>
  <c r="CK186" i="336" s="1"/>
  <c r="CK193" i="336"/>
  <c r="CL193" i="336"/>
  <c r="CL174" i="336" s="1"/>
  <c r="CO193" i="336"/>
  <c r="CO174" i="336" s="1"/>
  <c r="CP193" i="336"/>
  <c r="CQ193" i="336"/>
  <c r="CQ186" i="336"/>
  <c r="CR193" i="336"/>
  <c r="CR187" i="336"/>
  <c r="CR186" i="336" s="1"/>
  <c r="CU193" i="336"/>
  <c r="CU174" i="336" s="1"/>
  <c r="CV193" i="336"/>
  <c r="CV174" i="336" s="1"/>
  <c r="CW193" i="336"/>
  <c r="CW174" i="336" s="1"/>
  <c r="CX193" i="336"/>
  <c r="CX174" i="336" s="1"/>
  <c r="DA193" i="336"/>
  <c r="DA174" i="336" s="1"/>
  <c r="DB193" i="336"/>
  <c r="DB174" i="336" s="1"/>
  <c r="DC193" i="336"/>
  <c r="DC174" i="336" s="1"/>
  <c r="DD193" i="336"/>
  <c r="DD186" i="336"/>
  <c r="DE186" i="336" s="1"/>
  <c r="DG193" i="336"/>
  <c r="DG174" i="336" s="1"/>
  <c r="DH193" i="336"/>
  <c r="DH174" i="336" s="1"/>
  <c r="DI193" i="336"/>
  <c r="DI174" i="336" s="1"/>
  <c r="DJ193" i="336"/>
  <c r="DJ174" i="336" s="1"/>
  <c r="DM193" i="336"/>
  <c r="DN193" i="336"/>
  <c r="DO193" i="336"/>
  <c r="DP193" i="336"/>
  <c r="DP174" i="336" s="1"/>
  <c r="BE180" i="336"/>
  <c r="BF180" i="336"/>
  <c r="BG180" i="336"/>
  <c r="BH180" i="336"/>
  <c r="BK180" i="336"/>
  <c r="BL180" i="336"/>
  <c r="BM180" i="336"/>
  <c r="BN180" i="336"/>
  <c r="BQ180" i="336"/>
  <c r="BR180" i="336"/>
  <c r="BS180" i="336"/>
  <c r="BT180" i="336"/>
  <c r="CM180" i="336"/>
  <c r="CS180" i="336"/>
  <c r="CY180" i="336"/>
  <c r="DW180" i="336"/>
  <c r="BE184" i="336"/>
  <c r="BE208" i="336"/>
  <c r="BK184" i="336"/>
  <c r="BK208" i="336"/>
  <c r="BC185" i="336"/>
  <c r="BI185" i="336"/>
  <c r="BO185" i="336"/>
  <c r="BU185" i="336"/>
  <c r="BT185" i="336" s="1"/>
  <c r="BT198" i="336" s="1"/>
  <c r="CA185" i="336"/>
  <c r="BZ185" i="336" s="1"/>
  <c r="BZ198" i="336" s="1"/>
  <c r="CM185" i="336"/>
  <c r="CS185" i="336"/>
  <c r="CW185" i="336"/>
  <c r="CY185" i="336"/>
  <c r="DE185" i="336"/>
  <c r="BZ186" i="336"/>
  <c r="CY186" i="336"/>
  <c r="DK186" i="336"/>
  <c r="BC187" i="336"/>
  <c r="BI187" i="336"/>
  <c r="BO187" i="336"/>
  <c r="BU187" i="336"/>
  <c r="CA187" i="336"/>
  <c r="DA187" i="336"/>
  <c r="DB187" i="336"/>
  <c r="DC187" i="336"/>
  <c r="BU189" i="336"/>
  <c r="CA189" i="336"/>
  <c r="CM189" i="336"/>
  <c r="CS189" i="336"/>
  <c r="CY189" i="336"/>
  <c r="DE189" i="336"/>
  <c r="DK189" i="336"/>
  <c r="DQ189" i="336"/>
  <c r="DW189" i="336"/>
  <c r="EC189" i="336"/>
  <c r="EO189" i="336"/>
  <c r="EU189" i="336"/>
  <c r="BI226" i="335"/>
  <c r="BI242" i="336" s="1"/>
  <c r="BI248" i="335" s="1"/>
  <c r="BI249" i="335" s="1"/>
  <c r="BC226" i="335"/>
  <c r="BO226" i="335"/>
  <c r="BO242" i="336" s="1"/>
  <c r="BT193" i="336"/>
  <c r="BU226" i="335"/>
  <c r="BU193" i="336" s="1"/>
  <c r="BZ193" i="336"/>
  <c r="CA226" i="335"/>
  <c r="CA242" i="336" s="1"/>
  <c r="CF193" i="336"/>
  <c r="CG226" i="335"/>
  <c r="CM226" i="335"/>
  <c r="CS226" i="335"/>
  <c r="DE226" i="335"/>
  <c r="DK226" i="335"/>
  <c r="BE195" i="336"/>
  <c r="BF195" i="336"/>
  <c r="BG195" i="336"/>
  <c r="BH195" i="336"/>
  <c r="BK195" i="336"/>
  <c r="BL195" i="336"/>
  <c r="BM195" i="336"/>
  <c r="BN195" i="336"/>
  <c r="BQ195" i="336"/>
  <c r="BR195" i="336"/>
  <c r="BS195" i="336"/>
  <c r="BT195" i="336"/>
  <c r="BW195" i="336"/>
  <c r="BX195" i="336"/>
  <c r="BY195" i="336"/>
  <c r="BZ195" i="336"/>
  <c r="CC195" i="336"/>
  <c r="CD195" i="336"/>
  <c r="CE195" i="336"/>
  <c r="CF195" i="336"/>
  <c r="CI195" i="336"/>
  <c r="CJ195" i="336"/>
  <c r="CK195" i="336"/>
  <c r="CL195" i="336"/>
  <c r="CO195" i="336"/>
  <c r="CP195" i="336"/>
  <c r="CQ195" i="336"/>
  <c r="CR195" i="336"/>
  <c r="CU195" i="336"/>
  <c r="CV195" i="336"/>
  <c r="CX195" i="336"/>
  <c r="DA195" i="336"/>
  <c r="DB195" i="336"/>
  <c r="DC195" i="336"/>
  <c r="DD195" i="336"/>
  <c r="DG195" i="336"/>
  <c r="DH195" i="336"/>
  <c r="DI195" i="336"/>
  <c r="DJ195" i="336"/>
  <c r="DM195" i="336"/>
  <c r="DO195" i="336"/>
  <c r="DP195" i="336"/>
  <c r="DS195" i="336"/>
  <c r="DT195" i="336"/>
  <c r="DU195" i="336"/>
  <c r="DV195" i="336"/>
  <c r="BQ198" i="336"/>
  <c r="BR198" i="336"/>
  <c r="BS198" i="336"/>
  <c r="BW198" i="336"/>
  <c r="BX198" i="336"/>
  <c r="BY198" i="336"/>
  <c r="CC198" i="336"/>
  <c r="CI198" i="336"/>
  <c r="CJ198" i="336"/>
  <c r="CK198" i="336"/>
  <c r="CL198" i="336"/>
  <c r="CO198" i="336"/>
  <c r="CP198" i="336"/>
  <c r="CQ198" i="336"/>
  <c r="CR198" i="336"/>
  <c r="CU198" i="336"/>
  <c r="CV198" i="336"/>
  <c r="CX198" i="336"/>
  <c r="DA198" i="336"/>
  <c r="DB198" i="336"/>
  <c r="DC198" i="336"/>
  <c r="DD198" i="336"/>
  <c r="CV201" i="336"/>
  <c r="DB201" i="336"/>
  <c r="DC201" i="336" s="1"/>
  <c r="DD201" i="336" s="1"/>
  <c r="BE206" i="336"/>
  <c r="BF206" i="336"/>
  <c r="BG206" i="336"/>
  <c r="BK206" i="336"/>
  <c r="BL206" i="336"/>
  <c r="BM206" i="336"/>
  <c r="BN206" i="336"/>
  <c r="BQ206" i="336"/>
  <c r="BR206" i="336"/>
  <c r="BS206" i="336"/>
  <c r="BT206" i="336"/>
  <c r="BW206" i="336"/>
  <c r="BX206" i="336"/>
  <c r="BY206" i="336"/>
  <c r="BZ206" i="336"/>
  <c r="CC206" i="336"/>
  <c r="CD206" i="336"/>
  <c r="CE206" i="336"/>
  <c r="CF206" i="336"/>
  <c r="CL206" i="336"/>
  <c r="CO206" i="336"/>
  <c r="CP206" i="336"/>
  <c r="CQ206" i="336"/>
  <c r="CR206" i="336"/>
  <c r="CU206" i="336"/>
  <c r="CV206" i="336"/>
  <c r="CW206" i="336"/>
  <c r="CX206" i="336"/>
  <c r="DA206" i="336"/>
  <c r="DB206" i="336"/>
  <c r="DC206" i="336"/>
  <c r="DD206" i="336"/>
  <c r="DG206" i="336"/>
  <c r="DH206" i="336"/>
  <c r="DI206" i="336"/>
  <c r="DJ206" i="336"/>
  <c r="DM206" i="336"/>
  <c r="DN206" i="336"/>
  <c r="DO206" i="336"/>
  <c r="DP206" i="336"/>
  <c r="DS206" i="336"/>
  <c r="DT206" i="336"/>
  <c r="DU206" i="336"/>
  <c r="DV206" i="336"/>
  <c r="AY160" i="335"/>
  <c r="AY214" i="335"/>
  <c r="AZ160" i="335"/>
  <c r="BA160" i="335"/>
  <c r="BB160" i="335"/>
  <c r="BB214" i="335"/>
  <c r="BA216" i="335"/>
  <c r="BB216" i="335"/>
  <c r="BE214" i="335"/>
  <c r="BC208" i="336"/>
  <c r="BI208" i="336"/>
  <c r="BO208" i="336"/>
  <c r="CA208" i="336"/>
  <c r="CG208" i="336"/>
  <c r="BU209" i="336"/>
  <c r="AZ213" i="336"/>
  <c r="BA213" i="336"/>
  <c r="BB213" i="336"/>
  <c r="BE213" i="336"/>
  <c r="BF213" i="336"/>
  <c r="BG213" i="336"/>
  <c r="BH213" i="336"/>
  <c r="BJ213" i="336"/>
  <c r="BK213" i="336"/>
  <c r="BL213" i="336"/>
  <c r="BM213" i="336"/>
  <c r="BN213" i="336"/>
  <c r="BP213" i="336"/>
  <c r="BQ213" i="336"/>
  <c r="BR213" i="336"/>
  <c r="BS213" i="336"/>
  <c r="BT213" i="336"/>
  <c r="BV213" i="336"/>
  <c r="BW213" i="336"/>
  <c r="BX213" i="336"/>
  <c r="CB213" i="336"/>
  <c r="CH213" i="336"/>
  <c r="CN213" i="336"/>
  <c r="BI215" i="336"/>
  <c r="BN215" i="336"/>
  <c r="BN216" i="336"/>
  <c r="BN217" i="336"/>
  <c r="BO217" i="336" s="1"/>
  <c r="BT215" i="336"/>
  <c r="BU215" i="336" s="1"/>
  <c r="BT216" i="336"/>
  <c r="BU216" i="336" s="1"/>
  <c r="BT217" i="336"/>
  <c r="BZ215" i="336"/>
  <c r="CA215" i="336" s="1"/>
  <c r="BZ216" i="336"/>
  <c r="CA216" i="336" s="1"/>
  <c r="BZ217" i="336"/>
  <c r="CA217" i="336" s="1"/>
  <c r="CG217" i="336"/>
  <c r="CM216" i="336"/>
  <c r="CS216" i="336"/>
  <c r="CY216" i="336"/>
  <c r="DE216" i="336"/>
  <c r="DK216" i="336"/>
  <c r="DQ216" i="336"/>
  <c r="DW216" i="336"/>
  <c r="EC216" i="336"/>
  <c r="EI216" i="336"/>
  <c r="EO216" i="336"/>
  <c r="EU216" i="336"/>
  <c r="CM217" i="336"/>
  <c r="CS217" i="336"/>
  <c r="CY217" i="336"/>
  <c r="DE217" i="336"/>
  <c r="DK217" i="336"/>
  <c r="DQ217" i="336"/>
  <c r="DW217" i="336"/>
  <c r="EC217" i="336"/>
  <c r="EI217" i="336"/>
  <c r="EO217" i="336"/>
  <c r="EU217" i="336"/>
  <c r="I220" i="336"/>
  <c r="J220" i="336" s="1"/>
  <c r="K220" i="336" s="1"/>
  <c r="L220" i="336" s="1"/>
  <c r="M220" i="336" s="1"/>
  <c r="M224" i="336" s="1"/>
  <c r="BO233" i="335"/>
  <c r="BN233" i="335"/>
  <c r="BN232" i="335"/>
  <c r="BT233" i="335"/>
  <c r="BU233" i="335" s="1"/>
  <c r="BY232" i="336"/>
  <c r="BI247" i="336"/>
  <c r="BO247" i="336"/>
  <c r="BW242" i="336"/>
  <c r="BW254" i="336" s="1"/>
  <c r="BX242" i="336"/>
  <c r="BX254" i="336" s="1"/>
  <c r="BY242" i="336"/>
  <c r="BY254" i="336" s="1"/>
  <c r="BZ242" i="336"/>
  <c r="BZ254" i="336" s="1"/>
  <c r="CC242" i="336"/>
  <c r="CC254" i="336" s="1"/>
  <c r="CD242" i="336"/>
  <c r="CD254" i="336" s="1"/>
  <c r="CE242" i="336"/>
  <c r="CE254" i="336" s="1"/>
  <c r="CF242" i="336"/>
  <c r="CF254" i="336" s="1"/>
  <c r="CI242" i="336"/>
  <c r="CI254" i="336" s="1"/>
  <c r="CJ242" i="336"/>
  <c r="CJ254" i="336" s="1"/>
  <c r="CK242" i="336"/>
  <c r="CK254" i="336" s="1"/>
  <c r="BC243" i="336"/>
  <c r="BI243" i="336"/>
  <c r="BO243" i="336"/>
  <c r="BO251" i="335" s="1"/>
  <c r="BU243" i="336"/>
  <c r="BU251" i="335" s="1"/>
  <c r="CA243" i="336"/>
  <c r="CI243" i="336"/>
  <c r="CI250" i="336" s="1"/>
  <c r="BC244" i="336"/>
  <c r="BI244" i="336"/>
  <c r="BI247" i="335" s="1"/>
  <c r="BO244" i="336"/>
  <c r="BO247" i="335" s="1"/>
  <c r="BU244" i="336"/>
  <c r="BU247" i="335" s="1"/>
  <c r="CA244" i="336"/>
  <c r="CA247" i="335" s="1"/>
  <c r="CI244" i="336"/>
  <c r="CI251" i="336" s="1"/>
  <c r="BC245" i="336"/>
  <c r="BI245" i="336"/>
  <c r="BO245" i="336"/>
  <c r="BU245" i="336"/>
  <c r="CA245" i="336"/>
  <c r="CG245" i="336"/>
  <c r="CI245" i="336"/>
  <c r="CI252" i="336" s="1"/>
  <c r="BC247" i="336"/>
  <c r="BU247" i="336"/>
  <c r="BC257" i="336"/>
  <c r="BI257" i="336"/>
  <c r="BO257" i="336"/>
  <c r="BU257" i="336"/>
  <c r="BW257" i="336"/>
  <c r="BX257" i="336"/>
  <c r="CA257" i="336"/>
  <c r="BZ257" i="336"/>
  <c r="CC257" i="336"/>
  <c r="CD257" i="336"/>
  <c r="CE257" i="336"/>
  <c r="CG257" i="336"/>
  <c r="CF257" i="336"/>
  <c r="BC258" i="336"/>
  <c r="BI258" i="336"/>
  <c r="BO258" i="336"/>
  <c r="BU258" i="336"/>
  <c r="BW258" i="336"/>
  <c r="BX258" i="336"/>
  <c r="BY258" i="336"/>
  <c r="CA258" i="336"/>
  <c r="BZ258" i="336"/>
  <c r="CC258" i="336"/>
  <c r="CD258" i="336"/>
  <c r="CE258" i="336"/>
  <c r="CG258" i="336"/>
  <c r="CF258" i="336"/>
  <c r="BO259" i="336"/>
  <c r="BU259" i="336"/>
  <c r="CA259" i="336"/>
  <c r="BZ259" i="336"/>
  <c r="CE259" i="336"/>
  <c r="CF259" i="336"/>
  <c r="BZ261" i="336"/>
  <c r="CF261" i="336"/>
  <c r="BC262" i="336"/>
  <c r="BI262" i="336"/>
  <c r="BO262" i="336"/>
  <c r="BU262" i="336"/>
  <c r="CA262" i="336"/>
  <c r="BZ262" i="336" s="1"/>
  <c r="CI262" i="336"/>
  <c r="BW267" i="336"/>
  <c r="BX267" i="336" s="1"/>
  <c r="CC267" i="336"/>
  <c r="CG267" i="336"/>
  <c r="CG262" i="336"/>
  <c r="CF262" i="336" s="1"/>
  <c r="CJ267" i="336"/>
  <c r="CJ262" i="336" s="1"/>
  <c r="CC268" i="336"/>
  <c r="CE268" i="336" s="1"/>
  <c r="CJ268" i="336"/>
  <c r="CK268" i="336" s="1"/>
  <c r="BW269" i="336"/>
  <c r="BW245" i="336" s="1"/>
  <c r="BW252" i="336" s="1"/>
  <c r="CC269" i="336"/>
  <c r="CC245" i="336" s="1"/>
  <c r="CC252" i="336" s="1"/>
  <c r="CJ269" i="336"/>
  <c r="CK269" i="336" s="1"/>
  <c r="CK245" i="336" s="1"/>
  <c r="CK252" i="336" s="1"/>
  <c r="BW270" i="336"/>
  <c r="CC270" i="336"/>
  <c r="CJ270" i="336"/>
  <c r="CK270" i="336" s="1"/>
  <c r="BC271" i="336"/>
  <c r="BC285" i="336" s="1"/>
  <c r="BI276" i="336"/>
  <c r="BO276" i="336"/>
  <c r="BU276" i="336"/>
  <c r="CA276" i="336"/>
  <c r="CG276" i="336"/>
  <c r="BB289" i="336"/>
  <c r="BH289" i="336"/>
  <c r="BN289" i="336"/>
  <c r="BX290" i="336"/>
  <c r="BK291" i="336"/>
  <c r="BQ291" i="336"/>
  <c r="BX292" i="336"/>
  <c r="BY292" i="336" s="1"/>
  <c r="BZ292" i="336" s="1"/>
  <c r="CD292" i="336"/>
  <c r="CE292" i="336" s="1"/>
  <c r="CJ292" i="336"/>
  <c r="CK292" i="336" s="1"/>
  <c r="CL292" i="336" s="1"/>
  <c r="BI295" i="336"/>
  <c r="BX295" i="336"/>
  <c r="BX296" i="336" s="1"/>
  <c r="BZ295" i="336"/>
  <c r="BZ296" i="336" s="1"/>
  <c r="BQ296" i="336"/>
  <c r="BR296" i="336"/>
  <c r="BS296" i="336"/>
  <c r="BT296" i="336"/>
  <c r="BI316" i="336"/>
  <c r="BO316" i="336"/>
  <c r="BQ316" i="336"/>
  <c r="BR316" i="336"/>
  <c r="BS316" i="336"/>
  <c r="BI317" i="336"/>
  <c r="BO317" i="336"/>
  <c r="BQ317" i="336"/>
  <c r="BR317" i="336"/>
  <c r="BS317" i="336"/>
  <c r="BI318" i="336"/>
  <c r="BO318" i="336"/>
  <c r="BQ318" i="336"/>
  <c r="BR318" i="336"/>
  <c r="BS318" i="336"/>
  <c r="BI319" i="336"/>
  <c r="BO319" i="336"/>
  <c r="BQ319" i="336"/>
  <c r="BR319" i="336"/>
  <c r="BS319" i="336"/>
  <c r="BI320" i="336"/>
  <c r="BO320" i="336"/>
  <c r="BQ320" i="336"/>
  <c r="BR320" i="336"/>
  <c r="BS320" i="336"/>
  <c r="BR321" i="336"/>
  <c r="BS321" i="336"/>
  <c r="BR322" i="336"/>
  <c r="BS322" i="336"/>
  <c r="C10" i="335"/>
  <c r="D10" i="335"/>
  <c r="E10" i="335"/>
  <c r="F10" i="335"/>
  <c r="G10" i="335"/>
  <c r="H10" i="335"/>
  <c r="I10" i="335"/>
  <c r="J10" i="335"/>
  <c r="K10" i="335"/>
  <c r="L10" i="335"/>
  <c r="M10" i="335"/>
  <c r="O10" i="335"/>
  <c r="P10" i="335"/>
  <c r="Q10" i="335"/>
  <c r="R10" i="335"/>
  <c r="U10" i="335"/>
  <c r="V10" i="335"/>
  <c r="W10" i="335"/>
  <c r="X10" i="335"/>
  <c r="AA10" i="335"/>
  <c r="AB10" i="335"/>
  <c r="AC10" i="335"/>
  <c r="AD10" i="335"/>
  <c r="AG10" i="335"/>
  <c r="AH10" i="335"/>
  <c r="AI10" i="335"/>
  <c r="AJ10" i="335"/>
  <c r="AM10" i="335"/>
  <c r="AN10" i="335"/>
  <c r="DH10" i="335"/>
  <c r="DI10" i="335"/>
  <c r="DJ10" i="335"/>
  <c r="DM10" i="335"/>
  <c r="DN10" i="335"/>
  <c r="DO10" i="335"/>
  <c r="DP10" i="335"/>
  <c r="DS10" i="335"/>
  <c r="DT10" i="335"/>
  <c r="DU10" i="335"/>
  <c r="DV10" i="335"/>
  <c r="DY10" i="335"/>
  <c r="C11" i="335"/>
  <c r="D11" i="335"/>
  <c r="E11" i="335"/>
  <c r="F11" i="335"/>
  <c r="G11" i="335"/>
  <c r="H11" i="335"/>
  <c r="I11" i="335"/>
  <c r="J11" i="335"/>
  <c r="K11" i="335"/>
  <c r="L11" i="335"/>
  <c r="M11" i="335"/>
  <c r="O11" i="335"/>
  <c r="P11" i="335"/>
  <c r="Q11" i="335"/>
  <c r="R11" i="335"/>
  <c r="U11" i="335"/>
  <c r="V11" i="335"/>
  <c r="W11" i="335"/>
  <c r="X11" i="335"/>
  <c r="AA11" i="335"/>
  <c r="AB11" i="335"/>
  <c r="AC11" i="335"/>
  <c r="AD11" i="335"/>
  <c r="AG11" i="335"/>
  <c r="AH11" i="335"/>
  <c r="AI11" i="335"/>
  <c r="AJ11" i="335"/>
  <c r="AM11" i="335"/>
  <c r="AN11" i="335"/>
  <c r="AO11" i="335"/>
  <c r="AP11" i="335"/>
  <c r="AS11" i="335"/>
  <c r="AT11" i="335"/>
  <c r="AU11" i="335"/>
  <c r="AV11" i="335"/>
  <c r="AY11" i="335"/>
  <c r="AZ11" i="335"/>
  <c r="BA11" i="335"/>
  <c r="BB11" i="335"/>
  <c r="BE11" i="335"/>
  <c r="BF11" i="335"/>
  <c r="BG11" i="335"/>
  <c r="BH11" i="335"/>
  <c r="BK11" i="335"/>
  <c r="BL11" i="335"/>
  <c r="BM11" i="335"/>
  <c r="BN11" i="335"/>
  <c r="DH11" i="335"/>
  <c r="DI11" i="335"/>
  <c r="DJ11" i="335"/>
  <c r="DM11" i="335"/>
  <c r="DN11" i="335"/>
  <c r="DO11" i="335"/>
  <c r="DP11" i="335"/>
  <c r="DS11" i="335"/>
  <c r="DT11" i="335"/>
  <c r="DU11" i="335"/>
  <c r="DV11" i="335"/>
  <c r="DY11" i="335"/>
  <c r="C12" i="335"/>
  <c r="D12" i="335"/>
  <c r="E12" i="335"/>
  <c r="F12" i="335"/>
  <c r="G12" i="335"/>
  <c r="BM12" i="335"/>
  <c r="DH12" i="335"/>
  <c r="DI12" i="335"/>
  <c r="DJ12" i="335"/>
  <c r="DM12" i="335"/>
  <c r="DN12" i="335"/>
  <c r="DO12" i="335"/>
  <c r="DP12" i="335"/>
  <c r="DS12" i="335"/>
  <c r="DT12" i="335"/>
  <c r="DU12" i="335"/>
  <c r="DV12" i="335"/>
  <c r="DY12" i="335"/>
  <c r="D15" i="335"/>
  <c r="E15" i="335"/>
  <c r="F15" i="335"/>
  <c r="G15" i="335"/>
  <c r="H15" i="335"/>
  <c r="I15" i="335"/>
  <c r="J15" i="335"/>
  <c r="DP16" i="335"/>
  <c r="S39" i="335"/>
  <c r="Y39" i="335"/>
  <c r="AK39" i="335"/>
  <c r="AQ39" i="335"/>
  <c r="AW279" i="335" s="1"/>
  <c r="L40" i="335"/>
  <c r="M40" i="335"/>
  <c r="U40" i="335"/>
  <c r="V40" i="335"/>
  <c r="W40" i="335"/>
  <c r="X40" i="335"/>
  <c r="AM40" i="335"/>
  <c r="AN40" i="335"/>
  <c r="AO40" i="335"/>
  <c r="AP40" i="335"/>
  <c r="AS40" i="335"/>
  <c r="AT40" i="335"/>
  <c r="AU40" i="335"/>
  <c r="AV40" i="335"/>
  <c r="AY40" i="335"/>
  <c r="AZ40" i="335"/>
  <c r="BA40" i="335"/>
  <c r="BB40" i="335"/>
  <c r="BE40" i="335"/>
  <c r="BF40" i="335"/>
  <c r="BG40" i="335"/>
  <c r="BH40" i="335"/>
  <c r="BN40" i="335"/>
  <c r="BT40" i="335"/>
  <c r="CE40" i="335"/>
  <c r="CQ40" i="335"/>
  <c r="CX40" i="335"/>
  <c r="DC40" i="335"/>
  <c r="DD40" i="335"/>
  <c r="DG40" i="335"/>
  <c r="DH40" i="335"/>
  <c r="DI40" i="335"/>
  <c r="DJ40" i="335"/>
  <c r="DM40" i="335"/>
  <c r="DN40" i="335"/>
  <c r="DO40" i="335"/>
  <c r="P41" i="335"/>
  <c r="Q41" i="335"/>
  <c r="R41" i="335"/>
  <c r="U41" i="335"/>
  <c r="V41" i="335"/>
  <c r="W41" i="335"/>
  <c r="X41" i="335"/>
  <c r="AH41" i="335"/>
  <c r="AI41" i="335"/>
  <c r="AJ41" i="335"/>
  <c r="AM41" i="335"/>
  <c r="AN41" i="335"/>
  <c r="AO41" i="335"/>
  <c r="AP41" i="335"/>
  <c r="AS41" i="335"/>
  <c r="AT41" i="335"/>
  <c r="AU41" i="335"/>
  <c r="AV41" i="335"/>
  <c r="AY41" i="335"/>
  <c r="AZ41" i="335"/>
  <c r="BA41" i="335"/>
  <c r="BB41" i="335"/>
  <c r="BE41" i="335"/>
  <c r="BF41" i="335"/>
  <c r="BG41" i="335"/>
  <c r="BH41" i="335"/>
  <c r="BT41" i="335"/>
  <c r="CP41" i="335"/>
  <c r="CX41" i="335"/>
  <c r="DA41" i="335"/>
  <c r="DB41" i="335"/>
  <c r="DC41" i="335"/>
  <c r="DD41" i="335"/>
  <c r="DG41" i="335"/>
  <c r="DH41" i="335"/>
  <c r="DI41" i="335"/>
  <c r="DJ41" i="335"/>
  <c r="DM41" i="335"/>
  <c r="DN41" i="335"/>
  <c r="DO41" i="335"/>
  <c r="DP41" i="335"/>
  <c r="S42" i="335"/>
  <c r="S43" i="335" s="1"/>
  <c r="Y42" i="335"/>
  <c r="AE42" i="335"/>
  <c r="AK42" i="335"/>
  <c r="AQ42" i="335"/>
  <c r="FO42" i="335"/>
  <c r="FP42" i="335"/>
  <c r="FQ42" i="335"/>
  <c r="FR42" i="335"/>
  <c r="FS43" i="335" s="1"/>
  <c r="L43" i="335"/>
  <c r="M43" i="335"/>
  <c r="U43" i="335"/>
  <c r="V43" i="335"/>
  <c r="W43" i="335"/>
  <c r="X43" i="335"/>
  <c r="AA43" i="335"/>
  <c r="AB43" i="335"/>
  <c r="AC43" i="335"/>
  <c r="AD43" i="335"/>
  <c r="AG43" i="335"/>
  <c r="AH43" i="335"/>
  <c r="AI43" i="335"/>
  <c r="AJ43" i="335"/>
  <c r="AM43" i="335"/>
  <c r="AN43" i="335"/>
  <c r="AO43" i="335"/>
  <c r="AP43" i="335"/>
  <c r="AS43" i="335"/>
  <c r="AT43" i="335"/>
  <c r="AU43" i="335"/>
  <c r="AV43" i="335"/>
  <c r="AY43" i="335"/>
  <c r="AZ43" i="335"/>
  <c r="BA43" i="335"/>
  <c r="BB43" i="335"/>
  <c r="BE43" i="335"/>
  <c r="BF43" i="335"/>
  <c r="BG43" i="335"/>
  <c r="BH43" i="335"/>
  <c r="BK43" i="335"/>
  <c r="BL43" i="335"/>
  <c r="BM43" i="335"/>
  <c r="BN43" i="335"/>
  <c r="BQ43" i="335"/>
  <c r="BR43" i="335"/>
  <c r="BS43" i="335"/>
  <c r="BT43" i="335"/>
  <c r="BW43" i="335"/>
  <c r="BX43" i="335"/>
  <c r="BY43" i="335"/>
  <c r="BZ43" i="335"/>
  <c r="CC43" i="335"/>
  <c r="CD43" i="335"/>
  <c r="CE43" i="335"/>
  <c r="CF43" i="335"/>
  <c r="CI43" i="335"/>
  <c r="CJ43" i="335"/>
  <c r="CK43" i="335"/>
  <c r="CL43" i="335"/>
  <c r="P44" i="335"/>
  <c r="Q44" i="335"/>
  <c r="R44" i="335"/>
  <c r="U44" i="335"/>
  <c r="V44" i="335"/>
  <c r="W44" i="335"/>
  <c r="X44" i="335"/>
  <c r="AA44" i="335"/>
  <c r="AB44" i="335"/>
  <c r="AC44" i="335"/>
  <c r="AD44" i="335"/>
  <c r="AG44" i="335"/>
  <c r="AH44" i="335"/>
  <c r="AI44" i="335"/>
  <c r="AJ44" i="335"/>
  <c r="AM44" i="335"/>
  <c r="AN44" i="335"/>
  <c r="AO44" i="335"/>
  <c r="AP44" i="335"/>
  <c r="AS44" i="335"/>
  <c r="AT44" i="335"/>
  <c r="AU44" i="335"/>
  <c r="AV44" i="335"/>
  <c r="AY44" i="335"/>
  <c r="AZ44" i="335"/>
  <c r="BA44" i="335"/>
  <c r="BB44" i="335"/>
  <c r="BE44" i="335"/>
  <c r="BF44" i="335"/>
  <c r="BG44" i="335"/>
  <c r="BH44" i="335"/>
  <c r="BK44" i="335"/>
  <c r="BL44" i="335"/>
  <c r="BM44" i="335"/>
  <c r="BN44" i="335"/>
  <c r="BQ44" i="335"/>
  <c r="BR44" i="335"/>
  <c r="BS44" i="335"/>
  <c r="BT44" i="335"/>
  <c r="BW44" i="335"/>
  <c r="BX44" i="335"/>
  <c r="BY44" i="335"/>
  <c r="BZ44" i="335"/>
  <c r="CC44" i="335"/>
  <c r="CD44" i="335"/>
  <c r="CE44" i="335"/>
  <c r="CF44" i="335"/>
  <c r="CI44" i="335"/>
  <c r="CJ44" i="335"/>
  <c r="CK44" i="335"/>
  <c r="CL44" i="335"/>
  <c r="CO44" i="335"/>
  <c r="CP44" i="335"/>
  <c r="CQ44" i="335"/>
  <c r="CR44" i="335"/>
  <c r="CU44" i="335"/>
  <c r="CV44" i="335"/>
  <c r="CW44" i="335"/>
  <c r="CX44" i="335"/>
  <c r="DA44" i="335"/>
  <c r="DB44" i="335"/>
  <c r="DC44" i="335"/>
  <c r="DD44" i="335"/>
  <c r="DG44" i="335"/>
  <c r="DH44" i="335"/>
  <c r="DI44" i="335"/>
  <c r="DJ44" i="335"/>
  <c r="DM44" i="335"/>
  <c r="DN44" i="335"/>
  <c r="DG62" i="335"/>
  <c r="DH62" i="335"/>
  <c r="DI62" i="335"/>
  <c r="DJ62" i="335"/>
  <c r="DM62" i="335"/>
  <c r="DN62" i="335"/>
  <c r="DO62" i="335"/>
  <c r="DP62" i="335"/>
  <c r="DS62" i="335"/>
  <c r="DT62" i="335"/>
  <c r="DZ62" i="335"/>
  <c r="EE62" i="335"/>
  <c r="DE64" i="335"/>
  <c r="FS64" i="335"/>
  <c r="DE65" i="335"/>
  <c r="H88" i="335"/>
  <c r="I88" i="335"/>
  <c r="J88" i="335"/>
  <c r="K88" i="335"/>
  <c r="L88" i="335"/>
  <c r="M88" i="335"/>
  <c r="AG47" i="335"/>
  <c r="AH47" i="335"/>
  <c r="AI47" i="335"/>
  <c r="AJ47" i="335"/>
  <c r="AM47" i="335"/>
  <c r="AN47" i="335"/>
  <c r="AO47" i="335"/>
  <c r="AP47" i="335"/>
  <c r="AS47" i="335"/>
  <c r="AT47" i="335"/>
  <c r="AU47" i="335"/>
  <c r="AV47" i="335"/>
  <c r="AZ47" i="335"/>
  <c r="BF47" i="335"/>
  <c r="BG47" i="335"/>
  <c r="BK47" i="335"/>
  <c r="BL47" i="335"/>
  <c r="BM47" i="335"/>
  <c r="BN47" i="335"/>
  <c r="BQ47" i="335"/>
  <c r="BR47" i="335"/>
  <c r="BS47" i="335"/>
  <c r="BT47" i="335"/>
  <c r="BW47" i="335"/>
  <c r="BX47" i="335"/>
  <c r="BY47" i="335"/>
  <c r="CC47" i="335"/>
  <c r="CD47" i="335"/>
  <c r="CE47" i="335"/>
  <c r="CI47" i="335"/>
  <c r="CJ47" i="335"/>
  <c r="CK47" i="335"/>
  <c r="CP47" i="335"/>
  <c r="CQ47" i="335"/>
  <c r="CV47" i="335"/>
  <c r="CW47" i="335"/>
  <c r="AG48" i="335"/>
  <c r="AH48" i="335"/>
  <c r="AI48" i="335"/>
  <c r="AJ48" i="335"/>
  <c r="AM48" i="335"/>
  <c r="AN48" i="335"/>
  <c r="AO48" i="335"/>
  <c r="AP48" i="335"/>
  <c r="AS48" i="335"/>
  <c r="AT48" i="335"/>
  <c r="AU48" i="335"/>
  <c r="AV48" i="335"/>
  <c r="BA48" i="335"/>
  <c r="BF48" i="335"/>
  <c r="BG48" i="335"/>
  <c r="BH48" i="335"/>
  <c r="BK48" i="335"/>
  <c r="BL48" i="335"/>
  <c r="BM48" i="335"/>
  <c r="BN48" i="335"/>
  <c r="BQ48" i="335"/>
  <c r="BR48" i="335"/>
  <c r="BS48" i="335"/>
  <c r="BT48" i="335"/>
  <c r="BW48" i="335"/>
  <c r="BX48" i="335"/>
  <c r="BY48" i="335"/>
  <c r="CD48" i="335"/>
  <c r="CE48" i="335"/>
  <c r="CF48" i="335"/>
  <c r="CI48" i="335"/>
  <c r="CJ48" i="335"/>
  <c r="CK48" i="335"/>
  <c r="CQ48" i="335"/>
  <c r="CW48" i="335"/>
  <c r="CX48" i="335"/>
  <c r="DC48" i="335"/>
  <c r="DD48" i="335"/>
  <c r="DG48" i="335"/>
  <c r="DH48" i="335"/>
  <c r="DI48" i="335"/>
  <c r="DJ48" i="335"/>
  <c r="DM48" i="335"/>
  <c r="DP48" i="335"/>
  <c r="DS48" i="335"/>
  <c r="DO52" i="335"/>
  <c r="DP52" i="335"/>
  <c r="DJ70" i="335"/>
  <c r="DM70" i="335"/>
  <c r="DN70" i="335"/>
  <c r="DO70" i="335"/>
  <c r="DP70" i="335"/>
  <c r="DJ68" i="335"/>
  <c r="DM68" i="335"/>
  <c r="DN68" i="335"/>
  <c r="DO68" i="335"/>
  <c r="DP68" i="335"/>
  <c r="DS68" i="335"/>
  <c r="DT68" i="335"/>
  <c r="DG69" i="335"/>
  <c r="DH69" i="335"/>
  <c r="DI69" i="335"/>
  <c r="DJ69" i="335"/>
  <c r="DM69" i="335"/>
  <c r="DN69" i="335"/>
  <c r="DO69" i="335"/>
  <c r="DP69" i="335"/>
  <c r="DS69" i="335"/>
  <c r="DT69" i="335"/>
  <c r="FO72" i="335"/>
  <c r="FP72" i="335"/>
  <c r="FQ72" i="335"/>
  <c r="FR72" i="335"/>
  <c r="FO73" i="335"/>
  <c r="FP73" i="335"/>
  <c r="FQ73" i="335"/>
  <c r="FR73" i="335"/>
  <c r="FO74" i="335"/>
  <c r="FP74" i="335"/>
  <c r="FQ74" i="335"/>
  <c r="FR74" i="335"/>
  <c r="Y75" i="335"/>
  <c r="AE75" i="335"/>
  <c r="AK75" i="335"/>
  <c r="AQ75" i="335"/>
  <c r="AW75" i="335"/>
  <c r="BC75" i="335"/>
  <c r="BI75" i="335"/>
  <c r="BO75" i="335"/>
  <c r="U92" i="335"/>
  <c r="U100" i="335" s="1"/>
  <c r="V92" i="335"/>
  <c r="V100" i="335" s="1"/>
  <c r="W92" i="335"/>
  <c r="W100" i="335" s="1"/>
  <c r="X92" i="335"/>
  <c r="X100" i="335" s="1"/>
  <c r="U93" i="335"/>
  <c r="U101" i="335" s="1"/>
  <c r="V93" i="335"/>
  <c r="V101" i="335" s="1"/>
  <c r="W93" i="335"/>
  <c r="W101" i="335" s="1"/>
  <c r="X93" i="335"/>
  <c r="X101" i="335" s="1"/>
  <c r="C96" i="335"/>
  <c r="D96" i="335"/>
  <c r="E96" i="335"/>
  <c r="F96" i="335"/>
  <c r="G96" i="335"/>
  <c r="H96" i="335"/>
  <c r="I96" i="335"/>
  <c r="J96" i="335"/>
  <c r="K96" i="335"/>
  <c r="L96" i="335"/>
  <c r="M96" i="335"/>
  <c r="CA97" i="335"/>
  <c r="CG97" i="335"/>
  <c r="CS97" i="335"/>
  <c r="CY97" i="335"/>
  <c r="DE97" i="335"/>
  <c r="DK97" i="335"/>
  <c r="DQ97" i="335"/>
  <c r="DW97" i="335"/>
  <c r="FO97" i="335"/>
  <c r="FP97" i="335"/>
  <c r="FQ97" i="335"/>
  <c r="FR97" i="335"/>
  <c r="C98" i="335"/>
  <c r="D98" i="335"/>
  <c r="E98" i="335"/>
  <c r="F98" i="335"/>
  <c r="G98" i="335"/>
  <c r="H98" i="335"/>
  <c r="I98" i="335"/>
  <c r="J98" i="335"/>
  <c r="K98" i="335"/>
  <c r="L98" i="335"/>
  <c r="M98" i="335"/>
  <c r="O98" i="335"/>
  <c r="P98" i="335"/>
  <c r="Q98" i="335"/>
  <c r="R98" i="335"/>
  <c r="S98" i="335"/>
  <c r="U98" i="335"/>
  <c r="V98" i="335"/>
  <c r="W98" i="335"/>
  <c r="X98" i="335"/>
  <c r="Y98" i="335"/>
  <c r="AA98" i="335"/>
  <c r="AB98" i="335"/>
  <c r="AC98" i="335"/>
  <c r="AD98" i="335"/>
  <c r="AG98" i="335"/>
  <c r="AH98" i="335"/>
  <c r="AI98" i="335"/>
  <c r="AJ98" i="335"/>
  <c r="AM98" i="335"/>
  <c r="AN98" i="335"/>
  <c r="AO98" i="335"/>
  <c r="AP98" i="335"/>
  <c r="AS98" i="335"/>
  <c r="AT98" i="335"/>
  <c r="AU98" i="335"/>
  <c r="AV98" i="335"/>
  <c r="AZ98" i="335"/>
  <c r="BE98" i="335"/>
  <c r="BF98" i="335"/>
  <c r="BG98" i="335"/>
  <c r="BH98" i="335"/>
  <c r="BK98" i="335"/>
  <c r="BL98" i="335"/>
  <c r="BM98" i="335"/>
  <c r="BN98" i="335"/>
  <c r="BQ98" i="335"/>
  <c r="BR98" i="335"/>
  <c r="BS98" i="335"/>
  <c r="BT98" i="335"/>
  <c r="BW98" i="335"/>
  <c r="BX98" i="335"/>
  <c r="BY98" i="335"/>
  <c r="CC98" i="335"/>
  <c r="CD98" i="335"/>
  <c r="CE98" i="335"/>
  <c r="CF98" i="335"/>
  <c r="CI98" i="335"/>
  <c r="CJ98" i="335"/>
  <c r="CK98" i="335"/>
  <c r="CP98" i="335"/>
  <c r="CQ98" i="335"/>
  <c r="CU98" i="335"/>
  <c r="CV98" i="335"/>
  <c r="CW98" i="335"/>
  <c r="CX98" i="335"/>
  <c r="DB98" i="335"/>
  <c r="DC98" i="335"/>
  <c r="DD98" i="335"/>
  <c r="DG98" i="335"/>
  <c r="DH98" i="335"/>
  <c r="DI98" i="335"/>
  <c r="DJ98" i="335"/>
  <c r="DM98" i="335"/>
  <c r="DO98" i="335"/>
  <c r="DP98" i="335"/>
  <c r="DS98" i="335"/>
  <c r="DY98" i="335"/>
  <c r="C99" i="335"/>
  <c r="O99" i="335"/>
  <c r="P99" i="335"/>
  <c r="Q99" i="335"/>
  <c r="R99" i="335"/>
  <c r="U99" i="335"/>
  <c r="V99" i="335"/>
  <c r="W99" i="335"/>
  <c r="X99" i="335"/>
  <c r="C100" i="335"/>
  <c r="O100" i="335"/>
  <c r="P100" i="335"/>
  <c r="Q100" i="335"/>
  <c r="R100" i="335"/>
  <c r="C101" i="335"/>
  <c r="D101" i="335"/>
  <c r="E101" i="335"/>
  <c r="F101" i="335"/>
  <c r="G101" i="335"/>
  <c r="H101" i="335"/>
  <c r="I101" i="335"/>
  <c r="J101" i="335"/>
  <c r="K101" i="335"/>
  <c r="L101" i="335"/>
  <c r="M101" i="335"/>
  <c r="O101" i="335"/>
  <c r="P101" i="335"/>
  <c r="Q101" i="335"/>
  <c r="R101" i="335"/>
  <c r="S101" i="335"/>
  <c r="Y101" i="335"/>
  <c r="AE101" i="335"/>
  <c r="AK101" i="335"/>
  <c r="AQ101" i="335"/>
  <c r="AW101" i="335"/>
  <c r="BC101" i="335"/>
  <c r="BI101" i="335"/>
  <c r="BO101" i="335"/>
  <c r="BU101" i="335"/>
  <c r="DO105" i="335"/>
  <c r="DP105" i="335"/>
  <c r="DD133" i="335"/>
  <c r="DG133" i="335"/>
  <c r="DI133" i="335"/>
  <c r="DM133" i="335"/>
  <c r="DO133" i="335"/>
  <c r="DT133" i="335"/>
  <c r="DI136" i="335"/>
  <c r="DM136" i="335"/>
  <c r="DN136" i="335"/>
  <c r="DP136" i="335"/>
  <c r="DS136" i="335"/>
  <c r="S138" i="335"/>
  <c r="Y138" i="335"/>
  <c r="AE138" i="335"/>
  <c r="AK138" i="335"/>
  <c r="AQ138" i="335"/>
  <c r="AW138" i="335"/>
  <c r="BC138" i="335"/>
  <c r="BE139" i="335"/>
  <c r="BF139" i="335"/>
  <c r="BG139" i="335"/>
  <c r="BH139" i="335"/>
  <c r="BK139" i="335"/>
  <c r="BL139" i="335"/>
  <c r="BM139" i="335"/>
  <c r="BN139" i="335"/>
  <c r="BQ139" i="335"/>
  <c r="BR139" i="335"/>
  <c r="BS139" i="335"/>
  <c r="BT139" i="335"/>
  <c r="BW139" i="335"/>
  <c r="BX139" i="335"/>
  <c r="BY139" i="335"/>
  <c r="BZ139" i="335"/>
  <c r="C141" i="335"/>
  <c r="O148" i="335"/>
  <c r="P148" i="335"/>
  <c r="Q148" i="335"/>
  <c r="R148" i="335"/>
  <c r="U148" i="335"/>
  <c r="V148" i="335"/>
  <c r="W148" i="335"/>
  <c r="X148" i="335"/>
  <c r="G149" i="335"/>
  <c r="H149" i="335"/>
  <c r="I149" i="335"/>
  <c r="J149" i="335"/>
  <c r="K149" i="335"/>
  <c r="L149" i="335"/>
  <c r="M149" i="335"/>
  <c r="U149" i="335"/>
  <c r="V149" i="335"/>
  <c r="W149" i="335"/>
  <c r="X149" i="335"/>
  <c r="AA149" i="335"/>
  <c r="AB149" i="335"/>
  <c r="AC149" i="335"/>
  <c r="AD149" i="335"/>
  <c r="AG149" i="335"/>
  <c r="AH149" i="335"/>
  <c r="AI149" i="335"/>
  <c r="AJ149" i="335"/>
  <c r="AM149" i="335"/>
  <c r="AN149" i="335"/>
  <c r="AO149" i="335"/>
  <c r="AP149" i="335"/>
  <c r="AS149" i="335"/>
  <c r="AT149" i="335"/>
  <c r="AU149" i="335"/>
  <c r="AV149" i="335"/>
  <c r="AY149" i="335"/>
  <c r="AZ149" i="335"/>
  <c r="BA149" i="335"/>
  <c r="BB149" i="335"/>
  <c r="BE149" i="335"/>
  <c r="BF149" i="335"/>
  <c r="BG149" i="335"/>
  <c r="BH149" i="335"/>
  <c r="BK149" i="335"/>
  <c r="BL149" i="335"/>
  <c r="BM149" i="335"/>
  <c r="BN149" i="335"/>
  <c r="BQ149" i="335"/>
  <c r="BR149" i="335"/>
  <c r="BS149" i="335"/>
  <c r="BT149" i="335"/>
  <c r="BW149" i="335"/>
  <c r="BX149" i="335"/>
  <c r="BY149" i="335"/>
  <c r="BZ149" i="335"/>
  <c r="CC149" i="335"/>
  <c r="CD149" i="335"/>
  <c r="CF149" i="335"/>
  <c r="DH149" i="335"/>
  <c r="DJ149" i="335"/>
  <c r="DN149" i="335"/>
  <c r="DP149" i="335"/>
  <c r="DU149" i="335"/>
  <c r="DV149" i="335"/>
  <c r="O151" i="335"/>
  <c r="P151" i="335"/>
  <c r="Q151" i="335"/>
  <c r="R151" i="335"/>
  <c r="U151" i="335"/>
  <c r="V151" i="335"/>
  <c r="W151" i="335"/>
  <c r="X151" i="335"/>
  <c r="G152" i="335"/>
  <c r="H152" i="335"/>
  <c r="I152" i="335"/>
  <c r="J152" i="335"/>
  <c r="K152" i="335"/>
  <c r="L152" i="335"/>
  <c r="M152" i="335"/>
  <c r="U152" i="335"/>
  <c r="V152" i="335"/>
  <c r="W152" i="335"/>
  <c r="X152" i="335"/>
  <c r="AA152" i="335"/>
  <c r="AB152" i="335"/>
  <c r="AC152" i="335"/>
  <c r="AD152" i="335"/>
  <c r="AG152" i="335"/>
  <c r="AH152" i="335"/>
  <c r="AI152" i="335"/>
  <c r="AJ152" i="335"/>
  <c r="AM152" i="335"/>
  <c r="AN152" i="335"/>
  <c r="AO152" i="335"/>
  <c r="AP152" i="335"/>
  <c r="AS152" i="335"/>
  <c r="AT152" i="335"/>
  <c r="AU152" i="335"/>
  <c r="AV152" i="335"/>
  <c r="AY152" i="335"/>
  <c r="AZ152" i="335"/>
  <c r="BA152" i="335"/>
  <c r="BB152" i="335"/>
  <c r="BE152" i="335"/>
  <c r="BF152" i="335"/>
  <c r="BG152" i="335"/>
  <c r="BH152" i="335"/>
  <c r="BK152" i="335"/>
  <c r="BL152" i="335"/>
  <c r="BM152" i="335"/>
  <c r="BN152" i="335"/>
  <c r="BQ152" i="335"/>
  <c r="BR152" i="335"/>
  <c r="BS152" i="335"/>
  <c r="BT152" i="335"/>
  <c r="BW152" i="335"/>
  <c r="BX152" i="335"/>
  <c r="BY152" i="335"/>
  <c r="BZ152" i="335"/>
  <c r="CC152" i="335"/>
  <c r="CD152" i="335"/>
  <c r="DB152" i="335"/>
  <c r="DG152" i="335"/>
  <c r="DS152" i="335"/>
  <c r="S153" i="335"/>
  <c r="Y153" i="335"/>
  <c r="AE153" i="335"/>
  <c r="AK153" i="335"/>
  <c r="AQ153" i="335"/>
  <c r="O154" i="335"/>
  <c r="P154" i="335"/>
  <c r="Q154" i="335"/>
  <c r="R154" i="335"/>
  <c r="U154" i="335"/>
  <c r="V154" i="335"/>
  <c r="W154" i="335"/>
  <c r="X154" i="335"/>
  <c r="CU154" i="335"/>
  <c r="G155" i="335"/>
  <c r="H155" i="335"/>
  <c r="I155" i="335"/>
  <c r="J155" i="335"/>
  <c r="K155" i="335"/>
  <c r="L155" i="335"/>
  <c r="M155" i="335"/>
  <c r="U155" i="335"/>
  <c r="V155" i="335"/>
  <c r="W155" i="335"/>
  <c r="X155" i="335"/>
  <c r="AA155" i="335"/>
  <c r="AB155" i="335"/>
  <c r="AC155" i="335"/>
  <c r="AD155" i="335"/>
  <c r="AG155" i="335"/>
  <c r="AH155" i="335"/>
  <c r="AI155" i="335"/>
  <c r="AJ155" i="335"/>
  <c r="AM155" i="335"/>
  <c r="AN155" i="335"/>
  <c r="AO155" i="335"/>
  <c r="AP155" i="335"/>
  <c r="AS155" i="335"/>
  <c r="AT155" i="335"/>
  <c r="AU155" i="335"/>
  <c r="AV155" i="335"/>
  <c r="AY155" i="335"/>
  <c r="AZ155" i="335"/>
  <c r="BA155" i="335"/>
  <c r="BB155" i="335"/>
  <c r="BE155" i="335"/>
  <c r="BF155" i="335"/>
  <c r="BG155" i="335"/>
  <c r="BH155" i="335"/>
  <c r="BK155" i="335"/>
  <c r="BL155" i="335"/>
  <c r="BM155" i="335"/>
  <c r="BN155" i="335"/>
  <c r="BQ155" i="335"/>
  <c r="BR155" i="335"/>
  <c r="BS155" i="335"/>
  <c r="BT155" i="335"/>
  <c r="BW155" i="335"/>
  <c r="BY155" i="335"/>
  <c r="BZ155" i="335"/>
  <c r="CC155" i="335"/>
  <c r="CE155" i="335"/>
  <c r="CI155" i="335"/>
  <c r="CJ155" i="335"/>
  <c r="CK155" i="335"/>
  <c r="CO155" i="335"/>
  <c r="CU155" i="335"/>
  <c r="CW155" i="335"/>
  <c r="DO155" i="335"/>
  <c r="DS155" i="335"/>
  <c r="DT155" i="335"/>
  <c r="CM156" i="335"/>
  <c r="CS156" i="335"/>
  <c r="DK156" i="335"/>
  <c r="DQ156" i="335"/>
  <c r="DW156" i="335"/>
  <c r="CO158" i="335"/>
  <c r="CP158" i="335"/>
  <c r="CQ158" i="335"/>
  <c r="CR158" i="335"/>
  <c r="DG158" i="335"/>
  <c r="DH158" i="335"/>
  <c r="DJ158" i="335"/>
  <c r="DM158" i="335"/>
  <c r="DN158" i="335"/>
  <c r="DO158" i="335"/>
  <c r="DP158" i="335"/>
  <c r="DS158" i="335"/>
  <c r="DT158" i="335"/>
  <c r="DU158" i="335"/>
  <c r="DV158" i="335"/>
  <c r="CJ159" i="335"/>
  <c r="CK159" i="335"/>
  <c r="CL159" i="335"/>
  <c r="CO159" i="335"/>
  <c r="CP159" i="335"/>
  <c r="CQ159" i="335"/>
  <c r="CR159" i="335"/>
  <c r="DB159" i="335"/>
  <c r="DG159" i="335"/>
  <c r="DH159" i="335"/>
  <c r="DI159" i="335"/>
  <c r="DJ159" i="335"/>
  <c r="DM159" i="335"/>
  <c r="DN159" i="335"/>
  <c r="DO159" i="335"/>
  <c r="DP159" i="335"/>
  <c r="DS159" i="335"/>
  <c r="DT159" i="335"/>
  <c r="DU159" i="335"/>
  <c r="DV159" i="335"/>
  <c r="C160" i="335"/>
  <c r="D160" i="335"/>
  <c r="E160" i="335"/>
  <c r="AG160" i="335"/>
  <c r="AS160" i="335"/>
  <c r="AT160" i="335"/>
  <c r="S161" i="335"/>
  <c r="Y161" i="335"/>
  <c r="AE161" i="335"/>
  <c r="AK161" i="335"/>
  <c r="AQ161" i="335"/>
  <c r="AW161" i="335"/>
  <c r="BC161" i="335"/>
  <c r="BI161" i="335"/>
  <c r="BO161" i="335"/>
  <c r="BU161" i="335"/>
  <c r="CA161" i="335"/>
  <c r="CG161" i="335"/>
  <c r="CM161" i="335"/>
  <c r="CS161" i="335"/>
  <c r="CY161" i="335"/>
  <c r="DE161" i="335"/>
  <c r="DW161" i="335"/>
  <c r="EI161" i="335"/>
  <c r="EO161" i="335"/>
  <c r="EU161" i="335"/>
  <c r="S163" i="335"/>
  <c r="Y163" i="335"/>
  <c r="AE163" i="335"/>
  <c r="AK163" i="335"/>
  <c r="AQ163" i="335"/>
  <c r="AW163" i="335"/>
  <c r="BC163" i="335"/>
  <c r="BI163" i="335"/>
  <c r="BO163" i="335"/>
  <c r="BU163" i="335"/>
  <c r="CA163" i="335"/>
  <c r="CG163" i="335"/>
  <c r="CM163" i="335"/>
  <c r="CS163" i="335"/>
  <c r="CY163" i="335"/>
  <c r="DE163" i="335"/>
  <c r="DK163" i="335"/>
  <c r="DQ163" i="335"/>
  <c r="DW163" i="335"/>
  <c r="S164" i="335"/>
  <c r="Y164" i="335"/>
  <c r="AE164" i="335"/>
  <c r="AK164" i="335"/>
  <c r="AQ164" i="335"/>
  <c r="AW164" i="335"/>
  <c r="BC164" i="335"/>
  <c r="BI164" i="335"/>
  <c r="BO164" i="335"/>
  <c r="BU164" i="335"/>
  <c r="CG164" i="335"/>
  <c r="CM164" i="335"/>
  <c r="CS164" i="335"/>
  <c r="CY164" i="335"/>
  <c r="DE164" i="335"/>
  <c r="DK164" i="335"/>
  <c r="DQ164" i="335"/>
  <c r="DW164" i="335"/>
  <c r="EC164" i="335"/>
  <c r="EI164" i="335"/>
  <c r="EO164" i="335"/>
  <c r="EU164" i="335"/>
  <c r="S165" i="335"/>
  <c r="Y165" i="335"/>
  <c r="AE165" i="335"/>
  <c r="AK165" i="335"/>
  <c r="AQ165" i="335"/>
  <c r="AW165" i="335"/>
  <c r="BC165" i="335"/>
  <c r="BI165" i="335"/>
  <c r="BO165" i="335"/>
  <c r="BU165" i="335"/>
  <c r="CY165" i="335"/>
  <c r="DK165" i="335"/>
  <c r="DQ165" i="335"/>
  <c r="S176" i="335"/>
  <c r="Y176" i="335"/>
  <c r="AE176" i="335"/>
  <c r="AK176" i="335"/>
  <c r="BU177" i="335"/>
  <c r="DE177" i="335"/>
  <c r="DW177" i="335"/>
  <c r="FO177" i="335"/>
  <c r="FP177" i="335"/>
  <c r="FQ177" i="335"/>
  <c r="FR177" i="335"/>
  <c r="BU178" i="335"/>
  <c r="CA178" i="335"/>
  <c r="CG178" i="335"/>
  <c r="CM178" i="335"/>
  <c r="CS178" i="335"/>
  <c r="CY178" i="335"/>
  <c r="DE178" i="335"/>
  <c r="DK178" i="335"/>
  <c r="DQ178" i="335"/>
  <c r="DW178" i="335"/>
  <c r="FO178" i="335"/>
  <c r="FP178" i="335"/>
  <c r="FQ178" i="335"/>
  <c r="FR178" i="335"/>
  <c r="BU179" i="335"/>
  <c r="CA179" i="335"/>
  <c r="CG179" i="335"/>
  <c r="CM179" i="335"/>
  <c r="FO179" i="335"/>
  <c r="BK180" i="335"/>
  <c r="BL180" i="335"/>
  <c r="BM180" i="335"/>
  <c r="BN180" i="335"/>
  <c r="BR180" i="335"/>
  <c r="BS180" i="335"/>
  <c r="CA180" i="335"/>
  <c r="S216" i="335"/>
  <c r="S184" i="335" s="1"/>
  <c r="Y216" i="335"/>
  <c r="Y184" i="335" s="1"/>
  <c r="AE216" i="335"/>
  <c r="AQ216" i="335"/>
  <c r="C223" i="335"/>
  <c r="C191" i="335"/>
  <c r="E191" i="335"/>
  <c r="I191" i="335"/>
  <c r="M191" i="335"/>
  <c r="O191" i="335"/>
  <c r="P191" i="335"/>
  <c r="Q191" i="335"/>
  <c r="R191" i="335"/>
  <c r="U191" i="335"/>
  <c r="V191" i="335"/>
  <c r="W191" i="335"/>
  <c r="X191" i="335"/>
  <c r="AB191" i="335"/>
  <c r="AH191" i="335"/>
  <c r="AJ191" i="335"/>
  <c r="AN191" i="335"/>
  <c r="AO191" i="335"/>
  <c r="AS191" i="335"/>
  <c r="AT191" i="335"/>
  <c r="AU191" i="335"/>
  <c r="AV191" i="335"/>
  <c r="AY191" i="335"/>
  <c r="AZ191" i="335"/>
  <c r="BA191" i="335"/>
  <c r="BB191" i="335"/>
  <c r="BE191" i="335"/>
  <c r="BF191" i="335"/>
  <c r="BG191" i="335"/>
  <c r="BH191" i="335"/>
  <c r="BK191" i="335"/>
  <c r="BL191" i="335"/>
  <c r="BM191" i="335"/>
  <c r="BN191" i="335"/>
  <c r="BO191" i="335"/>
  <c r="BQ191" i="335"/>
  <c r="BR191" i="335"/>
  <c r="BS191" i="335"/>
  <c r="BT191" i="335"/>
  <c r="BW191" i="335"/>
  <c r="BX191" i="335"/>
  <c r="BY191" i="335"/>
  <c r="BZ191" i="335"/>
  <c r="CC191" i="335"/>
  <c r="CD191" i="335"/>
  <c r="CE191" i="335"/>
  <c r="CF191" i="335"/>
  <c r="CI191" i="335"/>
  <c r="CJ191" i="335"/>
  <c r="CK191" i="335"/>
  <c r="CL191" i="335"/>
  <c r="CO191" i="335"/>
  <c r="CP191" i="335"/>
  <c r="CQ191" i="335"/>
  <c r="CR191" i="335"/>
  <c r="CU191" i="335"/>
  <c r="CV191" i="335"/>
  <c r="CW191" i="335"/>
  <c r="CX191" i="335"/>
  <c r="DA191" i="335"/>
  <c r="DB191" i="335"/>
  <c r="DC191" i="335"/>
  <c r="DD191" i="335"/>
  <c r="DG191" i="335"/>
  <c r="DH191" i="335"/>
  <c r="DI191" i="335"/>
  <c r="DJ191" i="335"/>
  <c r="DM191" i="335"/>
  <c r="DN191" i="335"/>
  <c r="DO191" i="335"/>
  <c r="DP191" i="335"/>
  <c r="DS191" i="335"/>
  <c r="DT191" i="335"/>
  <c r="DU191" i="335"/>
  <c r="DV191" i="335"/>
  <c r="DY191" i="335"/>
  <c r="CA193" i="335"/>
  <c r="FV194" i="335"/>
  <c r="FV195" i="335"/>
  <c r="FV196" i="335"/>
  <c r="FR199" i="335"/>
  <c r="FS199" i="335"/>
  <c r="FP200" i="335"/>
  <c r="BP209" i="335"/>
  <c r="BV209" i="335"/>
  <c r="AG214" i="335"/>
  <c r="AS214" i="335"/>
  <c r="AW214" i="335" s="1"/>
  <c r="AK216" i="335"/>
  <c r="AW216" i="335"/>
  <c r="BI216" i="335"/>
  <c r="BO216" i="335"/>
  <c r="BU216" i="335"/>
  <c r="CA216" i="335"/>
  <c r="CG216" i="335"/>
  <c r="CM216" i="335"/>
  <c r="CS216" i="335"/>
  <c r="CY216" i="335"/>
  <c r="DE216" i="335"/>
  <c r="DK216" i="335"/>
  <c r="DQ216" i="335"/>
  <c r="DW216" i="335"/>
  <c r="E224" i="335"/>
  <c r="E225" i="335" s="1"/>
  <c r="G224" i="335"/>
  <c r="G225" i="335" s="1"/>
  <c r="I224" i="335"/>
  <c r="I225" i="335" s="1"/>
  <c r="M224" i="335"/>
  <c r="M225" i="335" s="1"/>
  <c r="O224" i="335"/>
  <c r="O225" i="335" s="1"/>
  <c r="P224" i="335"/>
  <c r="P225" i="335" s="1"/>
  <c r="Q224" i="335"/>
  <c r="Q225" i="335" s="1"/>
  <c r="R224" i="335"/>
  <c r="R225" i="335" s="1"/>
  <c r="U224" i="335"/>
  <c r="U225" i="335" s="1"/>
  <c r="V224" i="335"/>
  <c r="V225" i="335" s="1"/>
  <c r="W224" i="335"/>
  <c r="W225" i="335" s="1"/>
  <c r="X224" i="335"/>
  <c r="X225" i="335" s="1"/>
  <c r="AA224" i="335"/>
  <c r="AA225" i="335"/>
  <c r="AB224" i="335"/>
  <c r="AB225" i="335"/>
  <c r="AC224" i="335"/>
  <c r="AD224" i="335"/>
  <c r="AG224" i="335"/>
  <c r="AH224" i="335"/>
  <c r="AI224" i="335"/>
  <c r="AJ224" i="335"/>
  <c r="AM224" i="335"/>
  <c r="AM225" i="335"/>
  <c r="AN224" i="335"/>
  <c r="AN225" i="335"/>
  <c r="AO224" i="335"/>
  <c r="AO225" i="335"/>
  <c r="AP224" i="335"/>
  <c r="AW224" i="335"/>
  <c r="BC224" i="335"/>
  <c r="BI224" i="335"/>
  <c r="BU224" i="335"/>
  <c r="CA224" i="335"/>
  <c r="CG224" i="335"/>
  <c r="CM224" i="335"/>
  <c r="CS224" i="335"/>
  <c r="CS225" i="335" s="1"/>
  <c r="CW224" i="335"/>
  <c r="DE224" i="335"/>
  <c r="DK224" i="335"/>
  <c r="DQ224" i="335"/>
  <c r="DW224" i="335"/>
  <c r="AS225" i="335"/>
  <c r="AT225" i="335"/>
  <c r="AU225" i="335"/>
  <c r="AV225" i="335"/>
  <c r="AY225" i="335"/>
  <c r="AZ225" i="335"/>
  <c r="BA225" i="335"/>
  <c r="BB225" i="335"/>
  <c r="BE225" i="335"/>
  <c r="BF225" i="335"/>
  <c r="BG225" i="335"/>
  <c r="BH225" i="335"/>
  <c r="BK225" i="335"/>
  <c r="BL225" i="335"/>
  <c r="BM225" i="335"/>
  <c r="BN225" i="335"/>
  <c r="BO225" i="335"/>
  <c r="BQ225" i="335"/>
  <c r="BR225" i="335"/>
  <c r="BS225" i="335"/>
  <c r="BT225" i="335"/>
  <c r="BW225" i="335"/>
  <c r="BX225" i="335"/>
  <c r="BY225" i="335"/>
  <c r="BZ225" i="335"/>
  <c r="CC225" i="335"/>
  <c r="CD225" i="335"/>
  <c r="CE225" i="335"/>
  <c r="CF225" i="335"/>
  <c r="CI225" i="335"/>
  <c r="CJ225" i="335"/>
  <c r="CK225" i="335"/>
  <c r="CL225" i="335"/>
  <c r="CO225" i="335"/>
  <c r="CP225" i="335"/>
  <c r="CQ225" i="335"/>
  <c r="CR225" i="335"/>
  <c r="CU225" i="335"/>
  <c r="CV225" i="335"/>
  <c r="CX225" i="335"/>
  <c r="DA225" i="335"/>
  <c r="DB225" i="335"/>
  <c r="DC225" i="335"/>
  <c r="DD225" i="335"/>
  <c r="DG225" i="335"/>
  <c r="DH225" i="335"/>
  <c r="DI225" i="335"/>
  <c r="DJ225" i="335"/>
  <c r="DM225" i="335"/>
  <c r="DN225" i="335"/>
  <c r="DO225" i="335"/>
  <c r="DP225" i="335"/>
  <c r="DS225" i="335"/>
  <c r="DT225" i="335"/>
  <c r="DU225" i="335"/>
  <c r="DV225" i="335"/>
  <c r="DY225" i="335"/>
  <c r="DQ226" i="335"/>
  <c r="DW226" i="335"/>
  <c r="CY228" i="335"/>
  <c r="DO233" i="335"/>
  <c r="DO234" i="335"/>
  <c r="DO235" i="335" s="1"/>
  <c r="BE239" i="335"/>
  <c r="BF239" i="335"/>
  <c r="BG239" i="335"/>
  <c r="CP239" i="335"/>
  <c r="CQ239" i="335"/>
  <c r="CU239" i="335"/>
  <c r="CV239" i="335"/>
  <c r="CW239" i="335"/>
  <c r="CX239" i="335"/>
  <c r="DA239" i="335"/>
  <c r="DD239" i="335"/>
  <c r="DG239" i="335"/>
  <c r="DH239" i="335"/>
  <c r="DI239" i="335"/>
  <c r="DJ239" i="335"/>
  <c r="DS239" i="335"/>
  <c r="DT239" i="335"/>
  <c r="DU239" i="335"/>
  <c r="BI243" i="335"/>
  <c r="BO243" i="335"/>
  <c r="BU243" i="335"/>
  <c r="CA243" i="335"/>
  <c r="CG243" i="335"/>
  <c r="AY263" i="335"/>
  <c r="AZ263" i="335"/>
  <c r="BA263" i="335"/>
  <c r="BB263" i="335"/>
  <c r="BE263" i="335"/>
  <c r="BF263" i="335"/>
  <c r="BG263" i="335"/>
  <c r="BH263" i="335"/>
  <c r="BK263" i="335"/>
  <c r="BL263" i="335"/>
  <c r="BM263" i="335"/>
  <c r="BN263" i="335"/>
  <c r="O274" i="335"/>
  <c r="U274" i="335"/>
  <c r="AA274" i="335"/>
  <c r="AG274" i="335"/>
  <c r="AM274" i="335"/>
  <c r="AS274" i="335"/>
  <c r="AY274" i="335"/>
  <c r="BE274" i="335"/>
  <c r="BK274" i="335"/>
  <c r="BQ274" i="335"/>
  <c r="BW274" i="335"/>
  <c r="CC274" i="335"/>
  <c r="CI274" i="335"/>
  <c r="CO274" i="335"/>
  <c r="CU274" i="335"/>
  <c r="DA274" i="335"/>
  <c r="DG274" i="335"/>
  <c r="DM274" i="335"/>
  <c r="DS274" i="335"/>
  <c r="DY274" i="335"/>
  <c r="EK274" i="335"/>
  <c r="C275" i="335"/>
  <c r="D275" i="335"/>
  <c r="E275" i="335"/>
  <c r="F275" i="335"/>
  <c r="G275" i="335"/>
  <c r="H275" i="335"/>
  <c r="I275" i="335"/>
  <c r="J275" i="335"/>
  <c r="K275" i="335"/>
  <c r="L275" i="335"/>
  <c r="M275" i="335"/>
  <c r="O275" i="335"/>
  <c r="P275" i="335"/>
  <c r="Q275" i="335"/>
  <c r="R275" i="335"/>
  <c r="S275" i="335"/>
  <c r="U275" i="335"/>
  <c r="V275" i="335"/>
  <c r="W275" i="335"/>
  <c r="X275" i="335"/>
  <c r="Y275" i="335"/>
  <c r="AA275" i="335"/>
  <c r="AB275" i="335"/>
  <c r="AC275" i="335"/>
  <c r="AD275" i="335"/>
  <c r="AE275" i="335"/>
  <c r="AG275" i="335"/>
  <c r="AH275" i="335"/>
  <c r="AI275" i="335"/>
  <c r="AJ275" i="335"/>
  <c r="AK275" i="335"/>
  <c r="AM275" i="335"/>
  <c r="AN275" i="335"/>
  <c r="AO275" i="335"/>
  <c r="AP275" i="335"/>
  <c r="AQ275" i="335"/>
  <c r="AS275" i="335"/>
  <c r="AT275" i="335"/>
  <c r="AU275" i="335"/>
  <c r="AV275" i="335"/>
  <c r="AW275" i="335"/>
  <c r="AY275" i="335"/>
  <c r="AZ275" i="335"/>
  <c r="BA275" i="335"/>
  <c r="BB275" i="335"/>
  <c r="BC275" i="335"/>
  <c r="BE275" i="335"/>
  <c r="BF275" i="335"/>
  <c r="BG275" i="335"/>
  <c r="BH275" i="335"/>
  <c r="BI275" i="335"/>
  <c r="BK275" i="335"/>
  <c r="BL275" i="335"/>
  <c r="BM275" i="335"/>
  <c r="BN275" i="335"/>
  <c r="BO275" i="335"/>
  <c r="BQ275" i="335"/>
  <c r="BR275" i="335"/>
  <c r="BS275" i="335"/>
  <c r="BT275" i="335"/>
  <c r="BU275" i="335"/>
  <c r="BW275" i="335"/>
  <c r="BX275" i="335"/>
  <c r="BY275" i="335"/>
  <c r="BZ275" i="335"/>
  <c r="CA275" i="335"/>
  <c r="CC275" i="335"/>
  <c r="CD275" i="335"/>
  <c r="CE275" i="335"/>
  <c r="CF275" i="335"/>
  <c r="CG275" i="335"/>
  <c r="CI275" i="335"/>
  <c r="CJ275" i="335"/>
  <c r="CK275" i="335"/>
  <c r="CL275" i="335"/>
  <c r="CM275" i="335"/>
  <c r="CO275" i="335"/>
  <c r="CP275" i="335"/>
  <c r="CQ275" i="335"/>
  <c r="CR275" i="335"/>
  <c r="CS275" i="335"/>
  <c r="CU275" i="335"/>
  <c r="CV275" i="335"/>
  <c r="CW275" i="335"/>
  <c r="CX275" i="335"/>
  <c r="CY275" i="335"/>
  <c r="DA275" i="335"/>
  <c r="DB275" i="335"/>
  <c r="DC275" i="335"/>
  <c r="DD275" i="335"/>
  <c r="DE275" i="335"/>
  <c r="DG275" i="335"/>
  <c r="DH275" i="335"/>
  <c r="DI275" i="335"/>
  <c r="DJ275" i="335"/>
  <c r="DK275" i="335"/>
  <c r="DM275" i="335"/>
  <c r="DN275" i="335"/>
  <c r="DO275" i="335"/>
  <c r="DP275" i="335"/>
  <c r="DQ275" i="335"/>
  <c r="DS275" i="335"/>
  <c r="DT275" i="335"/>
  <c r="DU275" i="335"/>
  <c r="DV275" i="335"/>
  <c r="DW275" i="335"/>
  <c r="DY275" i="335"/>
  <c r="DZ275" i="335"/>
  <c r="EA275" i="335"/>
  <c r="EB275" i="335"/>
  <c r="EC275" i="335"/>
  <c r="EE275" i="335"/>
  <c r="EG275" i="335"/>
  <c r="EH275" i="335"/>
  <c r="EI275" i="335"/>
  <c r="EK275" i="335"/>
  <c r="EL275" i="335"/>
  <c r="EM275" i="335"/>
  <c r="EN275" i="335"/>
  <c r="EO275" i="335"/>
  <c r="ES275" i="335"/>
  <c r="EU275" i="335"/>
  <c r="D278" i="335"/>
  <c r="E278" i="335"/>
  <c r="F278" i="335"/>
  <c r="G278" i="335"/>
  <c r="H278" i="335"/>
  <c r="I278" i="335"/>
  <c r="J278" i="335"/>
  <c r="L279" i="335"/>
  <c r="M279" i="335"/>
  <c r="U279" i="335"/>
  <c r="V279" i="335"/>
  <c r="W279" i="335"/>
  <c r="X279" i="335"/>
  <c r="AM279" i="335"/>
  <c r="AN279" i="335"/>
  <c r="AO279" i="335"/>
  <c r="AP279" i="335"/>
  <c r="AS279" i="335"/>
  <c r="AT279" i="335"/>
  <c r="AU279" i="335"/>
  <c r="AV279" i="335"/>
  <c r="AY279" i="335"/>
  <c r="AZ279" i="335"/>
  <c r="BA279" i="335"/>
  <c r="BB279" i="335"/>
  <c r="BE279" i="335"/>
  <c r="BF279" i="335"/>
  <c r="BG279" i="335"/>
  <c r="BH279" i="335"/>
  <c r="BN279" i="335"/>
  <c r="BS279" i="335"/>
  <c r="BT279" i="335"/>
  <c r="BY279" i="335"/>
  <c r="CE279" i="335"/>
  <c r="CK279" i="335"/>
  <c r="CX279" i="335"/>
  <c r="DC279" i="335"/>
  <c r="DD279" i="335"/>
  <c r="DG279" i="335"/>
  <c r="DH279" i="335"/>
  <c r="DI279" i="335"/>
  <c r="DJ279" i="335"/>
  <c r="DM279" i="335"/>
  <c r="DN279" i="335"/>
  <c r="DO279" i="335"/>
  <c r="L280" i="335"/>
  <c r="M280" i="335"/>
  <c r="U280" i="335"/>
  <c r="V280" i="335"/>
  <c r="W280" i="335"/>
  <c r="X280" i="335"/>
  <c r="AA280" i="335"/>
  <c r="AB280" i="335"/>
  <c r="AC280" i="335"/>
  <c r="AD280" i="335"/>
  <c r="AG280" i="335"/>
  <c r="AH280" i="335"/>
  <c r="AI280" i="335"/>
  <c r="AJ280" i="335"/>
  <c r="AM280" i="335"/>
  <c r="AN280" i="335"/>
  <c r="AO280" i="335"/>
  <c r="AP280" i="335"/>
  <c r="AS280" i="335"/>
  <c r="AT280" i="335"/>
  <c r="AU280" i="335"/>
  <c r="AV280" i="335"/>
  <c r="AY280" i="335"/>
  <c r="AZ280" i="335"/>
  <c r="BA280" i="335"/>
  <c r="BB280" i="335"/>
  <c r="BE280" i="335"/>
  <c r="BF280" i="335"/>
  <c r="BG280" i="335"/>
  <c r="BH280" i="335"/>
  <c r="BK280" i="335"/>
  <c r="BL280" i="335"/>
  <c r="BM280" i="335"/>
  <c r="BN280" i="335"/>
  <c r="BQ280" i="335"/>
  <c r="BR280" i="335"/>
  <c r="BS280" i="335"/>
  <c r="BT280" i="335"/>
  <c r="BW280" i="335"/>
  <c r="BX280" i="335"/>
  <c r="BY280" i="335"/>
  <c r="BZ280" i="335"/>
  <c r="CC280" i="335"/>
  <c r="CD280" i="335"/>
  <c r="CE280" i="335"/>
  <c r="CF280" i="335"/>
  <c r="CI280" i="335"/>
  <c r="CJ280" i="335"/>
  <c r="CK280" i="335"/>
  <c r="CL280" i="335"/>
  <c r="CO280" i="335"/>
  <c r="CP280" i="335"/>
  <c r="CQ280" i="335"/>
  <c r="CR280" i="335"/>
  <c r="CU280" i="335"/>
  <c r="CV280" i="335"/>
  <c r="CW280" i="335"/>
  <c r="CX280" i="335"/>
  <c r="DA280" i="335"/>
  <c r="DB280" i="335"/>
  <c r="DC280" i="335"/>
  <c r="DD280" i="335"/>
  <c r="DG280" i="335"/>
  <c r="DH280" i="335"/>
  <c r="DI280" i="335"/>
  <c r="DJ280" i="335"/>
  <c r="DM280" i="335"/>
  <c r="DN280" i="335"/>
  <c r="DP280" i="335"/>
  <c r="H286" i="335"/>
  <c r="I286" i="335"/>
  <c r="J286" i="335"/>
  <c r="K286" i="335"/>
  <c r="L286" i="335"/>
  <c r="M286" i="335"/>
  <c r="AG281" i="335"/>
  <c r="AH281" i="335"/>
  <c r="AI281" i="335"/>
  <c r="AJ281" i="335"/>
  <c r="AM281" i="335"/>
  <c r="AN281" i="335"/>
  <c r="AO281" i="335"/>
  <c r="AP281" i="335"/>
  <c r="AS281" i="335"/>
  <c r="AT281" i="335"/>
  <c r="AU281" i="335"/>
  <c r="AV281" i="335"/>
  <c r="AZ281" i="335"/>
  <c r="BF281" i="335"/>
  <c r="BH281" i="335"/>
  <c r="BK281" i="335"/>
  <c r="BL281" i="335"/>
  <c r="BM281" i="335"/>
  <c r="BN281" i="335"/>
  <c r="BQ281" i="335"/>
  <c r="BR281" i="335"/>
  <c r="BS281" i="335"/>
  <c r="BT281" i="335"/>
  <c r="BW281" i="335"/>
  <c r="BX281" i="335"/>
  <c r="BY281" i="335"/>
  <c r="BZ281" i="335"/>
  <c r="CC281" i="335"/>
  <c r="CD281" i="335"/>
  <c r="CE281" i="335"/>
  <c r="CF281" i="335"/>
  <c r="CI281" i="335"/>
  <c r="CJ281" i="335"/>
  <c r="CK281" i="335"/>
  <c r="CP281" i="335"/>
  <c r="CQ281" i="335"/>
  <c r="CV281" i="335"/>
  <c r="CW281" i="335"/>
  <c r="CX281" i="335"/>
  <c r="DB281" i="335"/>
  <c r="DC281" i="335"/>
  <c r="DD281" i="335"/>
  <c r="DH281" i="335"/>
  <c r="DI281" i="335"/>
  <c r="DJ281" i="335"/>
  <c r="DM281" i="335"/>
  <c r="DO281" i="335"/>
  <c r="DP281" i="335"/>
  <c r="DS281" i="335"/>
  <c r="DY281" i="335"/>
  <c r="BE287" i="335"/>
  <c r="BF287" i="335"/>
  <c r="BG287" i="335"/>
  <c r="BH287" i="335"/>
  <c r="BK287" i="335"/>
  <c r="BL287" i="335"/>
  <c r="BM287" i="335"/>
  <c r="BN287" i="335"/>
  <c r="BQ287" i="335"/>
  <c r="BR287" i="335"/>
  <c r="BS287" i="335"/>
  <c r="BT287" i="335"/>
  <c r="BW287" i="335"/>
  <c r="BX287" i="335"/>
  <c r="BY287" i="335"/>
  <c r="BZ287" i="335"/>
  <c r="CC287" i="335"/>
  <c r="CD287" i="335"/>
  <c r="CE287" i="335"/>
  <c r="CF287" i="335"/>
  <c r="CI287" i="335"/>
  <c r="CJ287" i="335"/>
  <c r="CK287" i="335"/>
  <c r="CL287" i="335"/>
  <c r="CO287" i="335"/>
  <c r="CP287" i="335"/>
  <c r="CQ287" i="335"/>
  <c r="CR287" i="335"/>
  <c r="CU287" i="335"/>
  <c r="CV287" i="335"/>
  <c r="CW287" i="335"/>
  <c r="CX287" i="335"/>
  <c r="DA287" i="335"/>
  <c r="DB287" i="335"/>
  <c r="DC287" i="335"/>
  <c r="DD287" i="335"/>
  <c r="DG287" i="335"/>
  <c r="DH287" i="335"/>
  <c r="DI287" i="335"/>
  <c r="DJ287" i="335"/>
  <c r="BK288" i="335"/>
  <c r="BL288" i="335"/>
  <c r="BM288" i="335"/>
  <c r="BN288" i="335"/>
  <c r="BQ288" i="335"/>
  <c r="BR288" i="335"/>
  <c r="BS288" i="335"/>
  <c r="BT288" i="335"/>
  <c r="BW288" i="335"/>
  <c r="BX288" i="335"/>
  <c r="BY288" i="335"/>
  <c r="BZ288" i="335"/>
  <c r="CC288" i="335"/>
  <c r="CD288" i="335"/>
  <c r="CE288" i="335"/>
  <c r="CF288" i="335"/>
  <c r="CI288" i="335"/>
  <c r="CJ288" i="335"/>
  <c r="CK288" i="335"/>
  <c r="CL288" i="335"/>
  <c r="CO288" i="335"/>
  <c r="CP288" i="335"/>
  <c r="CQ288" i="335"/>
  <c r="CR288" i="335"/>
  <c r="CU288" i="335"/>
  <c r="CV288" i="335"/>
  <c r="CW288" i="335"/>
  <c r="CX288" i="335"/>
  <c r="DA288" i="335"/>
  <c r="DB288" i="335"/>
  <c r="DC288" i="335"/>
  <c r="DD288" i="335"/>
  <c r="DG288" i="335"/>
  <c r="DH288" i="335"/>
  <c r="DI288" i="335"/>
  <c r="DJ288" i="335"/>
  <c r="AZ289" i="335"/>
  <c r="BA289" i="335"/>
  <c r="BE289" i="335"/>
  <c r="BF289" i="335"/>
  <c r="BG289" i="335"/>
  <c r="BH289" i="335"/>
  <c r="BK289" i="335"/>
  <c r="BL289" i="335"/>
  <c r="BM289" i="335"/>
  <c r="BN289" i="335"/>
  <c r="BQ289" i="335"/>
  <c r="BR289" i="335"/>
  <c r="BS289" i="335"/>
  <c r="BT289" i="335"/>
  <c r="BW289" i="335"/>
  <c r="BX289" i="335"/>
  <c r="BY289" i="335"/>
  <c r="BZ289" i="335"/>
  <c r="CC289" i="335"/>
  <c r="CD289" i="335"/>
  <c r="CE289" i="335"/>
  <c r="CF289" i="335"/>
  <c r="CI289" i="335"/>
  <c r="CJ289" i="335"/>
  <c r="CK289" i="335"/>
  <c r="CL289" i="335"/>
  <c r="CO289" i="335"/>
  <c r="CP289" i="335"/>
  <c r="CQ289" i="335"/>
  <c r="CR289" i="335"/>
  <c r="CU289" i="335"/>
  <c r="CV289" i="335"/>
  <c r="CW289" i="335"/>
  <c r="CX289" i="335"/>
  <c r="DA289" i="335"/>
  <c r="DB289" i="335"/>
  <c r="DC289" i="335"/>
  <c r="DD289" i="335"/>
  <c r="DG289" i="335"/>
  <c r="DH289" i="335"/>
  <c r="DI289" i="335"/>
  <c r="DJ289" i="335"/>
  <c r="U290" i="335"/>
  <c r="V290" i="335"/>
  <c r="W290" i="335"/>
  <c r="X290" i="335"/>
  <c r="G293" i="335"/>
  <c r="H293" i="335"/>
  <c r="I293" i="335"/>
  <c r="J293" i="335"/>
  <c r="K293" i="335"/>
  <c r="L293" i="335"/>
  <c r="M293" i="335"/>
  <c r="U293" i="335"/>
  <c r="V293" i="335"/>
  <c r="W293" i="335"/>
  <c r="X293" i="335"/>
  <c r="AA293" i="335"/>
  <c r="AB293" i="335"/>
  <c r="AC293" i="335"/>
  <c r="AD293" i="335"/>
  <c r="AG293" i="335"/>
  <c r="AH293" i="335"/>
  <c r="AI293" i="335"/>
  <c r="AJ293" i="335"/>
  <c r="AM293" i="335"/>
  <c r="AN293" i="335"/>
  <c r="AO293" i="335"/>
  <c r="AP293" i="335"/>
  <c r="AS293" i="335"/>
  <c r="AT293" i="335"/>
  <c r="AU293" i="335"/>
  <c r="AV293" i="335"/>
  <c r="AY293" i="335"/>
  <c r="AZ293" i="335"/>
  <c r="BA293" i="335"/>
  <c r="BB293" i="335"/>
  <c r="BE293" i="335"/>
  <c r="BF293" i="335"/>
  <c r="BG293" i="335"/>
  <c r="BH293" i="335"/>
  <c r="BK293" i="335"/>
  <c r="BL293" i="335"/>
  <c r="BM293" i="335"/>
  <c r="BN293" i="335"/>
  <c r="BQ293" i="335"/>
  <c r="BR293" i="335"/>
  <c r="BS293" i="335"/>
  <c r="BT293" i="335"/>
  <c r="BW293" i="335"/>
  <c r="BX293" i="335"/>
  <c r="BY293" i="335"/>
  <c r="BZ293" i="335"/>
  <c r="CC293" i="335"/>
  <c r="CD293" i="335"/>
  <c r="CF293" i="335"/>
  <c r="DH293" i="335"/>
  <c r="DN293" i="335"/>
  <c r="DP293" i="335"/>
  <c r="G294" i="335"/>
  <c r="H294" i="335"/>
  <c r="I294" i="335"/>
  <c r="J294" i="335"/>
  <c r="K294" i="335"/>
  <c r="L294" i="335"/>
  <c r="M294" i="335"/>
  <c r="U294" i="335"/>
  <c r="V294" i="335"/>
  <c r="W294" i="335"/>
  <c r="X294" i="335"/>
  <c r="AA294" i="335"/>
  <c r="AB294" i="335"/>
  <c r="AC294" i="335"/>
  <c r="AD294" i="335"/>
  <c r="AG294" i="335"/>
  <c r="AH294" i="335"/>
  <c r="AI294" i="335"/>
  <c r="AJ294" i="335"/>
  <c r="AM294" i="335"/>
  <c r="AN294" i="335"/>
  <c r="AO294" i="335"/>
  <c r="AP294" i="335"/>
  <c r="AS294" i="335"/>
  <c r="AT294" i="335"/>
  <c r="AU294" i="335"/>
  <c r="AV294" i="335"/>
  <c r="AY294" i="335"/>
  <c r="AZ294" i="335"/>
  <c r="BA294" i="335"/>
  <c r="BB294" i="335"/>
  <c r="BE294" i="335"/>
  <c r="BF294" i="335"/>
  <c r="BG294" i="335"/>
  <c r="BH294" i="335"/>
  <c r="BK294" i="335"/>
  <c r="BL294" i="335"/>
  <c r="BM294" i="335"/>
  <c r="BN294" i="335"/>
  <c r="BQ294" i="335"/>
  <c r="BR294" i="335"/>
  <c r="BS294" i="335"/>
  <c r="BT294" i="335"/>
  <c r="BW294" i="335"/>
  <c r="BX294" i="335"/>
  <c r="BY294" i="335"/>
  <c r="BZ294" i="335"/>
  <c r="CC294" i="335"/>
  <c r="CD294" i="335"/>
  <c r="CF294" i="335"/>
  <c r="CL294" i="335"/>
  <c r="CV294" i="335"/>
  <c r="DG294" i="335"/>
  <c r="DH294" i="335"/>
  <c r="DI294" i="335"/>
  <c r="DS294" i="335"/>
  <c r="DY294" i="335"/>
  <c r="G295" i="335"/>
  <c r="H295" i="335"/>
  <c r="I295" i="335"/>
  <c r="J295" i="335"/>
  <c r="K295" i="335"/>
  <c r="L295" i="335"/>
  <c r="M295" i="335"/>
  <c r="U295" i="335"/>
  <c r="V295" i="335"/>
  <c r="W295" i="335"/>
  <c r="X295" i="335"/>
  <c r="AA295" i="335"/>
  <c r="AB295" i="335"/>
  <c r="AC295" i="335"/>
  <c r="AD295" i="335"/>
  <c r="AG295" i="335"/>
  <c r="AH295" i="335"/>
  <c r="AI295" i="335"/>
  <c r="AJ295" i="335"/>
  <c r="AM295" i="335"/>
  <c r="AN295" i="335"/>
  <c r="AO295" i="335"/>
  <c r="AP295" i="335"/>
  <c r="AS295" i="335"/>
  <c r="AT295" i="335"/>
  <c r="AU295" i="335"/>
  <c r="AV295" i="335"/>
  <c r="AY295" i="335"/>
  <c r="AZ295" i="335"/>
  <c r="BA295" i="335"/>
  <c r="BB295" i="335"/>
  <c r="BE295" i="335"/>
  <c r="BF295" i="335"/>
  <c r="BG295" i="335"/>
  <c r="BH295" i="335"/>
  <c r="BK295" i="335"/>
  <c r="BL295" i="335"/>
  <c r="BM295" i="335"/>
  <c r="BN295" i="335"/>
  <c r="BQ295" i="335"/>
  <c r="BR295" i="335"/>
  <c r="BS295" i="335"/>
  <c r="BT295" i="335"/>
  <c r="BW295" i="335"/>
  <c r="BY295" i="335"/>
  <c r="BZ295" i="335"/>
  <c r="CC295" i="335"/>
  <c r="CE295" i="335"/>
  <c r="CI295" i="335"/>
  <c r="CJ295" i="335"/>
  <c r="CK295" i="335"/>
  <c r="CO295" i="335"/>
  <c r="CQ295" i="335"/>
  <c r="CU295" i="335"/>
  <c r="CW295" i="335"/>
  <c r="DA295" i="335"/>
  <c r="DO295" i="335"/>
  <c r="DS295" i="335"/>
  <c r="DT295" i="335"/>
  <c r="DP303" i="335"/>
  <c r="P304" i="335"/>
  <c r="Q304" i="335"/>
  <c r="R304" i="335"/>
  <c r="U304" i="335"/>
  <c r="V304" i="335"/>
  <c r="W304" i="335"/>
  <c r="X304" i="335"/>
  <c r="AH304" i="335"/>
  <c r="AI304" i="335"/>
  <c r="AJ304" i="335"/>
  <c r="AM304" i="335"/>
  <c r="AN304" i="335"/>
  <c r="AO304" i="335"/>
  <c r="AP304" i="335"/>
  <c r="AS304" i="335"/>
  <c r="AT304" i="335"/>
  <c r="AU304" i="335"/>
  <c r="AV304" i="335"/>
  <c r="AY304" i="335"/>
  <c r="AZ304" i="335"/>
  <c r="BA304" i="335"/>
  <c r="BB304" i="335"/>
  <c r="BE304" i="335"/>
  <c r="BF304" i="335"/>
  <c r="BG304" i="335"/>
  <c r="BH304" i="335"/>
  <c r="BT304" i="335"/>
  <c r="BW304" i="335"/>
  <c r="CE304" i="335"/>
  <c r="CP304" i="335"/>
  <c r="CX304" i="335"/>
  <c r="DA304" i="335"/>
  <c r="DB304" i="335"/>
  <c r="DC304" i="335"/>
  <c r="DD304" i="335"/>
  <c r="DG304" i="335"/>
  <c r="DH304" i="335"/>
  <c r="DI304" i="335"/>
  <c r="DJ304" i="335"/>
  <c r="DM304" i="335"/>
  <c r="DN304" i="335"/>
  <c r="DO304" i="335"/>
  <c r="P305" i="335"/>
  <c r="Q305" i="335"/>
  <c r="R305" i="335"/>
  <c r="U305" i="335"/>
  <c r="V305" i="335"/>
  <c r="W305" i="335"/>
  <c r="X305" i="335"/>
  <c r="AA305" i="335"/>
  <c r="AB305" i="335"/>
  <c r="AC305" i="335"/>
  <c r="AD305" i="335"/>
  <c r="AG305" i="335"/>
  <c r="AH305" i="335"/>
  <c r="AI305" i="335"/>
  <c r="AJ305" i="335"/>
  <c r="AM305" i="335"/>
  <c r="AN305" i="335"/>
  <c r="AO305" i="335"/>
  <c r="AP305" i="335"/>
  <c r="AS305" i="335"/>
  <c r="AT305" i="335"/>
  <c r="AU305" i="335"/>
  <c r="AV305" i="335"/>
  <c r="AY305" i="335"/>
  <c r="AZ305" i="335"/>
  <c r="BA305" i="335"/>
  <c r="BB305" i="335"/>
  <c r="BE305" i="335"/>
  <c r="BF305" i="335"/>
  <c r="BG305" i="335"/>
  <c r="BH305" i="335"/>
  <c r="BK305" i="335"/>
  <c r="BL305" i="335"/>
  <c r="BM305" i="335"/>
  <c r="BN305" i="335"/>
  <c r="BQ305" i="335"/>
  <c r="BR305" i="335"/>
  <c r="BS305" i="335"/>
  <c r="BT305" i="335"/>
  <c r="BW305" i="335"/>
  <c r="BX305" i="335"/>
  <c r="BY305" i="335"/>
  <c r="BZ305" i="335"/>
  <c r="CC305" i="335"/>
  <c r="CD305" i="335"/>
  <c r="CE305" i="335"/>
  <c r="CF305" i="335"/>
  <c r="CI305" i="335"/>
  <c r="CJ305" i="335"/>
  <c r="CK305" i="335"/>
  <c r="CL305" i="335"/>
  <c r="CO305" i="335"/>
  <c r="CP305" i="335"/>
  <c r="CQ305" i="335"/>
  <c r="CR305" i="335"/>
  <c r="CU305" i="335"/>
  <c r="CV305" i="335"/>
  <c r="CW305" i="335"/>
  <c r="CX305" i="335"/>
  <c r="DA305" i="335"/>
  <c r="DB305" i="335"/>
  <c r="DC305" i="335"/>
  <c r="DD305" i="335"/>
  <c r="DG305" i="335"/>
  <c r="DH305" i="335"/>
  <c r="DI305" i="335"/>
  <c r="DJ305" i="335"/>
  <c r="DM305" i="335"/>
  <c r="DN305" i="335"/>
  <c r="AB306" i="335"/>
  <c r="AC306" i="335"/>
  <c r="AD306" i="335"/>
  <c r="AG306" i="335"/>
  <c r="AH306" i="335"/>
  <c r="AI306" i="335"/>
  <c r="AJ306" i="335"/>
  <c r="AM306" i="335"/>
  <c r="AN306" i="335"/>
  <c r="AO306" i="335"/>
  <c r="AP306" i="335"/>
  <c r="AS306" i="335"/>
  <c r="AT306" i="335"/>
  <c r="AU306" i="335"/>
  <c r="AV306" i="335"/>
  <c r="AY306" i="335"/>
  <c r="AZ306" i="335"/>
  <c r="BA306" i="335"/>
  <c r="BF306" i="335"/>
  <c r="BG306" i="335"/>
  <c r="BH306" i="335"/>
  <c r="BK306" i="335"/>
  <c r="BL306" i="335"/>
  <c r="BM306" i="335"/>
  <c r="BN306" i="335"/>
  <c r="BQ306" i="335"/>
  <c r="BR306" i="335"/>
  <c r="BS306" i="335"/>
  <c r="BT306" i="335"/>
  <c r="BW306" i="335"/>
  <c r="BX306" i="335"/>
  <c r="BY306" i="335"/>
  <c r="BZ306" i="335"/>
  <c r="CD306" i="335"/>
  <c r="CE306" i="335"/>
  <c r="CF306" i="335"/>
  <c r="CI306" i="335"/>
  <c r="CJ306" i="335"/>
  <c r="CK306" i="335"/>
  <c r="CQ306" i="335"/>
  <c r="CR306" i="335"/>
  <c r="CW306" i="335"/>
  <c r="CX306" i="335"/>
  <c r="DA306" i="335"/>
  <c r="DC306" i="335"/>
  <c r="DD306" i="335"/>
  <c r="DG306" i="335"/>
  <c r="DH306" i="335"/>
  <c r="DI306" i="335"/>
  <c r="DJ306" i="335"/>
  <c r="DM306" i="335"/>
  <c r="DP306" i="335"/>
  <c r="DS306" i="335"/>
  <c r="AZ312" i="335"/>
  <c r="BA312" i="335"/>
  <c r="BB312" i="335"/>
  <c r="BE312" i="335"/>
  <c r="BF312" i="335"/>
  <c r="BG312" i="335"/>
  <c r="BH312" i="335"/>
  <c r="BK312" i="335"/>
  <c r="BL312" i="335"/>
  <c r="BM312" i="335"/>
  <c r="BN312" i="335"/>
  <c r="BQ312" i="335"/>
  <c r="BR312" i="335"/>
  <c r="BS312" i="335"/>
  <c r="BT312" i="335"/>
  <c r="BW312" i="335"/>
  <c r="BX312" i="335"/>
  <c r="BY312" i="335"/>
  <c r="BZ312" i="335"/>
  <c r="CC312" i="335"/>
  <c r="CD312" i="335"/>
  <c r="CE312" i="335"/>
  <c r="CF312" i="335"/>
  <c r="CI312" i="335"/>
  <c r="CJ312" i="335"/>
  <c r="CK312" i="335"/>
  <c r="CL312" i="335"/>
  <c r="CO312" i="335"/>
  <c r="CP312" i="335"/>
  <c r="CQ312" i="335"/>
  <c r="CR312" i="335"/>
  <c r="CU312" i="335"/>
  <c r="CV312" i="335"/>
  <c r="CW312" i="335"/>
  <c r="CX312" i="335"/>
  <c r="DA312" i="335"/>
  <c r="DB312" i="335"/>
  <c r="DC312" i="335"/>
  <c r="DD312" i="335"/>
  <c r="DG312" i="335"/>
  <c r="DH312" i="335"/>
  <c r="DI312" i="335"/>
  <c r="DJ312" i="335"/>
  <c r="BF313" i="335"/>
  <c r="BG313" i="335"/>
  <c r="BH313" i="335"/>
  <c r="BK313" i="335"/>
  <c r="BL313" i="335"/>
  <c r="BM313" i="335"/>
  <c r="BN313" i="335"/>
  <c r="BQ313" i="335"/>
  <c r="BR313" i="335"/>
  <c r="BS313" i="335"/>
  <c r="BT313" i="335"/>
  <c r="BW313" i="335"/>
  <c r="BX313" i="335"/>
  <c r="BY313" i="335"/>
  <c r="BZ313" i="335"/>
  <c r="CC313" i="335"/>
  <c r="CD313" i="335"/>
  <c r="CE313" i="335"/>
  <c r="CF313" i="335"/>
  <c r="CI313" i="335"/>
  <c r="CJ313" i="335"/>
  <c r="CK313" i="335"/>
  <c r="CL313" i="335"/>
  <c r="CO313" i="335"/>
  <c r="CP313" i="335"/>
  <c r="CQ313" i="335"/>
  <c r="CR313" i="335"/>
  <c r="CU313" i="335"/>
  <c r="CV313" i="335"/>
  <c r="CW313" i="335"/>
  <c r="CX313" i="335"/>
  <c r="DA313" i="335"/>
  <c r="DB313" i="335"/>
  <c r="DC313" i="335"/>
  <c r="DD313" i="335"/>
  <c r="DG313" i="335"/>
  <c r="DH313" i="335"/>
  <c r="DI313" i="335"/>
  <c r="DJ313" i="335"/>
  <c r="AT314" i="335"/>
  <c r="AZ314" i="335"/>
  <c r="BA314" i="335"/>
  <c r="BB314" i="335"/>
  <c r="BE314" i="335"/>
  <c r="BF314" i="335"/>
  <c r="BG314" i="335"/>
  <c r="BH314" i="335"/>
  <c r="BK314" i="335"/>
  <c r="BL314" i="335"/>
  <c r="BM314" i="335"/>
  <c r="BN314" i="335"/>
  <c r="BQ314" i="335"/>
  <c r="BR314" i="335"/>
  <c r="BS314" i="335"/>
  <c r="BT314" i="335"/>
  <c r="BW314" i="335"/>
  <c r="BX314" i="335"/>
  <c r="BY314" i="335"/>
  <c r="BZ314" i="335"/>
  <c r="CC314" i="335"/>
  <c r="CD314" i="335"/>
  <c r="CE314" i="335"/>
  <c r="CF314" i="335"/>
  <c r="CI314" i="335"/>
  <c r="CJ314" i="335"/>
  <c r="CK314" i="335"/>
  <c r="CL314" i="335"/>
  <c r="CO314" i="335"/>
  <c r="CP314" i="335"/>
  <c r="CQ314" i="335"/>
  <c r="CR314" i="335"/>
  <c r="CU314" i="335"/>
  <c r="CV314" i="335"/>
  <c r="CW314" i="335"/>
  <c r="CX314" i="335"/>
  <c r="DA314" i="335"/>
  <c r="DB314" i="335"/>
  <c r="DC314" i="335"/>
  <c r="DD314" i="335"/>
  <c r="DG314" i="335"/>
  <c r="DH314" i="335"/>
  <c r="DI314" i="335"/>
  <c r="DJ314" i="335"/>
  <c r="P315" i="335"/>
  <c r="Q315" i="335"/>
  <c r="R315" i="335"/>
  <c r="U315" i="335"/>
  <c r="V315" i="335"/>
  <c r="W315" i="335"/>
  <c r="X315" i="335"/>
  <c r="P318" i="335"/>
  <c r="Q318" i="335"/>
  <c r="R318" i="335"/>
  <c r="U318" i="335"/>
  <c r="V318" i="335"/>
  <c r="W318" i="335"/>
  <c r="X318" i="335"/>
  <c r="AA318" i="335"/>
  <c r="AB318" i="335"/>
  <c r="AC318" i="335"/>
  <c r="AD318" i="335"/>
  <c r="AG318" i="335"/>
  <c r="AH318" i="335"/>
  <c r="AI318" i="335"/>
  <c r="AJ318" i="335"/>
  <c r="AM318" i="335"/>
  <c r="AN318" i="335"/>
  <c r="AO318" i="335"/>
  <c r="AP318" i="335"/>
  <c r="AS318" i="335"/>
  <c r="AT318" i="335"/>
  <c r="AU318" i="335"/>
  <c r="AV318" i="335"/>
  <c r="AY318" i="335"/>
  <c r="AZ318" i="335"/>
  <c r="BA318" i="335"/>
  <c r="BB318" i="335"/>
  <c r="BE318" i="335"/>
  <c r="BF318" i="335"/>
  <c r="BG318" i="335"/>
  <c r="BH318" i="335"/>
  <c r="BK318" i="335"/>
  <c r="BL318" i="335"/>
  <c r="BM318" i="335"/>
  <c r="BN318" i="335"/>
  <c r="BQ318" i="335"/>
  <c r="BR318" i="335"/>
  <c r="BS318" i="335"/>
  <c r="BT318" i="335"/>
  <c r="BW318" i="335"/>
  <c r="BX318" i="335"/>
  <c r="BY318" i="335"/>
  <c r="BZ318" i="335"/>
  <c r="CC318" i="335"/>
  <c r="CD318" i="335"/>
  <c r="CE318" i="335"/>
  <c r="CU318" i="335"/>
  <c r="CX318" i="335"/>
  <c r="DG318" i="335"/>
  <c r="DH318" i="335"/>
  <c r="DP318" i="335"/>
  <c r="DV318" i="335"/>
  <c r="P319" i="335"/>
  <c r="Q319" i="335"/>
  <c r="R319" i="335"/>
  <c r="U319" i="335"/>
  <c r="V319" i="335"/>
  <c r="W319" i="335"/>
  <c r="X319" i="335"/>
  <c r="AA319" i="335"/>
  <c r="AB319" i="335"/>
  <c r="AC319" i="335"/>
  <c r="AD319" i="335"/>
  <c r="AG319" i="335"/>
  <c r="AH319" i="335"/>
  <c r="AI319" i="335"/>
  <c r="AJ319" i="335"/>
  <c r="AM319" i="335"/>
  <c r="AN319" i="335"/>
  <c r="AO319" i="335"/>
  <c r="AP319" i="335"/>
  <c r="AS319" i="335"/>
  <c r="AT319" i="335"/>
  <c r="AU319" i="335"/>
  <c r="AV319" i="335"/>
  <c r="AY319" i="335"/>
  <c r="AZ319" i="335"/>
  <c r="BA319" i="335"/>
  <c r="BB319" i="335"/>
  <c r="BE319" i="335"/>
  <c r="BF319" i="335"/>
  <c r="BG319" i="335"/>
  <c r="BH319" i="335"/>
  <c r="BK319" i="335"/>
  <c r="BL319" i="335"/>
  <c r="BM319" i="335"/>
  <c r="BN319" i="335"/>
  <c r="BQ319" i="335"/>
  <c r="BR319" i="335"/>
  <c r="BS319" i="335"/>
  <c r="BT319" i="335"/>
  <c r="BW319" i="335"/>
  <c r="BX319" i="335"/>
  <c r="BY319" i="335"/>
  <c r="BZ319" i="335"/>
  <c r="CC319" i="335"/>
  <c r="CD319" i="335"/>
  <c r="CE319" i="335"/>
  <c r="CF319" i="335"/>
  <c r="CL319" i="335"/>
  <c r="CO319" i="335"/>
  <c r="CW319" i="335"/>
  <c r="DA319" i="335"/>
  <c r="DH319" i="335"/>
  <c r="DI319" i="335"/>
  <c r="DT319" i="335"/>
  <c r="P320" i="335"/>
  <c r="Q320" i="335"/>
  <c r="R320" i="335"/>
  <c r="U320" i="335"/>
  <c r="V320" i="335"/>
  <c r="W320" i="335"/>
  <c r="X320" i="335"/>
  <c r="AA320" i="335"/>
  <c r="AB320" i="335"/>
  <c r="AC320" i="335"/>
  <c r="AD320" i="335"/>
  <c r="AG320" i="335"/>
  <c r="AH320" i="335"/>
  <c r="AI320" i="335"/>
  <c r="AJ320" i="335"/>
  <c r="AM320" i="335"/>
  <c r="AN320" i="335"/>
  <c r="AO320" i="335"/>
  <c r="AP320" i="335"/>
  <c r="AS320" i="335"/>
  <c r="AT320" i="335"/>
  <c r="AU320" i="335"/>
  <c r="AV320" i="335"/>
  <c r="AY320" i="335"/>
  <c r="AZ320" i="335"/>
  <c r="BA320" i="335"/>
  <c r="BB320" i="335"/>
  <c r="BE320" i="335"/>
  <c r="BF320" i="335"/>
  <c r="BG320" i="335"/>
  <c r="BH320" i="335"/>
  <c r="BK320" i="335"/>
  <c r="BL320" i="335"/>
  <c r="BM320" i="335"/>
  <c r="BN320" i="335"/>
  <c r="BQ320" i="335"/>
  <c r="BR320" i="335"/>
  <c r="BS320" i="335"/>
  <c r="BT320" i="335"/>
  <c r="BW320" i="335"/>
  <c r="BZ320" i="335"/>
  <c r="CC320" i="335"/>
  <c r="CD320" i="335"/>
  <c r="CE320" i="335"/>
  <c r="CJ320" i="335"/>
  <c r="CK320" i="335"/>
  <c r="CL320" i="335"/>
  <c r="CU320" i="335"/>
  <c r="CV320" i="335"/>
  <c r="DN320" i="335"/>
  <c r="DT320" i="335"/>
  <c r="CU330" i="335"/>
  <c r="CU337" i="335"/>
  <c r="CU338" i="335"/>
  <c r="CU339" i="335"/>
  <c r="O336" i="335"/>
  <c r="P336" i="335"/>
  <c r="Q336" i="335"/>
  <c r="R336" i="335"/>
  <c r="U336" i="335"/>
  <c r="V336" i="335"/>
  <c r="W336" i="335"/>
  <c r="X336" i="335"/>
  <c r="CU341" i="335"/>
  <c r="O342" i="335"/>
  <c r="P342" i="335"/>
  <c r="Q342" i="335"/>
  <c r="R342" i="335"/>
  <c r="U342" i="335"/>
  <c r="V342" i="335"/>
  <c r="W342" i="335"/>
  <c r="X342" i="335"/>
  <c r="O345" i="335"/>
  <c r="P345" i="335"/>
  <c r="Q345" i="335"/>
  <c r="R345" i="335"/>
  <c r="U345" i="335"/>
  <c r="V345" i="335"/>
  <c r="W345" i="335"/>
  <c r="X345" i="335"/>
  <c r="O346" i="335"/>
  <c r="P346" i="335"/>
  <c r="Q346" i="335"/>
  <c r="R346" i="335"/>
  <c r="U346" i="335"/>
  <c r="V346" i="335"/>
  <c r="W346" i="335"/>
  <c r="X346" i="335"/>
  <c r="O347" i="335"/>
  <c r="P347" i="335"/>
  <c r="Q347" i="335"/>
  <c r="R347" i="335"/>
  <c r="U347" i="335"/>
  <c r="V347" i="335"/>
  <c r="W347" i="335"/>
  <c r="X347" i="335"/>
  <c r="CU347" i="335"/>
  <c r="C355" i="335"/>
  <c r="D355" i="335"/>
  <c r="E355" i="335"/>
  <c r="F355" i="335"/>
  <c r="G355" i="335"/>
  <c r="H355" i="335"/>
  <c r="I355" i="335"/>
  <c r="O355" i="335"/>
  <c r="P355" i="335"/>
  <c r="Q355" i="335"/>
  <c r="R355" i="335"/>
  <c r="U355" i="335"/>
  <c r="V355" i="335"/>
  <c r="W355" i="335"/>
  <c r="X355" i="335"/>
  <c r="AA355" i="335"/>
  <c r="AB355" i="335"/>
  <c r="AC355" i="335"/>
  <c r="AD355" i="335"/>
  <c r="AG355" i="335"/>
  <c r="AH355" i="335"/>
  <c r="AI355" i="335"/>
  <c r="AJ355" i="335"/>
  <c r="AM355" i="335"/>
  <c r="AN355" i="335"/>
  <c r="AO355" i="335"/>
  <c r="AP355" i="335"/>
  <c r="AS355" i="335"/>
  <c r="AT355" i="335"/>
  <c r="AU355" i="335"/>
  <c r="AV355" i="335"/>
  <c r="AY355" i="335"/>
  <c r="AZ355" i="335"/>
  <c r="BA355" i="335"/>
  <c r="BB355" i="335"/>
  <c r="BE355" i="335"/>
  <c r="BF355" i="335"/>
  <c r="BG355" i="335"/>
  <c r="BH355" i="335"/>
  <c r="BK355" i="335"/>
  <c r="BL355" i="335"/>
  <c r="BM355" i="335"/>
  <c r="BN355" i="335"/>
  <c r="BQ355" i="335"/>
  <c r="BR355" i="335"/>
  <c r="BS355" i="335"/>
  <c r="BT355" i="335"/>
  <c r="BW355" i="335"/>
  <c r="BX355" i="335"/>
  <c r="CC355" i="335"/>
  <c r="CD355" i="335"/>
  <c r="CE355" i="335"/>
  <c r="CF355" i="335"/>
  <c r="CI355" i="335"/>
  <c r="CJ355" i="335"/>
  <c r="CK355" i="335"/>
  <c r="CL355" i="335"/>
  <c r="CO355" i="335"/>
  <c r="CP355" i="335"/>
  <c r="CQ355" i="335"/>
  <c r="CR355" i="335"/>
  <c r="CU355" i="335"/>
  <c r="CV355" i="335"/>
  <c r="CW355" i="335"/>
  <c r="CX355" i="335"/>
  <c r="DA355" i="335"/>
  <c r="DB355" i="335"/>
  <c r="DC355" i="335"/>
  <c r="DD355" i="335"/>
  <c r="DH355" i="335"/>
  <c r="DI355" i="335"/>
  <c r="DJ355" i="335"/>
  <c r="DM355" i="335"/>
  <c r="DN355" i="335"/>
  <c r="DO355" i="335"/>
  <c r="DP355" i="335"/>
  <c r="DS355" i="335"/>
  <c r="DT355" i="335"/>
  <c r="DU355" i="335"/>
  <c r="DV355" i="335"/>
  <c r="DY355" i="335"/>
  <c r="H357" i="335"/>
  <c r="I357" i="335"/>
  <c r="O357" i="335"/>
  <c r="P357" i="335"/>
  <c r="Q357" i="335"/>
  <c r="R357" i="335"/>
  <c r="U357" i="335"/>
  <c r="V357" i="335"/>
  <c r="W357" i="335"/>
  <c r="X357" i="335"/>
  <c r="AA357" i="335"/>
  <c r="AB357" i="335"/>
  <c r="AC357" i="335"/>
  <c r="AD357" i="335"/>
  <c r="AG357" i="335"/>
  <c r="AH357" i="335"/>
  <c r="AI357" i="335"/>
  <c r="AJ357" i="335"/>
  <c r="AM357" i="335"/>
  <c r="AN357" i="335"/>
  <c r="AO357" i="335"/>
  <c r="AP357" i="335"/>
  <c r="AS357" i="335"/>
  <c r="AT357" i="335"/>
  <c r="AU357" i="335"/>
  <c r="AV357" i="335"/>
  <c r="AY357" i="335"/>
  <c r="AZ357" i="335"/>
  <c r="BA357" i="335"/>
  <c r="BB357" i="335"/>
  <c r="BE357" i="335"/>
  <c r="BF357" i="335"/>
  <c r="BG357" i="335"/>
  <c r="BH357" i="335"/>
  <c r="BK357" i="335"/>
  <c r="BL357" i="335"/>
  <c r="BM357" i="335"/>
  <c r="BM358" i="335"/>
  <c r="BN357" i="335"/>
  <c r="BQ357" i="335"/>
  <c r="BR357" i="335"/>
  <c r="BS357" i="335"/>
  <c r="BT357" i="335"/>
  <c r="BW357" i="335"/>
  <c r="BX357" i="335"/>
  <c r="CC357" i="335"/>
  <c r="CD357" i="335"/>
  <c r="CE357" i="335"/>
  <c r="CF357" i="335"/>
  <c r="CI357" i="335"/>
  <c r="CJ357" i="335"/>
  <c r="CK357" i="335"/>
  <c r="CL357" i="335"/>
  <c r="CO357" i="335"/>
  <c r="CP357" i="335"/>
  <c r="CR357" i="335"/>
  <c r="CU357" i="335"/>
  <c r="CV357" i="335"/>
  <c r="CW357" i="335"/>
  <c r="CW358" i="335"/>
  <c r="CX357" i="335"/>
  <c r="CX358" i="335"/>
  <c r="DA357" i="335"/>
  <c r="DB357" i="335"/>
  <c r="DB358" i="335"/>
  <c r="DC357" i="335"/>
  <c r="DC358" i="335"/>
  <c r="DD357" i="335"/>
  <c r="DD358" i="335"/>
  <c r="DH357" i="335"/>
  <c r="DH358" i="335"/>
  <c r="DI357" i="335"/>
  <c r="DI358" i="335"/>
  <c r="DJ357" i="335"/>
  <c r="DJ358" i="335"/>
  <c r="DM357" i="335"/>
  <c r="DM358" i="335"/>
  <c r="DN357" i="335"/>
  <c r="DN358" i="335"/>
  <c r="DO357" i="335"/>
  <c r="DO358" i="335"/>
  <c r="DP357" i="335"/>
  <c r="DP358" i="335"/>
  <c r="DS357" i="335"/>
  <c r="DS358" i="335"/>
  <c r="DT357" i="335"/>
  <c r="DT358" i="335"/>
  <c r="DU357" i="335"/>
  <c r="DU358" i="335"/>
  <c r="DV357" i="335"/>
  <c r="DV358" i="335"/>
  <c r="DY357" i="335"/>
  <c r="DY358" i="335"/>
  <c r="C357" i="335"/>
  <c r="D357" i="335"/>
  <c r="E357" i="335"/>
  <c r="F357" i="335"/>
  <c r="G357" i="335"/>
  <c r="C358" i="335"/>
  <c r="D358" i="335"/>
  <c r="E358" i="335"/>
  <c r="F358" i="335"/>
  <c r="G358" i="335"/>
  <c r="C359" i="335"/>
  <c r="D359" i="335"/>
  <c r="E359" i="335"/>
  <c r="F359" i="335"/>
  <c r="G359" i="335"/>
  <c r="H359" i="335"/>
  <c r="I359" i="335"/>
  <c r="J359" i="335"/>
  <c r="K359" i="335"/>
  <c r="L359" i="335"/>
  <c r="M359" i="335"/>
  <c r="O359" i="335"/>
  <c r="P359" i="335"/>
  <c r="Q359" i="335"/>
  <c r="R359" i="335"/>
  <c r="S359" i="335"/>
  <c r="U359" i="335"/>
  <c r="V359" i="335"/>
  <c r="W359" i="335"/>
  <c r="X359" i="335"/>
  <c r="Y359" i="335"/>
  <c r="BF359" i="335"/>
  <c r="CE359" i="335"/>
  <c r="CJ359" i="335"/>
  <c r="CP359" i="335"/>
  <c r="CQ359" i="335"/>
  <c r="CV359" i="335"/>
  <c r="DB359" i="335"/>
  <c r="DH359" i="335"/>
  <c r="DI359" i="335"/>
  <c r="DN359" i="335"/>
  <c r="DS359" i="335"/>
  <c r="DT359" i="335"/>
  <c r="DU359" i="335"/>
  <c r="DV359" i="335"/>
  <c r="DY359" i="335"/>
  <c r="AP361" i="335"/>
  <c r="AT361" i="335"/>
  <c r="BA361" i="335"/>
  <c r="BE362" i="335"/>
  <c r="BF362" i="335"/>
  <c r="BK362" i="335"/>
  <c r="BL361" i="335"/>
  <c r="BQ362" i="335"/>
  <c r="BR361" i="335"/>
  <c r="BR362" i="335"/>
  <c r="BY361" i="335"/>
  <c r="CK362" i="335"/>
  <c r="CW361" i="335"/>
  <c r="CX361" i="335"/>
  <c r="DA362" i="335"/>
  <c r="DI361" i="335"/>
  <c r="DP362" i="335"/>
  <c r="DS361" i="335"/>
  <c r="DS362" i="335"/>
  <c r="DT361" i="335"/>
  <c r="DT362" i="335"/>
  <c r="DU361" i="335"/>
  <c r="DU362" i="335"/>
  <c r="DV361" i="335"/>
  <c r="DV362" i="335"/>
  <c r="DY361" i="335"/>
  <c r="DY362" i="335"/>
  <c r="C364" i="335"/>
  <c r="D364" i="335"/>
  <c r="E364" i="335"/>
  <c r="F364" i="335"/>
  <c r="G364" i="335"/>
  <c r="H364" i="335"/>
  <c r="I364" i="335"/>
  <c r="J364" i="335"/>
  <c r="F370" i="335"/>
  <c r="G370" i="335"/>
  <c r="H370" i="335"/>
  <c r="I370" i="335"/>
  <c r="J370" i="335"/>
  <c r="K370" i="335"/>
  <c r="L370" i="335"/>
  <c r="M370" i="335"/>
  <c r="R370" i="335"/>
  <c r="U370" i="335"/>
  <c r="V370" i="335"/>
  <c r="W370" i="335"/>
  <c r="X370" i="335"/>
  <c r="Y370" i="335" s="1"/>
  <c r="AA370" i="335"/>
  <c r="AB370" i="335"/>
  <c r="AC370" i="335"/>
  <c r="AD370" i="335"/>
  <c r="AE370" i="335" s="1"/>
  <c r="AG370" i="335"/>
  <c r="AH370" i="335"/>
  <c r="AI370" i="335"/>
  <c r="AJ370" i="335"/>
  <c r="AK370" i="335" s="1"/>
  <c r="AM370" i="335"/>
  <c r="AN370" i="335"/>
  <c r="AO370" i="335"/>
  <c r="AP370" i="335"/>
  <c r="AQ370" i="335" s="1"/>
  <c r="AS370" i="335"/>
  <c r="AT370" i="335"/>
  <c r="AU370" i="335"/>
  <c r="AV370" i="335"/>
  <c r="AW370" i="335" s="1"/>
  <c r="AY370" i="335"/>
  <c r="AZ370" i="335"/>
  <c r="BA370" i="335"/>
  <c r="BB370" i="335"/>
  <c r="BC370" i="335" s="1"/>
  <c r="BE370" i="335"/>
  <c r="BF370" i="335"/>
  <c r="BG370" i="335"/>
  <c r="BH370" i="335"/>
  <c r="BI370" i="335" s="1"/>
  <c r="BK370" i="335"/>
  <c r="BL370" i="335"/>
  <c r="BM370" i="335"/>
  <c r="BN370" i="335"/>
  <c r="BO370" i="335" s="1"/>
  <c r="BQ370" i="335"/>
  <c r="BR370" i="335"/>
  <c r="BS370" i="335"/>
  <c r="BT370" i="335"/>
  <c r="BU370" i="335" s="1"/>
  <c r="BW370" i="335"/>
  <c r="BX370" i="335"/>
  <c r="BY370" i="335"/>
  <c r="BZ370" i="335"/>
  <c r="CA370" i="335" s="1"/>
  <c r="CC370" i="335"/>
  <c r="CD370" i="335"/>
  <c r="CE370" i="335"/>
  <c r="CF370" i="335"/>
  <c r="CG370" i="335" s="1"/>
  <c r="DB370" i="335"/>
  <c r="DU370" i="335"/>
  <c r="E373" i="335"/>
  <c r="C376" i="335"/>
  <c r="D376" i="335"/>
  <c r="E376" i="335"/>
  <c r="F376" i="335"/>
  <c r="G376" i="335"/>
  <c r="H376" i="335"/>
  <c r="I376" i="335"/>
  <c r="J376" i="335"/>
  <c r="K376" i="335"/>
  <c r="L376" i="335"/>
  <c r="M376" i="335"/>
  <c r="O376" i="335"/>
  <c r="P376" i="335"/>
  <c r="Q376" i="335"/>
  <c r="R376" i="335"/>
  <c r="S376" i="335" s="1"/>
  <c r="U376" i="335"/>
  <c r="V376" i="335"/>
  <c r="W376" i="335"/>
  <c r="X376" i="335"/>
  <c r="Y376" i="335" s="1"/>
  <c r="AA376" i="335"/>
  <c r="AB376" i="335"/>
  <c r="AC376" i="335"/>
  <c r="AD376" i="335"/>
  <c r="AE376" i="335" s="1"/>
  <c r="AG376" i="335"/>
  <c r="AH376" i="335"/>
  <c r="AI376" i="335"/>
  <c r="AJ376" i="335"/>
  <c r="AK376" i="335" s="1"/>
  <c r="AM376" i="335"/>
  <c r="AN376" i="335"/>
  <c r="AO376" i="335"/>
  <c r="AP376" i="335"/>
  <c r="AQ376" i="335" s="1"/>
  <c r="AS376" i="335"/>
  <c r="AT376" i="335"/>
  <c r="AU376" i="335"/>
  <c r="AV376" i="335"/>
  <c r="AW376" i="335" s="1"/>
  <c r="AY376" i="335"/>
  <c r="AZ376" i="335"/>
  <c r="BA376" i="335"/>
  <c r="BB376" i="335"/>
  <c r="BC376" i="335" s="1"/>
  <c r="BE376" i="335"/>
  <c r="BF376" i="335"/>
  <c r="BG376" i="335"/>
  <c r="BH376" i="335"/>
  <c r="BI376" i="335" s="1"/>
  <c r="BK376" i="335"/>
  <c r="BL376" i="335"/>
  <c r="BM376" i="335"/>
  <c r="BN376" i="335"/>
  <c r="BO376" i="335" s="1"/>
  <c r="BQ376" i="335"/>
  <c r="BR376" i="335"/>
  <c r="BS376" i="335"/>
  <c r="BT376" i="335"/>
  <c r="BU376" i="335" s="1"/>
  <c r="BW376" i="335"/>
  <c r="BX376" i="335"/>
  <c r="BY376" i="335"/>
  <c r="BZ376" i="335"/>
  <c r="CA376" i="335" s="1"/>
  <c r="CC376" i="335"/>
  <c r="CD376" i="335"/>
  <c r="CE376" i="335"/>
  <c r="CF376" i="335"/>
  <c r="CG376" i="335" s="1"/>
  <c r="CI376" i="335"/>
  <c r="CJ376" i="335"/>
  <c r="CK376" i="335"/>
  <c r="CL376" i="335"/>
  <c r="CM376" i="335" s="1"/>
  <c r="CO376" i="335"/>
  <c r="CP376" i="335"/>
  <c r="CQ376" i="335"/>
  <c r="CR376" i="335"/>
  <c r="CS376" i="335" s="1"/>
  <c r="CU376" i="335"/>
  <c r="CV376" i="335"/>
  <c r="CW376" i="335"/>
  <c r="CX376" i="335"/>
  <c r="CY376" i="335" s="1"/>
  <c r="DA376" i="335"/>
  <c r="DB376" i="335"/>
  <c r="DC376" i="335"/>
  <c r="DD376" i="335"/>
  <c r="DE376" i="335" s="1"/>
  <c r="DG376" i="335"/>
  <c r="DH376" i="335"/>
  <c r="DI376" i="335"/>
  <c r="DN376" i="335"/>
  <c r="DZ376" i="335"/>
  <c r="EA376" i="335"/>
  <c r="EB376" i="335"/>
  <c r="EC376" i="335" s="1"/>
  <c r="EE376" i="335"/>
  <c r="C377" i="335"/>
  <c r="D377" i="335"/>
  <c r="E377" i="335"/>
  <c r="F377" i="335"/>
  <c r="G377" i="335"/>
  <c r="H377" i="335"/>
  <c r="I377" i="335"/>
  <c r="J377" i="335"/>
  <c r="K377" i="335"/>
  <c r="L377" i="335"/>
  <c r="M377" i="335"/>
  <c r="O377" i="335"/>
  <c r="P377" i="335"/>
  <c r="Q377" i="335"/>
  <c r="R377" i="335"/>
  <c r="S377" i="335" s="1"/>
  <c r="U377" i="335"/>
  <c r="V377" i="335"/>
  <c r="W377" i="335"/>
  <c r="X377" i="335"/>
  <c r="Y377" i="335" s="1"/>
  <c r="AA377" i="335"/>
  <c r="AB377" i="335"/>
  <c r="AC377" i="335"/>
  <c r="AD377" i="335"/>
  <c r="AE377" i="335" s="1"/>
  <c r="AG377" i="335"/>
  <c r="AH377" i="335"/>
  <c r="AI377" i="335"/>
  <c r="AJ377" i="335"/>
  <c r="AK377" i="335" s="1"/>
  <c r="AM377" i="335"/>
  <c r="AN377" i="335"/>
  <c r="AO377" i="335"/>
  <c r="AP377" i="335"/>
  <c r="AQ377" i="335" s="1"/>
  <c r="AS377" i="335"/>
  <c r="AT377" i="335"/>
  <c r="AU377" i="335"/>
  <c r="AV377" i="335"/>
  <c r="AW377" i="335" s="1"/>
  <c r="AY377" i="335"/>
  <c r="AZ377" i="335"/>
  <c r="BA377" i="335"/>
  <c r="BB377" i="335"/>
  <c r="BC377" i="335" s="1"/>
  <c r="BE377" i="335"/>
  <c r="BF377" i="335"/>
  <c r="BH377" i="335"/>
  <c r="BI377" i="335" s="1"/>
  <c r="BK377" i="335"/>
  <c r="BL377" i="335"/>
  <c r="BM377" i="335"/>
  <c r="BN377" i="335"/>
  <c r="BO377" i="335" s="1"/>
  <c r="BQ377" i="335"/>
  <c r="BR377" i="335"/>
  <c r="BS377" i="335"/>
  <c r="BT377" i="335"/>
  <c r="BU377" i="335" s="1"/>
  <c r="BW377" i="335"/>
  <c r="BX377" i="335"/>
  <c r="BY377" i="335"/>
  <c r="BZ377" i="335"/>
  <c r="CA377" i="335" s="1"/>
  <c r="CC377" i="335"/>
  <c r="CD377" i="335"/>
  <c r="CE377" i="335"/>
  <c r="CJ377" i="335"/>
  <c r="CK377" i="335"/>
  <c r="CL377" i="335"/>
  <c r="CM377" i="335" s="1"/>
  <c r="CO377" i="335"/>
  <c r="CP377" i="335"/>
  <c r="CQ377" i="335"/>
  <c r="CR377" i="335"/>
  <c r="CS377" i="335" s="1"/>
  <c r="CU377" i="335"/>
  <c r="CV377" i="335"/>
  <c r="CW377" i="335"/>
  <c r="CX377" i="335"/>
  <c r="CY377" i="335" s="1"/>
  <c r="DA377" i="335"/>
  <c r="DB377" i="335"/>
  <c r="DC377" i="335"/>
  <c r="DD377" i="335"/>
  <c r="DE377" i="335" s="1"/>
  <c r="DG377" i="335"/>
  <c r="DH377" i="335"/>
  <c r="DI377" i="335"/>
  <c r="DJ377" i="335"/>
  <c r="DK377" i="335" s="1"/>
  <c r="DM377" i="335"/>
  <c r="DN377" i="335"/>
  <c r="DO377" i="335"/>
  <c r="DP377" i="335"/>
  <c r="DQ377" i="335" s="1"/>
  <c r="DS377" i="335"/>
  <c r="DT377" i="335"/>
  <c r="DU377" i="335"/>
  <c r="DV377" i="335"/>
  <c r="DW377" i="335" s="1"/>
  <c r="D378" i="335"/>
  <c r="E378" i="335"/>
  <c r="F378" i="335"/>
  <c r="G378" i="335"/>
  <c r="H378" i="335"/>
  <c r="I378" i="335"/>
  <c r="J378" i="335"/>
  <c r="K378" i="335"/>
  <c r="L378" i="335"/>
  <c r="M378" i="335"/>
  <c r="O378" i="335"/>
  <c r="P378" i="335"/>
  <c r="Q378" i="335"/>
  <c r="R378" i="335"/>
  <c r="S378" i="335" s="1"/>
  <c r="U378" i="335"/>
  <c r="V378" i="335"/>
  <c r="W378" i="335"/>
  <c r="X378" i="335"/>
  <c r="Y378" i="335" s="1"/>
  <c r="AA378" i="335"/>
  <c r="AB378" i="335"/>
  <c r="AC378" i="335"/>
  <c r="AD378" i="335"/>
  <c r="AE378" i="335" s="1"/>
  <c r="AK402" i="335" s="1"/>
  <c r="AG378" i="335"/>
  <c r="AI378" i="335"/>
  <c r="AJ378" i="335"/>
  <c r="AK378" i="335" s="1"/>
  <c r="AQ402" i="335" s="1"/>
  <c r="AM378" i="335"/>
  <c r="AN378" i="335"/>
  <c r="AP378" i="335"/>
  <c r="AQ378" i="335" s="1"/>
  <c r="AW402" i="335" s="1"/>
  <c r="AS378" i="335"/>
  <c r="AT378" i="335"/>
  <c r="AU378" i="335"/>
  <c r="AV378" i="335"/>
  <c r="AW378" i="335" s="1"/>
  <c r="BC402" i="335" s="1"/>
  <c r="AY378" i="335"/>
  <c r="BA378" i="335"/>
  <c r="BB378" i="335"/>
  <c r="BC378" i="335" s="1"/>
  <c r="BI402" i="335" s="1"/>
  <c r="BE378" i="335"/>
  <c r="BF378" i="335"/>
  <c r="BG378" i="335"/>
  <c r="BH378" i="335"/>
  <c r="BK402" i="335" s="1"/>
  <c r="BK405" i="335" s="1"/>
  <c r="BK378" i="335"/>
  <c r="BL402" i="335" s="1"/>
  <c r="BL405" i="335" s="1"/>
  <c r="BL378" i="335"/>
  <c r="BM402" i="335" s="1"/>
  <c r="BM378" i="335"/>
  <c r="BN402" i="335" s="1"/>
  <c r="BN405" i="335" s="1"/>
  <c r="BN378" i="335"/>
  <c r="BQ378" i="335"/>
  <c r="BR402" i="335" s="1"/>
  <c r="BR405" i="335" s="1"/>
  <c r="BR378" i="335"/>
  <c r="BS402" i="335" s="1"/>
  <c r="BS405" i="335" s="1"/>
  <c r="BS378" i="335"/>
  <c r="BT402" i="335" s="1"/>
  <c r="BT405" i="335" s="1"/>
  <c r="BX378" i="335"/>
  <c r="BY402" i="335" s="1"/>
  <c r="BY405" i="335" s="1"/>
  <c r="BY378" i="335"/>
  <c r="BZ402" i="335" s="1"/>
  <c r="BZ405" i="335" s="1"/>
  <c r="CC378" i="335"/>
  <c r="CD402" i="335"/>
  <c r="CD405" i="335" s="1"/>
  <c r="CD378" i="335"/>
  <c r="CE402" i="335" s="1"/>
  <c r="CE378" i="335"/>
  <c r="CF402" i="335" s="1"/>
  <c r="CI378" i="335"/>
  <c r="CJ402" i="335" s="1"/>
  <c r="CJ378" i="335"/>
  <c r="CK402" i="335" s="1"/>
  <c r="CK378" i="335"/>
  <c r="CL402" i="335" s="1"/>
  <c r="CO378" i="335"/>
  <c r="CP402" i="335" s="1"/>
  <c r="CP378" i="335"/>
  <c r="CQ402" i="335" s="1"/>
  <c r="CQ378" i="335"/>
  <c r="CR402" i="335" s="1"/>
  <c r="CU378" i="335"/>
  <c r="CV402" i="335" s="1"/>
  <c r="CV378" i="335"/>
  <c r="CW402" i="335" s="1"/>
  <c r="CW378" i="335"/>
  <c r="CX402" i="335" s="1"/>
  <c r="CX378" i="335"/>
  <c r="DA402" i="335" s="1"/>
  <c r="DA378" i="335"/>
  <c r="DB402" i="335" s="1"/>
  <c r="DB378" i="335"/>
  <c r="DC402" i="335" s="1"/>
  <c r="DC378" i="335"/>
  <c r="DD402" i="335" s="1"/>
  <c r="DG378" i="335"/>
  <c r="DH402" i="335" s="1"/>
  <c r="DH378" i="335"/>
  <c r="DI402" i="335" s="1"/>
  <c r="DI378" i="335"/>
  <c r="DJ402" i="335" s="1"/>
  <c r="DM378" i="335"/>
  <c r="DN402" i="335" s="1"/>
  <c r="DN378" i="335"/>
  <c r="DO402" i="335" s="1"/>
  <c r="DO378" i="335"/>
  <c r="DP402" i="335" s="1"/>
  <c r="DP378" i="335"/>
  <c r="DS378" i="335"/>
  <c r="DT402" i="335" s="1"/>
  <c r="DT378" i="335"/>
  <c r="DU402" i="335" s="1"/>
  <c r="C379" i="335"/>
  <c r="F379" i="335"/>
  <c r="G379" i="335"/>
  <c r="H379" i="335"/>
  <c r="K379" i="335"/>
  <c r="L379" i="335"/>
  <c r="O379" i="335"/>
  <c r="P379" i="335"/>
  <c r="Q379" i="335"/>
  <c r="R379" i="335"/>
  <c r="S379" i="335" s="1"/>
  <c r="U379" i="335"/>
  <c r="V379" i="335"/>
  <c r="W379" i="335"/>
  <c r="AA379" i="335"/>
  <c r="AB379" i="335"/>
  <c r="AC379" i="335"/>
  <c r="AD379" i="335"/>
  <c r="AE379" i="335" s="1"/>
  <c r="AG379" i="335"/>
  <c r="AH379" i="335"/>
  <c r="AI379" i="335"/>
  <c r="AJ379" i="335"/>
  <c r="AK379" i="335" s="1"/>
  <c r="AM379" i="335"/>
  <c r="AN379" i="335"/>
  <c r="AO379" i="335"/>
  <c r="AP379" i="335"/>
  <c r="AQ379" i="335" s="1"/>
  <c r="AS379" i="335"/>
  <c r="AT379" i="335"/>
  <c r="AU379" i="335"/>
  <c r="AV379" i="335"/>
  <c r="AW379" i="335" s="1"/>
  <c r="BC408" i="335" s="1"/>
  <c r="AY379" i="335"/>
  <c r="AZ379" i="335"/>
  <c r="BA379" i="335"/>
  <c r="BB379" i="335"/>
  <c r="BC379" i="335" s="1"/>
  <c r="BI408" i="335" s="1"/>
  <c r="BE379" i="335"/>
  <c r="BF379" i="335"/>
  <c r="BG379" i="335"/>
  <c r="BH379" i="335"/>
  <c r="BK379" i="335"/>
  <c r="BL408" i="335" s="1"/>
  <c r="BL407" i="335" s="1"/>
  <c r="BL379" i="335"/>
  <c r="BM408" i="335" s="1"/>
  <c r="BM407" i="335" s="1"/>
  <c r="BM379" i="335"/>
  <c r="BN408" i="335" s="1"/>
  <c r="BN407" i="335" s="1"/>
  <c r="BN379" i="335"/>
  <c r="BQ379" i="335"/>
  <c r="BR408" i="335" s="1"/>
  <c r="BR407" i="335" s="1"/>
  <c r="BR379" i="335"/>
  <c r="BS408" i="335" s="1"/>
  <c r="BS407" i="335" s="1"/>
  <c r="BS379" i="335"/>
  <c r="BT408" i="335" s="1"/>
  <c r="BT407" i="335" s="1"/>
  <c r="BT379" i="335"/>
  <c r="BU379" i="335" s="1"/>
  <c r="BW379" i="335"/>
  <c r="BX408" i="335" s="1"/>
  <c r="BX407" i="335" s="1"/>
  <c r="BX379" i="335"/>
  <c r="BY408" i="335" s="1"/>
  <c r="BY407" i="335" s="1"/>
  <c r="BY379" i="335"/>
  <c r="BZ408" i="335" s="1"/>
  <c r="BZ407" i="335" s="1"/>
  <c r="BZ379" i="335"/>
  <c r="CA379" i="335" s="1"/>
  <c r="CC379" i="335"/>
  <c r="CD408" i="335" s="1"/>
  <c r="CD407" i="335" s="1"/>
  <c r="CD379" i="335"/>
  <c r="CE408" i="335" s="1"/>
  <c r="CE455" i="335" s="1"/>
  <c r="CE379" i="335"/>
  <c r="CF379" i="335"/>
  <c r="CG379" i="335" s="1"/>
  <c r="CI379" i="335"/>
  <c r="CJ379" i="335"/>
  <c r="CK379" i="335"/>
  <c r="CL379" i="335"/>
  <c r="CM379" i="335" s="1"/>
  <c r="CO379" i="335"/>
  <c r="CP379" i="335"/>
  <c r="CQ379" i="335"/>
  <c r="CR379" i="335"/>
  <c r="CS379" i="335" s="1"/>
  <c r="CU379" i="335"/>
  <c r="CV379" i="335"/>
  <c r="CW379" i="335"/>
  <c r="CX379" i="335"/>
  <c r="CY379" i="335" s="1"/>
  <c r="DA379" i="335"/>
  <c r="DB379" i="335"/>
  <c r="DC379" i="335"/>
  <c r="DD379" i="335"/>
  <c r="DE379" i="335" s="1"/>
  <c r="DG379" i="335"/>
  <c r="DH379" i="335"/>
  <c r="DI379" i="335"/>
  <c r="DJ379" i="335"/>
  <c r="DK379" i="335" s="1"/>
  <c r="DM379" i="335"/>
  <c r="DN379" i="335"/>
  <c r="DO379" i="335"/>
  <c r="DP379" i="335"/>
  <c r="DQ379" i="335" s="1"/>
  <c r="DS379" i="335"/>
  <c r="DT379" i="335"/>
  <c r="DV379" i="335"/>
  <c r="DW379" i="335" s="1"/>
  <c r="DY379" i="335"/>
  <c r="C380" i="335"/>
  <c r="BT380" i="335"/>
  <c r="BU380" i="335" s="1"/>
  <c r="CQ380" i="335"/>
  <c r="DP380" i="335"/>
  <c r="DQ380" i="335" s="1"/>
  <c r="DU380" i="335"/>
  <c r="DV380" i="335"/>
  <c r="DW380" i="335" s="1"/>
  <c r="DY380" i="335"/>
  <c r="E382" i="335"/>
  <c r="F382" i="335"/>
  <c r="G382" i="335"/>
  <c r="H382" i="335"/>
  <c r="I382" i="335"/>
  <c r="J382" i="335"/>
  <c r="K382" i="335"/>
  <c r="L382" i="335"/>
  <c r="M382" i="335"/>
  <c r="O382" i="335"/>
  <c r="U382" i="335"/>
  <c r="AA382" i="335"/>
  <c r="AG382" i="335"/>
  <c r="AM382" i="335"/>
  <c r="AS382" i="335"/>
  <c r="AY382" i="335"/>
  <c r="BE382" i="335"/>
  <c r="BK382" i="335"/>
  <c r="BQ382" i="335"/>
  <c r="BW382" i="335"/>
  <c r="A384" i="335"/>
  <c r="C384" i="335"/>
  <c r="D384" i="335"/>
  <c r="E384" i="335"/>
  <c r="F384" i="335"/>
  <c r="G384" i="335"/>
  <c r="H384" i="335"/>
  <c r="I384" i="335"/>
  <c r="J384" i="335"/>
  <c r="K384" i="335"/>
  <c r="L384" i="335"/>
  <c r="M384" i="335"/>
  <c r="O384" i="335"/>
  <c r="U384" i="335"/>
  <c r="AA384" i="335"/>
  <c r="AG384" i="335"/>
  <c r="AM384" i="335"/>
  <c r="AS384" i="335"/>
  <c r="AY384" i="335"/>
  <c r="BE384" i="335"/>
  <c r="BK384" i="335"/>
  <c r="BQ384" i="335"/>
  <c r="BW384" i="335"/>
  <c r="CD384" i="335"/>
  <c r="CW384" i="335"/>
  <c r="DY384" i="335"/>
  <c r="C385" i="335"/>
  <c r="C387" i="335"/>
  <c r="D387" i="335"/>
  <c r="E387" i="335"/>
  <c r="F387" i="335"/>
  <c r="G387" i="335"/>
  <c r="H387" i="335"/>
  <c r="I387" i="335"/>
  <c r="AA387" i="335"/>
  <c r="AS387" i="335"/>
  <c r="CC387" i="335"/>
  <c r="CX387" i="335"/>
  <c r="C388" i="335"/>
  <c r="D388" i="335"/>
  <c r="E388" i="335"/>
  <c r="F388" i="335"/>
  <c r="G388" i="335"/>
  <c r="H388" i="335"/>
  <c r="I388" i="335"/>
  <c r="J388" i="335"/>
  <c r="K388" i="335"/>
  <c r="L388" i="335"/>
  <c r="M388" i="335"/>
  <c r="O388" i="335"/>
  <c r="P388" i="335"/>
  <c r="Q388" i="335"/>
  <c r="R388" i="335"/>
  <c r="U388" i="335"/>
  <c r="V388" i="335"/>
  <c r="W388" i="335"/>
  <c r="X388" i="335"/>
  <c r="AA388" i="335"/>
  <c r="AB388" i="335"/>
  <c r="AC388" i="335"/>
  <c r="AD388" i="335"/>
  <c r="AG388" i="335"/>
  <c r="AH388" i="335"/>
  <c r="AI388" i="335"/>
  <c r="AJ388" i="335"/>
  <c r="AM388" i="335"/>
  <c r="AN388" i="335"/>
  <c r="AO388" i="335"/>
  <c r="AP388" i="335"/>
  <c r="AS388" i="335"/>
  <c r="AT388" i="335"/>
  <c r="AU388" i="335"/>
  <c r="AV388" i="335"/>
  <c r="AY388" i="335"/>
  <c r="AZ388" i="335"/>
  <c r="BA388" i="335"/>
  <c r="BB388" i="335"/>
  <c r="BE388" i="335"/>
  <c r="BF388" i="335"/>
  <c r="BG388" i="335"/>
  <c r="BH388" i="335"/>
  <c r="BK388" i="335"/>
  <c r="BL388" i="335"/>
  <c r="BM388" i="335"/>
  <c r="BN388" i="335"/>
  <c r="BQ388" i="335"/>
  <c r="BR388" i="335"/>
  <c r="BS388" i="335"/>
  <c r="BT388" i="335"/>
  <c r="BW388" i="335"/>
  <c r="BX388" i="335"/>
  <c r="BY388" i="335"/>
  <c r="BZ388" i="335"/>
  <c r="CC388" i="335"/>
  <c r="CD388" i="335"/>
  <c r="CE388" i="335"/>
  <c r="CF388" i="335"/>
  <c r="CI388" i="335"/>
  <c r="CJ388" i="335"/>
  <c r="CK388" i="335"/>
  <c r="CO388" i="335"/>
  <c r="CP388" i="335"/>
  <c r="CQ388" i="335"/>
  <c r="CU388" i="335"/>
  <c r="CV388" i="335"/>
  <c r="CW388" i="335"/>
  <c r="DA388" i="335"/>
  <c r="DB388" i="335"/>
  <c r="DC388" i="335"/>
  <c r="DG388" i="335"/>
  <c r="DH388" i="335"/>
  <c r="DI388" i="335"/>
  <c r="DM388" i="335"/>
  <c r="DN388" i="335"/>
  <c r="DO388" i="335"/>
  <c r="DS388" i="335"/>
  <c r="DT388" i="335"/>
  <c r="DU388" i="335"/>
  <c r="DY388" i="335"/>
  <c r="DZ388" i="335"/>
  <c r="EA388" i="335"/>
  <c r="EE388" i="335"/>
  <c r="EG388" i="335"/>
  <c r="EM388" i="335"/>
  <c r="ES388" i="335"/>
  <c r="C389" i="335"/>
  <c r="D389" i="335"/>
  <c r="E389" i="335"/>
  <c r="F389" i="335"/>
  <c r="G389" i="335"/>
  <c r="H389" i="335"/>
  <c r="I389" i="335"/>
  <c r="J389" i="335"/>
  <c r="K389" i="335"/>
  <c r="L389" i="335"/>
  <c r="M389" i="335"/>
  <c r="O389" i="335"/>
  <c r="P389" i="335"/>
  <c r="Q389" i="335"/>
  <c r="R389" i="335"/>
  <c r="U389" i="335"/>
  <c r="V389" i="335"/>
  <c r="W389" i="335"/>
  <c r="X389" i="335"/>
  <c r="AA389" i="335"/>
  <c r="AB389" i="335"/>
  <c r="AC389" i="335"/>
  <c r="AD389" i="335"/>
  <c r="AG389" i="335"/>
  <c r="AH389" i="335"/>
  <c r="AI389" i="335"/>
  <c r="AJ389" i="335"/>
  <c r="AM389" i="335"/>
  <c r="AN389" i="335"/>
  <c r="AO389" i="335"/>
  <c r="AP389" i="335"/>
  <c r="AS389" i="335"/>
  <c r="AT389" i="335"/>
  <c r="AU389" i="335"/>
  <c r="AV389" i="335"/>
  <c r="AY389" i="335"/>
  <c r="AZ389" i="335"/>
  <c r="BA389" i="335"/>
  <c r="BB389" i="335"/>
  <c r="BE389" i="335"/>
  <c r="BF389" i="335"/>
  <c r="BG389" i="335"/>
  <c r="BH389" i="335"/>
  <c r="BK389" i="335"/>
  <c r="BL389" i="335"/>
  <c r="BM389" i="335"/>
  <c r="BN389" i="335"/>
  <c r="BQ389" i="335"/>
  <c r="BR389" i="335"/>
  <c r="BS389" i="335"/>
  <c r="BT389" i="335"/>
  <c r="BW389" i="335"/>
  <c r="BX389" i="335"/>
  <c r="BY389" i="335"/>
  <c r="BZ389" i="335"/>
  <c r="CC389" i="335"/>
  <c r="CD389" i="335"/>
  <c r="CE389" i="335"/>
  <c r="CF389" i="335"/>
  <c r="CI389" i="335"/>
  <c r="CJ389" i="335"/>
  <c r="CK389" i="335"/>
  <c r="CO389" i="335"/>
  <c r="CP389" i="335"/>
  <c r="CQ389" i="335"/>
  <c r="CU389" i="335"/>
  <c r="CV389" i="335"/>
  <c r="CW389" i="335"/>
  <c r="DA389" i="335"/>
  <c r="DB389" i="335"/>
  <c r="DC389" i="335"/>
  <c r="DG389" i="335"/>
  <c r="DH389" i="335"/>
  <c r="DI389" i="335"/>
  <c r="DM389" i="335"/>
  <c r="DN389" i="335"/>
  <c r="DO389" i="335"/>
  <c r="DS389" i="335"/>
  <c r="DT389" i="335"/>
  <c r="DU389" i="335"/>
  <c r="DY389" i="335"/>
  <c r="DZ389" i="335"/>
  <c r="EA389" i="335"/>
  <c r="EE389" i="335"/>
  <c r="EG389" i="335"/>
  <c r="EM389" i="335"/>
  <c r="ES389" i="335"/>
  <c r="C390" i="335"/>
  <c r="D390" i="335"/>
  <c r="E390" i="335"/>
  <c r="F390" i="335"/>
  <c r="G390" i="335"/>
  <c r="H390" i="335"/>
  <c r="I390" i="335"/>
  <c r="J390" i="335"/>
  <c r="K390" i="335"/>
  <c r="L390" i="335"/>
  <c r="M390" i="335"/>
  <c r="O390" i="335"/>
  <c r="P390" i="335"/>
  <c r="Q390" i="335"/>
  <c r="R390" i="335"/>
  <c r="U390" i="335"/>
  <c r="V390" i="335"/>
  <c r="W390" i="335"/>
  <c r="X390" i="335"/>
  <c r="AA390" i="335"/>
  <c r="AB390" i="335"/>
  <c r="AC390" i="335"/>
  <c r="AD390" i="335"/>
  <c r="AG390" i="335"/>
  <c r="AH390" i="335"/>
  <c r="AI390" i="335"/>
  <c r="AJ390" i="335"/>
  <c r="AM390" i="335"/>
  <c r="AN390" i="335"/>
  <c r="AO390" i="335"/>
  <c r="AP390" i="335"/>
  <c r="AS390" i="335"/>
  <c r="AT390" i="335"/>
  <c r="AU390" i="335"/>
  <c r="AV390" i="335"/>
  <c r="AY390" i="335"/>
  <c r="AZ390" i="335"/>
  <c r="BA390" i="335"/>
  <c r="BB390" i="335"/>
  <c r="BE390" i="335"/>
  <c r="BF390" i="335"/>
  <c r="BG390" i="335"/>
  <c r="BH390" i="335"/>
  <c r="BK390" i="335"/>
  <c r="BL390" i="335"/>
  <c r="BM390" i="335"/>
  <c r="BN390" i="335"/>
  <c r="BQ390" i="335"/>
  <c r="BR390" i="335"/>
  <c r="BS390" i="335"/>
  <c r="BT390" i="335"/>
  <c r="BW390" i="335"/>
  <c r="BX390" i="335"/>
  <c r="BY390" i="335"/>
  <c r="BZ390" i="335"/>
  <c r="CC390" i="335"/>
  <c r="CD390" i="335"/>
  <c r="CE390" i="335"/>
  <c r="CF390" i="335"/>
  <c r="CI390" i="335"/>
  <c r="CJ390" i="335"/>
  <c r="CK390" i="335"/>
  <c r="CL390" i="335"/>
  <c r="CO390" i="335"/>
  <c r="CP390" i="335"/>
  <c r="CQ390" i="335"/>
  <c r="CR390" i="335"/>
  <c r="CU390" i="335"/>
  <c r="CV390" i="335"/>
  <c r="CW390" i="335"/>
  <c r="CX390" i="335"/>
  <c r="DA390" i="335"/>
  <c r="DB390" i="335"/>
  <c r="DC390" i="335"/>
  <c r="DD390" i="335"/>
  <c r="DG390" i="335"/>
  <c r="DH390" i="335"/>
  <c r="DI390" i="335"/>
  <c r="DJ390" i="335"/>
  <c r="DM390" i="335"/>
  <c r="DN390" i="335"/>
  <c r="DO390" i="335"/>
  <c r="DP390" i="335"/>
  <c r="DS390" i="335"/>
  <c r="DT390" i="335"/>
  <c r="DU390" i="335"/>
  <c r="DV390" i="335"/>
  <c r="DY390" i="335"/>
  <c r="DZ390" i="335"/>
  <c r="EA390" i="335"/>
  <c r="C391" i="335"/>
  <c r="D391" i="335"/>
  <c r="E391" i="335"/>
  <c r="F391" i="335"/>
  <c r="G391" i="335"/>
  <c r="H391" i="335"/>
  <c r="I391" i="335"/>
  <c r="J391" i="335"/>
  <c r="K391" i="335"/>
  <c r="L391" i="335"/>
  <c r="M391" i="335"/>
  <c r="O391" i="335"/>
  <c r="P391" i="335"/>
  <c r="Q391" i="335"/>
  <c r="R391" i="335"/>
  <c r="U391" i="335"/>
  <c r="V391" i="335"/>
  <c r="W391" i="335"/>
  <c r="X391" i="335"/>
  <c r="AA391" i="335"/>
  <c r="AB391" i="335"/>
  <c r="AC391" i="335"/>
  <c r="AD391" i="335"/>
  <c r="AG391" i="335"/>
  <c r="AH391" i="335"/>
  <c r="AI391" i="335"/>
  <c r="AJ391" i="335"/>
  <c r="AM391" i="335"/>
  <c r="AN391" i="335"/>
  <c r="AO391" i="335"/>
  <c r="AP391" i="335"/>
  <c r="AS391" i="335"/>
  <c r="AT391" i="335"/>
  <c r="AU391" i="335"/>
  <c r="AV391" i="335"/>
  <c r="AY391" i="335"/>
  <c r="AZ391" i="335"/>
  <c r="BA391" i="335"/>
  <c r="BB391" i="335"/>
  <c r="BE391" i="335"/>
  <c r="BF391" i="335"/>
  <c r="BG391" i="335"/>
  <c r="BH391" i="335"/>
  <c r="BK391" i="335"/>
  <c r="BL391" i="335"/>
  <c r="BM391" i="335"/>
  <c r="BN391" i="335"/>
  <c r="BQ391" i="335"/>
  <c r="BR391" i="335"/>
  <c r="BS391" i="335"/>
  <c r="BT391" i="335"/>
  <c r="BW391" i="335"/>
  <c r="BX391" i="335"/>
  <c r="BY391" i="335"/>
  <c r="BZ391" i="335"/>
  <c r="CC391" i="335"/>
  <c r="CD391" i="335"/>
  <c r="CE391" i="335"/>
  <c r="CF391" i="335"/>
  <c r="CI391" i="335"/>
  <c r="CJ391" i="335"/>
  <c r="CK391" i="335"/>
  <c r="CP391" i="335"/>
  <c r="CU391" i="335"/>
  <c r="CW391" i="335"/>
  <c r="DH391" i="335"/>
  <c r="DJ391" i="335"/>
  <c r="DN391" i="335"/>
  <c r="DP391" i="335"/>
  <c r="DV391" i="335"/>
  <c r="DY391" i="335"/>
  <c r="DZ391" i="335"/>
  <c r="C396" i="335"/>
  <c r="D396" i="335"/>
  <c r="E396" i="335"/>
  <c r="F396" i="335"/>
  <c r="G396" i="335"/>
  <c r="H396" i="335"/>
  <c r="I396" i="335"/>
  <c r="J396" i="335"/>
  <c r="K396" i="335"/>
  <c r="L396" i="335"/>
  <c r="M396" i="335"/>
  <c r="O396" i="335"/>
  <c r="P396" i="335"/>
  <c r="Q396" i="335"/>
  <c r="R396" i="335"/>
  <c r="S396" i="335"/>
  <c r="U396" i="335"/>
  <c r="V396" i="335"/>
  <c r="W396" i="335"/>
  <c r="X396" i="335"/>
  <c r="Y396" i="335"/>
  <c r="AA396" i="335"/>
  <c r="AB396" i="335"/>
  <c r="AC396" i="335"/>
  <c r="AD396" i="335"/>
  <c r="AE396" i="335"/>
  <c r="AG396" i="335"/>
  <c r="AH396" i="335"/>
  <c r="AI396" i="335"/>
  <c r="AJ396" i="335"/>
  <c r="AK396" i="335"/>
  <c r="AM396" i="335"/>
  <c r="AN396" i="335"/>
  <c r="AO396" i="335"/>
  <c r="AP396" i="335"/>
  <c r="AQ396" i="335"/>
  <c r="AS396" i="335"/>
  <c r="AT396" i="335"/>
  <c r="AU396" i="335"/>
  <c r="AV396" i="335"/>
  <c r="AW396" i="335"/>
  <c r="CM396" i="335"/>
  <c r="CS396" i="335"/>
  <c r="CY396" i="335"/>
  <c r="DA396" i="335"/>
  <c r="DB396" i="335"/>
  <c r="DC396" i="335"/>
  <c r="DD396" i="335"/>
  <c r="DE396" i="335"/>
  <c r="DG396" i="335"/>
  <c r="DH396" i="335"/>
  <c r="DI396" i="335"/>
  <c r="DJ396" i="335"/>
  <c r="DK396" i="335"/>
  <c r="DM396" i="335"/>
  <c r="DN396" i="335"/>
  <c r="DO396" i="335"/>
  <c r="DP396" i="335"/>
  <c r="DQ396" i="335"/>
  <c r="DS396" i="335"/>
  <c r="DT396" i="335"/>
  <c r="DU396" i="335"/>
  <c r="DV396" i="335"/>
  <c r="DW396" i="335"/>
  <c r="DY396" i="335"/>
  <c r="DZ396" i="335"/>
  <c r="EA396" i="335"/>
  <c r="EB396" i="335"/>
  <c r="EC396" i="335"/>
  <c r="EE396" i="335"/>
  <c r="EG396" i="335"/>
  <c r="EH396" i="335"/>
  <c r="EI396" i="335"/>
  <c r="EM396" i="335"/>
  <c r="EN396" i="335"/>
  <c r="EO396" i="335"/>
  <c r="ES396" i="335"/>
  <c r="EU396" i="335"/>
  <c r="AC403" i="335"/>
  <c r="AD403" i="335"/>
  <c r="AG403" i="335"/>
  <c r="AH403" i="335"/>
  <c r="AI403" i="335"/>
  <c r="AJ403" i="335"/>
  <c r="AM403" i="335"/>
  <c r="AN403" i="335"/>
  <c r="AO403" i="335"/>
  <c r="AP403" i="335"/>
  <c r="AQ403" i="335"/>
  <c r="AS403" i="335"/>
  <c r="AT403" i="335"/>
  <c r="AU403" i="335"/>
  <c r="AV403" i="335"/>
  <c r="AY403" i="335"/>
  <c r="AZ403" i="335"/>
  <c r="BA403" i="335"/>
  <c r="BB403" i="335"/>
  <c r="BE403" i="335"/>
  <c r="BF403" i="335"/>
  <c r="BG403" i="335"/>
  <c r="BH403" i="335"/>
  <c r="BI403" i="335"/>
  <c r="BK403" i="335"/>
  <c r="BL403" i="335"/>
  <c r="BM403" i="335"/>
  <c r="BN403" i="335"/>
  <c r="BQ403" i="335"/>
  <c r="BR403" i="335"/>
  <c r="BS403" i="335"/>
  <c r="BT403" i="335"/>
  <c r="BW403" i="335"/>
  <c r="CA403" i="335"/>
  <c r="CF408" i="335"/>
  <c r="CF455" i="335" s="1"/>
  <c r="CI408" i="335"/>
  <c r="CI455" i="335" s="1"/>
  <c r="CJ408" i="335"/>
  <c r="CJ455" i="335" s="1"/>
  <c r="CK408" i="335"/>
  <c r="CK455" i="335" s="1"/>
  <c r="CL408" i="335"/>
  <c r="CL455" i="335" s="1"/>
  <c r="CO408" i="335"/>
  <c r="CP408" i="335"/>
  <c r="CQ408" i="335"/>
  <c r="CR408" i="335"/>
  <c r="CU408" i="335"/>
  <c r="CV408" i="335"/>
  <c r="CW408" i="335"/>
  <c r="CX408" i="335"/>
  <c r="DA408" i="335"/>
  <c r="DB408" i="335"/>
  <c r="DC408" i="335"/>
  <c r="DD408" i="335"/>
  <c r="DG408" i="335"/>
  <c r="DH408" i="335"/>
  <c r="DI408" i="335"/>
  <c r="DJ408" i="335"/>
  <c r="DM408" i="335"/>
  <c r="DN408" i="335"/>
  <c r="DO408" i="335"/>
  <c r="DP408" i="335"/>
  <c r="DS408" i="335"/>
  <c r="DT408" i="335"/>
  <c r="DU408" i="335"/>
  <c r="DV408" i="335"/>
  <c r="DY408" i="335"/>
  <c r="DZ408" i="335"/>
  <c r="EA408" i="335"/>
  <c r="EB408" i="335"/>
  <c r="EE408" i="335"/>
  <c r="EG408" i="335"/>
  <c r="EH408" i="335"/>
  <c r="EK408" i="335"/>
  <c r="EL408" i="335"/>
  <c r="EM408" i="335"/>
  <c r="EN408" i="335"/>
  <c r="EQ408" i="335"/>
  <c r="ER408" i="335"/>
  <c r="ES408" i="335"/>
  <c r="ET408" i="335"/>
  <c r="A411" i="335"/>
  <c r="CF411" i="335"/>
  <c r="CI411" i="335"/>
  <c r="CJ411" i="335"/>
  <c r="CK411" i="335"/>
  <c r="CL411" i="335"/>
  <c r="CO411" i="335"/>
  <c r="CP411" i="335"/>
  <c r="CQ411" i="335"/>
  <c r="CR411" i="335"/>
  <c r="CU411" i="335"/>
  <c r="CV411" i="335"/>
  <c r="CW411" i="335"/>
  <c r="CX411" i="335"/>
  <c r="DA411" i="335"/>
  <c r="DB411" i="335"/>
  <c r="DC411" i="335"/>
  <c r="DD411" i="335"/>
  <c r="DG411" i="335"/>
  <c r="DK411" i="335" s="1"/>
  <c r="CO412" i="335"/>
  <c r="CP412" i="335"/>
  <c r="CQ412" i="335"/>
  <c r="CR412" i="335"/>
  <c r="CU412" i="335"/>
  <c r="CV412" i="335"/>
  <c r="CW412" i="335"/>
  <c r="CX412" i="335"/>
  <c r="DA412" i="335"/>
  <c r="DB412" i="335"/>
  <c r="DC412" i="335"/>
  <c r="DD412" i="335"/>
  <c r="CI414" i="335"/>
  <c r="CO414" i="335"/>
  <c r="CP414" i="335"/>
  <c r="CQ414" i="335"/>
  <c r="CR414" i="335"/>
  <c r="CX414" i="335"/>
  <c r="CR415" i="335"/>
  <c r="CI417" i="335"/>
  <c r="CO417" i="335"/>
  <c r="CP417" i="335"/>
  <c r="CQ417" i="335"/>
  <c r="CR417" i="335"/>
  <c r="CX417" i="335"/>
  <c r="CR419" i="335"/>
  <c r="DC423" i="335"/>
  <c r="CR436" i="335"/>
  <c r="DA437" i="335"/>
  <c r="AS458" i="335"/>
  <c r="AT458" i="335"/>
  <c r="AY458" i="335"/>
  <c r="AZ458" i="335"/>
  <c r="BA458" i="335"/>
  <c r="BB458" i="335"/>
  <c r="BE458" i="335"/>
  <c r="BF458" i="335"/>
  <c r="BG458" i="335"/>
  <c r="AS459" i="335"/>
  <c r="AT459" i="335"/>
  <c r="AY459" i="335"/>
  <c r="BC459" i="335" s="1"/>
  <c r="AZ459" i="335"/>
  <c r="BA459" i="335"/>
  <c r="BB459" i="335"/>
  <c r="BE459" i="335"/>
  <c r="BF459" i="335"/>
  <c r="BG459" i="335"/>
  <c r="AS460" i="335"/>
  <c r="AT460" i="335"/>
  <c r="AY460" i="335"/>
  <c r="AZ460" i="335"/>
  <c r="BA460" i="335"/>
  <c r="BB460" i="335"/>
  <c r="BE460" i="335"/>
  <c r="BF460" i="335"/>
  <c r="BG460" i="335"/>
  <c r="AS461" i="335"/>
  <c r="AT461" i="335"/>
  <c r="AY461" i="335"/>
  <c r="AZ461" i="335"/>
  <c r="BA461" i="335"/>
  <c r="BA462" i="335" s="1"/>
  <c r="BB461" i="335"/>
  <c r="BE461" i="335"/>
  <c r="BF461" i="335"/>
  <c r="BG461" i="335"/>
  <c r="AP397" i="338"/>
  <c r="AQ27" i="336"/>
  <c r="BB30" i="336"/>
  <c r="BB35" i="336" s="1"/>
  <c r="AE14" i="336"/>
  <c r="AD15" i="336"/>
  <c r="AD21" i="336" s="1"/>
  <c r="AE21" i="336" s="1"/>
  <c r="AZ92" i="3"/>
  <c r="BA92" i="3" s="1"/>
  <c r="BB92" i="3" s="1"/>
  <c r="AY95" i="3"/>
  <c r="AT90" i="3"/>
  <c r="AS95" i="3"/>
  <c r="J23" i="3"/>
  <c r="J76" i="3"/>
  <c r="J373" i="335" s="1"/>
  <c r="AN72" i="3"/>
  <c r="AN21" i="3" s="1"/>
  <c r="AO21" i="3" s="1"/>
  <c r="AP21" i="3" s="1"/>
  <c r="AQ21" i="3" s="1"/>
  <c r="AM76" i="3"/>
  <c r="AM21" i="3"/>
  <c r="M19" i="3"/>
  <c r="M76" i="3"/>
  <c r="M87" i="3" s="1"/>
  <c r="I19" i="3"/>
  <c r="I76" i="3"/>
  <c r="G36" i="3"/>
  <c r="FD123" i="336"/>
  <c r="FJ123" i="336" s="1"/>
  <c r="AV397" i="338"/>
  <c r="AW27" i="336"/>
  <c r="BC397" i="338" s="1"/>
  <c r="AO74" i="3"/>
  <c r="AP74" i="3" s="1"/>
  <c r="AQ74" i="3" s="1"/>
  <c r="V67" i="3"/>
  <c r="U76" i="3"/>
  <c r="U87" i="3" s="1"/>
  <c r="U16" i="3"/>
  <c r="CS40" i="3"/>
  <c r="CR41" i="3"/>
  <c r="CR94" i="3"/>
  <c r="CI41" i="3"/>
  <c r="CI94" i="3"/>
  <c r="AS36" i="3"/>
  <c r="CA38" i="336"/>
  <c r="CA213" i="336" s="1"/>
  <c r="BZ40" i="336"/>
  <c r="CA40" i="336" s="1"/>
  <c r="CA222" i="336" s="1"/>
  <c r="CM28" i="336"/>
  <c r="CI408" i="338"/>
  <c r="BL125" i="336"/>
  <c r="E38" i="3"/>
  <c r="E95" i="3"/>
  <c r="P84" i="3"/>
  <c r="Q84" i="3"/>
  <c r="O32" i="3"/>
  <c r="O85" i="3"/>
  <c r="AH83" i="3"/>
  <c r="AH144" i="336"/>
  <c r="AG85" i="3"/>
  <c r="AG144" i="336"/>
  <c r="AG31" i="3"/>
  <c r="U24" i="3"/>
  <c r="V75" i="3"/>
  <c r="W75" i="3" s="1"/>
  <c r="X75" i="3" s="1"/>
  <c r="AG19" i="3"/>
  <c r="AH70" i="3"/>
  <c r="AS76" i="3"/>
  <c r="K76" i="3"/>
  <c r="K87" i="3" s="1"/>
  <c r="K16" i="3"/>
  <c r="K25" i="3" s="1"/>
  <c r="G76" i="3"/>
  <c r="G87" i="3" s="1"/>
  <c r="G16" i="3"/>
  <c r="AH60" i="3"/>
  <c r="AG76" i="3"/>
  <c r="AG9" i="3"/>
  <c r="AG43" i="3"/>
  <c r="DQ40" i="3"/>
  <c r="DP41" i="3"/>
  <c r="DP94" i="3"/>
  <c r="DB41" i="3"/>
  <c r="DB94" i="3"/>
  <c r="CW41" i="3"/>
  <c r="CW94" i="3"/>
  <c r="CM39" i="3"/>
  <c r="CL41" i="3"/>
  <c r="CL93" i="3"/>
  <c r="CE93" i="3"/>
  <c r="CD41" i="3"/>
  <c r="BZ93" i="3"/>
  <c r="BY41" i="3"/>
  <c r="AY38" i="3"/>
  <c r="AY41" i="3" s="1"/>
  <c r="L38" i="3"/>
  <c r="CK267" i="336"/>
  <c r="CK262" i="336" s="1"/>
  <c r="AD30" i="336"/>
  <c r="AH407" i="338"/>
  <c r="AB92" i="3"/>
  <c r="AC92" i="3" s="1"/>
  <c r="AD92" i="3" s="1"/>
  <c r="AA95" i="3"/>
  <c r="AN84" i="3"/>
  <c r="AM32" i="3"/>
  <c r="AM85" i="3"/>
  <c r="AZ82" i="3"/>
  <c r="BA82" i="3" s="1"/>
  <c r="BB82" i="3" s="1"/>
  <c r="AY85" i="3"/>
  <c r="AY30" i="3"/>
  <c r="P73" i="3"/>
  <c r="Q73" i="3" s="1"/>
  <c r="O22" i="3"/>
  <c r="O76" i="3"/>
  <c r="O87" i="3" s="1"/>
  <c r="BE76" i="3"/>
  <c r="BE87" i="3" s="1"/>
  <c r="BQ76" i="3"/>
  <c r="BQ383" i="335" s="1"/>
  <c r="BQ16" i="3"/>
  <c r="BR67" i="3"/>
  <c r="DU41" i="3"/>
  <c r="DU94" i="3"/>
  <c r="DT41" i="3"/>
  <c r="DT93" i="3"/>
  <c r="DT95" i="3" s="1"/>
  <c r="DH93" i="3"/>
  <c r="DG41" i="3"/>
  <c r="AA38" i="3"/>
  <c r="K36" i="3"/>
  <c r="J418" i="338"/>
  <c r="CM416" i="338"/>
  <c r="V397" i="338"/>
  <c r="AB397" i="338"/>
  <c r="DB144" i="336"/>
  <c r="BT70" i="3"/>
  <c r="DV67" i="3"/>
  <c r="DH67" i="3"/>
  <c r="DC67" i="3"/>
  <c r="CX67" i="3"/>
  <c r="CE65" i="3"/>
  <c r="CE147" i="336" s="1"/>
  <c r="U38" i="3"/>
  <c r="CC33" i="3"/>
  <c r="CG418" i="338"/>
  <c r="BA397" i="338"/>
  <c r="BE183" i="336"/>
  <c r="BF184" i="336" s="1"/>
  <c r="BF183" i="336" s="1"/>
  <c r="BG184" i="336" s="1"/>
  <c r="EB398" i="338"/>
  <c r="CO398" i="338"/>
  <c r="CU398" i="338"/>
  <c r="AI397" i="338"/>
  <c r="AO397" i="338"/>
  <c r="BE85" i="3"/>
  <c r="BE99" i="3" s="1"/>
  <c r="M85" i="3"/>
  <c r="DU67" i="3"/>
  <c r="DP67" i="3"/>
  <c r="DB67" i="3"/>
  <c r="CW67" i="3"/>
  <c r="CR67" i="3"/>
  <c r="AA31" i="3"/>
  <c r="F40" i="336"/>
  <c r="F380" i="335" s="1"/>
  <c r="EA74" i="3"/>
  <c r="EA398" i="338"/>
  <c r="CO397" i="338"/>
  <c r="CU397" i="338"/>
  <c r="L85" i="3"/>
  <c r="CL67" i="3"/>
  <c r="BZ66" i="3"/>
  <c r="CW300" i="338"/>
  <c r="DC301" i="338" s="1"/>
  <c r="CP300" i="338"/>
  <c r="DN282" i="338"/>
  <c r="DN387" i="335" s="1"/>
  <c r="DW253" i="338"/>
  <c r="DW765" i="338" s="1"/>
  <c r="CW130" i="338"/>
  <c r="CY130" i="338" s="1"/>
  <c r="DT34" i="338"/>
  <c r="DT22" i="338"/>
  <c r="DU34" i="338"/>
  <c r="DT21" i="338"/>
  <c r="DU22" i="338"/>
  <c r="BT162" i="11"/>
  <c r="CO143" i="11"/>
  <c r="CI143" i="11"/>
  <c r="DH282" i="338"/>
  <c r="DH387" i="335" s="1"/>
  <c r="CW282" i="338"/>
  <c r="DY21" i="338"/>
  <c r="DS34" i="338"/>
  <c r="DS22" i="338"/>
  <c r="DS21" i="338"/>
  <c r="CP282" i="338"/>
  <c r="DV255" i="338"/>
  <c r="EA254" i="338"/>
  <c r="DV11" i="338"/>
  <c r="DV145" i="338"/>
  <c r="DW83" i="338"/>
  <c r="DV34" i="338"/>
  <c r="DB11" i="338"/>
  <c r="CG138" i="11"/>
  <c r="CU282" i="338"/>
  <c r="CU313" i="338" s="1"/>
  <c r="DU255" i="338"/>
  <c r="DP138" i="338"/>
  <c r="DA130" i="338"/>
  <c r="DE71" i="338"/>
  <c r="DA11" i="338"/>
  <c r="CJ143" i="11"/>
  <c r="CJ140" i="11"/>
  <c r="AT106" i="11"/>
  <c r="AO106" i="11"/>
  <c r="AO362" i="335" s="1"/>
  <c r="AJ106" i="11"/>
  <c r="AJ362" i="335"/>
  <c r="AK104" i="11"/>
  <c r="AV97" i="11"/>
  <c r="AM97" i="11"/>
  <c r="AH97" i="11"/>
  <c r="CW95" i="11"/>
  <c r="CW100" i="11" s="1"/>
  <c r="BB93" i="11"/>
  <c r="AS93" i="11"/>
  <c r="AN93" i="11"/>
  <c r="CM91" i="11"/>
  <c r="AH91" i="11"/>
  <c r="AH361" i="335"/>
  <c r="AY78" i="11"/>
  <c r="AT78" i="11"/>
  <c r="AO78" i="11"/>
  <c r="AJ78" i="11"/>
  <c r="AA78" i="11"/>
  <c r="AY76" i="11"/>
  <c r="AY359" i="335" s="1"/>
  <c r="AT76" i="11"/>
  <c r="AT359" i="335"/>
  <c r="CG13" i="11"/>
  <c r="CG12" i="11"/>
  <c r="CG355" i="335" s="1"/>
  <c r="FP45" i="11"/>
  <c r="CU10" i="335"/>
  <c r="BB124" i="11"/>
  <c r="AW104" i="11"/>
  <c r="CS13" i="11"/>
  <c r="FR13" i="11" s="1"/>
  <c r="CO11" i="335"/>
  <c r="CS12" i="11"/>
  <c r="AN108" i="11"/>
  <c r="AY93" i="11"/>
  <c r="AT93" i="11"/>
  <c r="AO93" i="11"/>
  <c r="AZ78" i="11"/>
  <c r="AU78" i="11"/>
  <c r="AP78" i="11"/>
  <c r="AG78" i="11"/>
  <c r="AB78" i="11"/>
  <c r="CY13" i="11"/>
  <c r="DE25" i="11" s="1"/>
  <c r="DE31" i="11" s="1"/>
  <c r="CM13" i="11"/>
  <c r="CY12" i="11"/>
  <c r="FS12" i="11" s="1"/>
  <c r="CM12" i="11"/>
  <c r="CM355" i="335"/>
  <c r="EM66" i="3"/>
  <c r="EE74" i="3"/>
  <c r="DY152" i="335"/>
  <c r="DZ82" i="3"/>
  <c r="DZ67" i="3"/>
  <c r="EB308" i="335"/>
  <c r="DY166" i="336"/>
  <c r="DY167" i="336" s="1"/>
  <c r="DZ286" i="335"/>
  <c r="EE308" i="335"/>
  <c r="DY378" i="335"/>
  <c r="DY98" i="336"/>
  <c r="EB49" i="338"/>
  <c r="EC146" i="338"/>
  <c r="EA67" i="3"/>
  <c r="DZ81" i="3"/>
  <c r="DZ94" i="3"/>
  <c r="FQ12" i="11"/>
  <c r="FQ13" i="11"/>
  <c r="CM357" i="335"/>
  <c r="EA97" i="3"/>
  <c r="AW112" i="11"/>
  <c r="EH398" i="338"/>
  <c r="EI29" i="336"/>
  <c r="EH376" i="335"/>
  <c r="EI376" i="335" s="1"/>
  <c r="EA300" i="338"/>
  <c r="EA391" i="335"/>
  <c r="FP13" i="11"/>
  <c r="CG357" i="335"/>
  <c r="AT362" i="335"/>
  <c r="EA80" i="3"/>
  <c r="FP12" i="11"/>
  <c r="CM143" i="11"/>
  <c r="EB74" i="3"/>
  <c r="EC23" i="3"/>
  <c r="EC320" i="338"/>
  <c r="EC391" i="335" s="1"/>
  <c r="EB391" i="335"/>
  <c r="CA116" i="338"/>
  <c r="EB97" i="3"/>
  <c r="EC43" i="3"/>
  <c r="EA94" i="3"/>
  <c r="EB80" i="3"/>
  <c r="EC28" i="3"/>
  <c r="EB94" i="3"/>
  <c r="EC40" i="3"/>
  <c r="EC13" i="336"/>
  <c r="EE391" i="335"/>
  <c r="EA84" i="3"/>
  <c r="EB67" i="3"/>
  <c r="EC18" i="336"/>
  <c r="DP15" i="335"/>
  <c r="EC33" i="336"/>
  <c r="CP107" i="336"/>
  <c r="CU106" i="336"/>
  <c r="AU397" i="338"/>
  <c r="BA97" i="3"/>
  <c r="BB97" i="3" s="1"/>
  <c r="BC97" i="3" s="1"/>
  <c r="AG95" i="3"/>
  <c r="AN92" i="3"/>
  <c r="AG38" i="3"/>
  <c r="U95" i="3"/>
  <c r="M38" i="3"/>
  <c r="AE82" i="3"/>
  <c r="W81" i="3"/>
  <c r="X81" i="3"/>
  <c r="Y81" i="3" s="1"/>
  <c r="AN75" i="3"/>
  <c r="AO75" i="3" s="1"/>
  <c r="AP75" i="3" s="1"/>
  <c r="V70" i="3"/>
  <c r="AG23" i="3"/>
  <c r="DQ320" i="338"/>
  <c r="DQ391" i="335" s="1"/>
  <c r="DJ300" i="338"/>
  <c r="DP301" i="338" s="1"/>
  <c r="AB75" i="3"/>
  <c r="P74" i="3"/>
  <c r="Q74" i="3" s="1"/>
  <c r="R74" i="3" s="1"/>
  <c r="AB72" i="3"/>
  <c r="AN70" i="3"/>
  <c r="AO70" i="3" s="1"/>
  <c r="AP70" i="3" s="1"/>
  <c r="AH63" i="3"/>
  <c r="AH384" i="335" s="1"/>
  <c r="CA24" i="3"/>
  <c r="DK320" i="338"/>
  <c r="DK391" i="335" s="1"/>
  <c r="CJ95" i="11"/>
  <c r="CJ100" i="11" s="1"/>
  <c r="AW89" i="11"/>
  <c r="AK89" i="11"/>
  <c r="AK74" i="11"/>
  <c r="AK76" i="11" s="1"/>
  <c r="EA10" i="338"/>
  <c r="DZ10" i="338"/>
  <c r="CG43" i="338"/>
  <c r="DZ47" i="335"/>
  <c r="EE67" i="3"/>
  <c r="CD119" i="11"/>
  <c r="CI611" i="338"/>
  <c r="CK611" i="338"/>
  <c r="BY119" i="11"/>
  <c r="CC119" i="11"/>
  <c r="CC40" i="338" s="1"/>
  <c r="DT70" i="335"/>
  <c r="DT309" i="335"/>
  <c r="DU309" i="335"/>
  <c r="DZ283" i="335"/>
  <c r="DZ438" i="338"/>
  <c r="DZ308" i="335"/>
  <c r="FP39" i="335"/>
  <c r="DQ46" i="335"/>
  <c r="DQ740" i="338" s="1"/>
  <c r="DQ761" i="338" s="1"/>
  <c r="DT47" i="335"/>
  <c r="CP228" i="338"/>
  <c r="DN47" i="335"/>
  <c r="DZ90" i="3"/>
  <c r="EC26" i="336"/>
  <c r="EA81" i="3"/>
  <c r="EA82" i="3"/>
  <c r="EH100" i="338"/>
  <c r="EC319" i="338"/>
  <c r="EC390" i="335" s="1"/>
  <c r="EB390" i="335"/>
  <c r="EC16" i="3"/>
  <c r="EC253" i="338"/>
  <c r="EC765" i="338" s="1"/>
  <c r="EC766" i="338" s="1"/>
  <c r="EB254" i="338"/>
  <c r="AK82" i="11"/>
  <c r="EC97" i="335"/>
  <c r="EM398" i="338"/>
  <c r="EG376" i="335"/>
  <c r="EG398" i="338"/>
  <c r="EF100" i="338"/>
  <c r="BY43" i="11"/>
  <c r="EE82" i="3"/>
  <c r="EC19" i="336"/>
  <c r="EB81" i="3"/>
  <c r="EC299" i="338"/>
  <c r="EC780" i="338" s="1"/>
  <c r="EC297" i="338"/>
  <c r="EC772" i="338" s="1"/>
  <c r="EE300" i="338"/>
  <c r="EE390" i="335"/>
  <c r="EE282" i="338"/>
  <c r="EE387" i="335"/>
  <c r="EA90" i="3"/>
  <c r="EA185" i="336" s="1"/>
  <c r="EE65" i="3"/>
  <c r="EE147" i="336" s="1"/>
  <c r="EE148" i="336" s="1"/>
  <c r="DZ309" i="335"/>
  <c r="DZ68" i="335"/>
  <c r="DZ71" i="3"/>
  <c r="EA309" i="335"/>
  <c r="DZ80" i="11"/>
  <c r="DZ84" i="11" s="1"/>
  <c r="DZ359" i="335"/>
  <c r="EB82" i="3"/>
  <c r="EC30" i="3"/>
  <c r="EB281" i="338"/>
  <c r="EC281" i="338" s="1"/>
  <c r="EC288" i="338" s="1"/>
  <c r="EA71" i="3"/>
  <c r="DZ377" i="335"/>
  <c r="DZ408" i="338"/>
  <c r="DZ70" i="3"/>
  <c r="DZ293" i="335"/>
  <c r="DZ149" i="335"/>
  <c r="DZ152" i="335"/>
  <c r="DZ370" i="335"/>
  <c r="DZ319" i="335"/>
  <c r="DZ294" i="335"/>
  <c r="DZ155" i="335"/>
  <c r="DZ92" i="3"/>
  <c r="DZ26" i="11"/>
  <c r="DZ32" i="11" s="1"/>
  <c r="DZ25" i="11"/>
  <c r="DZ31" i="11" s="1"/>
  <c r="DZ11" i="335"/>
  <c r="DZ357" i="335"/>
  <c r="DZ24" i="11"/>
  <c r="DZ30" i="11" s="1"/>
  <c r="DZ10" i="335"/>
  <c r="DZ355" i="335"/>
  <c r="EA92" i="3"/>
  <c r="DZ93" i="3"/>
  <c r="DZ410" i="338"/>
  <c r="DZ12" i="335"/>
  <c r="DZ358" i="335"/>
  <c r="DZ397" i="338"/>
  <c r="DZ75" i="3"/>
  <c r="DZ225" i="335"/>
  <c r="DZ191" i="335"/>
  <c r="EA410" i="338"/>
  <c r="EA379" i="335"/>
  <c r="EA93" i="3"/>
  <c r="DZ73" i="3"/>
  <c r="DZ109" i="338"/>
  <c r="DZ54" i="338"/>
  <c r="DZ96" i="338"/>
  <c r="DZ91" i="3"/>
  <c r="DZ41" i="3"/>
  <c r="EA191" i="335"/>
  <c r="EC178" i="335"/>
  <c r="DZ72" i="3"/>
  <c r="EA41" i="3"/>
  <c r="EA91" i="3"/>
  <c r="DZ361" i="335"/>
  <c r="DZ95" i="11"/>
  <c r="DZ99" i="11" s="1"/>
  <c r="DZ165" i="335"/>
  <c r="DZ362" i="335"/>
  <c r="DZ110" i="11"/>
  <c r="DZ114" i="11" s="1"/>
  <c r="DZ121" i="11"/>
  <c r="DZ159" i="335"/>
  <c r="EA159" i="335"/>
  <c r="DZ64" i="3"/>
  <c r="EA64" i="3"/>
  <c r="EA195" i="336"/>
  <c r="DZ60" i="3"/>
  <c r="DZ407" i="338"/>
  <c r="DZ45" i="336"/>
  <c r="DZ46" i="336" s="1"/>
  <c r="DZ65" i="3"/>
  <c r="DZ147" i="336" s="1"/>
  <c r="DZ25" i="3"/>
  <c r="DZ51" i="3" s="1"/>
  <c r="DZ63" i="3"/>
  <c r="DZ384" i="335" s="1"/>
  <c r="DZ33" i="3"/>
  <c r="DZ83" i="3"/>
  <c r="DZ144" i="336" s="1"/>
  <c r="EB21" i="338"/>
  <c r="EA281" i="335"/>
  <c r="EA98" i="335"/>
  <c r="EA44" i="11"/>
  <c r="EB98" i="335"/>
  <c r="EB48" i="335"/>
  <c r="EB44" i="11"/>
  <c r="EB306" i="335"/>
  <c r="EA293" i="335"/>
  <c r="EA318" i="335"/>
  <c r="EA149" i="335"/>
  <c r="EA155" i="335"/>
  <c r="EA377" i="335"/>
  <c r="EA408" i="338"/>
  <c r="EA70" i="3"/>
  <c r="EA319" i="335"/>
  <c r="EA370" i="335"/>
  <c r="EA355" i="335"/>
  <c r="EA24" i="11"/>
  <c r="EA30" i="11" s="1"/>
  <c r="EA10" i="335"/>
  <c r="EA72" i="3"/>
  <c r="EA25" i="11"/>
  <c r="EA31" i="11" s="1"/>
  <c r="EA357" i="335"/>
  <c r="EA11" i="335"/>
  <c r="EA26" i="11"/>
  <c r="EA32" i="11" s="1"/>
  <c r="EA358" i="335"/>
  <c r="EA12" i="335"/>
  <c r="EA75" i="3"/>
  <c r="EA397" i="338"/>
  <c r="EA30" i="336"/>
  <c r="EA35" i="336" s="1"/>
  <c r="EA43" i="336" s="1"/>
  <c r="EA73" i="3"/>
  <c r="EA45" i="336"/>
  <c r="EA46" i="336" s="1"/>
  <c r="EA15" i="336"/>
  <c r="EA21" i="336" s="1"/>
  <c r="EA407" i="338"/>
  <c r="EA378" i="335"/>
  <c r="EC177" i="335"/>
  <c r="EA83" i="3"/>
  <c r="EA144" i="336" s="1"/>
  <c r="EA60" i="3"/>
  <c r="EA63" i="3"/>
  <c r="EA384" i="335" s="1"/>
  <c r="EA25" i="3"/>
  <c r="EA33" i="3"/>
  <c r="EC163" i="335"/>
  <c r="FE123" i="336"/>
  <c r="FK123" i="336" s="1"/>
  <c r="EA171" i="336"/>
  <c r="EB195" i="336"/>
  <c r="AN58" i="11"/>
  <c r="AH58" i="11"/>
  <c r="AQ52" i="11"/>
  <c r="AQ16" i="338" s="1"/>
  <c r="EH62" i="335"/>
  <c r="EI60" i="335"/>
  <c r="BE292" i="335"/>
  <c r="BF52" i="335"/>
  <c r="BR317" i="335"/>
  <c r="EM376" i="335"/>
  <c r="EM107" i="336"/>
  <c r="AT147" i="336"/>
  <c r="BK105" i="3"/>
  <c r="BK109" i="3" s="1"/>
  <c r="DO144" i="336"/>
  <c r="DC382" i="335"/>
  <c r="W73" i="3"/>
  <c r="CM320" i="338"/>
  <c r="CM391" i="335"/>
  <c r="CL391" i="335"/>
  <c r="EF82" i="3"/>
  <c r="EF81" i="3"/>
  <c r="EG74" i="3"/>
  <c r="EF67" i="3"/>
  <c r="EF300" i="338"/>
  <c r="EF390" i="335"/>
  <c r="EF391" i="335"/>
  <c r="EE262" i="338"/>
  <c r="EK262" i="338" s="1"/>
  <c r="EG308" i="335"/>
  <c r="AH40" i="335"/>
  <c r="CW52" i="335"/>
  <c r="EF98" i="335"/>
  <c r="DI162" i="336"/>
  <c r="BC754" i="338"/>
  <c r="CE48" i="11"/>
  <c r="DZ48" i="11"/>
  <c r="EH308" i="335"/>
  <c r="EG283" i="335"/>
  <c r="EG100" i="338"/>
  <c r="EH283" i="335"/>
  <c r="EK100" i="338"/>
  <c r="DY22" i="338"/>
  <c r="CM123" i="338"/>
  <c r="DM282" i="338"/>
  <c r="DM387" i="335" s="1"/>
  <c r="CL121" i="338"/>
  <c r="CM121" i="338"/>
  <c r="R387" i="335"/>
  <c r="DS391" i="335"/>
  <c r="BT366" i="335"/>
  <c r="CA725" i="338"/>
  <c r="CV162" i="336"/>
  <c r="CG28" i="336"/>
  <c r="DT35" i="336"/>
  <c r="DT43" i="336" s="1"/>
  <c r="BC193" i="336"/>
  <c r="CG192" i="336"/>
  <c r="BO175" i="336"/>
  <c r="EL80" i="3"/>
  <c r="DC25" i="3"/>
  <c r="DC51" i="3" s="1"/>
  <c r="CP66" i="3"/>
  <c r="P15" i="3"/>
  <c r="Q15" i="3" s="1"/>
  <c r="R15" i="3" s="1"/>
  <c r="S15" i="3" s="1"/>
  <c r="AD65" i="3"/>
  <c r="AC147" i="336"/>
  <c r="AC148" i="336" s="1"/>
  <c r="DV185" i="336"/>
  <c r="DV198" i="336" s="1"/>
  <c r="CV382" i="335"/>
  <c r="BF147" i="336"/>
  <c r="BF148" i="336" s="1"/>
  <c r="CF147" i="336"/>
  <c r="BG81" i="3"/>
  <c r="BK142" i="336"/>
  <c r="BM94" i="3"/>
  <c r="CQ382" i="335"/>
  <c r="AO81" i="3"/>
  <c r="AP81" i="3" s="1"/>
  <c r="AQ81" i="3" s="1"/>
  <c r="EB552" i="338"/>
  <c r="DZ136" i="335"/>
  <c r="EA444" i="338"/>
  <c r="DT166" i="336"/>
  <c r="DZ444" i="338"/>
  <c r="DH164" i="336"/>
  <c r="DG47" i="335"/>
  <c r="CU164" i="336"/>
  <c r="DU70" i="335"/>
  <c r="DZ133" i="335"/>
  <c r="DJ480" i="338"/>
  <c r="DA414" i="335"/>
  <c r="BA162" i="11"/>
  <c r="DK76" i="11"/>
  <c r="DK359" i="335" s="1"/>
  <c r="BC106" i="11"/>
  <c r="AH93" i="11"/>
  <c r="BK123" i="11"/>
  <c r="BL110" i="11"/>
  <c r="DQ94" i="11"/>
  <c r="DQ98" i="11" s="1"/>
  <c r="BI76" i="11"/>
  <c r="BI359" i="335" s="1"/>
  <c r="DN80" i="11"/>
  <c r="DN84" i="11" s="1"/>
  <c r="BO161" i="11"/>
  <c r="AV145" i="11"/>
  <c r="AO159" i="11"/>
  <c r="DE79" i="11"/>
  <c r="DE83" i="11" s="1"/>
  <c r="EE254" i="338"/>
  <c r="EC295" i="338"/>
  <c r="EC292" i="338"/>
  <c r="EC291" i="338"/>
  <c r="EC294" i="338"/>
  <c r="DN26" i="336"/>
  <c r="DO26" i="336" s="1"/>
  <c r="EB40" i="336"/>
  <c r="EC40" i="336" s="1"/>
  <c r="EC222" i="336" s="1"/>
  <c r="EE48" i="11"/>
  <c r="CV39" i="338"/>
  <c r="EL84" i="3"/>
  <c r="EM84" i="3"/>
  <c r="EE81" i="3"/>
  <c r="EC29" i="3"/>
  <c r="CD139" i="335"/>
  <c r="DH48" i="11"/>
  <c r="BG311" i="335"/>
  <c r="CU336" i="335"/>
  <c r="CU48" i="11"/>
  <c r="BC138" i="11"/>
  <c r="AC91" i="11"/>
  <c r="AW109" i="11"/>
  <c r="CM94" i="11"/>
  <c r="AE93" i="11"/>
  <c r="BQ110" i="11"/>
  <c r="BS95" i="11"/>
  <c r="EB379" i="335"/>
  <c r="EC379" i="335" s="1"/>
  <c r="EC32" i="336"/>
  <c r="EB410" i="338"/>
  <c r="EC410" i="338" s="1"/>
  <c r="EB90" i="3"/>
  <c r="EB185" i="336" s="1"/>
  <c r="EB198" i="336" s="1"/>
  <c r="EC36" i="3"/>
  <c r="EG391" i="335"/>
  <c r="EG67" i="3"/>
  <c r="EF65" i="3"/>
  <c r="EG82" i="3"/>
  <c r="EG81" i="3"/>
  <c r="EG300" i="338"/>
  <c r="EH390" i="335"/>
  <c r="EL100" i="338"/>
  <c r="EL108" i="338" s="1"/>
  <c r="EL62" i="335"/>
  <c r="EM80" i="3"/>
  <c r="EE40" i="336"/>
  <c r="EE380" i="335" s="1"/>
  <c r="EG71" i="3"/>
  <c r="EB731" i="338"/>
  <c r="EB282" i="338"/>
  <c r="EB387" i="335" s="1"/>
  <c r="EF254" i="338"/>
  <c r="EB280" i="338"/>
  <c r="EC280" i="338"/>
  <c r="EC298" i="338"/>
  <c r="EC759" i="338" s="1"/>
  <c r="EB93" i="3"/>
  <c r="EC39" i="3"/>
  <c r="EK391" i="335"/>
  <c r="EI320" i="338"/>
  <c r="EI391" i="335" s="1"/>
  <c r="EH391" i="335"/>
  <c r="EF40" i="336"/>
  <c r="EF380" i="335" s="1"/>
  <c r="EF90" i="3"/>
  <c r="EF185" i="336" s="1"/>
  <c r="EF284" i="335"/>
  <c r="EF68" i="335"/>
  <c r="EK390" i="335"/>
  <c r="EI319" i="338"/>
  <c r="EF444" i="338"/>
  <c r="EG254" i="338"/>
  <c r="EO32" i="3"/>
  <c r="EC226" i="335"/>
  <c r="EF71" i="3"/>
  <c r="EC38" i="3"/>
  <c r="EB92" i="3"/>
  <c r="EC224" i="335"/>
  <c r="EF377" i="335"/>
  <c r="EF70" i="3"/>
  <c r="EB225" i="335"/>
  <c r="EB191" i="335"/>
  <c r="EC223" i="335"/>
  <c r="EE306" i="335"/>
  <c r="EE47" i="335"/>
  <c r="EE48" i="335"/>
  <c r="EE281" i="335"/>
  <c r="EE44" i="11"/>
  <c r="EE98" i="335"/>
  <c r="EF294" i="335"/>
  <c r="EF155" i="335"/>
  <c r="EF320" i="335"/>
  <c r="EF318" i="335"/>
  <c r="EB377" i="335"/>
  <c r="EC377" i="335" s="1"/>
  <c r="EC10" i="336"/>
  <c r="EI128" i="336" s="1"/>
  <c r="EB408" i="338"/>
  <c r="EC408" i="338"/>
  <c r="EB294" i="335"/>
  <c r="EB319" i="335"/>
  <c r="EF44" i="11"/>
  <c r="EC11" i="336"/>
  <c r="EB149" i="335"/>
  <c r="EB293" i="335"/>
  <c r="EB318" i="335"/>
  <c r="EB728" i="338"/>
  <c r="EB295" i="335"/>
  <c r="EB155" i="335"/>
  <c r="EB91" i="3"/>
  <c r="EC37" i="3"/>
  <c r="EB41" i="3"/>
  <c r="EB24" i="11"/>
  <c r="EB30" i="11" s="1"/>
  <c r="EC12" i="11"/>
  <c r="EC355" i="335" s="1"/>
  <c r="EB355" i="335"/>
  <c r="EC13" i="11"/>
  <c r="EB357" i="335"/>
  <c r="EB25" i="11"/>
  <c r="EB31" i="11" s="1"/>
  <c r="EC14" i="336"/>
  <c r="EB70" i="3"/>
  <c r="EC19" i="3"/>
  <c r="EC14" i="11"/>
  <c r="EC358" i="335" s="1"/>
  <c r="EB358" i="335"/>
  <c r="EB26" i="11"/>
  <c r="EB32" i="11"/>
  <c r="EC28" i="336"/>
  <c r="EB72" i="3"/>
  <c r="EC21" i="3"/>
  <c r="EB206" i="336"/>
  <c r="EB165" i="335"/>
  <c r="EB397" i="338"/>
  <c r="EC27" i="336"/>
  <c r="EC397" i="338" s="1"/>
  <c r="EC34" i="336"/>
  <c r="EB159" i="335"/>
  <c r="EC156" i="335"/>
  <c r="EB75" i="3"/>
  <c r="EC24" i="3"/>
  <c r="EE410" i="338"/>
  <c r="EE379" i="335"/>
  <c r="EE93" i="3"/>
  <c r="EC13" i="3"/>
  <c r="EB64" i="3"/>
  <c r="EF93" i="3"/>
  <c r="EF379" i="335"/>
  <c r="EF165" i="335"/>
  <c r="EF159" i="335"/>
  <c r="EF64" i="3"/>
  <c r="EE159" i="335"/>
  <c r="EE64" i="3"/>
  <c r="EC17" i="336"/>
  <c r="EC12" i="336"/>
  <c r="EC20" i="3"/>
  <c r="EB71" i="3"/>
  <c r="EC24" i="336"/>
  <c r="EB30" i="336"/>
  <c r="EC30" i="336" s="1"/>
  <c r="EE71" i="3"/>
  <c r="EC22" i="3"/>
  <c r="EB73" i="3"/>
  <c r="EC216" i="335"/>
  <c r="EC9" i="3"/>
  <c r="EB60" i="3"/>
  <c r="EC39" i="336"/>
  <c r="EI206" i="336" s="1"/>
  <c r="EE206" i="336"/>
  <c r="EB45" i="336"/>
  <c r="EB46" i="336" s="1"/>
  <c r="EB407" i="338"/>
  <c r="EC407" i="338" s="1"/>
  <c r="EC8" i="336"/>
  <c r="EB15" i="336"/>
  <c r="EC15" i="336" s="1"/>
  <c r="EB378" i="335"/>
  <c r="EC378" i="335" s="1"/>
  <c r="EB65" i="3"/>
  <c r="EC14" i="3"/>
  <c r="EC12" i="3"/>
  <c r="EC416" i="338" s="1"/>
  <c r="EC31" i="3"/>
  <c r="EC418" i="338" s="1"/>
  <c r="EB83" i="3"/>
  <c r="EB63" i="3"/>
  <c r="EB384" i="335" s="1"/>
  <c r="EE63" i="3"/>
  <c r="EE384" i="335" s="1"/>
  <c r="EC37" i="336"/>
  <c r="EI195" i="336" s="1"/>
  <c r="EB171" i="336"/>
  <c r="EE195" i="336"/>
  <c r="EC38" i="336"/>
  <c r="EF92" i="3"/>
  <c r="EF191" i="335"/>
  <c r="EF225" i="335"/>
  <c r="EE171" i="336"/>
  <c r="EF91" i="3"/>
  <c r="EF41" i="3"/>
  <c r="EE225" i="335"/>
  <c r="EE191" i="335"/>
  <c r="EE91" i="3"/>
  <c r="EE41" i="3"/>
  <c r="EE444" i="338"/>
  <c r="EE284" i="335"/>
  <c r="EE318" i="335"/>
  <c r="EE295" i="335"/>
  <c r="EE320" i="335"/>
  <c r="EE377" i="335"/>
  <c r="EE408" i="338"/>
  <c r="EE70" i="3"/>
  <c r="EE72" i="3"/>
  <c r="EE25" i="11"/>
  <c r="EE31" i="11" s="1"/>
  <c r="EE357" i="335"/>
  <c r="EE355" i="335"/>
  <c r="EE24" i="11"/>
  <c r="EE30" i="11" s="1"/>
  <c r="EE33" i="3"/>
  <c r="EE83" i="3"/>
  <c r="EF75" i="3"/>
  <c r="EE397" i="338"/>
  <c r="EE75" i="3"/>
  <c r="EE358" i="335"/>
  <c r="EE26" i="11"/>
  <c r="EE32" i="11" s="1"/>
  <c r="EF63" i="3"/>
  <c r="EF384" i="335" s="1"/>
  <c r="EF30" i="336"/>
  <c r="EF35" i="336" s="1"/>
  <c r="EF73" i="3"/>
  <c r="EF83" i="3"/>
  <c r="EF144" i="336" s="1"/>
  <c r="EF33" i="3"/>
  <c r="EF72" i="3"/>
  <c r="EE30" i="336"/>
  <c r="EE35" i="336" s="1"/>
  <c r="EE43" i="336" s="1"/>
  <c r="EE73" i="3"/>
  <c r="EF206" i="336"/>
  <c r="EE25" i="3"/>
  <c r="EE51" i="3" s="1"/>
  <c r="EE87" i="3" s="1"/>
  <c r="EE60" i="3"/>
  <c r="EE45" i="336"/>
  <c r="EE46" i="336" s="1"/>
  <c r="EE407" i="338"/>
  <c r="EE412" i="338" s="1"/>
  <c r="EE381" i="335" s="1"/>
  <c r="EE378" i="335"/>
  <c r="EE15" i="336"/>
  <c r="EE21" i="336" s="1"/>
  <c r="EE92" i="3"/>
  <c r="EH66" i="3"/>
  <c r="EH84" i="3"/>
  <c r="EH74" i="3"/>
  <c r="EH94" i="3"/>
  <c r="EH33" i="336"/>
  <c r="EI33" i="336" s="1"/>
  <c r="EI180" i="335"/>
  <c r="EI13" i="336"/>
  <c r="EI20" i="336"/>
  <c r="EI32" i="3"/>
  <c r="EI179" i="335"/>
  <c r="EF408" i="338"/>
  <c r="EI19" i="336"/>
  <c r="EF410" i="338"/>
  <c r="EF397" i="338"/>
  <c r="EI28" i="3"/>
  <c r="EH97" i="3"/>
  <c r="EL26" i="336"/>
  <c r="EM26" i="336" s="1"/>
  <c r="EF26" i="11"/>
  <c r="EF32" i="11" s="1"/>
  <c r="EF355" i="335"/>
  <c r="EF24" i="11"/>
  <c r="EF30" i="11" s="1"/>
  <c r="EF357" i="335"/>
  <c r="EF25" i="11"/>
  <c r="EF31" i="11" s="1"/>
  <c r="EF358" i="335"/>
  <c r="EF25" i="3"/>
  <c r="EF51" i="3" s="1"/>
  <c r="EF60" i="3"/>
  <c r="EG206" i="336"/>
  <c r="EF45" i="336"/>
  <c r="EF46" i="336" s="1"/>
  <c r="EF407" i="338"/>
  <c r="EF15" i="336"/>
  <c r="EF21" i="336" s="1"/>
  <c r="EF378" i="335"/>
  <c r="AZ9" i="3"/>
  <c r="DJ161" i="336"/>
  <c r="EH37" i="335"/>
  <c r="EI35" i="335"/>
  <c r="EW69" i="11"/>
  <c r="EI29" i="3"/>
  <c r="EI30" i="3"/>
  <c r="DB416" i="335"/>
  <c r="EL13" i="336"/>
  <c r="EL20" i="336" s="1"/>
  <c r="EI26" i="336"/>
  <c r="EI43" i="3"/>
  <c r="DW32" i="3"/>
  <c r="BH60" i="3"/>
  <c r="BI60" i="3" s="1"/>
  <c r="EZ43" i="3"/>
  <c r="EG40" i="336"/>
  <c r="EG380" i="335" s="1"/>
  <c r="EH473" i="338"/>
  <c r="EH474" i="338" s="1"/>
  <c r="EF552" i="338"/>
  <c r="EE552" i="338"/>
  <c r="EI40" i="3"/>
  <c r="EH80" i="3"/>
  <c r="EI80" i="3" s="1"/>
  <c r="EI9" i="336"/>
  <c r="DY595" i="338"/>
  <c r="EB586" i="338"/>
  <c r="EG390" i="335"/>
  <c r="EG282" i="338"/>
  <c r="EG283" i="338" s="1"/>
  <c r="DY466" i="338"/>
  <c r="EE465" i="338" s="1"/>
  <c r="EI15" i="3"/>
  <c r="EI23" i="3"/>
  <c r="EH67" i="3"/>
  <c r="EM31" i="335"/>
  <c r="EM166" i="338"/>
  <c r="DE46" i="11"/>
  <c r="BU87" i="335"/>
  <c r="BU96" i="335" s="1"/>
  <c r="FX97" i="335"/>
  <c r="DG87" i="335"/>
  <c r="EH152" i="338"/>
  <c r="EG75" i="335"/>
  <c r="EK254" i="338"/>
  <c r="EH75" i="335"/>
  <c r="EH254" i="338"/>
  <c r="EI253" i="338"/>
  <c r="EG90" i="3"/>
  <c r="EG185" i="336" s="1"/>
  <c r="FE133" i="335"/>
  <c r="FK133" i="335" s="1"/>
  <c r="EL131" i="336"/>
  <c r="EZ123" i="336"/>
  <c r="EO123" i="336"/>
  <c r="EH444" i="338"/>
  <c r="EE108" i="336"/>
  <c r="EG65" i="3"/>
  <c r="EG147" i="336" s="1"/>
  <c r="EG148" i="336" s="1"/>
  <c r="EI16" i="3"/>
  <c r="EZ97" i="335"/>
  <c r="FF97" i="335" s="1"/>
  <c r="FL97" i="335" s="1"/>
  <c r="EI97" i="335"/>
  <c r="EG306" i="335"/>
  <c r="EB108" i="336"/>
  <c r="EG48" i="335"/>
  <c r="EA164" i="336"/>
  <c r="EG281" i="335"/>
  <c r="EG47" i="335"/>
  <c r="EG98" i="335"/>
  <c r="EG44" i="11"/>
  <c r="EL75" i="335"/>
  <c r="ER76" i="335" s="1"/>
  <c r="EL254" i="338"/>
  <c r="EH281" i="335"/>
  <c r="EH68" i="335"/>
  <c r="EH69" i="335"/>
  <c r="EH309" i="335"/>
  <c r="EG309" i="335"/>
  <c r="EG444" i="338"/>
  <c r="EG284" i="335"/>
  <c r="EI67" i="335"/>
  <c r="EH47" i="335"/>
  <c r="EB164" i="336"/>
  <c r="EI46" i="335"/>
  <c r="EH306" i="335"/>
  <c r="EH44" i="11"/>
  <c r="EH48" i="335"/>
  <c r="EH98" i="335"/>
  <c r="EI12" i="336"/>
  <c r="EI20" i="3"/>
  <c r="EH71" i="3"/>
  <c r="EG191" i="335"/>
  <c r="EG225" i="335"/>
  <c r="EG167" i="335"/>
  <c r="EG149" i="335"/>
  <c r="EG293" i="335"/>
  <c r="EG320" i="335"/>
  <c r="EG10" i="335"/>
  <c r="EG11" i="335"/>
  <c r="EG377" i="335"/>
  <c r="EG408" i="338"/>
  <c r="EG70" i="3"/>
  <c r="EG152" i="335"/>
  <c r="EG319" i="335"/>
  <c r="EG294" i="335"/>
  <c r="EG91" i="3"/>
  <c r="EG12" i="335"/>
  <c r="EG357" i="335"/>
  <c r="EG25" i="11"/>
  <c r="EG31" i="11" s="1"/>
  <c r="EG72" i="3"/>
  <c r="EG355" i="335"/>
  <c r="EG24" i="11"/>
  <c r="EG30" i="11" s="1"/>
  <c r="EG358" i="335"/>
  <c r="EG26" i="11"/>
  <c r="EG32" i="11" s="1"/>
  <c r="EG397" i="338"/>
  <c r="EG75" i="3"/>
  <c r="EG33" i="3"/>
  <c r="EG83" i="3"/>
  <c r="EG144" i="336" s="1"/>
  <c r="EG73" i="3"/>
  <c r="EG30" i="336"/>
  <c r="EG35" i="336" s="1"/>
  <c r="EG410" i="338"/>
  <c r="EG379" i="335"/>
  <c r="EG176" i="335"/>
  <c r="EG214" i="335" s="1"/>
  <c r="EG93" i="3"/>
  <c r="EG41" i="3"/>
  <c r="EG165" i="335"/>
  <c r="EG159" i="335"/>
  <c r="EG64" i="3"/>
  <c r="EG63" i="3"/>
  <c r="EG384" i="335" s="1"/>
  <c r="EG60" i="3"/>
  <c r="EG25" i="3"/>
  <c r="EG51" i="3" s="1"/>
  <c r="EG407" i="338"/>
  <c r="EG15" i="336"/>
  <c r="EG21" i="336" s="1"/>
  <c r="EG378" i="335"/>
  <c r="EG45" i="336"/>
  <c r="EG46" i="336" s="1"/>
  <c r="EG92" i="3"/>
  <c r="EG193" i="336"/>
  <c r="EG174" i="336" s="1"/>
  <c r="EI138" i="335"/>
  <c r="EI768" i="338" s="1"/>
  <c r="FX132" i="335"/>
  <c r="EN31" i="335"/>
  <c r="FX60" i="335"/>
  <c r="FX29" i="335"/>
  <c r="FX30" i="335" s="1"/>
  <c r="FX17" i="335"/>
  <c r="EH466" i="338"/>
  <c r="EH229" i="335"/>
  <c r="EH209" i="336" s="1"/>
  <c r="EI224" i="335"/>
  <c r="EK228" i="335"/>
  <c r="EL228" i="335" s="1"/>
  <c r="EL229" i="335" s="1"/>
  <c r="EL209" i="336" s="1"/>
  <c r="EE164" i="336"/>
  <c r="EF108" i="336"/>
  <c r="EK98" i="335"/>
  <c r="EI37" i="3"/>
  <c r="EH91" i="3"/>
  <c r="EC587" i="338"/>
  <c r="EC588" i="338" s="1"/>
  <c r="EL19" i="335"/>
  <c r="EL74" i="3"/>
  <c r="CG150" i="335"/>
  <c r="CG294" i="335" s="1"/>
  <c r="BO176" i="335"/>
  <c r="DE147" i="335"/>
  <c r="CS147" i="335"/>
  <c r="CS728" i="338" s="1"/>
  <c r="DW147" i="335"/>
  <c r="DS167" i="335"/>
  <c r="DW153" i="335"/>
  <c r="DW777" i="338" s="1"/>
  <c r="FV150" i="335"/>
  <c r="EC150" i="335"/>
  <c r="EC754" i="338" s="1"/>
  <c r="DY610" i="338"/>
  <c r="DT50" i="335"/>
  <c r="FU46" i="335"/>
  <c r="FU67" i="335"/>
  <c r="EA108" i="336"/>
  <c r="FW35" i="335"/>
  <c r="EG36" i="335"/>
  <c r="EE136" i="335"/>
  <c r="EG69" i="335"/>
  <c r="CL610" i="338"/>
  <c r="AW176" i="335"/>
  <c r="CY147" i="335"/>
  <c r="DS141" i="335"/>
  <c r="FV184" i="335"/>
  <c r="EC184" i="335"/>
  <c r="DT141" i="335"/>
  <c r="DU317" i="335" s="1"/>
  <c r="DG167" i="335"/>
  <c r="DG141" i="335"/>
  <c r="DJ167" i="335"/>
  <c r="DJ141" i="335"/>
  <c r="DQ153" i="335"/>
  <c r="DQ777" i="338" s="1"/>
  <c r="EA61" i="335"/>
  <c r="FW60" i="335"/>
  <c r="FW138" i="335"/>
  <c r="EB131" i="336"/>
  <c r="EH36" i="335"/>
  <c r="EE68" i="335"/>
  <c r="BC46" i="335"/>
  <c r="BC98" i="335" s="1"/>
  <c r="BW167" i="335"/>
  <c r="BW366" i="335" s="1"/>
  <c r="BW118" i="336" s="1"/>
  <c r="DD167" i="335"/>
  <c r="FS150" i="335"/>
  <c r="DE153" i="335"/>
  <c r="DA141" i="335"/>
  <c r="CQ167" i="335"/>
  <c r="CI167" i="335"/>
  <c r="CM147" i="335"/>
  <c r="CK141" i="335"/>
  <c r="CO141" i="335"/>
  <c r="DY68" i="335"/>
  <c r="DT167" i="335"/>
  <c r="FT147" i="335"/>
  <c r="DI167" i="335"/>
  <c r="FU147" i="335"/>
  <c r="DO167" i="335"/>
  <c r="DO168" i="335" s="1"/>
  <c r="FU104" i="335"/>
  <c r="DY284" i="335"/>
  <c r="DU50" i="335"/>
  <c r="FV46" i="335"/>
  <c r="DZ61" i="335"/>
  <c r="EF283" i="335"/>
  <c r="DZ167" i="335"/>
  <c r="DZ164" i="336"/>
  <c r="EE37" i="335"/>
  <c r="EB36" i="335"/>
  <c r="EB37" i="335"/>
  <c r="CR164" i="336"/>
  <c r="CF141" i="335"/>
  <c r="CE141" i="335"/>
  <c r="DD141" i="335"/>
  <c r="DC167" i="335"/>
  <c r="FS147" i="335"/>
  <c r="FS138" i="335"/>
  <c r="DB167" i="335"/>
  <c r="DE150" i="335"/>
  <c r="DE610" i="338" s="1"/>
  <c r="CP167" i="335"/>
  <c r="CK167" i="335"/>
  <c r="DS611" i="338"/>
  <c r="DU141" i="335"/>
  <c r="DY136" i="335"/>
  <c r="DK153" i="335"/>
  <c r="DN167" i="335"/>
  <c r="FT135" i="335"/>
  <c r="FT136" i="335" s="1"/>
  <c r="FU153" i="335"/>
  <c r="FU135" i="335"/>
  <c r="FU136" i="335" s="1"/>
  <c r="DN164" i="336"/>
  <c r="DT444" i="338"/>
  <c r="EA133" i="335"/>
  <c r="EA610" i="338"/>
  <c r="FW184" i="335"/>
  <c r="DV37" i="335"/>
  <c r="DY36" i="335"/>
  <c r="EF136" i="335"/>
  <c r="EF131" i="336"/>
  <c r="EF37" i="335"/>
  <c r="EF36" i="335"/>
  <c r="EG37" i="335"/>
  <c r="EG166" i="336"/>
  <c r="EM167" i="336" s="1"/>
  <c r="DT87" i="335"/>
  <c r="DT96" i="335" s="1"/>
  <c r="EG50" i="335"/>
  <c r="CJ387" i="335"/>
  <c r="BT145" i="11"/>
  <c r="BC362" i="335"/>
  <c r="AH162" i="338"/>
  <c r="CY24" i="11"/>
  <c r="CY30" i="11" s="1"/>
  <c r="FS30" i="11" s="1"/>
  <c r="AY162" i="11"/>
  <c r="BK58" i="338"/>
  <c r="BK95" i="338" s="1"/>
  <c r="BR80" i="11"/>
  <c r="BR359" i="335"/>
  <c r="CD80" i="11"/>
  <c r="CD85" i="11" s="1"/>
  <c r="AW91" i="11"/>
  <c r="AW361" i="335" s="1"/>
  <c r="AK108" i="11"/>
  <c r="AK112" i="11"/>
  <c r="CG160" i="11"/>
  <c r="BO160" i="11"/>
  <c r="CI362" i="335"/>
  <c r="AW79" i="11"/>
  <c r="BI355" i="335"/>
  <c r="BS123" i="11"/>
  <c r="BS54" i="338"/>
  <c r="CM361" i="335"/>
  <c r="BN362" i="335"/>
  <c r="BQ121" i="11"/>
  <c r="FR12" i="11"/>
  <c r="CS355" i="335"/>
  <c r="CA161" i="11"/>
  <c r="AT162" i="338"/>
  <c r="BX80" i="11"/>
  <c r="BK124" i="11"/>
  <c r="AT145" i="11"/>
  <c r="BR145" i="11"/>
  <c r="DQ91" i="11"/>
  <c r="DQ361" i="335" s="1"/>
  <c r="CJ80" i="11"/>
  <c r="CJ85" i="11" s="1"/>
  <c r="EK466" i="338"/>
  <c r="AG41" i="3"/>
  <c r="AH38" i="3"/>
  <c r="AO72" i="3"/>
  <c r="AC97" i="3"/>
  <c r="AG383" i="335"/>
  <c r="AG87" i="3"/>
  <c r="K373" i="335"/>
  <c r="EI291" i="338"/>
  <c r="EI295" i="338"/>
  <c r="EI292" i="338"/>
  <c r="EI746" i="338" s="1"/>
  <c r="EI294" i="338"/>
  <c r="EH281" i="338"/>
  <c r="EI281" i="338" s="1"/>
  <c r="EI288" i="338" s="1"/>
  <c r="CI80" i="11"/>
  <c r="CI85" i="11" s="1"/>
  <c r="AW25" i="11"/>
  <c r="Y25" i="11"/>
  <c r="BL80" i="11"/>
  <c r="AK54" i="11"/>
  <c r="AW161" i="11"/>
  <c r="AD119" i="11"/>
  <c r="EI299" i="338"/>
  <c r="EI780" i="338" s="1"/>
  <c r="EK300" i="338"/>
  <c r="EL391" i="335"/>
  <c r="EK282" i="338"/>
  <c r="EK387" i="335" s="1"/>
  <c r="DV557" i="338"/>
  <c r="EI297" i="338"/>
  <c r="EI772" i="338" s="1"/>
  <c r="EF382" i="335"/>
  <c r="BL23" i="3"/>
  <c r="AZ31" i="3"/>
  <c r="BL15" i="3"/>
  <c r="BM15" i="3" s="1"/>
  <c r="BN15" i="3" s="1"/>
  <c r="BO15" i="3" s="1"/>
  <c r="AQ40" i="336"/>
  <c r="AQ222" i="336" s="1"/>
  <c r="EI41" i="336"/>
  <c r="EH40" i="336"/>
  <c r="EI40" i="336" s="1"/>
  <c r="EI222" i="336" s="1"/>
  <c r="BE278" i="335"/>
  <c r="DJ330" i="338"/>
  <c r="EL166" i="338"/>
  <c r="EL31" i="335"/>
  <c r="BI162" i="11"/>
  <c r="CQ106" i="11"/>
  <c r="CQ362" i="335"/>
  <c r="BB76" i="11"/>
  <c r="BH78" i="11"/>
  <c r="BB78" i="11"/>
  <c r="AO76" i="11"/>
  <c r="AO359" i="335" s="1"/>
  <c r="AO82" i="11"/>
  <c r="AQ74" i="11"/>
  <c r="AO119" i="11"/>
  <c r="AO123" i="11" s="1"/>
  <c r="CM25" i="11"/>
  <c r="FQ25" i="11" s="1"/>
  <c r="CQ143" i="11"/>
  <c r="CK140" i="11"/>
  <c r="CK143" i="11"/>
  <c r="DN362" i="335"/>
  <c r="CD362" i="335"/>
  <c r="BM162" i="11"/>
  <c r="BG162" i="11"/>
  <c r="BB95" i="11"/>
  <c r="DW26" i="11"/>
  <c r="DW32" i="11"/>
  <c r="DW358" i="335"/>
  <c r="CQ11" i="335"/>
  <c r="CQ25" i="11"/>
  <c r="CQ31" i="11" s="1"/>
  <c r="CW25" i="11"/>
  <c r="CW31" i="11" s="1"/>
  <c r="CQ357" i="335"/>
  <c r="BY162" i="11"/>
  <c r="BU162" i="11"/>
  <c r="AN119" i="11"/>
  <c r="AN127" i="11"/>
  <c r="AT108" i="11"/>
  <c r="AN106" i="11"/>
  <c r="AN362" i="335" s="1"/>
  <c r="CF80" i="11"/>
  <c r="CF85" i="11" s="1"/>
  <c r="FQ47" i="11"/>
  <c r="AI108" i="11"/>
  <c r="AI112" i="11"/>
  <c r="AB93" i="11"/>
  <c r="AD76" i="11"/>
  <c r="AD359" i="335" s="1"/>
  <c r="AE74" i="11"/>
  <c r="AE82" i="11" s="1"/>
  <c r="AA82" i="11"/>
  <c r="AQ54" i="11"/>
  <c r="BC44" i="11"/>
  <c r="CR11" i="335"/>
  <c r="CR25" i="11"/>
  <c r="CR31" i="11" s="1"/>
  <c r="CX25" i="11"/>
  <c r="CX31" i="11" s="1"/>
  <c r="BC24" i="11"/>
  <c r="AE24" i="11"/>
  <c r="AK105" i="11"/>
  <c r="AK106" i="11" s="1"/>
  <c r="AK362" i="335" s="1"/>
  <c r="AM109" i="11"/>
  <c r="AG120" i="11"/>
  <c r="AG124" i="11" s="1"/>
  <c r="AQ104" i="11"/>
  <c r="AM106" i="11"/>
  <c r="AM362" i="335"/>
  <c r="AM108" i="11"/>
  <c r="AM112" i="11"/>
  <c r="AM119" i="11"/>
  <c r="AM127" i="11"/>
  <c r="AG106" i="11"/>
  <c r="AG362" i="335" s="1"/>
  <c r="FP46" i="11"/>
  <c r="AU119" i="11"/>
  <c r="AU93" i="11"/>
  <c r="AP119" i="11"/>
  <c r="AP127" i="11" s="1"/>
  <c r="AP97" i="11"/>
  <c r="BO79" i="11"/>
  <c r="BC74" i="11"/>
  <c r="BI78" i="11" s="1"/>
  <c r="CV11" i="335"/>
  <c r="CV25" i="11"/>
  <c r="CV31" i="11" s="1"/>
  <c r="DB25" i="11"/>
  <c r="DB31" i="11"/>
  <c r="CP11" i="335"/>
  <c r="CP25" i="11"/>
  <c r="CP31" i="11"/>
  <c r="AJ119" i="11"/>
  <c r="AP108" i="11"/>
  <c r="AB106" i="11"/>
  <c r="AB362" i="335"/>
  <c r="AM93" i="11"/>
  <c r="AQ89" i="11"/>
  <c r="AQ93" i="11" s="1"/>
  <c r="CM78" i="11"/>
  <c r="FQ52" i="11"/>
  <c r="AW74" i="11"/>
  <c r="AS76" i="11"/>
  <c r="AS359" i="335" s="1"/>
  <c r="AS78" i="11"/>
  <c r="AS82" i="11"/>
  <c r="AS119" i="11"/>
  <c r="AS127" i="11" s="1"/>
  <c r="AI76" i="11"/>
  <c r="AI82" i="11"/>
  <c r="CU11" i="335"/>
  <c r="CU25" i="11"/>
  <c r="CU31" i="11"/>
  <c r="DA25" i="11"/>
  <c r="DA31" i="11" s="1"/>
  <c r="CV10" i="335"/>
  <c r="CV24" i="11"/>
  <c r="CV30" i="11" s="1"/>
  <c r="DB24" i="11"/>
  <c r="DB30" i="11"/>
  <c r="BF110" i="11"/>
  <c r="AI58" i="11"/>
  <c r="AI162" i="338" s="1"/>
  <c r="BU25" i="11"/>
  <c r="BL95" i="11"/>
  <c r="AQ53" i="11"/>
  <c r="DY187" i="336"/>
  <c r="EA382" i="335"/>
  <c r="BM74" i="3"/>
  <c r="BL12" i="3"/>
  <c r="EH82" i="3"/>
  <c r="EH81" i="3"/>
  <c r="FD97" i="335"/>
  <c r="FJ97" i="335" s="1"/>
  <c r="EH191" i="335"/>
  <c r="EI223" i="335"/>
  <c r="EI191" i="335" s="1"/>
  <c r="EH225" i="335"/>
  <c r="O143" i="335"/>
  <c r="EL14" i="335"/>
  <c r="EL553" i="338" s="1"/>
  <c r="DC10" i="338"/>
  <c r="EL81" i="3"/>
  <c r="EL82" i="3"/>
  <c r="ES33" i="336"/>
  <c r="EO33" i="336"/>
  <c r="EI177" i="335"/>
  <c r="FX35" i="335"/>
  <c r="FX36" i="335" s="1"/>
  <c r="EL37" i="335"/>
  <c r="FS24" i="11"/>
  <c r="EI298" i="338"/>
  <c r="EI759" i="338"/>
  <c r="EH280" i="338"/>
  <c r="EH389" i="335" s="1"/>
  <c r="EI282" i="338"/>
  <c r="EI387" i="335" s="1"/>
  <c r="AQ82" i="11"/>
  <c r="EL67" i="3"/>
  <c r="EL98" i="335"/>
  <c r="FX46" i="335"/>
  <c r="EL48" i="335"/>
  <c r="EL44" i="11"/>
  <c r="ER53" i="11" s="1"/>
  <c r="EI18" i="336"/>
  <c r="EI163" i="335"/>
  <c r="EM67" i="3"/>
  <c r="EH149" i="335"/>
  <c r="EH293" i="335"/>
  <c r="EH318" i="335"/>
  <c r="EH167" i="335"/>
  <c r="EH152" i="335"/>
  <c r="EH319" i="335"/>
  <c r="EH294" i="335"/>
  <c r="EI11" i="336"/>
  <c r="EH320" i="335"/>
  <c r="EH295" i="335"/>
  <c r="EI153" i="335"/>
  <c r="EH155" i="335"/>
  <c r="EI25" i="336"/>
  <c r="EH408" i="338"/>
  <c r="EI408" i="338" s="1"/>
  <c r="EI10" i="336"/>
  <c r="EO128" i="336" s="1"/>
  <c r="EH377" i="335"/>
  <c r="EI377" i="335" s="1"/>
  <c r="EI28" i="336"/>
  <c r="EI24" i="336"/>
  <c r="EH70" i="3"/>
  <c r="EI19" i="3"/>
  <c r="EI22" i="3"/>
  <c r="EI27" i="336"/>
  <c r="EH397" i="338"/>
  <c r="EH30" i="336"/>
  <c r="EI30" i="336" s="1"/>
  <c r="EI34" i="336"/>
  <c r="EH73" i="3"/>
  <c r="EI14" i="336"/>
  <c r="EI24" i="3"/>
  <c r="EH75" i="3"/>
  <c r="EH72" i="3"/>
  <c r="EI72" i="3" s="1"/>
  <c r="EI21" i="3"/>
  <c r="EH176" i="335"/>
  <c r="EH214" i="335" s="1"/>
  <c r="EH410" i="338"/>
  <c r="EI410" i="338" s="1"/>
  <c r="EH379" i="335"/>
  <c r="EI379" i="335" s="1"/>
  <c r="EI32" i="336"/>
  <c r="EH165" i="335"/>
  <c r="EH13" i="3" s="1"/>
  <c r="EI178" i="335"/>
  <c r="EI39" i="3"/>
  <c r="EH93" i="3"/>
  <c r="EI156" i="335"/>
  <c r="EH159" i="335"/>
  <c r="EI184" i="335"/>
  <c r="EI9" i="3"/>
  <c r="EI216" i="335"/>
  <c r="EH60" i="3"/>
  <c r="EI17" i="336"/>
  <c r="EH15" i="336"/>
  <c r="EI15" i="336" s="1"/>
  <c r="EI8" i="336"/>
  <c r="EH407" i="338"/>
  <c r="EI407" i="338" s="1"/>
  <c r="EH45" i="336"/>
  <c r="EH46" i="336" s="1"/>
  <c r="EH378" i="335"/>
  <c r="EI378" i="335" s="1"/>
  <c r="EH63" i="3"/>
  <c r="EI12" i="3"/>
  <c r="EI14" i="3"/>
  <c r="EH65" i="3"/>
  <c r="EH147" i="336" s="1"/>
  <c r="EH33" i="3"/>
  <c r="EI33" i="3" s="1"/>
  <c r="EI31" i="3"/>
  <c r="EH83" i="3"/>
  <c r="EH382" i="335" s="1"/>
  <c r="EI36" i="3"/>
  <c r="EH90" i="3"/>
  <c r="EH185" i="336" s="1"/>
  <c r="EI38" i="3"/>
  <c r="EH41" i="3"/>
  <c r="EH92" i="3"/>
  <c r="EH355" i="335"/>
  <c r="EH10" i="335"/>
  <c r="EH24" i="11"/>
  <c r="EH30" i="11" s="1"/>
  <c r="EI12" i="11"/>
  <c r="EI355" i="335"/>
  <c r="EH11" i="335"/>
  <c r="EH358" i="335"/>
  <c r="EI13" i="11"/>
  <c r="EH357" i="335"/>
  <c r="EH25" i="11"/>
  <c r="EH31" i="11" s="1"/>
  <c r="EH26" i="11"/>
  <c r="EH32" i="11" s="1"/>
  <c r="EI14" i="11"/>
  <c r="EI358" i="335" s="1"/>
  <c r="EH12" i="335"/>
  <c r="EI38" i="336"/>
  <c r="EI39" i="336"/>
  <c r="EO206" i="336" s="1"/>
  <c r="EI37" i="336"/>
  <c r="EO195" i="336" s="1"/>
  <c r="EH171" i="336"/>
  <c r="EI171" i="336" s="1"/>
  <c r="EI226" i="335"/>
  <c r="EH193" i="336"/>
  <c r="EH174" i="336" s="1"/>
  <c r="EH591" i="338"/>
  <c r="EH594" i="338" s="1"/>
  <c r="DW658" i="338"/>
  <c r="S282" i="338"/>
  <c r="CG288" i="338"/>
  <c r="EO9" i="336"/>
  <c r="EM81" i="3"/>
  <c r="EM82" i="3"/>
  <c r="DS636" i="338"/>
  <c r="EO15" i="3"/>
  <c r="DH198" i="336"/>
  <c r="AC72" i="3"/>
  <c r="AD72" i="3" s="1"/>
  <c r="AS41" i="3"/>
  <c r="CX382" i="335"/>
  <c r="CE382" i="335"/>
  <c r="EZ28" i="3"/>
  <c r="FA28" i="3" s="1"/>
  <c r="AM387" i="335"/>
  <c r="AM281" i="338"/>
  <c r="AG281" i="338"/>
  <c r="AG387" i="335"/>
  <c r="J387" i="335"/>
  <c r="J281" i="338"/>
  <c r="CP218" i="338"/>
  <c r="FX135" i="335"/>
  <c r="EK377" i="335"/>
  <c r="EK176" i="335"/>
  <c r="EK214" i="335" s="1"/>
  <c r="CC144" i="336"/>
  <c r="BA63" i="3"/>
  <c r="D373" i="335"/>
  <c r="BM63" i="3"/>
  <c r="AG105" i="3"/>
  <c r="AG109" i="3" s="1"/>
  <c r="AM87" i="3"/>
  <c r="DV144" i="336"/>
  <c r="BA83" i="3"/>
  <c r="BA144" i="336" s="1"/>
  <c r="BM83" i="3"/>
  <c r="G373" i="335"/>
  <c r="M373" i="335"/>
  <c r="CD382" i="335"/>
  <c r="EQ166" i="338"/>
  <c r="EO97" i="335"/>
  <c r="DM105" i="335"/>
  <c r="CP380" i="335"/>
  <c r="CU436" i="335"/>
  <c r="EL40" i="336"/>
  <c r="EL380" i="335" s="1"/>
  <c r="AB380" i="335"/>
  <c r="DH380" i="335"/>
  <c r="EL390" i="335"/>
  <c r="BI396" i="335"/>
  <c r="EF387" i="335"/>
  <c r="AI281" i="338"/>
  <c r="BC396" i="335"/>
  <c r="EN75" i="335"/>
  <c r="ET76" i="335" s="1"/>
  <c r="CJ283" i="338"/>
  <c r="BK387" i="335"/>
  <c r="AS281" i="338"/>
  <c r="AA281" i="338"/>
  <c r="R281" i="338"/>
  <c r="S281" i="338" s="1"/>
  <c r="O281" i="338"/>
  <c r="ET166" i="338"/>
  <c r="EN166" i="338"/>
  <c r="EM100" i="338"/>
  <c r="EM108" i="338" s="1"/>
  <c r="CO161" i="336"/>
  <c r="CL162" i="336"/>
  <c r="CO43" i="11"/>
  <c r="AT108" i="336"/>
  <c r="L191" i="335"/>
  <c r="H191" i="335"/>
  <c r="D191" i="335"/>
  <c r="CG180" i="335"/>
  <c r="AY108" i="336"/>
  <c r="CF728" i="338"/>
  <c r="DU166" i="336"/>
  <c r="EC116" i="335"/>
  <c r="AW403" i="335"/>
  <c r="CG165" i="335"/>
  <c r="F365" i="335"/>
  <c r="DA611" i="338"/>
  <c r="BY87" i="335"/>
  <c r="BY91" i="335" s="1"/>
  <c r="BY44" i="11"/>
  <c r="CE53" i="11" s="1"/>
  <c r="BY108" i="336"/>
  <c r="BT164" i="336"/>
  <c r="BY166" i="336"/>
  <c r="BW164" i="336"/>
  <c r="DG611" i="338"/>
  <c r="DJ131" i="336"/>
  <c r="CV228" i="338"/>
  <c r="EL36" i="335"/>
  <c r="EF466" i="338"/>
  <c r="EL465" i="338" s="1"/>
  <c r="EF50" i="335"/>
  <c r="EF306" i="335"/>
  <c r="BB87" i="335"/>
  <c r="BA108" i="336"/>
  <c r="CI14" i="335"/>
  <c r="CI172" i="338" s="1"/>
  <c r="CI40" i="335"/>
  <c r="CO40" i="335"/>
  <c r="CI41" i="335"/>
  <c r="CI119" i="11"/>
  <c r="CO123" i="11" s="1"/>
  <c r="CO54" i="338" s="1"/>
  <c r="CR14" i="335"/>
  <c r="CR9" i="338" s="1"/>
  <c r="CR228" i="338"/>
  <c r="CU41" i="335"/>
  <c r="CQ166" i="336"/>
  <c r="CQ168" i="336" s="1"/>
  <c r="EL295" i="335"/>
  <c r="EF166" i="336"/>
  <c r="EF168" i="336" s="1"/>
  <c r="BK14" i="335"/>
  <c r="BK172" i="338" s="1"/>
  <c r="BK40" i="335"/>
  <c r="BQ40" i="335"/>
  <c r="BK41" i="335"/>
  <c r="CL141" i="335"/>
  <c r="CM104" i="335"/>
  <c r="CM743" i="338" s="1"/>
  <c r="CM752" i="338" s="1"/>
  <c r="CL14" i="335"/>
  <c r="CL172" i="338" s="1"/>
  <c r="CL228" i="338"/>
  <c r="CO41" i="335"/>
  <c r="CI141" i="335"/>
  <c r="BM14" i="335"/>
  <c r="BM228" i="338"/>
  <c r="BS229" i="338" s="1"/>
  <c r="CY150" i="335"/>
  <c r="CY754" i="338" s="1"/>
  <c r="BZ14" i="335"/>
  <c r="CA39" i="335"/>
  <c r="CA228" i="338" s="1"/>
  <c r="CC41" i="335"/>
  <c r="CK14" i="335"/>
  <c r="CK172" i="338" s="1"/>
  <c r="CK119" i="11"/>
  <c r="CS150" i="335"/>
  <c r="DP43" i="335"/>
  <c r="DP58" i="338"/>
  <c r="DY47" i="335"/>
  <c r="EA166" i="336"/>
  <c r="EF48" i="335"/>
  <c r="EL293" i="335"/>
  <c r="FV135" i="335"/>
  <c r="FS135" i="335"/>
  <c r="CU141" i="335"/>
  <c r="CS153" i="335"/>
  <c r="DH167" i="335"/>
  <c r="DP167" i="335"/>
  <c r="DY117" i="335"/>
  <c r="EI126" i="335"/>
  <c r="EI127" i="335" s="1"/>
  <c r="DZ104" i="335"/>
  <c r="EG104" i="335"/>
  <c r="EG141" i="335" s="1"/>
  <c r="DH141" i="335"/>
  <c r="FT153" i="335"/>
  <c r="FU150" i="335"/>
  <c r="CX141" i="335"/>
  <c r="CX317" i="335" s="1"/>
  <c r="CQ141" i="335"/>
  <c r="DU167" i="335"/>
  <c r="FT132" i="335"/>
  <c r="FT133" i="335" s="1"/>
  <c r="EA36" i="335"/>
  <c r="EG136" i="335"/>
  <c r="EB124" i="335"/>
  <c r="EI116" i="335"/>
  <c r="EC126" i="335"/>
  <c r="EA104" i="335"/>
  <c r="EA141" i="335" s="1"/>
  <c r="EH104" i="335"/>
  <c r="EH141" i="335" s="1"/>
  <c r="DE46" i="335"/>
  <c r="EG133" i="335"/>
  <c r="EH133" i="335"/>
  <c r="EE124" i="335"/>
  <c r="EB104" i="335"/>
  <c r="EB141" i="335" s="1"/>
  <c r="DT14" i="335"/>
  <c r="DT480" i="338" s="1"/>
  <c r="DV14" i="335"/>
  <c r="EH14" i="335"/>
  <c r="FW46" i="335"/>
  <c r="EA37" i="335"/>
  <c r="EK155" i="335"/>
  <c r="EK295" i="335"/>
  <c r="EK69" i="335"/>
  <c r="EK309" i="335"/>
  <c r="EH136" i="335"/>
  <c r="EK319" i="335"/>
  <c r="EK370" i="335"/>
  <c r="EL370" i="335"/>
  <c r="EF124" i="335"/>
  <c r="EI122" i="335"/>
  <c r="EI104" i="335" s="1"/>
  <c r="EI743" i="338" s="1"/>
  <c r="EA87" i="335"/>
  <c r="EH728" i="338"/>
  <c r="EH735" i="338" s="1"/>
  <c r="DY104" i="335"/>
  <c r="EE14" i="335"/>
  <c r="EK306" i="335"/>
  <c r="EK50" i="335"/>
  <c r="EK48" i="335"/>
  <c r="EA124" i="335"/>
  <c r="EG124" i="335"/>
  <c r="DS14" i="335"/>
  <c r="DS9" i="338" s="1"/>
  <c r="EA14" i="335"/>
  <c r="EA9" i="338" s="1"/>
  <c r="EF14" i="335"/>
  <c r="EK68" i="335"/>
  <c r="EK284" i="335"/>
  <c r="EK149" i="335"/>
  <c r="EK293" i="335"/>
  <c r="EL281" i="335"/>
  <c r="EL47" i="335"/>
  <c r="EN473" i="338"/>
  <c r="ET472" i="338" s="1"/>
  <c r="EH124" i="335"/>
  <c r="DZ124" i="335"/>
  <c r="BW387" i="335"/>
  <c r="BW283" i="338"/>
  <c r="BQ387" i="335"/>
  <c r="BE387" i="335"/>
  <c r="AW298" i="338"/>
  <c r="AW759" i="338" s="1"/>
  <c r="BU388" i="335"/>
  <c r="CS746" i="338"/>
  <c r="CC283" i="338"/>
  <c r="CD387" i="335"/>
  <c r="FX138" i="335"/>
  <c r="BZ64" i="3"/>
  <c r="BY25" i="3"/>
  <c r="BY51" i="3" s="1"/>
  <c r="O105" i="3"/>
  <c r="O109" i="3" s="1"/>
  <c r="EO30" i="3"/>
  <c r="EL68" i="335"/>
  <c r="FX67" i="335"/>
  <c r="EG108" i="336"/>
  <c r="EF164" i="336"/>
  <c r="FC136" i="335"/>
  <c r="FI136" i="335" s="1"/>
  <c r="AY317" i="335"/>
  <c r="V317" i="335"/>
  <c r="AI286" i="335"/>
  <c r="DI139" i="335"/>
  <c r="I342" i="335"/>
  <c r="EA606" i="338"/>
  <c r="EA607" i="338" s="1"/>
  <c r="DW642" i="338"/>
  <c r="DY630" i="338"/>
  <c r="BB65" i="3"/>
  <c r="BB147" i="336" s="1"/>
  <c r="BB148" i="336" s="1"/>
  <c r="BA147" i="336"/>
  <c r="P19" i="3"/>
  <c r="BT382" i="335"/>
  <c r="D87" i="3"/>
  <c r="CP33" i="3"/>
  <c r="V144" i="336"/>
  <c r="EL97" i="3"/>
  <c r="BZ144" i="336"/>
  <c r="BK56" i="11"/>
  <c r="EL69" i="335"/>
  <c r="FY29" i="335"/>
  <c r="EO29" i="335"/>
  <c r="EN19" i="335"/>
  <c r="EO17" i="335"/>
  <c r="EM75" i="335"/>
  <c r="EM254" i="338"/>
  <c r="EG164" i="336"/>
  <c r="EM48" i="335"/>
  <c r="EM281" i="335"/>
  <c r="EM44" i="11"/>
  <c r="EM306" i="335"/>
  <c r="EM47" i="335"/>
  <c r="EN306" i="335"/>
  <c r="EM98" i="335"/>
  <c r="EL466" i="338"/>
  <c r="EL94" i="3"/>
  <c r="EM97" i="3"/>
  <c r="BO66" i="3"/>
  <c r="EM74" i="3"/>
  <c r="EK379" i="335"/>
  <c r="EK357" i="335"/>
  <c r="EM83" i="335"/>
  <c r="EM85" i="335" s="1"/>
  <c r="EM69" i="335"/>
  <c r="EM79" i="335"/>
  <c r="EO41" i="336"/>
  <c r="EM68" i="335"/>
  <c r="FE136" i="335"/>
  <c r="FK136" i="335" s="1"/>
  <c r="EM466" i="338"/>
  <c r="EM14" i="335"/>
  <c r="EM553" i="338" s="1"/>
  <c r="EM556" i="338" s="1"/>
  <c r="EM557" i="338" s="1"/>
  <c r="EM37" i="335"/>
  <c r="EL104" i="335"/>
  <c r="EL141" i="335" s="1"/>
  <c r="EO43" i="3"/>
  <c r="EK10" i="335"/>
  <c r="EK355" i="335"/>
  <c r="EK24" i="11"/>
  <c r="EK30" i="11" s="1"/>
  <c r="EK25" i="11"/>
  <c r="EK31" i="11" s="1"/>
  <c r="EK11" i="335"/>
  <c r="EL71" i="3"/>
  <c r="FX147" i="335"/>
  <c r="EK35" i="338"/>
  <c r="EL152" i="335"/>
  <c r="FX150" i="335"/>
  <c r="EK12" i="335"/>
  <c r="EK358" i="335"/>
  <c r="EK26" i="11"/>
  <c r="EK32" i="11" s="1"/>
  <c r="EK191" i="335"/>
  <c r="EL75" i="3"/>
  <c r="EL11" i="335"/>
  <c r="EL357" i="335"/>
  <c r="EL25" i="11"/>
  <c r="EL31" i="11" s="1"/>
  <c r="EL70" i="3"/>
  <c r="EL10" i="335"/>
  <c r="EL355" i="335"/>
  <c r="EL24" i="11"/>
  <c r="EL30" i="11"/>
  <c r="EL73" i="3"/>
  <c r="EL12" i="335"/>
  <c r="EL358" i="335"/>
  <c r="EL26" i="11"/>
  <c r="EL32" i="11" s="1"/>
  <c r="FX178" i="335"/>
  <c r="FX156" i="335"/>
  <c r="EL159" i="335"/>
  <c r="EL93" i="3"/>
  <c r="EL64" i="3"/>
  <c r="EM159" i="335"/>
  <c r="EM158" i="335"/>
  <c r="EM64" i="3"/>
  <c r="EK378" i="335"/>
  <c r="FX177" i="335"/>
  <c r="EK380" i="335"/>
  <c r="EK382" i="335"/>
  <c r="EK384" i="335"/>
  <c r="EK142" i="336"/>
  <c r="EK144" i="336"/>
  <c r="EK147" i="336"/>
  <c r="EK148" i="336" s="1"/>
  <c r="EK193" i="336"/>
  <c r="EK174" i="336" s="1"/>
  <c r="EL45" i="336"/>
  <c r="EL46" i="336" s="1"/>
  <c r="EK171" i="336"/>
  <c r="EM206" i="336"/>
  <c r="EL171" i="336"/>
  <c r="EM195" i="336"/>
  <c r="EL60" i="3"/>
  <c r="EL63" i="3"/>
  <c r="EL384" i="335" s="1"/>
  <c r="EL65" i="3"/>
  <c r="EL147" i="336" s="1"/>
  <c r="EL25" i="3"/>
  <c r="EL51" i="3" s="1"/>
  <c r="EL72" i="3"/>
  <c r="EL33" i="3"/>
  <c r="EL83" i="3"/>
  <c r="EL382" i="335" s="1"/>
  <c r="EL91" i="3"/>
  <c r="EL41" i="3"/>
  <c r="EL92" i="3"/>
  <c r="EL155" i="335"/>
  <c r="FX153" i="335"/>
  <c r="EL167" i="335"/>
  <c r="FX184" i="335"/>
  <c r="EL191" i="335"/>
  <c r="FX223" i="335"/>
  <c r="EL225" i="335"/>
  <c r="EL193" i="336"/>
  <c r="EL174" i="336" s="1"/>
  <c r="BN260" i="338"/>
  <c r="EC84" i="338"/>
  <c r="CW217" i="338"/>
  <c r="DK658" i="338"/>
  <c r="M281" i="338"/>
  <c r="BS144" i="336"/>
  <c r="BF15" i="3"/>
  <c r="DT198" i="336"/>
  <c r="AZ15" i="3"/>
  <c r="BA15" i="3" s="1"/>
  <c r="BB15" i="3" s="1"/>
  <c r="BC15" i="3" s="1"/>
  <c r="CQ66" i="3"/>
  <c r="DD32" i="3"/>
  <c r="DE32" i="3" s="1"/>
  <c r="I373" i="335"/>
  <c r="BE383" i="335"/>
  <c r="BE397" i="335" s="1"/>
  <c r="DI25" i="3"/>
  <c r="DI51" i="3" s="1"/>
  <c r="K41" i="3"/>
  <c r="CU95" i="3"/>
  <c r="DP144" i="336"/>
  <c r="CF382" i="335"/>
  <c r="BE105" i="3"/>
  <c r="BE114" i="3" s="1"/>
  <c r="EI97" i="3"/>
  <c r="DJ66" i="3"/>
  <c r="DK66" i="3" s="1"/>
  <c r="V22" i="3"/>
  <c r="AB21" i="3"/>
  <c r="AB43" i="3"/>
  <c r="D41" i="3"/>
  <c r="CS400" i="338"/>
  <c r="BU400" i="338"/>
  <c r="AT30" i="3"/>
  <c r="BU81" i="3"/>
  <c r="AN29" i="3"/>
  <c r="CG417" i="338"/>
  <c r="V9" i="3"/>
  <c r="DG99" i="336"/>
  <c r="CW21" i="336"/>
  <c r="DA99" i="336"/>
  <c r="EM68" i="336"/>
  <c r="EM429" i="335" s="1"/>
  <c r="EA53" i="336"/>
  <c r="EB53" i="336" s="1"/>
  <c r="EM79" i="336"/>
  <c r="EM440" i="335" s="1"/>
  <c r="CU417" i="335"/>
  <c r="EA71" i="336"/>
  <c r="EA432" i="335" s="1"/>
  <c r="CJ167" i="336"/>
  <c r="AV292" i="335"/>
  <c r="CG46" i="11"/>
  <c r="E112" i="336"/>
  <c r="X321" i="335"/>
  <c r="BY480" i="338"/>
  <c r="CE479" i="338" s="1"/>
  <c r="DM95" i="11"/>
  <c r="DM99" i="11" s="1"/>
  <c r="CS105" i="11"/>
  <c r="CS106" i="11"/>
  <c r="AM162" i="338"/>
  <c r="BN95" i="11"/>
  <c r="AS145" i="11"/>
  <c r="FR46" i="11"/>
  <c r="DE78" i="11"/>
  <c r="DE82" i="11" s="1"/>
  <c r="CP145" i="11"/>
  <c r="DA361" i="335"/>
  <c r="BZ361" i="335"/>
  <c r="BW359" i="335"/>
  <c r="AQ162" i="11"/>
  <c r="BU160" i="11"/>
  <c r="AE154" i="11"/>
  <c r="AI124" i="11"/>
  <c r="AB97" i="11"/>
  <c r="CF95" i="11"/>
  <c r="CF100" i="11"/>
  <c r="BH95" i="11"/>
  <c r="CL361" i="335"/>
  <c r="BS110" i="11"/>
  <c r="CU80" i="11"/>
  <c r="CU85" i="11" s="1"/>
  <c r="DG95" i="11"/>
  <c r="DG99" i="11" s="1"/>
  <c r="BM110" i="11"/>
  <c r="BT361" i="335"/>
  <c r="BC159" i="11"/>
  <c r="CC145" i="11"/>
  <c r="AW140" i="11"/>
  <c r="BC145" i="11" s="1"/>
  <c r="CX95" i="11"/>
  <c r="CX99" i="11" s="1"/>
  <c r="FR47" i="11"/>
  <c r="DM361" i="335"/>
  <c r="BN40" i="338"/>
  <c r="BT39" i="338" s="1"/>
  <c r="BU143" i="11"/>
  <c r="BG362" i="335"/>
  <c r="AV95" i="11"/>
  <c r="BR664" i="338"/>
  <c r="CF10" i="338"/>
  <c r="CU144" i="336"/>
  <c r="BL14" i="3"/>
  <c r="DC66" i="3"/>
  <c r="AP65" i="3"/>
  <c r="BL38" i="3"/>
  <c r="BK41" i="3"/>
  <c r="CO382" i="335"/>
  <c r="DY144" i="336"/>
  <c r="BL22" i="3"/>
  <c r="BM22" i="3"/>
  <c r="BL19" i="3"/>
  <c r="EC72" i="3"/>
  <c r="BK87" i="3"/>
  <c r="E51" i="3"/>
  <c r="BK99" i="3"/>
  <c r="CW45" i="3"/>
  <c r="BL147" i="336"/>
  <c r="BL148" i="336"/>
  <c r="CQ45" i="3"/>
  <c r="CY417" i="338"/>
  <c r="BN35" i="336"/>
  <c r="BO35" i="336" s="1"/>
  <c r="CG133" i="11"/>
  <c r="AP70" i="11"/>
  <c r="EA382" i="338"/>
  <c r="EA550" i="338"/>
  <c r="EA61" i="336"/>
  <c r="BT35" i="336"/>
  <c r="BT43" i="336" s="1"/>
  <c r="BU43" i="336" s="1"/>
  <c r="X21" i="336"/>
  <c r="Y21" i="336" s="1"/>
  <c r="AN19" i="3"/>
  <c r="BQ105" i="3"/>
  <c r="BQ106" i="3" s="1"/>
  <c r="CY40" i="336"/>
  <c r="CY222" i="336" s="1"/>
  <c r="X380" i="335"/>
  <c r="Y380" i="335" s="1"/>
  <c r="BB380" i="335"/>
  <c r="BC380" i="335" s="1"/>
  <c r="DC85" i="336"/>
  <c r="DC437" i="335" s="1"/>
  <c r="BU124" i="336"/>
  <c r="EA581" i="338"/>
  <c r="EA582" i="338" s="1"/>
  <c r="EC282" i="338"/>
  <c r="CD316" i="338"/>
  <c r="BZ145" i="11"/>
  <c r="BZ150" i="11" s="1"/>
  <c r="DB110" i="11"/>
  <c r="DB114" i="11" s="1"/>
  <c r="J345" i="335"/>
  <c r="DM43" i="11"/>
  <c r="DN241" i="338"/>
  <c r="DN245" i="338" s="1"/>
  <c r="X296" i="335"/>
  <c r="EE69" i="11"/>
  <c r="CQ70" i="11"/>
  <c r="DB330" i="338"/>
  <c r="BI288" i="335"/>
  <c r="DM161" i="336"/>
  <c r="DJ162" i="336"/>
  <c r="R348" i="335"/>
  <c r="BI133" i="11"/>
  <c r="E70" i="11"/>
  <c r="CU157" i="335"/>
  <c r="DG9" i="338"/>
  <c r="L366" i="335"/>
  <c r="DM52" i="335"/>
  <c r="DM241" i="338"/>
  <c r="DM245" i="338" s="1"/>
  <c r="W133" i="11"/>
  <c r="EC70" i="11"/>
  <c r="CA138" i="11"/>
  <c r="CA143" i="11" s="1"/>
  <c r="DM65" i="335"/>
  <c r="DS65" i="335" s="1"/>
  <c r="CU158" i="335"/>
  <c r="CA280" i="335"/>
  <c r="CA664" i="338"/>
  <c r="BU282" i="338"/>
  <c r="BU176" i="336" s="1"/>
  <c r="DO660" i="338"/>
  <c r="BU630" i="338"/>
  <c r="CA282" i="338"/>
  <c r="CA387" i="335" s="1"/>
  <c r="AJ281" i="338"/>
  <c r="AK281" i="338" s="1"/>
  <c r="AK288" i="338" s="1"/>
  <c r="BI282" i="338"/>
  <c r="BI387" i="335" s="1"/>
  <c r="AO80" i="11"/>
  <c r="AQ49" i="11"/>
  <c r="AW52" i="11"/>
  <c r="AW16" i="338"/>
  <c r="CM93" i="11"/>
  <c r="FQ53" i="11" s="1"/>
  <c r="AQ161" i="11"/>
  <c r="CA91" i="11"/>
  <c r="BC93" i="11"/>
  <c r="AK53" i="11"/>
  <c r="EI296" i="338"/>
  <c r="EI300" i="338" s="1"/>
  <c r="EO301" i="338" s="1"/>
  <c r="DS565" i="338"/>
  <c r="DV575" i="338"/>
  <c r="DV576" i="338" s="1"/>
  <c r="DJ569" i="338"/>
  <c r="DJ570" i="338" s="1"/>
  <c r="U145" i="336"/>
  <c r="DS64" i="335"/>
  <c r="FW30" i="335"/>
  <c r="BT80" i="11"/>
  <c r="CL359" i="335"/>
  <c r="BQ58" i="338"/>
  <c r="BQ95" i="338" s="1"/>
  <c r="BQ124" i="11"/>
  <c r="BQ96" i="338" s="1"/>
  <c r="BZ80" i="11"/>
  <c r="DJ359" i="335"/>
  <c r="BN121" i="11"/>
  <c r="AW120" i="11"/>
  <c r="BU119" i="11"/>
  <c r="BU40" i="338" s="1"/>
  <c r="CL121" i="11"/>
  <c r="CR121" i="11"/>
  <c r="AT124" i="11"/>
  <c r="DE76" i="11"/>
  <c r="DK80" i="11" s="1"/>
  <c r="DK84" i="11" s="1"/>
  <c r="DT95" i="11"/>
  <c r="DT99" i="11" s="1"/>
  <c r="BM124" i="11"/>
  <c r="BS58" i="338"/>
  <c r="BS95" i="338" s="1"/>
  <c r="BQ123" i="11"/>
  <c r="BQ54" i="338" s="1"/>
  <c r="DE94" i="11"/>
  <c r="DE98" i="11" s="1"/>
  <c r="CG94" i="11"/>
  <c r="BI93" i="11"/>
  <c r="BW361" i="335"/>
  <c r="CY91" i="11"/>
  <c r="CY361" i="335" s="1"/>
  <c r="AK91" i="11"/>
  <c r="AK361" i="335"/>
  <c r="DE91" i="11"/>
  <c r="DE361" i="335" s="1"/>
  <c r="BA95" i="11"/>
  <c r="CO110" i="11"/>
  <c r="CO115" i="11" s="1"/>
  <c r="CV121" i="11"/>
  <c r="DS110" i="11"/>
  <c r="DS114" i="11" s="1"/>
  <c r="CV362" i="335"/>
  <c r="CV360" i="335"/>
  <c r="AS124" i="11"/>
  <c r="CX110" i="11"/>
  <c r="CX114" i="11" s="1"/>
  <c r="AM121" i="11"/>
  <c r="AM124" i="11"/>
  <c r="AE78" i="11"/>
  <c r="AJ124" i="11"/>
  <c r="AI359" i="335"/>
  <c r="DJ389" i="335"/>
  <c r="AE282" i="338"/>
  <c r="AE387" i="335" s="1"/>
  <c r="DK640" i="338"/>
  <c r="CO636" i="338"/>
  <c r="BB387" i="335"/>
  <c r="BO282" i="338"/>
  <c r="BO387" i="335"/>
  <c r="BZ387" i="335"/>
  <c r="AP387" i="335"/>
  <c r="DM565" i="338"/>
  <c r="DE642" i="338"/>
  <c r="BC282" i="338"/>
  <c r="BC387" i="335" s="1"/>
  <c r="DK282" i="338"/>
  <c r="DK387" i="335"/>
  <c r="W281" i="338"/>
  <c r="AP281" i="338"/>
  <c r="AQ281" i="338" s="1"/>
  <c r="BT281" i="338"/>
  <c r="BU281" i="338" s="1"/>
  <c r="CI283" i="338"/>
  <c r="X281" i="338"/>
  <c r="Y281" i="338" s="1"/>
  <c r="AE288" i="338" s="1"/>
  <c r="CG41" i="338"/>
  <c r="CE230" i="338"/>
  <c r="BY301" i="338"/>
  <c r="DZ83" i="338"/>
  <c r="DZ11" i="338" s="1"/>
  <c r="CS44" i="338"/>
  <c r="BO389" i="335"/>
  <c r="DK672" i="338"/>
  <c r="AV281" i="338"/>
  <c r="AW281" i="338" s="1"/>
  <c r="AW288" i="338" s="1"/>
  <c r="CO565" i="338"/>
  <c r="DY660" i="338"/>
  <c r="BU628" i="338"/>
  <c r="BH560" i="338"/>
  <c r="EB10" i="338"/>
  <c r="EB562" i="338"/>
  <c r="EB563" i="338" s="1"/>
  <c r="EH579" i="338"/>
  <c r="DZ58" i="336"/>
  <c r="DZ419" i="335" s="1"/>
  <c r="EM91" i="336"/>
  <c r="EN91" i="336" s="1"/>
  <c r="EN452" i="335" s="1"/>
  <c r="CS193" i="336"/>
  <c r="CC292" i="335"/>
  <c r="CV60" i="336"/>
  <c r="CV419" i="335" s="1"/>
  <c r="CL380" i="335"/>
  <c r="CM380" i="335" s="1"/>
  <c r="DZ69" i="336"/>
  <c r="DZ430" i="335" s="1"/>
  <c r="CR21" i="336"/>
  <c r="CS21" i="336" s="1"/>
  <c r="W343" i="335"/>
  <c r="DK40" i="338"/>
  <c r="DK53" i="338" s="1"/>
  <c r="DS279" i="335"/>
  <c r="M367" i="335"/>
  <c r="D184" i="335"/>
  <c r="D216" i="335" s="1"/>
  <c r="DC139" i="335"/>
  <c r="BT88" i="335"/>
  <c r="DJ77" i="335"/>
  <c r="CO162" i="336"/>
  <c r="EF550" i="338"/>
  <c r="CW330" i="338"/>
  <c r="DI286" i="335"/>
  <c r="DI50" i="335"/>
  <c r="AS16" i="335"/>
  <c r="EH27" i="338"/>
  <c r="CG781" i="338"/>
  <c r="DQ586" i="338"/>
  <c r="DP586" i="338" s="1"/>
  <c r="DP605" i="338" s="1"/>
  <c r="EE581" i="338"/>
  <c r="EE582" i="338"/>
  <c r="EM28" i="338"/>
  <c r="EM33" i="338"/>
  <c r="EE565" i="338"/>
  <c r="DT391" i="335"/>
  <c r="EH562" i="338"/>
  <c r="EH563" i="338"/>
  <c r="EI572" i="338"/>
  <c r="CW670" i="338"/>
  <c r="DJ11" i="338"/>
  <c r="BX301" i="338"/>
  <c r="EE636" i="338"/>
  <c r="EG666" i="338"/>
  <c r="DP556" i="338"/>
  <c r="DP557" i="338" s="1"/>
  <c r="DZ652" i="338"/>
  <c r="EA652" i="338"/>
  <c r="EO652" i="338"/>
  <c r="EM583" i="338"/>
  <c r="ER583" i="338"/>
  <c r="DY652" i="338"/>
  <c r="CG634" i="338"/>
  <c r="CG664" i="338"/>
  <c r="CA628" i="338"/>
  <c r="CA634" i="338"/>
  <c r="EK576" i="338"/>
  <c r="EK584" i="338" s="1"/>
  <c r="EL576" i="338"/>
  <c r="CA225" i="338"/>
  <c r="CM125" i="338"/>
  <c r="BC389" i="335"/>
  <c r="CR217" i="338"/>
  <c r="DP34" i="338"/>
  <c r="CQ300" i="338"/>
  <c r="CQ303" i="338" s="1"/>
  <c r="CQ282" i="338"/>
  <c r="CQ387" i="335" s="1"/>
  <c r="DO34" i="338"/>
  <c r="CY70" i="338"/>
  <c r="CY11" i="338" s="1"/>
  <c r="EL89" i="338"/>
  <c r="CU387" i="335"/>
  <c r="DV389" i="335"/>
  <c r="CW11" i="338"/>
  <c r="DN22" i="338"/>
  <c r="DQ76" i="338"/>
  <c r="EM153" i="338"/>
  <c r="EM89" i="338" s="1"/>
  <c r="EM11" i="338" s="1"/>
  <c r="DO138" i="338"/>
  <c r="DQ138" i="338" s="1"/>
  <c r="BF562" i="338"/>
  <c r="BF563" i="338" s="1"/>
  <c r="DS282" i="338"/>
  <c r="DS387" i="335" s="1"/>
  <c r="CQ391" i="335"/>
  <c r="CY129" i="338"/>
  <c r="CS123" i="338"/>
  <c r="EB334" i="338"/>
  <c r="CQ425" i="338"/>
  <c r="BE412" i="338"/>
  <c r="BE381" i="335" s="1"/>
  <c r="ER666" i="338"/>
  <c r="EL90" i="338"/>
  <c r="EO154" i="338"/>
  <c r="CS125" i="338"/>
  <c r="ER565" i="338"/>
  <c r="ER636" i="338"/>
  <c r="EC296" i="338"/>
  <c r="EC300" i="338" s="1"/>
  <c r="EF150" i="338"/>
  <c r="ER660" i="338"/>
  <c r="EC731" i="338"/>
  <c r="DW296" i="338"/>
  <c r="DW300" i="338"/>
  <c r="DE670" i="338"/>
  <c r="EI731" i="338"/>
  <c r="DW731" i="338"/>
  <c r="CJ660" i="338"/>
  <c r="CX389" i="335"/>
  <c r="AU316" i="338"/>
  <c r="DB391" i="335"/>
  <c r="BU225" i="338"/>
  <c r="DW137" i="338"/>
  <c r="L281" i="338"/>
  <c r="CS40" i="336"/>
  <c r="CS222" i="336" s="1"/>
  <c r="DV153" i="336"/>
  <c r="DW153" i="336" s="1"/>
  <c r="EM81" i="336"/>
  <c r="EM442" i="335" s="1"/>
  <c r="DJ35" i="336"/>
  <c r="DK35" i="336" s="1"/>
  <c r="CU415" i="335"/>
  <c r="AE40" i="336"/>
  <c r="AE222" i="336" s="1"/>
  <c r="DO19" i="336"/>
  <c r="DP19" i="336" s="1"/>
  <c r="CA124" i="336"/>
  <c r="AW124" i="336"/>
  <c r="Y124" i="336"/>
  <c r="DS35" i="336"/>
  <c r="DS43" i="336" s="1"/>
  <c r="DU30" i="336"/>
  <c r="DU35" i="336" s="1"/>
  <c r="DU43" i="336" s="1"/>
  <c r="AK40" i="336"/>
  <c r="AK222" i="336" s="1"/>
  <c r="AV380" i="335"/>
  <c r="AW380" i="335" s="1"/>
  <c r="R380" i="335"/>
  <c r="S380" i="335" s="1"/>
  <c r="DK124" i="336"/>
  <c r="AQ286" i="338"/>
  <c r="O41" i="3"/>
  <c r="ET133" i="11"/>
  <c r="ET70" i="11"/>
  <c r="BO160" i="335"/>
  <c r="CC103" i="336"/>
  <c r="CC413" i="338" s="1"/>
  <c r="AP162" i="338"/>
  <c r="BI25" i="11"/>
  <c r="AW93" i="11"/>
  <c r="BI91" i="11"/>
  <c r="BI361" i="335" s="1"/>
  <c r="AB108" i="11"/>
  <c r="AK120" i="11"/>
  <c r="AK124" i="11" s="1"/>
  <c r="AN159" i="11"/>
  <c r="CA142" i="11"/>
  <c r="BU109" i="11"/>
  <c r="DW25" i="11"/>
  <c r="DW31" i="11" s="1"/>
  <c r="BI119" i="11"/>
  <c r="BI123" i="11" s="1"/>
  <c r="CU39" i="338"/>
  <c r="AT162" i="11"/>
  <c r="DB95" i="11"/>
  <c r="DB99" i="11" s="1"/>
  <c r="CA159" i="11"/>
  <c r="FS13" i="11"/>
  <c r="CS76" i="11"/>
  <c r="CS359" i="335" s="1"/>
  <c r="CD361" i="335"/>
  <c r="DP359" i="335"/>
  <c r="BN359" i="335"/>
  <c r="BO355" i="335"/>
  <c r="BC121" i="11"/>
  <c r="AB119" i="11"/>
  <c r="AB123" i="11"/>
  <c r="CD121" i="11"/>
  <c r="AW49" i="11"/>
  <c r="AW57" i="11"/>
  <c r="AK94" i="11"/>
  <c r="DO95" i="11"/>
  <c r="BC109" i="11"/>
  <c r="CV95" i="11"/>
  <c r="CV100" i="11"/>
  <c r="CY357" i="335"/>
  <c r="AW159" i="11"/>
  <c r="DP80" i="11"/>
  <c r="DP84" i="11"/>
  <c r="CY78" i="11"/>
  <c r="AU95" i="11"/>
  <c r="AJ93" i="11"/>
  <c r="AU124" i="11"/>
  <c r="DO361" i="335"/>
  <c r="AM359" i="335"/>
  <c r="DK94" i="11"/>
  <c r="DK98" i="11" s="1"/>
  <c r="CS94" i="11"/>
  <c r="BU94" i="11"/>
  <c r="AQ94" i="11"/>
  <c r="DQ93" i="11"/>
  <c r="DQ97" i="11" s="1"/>
  <c r="BF95" i="11"/>
  <c r="AU80" i="11"/>
  <c r="AS80" i="11"/>
  <c r="Y24" i="11"/>
  <c r="AO95" i="11"/>
  <c r="AY110" i="11"/>
  <c r="CU110" i="11"/>
  <c r="CU115" i="11" s="1"/>
  <c r="AI95" i="11"/>
  <c r="CA144" i="11"/>
  <c r="CX80" i="11"/>
  <c r="CX84" i="11" s="1"/>
  <c r="BO143" i="11"/>
  <c r="CJ121" i="11"/>
  <c r="DC361" i="335"/>
  <c r="CQ145" i="11"/>
  <c r="AZ110" i="11"/>
  <c r="BO109" i="11"/>
  <c r="AK49" i="11"/>
  <c r="AQ58" i="11" s="1"/>
  <c r="BG121" i="11"/>
  <c r="BG125" i="11" s="1"/>
  <c r="AT121" i="11"/>
  <c r="AZ125" i="11" s="1"/>
  <c r="CM119" i="11"/>
  <c r="BO91" i="11"/>
  <c r="BO361" i="335" s="1"/>
  <c r="AK93" i="11"/>
  <c r="AQ97" i="11"/>
  <c r="AK97" i="11"/>
  <c r="AW53" i="11"/>
  <c r="AI121" i="11"/>
  <c r="AO121" i="11"/>
  <c r="DQ79" i="11"/>
  <c r="DQ83" i="11" s="1"/>
  <c r="CS79" i="11"/>
  <c r="AQ76" i="11"/>
  <c r="AQ359" i="335" s="1"/>
  <c r="DK78" i="11"/>
  <c r="DK82" i="11" s="1"/>
  <c r="CM76" i="11"/>
  <c r="CM359" i="335" s="1"/>
  <c r="BU78" i="11"/>
  <c r="BO24" i="11"/>
  <c r="BI279" i="335"/>
  <c r="BH91" i="335"/>
  <c r="BH143" i="335" s="1"/>
  <c r="BH144" i="335" s="1"/>
  <c r="CK48" i="11"/>
  <c r="CR139" i="335"/>
  <c r="BG89" i="335"/>
  <c r="BS88" i="335"/>
  <c r="CW43" i="11"/>
  <c r="DC48" i="11"/>
  <c r="DN52" i="335"/>
  <c r="BT96" i="335"/>
  <c r="AV52" i="335"/>
  <c r="BF89" i="335"/>
  <c r="BZ321" i="335"/>
  <c r="D114" i="338"/>
  <c r="DS119" i="11"/>
  <c r="CR87" i="335"/>
  <c r="CK139" i="335"/>
  <c r="BR96" i="335"/>
  <c r="BF96" i="335"/>
  <c r="BS311" i="335"/>
  <c r="BS96" i="335"/>
  <c r="CW9" i="338"/>
  <c r="CD103" i="336"/>
  <c r="CD413" i="338" s="1"/>
  <c r="FT61" i="335"/>
  <c r="D99" i="335"/>
  <c r="FP179" i="335"/>
  <c r="BQ96" i="335"/>
  <c r="EA108" i="335"/>
  <c r="DY39" i="335"/>
  <c r="BI87" i="335"/>
  <c r="BF311" i="335"/>
  <c r="BT89" i="335"/>
  <c r="CW480" i="338"/>
  <c r="DC478" i="338" s="1"/>
  <c r="DI48" i="11"/>
  <c r="BK89" i="335"/>
  <c r="D150" i="335"/>
  <c r="CW161" i="336"/>
  <c r="DQ14" i="335"/>
  <c r="DQ172" i="338" s="1"/>
  <c r="CV141" i="335"/>
  <c r="FP104" i="335"/>
  <c r="DW150" i="335"/>
  <c r="EC138" i="335"/>
  <c r="EC768" i="338" s="1"/>
  <c r="EF309" i="335"/>
  <c r="AE224" i="335"/>
  <c r="C224" i="335"/>
  <c r="C225" i="335" s="1"/>
  <c r="CA153" i="335"/>
  <c r="CA611" i="338" s="1"/>
  <c r="BW53" i="11"/>
  <c r="P70" i="11"/>
  <c r="P133" i="11"/>
  <c r="CS133" i="11"/>
  <c r="CF318" i="335"/>
  <c r="CE167" i="335"/>
  <c r="CE296" i="335" s="1"/>
  <c r="CE149" i="335"/>
  <c r="CE293" i="335"/>
  <c r="CG147" i="335"/>
  <c r="FO147" i="335"/>
  <c r="BQ279" i="335"/>
  <c r="BK304" i="335"/>
  <c r="BK228" i="338"/>
  <c r="BK230" i="338" s="1"/>
  <c r="BK279" i="335"/>
  <c r="DD136" i="335"/>
  <c r="DI155" i="335"/>
  <c r="DC295" i="335"/>
  <c r="DD320" i="335"/>
  <c r="DC611" i="338"/>
  <c r="DI295" i="335"/>
  <c r="DE132" i="335"/>
  <c r="DE133" i="335" s="1"/>
  <c r="DC133" i="335"/>
  <c r="DC131" i="336"/>
  <c r="DB294" i="335"/>
  <c r="DB319" i="335"/>
  <c r="DH152" i="335"/>
  <c r="DC319" i="335"/>
  <c r="CU342" i="335"/>
  <c r="CU139" i="335"/>
  <c r="CX149" i="335"/>
  <c r="CX167" i="335"/>
  <c r="CX728" i="338"/>
  <c r="CX735" i="338" s="1"/>
  <c r="CX293" i="335"/>
  <c r="CW610" i="338"/>
  <c r="DC294" i="335"/>
  <c r="CW167" i="335"/>
  <c r="CW168" i="335" s="1"/>
  <c r="DC152" i="335"/>
  <c r="CY153" i="335"/>
  <c r="FQ153" i="335"/>
  <c r="CV611" i="338"/>
  <c r="CQ611" i="338"/>
  <c r="CR320" i="335"/>
  <c r="CQ155" i="335"/>
  <c r="FP153" i="335"/>
  <c r="CR155" i="335"/>
  <c r="CR295" i="335"/>
  <c r="CO320" i="335"/>
  <c r="CL611" i="338"/>
  <c r="CM153" i="335"/>
  <c r="CM777" i="338" s="1"/>
  <c r="CL167" i="335"/>
  <c r="CJ141" i="335"/>
  <c r="CV152" i="335"/>
  <c r="CP319" i="335"/>
  <c r="CC40" i="335"/>
  <c r="BW119" i="11"/>
  <c r="CF41" i="335"/>
  <c r="CF119" i="11"/>
  <c r="CL123" i="11" s="1"/>
  <c r="CL54" i="338" s="1"/>
  <c r="CF228" i="338"/>
  <c r="CF230" i="338" s="1"/>
  <c r="CI152" i="335"/>
  <c r="CI370" i="335"/>
  <c r="CO167" i="335"/>
  <c r="CO149" i="335"/>
  <c r="DK228" i="338"/>
  <c r="FV153" i="335"/>
  <c r="EC153" i="335"/>
  <c r="EC155" i="335" s="1"/>
  <c r="FT150" i="335"/>
  <c r="DQ150" i="335"/>
  <c r="FT138" i="335"/>
  <c r="DN141" i="335"/>
  <c r="DN609" i="338" s="1"/>
  <c r="FT104" i="335"/>
  <c r="DI141" i="335"/>
  <c r="FU138" i="335"/>
  <c r="DM167" i="335"/>
  <c r="DM318" i="335"/>
  <c r="CV164" i="336"/>
  <c r="DA48" i="335"/>
  <c r="DU47" i="335"/>
  <c r="EA47" i="335"/>
  <c r="EA68" i="335"/>
  <c r="DU283" i="335"/>
  <c r="DU61" i="335"/>
  <c r="DU438" i="338"/>
  <c r="EA437" i="338" s="1"/>
  <c r="DU62" i="335"/>
  <c r="DU444" i="338"/>
  <c r="DW60" i="335"/>
  <c r="DZ284" i="335"/>
  <c r="DZ69" i="335"/>
  <c r="EA100" i="338"/>
  <c r="EA62" i="335"/>
  <c r="EC60" i="335"/>
  <c r="EA308" i="335"/>
  <c r="EG61" i="335"/>
  <c r="EB62" i="335"/>
  <c r="EB309" i="335"/>
  <c r="EE309" i="335"/>
  <c r="EE69" i="335"/>
  <c r="EH284" i="335"/>
  <c r="DV728" i="338"/>
  <c r="DV735" i="338" s="1"/>
  <c r="DV167" i="335"/>
  <c r="DV293" i="335"/>
  <c r="EB610" i="338"/>
  <c r="EB152" i="335"/>
  <c r="EB370" i="335"/>
  <c r="EC370" i="335" s="1"/>
  <c r="EB167" i="335"/>
  <c r="DS53" i="11"/>
  <c r="K224" i="335"/>
  <c r="K225" i="335" s="1"/>
  <c r="K191" i="335"/>
  <c r="U112" i="336"/>
  <c r="U113" i="336"/>
  <c r="AG292" i="335"/>
  <c r="AA367" i="335"/>
  <c r="X317" i="335"/>
  <c r="U317" i="335"/>
  <c r="CY45" i="11"/>
  <c r="DB295" i="335"/>
  <c r="FR150" i="335"/>
  <c r="FS152" i="335" s="1"/>
  <c r="FV35" i="335"/>
  <c r="EI132" i="335"/>
  <c r="EF69" i="335"/>
  <c r="CU311" i="335"/>
  <c r="AP225" i="335"/>
  <c r="AJ225" i="335"/>
  <c r="AD225" i="335"/>
  <c r="DS40" i="338"/>
  <c r="EF152" i="335"/>
  <c r="BG96" i="335"/>
  <c r="CA754" i="338"/>
  <c r="CA755" i="338" s="1"/>
  <c r="BR311" i="335"/>
  <c r="DC311" i="335"/>
  <c r="BM41" i="335"/>
  <c r="CO318" i="335"/>
  <c r="BS304" i="335"/>
  <c r="DW35" i="335"/>
  <c r="BU403" i="335"/>
  <c r="AK403" i="335"/>
  <c r="EC147" i="335"/>
  <c r="BU180" i="335"/>
  <c r="FS132" i="335"/>
  <c r="FS133" i="335" s="1"/>
  <c r="CR141" i="335"/>
  <c r="FV138" i="335"/>
  <c r="AI191" i="335"/>
  <c r="AK223" i="335"/>
  <c r="AK191" i="335" s="1"/>
  <c r="DV281" i="335"/>
  <c r="DV47" i="335"/>
  <c r="DS164" i="336"/>
  <c r="DV44" i="11"/>
  <c r="DP164" i="336"/>
  <c r="DV98" i="335"/>
  <c r="DY306" i="335"/>
  <c r="DV166" i="336"/>
  <c r="DV168" i="336" s="1"/>
  <c r="DY48" i="335"/>
  <c r="DU108" i="336"/>
  <c r="EB47" i="335"/>
  <c r="DV68" i="335"/>
  <c r="EB284" i="335"/>
  <c r="DW67" i="335"/>
  <c r="DV136" i="335"/>
  <c r="EB68" i="335"/>
  <c r="DV284" i="335"/>
  <c r="DZ98" i="335"/>
  <c r="DZ281" i="335"/>
  <c r="DZ48" i="335"/>
  <c r="DY108" i="336"/>
  <c r="DV164" i="336"/>
  <c r="DZ108" i="336"/>
  <c r="DZ306" i="335"/>
  <c r="EA306" i="335"/>
  <c r="EA48" i="335"/>
  <c r="DZ166" i="336"/>
  <c r="EE152" i="335"/>
  <c r="EG370" i="335"/>
  <c r="EF319" i="335"/>
  <c r="EE294" i="335"/>
  <c r="EF370" i="335"/>
  <c r="EE370" i="335"/>
  <c r="EF149" i="335"/>
  <c r="EF293" i="335"/>
  <c r="EG318" i="335"/>
  <c r="EK294" i="335"/>
  <c r="DZ36" i="335"/>
  <c r="DZ37" i="335"/>
  <c r="EE36" i="335"/>
  <c r="EF281" i="335"/>
  <c r="EE167" i="335"/>
  <c r="EI147" i="335"/>
  <c r="BI98" i="335"/>
  <c r="EG70" i="335"/>
  <c r="FU35" i="335"/>
  <c r="CL164" i="336"/>
  <c r="EH70" i="335"/>
  <c r="EB70" i="335"/>
  <c r="EE160" i="335"/>
  <c r="DT164" i="336"/>
  <c r="DP40" i="338"/>
  <c r="EB281" i="335"/>
  <c r="DZ44" i="11"/>
  <c r="BX611" i="338"/>
  <c r="AN96" i="335"/>
  <c r="CF164" i="336"/>
  <c r="CJ108" i="336"/>
  <c r="CL281" i="335"/>
  <c r="CR281" i="335"/>
  <c r="CL306" i="335"/>
  <c r="CJ164" i="336"/>
  <c r="DV133" i="335"/>
  <c r="CJ14" i="335"/>
  <c r="FO39" i="335"/>
  <c r="CK304" i="335"/>
  <c r="CJ119" i="11"/>
  <c r="BX14" i="335"/>
  <c r="BX172" i="338" s="1"/>
  <c r="BX228" i="338"/>
  <c r="BX119" i="11"/>
  <c r="BZ723" i="338"/>
  <c r="BZ721" i="338" s="1"/>
  <c r="BZ119" i="11"/>
  <c r="CI318" i="335"/>
  <c r="FV132" i="335"/>
  <c r="DY133" i="335"/>
  <c r="EC132" i="335"/>
  <c r="EA294" i="335"/>
  <c r="EA152" i="335"/>
  <c r="DY611" i="338"/>
  <c r="DY295" i="335"/>
  <c r="DY320" i="335"/>
  <c r="DY155" i="335"/>
  <c r="EE155" i="335"/>
  <c r="DM295" i="335"/>
  <c r="DG155" i="335"/>
  <c r="DG320" i="335"/>
  <c r="FS153" i="335"/>
  <c r="DT152" i="335"/>
  <c r="DO370" i="335"/>
  <c r="DK147" i="335"/>
  <c r="DO136" i="335"/>
  <c r="DO141" i="335"/>
  <c r="DJ611" i="338"/>
  <c r="DJ295" i="335"/>
  <c r="DM320" i="335"/>
  <c r="DS319" i="335"/>
  <c r="DT370" i="335"/>
  <c r="CY46" i="335"/>
  <c r="CU47" i="335"/>
  <c r="CV306" i="335"/>
  <c r="CU166" i="336"/>
  <c r="CU168" i="336" s="1"/>
  <c r="CU44" i="11"/>
  <c r="CU108" i="336"/>
  <c r="CV48" i="335"/>
  <c r="CU281" i="335"/>
  <c r="DA47" i="335"/>
  <c r="CU87" i="335"/>
  <c r="CU96" i="335" s="1"/>
  <c r="DB40" i="335"/>
  <c r="CV40" i="335"/>
  <c r="CV279" i="335"/>
  <c r="CW41" i="335"/>
  <c r="DV39" i="335"/>
  <c r="DP119" i="11"/>
  <c r="DP104" i="11" s="1"/>
  <c r="DP304" i="335"/>
  <c r="DP279" i="335"/>
  <c r="DP228" i="338"/>
  <c r="DY293" i="335"/>
  <c r="EE149" i="335"/>
  <c r="DY318" i="335"/>
  <c r="EE293" i="335"/>
  <c r="EL149" i="335"/>
  <c r="EK152" i="335"/>
  <c r="EK70" i="335"/>
  <c r="DY14" i="335"/>
  <c r="DV162" i="336" s="1"/>
  <c r="CK164" i="336"/>
  <c r="CY39" i="335"/>
  <c r="DE40" i="335" s="1"/>
  <c r="DV50" i="335"/>
  <c r="AQ224" i="335"/>
  <c r="S345" i="335"/>
  <c r="EI150" i="335"/>
  <c r="EI610" i="338" s="1"/>
  <c r="EC35" i="335"/>
  <c r="FW132" i="335"/>
  <c r="DY69" i="335"/>
  <c r="FQ46" i="335"/>
  <c r="FV147" i="335"/>
  <c r="CI164" i="336"/>
  <c r="EF47" i="335"/>
  <c r="DY164" i="336"/>
  <c r="DV108" i="336"/>
  <c r="DZ318" i="335"/>
  <c r="DB279" i="335"/>
  <c r="DP40" i="335"/>
  <c r="DP723" i="338"/>
  <c r="CF167" i="335"/>
  <c r="CF367" i="335" s="1"/>
  <c r="CG367" i="335" s="1"/>
  <c r="CI320" i="335"/>
  <c r="BU176" i="335"/>
  <c r="BQ214" i="335"/>
  <c r="BF214" i="335"/>
  <c r="BI176" i="335"/>
  <c r="AZ214" i="335"/>
  <c r="BC176" i="335"/>
  <c r="BA87" i="335"/>
  <c r="BG281" i="335"/>
  <c r="AV108" i="336"/>
  <c r="BA47" i="335"/>
  <c r="BA98" i="335"/>
  <c r="BA281" i="335"/>
  <c r="AU72" i="335"/>
  <c r="AU314" i="335"/>
  <c r="DI370" i="335"/>
  <c r="DD610" i="338"/>
  <c r="FS104" i="335"/>
  <c r="DC141" i="335"/>
  <c r="DB141" i="335"/>
  <c r="DA167" i="335"/>
  <c r="CV319" i="335"/>
  <c r="CU346" i="335"/>
  <c r="CU167" i="335"/>
  <c r="DD295" i="335"/>
  <c r="CX295" i="335"/>
  <c r="DA320" i="335"/>
  <c r="CW141" i="335"/>
  <c r="CS104" i="335"/>
  <c r="CS743" i="338" s="1"/>
  <c r="CM150" i="335"/>
  <c r="CJ167" i="335"/>
  <c r="CO370" i="335"/>
  <c r="DK288" i="335"/>
  <c r="CP48" i="335"/>
  <c r="CO98" i="335"/>
  <c r="CO47" i="335"/>
  <c r="CO281" i="335"/>
  <c r="CP306" i="335"/>
  <c r="CS46" i="335"/>
  <c r="CO166" i="336"/>
  <c r="DV283" i="335"/>
  <c r="DZ70" i="335"/>
  <c r="EB283" i="335"/>
  <c r="DY62" i="335"/>
  <c r="DV438" i="338"/>
  <c r="EB437" i="338" s="1"/>
  <c r="EE70" i="335"/>
  <c r="EB61" i="335"/>
  <c r="DV100" i="338"/>
  <c r="DV308" i="335"/>
  <c r="DV444" i="338"/>
  <c r="EF70" i="335"/>
  <c r="BI149" i="335"/>
  <c r="DY124" i="335"/>
  <c r="EL70" i="335"/>
  <c r="DT37" i="335"/>
  <c r="EE131" i="336"/>
  <c r="EF167" i="335"/>
  <c r="CV14" i="335"/>
  <c r="AI225" i="335"/>
  <c r="EH370" i="335"/>
  <c r="EI370" i="335" s="1"/>
  <c r="DS41" i="335"/>
  <c r="DY37" i="335"/>
  <c r="DS168" i="336"/>
  <c r="DV70" i="335"/>
  <c r="CQ164" i="336"/>
  <c r="DY167" i="335"/>
  <c r="DY321" i="335" s="1"/>
  <c r="FW147" i="335"/>
  <c r="FV60" i="335"/>
  <c r="FV61" i="335" s="1"/>
  <c r="CO164" i="336"/>
  <c r="FV67" i="335"/>
  <c r="EA70" i="335"/>
  <c r="EE319" i="335"/>
  <c r="DY70" i="335"/>
  <c r="EC46" i="335"/>
  <c r="DU164" i="336"/>
  <c r="DV309" i="335"/>
  <c r="CO108" i="336"/>
  <c r="DY149" i="335"/>
  <c r="CU331" i="335"/>
  <c r="CW304" i="335"/>
  <c r="CO44" i="11"/>
  <c r="CO53" i="11" s="1"/>
  <c r="DZ611" i="338"/>
  <c r="DZ295" i="335"/>
  <c r="DZ320" i="335"/>
  <c r="EF295" i="335"/>
  <c r="EA284" i="335"/>
  <c r="EC67" i="335"/>
  <c r="EG68" i="335"/>
  <c r="EB69" i="335"/>
  <c r="EA69" i="335"/>
  <c r="FW67" i="335"/>
  <c r="EA320" i="335"/>
  <c r="EB320" i="335"/>
  <c r="EG295" i="335"/>
  <c r="EA295" i="335"/>
  <c r="EA167" i="335"/>
  <c r="EG155" i="335"/>
  <c r="EB136" i="335"/>
  <c r="EC135" i="335"/>
  <c r="FW135" i="335"/>
  <c r="DV117" i="335"/>
  <c r="DV107" i="335"/>
  <c r="DV108" i="335" s="1"/>
  <c r="EE117" i="335"/>
  <c r="EE107" i="335"/>
  <c r="EG117" i="335"/>
  <c r="EG107" i="335"/>
  <c r="EK117" i="335"/>
  <c r="EK107" i="335"/>
  <c r="DB53" i="11"/>
  <c r="DW46" i="335"/>
  <c r="EH83" i="335"/>
  <c r="EB117" i="335"/>
  <c r="EB107" i="335"/>
  <c r="DZ117" i="335"/>
  <c r="DZ107" i="335"/>
  <c r="DZ108" i="335" s="1"/>
  <c r="BO293" i="335"/>
  <c r="EK37" i="335"/>
  <c r="EK139" i="335"/>
  <c r="FC139" i="335"/>
  <c r="FI139" i="335" s="1"/>
  <c r="EF117" i="335"/>
  <c r="EF107" i="335"/>
  <c r="EH117" i="335"/>
  <c r="EH107" i="335"/>
  <c r="DO64" i="335"/>
  <c r="BC216" i="335"/>
  <c r="DO65" i="335"/>
  <c r="AW225" i="335"/>
  <c r="DP160" i="335"/>
  <c r="DQ161" i="335"/>
  <c r="AC191" i="335"/>
  <c r="AE223" i="335"/>
  <c r="BX167" i="335"/>
  <c r="BX295" i="335"/>
  <c r="CD295" i="335"/>
  <c r="BX320" i="335"/>
  <c r="BY320" i="335"/>
  <c r="BX155" i="335"/>
  <c r="CD155" i="335"/>
  <c r="FO153" i="335"/>
  <c r="CG104" i="335"/>
  <c r="CG743" i="338" s="1"/>
  <c r="BM40" i="335"/>
  <c r="BN41" i="335"/>
  <c r="BM279" i="335"/>
  <c r="BN304" i="335"/>
  <c r="DG319" i="335"/>
  <c r="DG370" i="335"/>
  <c r="DH370" i="335"/>
  <c r="DD294" i="335"/>
  <c r="DJ294" i="335"/>
  <c r="DD319" i="335"/>
  <c r="DD370" i="335"/>
  <c r="DE370" i="335" s="1"/>
  <c r="DE138" i="335"/>
  <c r="DB318" i="335"/>
  <c r="DG293" i="335"/>
  <c r="DA318" i="335"/>
  <c r="DA294" i="335"/>
  <c r="CV370" i="335"/>
  <c r="CU294" i="335"/>
  <c r="CU319" i="335"/>
  <c r="CW370" i="335"/>
  <c r="CY104" i="335"/>
  <c r="DB149" i="335"/>
  <c r="CW318" i="335"/>
  <c r="CS138" i="335"/>
  <c r="CS768" i="338" s="1"/>
  <c r="CS775" i="338" s="1"/>
  <c r="CL728" i="338"/>
  <c r="CL735" i="338" s="1"/>
  <c r="CR293" i="335"/>
  <c r="CL293" i="335"/>
  <c r="CJ610" i="338"/>
  <c r="CJ319" i="335"/>
  <c r="CP152" i="335"/>
  <c r="CJ152" i="335"/>
  <c r="CJ370" i="335"/>
  <c r="CR610" i="338"/>
  <c r="CR294" i="335"/>
  <c r="CX294" i="335"/>
  <c r="CR318" i="335"/>
  <c r="CQ14" i="335"/>
  <c r="CQ16" i="335" s="1"/>
  <c r="CW40" i="335"/>
  <c r="CQ41" i="335"/>
  <c r="CQ279" i="335"/>
  <c r="CQ304" i="335"/>
  <c r="CS39" i="335"/>
  <c r="CQ228" i="338"/>
  <c r="CR41" i="335"/>
  <c r="CR304" i="335"/>
  <c r="CL166" i="336"/>
  <c r="CL108" i="336"/>
  <c r="CO48" i="335"/>
  <c r="CI108" i="336"/>
  <c r="CL47" i="335"/>
  <c r="CM46" i="335"/>
  <c r="FP46" i="335"/>
  <c r="CL44" i="11"/>
  <c r="CL53" i="11" s="1"/>
  <c r="CK108" i="336"/>
  <c r="CL48" i="335"/>
  <c r="CL98" i="335"/>
  <c r="CO306" i="335"/>
  <c r="CQ53" i="11"/>
  <c r="BH47" i="335"/>
  <c r="BE48" i="335"/>
  <c r="AZ108" i="336"/>
  <c r="BB47" i="335"/>
  <c r="BB306" i="335"/>
  <c r="BW14" i="335"/>
  <c r="BW228" i="338"/>
  <c r="BW41" i="335"/>
  <c r="CF14" i="335"/>
  <c r="CF172" i="338" s="1"/>
  <c r="CF304" i="335"/>
  <c r="CL40" i="335"/>
  <c r="CG39" i="335"/>
  <c r="CF723" i="338"/>
  <c r="CF721" i="338" s="1"/>
  <c r="CF734" i="338" s="1"/>
  <c r="BZ87" i="335"/>
  <c r="BZ166" i="336"/>
  <c r="BZ108" i="336"/>
  <c r="CC48" i="335"/>
  <c r="CA46" i="335"/>
  <c r="BY164" i="336"/>
  <c r="BZ47" i="335"/>
  <c r="CF47" i="335"/>
  <c r="BZ44" i="11"/>
  <c r="BX108" i="336"/>
  <c r="BZ98" i="335"/>
  <c r="CC306" i="335"/>
  <c r="CO152" i="335"/>
  <c r="CI294" i="335"/>
  <c r="CI610" i="338"/>
  <c r="CO294" i="335"/>
  <c r="CI319" i="335"/>
  <c r="CI304" i="335"/>
  <c r="CI228" i="338"/>
  <c r="CO279" i="335"/>
  <c r="FP150" i="335"/>
  <c r="CK370" i="335"/>
  <c r="CK610" i="338"/>
  <c r="CK319" i="335"/>
  <c r="CL370" i="335"/>
  <c r="CM370" i="335" s="1"/>
  <c r="CP370" i="335"/>
  <c r="CK228" i="338"/>
  <c r="CK229" i="338" s="1"/>
  <c r="CK40" i="335"/>
  <c r="CO293" i="335"/>
  <c r="DJ160" i="335"/>
  <c r="DK161" i="335"/>
  <c r="DV320" i="335"/>
  <c r="DU611" i="338"/>
  <c r="DU155" i="335"/>
  <c r="DU295" i="335"/>
  <c r="DU320" i="335"/>
  <c r="DV610" i="338"/>
  <c r="DY319" i="335"/>
  <c r="DT318" i="335"/>
  <c r="DT149" i="335"/>
  <c r="DU318" i="335"/>
  <c r="DT293" i="335"/>
  <c r="DG136" i="335"/>
  <c r="DK135" i="335"/>
  <c r="DK136" i="335" s="1"/>
  <c r="DH136" i="335"/>
  <c r="DN611" i="338"/>
  <c r="DO320" i="335"/>
  <c r="DQ132" i="335"/>
  <c r="DQ133" i="335" s="1"/>
  <c r="DN131" i="336"/>
  <c r="DN133" i="335"/>
  <c r="DI610" i="338"/>
  <c r="DO152" i="335"/>
  <c r="DO294" i="335"/>
  <c r="DI152" i="335"/>
  <c r="DJ319" i="335"/>
  <c r="DJ370" i="335"/>
  <c r="DK370" i="335" s="1"/>
  <c r="DU293" i="335"/>
  <c r="DO318" i="335"/>
  <c r="DJ136" i="335"/>
  <c r="DV155" i="335"/>
  <c r="DV295" i="335"/>
  <c r="DP320" i="335"/>
  <c r="DS320" i="335"/>
  <c r="DP611" i="338"/>
  <c r="DP131" i="336"/>
  <c r="DP133" i="335"/>
  <c r="DM152" i="335"/>
  <c r="DM294" i="335"/>
  <c r="DM319" i="335"/>
  <c r="DM370" i="335"/>
  <c r="DN370" i="335"/>
  <c r="DM610" i="338"/>
  <c r="DB306" i="335"/>
  <c r="DU281" i="335"/>
  <c r="DG281" i="335"/>
  <c r="DA281" i="335"/>
  <c r="DU133" i="335"/>
  <c r="DU98" i="335"/>
  <c r="DA98" i="335"/>
  <c r="DB48" i="335"/>
  <c r="DV62" i="335"/>
  <c r="CW108" i="336"/>
  <c r="DU44" i="11"/>
  <c r="DU53" i="11" s="1"/>
  <c r="DA44" i="11"/>
  <c r="DU130" i="335"/>
  <c r="DU284" i="335"/>
  <c r="EA283" i="335"/>
  <c r="DV306" i="335"/>
  <c r="DV69" i="335"/>
  <c r="DV48" i="335"/>
  <c r="DA108" i="336"/>
  <c r="DU100" i="338"/>
  <c r="DU108" i="338" s="1"/>
  <c r="DA166" i="336"/>
  <c r="BO39" i="335"/>
  <c r="CV149" i="335"/>
  <c r="DV319" i="335"/>
  <c r="DQ138" i="335"/>
  <c r="DQ768" i="338" s="1"/>
  <c r="DQ769" i="338" s="1"/>
  <c r="DP295" i="335"/>
  <c r="DP294" i="335"/>
  <c r="DO164" i="336"/>
  <c r="DU136" i="335"/>
  <c r="DU69" i="335"/>
  <c r="DU68" i="335"/>
  <c r="CX108" i="336"/>
  <c r="FR46" i="335"/>
  <c r="BX164" i="336"/>
  <c r="FO104" i="335"/>
  <c r="EH166" i="336"/>
  <c r="EN167" i="336" s="1"/>
  <c r="DE104" i="335"/>
  <c r="DE743" i="338" s="1"/>
  <c r="CL318" i="335"/>
  <c r="DS293" i="335"/>
  <c r="AM191" i="335"/>
  <c r="AQ223" i="335"/>
  <c r="AQ191" i="335" s="1"/>
  <c r="AG191" i="335"/>
  <c r="AG225" i="335"/>
  <c r="AC321" i="335"/>
  <c r="W321" i="335"/>
  <c r="BY143" i="11"/>
  <c r="DV370" i="335"/>
  <c r="DW370" i="335" s="1"/>
  <c r="DP370" i="335"/>
  <c r="DQ370" i="335" s="1"/>
  <c r="CX370" i="335"/>
  <c r="CY370" i="335" s="1"/>
  <c r="CR370" i="335"/>
  <c r="CS370" i="335" s="1"/>
  <c r="CU345" i="335"/>
  <c r="CU329" i="335"/>
  <c r="DI320" i="335"/>
  <c r="DC320" i="335"/>
  <c r="CW320" i="335"/>
  <c r="CQ320" i="335"/>
  <c r="DU319" i="335"/>
  <c r="DO319" i="335"/>
  <c r="CQ319" i="335"/>
  <c r="DI318" i="335"/>
  <c r="CQ318" i="335"/>
  <c r="CK318" i="335"/>
  <c r="DT306" i="335"/>
  <c r="DN306" i="335"/>
  <c r="CO304" i="335"/>
  <c r="BY304" i="335"/>
  <c r="BL304" i="335"/>
  <c r="DG295" i="335"/>
  <c r="DM293" i="335"/>
  <c r="DD293" i="335"/>
  <c r="CJ293" i="335"/>
  <c r="DM155" i="335"/>
  <c r="DB155" i="335"/>
  <c r="DN152" i="335"/>
  <c r="DD149" i="335"/>
  <c r="CU149" i="335"/>
  <c r="CI149" i="335"/>
  <c r="CU148" i="335"/>
  <c r="DO48" i="335"/>
  <c r="CK41" i="335"/>
  <c r="BY41" i="335"/>
  <c r="BQ41" i="335"/>
  <c r="CJ40" i="335"/>
  <c r="BZ40" i="335"/>
  <c r="DJ108" i="336"/>
  <c r="CM138" i="335"/>
  <c r="CM768" i="338" s="1"/>
  <c r="CP611" i="338"/>
  <c r="BZ228" i="338"/>
  <c r="BZ230" i="338" s="1"/>
  <c r="DT44" i="11"/>
  <c r="DN44" i="11"/>
  <c r="DN53" i="11" s="1"/>
  <c r="DE287" i="335"/>
  <c r="FW150" i="335"/>
  <c r="EE168" i="336"/>
  <c r="DC370" i="335"/>
  <c r="CQ370" i="335"/>
  <c r="DH320" i="335"/>
  <c r="DB320" i="335"/>
  <c r="CP320" i="335"/>
  <c r="DN319" i="335"/>
  <c r="DN318" i="335"/>
  <c r="CV318" i="335"/>
  <c r="CP318" i="335"/>
  <c r="CJ318" i="335"/>
  <c r="CU306" i="335"/>
  <c r="BE306" i="335"/>
  <c r="CL304" i="335"/>
  <c r="BX304" i="335"/>
  <c r="BQ304" i="335"/>
  <c r="CL295" i="335"/>
  <c r="CF295" i="335"/>
  <c r="DV294" i="335"/>
  <c r="DJ293" i="335"/>
  <c r="DA293" i="335"/>
  <c r="CP293" i="335"/>
  <c r="CI293" i="335"/>
  <c r="BB281" i="335"/>
  <c r="CR279" i="335"/>
  <c r="CL279" i="335"/>
  <c r="BZ279" i="335"/>
  <c r="BL279" i="335"/>
  <c r="FO180" i="335"/>
  <c r="CL155" i="335"/>
  <c r="CF155" i="335"/>
  <c r="CQ152" i="335"/>
  <c r="CP149" i="335"/>
  <c r="FP147" i="335"/>
  <c r="FP138" i="335"/>
  <c r="DC136" i="335"/>
  <c r="DE135" i="335"/>
  <c r="DE136" i="335" s="1"/>
  <c r="FQ104" i="335"/>
  <c r="BB98" i="335"/>
  <c r="DU48" i="335"/>
  <c r="CJ41" i="335"/>
  <c r="BX41" i="335"/>
  <c r="CP40" i="335"/>
  <c r="CF40" i="335"/>
  <c r="BW40" i="335"/>
  <c r="BL40" i="335"/>
  <c r="BB108" i="336"/>
  <c r="CX610" i="338"/>
  <c r="CQ610" i="338"/>
  <c r="BL228" i="338"/>
  <c r="CG153" i="335"/>
  <c r="CM39" i="335"/>
  <c r="CM723" i="338" s="1"/>
  <c r="BL14" i="335"/>
  <c r="BL172" i="338" s="1"/>
  <c r="DY370" i="335"/>
  <c r="DS370" i="335"/>
  <c r="DA370" i="335"/>
  <c r="CU370" i="335"/>
  <c r="DJ320" i="335"/>
  <c r="CX320" i="335"/>
  <c r="CF320" i="335"/>
  <c r="DP319" i="335"/>
  <c r="CX319" i="335"/>
  <c r="CR319" i="335"/>
  <c r="DJ318" i="335"/>
  <c r="DD318" i="335"/>
  <c r="DU306" i="335"/>
  <c r="CJ304" i="335"/>
  <c r="BZ304" i="335"/>
  <c r="BM304" i="335"/>
  <c r="CV295" i="335"/>
  <c r="CP295" i="335"/>
  <c r="CW294" i="335"/>
  <c r="CQ294" i="335"/>
  <c r="CU293" i="335"/>
  <c r="CP279" i="335"/>
  <c r="CF279" i="335"/>
  <c r="BW279" i="335"/>
  <c r="AQ176" i="335"/>
  <c r="DC155" i="335"/>
  <c r="CV155" i="335"/>
  <c r="CW152" i="335"/>
  <c r="CJ149" i="335"/>
  <c r="DQ135" i="335"/>
  <c r="DQ136" i="335" s="1"/>
  <c r="BB48" i="335"/>
  <c r="CL41" i="335"/>
  <c r="BZ41" i="335"/>
  <c r="BL41" i="335"/>
  <c r="CR40" i="335"/>
  <c r="DP108" i="336"/>
  <c r="CR108" i="336"/>
  <c r="CW611" i="338"/>
  <c r="CJ228" i="338"/>
  <c r="DB48" i="11"/>
  <c r="DK104" i="335"/>
  <c r="DK743" i="338" s="1"/>
  <c r="DQ104" i="335"/>
  <c r="FO138" i="335"/>
  <c r="EG131" i="336"/>
  <c r="FR104" i="335"/>
  <c r="BY160" i="335"/>
  <c r="CA164" i="335"/>
  <c r="J191" i="335"/>
  <c r="J224" i="335"/>
  <c r="J225" i="335" s="1"/>
  <c r="F191" i="335"/>
  <c r="F224" i="335"/>
  <c r="F225" i="335" s="1"/>
  <c r="CF152" i="335"/>
  <c r="CL152" i="335"/>
  <c r="CE294" i="335"/>
  <c r="CK294" i="335"/>
  <c r="FO150" i="335"/>
  <c r="CE152" i="335"/>
  <c r="CK152" i="335"/>
  <c r="CK176" i="335"/>
  <c r="CK214" i="335" s="1"/>
  <c r="CM180" i="335"/>
  <c r="CK293" i="335"/>
  <c r="CK149" i="335"/>
  <c r="DY131" i="336"/>
  <c r="DY129" i="335"/>
  <c r="DU610" i="338"/>
  <c r="DU294" i="335"/>
  <c r="DU152" i="335"/>
  <c r="DH611" i="338"/>
  <c r="DH155" i="335"/>
  <c r="DN155" i="335"/>
  <c r="DH295" i="335"/>
  <c r="DN295" i="335"/>
  <c r="DH133" i="335"/>
  <c r="DH131" i="336"/>
  <c r="DK132" i="335"/>
  <c r="DN610" i="338"/>
  <c r="DN294" i="335"/>
  <c r="DT294" i="335"/>
  <c r="DI293" i="335"/>
  <c r="DO293" i="335"/>
  <c r="DI149" i="335"/>
  <c r="DO149" i="335"/>
  <c r="DJ155" i="335"/>
  <c r="DP155" i="335"/>
  <c r="DP152" i="335"/>
  <c r="DV152" i="335"/>
  <c r="DM149" i="335"/>
  <c r="DS149" i="335"/>
  <c r="CU14" i="335"/>
  <c r="CU172" i="338" s="1"/>
  <c r="DA40" i="335"/>
  <c r="FQ39" i="335"/>
  <c r="CU40" i="335"/>
  <c r="CV41" i="335"/>
  <c r="CU279" i="335"/>
  <c r="DA279" i="335"/>
  <c r="CV304" i="335"/>
  <c r="CU228" i="338"/>
  <c r="DA229" i="338" s="1"/>
  <c r="CR166" i="336"/>
  <c r="CR44" i="11"/>
  <c r="CX53" i="11" s="1"/>
  <c r="CP108" i="336"/>
  <c r="CU48" i="335"/>
  <c r="CQ108" i="336"/>
  <c r="CP164" i="336"/>
  <c r="CR47" i="335"/>
  <c r="CX47" i="335"/>
  <c r="CR48" i="335"/>
  <c r="CR98" i="335"/>
  <c r="FT46" i="335"/>
  <c r="DN108" i="336"/>
  <c r="DN166" i="336"/>
  <c r="DN168" i="336" s="1"/>
  <c r="DN281" i="335"/>
  <c r="DI164" i="336"/>
  <c r="DJ164" i="336"/>
  <c r="DI108" i="336"/>
  <c r="DN48" i="335"/>
  <c r="DN98" i="335"/>
  <c r="DM108" i="336"/>
  <c r="DT83" i="335"/>
  <c r="DT108" i="336"/>
  <c r="DT281" i="335"/>
  <c r="DO108" i="336"/>
  <c r="DT48" i="335"/>
  <c r="DT98" i="335"/>
  <c r="DS108" i="336"/>
  <c r="DY444" i="338"/>
  <c r="EE442" i="338" s="1"/>
  <c r="DY56" i="335"/>
  <c r="BS14" i="335"/>
  <c r="BS40" i="335"/>
  <c r="BY40" i="335"/>
  <c r="BS41" i="335"/>
  <c r="DW138" i="335"/>
  <c r="DW768" i="338" s="1"/>
  <c r="DT139" i="335"/>
  <c r="FU132" i="335"/>
  <c r="FU133" i="335" s="1"/>
  <c r="DS129" i="335"/>
  <c r="DS133" i="335"/>
  <c r="DS131" i="336"/>
  <c r="DW132" i="335"/>
  <c r="CD14" i="335"/>
  <c r="CD172" i="338" s="1"/>
  <c r="CE41" i="335"/>
  <c r="CD304" i="335"/>
  <c r="CD279" i="335"/>
  <c r="CJ279" i="335"/>
  <c r="CD40" i="335"/>
  <c r="CD41" i="335"/>
  <c r="BT108" i="336"/>
  <c r="BW108" i="336"/>
  <c r="BS164" i="336"/>
  <c r="BZ48" i="335"/>
  <c r="CC14" i="335"/>
  <c r="CC279" i="335"/>
  <c r="CI279" i="335"/>
  <c r="CC228" i="338"/>
  <c r="CC230" i="338" s="1"/>
  <c r="CC304" i="335"/>
  <c r="DU79" i="335"/>
  <c r="DU20" i="335"/>
  <c r="EA21" i="335" s="1"/>
  <c r="DU37" i="335"/>
  <c r="EE23" i="338"/>
  <c r="EE20" i="335"/>
  <c r="EE26" i="335"/>
  <c r="EF133" i="335"/>
  <c r="EF129" i="335"/>
  <c r="EF130" i="335" s="1"/>
  <c r="BZ160" i="335"/>
  <c r="CA165" i="335"/>
  <c r="AY47" i="335"/>
  <c r="BE47" i="335"/>
  <c r="AY48" i="335"/>
  <c r="AY98" i="335"/>
  <c r="AU108" i="336"/>
  <c r="AZ48" i="335"/>
  <c r="AY87" i="335"/>
  <c r="AZ311" i="335" s="1"/>
  <c r="AY281" i="335"/>
  <c r="BE281" i="335"/>
  <c r="AS72" i="335"/>
  <c r="AS253" i="338" s="1"/>
  <c r="AS254" i="338" s="1"/>
  <c r="AY289" i="335"/>
  <c r="DD152" i="335"/>
  <c r="DJ152" i="335"/>
  <c r="DC293" i="335"/>
  <c r="DC149" i="335"/>
  <c r="DA146" i="335"/>
  <c r="FR147" i="335"/>
  <c r="DA149" i="335"/>
  <c r="DG149" i="335"/>
  <c r="CU151" i="335"/>
  <c r="CU152" i="335"/>
  <c r="DA152" i="335"/>
  <c r="CU610" i="338"/>
  <c r="FQ150" i="335"/>
  <c r="CX611" i="338"/>
  <c r="FR153" i="335"/>
  <c r="CX155" i="335"/>
  <c r="DD155" i="335"/>
  <c r="FR138" i="335"/>
  <c r="CY138" i="335"/>
  <c r="FQ147" i="335"/>
  <c r="CV293" i="335"/>
  <c r="DB293" i="335"/>
  <c r="FQ138" i="335"/>
  <c r="CM184" i="335"/>
  <c r="FP184" i="335"/>
  <c r="CL149" i="335"/>
  <c r="CR149" i="335"/>
  <c r="CJ294" i="335"/>
  <c r="CP294" i="335"/>
  <c r="CR152" i="335"/>
  <c r="CX152" i="335"/>
  <c r="CQ293" i="335"/>
  <c r="CW293" i="335"/>
  <c r="CQ149" i="335"/>
  <c r="CW149" i="335"/>
  <c r="BR14" i="335"/>
  <c r="BU39" i="335"/>
  <c r="BU228" i="338" s="1"/>
  <c r="BR41" i="335"/>
  <c r="BR304" i="335"/>
  <c r="BR228" i="338"/>
  <c r="BR230" i="338" s="1"/>
  <c r="BR279" i="335"/>
  <c r="BX279" i="335"/>
  <c r="BR40" i="335"/>
  <c r="BX40" i="335"/>
  <c r="DT129" i="335"/>
  <c r="DT130" i="335" s="1"/>
  <c r="DU56" i="335"/>
  <c r="EB133" i="335"/>
  <c r="EB129" i="335"/>
  <c r="EB130" i="335" s="1"/>
  <c r="DS79" i="335"/>
  <c r="DS20" i="335"/>
  <c r="EL284" i="335"/>
  <c r="EF56" i="335"/>
  <c r="EH23" i="338"/>
  <c r="EH20" i="335"/>
  <c r="EH26" i="335"/>
  <c r="EH129" i="335"/>
  <c r="EH130" i="335" s="1"/>
  <c r="EK26" i="335"/>
  <c r="EK20" i="335"/>
  <c r="EL318" i="335"/>
  <c r="EL133" i="335"/>
  <c r="EL129" i="335"/>
  <c r="EL130" i="335" s="1"/>
  <c r="AC225" i="335"/>
  <c r="DO168" i="336"/>
  <c r="DI168" i="336"/>
  <c r="DY83" i="335"/>
  <c r="DT57" i="335"/>
  <c r="DT58" i="335"/>
  <c r="DZ131" i="336"/>
  <c r="DZ129" i="335"/>
  <c r="DZ130" i="335" s="1"/>
  <c r="EA131" i="336"/>
  <c r="EA129" i="335"/>
  <c r="EA130" i="335" s="1"/>
  <c r="EB14" i="335"/>
  <c r="EB26" i="335"/>
  <c r="EB20" i="335"/>
  <c r="EE83" i="335"/>
  <c r="EE56" i="335"/>
  <c r="EK57" i="335" s="1"/>
  <c r="EF23" i="338"/>
  <c r="EL21" i="338" s="1"/>
  <c r="EF26" i="335"/>
  <c r="EL27" i="335" s="1"/>
  <c r="EF20" i="335"/>
  <c r="EM284" i="335"/>
  <c r="EG56" i="335"/>
  <c r="EG130" i="335"/>
  <c r="EN284" i="335"/>
  <c r="EH56" i="335"/>
  <c r="EK58" i="335" s="1"/>
  <c r="EK104" i="335"/>
  <c r="EK141" i="335" s="1"/>
  <c r="EK609" i="338" s="1"/>
  <c r="EK612" i="338" s="1"/>
  <c r="EL58" i="335"/>
  <c r="EO56" i="335"/>
  <c r="EK131" i="336"/>
  <c r="EK129" i="335"/>
  <c r="EL319" i="335"/>
  <c r="DV131" i="336"/>
  <c r="DV129" i="335"/>
  <c r="DV130" i="335" s="1"/>
  <c r="DV56" i="335"/>
  <c r="DV57" i="335" s="1"/>
  <c r="DZ56" i="335"/>
  <c r="EA56" i="335"/>
  <c r="EB83" i="335"/>
  <c r="EB56" i="335"/>
  <c r="DT79" i="335"/>
  <c r="DT20" i="335"/>
  <c r="DY20" i="335"/>
  <c r="DY108" i="335" s="1"/>
  <c r="EE133" i="335"/>
  <c r="EE129" i="335"/>
  <c r="EG23" i="338"/>
  <c r="EG26" i="335"/>
  <c r="EG20" i="335"/>
  <c r="AZ133" i="11"/>
  <c r="DG69" i="11"/>
  <c r="AK133" i="11"/>
  <c r="CL133" i="11"/>
  <c r="BS70" i="11"/>
  <c r="I133" i="11"/>
  <c r="O69" i="11"/>
  <c r="R70" i="11"/>
  <c r="EE466" i="338"/>
  <c r="EK320" i="335"/>
  <c r="EK167" i="335"/>
  <c r="EH50" i="335"/>
  <c r="EG14" i="335"/>
  <c r="EG553" i="338" s="1"/>
  <c r="EG556" i="338" s="1"/>
  <c r="EG557" i="338" s="1"/>
  <c r="ET70" i="335"/>
  <c r="BE91" i="335"/>
  <c r="BE102" i="336" s="1"/>
  <c r="BE385" i="335" s="1"/>
  <c r="BU160" i="335"/>
  <c r="DH286" i="335"/>
  <c r="AK224" i="335"/>
  <c r="AQ295" i="335"/>
  <c r="DU14" i="335"/>
  <c r="DZ95" i="3"/>
  <c r="DB85" i="3"/>
  <c r="EC70" i="3"/>
  <c r="EA85" i="3"/>
  <c r="DP95" i="3"/>
  <c r="DH95" i="3"/>
  <c r="CJ95" i="3"/>
  <c r="CK95" i="3"/>
  <c r="E41" i="3"/>
  <c r="D105" i="3"/>
  <c r="CA75" i="3"/>
  <c r="P32" i="3"/>
  <c r="E417" i="338"/>
  <c r="DQ417" i="338"/>
  <c r="BL24" i="3"/>
  <c r="BL9" i="3"/>
  <c r="BW167" i="336"/>
  <c r="EZ70" i="11"/>
  <c r="CU425" i="338"/>
  <c r="DA424" i="338"/>
  <c r="EF382" i="338"/>
  <c r="CA382" i="338"/>
  <c r="EF356" i="335"/>
  <c r="CJ54" i="11"/>
  <c r="CO480" i="338"/>
  <c r="CU479" i="338" s="1"/>
  <c r="DB239" i="335"/>
  <c r="Y133" i="11"/>
  <c r="BF173" i="338"/>
  <c r="CQ87" i="335"/>
  <c r="EI18" i="335"/>
  <c r="CV311" i="335"/>
  <c r="BX89" i="335"/>
  <c r="E150" i="335"/>
  <c r="E151" i="335" s="1"/>
  <c r="DI160" i="336"/>
  <c r="H148" i="335"/>
  <c r="BL70" i="11"/>
  <c r="EK70" i="11"/>
  <c r="DI52" i="335"/>
  <c r="DO53" i="335" s="1"/>
  <c r="BH105" i="335"/>
  <c r="BF105" i="335"/>
  <c r="BH16" i="335"/>
  <c r="Y290" i="335"/>
  <c r="DG105" i="335"/>
  <c r="DB43" i="11"/>
  <c r="DM480" i="338"/>
  <c r="DS478" i="338" s="1"/>
  <c r="W328" i="335"/>
  <c r="CO160" i="336"/>
  <c r="AW281" i="335"/>
  <c r="DO278" i="335"/>
  <c r="EC18" i="335"/>
  <c r="BY103" i="336"/>
  <c r="BY413" i="338" s="1"/>
  <c r="E116" i="336"/>
  <c r="X123" i="336"/>
  <c r="Y123" i="336" s="1"/>
  <c r="DE165" i="335"/>
  <c r="G133" i="11"/>
  <c r="DM70" i="11"/>
  <c r="BG50" i="335"/>
  <c r="CO133" i="11"/>
  <c r="DB105" i="335"/>
  <c r="FA382" i="338"/>
  <c r="H143" i="335"/>
  <c r="CO52" i="335"/>
  <c r="CP303" i="335"/>
  <c r="R328" i="335"/>
  <c r="AK293" i="335"/>
  <c r="AZ278" i="335"/>
  <c r="EK69" i="11"/>
  <c r="DI480" i="338"/>
  <c r="DO478" i="338" s="1"/>
  <c r="E365" i="335"/>
  <c r="E401" i="338" s="1"/>
  <c r="CC48" i="11"/>
  <c r="DQ284" i="335"/>
  <c r="AD70" i="11"/>
  <c r="EA133" i="11"/>
  <c r="K133" i="11"/>
  <c r="E328" i="335"/>
  <c r="H111" i="336"/>
  <c r="DM9" i="338"/>
  <c r="EE475" i="338"/>
  <c r="DW646" i="338"/>
  <c r="EG474" i="338"/>
  <c r="EF572" i="338"/>
  <c r="BW168" i="336"/>
  <c r="BW56" i="11"/>
  <c r="CE143" i="11"/>
  <c r="DY549" i="338"/>
  <c r="CY382" i="338"/>
  <c r="DZ382" i="338"/>
  <c r="BQ292" i="336"/>
  <c r="BR292" i="336" s="1"/>
  <c r="BW15" i="335"/>
  <c r="DO356" i="335"/>
  <c r="DY309" i="335"/>
  <c r="EA83" i="335"/>
  <c r="EG84" i="335" s="1"/>
  <c r="DV139" i="335"/>
  <c r="EB139" i="335"/>
  <c r="DZ127" i="335"/>
  <c r="EZ17" i="335"/>
  <c r="EZ172" i="338" s="1"/>
  <c r="EU17" i="335"/>
  <c r="EU172" i="338" s="1"/>
  <c r="DQ147" i="335"/>
  <c r="ES70" i="335"/>
  <c r="ER70" i="335"/>
  <c r="FW153" i="335"/>
  <c r="DV127" i="335"/>
  <c r="DY127" i="335"/>
  <c r="EF127" i="335"/>
  <c r="EH127" i="335"/>
  <c r="EK124" i="335"/>
  <c r="ER293" i="335"/>
  <c r="ER149" i="335"/>
  <c r="DV79" i="335"/>
  <c r="EA127" i="335"/>
  <c r="ER152" i="335"/>
  <c r="ER294" i="335"/>
  <c r="DV356" i="335"/>
  <c r="DT356" i="335"/>
  <c r="DP356" i="335"/>
  <c r="CP141" i="335"/>
  <c r="EG127" i="335"/>
  <c r="ER155" i="335"/>
  <c r="ER295" i="335"/>
  <c r="DQ356" i="335"/>
  <c r="DQ323" i="338" s="1"/>
  <c r="AJ296" i="335"/>
  <c r="AV103" i="336"/>
  <c r="AV413" i="338" s="1"/>
  <c r="AW413" i="338" s="1"/>
  <c r="BT103" i="336"/>
  <c r="BT413" i="338" s="1"/>
  <c r="BU413" i="338" s="1"/>
  <c r="DA286" i="335"/>
  <c r="BI47" i="335"/>
  <c r="DV228" i="338"/>
  <c r="DZ229" i="335"/>
  <c r="DZ209" i="336" s="1"/>
  <c r="EA228" i="335"/>
  <c r="EA229" i="335" s="1"/>
  <c r="EA209" i="336" s="1"/>
  <c r="CY191" i="335"/>
  <c r="BC777" i="338"/>
  <c r="BC778" i="338" s="1"/>
  <c r="BC295" i="335"/>
  <c r="BC611" i="338"/>
  <c r="BC167" i="335"/>
  <c r="BI155" i="335"/>
  <c r="DK44" i="11"/>
  <c r="AT317" i="335"/>
  <c r="AW141" i="335"/>
  <c r="AY321" i="335"/>
  <c r="AY103" i="336"/>
  <c r="AY413" i="338" s="1"/>
  <c r="AY316" i="338"/>
  <c r="BF321" i="335"/>
  <c r="BF296" i="335"/>
  <c r="BL296" i="335"/>
  <c r="BM317" i="335"/>
  <c r="BS292" i="335"/>
  <c r="BM103" i="336"/>
  <c r="BM413" i="338" s="1"/>
  <c r="CX161" i="336"/>
  <c r="EM167" i="338"/>
  <c r="CG176" i="335"/>
  <c r="BO610" i="338"/>
  <c r="BK367" i="335"/>
  <c r="BC723" i="338"/>
  <c r="BC724" i="338" s="1"/>
  <c r="BC279" i="335"/>
  <c r="BL609" i="338"/>
  <c r="BL612" i="338" s="1"/>
  <c r="BL613" i="338" s="1"/>
  <c r="BA296" i="335"/>
  <c r="AU103" i="336"/>
  <c r="AU413" i="338" s="1"/>
  <c r="BB103" i="336"/>
  <c r="BB413" i="338" s="1"/>
  <c r="BC413" i="338" s="1"/>
  <c r="BC141" i="335"/>
  <c r="BH367" i="335"/>
  <c r="BI367" i="335" s="1"/>
  <c r="BH366" i="335"/>
  <c r="BH119" i="336" s="1"/>
  <c r="BI119" i="336" s="1"/>
  <c r="BE103" i="336"/>
  <c r="BE413" i="338" s="1"/>
  <c r="BE321" i="335"/>
  <c r="BO141" i="335"/>
  <c r="BK316" i="338"/>
  <c r="BK317" i="335"/>
  <c r="BK292" i="335"/>
  <c r="BS103" i="336"/>
  <c r="BS413" i="338" s="1"/>
  <c r="BS321" i="335"/>
  <c r="BR296" i="335"/>
  <c r="BR321" i="335"/>
  <c r="BR103" i="336"/>
  <c r="BR413" i="338" s="1"/>
  <c r="CD366" i="335"/>
  <c r="CD116" i="336" s="1"/>
  <c r="BZ296" i="335"/>
  <c r="BZ316" i="338"/>
  <c r="CD87" i="335"/>
  <c r="CG75" i="335"/>
  <c r="CG48" i="11" s="1"/>
  <c r="CD48" i="11"/>
  <c r="CI87" i="335"/>
  <c r="CI48" i="11"/>
  <c r="CI139" i="335"/>
  <c r="CP87" i="335"/>
  <c r="CP48" i="11"/>
  <c r="CP139" i="335"/>
  <c r="FR75" i="335"/>
  <c r="DA48" i="11"/>
  <c r="DA87" i="335"/>
  <c r="EN425" i="338"/>
  <c r="EN550" i="338"/>
  <c r="DG77" i="335"/>
  <c r="DG286" i="335"/>
  <c r="DH77" i="335"/>
  <c r="CU179" i="335"/>
  <c r="CV179" i="335" s="1"/>
  <c r="FQ179" i="335" s="1"/>
  <c r="CS179" i="335"/>
  <c r="BK321" i="335"/>
  <c r="BE316" i="338"/>
  <c r="FS136" i="335"/>
  <c r="BR168" i="335"/>
  <c r="DH160" i="336"/>
  <c r="EF474" i="338"/>
  <c r="BL366" i="335"/>
  <c r="BL118" i="336" s="1"/>
  <c r="BF103" i="336"/>
  <c r="BF413" i="338" s="1"/>
  <c r="BB367" i="335"/>
  <c r="BC367" i="335" s="1"/>
  <c r="AU317" i="335"/>
  <c r="AV321" i="335"/>
  <c r="AO286" i="335"/>
  <c r="AJ89" i="335"/>
  <c r="AI96" i="335"/>
  <c r="AO88" i="335"/>
  <c r="AJ311" i="335"/>
  <c r="AC96" i="335"/>
  <c r="AD89" i="335"/>
  <c r="AD311" i="335"/>
  <c r="BO281" i="335"/>
  <c r="CO239" i="335"/>
  <c r="CS165" i="335"/>
  <c r="DQ723" i="338"/>
  <c r="DQ724" i="338" s="1"/>
  <c r="DQ279" i="335"/>
  <c r="DQ40" i="338"/>
  <c r="DQ228" i="338"/>
  <c r="DQ229" i="338" s="1"/>
  <c r="EI30" i="335"/>
  <c r="EC30" i="335"/>
  <c r="BU149" i="335"/>
  <c r="EM180" i="335"/>
  <c r="EN180" i="335" s="1"/>
  <c r="FX180" i="335"/>
  <c r="BU152" i="335"/>
  <c r="BU294" i="335"/>
  <c r="BO754" i="338"/>
  <c r="BO763" i="338" s="1"/>
  <c r="AS9" i="338"/>
  <c r="AS12" i="338" s="1"/>
  <c r="AY278" i="335"/>
  <c r="BA9" i="338"/>
  <c r="BG278" i="335"/>
  <c r="BG103" i="336"/>
  <c r="BG413" i="338" s="1"/>
  <c r="BM296" i="335"/>
  <c r="BG321" i="335"/>
  <c r="BG367" i="335"/>
  <c r="BG366" i="335"/>
  <c r="BG119" i="336" s="1"/>
  <c r="BT292" i="335"/>
  <c r="BN317" i="335"/>
  <c r="BN103" i="336"/>
  <c r="BL317" i="335"/>
  <c r="BR292" i="335"/>
  <c r="BT367" i="335"/>
  <c r="BU367" i="335" s="1"/>
  <c r="BT321" i="335"/>
  <c r="BQ103" i="336"/>
  <c r="BQ413" i="338" s="1"/>
  <c r="BQ367" i="335"/>
  <c r="CX9" i="338"/>
  <c r="CX52" i="335"/>
  <c r="CX105" i="335"/>
  <c r="DA303" i="335"/>
  <c r="DG550" i="338"/>
  <c r="DG425" i="338"/>
  <c r="DB425" i="338"/>
  <c r="DB382" i="338"/>
  <c r="DD9" i="338"/>
  <c r="DD278" i="335"/>
  <c r="DD15" i="335"/>
  <c r="FW179" i="335"/>
  <c r="EB176" i="335"/>
  <c r="EB214" i="335" s="1"/>
  <c r="DN173" i="338"/>
  <c r="DH330" i="338"/>
  <c r="BU610" i="338"/>
  <c r="BT610" i="338" s="1"/>
  <c r="CA294" i="335"/>
  <c r="BQ316" i="338"/>
  <c r="EM472" i="338"/>
  <c r="CO160" i="335"/>
  <c r="CR176" i="335"/>
  <c r="CR214" i="335" s="1"/>
  <c r="CX303" i="335"/>
  <c r="AZ366" i="335"/>
  <c r="AZ119" i="336" s="1"/>
  <c r="BU728" i="338"/>
  <c r="BU729" i="338" s="1"/>
  <c r="BI295" i="335"/>
  <c r="BC155" i="335"/>
  <c r="BE296" i="335"/>
  <c r="DG139" i="335"/>
  <c r="R112" i="336"/>
  <c r="R113" i="336"/>
  <c r="S113" i="336" s="1"/>
  <c r="AS296" i="335"/>
  <c r="AO292" i="335"/>
  <c r="AH366" i="335"/>
  <c r="S214" i="335"/>
  <c r="BT168" i="335"/>
  <c r="DG48" i="11"/>
  <c r="F154" i="335"/>
  <c r="F119" i="336"/>
  <c r="F328" i="335"/>
  <c r="F143" i="335"/>
  <c r="F15" i="11"/>
  <c r="F118" i="336"/>
  <c r="F99" i="335"/>
  <c r="F345" i="335"/>
  <c r="F113" i="336"/>
  <c r="F123" i="336"/>
  <c r="F148" i="335"/>
  <c r="F346" i="335"/>
  <c r="F112" i="336"/>
  <c r="I148" i="335"/>
  <c r="I116" i="336"/>
  <c r="I112" i="336"/>
  <c r="I145" i="336"/>
  <c r="I151" i="335"/>
  <c r="I111" i="336"/>
  <c r="I154" i="335"/>
  <c r="I15" i="11"/>
  <c r="I37" i="11" s="1"/>
  <c r="I119" i="336"/>
  <c r="J290" i="335"/>
  <c r="I113" i="336"/>
  <c r="Q133" i="11"/>
  <c r="Q70" i="11"/>
  <c r="AG132" i="11"/>
  <c r="AG69" i="11"/>
  <c r="EC117" i="335"/>
  <c r="R392" i="335"/>
  <c r="BK609" i="338"/>
  <c r="BS168" i="335"/>
  <c r="FX18" i="335"/>
  <c r="DK100" i="338"/>
  <c r="DK99" i="338" s="1"/>
  <c r="BM609" i="338"/>
  <c r="BM612" i="338" s="1"/>
  <c r="BM613" i="338" s="1"/>
  <c r="BQ168" i="335"/>
  <c r="BS316" i="338"/>
  <c r="BM316" i="338"/>
  <c r="BG316" i="338"/>
  <c r="BU220" i="338"/>
  <c r="DE127" i="336"/>
  <c r="BZ380" i="335"/>
  <c r="CA380" i="335" s="1"/>
  <c r="DG412" i="338"/>
  <c r="DG381" i="335" s="1"/>
  <c r="BI628" i="338"/>
  <c r="BY283" i="338"/>
  <c r="DA282" i="338"/>
  <c r="DA387" i="335" s="1"/>
  <c r="CY288" i="338"/>
  <c r="DY636" i="338"/>
  <c r="EC581" i="338"/>
  <c r="EC582" i="338" s="1"/>
  <c r="EG636" i="338"/>
  <c r="DO94" i="338"/>
  <c r="DO159" i="338" s="1"/>
  <c r="DQ159" i="338" s="1"/>
  <c r="BG387" i="335"/>
  <c r="EF283" i="338"/>
  <c r="DG391" i="335"/>
  <c r="BT605" i="338"/>
  <c r="EC165" i="335"/>
  <c r="EC464" i="335" s="1"/>
  <c r="AN144" i="336"/>
  <c r="AN382" i="335"/>
  <c r="BX85" i="3"/>
  <c r="W9" i="3"/>
  <c r="X9" i="3" s="1"/>
  <c r="Y9" i="3" s="1"/>
  <c r="BX382" i="335"/>
  <c r="DH144" i="336"/>
  <c r="AI83" i="3"/>
  <c r="AI382" i="335" s="1"/>
  <c r="R30" i="3"/>
  <c r="S30" i="3" s="1"/>
  <c r="BF24" i="3"/>
  <c r="BG24" i="3" s="1"/>
  <c r="EI84" i="3"/>
  <c r="P29" i="3"/>
  <c r="Q29" i="3" s="1"/>
  <c r="CC45" i="3"/>
  <c r="DE418" i="338"/>
  <c r="CG97" i="3"/>
  <c r="V36" i="3"/>
  <c r="BC65" i="3"/>
  <c r="AW66" i="3"/>
  <c r="CP382" i="335"/>
  <c r="DN144" i="336"/>
  <c r="DT144" i="336"/>
  <c r="AH382" i="335"/>
  <c r="EI63" i="3"/>
  <c r="CS63" i="3"/>
  <c r="CS384" i="335" s="1"/>
  <c r="CA63" i="3"/>
  <c r="CA384" i="335" s="1"/>
  <c r="BG63" i="3"/>
  <c r="BH63" i="3" s="1"/>
  <c r="BH384" i="335" s="1"/>
  <c r="AO63" i="3"/>
  <c r="AO384" i="335" s="1"/>
  <c r="AN12" i="3"/>
  <c r="J87" i="3"/>
  <c r="CG63" i="3"/>
  <c r="CG384" i="335" s="1"/>
  <c r="EZ32" i="3"/>
  <c r="FA32" i="3" s="1"/>
  <c r="DN33" i="3"/>
  <c r="DN45" i="3" s="1"/>
  <c r="DK400" i="338"/>
  <c r="DN84" i="3"/>
  <c r="DN85" i="3" s="1"/>
  <c r="DK75" i="3"/>
  <c r="BU74" i="3"/>
  <c r="EC66" i="3"/>
  <c r="BU65" i="3"/>
  <c r="CM40" i="338"/>
  <c r="FQ48" i="11"/>
  <c r="AO162" i="338"/>
  <c r="AM110" i="11"/>
  <c r="AY80" i="11"/>
  <c r="DD95" i="11"/>
  <c r="DD99" i="11" s="1"/>
  <c r="CX121" i="11"/>
  <c r="BO120" i="11"/>
  <c r="AE25" i="11"/>
  <c r="CV110" i="11"/>
  <c r="CV115" i="11" s="1"/>
  <c r="CS119" i="11"/>
  <c r="AO110" i="11"/>
  <c r="BU93" i="11"/>
  <c r="BS121" i="11"/>
  <c r="AK24" i="11"/>
  <c r="CD145" i="11"/>
  <c r="DQ78" i="11"/>
  <c r="DQ82" i="11" s="1"/>
  <c r="CK80" i="11"/>
  <c r="CK84" i="11"/>
  <c r="CK85" i="11" s="1"/>
  <c r="BI106" i="11"/>
  <c r="BI110" i="11" s="1"/>
  <c r="AE97" i="11"/>
  <c r="CM120" i="11"/>
  <c r="AA108" i="11"/>
  <c r="FQ46" i="11"/>
  <c r="AK119" i="11"/>
  <c r="AK127" i="11" s="1"/>
  <c r="BY80" i="11"/>
  <c r="CM109" i="11"/>
  <c r="BO76" i="11"/>
  <c r="BU11" i="335"/>
  <c r="AQ79" i="11"/>
  <c r="BO93" i="11"/>
  <c r="CE95" i="11"/>
  <c r="CE100" i="11"/>
  <c r="CS25" i="11"/>
  <c r="FR25" i="11" s="1"/>
  <c r="CM24" i="11"/>
  <c r="FQ24" i="11"/>
  <c r="CE121" i="11"/>
  <c r="DP361" i="335"/>
  <c r="DP360" i="335" s="1"/>
  <c r="BG361" i="335"/>
  <c r="BG360" i="335"/>
  <c r="DC359" i="335"/>
  <c r="CR145" i="11"/>
  <c r="AQ24" i="11"/>
  <c r="AQ78" i="11"/>
  <c r="CS120" i="11"/>
  <c r="AQ109" i="11"/>
  <c r="AQ91" i="11"/>
  <c r="AQ361" i="335"/>
  <c r="FQ45" i="11"/>
  <c r="BI24" i="11"/>
  <c r="AU123" i="11"/>
  <c r="DO80" i="11"/>
  <c r="DO84" i="11" s="1"/>
  <c r="AZ95" i="11"/>
  <c r="CA79" i="11"/>
  <c r="BR121" i="11"/>
  <c r="CS24" i="11"/>
  <c r="FR24" i="11" s="1"/>
  <c r="BL123" i="11"/>
  <c r="CY79" i="11"/>
  <c r="CY83" i="11" s="1"/>
  <c r="BU108" i="11"/>
  <c r="BI120" i="11"/>
  <c r="BI124" i="11"/>
  <c r="CM142" i="11"/>
  <c r="BN124" i="11"/>
  <c r="BO142" i="11"/>
  <c r="BG95" i="11"/>
  <c r="DU80" i="11"/>
  <c r="DU84" i="11" s="1"/>
  <c r="CW80" i="11"/>
  <c r="CW85" i="11" s="1"/>
  <c r="BT58" i="338"/>
  <c r="BT95" i="338"/>
  <c r="BR40" i="338"/>
  <c r="DP95" i="11"/>
  <c r="DP99" i="11"/>
  <c r="DJ361" i="335"/>
  <c r="CQ361" i="335"/>
  <c r="CQ360" i="335" s="1"/>
  <c r="CK361" i="335"/>
  <c r="CK360" i="335" s="1"/>
  <c r="BM361" i="335"/>
  <c r="BM360" i="335" s="1"/>
  <c r="AZ362" i="335"/>
  <c r="AZ360" i="335" s="1"/>
  <c r="BS359" i="335"/>
  <c r="BA58" i="11"/>
  <c r="AW94" i="11"/>
  <c r="CS109" i="11"/>
  <c r="AK25" i="11"/>
  <c r="CX362" i="335"/>
  <c r="CX360" i="335" s="1"/>
  <c r="DW24" i="11"/>
  <c r="DW30" i="11"/>
  <c r="CG142" i="11"/>
  <c r="AW58" i="11"/>
  <c r="AA112" i="11"/>
  <c r="CJ110" i="11"/>
  <c r="CJ115" i="11"/>
  <c r="BO144" i="11"/>
  <c r="BO78" i="11"/>
  <c r="DZ125" i="11"/>
  <c r="DZ129" i="11" s="1"/>
  <c r="BL121" i="11"/>
  <c r="BI140" i="11"/>
  <c r="BI145" i="11" s="1"/>
  <c r="DC121" i="11"/>
  <c r="AE91" i="11"/>
  <c r="EG565" i="338"/>
  <c r="CQ53" i="338"/>
  <c r="CM280" i="338"/>
  <c r="CM287" i="338" s="1"/>
  <c r="AC281" i="338"/>
  <c r="DY565" i="338"/>
  <c r="AO387" i="335"/>
  <c r="DS87" i="335"/>
  <c r="DS96" i="335" s="1"/>
  <c r="DO658" i="338"/>
  <c r="CF283" i="338"/>
  <c r="CG282" i="338"/>
  <c r="CG387" i="335"/>
  <c r="CF278" i="338"/>
  <c r="CG278" i="338" s="1"/>
  <c r="CG59" i="338"/>
  <c r="EE660" i="338"/>
  <c r="CQ126" i="338"/>
  <c r="CS126" i="338" s="1"/>
  <c r="Q281" i="338"/>
  <c r="W288" i="338" s="1"/>
  <c r="BS387" i="335"/>
  <c r="AU387" i="335"/>
  <c r="BY316" i="338"/>
  <c r="CQ658" i="338"/>
  <c r="EH283" i="338"/>
  <c r="DA609" i="338"/>
  <c r="DW49" i="338"/>
  <c r="DW10" i="338" s="1"/>
  <c r="CE628" i="338"/>
  <c r="CE11" i="338"/>
  <c r="EA628" i="338"/>
  <c r="DD556" i="338"/>
  <c r="DD557" i="338" s="1"/>
  <c r="CL281" i="338"/>
  <c r="CM281" i="338" s="1"/>
  <c r="CS288" i="338" s="1"/>
  <c r="DW628" i="338"/>
  <c r="CR320" i="338"/>
  <c r="CR391" i="335" s="1"/>
  <c r="V281" i="338"/>
  <c r="BY387" i="335"/>
  <c r="DI646" i="338"/>
  <c r="DV48" i="11"/>
  <c r="EB87" i="335"/>
  <c r="DM609" i="338"/>
  <c r="EH286" i="335"/>
  <c r="EB286" i="335"/>
  <c r="CI301" i="338"/>
  <c r="CS69" i="338"/>
  <c r="BX269" i="336"/>
  <c r="BY269" i="336" s="1"/>
  <c r="CW58" i="336"/>
  <c r="CW417" i="335" s="1"/>
  <c r="EM88" i="336"/>
  <c r="EM449" i="335" s="1"/>
  <c r="CL21" i="336"/>
  <c r="CM21" i="336" s="1"/>
  <c r="DS412" i="338"/>
  <c r="DS381" i="335" s="1"/>
  <c r="DM412" i="338"/>
  <c r="DM381" i="335" s="1"/>
  <c r="DA412" i="338"/>
  <c r="DA381" i="335" s="1"/>
  <c r="EK99" i="336"/>
  <c r="DP56" i="336"/>
  <c r="DP417" i="335" s="1"/>
  <c r="EH380" i="335"/>
  <c r="EI380" i="335" s="1"/>
  <c r="CF15" i="336"/>
  <c r="CF21" i="336" s="1"/>
  <c r="CG21" i="336" s="1"/>
  <c r="EI398" i="338"/>
  <c r="ES133" i="11"/>
  <c r="BO159" i="11"/>
  <c r="CG106" i="11"/>
  <c r="CG362" i="335" s="1"/>
  <c r="CY94" i="11"/>
  <c r="CY98" i="11" s="1"/>
  <c r="CA94" i="11"/>
  <c r="BC94" i="11"/>
  <c r="CA78" i="11"/>
  <c r="CA72" i="3"/>
  <c r="ES40" i="336"/>
  <c r="ES76" i="335"/>
  <c r="BU280" i="335"/>
  <c r="U364" i="335"/>
  <c r="BF142" i="11"/>
  <c r="EB89" i="11"/>
  <c r="EB93" i="11" s="1"/>
  <c r="EB97" i="11" s="1"/>
  <c r="CY43" i="335"/>
  <c r="W278" i="335"/>
  <c r="AB304" i="335"/>
  <c r="EN68" i="336"/>
  <c r="EN429" i="335" s="1"/>
  <c r="EB380" i="335"/>
  <c r="EC380" i="335" s="1"/>
  <c r="AO16" i="335"/>
  <c r="CP161" i="336"/>
  <c r="BB52" i="335"/>
  <c r="BE16" i="335"/>
  <c r="CP16" i="335"/>
  <c r="AC304" i="335"/>
  <c r="AO303" i="335"/>
  <c r="DC480" i="338"/>
  <c r="DI478" i="338" s="1"/>
  <c r="DJ9" i="338"/>
  <c r="DT304" i="335"/>
  <c r="FU39" i="335"/>
  <c r="FS14" i="335"/>
  <c r="DM50" i="335"/>
  <c r="DT279" i="335"/>
  <c r="DA105" i="335"/>
  <c r="AO52" i="335"/>
  <c r="AU16" i="335"/>
  <c r="DT119" i="11"/>
  <c r="CP105" i="335"/>
  <c r="DJ160" i="336"/>
  <c r="DG278" i="335"/>
  <c r="DC278" i="335"/>
  <c r="BB480" i="338"/>
  <c r="BH479" i="338" s="1"/>
  <c r="DA9" i="338"/>
  <c r="DA12" i="338" s="1"/>
  <c r="DO364" i="335"/>
  <c r="X9" i="338"/>
  <c r="DC105" i="335"/>
  <c r="DC52" i="335"/>
  <c r="AY364" i="335"/>
  <c r="FT14" i="335"/>
  <c r="AU278" i="335"/>
  <c r="DZ39" i="335"/>
  <c r="EF39" i="335" s="1"/>
  <c r="EF228" i="338" s="1"/>
  <c r="AT16" i="335"/>
  <c r="AO9" i="338"/>
  <c r="DA160" i="336"/>
  <c r="AP50" i="335"/>
  <c r="AI50" i="335"/>
  <c r="DT41" i="335"/>
  <c r="DI15" i="335"/>
  <c r="CP160" i="336"/>
  <c r="BF364" i="335"/>
  <c r="BG364" i="335"/>
  <c r="BB278" i="335"/>
  <c r="DT40" i="338"/>
  <c r="DT53" i="338" s="1"/>
  <c r="DA480" i="338"/>
  <c r="DG479" i="338" s="1"/>
  <c r="DD303" i="335"/>
  <c r="S14" i="335"/>
  <c r="S172" i="338" s="1"/>
  <c r="BB16" i="335"/>
  <c r="AH303" i="335"/>
  <c r="AI279" i="335"/>
  <c r="AO15" i="335"/>
  <c r="AO91" i="335"/>
  <c r="AO102" i="336" s="1"/>
  <c r="AO385" i="335" s="1"/>
  <c r="CM725" i="338"/>
  <c r="CM726" i="338" s="1"/>
  <c r="CP43" i="11"/>
  <c r="DA161" i="336"/>
  <c r="DA43" i="11"/>
  <c r="CP9" i="338"/>
  <c r="CP480" i="338"/>
  <c r="CV478" i="338" s="1"/>
  <c r="BE50" i="335"/>
  <c r="DJ52" i="335"/>
  <c r="CX162" i="336"/>
  <c r="DB16" i="335"/>
  <c r="BH278" i="335"/>
  <c r="DJ43" i="11"/>
  <c r="DP52" i="11" s="1"/>
  <c r="CW162" i="336"/>
  <c r="DV119" i="11"/>
  <c r="DQ40" i="335"/>
  <c r="DD52" i="335"/>
  <c r="DH9" i="338"/>
  <c r="DH12" i="338" s="1"/>
  <c r="DH105" i="335"/>
  <c r="DD16" i="335"/>
  <c r="BA16" i="335"/>
  <c r="FT40" i="335"/>
  <c r="AP16" i="335"/>
  <c r="BB364" i="335"/>
  <c r="BC364" i="335" s="1"/>
  <c r="DG50" i="335"/>
  <c r="AW14" i="335"/>
  <c r="AT50" i="335"/>
  <c r="DJ15" i="335"/>
  <c r="EF74" i="11"/>
  <c r="EF78" i="11" s="1"/>
  <c r="EF82" i="11" s="1"/>
  <c r="DC162" i="336"/>
  <c r="DD105" i="335"/>
  <c r="DA16" i="335"/>
  <c r="DU119" i="11"/>
  <c r="BA52" i="335"/>
  <c r="BA480" i="338"/>
  <c r="BB303" i="335"/>
  <c r="DE14" i="335"/>
  <c r="DE172" i="338" s="1"/>
  <c r="BC14" i="335"/>
  <c r="BC172" i="338" s="1"/>
  <c r="DH480" i="338"/>
  <c r="DN479" i="338" s="1"/>
  <c r="DZ89" i="11"/>
  <c r="DZ93" i="11" s="1"/>
  <c r="DZ97" i="11" s="1"/>
  <c r="CX480" i="338"/>
  <c r="DD479" i="338" s="1"/>
  <c r="CX330" i="338"/>
  <c r="DD480" i="338"/>
  <c r="DJ478" i="338" s="1"/>
  <c r="DH161" i="336"/>
  <c r="DD330" i="338"/>
  <c r="DJ173" i="338"/>
  <c r="DH241" i="338"/>
  <c r="DH52" i="335"/>
  <c r="DD160" i="336"/>
  <c r="BB50" i="335"/>
  <c r="AV364" i="335"/>
  <c r="AW364" i="335" s="1"/>
  <c r="DD43" i="11"/>
  <c r="CX43" i="11"/>
  <c r="AP9" i="338"/>
  <c r="AP12" i="338" s="1"/>
  <c r="DG162" i="336"/>
  <c r="AS52" i="335"/>
  <c r="FT43" i="335"/>
  <c r="DP278" i="335"/>
  <c r="AS162" i="11"/>
  <c r="AK164" i="11"/>
  <c r="BC49" i="11"/>
  <c r="AE49" i="11"/>
  <c r="CA95" i="11"/>
  <c r="CF360" i="335"/>
  <c r="BC124" i="11"/>
  <c r="BC108" i="11"/>
  <c r="BQ360" i="335"/>
  <c r="CG93" i="11"/>
  <c r="FP53" i="11" s="1"/>
  <c r="AW97" i="11"/>
  <c r="CM79" i="11"/>
  <c r="BC76" i="11"/>
  <c r="AE76" i="11"/>
  <c r="AE359" i="335" s="1"/>
  <c r="AK57" i="11"/>
  <c r="AQ144" i="11"/>
  <c r="BO140" i="11"/>
  <c r="AK140" i="11"/>
  <c r="DD575" i="338"/>
  <c r="DD576" i="338" s="1"/>
  <c r="DI648" i="338"/>
  <c r="DW670" i="338"/>
  <c r="CR600" i="338"/>
  <c r="CR601" i="338" s="1"/>
  <c r="DE159" i="338"/>
  <c r="DY581" i="338"/>
  <c r="DY582" i="338" s="1"/>
  <c r="EF581" i="338"/>
  <c r="EF582" i="338" s="1"/>
  <c r="AO14" i="3"/>
  <c r="AP14" i="3" s="1"/>
  <c r="AQ14" i="3" s="1"/>
  <c r="BU63" i="3"/>
  <c r="BU384" i="335" s="1"/>
  <c r="CY63" i="3"/>
  <c r="CY384" i="335" s="1"/>
  <c r="DK63" i="3"/>
  <c r="DK384" i="335" s="1"/>
  <c r="AT22" i="3"/>
  <c r="AU22" i="3" s="1"/>
  <c r="AV22" i="3" s="1"/>
  <c r="AW22" i="3" s="1"/>
  <c r="AZ38" i="3"/>
  <c r="DW73" i="3"/>
  <c r="DI45" i="3"/>
  <c r="BU82" i="3"/>
  <c r="L33" i="3"/>
  <c r="O99" i="3"/>
  <c r="O103" i="3" s="1"/>
  <c r="P101" i="3" s="1"/>
  <c r="CX95" i="3"/>
  <c r="CR95" i="3"/>
  <c r="DQ82" i="3"/>
  <c r="EC572" i="338"/>
  <c r="BI634" i="338"/>
  <c r="CD634" i="338"/>
  <c r="DY77" i="335"/>
  <c r="EC648" i="338"/>
  <c r="EC642" i="338"/>
  <c r="CV606" i="338"/>
  <c r="CV607" i="338" s="1"/>
  <c r="DB671" i="338" s="1"/>
  <c r="EH87" i="335"/>
  <c r="DQ390" i="335"/>
  <c r="EF642" i="338"/>
  <c r="DY286" i="335"/>
  <c r="DH670" i="338"/>
  <c r="DE320" i="338"/>
  <c r="DE391" i="335" s="1"/>
  <c r="CM64" i="338"/>
  <c r="CM11" i="338" s="1"/>
  <c r="EA572" i="338"/>
  <c r="BZ556" i="338"/>
  <c r="BZ557" i="338" s="1"/>
  <c r="BI670" i="338"/>
  <c r="EA646" i="338"/>
  <c r="CD606" i="338"/>
  <c r="CD607" i="338" s="1"/>
  <c r="CP664" i="338"/>
  <c r="DH658" i="338"/>
  <c r="CW218" i="338"/>
  <c r="DT559" i="338"/>
  <c r="DD391" i="335"/>
  <c r="DU640" i="338"/>
  <c r="CK10" i="338"/>
  <c r="DW640" i="338"/>
  <c r="EA559" i="338"/>
  <c r="DS660" i="338"/>
  <c r="BI664" i="338"/>
  <c r="EA634" i="338"/>
  <c r="EA640" i="338"/>
  <c r="DQ24" i="338"/>
  <c r="DQ33" i="338" s="1"/>
  <c r="BX664" i="338"/>
  <c r="CJ670" i="338"/>
  <c r="DB670" i="338"/>
  <c r="DN670" i="338"/>
  <c r="CV670" i="338"/>
  <c r="ER286" i="335"/>
  <c r="DN634" i="338"/>
  <c r="DW664" i="338"/>
  <c r="BI658" i="338"/>
  <c r="EA658" i="338"/>
  <c r="EA670" i="338"/>
  <c r="DB634" i="338"/>
  <c r="CD664" i="338"/>
  <c r="BR628" i="338"/>
  <c r="DW634" i="338"/>
  <c r="DN640" i="338"/>
  <c r="CO64" i="338"/>
  <c r="CO11" i="338" s="1"/>
  <c r="ES465" i="338"/>
  <c r="ES464" i="338"/>
  <c r="ER70" i="11"/>
  <c r="ER133" i="11"/>
  <c r="AW108" i="11"/>
  <c r="AQ106" i="11"/>
  <c r="AQ110" i="11" s="1"/>
  <c r="BH80" i="11"/>
  <c r="BB359" i="335"/>
  <c r="AE361" i="335"/>
  <c r="AK95" i="11"/>
  <c r="DE359" i="335"/>
  <c r="AS162" i="338"/>
  <c r="EI25" i="11"/>
  <c r="EI31" i="11" s="1"/>
  <c r="EI357" i="335"/>
  <c r="AS123" i="11"/>
  <c r="AW82" i="11"/>
  <c r="AW78" i="11"/>
  <c r="AP123" i="11"/>
  <c r="AJ123" i="11"/>
  <c r="CY95" i="11"/>
  <c r="CY99" i="11"/>
  <c r="AN110" i="11"/>
  <c r="AT110" i="11"/>
  <c r="AD123" i="11"/>
  <c r="AD127" i="11"/>
  <c r="BC53" i="11"/>
  <c r="DA95" i="11"/>
  <c r="AC106" i="11"/>
  <c r="AC362" i="335" s="1"/>
  <c r="AM162" i="11"/>
  <c r="AW24" i="11"/>
  <c r="CM108" i="11"/>
  <c r="FQ54" i="11" s="1"/>
  <c r="CI121" i="11"/>
  <c r="AM95" i="11"/>
  <c r="CU121" i="11"/>
  <c r="S24" i="11"/>
  <c r="CJ125" i="11"/>
  <c r="CJ130" i="11" s="1"/>
  <c r="CG119" i="11"/>
  <c r="CG40" i="338" s="1"/>
  <c r="AK79" i="11"/>
  <c r="BQ80" i="11"/>
  <c r="BE121" i="11"/>
  <c r="BE125" i="11" s="1"/>
  <c r="CG159" i="11"/>
  <c r="DM80" i="11"/>
  <c r="DM84" i="11" s="1"/>
  <c r="BQ95" i="11"/>
  <c r="CG120" i="11"/>
  <c r="BN110" i="11"/>
  <c r="BI159" i="11"/>
  <c r="CC121" i="11"/>
  <c r="CO121" i="11"/>
  <c r="DE24" i="11"/>
  <c r="DE30" i="11" s="1"/>
  <c r="CY76" i="11"/>
  <c r="AE159" i="11"/>
  <c r="EC25" i="11"/>
  <c r="EC31" i="11" s="1"/>
  <c r="AC119" i="11"/>
  <c r="BK121" i="11"/>
  <c r="AQ140" i="11"/>
  <c r="AW145" i="11" s="1"/>
  <c r="CS140" i="11"/>
  <c r="AW162" i="11"/>
  <c r="CA76" i="11"/>
  <c r="CA359" i="335" s="1"/>
  <c r="AW144" i="11"/>
  <c r="AK52" i="11"/>
  <c r="AK16" i="338" s="1"/>
  <c r="CC95" i="11"/>
  <c r="CC100" i="11"/>
  <c r="CS357" i="335"/>
  <c r="CY25" i="11"/>
  <c r="CA93" i="11"/>
  <c r="BL124" i="11"/>
  <c r="BE80" i="11"/>
  <c r="AC97" i="11"/>
  <c r="AV162" i="11"/>
  <c r="DN361" i="335"/>
  <c r="DN360" i="335" s="1"/>
  <c r="CL362" i="335"/>
  <c r="CL360" i="335"/>
  <c r="CI361" i="335"/>
  <c r="CI360" i="335" s="1"/>
  <c r="BK359" i="335"/>
  <c r="EC24" i="11"/>
  <c r="EC30" i="11" s="1"/>
  <c r="BC156" i="11"/>
  <c r="BI161" i="11" s="1"/>
  <c r="EI24" i="11"/>
  <c r="EI30" i="11" s="1"/>
  <c r="AS110" i="11"/>
  <c r="AG360" i="335"/>
  <c r="DM121" i="11"/>
  <c r="DS125" i="11" s="1"/>
  <c r="DS129" i="11" s="1"/>
  <c r="CF121" i="11"/>
  <c r="DG80" i="11"/>
  <c r="DG84" i="11" s="1"/>
  <c r="AK142" i="11"/>
  <c r="CU95" i="11"/>
  <c r="CU100" i="11" s="1"/>
  <c r="BI79" i="11"/>
  <c r="BI108" i="11"/>
  <c r="DA80" i="11"/>
  <c r="DA84" i="11" s="1"/>
  <c r="BC79" i="11"/>
  <c r="AQ142" i="11"/>
  <c r="EC26" i="11"/>
  <c r="EC32" i="11" s="1"/>
  <c r="CA361" i="335"/>
  <c r="AC93" i="11"/>
  <c r="AK154" i="11"/>
  <c r="AQ159" i="11"/>
  <c r="BU144" i="11"/>
  <c r="BU142" i="11"/>
  <c r="BI94" i="11"/>
  <c r="AE164" i="11"/>
  <c r="BU24" i="11"/>
  <c r="BT121" i="11"/>
  <c r="DT360" i="335"/>
  <c r="DC362" i="335"/>
  <c r="CU362" i="335"/>
  <c r="CU360" i="335" s="1"/>
  <c r="CP360" i="335"/>
  <c r="BT362" i="335"/>
  <c r="BT360" i="335" s="1"/>
  <c r="AQ355" i="335"/>
  <c r="AQ322" i="338" s="1"/>
  <c r="AN162" i="11"/>
  <c r="BH121" i="11"/>
  <c r="BH125" i="11" s="1"/>
  <c r="CY93" i="11"/>
  <c r="FS53" i="11" s="1"/>
  <c r="DB121" i="11"/>
  <c r="DB125" i="11" s="1"/>
  <c r="DB129" i="11" s="1"/>
  <c r="AC112" i="11"/>
  <c r="BH110" i="11"/>
  <c r="DW356" i="335"/>
  <c r="DW323" i="338" s="1"/>
  <c r="DN121" i="11"/>
  <c r="DT125" i="11" s="1"/>
  <c r="DT129" i="11" s="1"/>
  <c r="FP47" i="11"/>
  <c r="DM359" i="335"/>
  <c r="BT123" i="11"/>
  <c r="BT54" i="338" s="1"/>
  <c r="CY355" i="335"/>
  <c r="CY322" i="338"/>
  <c r="CG79" i="11"/>
  <c r="AC361" i="335"/>
  <c r="CM159" i="11"/>
  <c r="BU140" i="11"/>
  <c r="BU145" i="11" s="1"/>
  <c r="BK95" i="11"/>
  <c r="BR124" i="11"/>
  <c r="BR96" i="338"/>
  <c r="AJ159" i="11"/>
  <c r="DH95" i="11"/>
  <c r="DH99" i="11" s="1"/>
  <c r="AW106" i="11"/>
  <c r="BC110" i="11" s="1"/>
  <c r="CW356" i="335"/>
  <c r="BU293" i="335"/>
  <c r="DQ68" i="335"/>
  <c r="AY292" i="335"/>
  <c r="CA141" i="335"/>
  <c r="DK287" i="335"/>
  <c r="AY296" i="335"/>
  <c r="DS664" i="338"/>
  <c r="CR587" i="338"/>
  <c r="CR588" i="338" s="1"/>
  <c r="BT587" i="338"/>
  <c r="BT588" i="338" s="1"/>
  <c r="DP569" i="338"/>
  <c r="DP570" i="338" s="1"/>
  <c r="CX562" i="338"/>
  <c r="CX563" i="338" s="1"/>
  <c r="BK630" i="338"/>
  <c r="BI630" i="338"/>
  <c r="CR556" i="338"/>
  <c r="CR557" i="338" s="1"/>
  <c r="U289" i="338"/>
  <c r="CG287" i="338"/>
  <c r="BI287" i="338"/>
  <c r="AK287" i="338"/>
  <c r="BC286" i="338"/>
  <c r="CM225" i="338"/>
  <c r="CM222" i="338"/>
  <c r="CM220" i="338"/>
  <c r="CG215" i="338"/>
  <c r="DV580" i="338"/>
  <c r="EO10" i="338"/>
  <c r="DW159" i="338"/>
  <c r="EI159" i="338"/>
  <c r="DN11" i="338"/>
  <c r="EB575" i="338"/>
  <c r="EB576" i="338" s="1"/>
  <c r="EH569" i="338"/>
  <c r="EH570" i="338" s="1"/>
  <c r="BW664" i="338"/>
  <c r="BE562" i="338"/>
  <c r="BE563" i="338" s="1"/>
  <c r="BK636" i="338" s="1"/>
  <c r="DG640" i="338"/>
  <c r="DV562" i="338"/>
  <c r="DV563" i="338" s="1"/>
  <c r="BQ634" i="338"/>
  <c r="DT628" i="338"/>
  <c r="DC578" i="338"/>
  <c r="DG630" i="338"/>
  <c r="BH561" i="338"/>
  <c r="BH562" i="338" s="1"/>
  <c r="BH563" i="338" s="1"/>
  <c r="CU658" i="338"/>
  <c r="AZ387" i="335"/>
  <c r="CC664" i="338"/>
  <c r="CV636" i="338"/>
  <c r="DQ640" i="338"/>
  <c r="DS283" i="338"/>
  <c r="BO670" i="338"/>
  <c r="BN600" i="338"/>
  <c r="BN601" i="338" s="1"/>
  <c r="CR594" i="338"/>
  <c r="CR595" i="338" s="1"/>
  <c r="DD605" i="338"/>
  <c r="DD609" i="338" s="1"/>
  <c r="DD587" i="338"/>
  <c r="DD588" i="338" s="1"/>
  <c r="DP580" i="338"/>
  <c r="BT604" i="338"/>
  <c r="CF556" i="338"/>
  <c r="CF557" i="338" s="1"/>
  <c r="BH556" i="338"/>
  <c r="BH557" i="338" s="1"/>
  <c r="X289" i="338"/>
  <c r="BC287" i="338"/>
  <c r="BU286" i="338"/>
  <c r="Y286" i="338"/>
  <c r="DC648" i="338"/>
  <c r="BU387" i="335"/>
  <c r="U281" i="338"/>
  <c r="U288" i="338" s="1"/>
  <c r="BO628" i="338"/>
  <c r="CY670" i="338"/>
  <c r="CA670" i="338"/>
  <c r="EF301" i="338"/>
  <c r="DZ658" i="338"/>
  <c r="CK33" i="3"/>
  <c r="CL32" i="3"/>
  <c r="CK84" i="3"/>
  <c r="CK85" i="3" s="1"/>
  <c r="Y60" i="3"/>
  <c r="V382" i="335"/>
  <c r="AI63" i="3"/>
  <c r="BQ87" i="3"/>
  <c r="AZ12" i="3"/>
  <c r="AZ142" i="336" s="1"/>
  <c r="EB33" i="3"/>
  <c r="EC33" i="3" s="1"/>
  <c r="BX25" i="3"/>
  <c r="BX51" i="3" s="1"/>
  <c r="BY382" i="335"/>
  <c r="DI382" i="335"/>
  <c r="DU382" i="335"/>
  <c r="EC97" i="3"/>
  <c r="AB29" i="3"/>
  <c r="AC29" i="3" s="1"/>
  <c r="AD29" i="3" s="1"/>
  <c r="AE29" i="3" s="1"/>
  <c r="AM33" i="3"/>
  <c r="DH384" i="335"/>
  <c r="CV384" i="335"/>
  <c r="AZ382" i="335"/>
  <c r="CG83" i="3"/>
  <c r="CG382" i="335" s="1"/>
  <c r="CW382" i="335"/>
  <c r="EI92" i="3"/>
  <c r="U105" i="3"/>
  <c r="U106" i="3" s="1"/>
  <c r="DE63" i="3"/>
  <c r="DE384" i="335" s="1"/>
  <c r="BL31" i="3"/>
  <c r="W90" i="3"/>
  <c r="W36" i="3" s="1"/>
  <c r="BX64" i="3"/>
  <c r="BX180" i="336" s="1"/>
  <c r="BF30" i="3"/>
  <c r="BG30" i="3" s="1"/>
  <c r="BH30" i="3" s="1"/>
  <c r="BI30" i="3" s="1"/>
  <c r="CK144" i="336"/>
  <c r="L373" i="335"/>
  <c r="EO66" i="3"/>
  <c r="BL382" i="335"/>
  <c r="CD25" i="3"/>
  <c r="CD51" i="3" s="1"/>
  <c r="CY83" i="3"/>
  <c r="CY382" i="335" s="1"/>
  <c r="EI75" i="3"/>
  <c r="DQ25" i="3"/>
  <c r="DZ382" i="335"/>
  <c r="CM63" i="3"/>
  <c r="CM384" i="335" s="1"/>
  <c r="EI74" i="3"/>
  <c r="EC71" i="3"/>
  <c r="AO30" i="3"/>
  <c r="EX376" i="335"/>
  <c r="EG412" i="338"/>
  <c r="EG381" i="335" s="1"/>
  <c r="DP305" i="335"/>
  <c r="DK725" i="338"/>
  <c r="DK721" i="338" s="1"/>
  <c r="DK43" i="335"/>
  <c r="DE45" i="11"/>
  <c r="DK54" i="11" s="1"/>
  <c r="DO43" i="335"/>
  <c r="FX179" i="335"/>
  <c r="BO294" i="335"/>
  <c r="BU611" i="338"/>
  <c r="BO777" i="338"/>
  <c r="BO783" i="338" s="1"/>
  <c r="CS191" i="335"/>
  <c r="AU366" i="335"/>
  <c r="AU118" i="336" s="1"/>
  <c r="BE367" i="335"/>
  <c r="BE366" i="335"/>
  <c r="BE116" i="336" s="1"/>
  <c r="BB316" i="338"/>
  <c r="BH296" i="335"/>
  <c r="BB317" i="335"/>
  <c r="BG292" i="335"/>
  <c r="BA367" i="335"/>
  <c r="AZ9" i="338"/>
  <c r="AZ12" i="338" s="1"/>
  <c r="BA364" i="335"/>
  <c r="AZ364" i="335"/>
  <c r="BA303" i="335"/>
  <c r="AZ480" i="338"/>
  <c r="BH15" i="335"/>
  <c r="BH43" i="11"/>
  <c r="BH52" i="11" s="1"/>
  <c r="BH16" i="338" s="1"/>
  <c r="BH52" i="335"/>
  <c r="BH303" i="335"/>
  <c r="BK50" i="335"/>
  <c r="BH9" i="338"/>
  <c r="BH12" i="338" s="1"/>
  <c r="BH480" i="338"/>
  <c r="BH364" i="335"/>
  <c r="BI364" i="335" s="1"/>
  <c r="BG52" i="335"/>
  <c r="BG16" i="335"/>
  <c r="BG15" i="335"/>
  <c r="BG91" i="335"/>
  <c r="BG303" i="335"/>
  <c r="BF43" i="11"/>
  <c r="BF52" i="11" s="1"/>
  <c r="BF16" i="338" s="1"/>
  <c r="BF303" i="335"/>
  <c r="BF278" i="335"/>
  <c r="BF16" i="335"/>
  <c r="BF9" i="338"/>
  <c r="BF15" i="335"/>
  <c r="BF480" i="338"/>
  <c r="BF91" i="335"/>
  <c r="BF148" i="335" s="1"/>
  <c r="BE52" i="335"/>
  <c r="BI14" i="335"/>
  <c r="BI172" i="338" s="1"/>
  <c r="BE303" i="335"/>
  <c r="BQ366" i="335"/>
  <c r="BQ118" i="336" s="1"/>
  <c r="BN367" i="335"/>
  <c r="BO367" i="335" s="1"/>
  <c r="BS366" i="335"/>
  <c r="BR366" i="335"/>
  <c r="BR116" i="336" s="1"/>
  <c r="BS367" i="335"/>
  <c r="BT296" i="335"/>
  <c r="BN366" i="335"/>
  <c r="BN118" i="336" s="1"/>
  <c r="BS296" i="335"/>
  <c r="BM367" i="335"/>
  <c r="BM366" i="335"/>
  <c r="BM118" i="336" s="1"/>
  <c r="BM321" i="335"/>
  <c r="BL103" i="336"/>
  <c r="BL413" i="338" s="1"/>
  <c r="BL321" i="335"/>
  <c r="BL367" i="335"/>
  <c r="BK296" i="335"/>
  <c r="BK366" i="335"/>
  <c r="BK103" i="336"/>
  <c r="BK413" i="338" s="1"/>
  <c r="BX88" i="335"/>
  <c r="BX286" i="335"/>
  <c r="BX311" i="335"/>
  <c r="CJ87" i="335"/>
  <c r="CJ48" i="11"/>
  <c r="FO75" i="335"/>
  <c r="CM75" i="335"/>
  <c r="CJ139" i="335"/>
  <c r="CS75" i="335"/>
  <c r="CS48" i="11" s="1"/>
  <c r="CQ139" i="335"/>
  <c r="CX87" i="335"/>
  <c r="DD286" i="335"/>
  <c r="CX311" i="335"/>
  <c r="DA311" i="335"/>
  <c r="CV87" i="335"/>
  <c r="CW311" i="335"/>
  <c r="DB286" i="335"/>
  <c r="CV139" i="335"/>
  <c r="FQ75" i="335"/>
  <c r="DA162" i="336"/>
  <c r="DH278" i="335"/>
  <c r="DC16" i="335"/>
  <c r="FR14" i="335"/>
  <c r="DB480" i="338"/>
  <c r="DH479" i="338" s="1"/>
  <c r="DB161" i="336"/>
  <c r="DH15" i="335"/>
  <c r="DB160" i="336"/>
  <c r="DB9" i="338"/>
  <c r="EK382" i="338"/>
  <c r="EK425" i="338"/>
  <c r="DH87" i="335"/>
  <c r="DH89" i="335" s="1"/>
  <c r="DI311" i="335"/>
  <c r="DH139" i="335"/>
  <c r="FS75" i="335"/>
  <c r="DH311" i="335"/>
  <c r="DI77" i="335"/>
  <c r="DG330" i="338"/>
  <c r="DG160" i="336"/>
  <c r="DH16" i="335"/>
  <c r="DD162" i="336"/>
  <c r="DG15" i="335"/>
  <c r="DK14" i="335"/>
  <c r="DK172" i="338" s="1"/>
  <c r="DG480" i="338"/>
  <c r="DG16" i="335"/>
  <c r="DG161" i="336"/>
  <c r="DG52" i="335"/>
  <c r="DG43" i="11"/>
  <c r="DM52" i="11" s="1"/>
  <c r="DG241" i="338"/>
  <c r="DG245" i="338" s="1"/>
  <c r="DI303" i="335"/>
  <c r="DI364" i="335"/>
  <c r="DO15" i="335"/>
  <c r="DI43" i="11"/>
  <c r="DO52" i="11" s="1"/>
  <c r="DI105" i="335"/>
  <c r="DI16" i="335"/>
  <c r="DI9" i="338"/>
  <c r="DI241" i="338"/>
  <c r="DI245" i="338" s="1"/>
  <c r="DI330" i="338"/>
  <c r="DJ16" i="335"/>
  <c r="DJ50" i="335"/>
  <c r="DI161" i="336"/>
  <c r="FU61" i="335"/>
  <c r="DQ100" i="338"/>
  <c r="DQ61" i="335"/>
  <c r="DQ283" i="335"/>
  <c r="DM278" i="335"/>
  <c r="DM16" i="335"/>
  <c r="DM330" i="338"/>
  <c r="DM303" i="335"/>
  <c r="DM15" i="335"/>
  <c r="DN330" i="338"/>
  <c r="DN303" i="335"/>
  <c r="DO50" i="335"/>
  <c r="DN43" i="11"/>
  <c r="DM162" i="336"/>
  <c r="DN9" i="338"/>
  <c r="DN105" i="335"/>
  <c r="DN15" i="335"/>
  <c r="DP364" i="335"/>
  <c r="DQ364" i="335" s="1"/>
  <c r="DN16" i="335"/>
  <c r="DN278" i="335"/>
  <c r="DN480" i="338"/>
  <c r="DT478" i="338" s="1"/>
  <c r="DO16" i="335"/>
  <c r="DN160" i="336"/>
  <c r="AV278" i="335"/>
  <c r="AS50" i="335"/>
  <c r="AU364" i="335"/>
  <c r="AT364" i="335"/>
  <c r="AV15" i="335"/>
  <c r="AP52" i="335"/>
  <c r="AV53" i="335" s="1"/>
  <c r="AS303" i="335"/>
  <c r="BT43" i="11"/>
  <c r="BT52" i="335"/>
  <c r="BT480" i="338"/>
  <c r="BZ479" i="338" s="1"/>
  <c r="BT9" i="338"/>
  <c r="BT91" i="335"/>
  <c r="BT325" i="338" s="1"/>
  <c r="DK280" i="335"/>
  <c r="DE723" i="338"/>
  <c r="DK724" i="338" s="1"/>
  <c r="DE228" i="338"/>
  <c r="AS321" i="335"/>
  <c r="CS46" i="11"/>
  <c r="CS55" i="11" s="1"/>
  <c r="CY280" i="335"/>
  <c r="CS725" i="338"/>
  <c r="DK40" i="335"/>
  <c r="CS280" i="335"/>
  <c r="DN168" i="335"/>
  <c r="CS288" i="335"/>
  <c r="AP103" i="336"/>
  <c r="AQ103" i="336" s="1"/>
  <c r="CY288" i="335"/>
  <c r="CK239" i="335"/>
  <c r="BW50" i="335"/>
  <c r="O328" i="335"/>
  <c r="O9" i="338"/>
  <c r="E145" i="336"/>
  <c r="E119" i="336"/>
  <c r="E118" i="336"/>
  <c r="E184" i="335"/>
  <c r="E216" i="335" s="1"/>
  <c r="CX158" i="335"/>
  <c r="DD158" i="335"/>
  <c r="R394" i="335"/>
  <c r="R393" i="335"/>
  <c r="CA252" i="336"/>
  <c r="E143" i="335"/>
  <c r="BN316" i="338"/>
  <c r="AK254" i="338"/>
  <c r="AS317" i="335"/>
  <c r="CM288" i="335"/>
  <c r="CR721" i="338"/>
  <c r="CR734" i="338" s="1"/>
  <c r="I343" i="335"/>
  <c r="BC225" i="335"/>
  <c r="FT149" i="335"/>
  <c r="DN296" i="335"/>
  <c r="H114" i="338"/>
  <c r="H160" i="338" s="1"/>
  <c r="AZ321" i="335"/>
  <c r="BN292" i="335"/>
  <c r="BL292" i="335"/>
  <c r="BQ317" i="335"/>
  <c r="EA161" i="336"/>
  <c r="EI283" i="335"/>
  <c r="H119" i="336"/>
  <c r="BI139" i="335"/>
  <c r="BY296" i="335"/>
  <c r="DP604" i="338"/>
  <c r="DN283" i="338"/>
  <c r="K387" i="335"/>
  <c r="DE280" i="338"/>
  <c r="DE287" i="338" s="1"/>
  <c r="CO301" i="338"/>
  <c r="CQ283" i="338"/>
  <c r="CG225" i="338"/>
  <c r="CQ628" i="338"/>
  <c r="CW664" i="338"/>
  <c r="DO664" i="338"/>
  <c r="DT283" i="338"/>
  <c r="DO646" i="338"/>
  <c r="BM628" i="338"/>
  <c r="BS658" i="338"/>
  <c r="DK94" i="338"/>
  <c r="DK11" i="338" s="1"/>
  <c r="EF648" i="338"/>
  <c r="DZ76" i="335"/>
  <c r="EE77" i="335"/>
  <c r="EB580" i="338"/>
  <c r="EB581" i="338" s="1"/>
  <c r="EB582" i="338" s="1"/>
  <c r="EH575" i="338"/>
  <c r="EH576" i="338" s="1"/>
  <c r="EC584" i="338"/>
  <c r="EC85" i="338"/>
  <c r="DP575" i="338"/>
  <c r="DP576" i="338" s="1"/>
  <c r="DD569" i="338"/>
  <c r="DD570" i="338" s="1"/>
  <c r="DP579" i="338"/>
  <c r="AN387" i="335"/>
  <c r="BX387" i="335"/>
  <c r="CK628" i="338"/>
  <c r="DC640" i="338"/>
  <c r="CK664" i="338"/>
  <c r="DO628" i="338"/>
  <c r="DI664" i="338"/>
  <c r="DC658" i="338"/>
  <c r="BM664" i="338"/>
  <c r="CA59" i="338"/>
  <c r="CA11" i="338" s="1"/>
  <c r="DO606" i="338"/>
  <c r="DO607" i="338" s="1"/>
  <c r="DC606" i="338"/>
  <c r="DC607" i="338" s="1"/>
  <c r="DI671" i="338" s="1"/>
  <c r="CW606" i="338"/>
  <c r="CW607" i="338" s="1"/>
  <c r="CQ606" i="338"/>
  <c r="CQ607" i="338" s="1"/>
  <c r="CK606" i="338"/>
  <c r="CK607" i="338" s="1"/>
  <c r="CQ629" i="338" s="1"/>
  <c r="CE606" i="338"/>
  <c r="CE607" i="338" s="1"/>
  <c r="BS606" i="338"/>
  <c r="BS607" i="338" s="1"/>
  <c r="BG606" i="338"/>
  <c r="BG607" i="338" s="1"/>
  <c r="BM635" i="338" s="1"/>
  <c r="DG606" i="338"/>
  <c r="DG607" i="338" s="1"/>
  <c r="BK606" i="338"/>
  <c r="DH581" i="338"/>
  <c r="DH582" i="338" s="1"/>
  <c r="EO24" i="338"/>
  <c r="EB389" i="335"/>
  <c r="CQ670" i="338"/>
  <c r="DI670" i="338"/>
  <c r="CG220" i="338"/>
  <c r="DO670" i="338"/>
  <c r="CQ634" i="338"/>
  <c r="DI658" i="338"/>
  <c r="BY658" i="338"/>
  <c r="DC634" i="338"/>
  <c r="BM634" i="338"/>
  <c r="EE474" i="338"/>
  <c r="CF587" i="338"/>
  <c r="CF588" i="338" s="1"/>
  <c r="EK286" i="335"/>
  <c r="EA630" i="338"/>
  <c r="DA576" i="338"/>
  <c r="DG648" i="338"/>
  <c r="DM660" i="338"/>
  <c r="BW606" i="338"/>
  <c r="BW607" i="338" s="1"/>
  <c r="CC629" i="338" s="1"/>
  <c r="DG634" i="338"/>
  <c r="DM634" i="338"/>
  <c r="DT640" i="338"/>
  <c r="DZ628" i="338"/>
  <c r="DZ606" i="338"/>
  <c r="DZ607" i="338" s="1"/>
  <c r="CD283" i="338"/>
  <c r="BO287" i="338"/>
  <c r="EA642" i="338"/>
  <c r="EL584" i="338"/>
  <c r="AE285" i="338"/>
  <c r="V289" i="338"/>
  <c r="U387" i="335"/>
  <c r="U392" i="335" s="1"/>
  <c r="EB569" i="338"/>
  <c r="EB570" i="338" s="1"/>
  <c r="EG581" i="338"/>
  <c r="EG582" i="338" s="1"/>
  <c r="CI670" i="338"/>
  <c r="DV552" i="338"/>
  <c r="BI636" i="338"/>
  <c r="CI606" i="338"/>
  <c r="CI607" i="338" s="1"/>
  <c r="CO635" i="338" s="1"/>
  <c r="DG646" i="338"/>
  <c r="CX283" i="338"/>
  <c r="DQ75" i="338"/>
  <c r="EF311" i="335"/>
  <c r="CM226" i="338"/>
  <c r="EC159" i="338"/>
  <c r="EH475" i="338"/>
  <c r="EC75" i="335"/>
  <c r="EK76" i="335"/>
  <c r="BI299" i="338"/>
  <c r="BI780" i="338" s="1"/>
  <c r="BI783" i="338" s="1"/>
  <c r="DY559" i="338"/>
  <c r="DA634" i="338"/>
  <c r="DG628" i="338"/>
  <c r="DS640" i="338"/>
  <c r="DT658" i="338"/>
  <c r="CS300" i="338"/>
  <c r="CS308" i="338" s="1"/>
  <c r="AH387" i="335"/>
  <c r="AK389" i="335"/>
  <c r="EH580" i="338"/>
  <c r="AB387" i="335"/>
  <c r="P387" i="335"/>
  <c r="EF584" i="338"/>
  <c r="EE87" i="335"/>
  <c r="EE96" i="335" s="1"/>
  <c r="CI634" i="338"/>
  <c r="CI664" i="338"/>
  <c r="DA606" i="338"/>
  <c r="DA607" i="338" s="1"/>
  <c r="DG671" i="338" s="1"/>
  <c r="CO658" i="338"/>
  <c r="EH301" i="338"/>
  <c r="EE139" i="335"/>
  <c r="DY11" i="338"/>
  <c r="CA306" i="338"/>
  <c r="EB11" i="338"/>
  <c r="CA309" i="338"/>
  <c r="DZ311" i="335"/>
  <c r="DN108" i="338"/>
  <c r="DN110" i="338" s="1"/>
  <c r="CO634" i="338"/>
  <c r="DM646" i="338"/>
  <c r="CA285" i="338"/>
  <c r="AT281" i="338"/>
  <c r="BI298" i="338"/>
  <c r="BI759" i="338" s="1"/>
  <c r="BC285" i="338"/>
  <c r="CG389" i="335"/>
  <c r="CI628" i="338"/>
  <c r="DZ87" i="335"/>
  <c r="DZ96" i="335" s="1"/>
  <c r="CK609" i="338"/>
  <c r="DC391" i="335"/>
  <c r="CS282" i="338"/>
  <c r="DZ139" i="335"/>
  <c r="DI11" i="338"/>
  <c r="DW145" i="338"/>
  <c r="CX391" i="335"/>
  <c r="BT562" i="338"/>
  <c r="BT563" i="338" s="1"/>
  <c r="BG412" i="338"/>
  <c r="BG381" i="335" s="1"/>
  <c r="CA56" i="11"/>
  <c r="EL76" i="335"/>
  <c r="EM471" i="338"/>
  <c r="DV382" i="338"/>
  <c r="DV87" i="335"/>
  <c r="DV96" i="335" s="1"/>
  <c r="EB311" i="335"/>
  <c r="DU382" i="338"/>
  <c r="DB550" i="338"/>
  <c r="DS48" i="11"/>
  <c r="DP382" i="338"/>
  <c r="DG382" i="338"/>
  <c r="EI550" i="338"/>
  <c r="EW549" i="338"/>
  <c r="DY76" i="335"/>
  <c r="DV311" i="335"/>
  <c r="DY311" i="335"/>
  <c r="DT311" i="335"/>
  <c r="EE311" i="335"/>
  <c r="DV550" i="338"/>
  <c r="DU550" i="338"/>
  <c r="DP425" i="338"/>
  <c r="CW382" i="338"/>
  <c r="EI425" i="338"/>
  <c r="DS139" i="335"/>
  <c r="EB48" i="11"/>
  <c r="EB76" i="335"/>
  <c r="DT77" i="335"/>
  <c r="DO436" i="338"/>
  <c r="EN382" i="338"/>
  <c r="DK425" i="338"/>
  <c r="DK382" i="338"/>
  <c r="BE346" i="335"/>
  <c r="K296" i="335"/>
  <c r="DM316" i="338"/>
  <c r="DS103" i="336"/>
  <c r="DS413" i="338" s="1"/>
  <c r="D145" i="336"/>
  <c r="DH70" i="11"/>
  <c r="DB228" i="335"/>
  <c r="DC228" i="335" s="1"/>
  <c r="DC229" i="335" s="1"/>
  <c r="DU78" i="11"/>
  <c r="DU82" i="11" s="1"/>
  <c r="X16" i="335"/>
  <c r="H145" i="336"/>
  <c r="H116" i="336"/>
  <c r="D111" i="336"/>
  <c r="D176" i="335"/>
  <c r="D214" i="335" s="1"/>
  <c r="U133" i="11"/>
  <c r="AN133" i="11"/>
  <c r="BQ70" i="11"/>
  <c r="M9" i="338"/>
  <c r="AG52" i="335"/>
  <c r="AI133" i="11"/>
  <c r="H343" i="335"/>
  <c r="C133" i="11"/>
  <c r="AS133" i="11"/>
  <c r="CX70" i="11"/>
  <c r="H99" i="335"/>
  <c r="DE725" i="338"/>
  <c r="H112" i="336"/>
  <c r="D113" i="336"/>
  <c r="S336" i="335"/>
  <c r="DS304" i="335"/>
  <c r="S342" i="335"/>
  <c r="S141" i="335"/>
  <c r="S343" i="335" s="1"/>
  <c r="D119" i="336"/>
  <c r="AW40" i="335"/>
  <c r="S15" i="11"/>
  <c r="S37" i="11" s="1"/>
  <c r="AW740" i="338"/>
  <c r="H123" i="336"/>
  <c r="AH16" i="335"/>
  <c r="H151" i="335"/>
  <c r="E92" i="335"/>
  <c r="E100" i="335" s="1"/>
  <c r="D112" i="336"/>
  <c r="D118" i="336"/>
  <c r="S99" i="335"/>
  <c r="BB133" i="11"/>
  <c r="DC133" i="11"/>
  <c r="DV70" i="11"/>
  <c r="EF70" i="11"/>
  <c r="M91" i="335"/>
  <c r="AG9" i="338"/>
  <c r="AP303" i="335"/>
  <c r="H328" i="335"/>
  <c r="H347" i="335"/>
  <c r="BZ133" i="11"/>
  <c r="DQ70" i="11"/>
  <c r="E290" i="335"/>
  <c r="CJ133" i="11"/>
  <c r="H118" i="336"/>
  <c r="BB292" i="335"/>
  <c r="DJ278" i="335"/>
  <c r="CF139" i="335"/>
  <c r="AT52" i="335"/>
  <c r="V321" i="335"/>
  <c r="DS132" i="11"/>
  <c r="D15" i="11"/>
  <c r="H15" i="11"/>
  <c r="H365" i="335"/>
  <c r="H401" i="338" s="1"/>
  <c r="H154" i="335"/>
  <c r="D147" i="335"/>
  <c r="D148" i="335" s="1"/>
  <c r="D153" i="335"/>
  <c r="R123" i="336"/>
  <c r="S123" i="336" s="1"/>
  <c r="BU133" i="11"/>
  <c r="W87" i="335"/>
  <c r="H345" i="335"/>
  <c r="H346" i="335"/>
  <c r="AA132" i="11"/>
  <c r="H113" i="336"/>
  <c r="D365" i="335"/>
  <c r="S154" i="335"/>
  <c r="BT316" i="338"/>
  <c r="BH316" i="338"/>
  <c r="ER425" i="338"/>
  <c r="CI292" i="335"/>
  <c r="AY314" i="335"/>
  <c r="Y141" i="335"/>
  <c r="AD103" i="336"/>
  <c r="AD413" i="338" s="1"/>
  <c r="AE413" i="338" s="1"/>
  <c r="R16" i="335"/>
  <c r="Q143" i="335"/>
  <c r="V143" i="335"/>
  <c r="AJ9" i="338"/>
  <c r="L91" i="335"/>
  <c r="Q9" i="338"/>
  <c r="AA41" i="335"/>
  <c r="AP15" i="335"/>
  <c r="V328" i="335"/>
  <c r="BQ311" i="335"/>
  <c r="CL161" i="336"/>
  <c r="CO303" i="335"/>
  <c r="S280" i="335"/>
  <c r="BU44" i="11"/>
  <c r="AB41" i="335"/>
  <c r="R143" i="335"/>
  <c r="R144" i="335" s="1"/>
  <c r="W143" i="335"/>
  <c r="W169" i="335" s="1"/>
  <c r="AA14" i="335"/>
  <c r="AA172" i="338" s="1"/>
  <c r="AG173" i="338" s="1"/>
  <c r="R343" i="335"/>
  <c r="DS168" i="335"/>
  <c r="CR160" i="336"/>
  <c r="CI609" i="338"/>
  <c r="BW367" i="335"/>
  <c r="V343" i="335"/>
  <c r="AN9" i="338"/>
  <c r="AN12" i="338" s="1"/>
  <c r="P143" i="335"/>
  <c r="P144" i="335" s="1"/>
  <c r="X143" i="335"/>
  <c r="AA279" i="335"/>
  <c r="AM50" i="335"/>
  <c r="Q317" i="335"/>
  <c r="AA304" i="335"/>
  <c r="AJ52" i="335"/>
  <c r="CL52" i="335"/>
  <c r="EL52" i="335"/>
  <c r="BW296" i="335"/>
  <c r="BW316" i="338"/>
  <c r="DO581" i="338"/>
  <c r="DO582" i="338" s="1"/>
  <c r="DU581" i="338"/>
  <c r="DU582" i="338" s="1"/>
  <c r="EA654" i="338" s="1"/>
  <c r="BT556" i="338"/>
  <c r="BT557" i="338" s="1"/>
  <c r="AQ119" i="11"/>
  <c r="CL125" i="11"/>
  <c r="CL130" i="11" s="1"/>
  <c r="AQ10" i="335"/>
  <c r="AK149" i="335"/>
  <c r="BY317" i="335"/>
  <c r="DC364" i="335"/>
  <c r="BT162" i="336"/>
  <c r="DE43" i="335"/>
  <c r="U394" i="335"/>
  <c r="DJ364" i="335"/>
  <c r="DK364" i="335" s="1"/>
  <c r="DJ303" i="335"/>
  <c r="BG43" i="11"/>
  <c r="BG52" i="11" s="1"/>
  <c r="BG16" i="338" s="1"/>
  <c r="BE15" i="335"/>
  <c r="BE142" i="11"/>
  <c r="J116" i="336"/>
  <c r="BW303" i="335"/>
  <c r="BY105" i="335"/>
  <c r="DN364" i="335"/>
  <c r="DH364" i="335"/>
  <c r="DH303" i="335"/>
  <c r="BY609" i="338"/>
  <c r="J342" i="335"/>
  <c r="BY160" i="336"/>
  <c r="DM364" i="335"/>
  <c r="DU304" i="335"/>
  <c r="DG303" i="335"/>
  <c r="BG105" i="335"/>
  <c r="EK162" i="336"/>
  <c r="DZ162" i="336"/>
  <c r="EL43" i="11"/>
  <c r="EL161" i="336"/>
  <c r="CE366" i="335"/>
  <c r="CE321" i="335"/>
  <c r="CG726" i="338"/>
  <c r="S295" i="335"/>
  <c r="BO193" i="336"/>
  <c r="X15" i="335"/>
  <c r="E153" i="335"/>
  <c r="E154" i="335" s="1"/>
  <c r="E111" i="336"/>
  <c r="E113" i="336"/>
  <c r="E147" i="335"/>
  <c r="I92" i="335"/>
  <c r="I100" i="335" s="1"/>
  <c r="Y92" i="335"/>
  <c r="Y100" i="335" s="1"/>
  <c r="R9" i="338"/>
  <c r="R12" i="338" s="1"/>
  <c r="AB40" i="335"/>
  <c r="AH50" i="335"/>
  <c r="Y346" i="335"/>
  <c r="Y99" i="335"/>
  <c r="CP52" i="335"/>
  <c r="S346" i="335"/>
  <c r="DB303" i="335"/>
  <c r="BH292" i="335"/>
  <c r="BU225" i="335"/>
  <c r="DJ139" i="335"/>
  <c r="AT9" i="338"/>
  <c r="BF367" i="335"/>
  <c r="BF292" i="335"/>
  <c r="BQ286" i="335"/>
  <c r="BX292" i="335"/>
  <c r="BW292" i="335"/>
  <c r="Y342" i="335"/>
  <c r="DJ105" i="335"/>
  <c r="I99" i="335"/>
  <c r="Y336" i="335"/>
  <c r="BG609" i="338"/>
  <c r="BG612" i="338" s="1"/>
  <c r="BG613" i="338" s="1"/>
  <c r="BR316" i="338"/>
  <c r="BF316" i="338"/>
  <c r="DJ48" i="11"/>
  <c r="DC303" i="335"/>
  <c r="Y15" i="11"/>
  <c r="CA133" i="11"/>
  <c r="E176" i="335"/>
  <c r="E214" i="335" s="1"/>
  <c r="E114" i="338"/>
  <c r="E99" i="335"/>
  <c r="DT229" i="338"/>
  <c r="R87" i="335"/>
  <c r="AB14" i="335"/>
  <c r="AB172" i="338" s="1"/>
  <c r="I290" i="335"/>
  <c r="AT303" i="335"/>
  <c r="S294" i="335"/>
  <c r="DI278" i="335"/>
  <c r="BR609" i="338"/>
  <c r="AW149" i="335"/>
  <c r="AH12" i="3"/>
  <c r="AI12" i="3" s="1"/>
  <c r="EO97" i="3"/>
  <c r="DW80" i="3"/>
  <c r="K51" i="3"/>
  <c r="DW158" i="335"/>
  <c r="Y43" i="335"/>
  <c r="AQ279" i="335"/>
  <c r="AB359" i="335"/>
  <c r="AB121" i="11"/>
  <c r="AB31" i="3"/>
  <c r="AC83" i="3"/>
  <c r="AB382" i="335"/>
  <c r="AB144" i="336"/>
  <c r="P12" i="3"/>
  <c r="P384" i="335"/>
  <c r="Q63" i="3"/>
  <c r="AG359" i="335"/>
  <c r="AM80" i="11"/>
  <c r="AG121" i="11"/>
  <c r="AY162" i="338"/>
  <c r="BG80" i="11"/>
  <c r="BA359" i="335"/>
  <c r="AQ127" i="11"/>
  <c r="BX43" i="11"/>
  <c r="BX161" i="336"/>
  <c r="BZ88" i="335"/>
  <c r="BZ286" i="335"/>
  <c r="BZ96" i="335"/>
  <c r="DH316" i="338"/>
  <c r="L99" i="3"/>
  <c r="L103" i="3" s="1"/>
  <c r="L105" i="3" s="1"/>
  <c r="G95" i="3"/>
  <c r="G99" i="3" s="1"/>
  <c r="G103" i="3" s="1"/>
  <c r="G105" i="3" s="1"/>
  <c r="F76" i="3"/>
  <c r="DD562" i="338"/>
  <c r="DD563" i="338" s="1"/>
  <c r="CF562" i="338"/>
  <c r="CF563" i="338" s="1"/>
  <c r="AH78" i="11"/>
  <c r="EQ70" i="335"/>
  <c r="EN70" i="335"/>
  <c r="EA79" i="335"/>
  <c r="EM36" i="335"/>
  <c r="EB605" i="338"/>
  <c r="EK83" i="335"/>
  <c r="EQ84" i="335" s="1"/>
  <c r="EQ281" i="335"/>
  <c r="EQ47" i="335"/>
  <c r="EQ294" i="335"/>
  <c r="EQ152" i="335"/>
  <c r="DY141" i="335"/>
  <c r="DY103" i="336" s="1"/>
  <c r="DY413" i="338" s="1"/>
  <c r="CK278" i="335"/>
  <c r="EI280" i="338"/>
  <c r="EI287" i="338" s="1"/>
  <c r="EI26" i="11"/>
  <c r="EI32" i="11" s="1"/>
  <c r="CQ121" i="11"/>
  <c r="AO127" i="11"/>
  <c r="AQ112" i="11"/>
  <c r="AU127" i="11"/>
  <c r="AJ127" i="11"/>
  <c r="AW76" i="11"/>
  <c r="AW359" i="335" s="1"/>
  <c r="M417" i="338"/>
  <c r="AO378" i="335"/>
  <c r="AG22" i="3"/>
  <c r="DU33" i="3"/>
  <c r="BL162" i="11"/>
  <c r="CG76" i="11"/>
  <c r="DP141" i="335"/>
  <c r="DV83" i="335"/>
  <c r="EH241" i="338"/>
  <c r="EN36" i="335"/>
  <c r="EF104" i="335"/>
  <c r="EF141" i="335" s="1"/>
  <c r="EK44" i="11"/>
  <c r="EK79" i="335"/>
  <c r="EQ80" i="335" s="1"/>
  <c r="EQ36" i="335"/>
  <c r="EK136" i="335"/>
  <c r="EQ155" i="335"/>
  <c r="EQ295" i="335"/>
  <c r="EK21" i="336"/>
  <c r="EU90" i="338"/>
  <c r="EQ584" i="338"/>
  <c r="EQ370" i="335"/>
  <c r="AQ108" i="11"/>
  <c r="BA123" i="11"/>
  <c r="AM360" i="335"/>
  <c r="AW119" i="11"/>
  <c r="BC123" i="11" s="1"/>
  <c r="AY123" i="11"/>
  <c r="BG15" i="3"/>
  <c r="BO180" i="335"/>
  <c r="AM22" i="3"/>
  <c r="DH41" i="3"/>
  <c r="DU646" i="338"/>
  <c r="DJ587" i="338"/>
  <c r="DJ588" i="338" s="1"/>
  <c r="CL587" i="338"/>
  <c r="CL588" i="338" s="1"/>
  <c r="BN604" i="338"/>
  <c r="BZ562" i="338"/>
  <c r="BZ563" i="338" s="1"/>
  <c r="CR605" i="338"/>
  <c r="CC162" i="11"/>
  <c r="BX162" i="11"/>
  <c r="BO162" i="11"/>
  <c r="CF24" i="11"/>
  <c r="CO105" i="335"/>
  <c r="DY407" i="338"/>
  <c r="DY412" i="338" s="1"/>
  <c r="DY381" i="335" s="1"/>
  <c r="DU83" i="335"/>
  <c r="DZ50" i="335"/>
  <c r="DY79" i="335"/>
  <c r="EB79" i="335"/>
  <c r="EF87" i="335"/>
  <c r="EF35" i="338"/>
  <c r="EG35" i="338"/>
  <c r="EI35" i="338"/>
  <c r="EK133" i="335"/>
  <c r="CK161" i="336"/>
  <c r="BK91" i="335"/>
  <c r="BK49" i="11" s="1"/>
  <c r="BC78" i="11"/>
  <c r="EI94" i="3"/>
  <c r="AH19" i="3"/>
  <c r="DN40" i="336"/>
  <c r="DN380" i="335" s="1"/>
  <c r="AE8" i="336"/>
  <c r="AE45" i="336" s="1"/>
  <c r="G32" i="3"/>
  <c r="DQ80" i="3"/>
  <c r="DK80" i="3"/>
  <c r="DE80" i="3"/>
  <c r="CY80" i="3"/>
  <c r="CS80" i="3"/>
  <c r="CM80" i="3"/>
  <c r="CG80" i="3"/>
  <c r="BU80" i="3"/>
  <c r="DW75" i="3"/>
  <c r="DQ75" i="3"/>
  <c r="DE75" i="3"/>
  <c r="CS75" i="3"/>
  <c r="CM75" i="3"/>
  <c r="CG75" i="3"/>
  <c r="DW74" i="3"/>
  <c r="DQ74" i="3"/>
  <c r="DK74" i="3"/>
  <c r="DE74" i="3"/>
  <c r="CY74" i="3"/>
  <c r="CS74" i="3"/>
  <c r="CM74" i="3"/>
  <c r="CG74" i="3"/>
  <c r="CA74" i="3"/>
  <c r="DQ73" i="3"/>
  <c r="DK73" i="3"/>
  <c r="DE73" i="3"/>
  <c r="CY73" i="3"/>
  <c r="CM73" i="3"/>
  <c r="CG73" i="3"/>
  <c r="CA73" i="3"/>
  <c r="DW72" i="3"/>
  <c r="DQ72" i="3"/>
  <c r="AG14" i="3"/>
  <c r="CD84" i="3"/>
  <c r="CG84" i="3" s="1"/>
  <c r="V23" i="3"/>
  <c r="L412" i="338"/>
  <c r="D412" i="338"/>
  <c r="AE141" i="335"/>
  <c r="CA162" i="11"/>
  <c r="BU76" i="11"/>
  <c r="DK150" i="335"/>
  <c r="DK294" i="335" s="1"/>
  <c r="DY308" i="335"/>
  <c r="DZ14" i="335"/>
  <c r="EK36" i="335"/>
  <c r="EL306" i="335"/>
  <c r="EL309" i="335"/>
  <c r="EQ284" i="335"/>
  <c r="EQ68" i="335"/>
  <c r="EQ293" i="335"/>
  <c r="EQ149" i="335"/>
  <c r="BL606" i="338"/>
  <c r="BL607" i="338" s="1"/>
  <c r="BR629" i="338" s="1"/>
  <c r="BU251" i="336"/>
  <c r="AJ21" i="336"/>
  <c r="AK21" i="336" s="1"/>
  <c r="BZ21" i="336"/>
  <c r="CA21" i="336" s="1"/>
  <c r="Y398" i="338"/>
  <c r="DH21" i="336"/>
  <c r="DM283" i="338"/>
  <c r="DG387" i="335"/>
  <c r="DD283" i="338"/>
  <c r="CD658" i="338"/>
  <c r="BN587" i="338"/>
  <c r="BN588" i="338" s="1"/>
  <c r="X387" i="335"/>
  <c r="DJ283" i="338"/>
  <c r="DD387" i="335"/>
  <c r="CJ634" i="338"/>
  <c r="CV634" i="338"/>
  <c r="CF735" i="338"/>
  <c r="BZ283" i="338"/>
  <c r="BR670" i="338"/>
  <c r="DU628" i="338"/>
  <c r="BH387" i="335"/>
  <c r="DY145" i="338"/>
  <c r="EG301" i="338"/>
  <c r="CS658" i="338"/>
  <c r="CD628" i="338"/>
  <c r="AV316" i="338"/>
  <c r="AJ387" i="335"/>
  <c r="DE634" i="338"/>
  <c r="CX10" i="338"/>
  <c r="CY46" i="338"/>
  <c r="CY10" i="338" s="1"/>
  <c r="EI85" i="338"/>
  <c r="EK311" i="335"/>
  <c r="AW282" i="338"/>
  <c r="AW387" i="335" s="1"/>
  <c r="BO285" i="338"/>
  <c r="W289" i="338"/>
  <c r="DY584" i="338"/>
  <c r="DE44" i="11"/>
  <c r="DV160" i="336"/>
  <c r="DS43" i="11"/>
  <c r="DS52" i="11" s="1"/>
  <c r="DN292" i="335"/>
  <c r="BZ91" i="335"/>
  <c r="BZ311" i="335"/>
  <c r="CC296" i="335"/>
  <c r="BW103" i="336"/>
  <c r="BW413" i="338" s="1"/>
  <c r="DQ611" i="338"/>
  <c r="Y280" i="335"/>
  <c r="AH317" i="335"/>
  <c r="AT15" i="335"/>
  <c r="BU289" i="335"/>
  <c r="BY89" i="335"/>
  <c r="EI124" i="335"/>
  <c r="DH609" i="338"/>
  <c r="EG162" i="336"/>
  <c r="EZ166" i="338"/>
  <c r="EZ167" i="338" s="1"/>
  <c r="S347" i="335"/>
  <c r="CX605" i="338"/>
  <c r="EC41" i="3"/>
  <c r="EI91" i="3"/>
  <c r="CL33" i="3"/>
  <c r="CM33" i="3" s="1"/>
  <c r="EC82" i="3"/>
  <c r="AG99" i="3"/>
  <c r="CM400" i="338"/>
  <c r="DK418" i="338"/>
  <c r="G41" i="3"/>
  <c r="F33" i="3"/>
  <c r="DQ83" i="3"/>
  <c r="DQ382" i="335" s="1"/>
  <c r="DK83" i="3"/>
  <c r="DK382" i="335" s="1"/>
  <c r="DW82" i="3"/>
  <c r="CS82" i="3"/>
  <c r="CM82" i="3"/>
  <c r="CG82" i="3"/>
  <c r="CA82" i="3"/>
  <c r="DQ81" i="3"/>
  <c r="DE81" i="3"/>
  <c r="CM81" i="3"/>
  <c r="CM66" i="3"/>
  <c r="DQ64" i="3"/>
  <c r="CE64" i="3"/>
  <c r="CE76" i="3" s="1"/>
  <c r="BA382" i="335"/>
  <c r="EH384" i="335"/>
  <c r="BI63" i="3"/>
  <c r="BI384" i="335" s="1"/>
  <c r="CA83" i="3"/>
  <c r="CA382" i="335" s="1"/>
  <c r="DE416" i="338"/>
  <c r="CM418" i="338"/>
  <c r="DE400" i="338"/>
  <c r="F41" i="3"/>
  <c r="CS417" i="338"/>
  <c r="AC43" i="3"/>
  <c r="EF85" i="3"/>
  <c r="V24" i="3"/>
  <c r="AZ29" i="3"/>
  <c r="EC94" i="3"/>
  <c r="J41" i="3"/>
  <c r="EU123" i="336"/>
  <c r="CJ245" i="336"/>
  <c r="CJ252" i="336" s="1"/>
  <c r="EA160" i="336"/>
  <c r="EA43" i="11"/>
  <c r="EA480" i="338"/>
  <c r="CK52" i="335"/>
  <c r="BK292" i="336"/>
  <c r="BK16" i="335"/>
  <c r="BK290" i="336"/>
  <c r="EQ132" i="11"/>
  <c r="EQ69" i="11"/>
  <c r="DT16" i="335"/>
  <c r="CK480" i="338"/>
  <c r="CQ478" i="338" s="1"/>
  <c r="BL16" i="335"/>
  <c r="BK15" i="335"/>
  <c r="BK52" i="335"/>
  <c r="EI176" i="335"/>
  <c r="DN317" i="335"/>
  <c r="EQ133" i="11"/>
  <c r="EQ70" i="11"/>
  <c r="EA52" i="335"/>
  <c r="CK9" i="338"/>
  <c r="CK12" i="338" s="1"/>
  <c r="CP364" i="335"/>
  <c r="BK105" i="335"/>
  <c r="BK303" i="335"/>
  <c r="DJ356" i="335"/>
  <c r="BO106" i="11"/>
  <c r="EN139" i="335"/>
  <c r="EQ311" i="335"/>
  <c r="EQ77" i="335"/>
  <c r="EQ286" i="335"/>
  <c r="EQ76" i="335"/>
  <c r="CC273" i="336"/>
  <c r="EK96" i="335"/>
  <c r="EQ88" i="335"/>
  <c r="EE464" i="338"/>
  <c r="EI90" i="3"/>
  <c r="EG382" i="335"/>
  <c r="AP72" i="3"/>
  <c r="AQ72" i="3" s="1"/>
  <c r="BH81" i="3"/>
  <c r="BI81" i="3" s="1"/>
  <c r="EG85" i="3"/>
  <c r="CR85" i="3"/>
  <c r="DK72" i="3"/>
  <c r="DE72" i="3"/>
  <c r="CY72" i="3"/>
  <c r="CS72" i="3"/>
  <c r="CM72" i="3"/>
  <c r="CG72" i="3"/>
  <c r="DK71" i="3"/>
  <c r="CY70" i="3"/>
  <c r="CD76" i="3"/>
  <c r="CD383" i="335" s="1"/>
  <c r="CD397" i="335" s="1"/>
  <c r="CA67" i="3"/>
  <c r="BL32" i="3"/>
  <c r="AD30" i="3"/>
  <c r="AE30" i="3" s="1"/>
  <c r="K33" i="3"/>
  <c r="K45" i="3" s="1"/>
  <c r="K49" i="3" s="1"/>
  <c r="C33" i="3"/>
  <c r="DW417" i="338"/>
  <c r="EI83" i="3"/>
  <c r="EI382" i="335" s="1"/>
  <c r="AE92" i="3"/>
  <c r="BA38" i="3"/>
  <c r="BB38" i="3" s="1"/>
  <c r="BC38" i="3" s="1"/>
  <c r="EC63" i="3"/>
  <c r="EC384" i="335" s="1"/>
  <c r="BH66" i="3"/>
  <c r="AD97" i="3"/>
  <c r="AE97" i="3" s="1"/>
  <c r="EG95" i="3"/>
  <c r="EC65" i="3"/>
  <c r="EB45" i="3"/>
  <c r="EC45" i="3" s="1"/>
  <c r="EO84" i="3"/>
  <c r="EA76" i="3"/>
  <c r="DZ45" i="3"/>
  <c r="EA95" i="3"/>
  <c r="EA99" i="3"/>
  <c r="DW97" i="3"/>
  <c r="DQ97" i="3"/>
  <c r="DK97" i="3"/>
  <c r="CY97" i="3"/>
  <c r="CM97" i="3"/>
  <c r="BQ99" i="3"/>
  <c r="CY94" i="3"/>
  <c r="CM94" i="3"/>
  <c r="CW95" i="3"/>
  <c r="CQ95" i="3"/>
  <c r="CE95" i="3"/>
  <c r="P38" i="3"/>
  <c r="P41" i="3" s="1"/>
  <c r="CS91" i="3"/>
  <c r="CS90" i="3"/>
  <c r="CM90" i="3"/>
  <c r="CC95" i="3"/>
  <c r="U41" i="3"/>
  <c r="BQ109" i="3"/>
  <c r="EI93" i="3"/>
  <c r="EI70" i="3"/>
  <c r="U109" i="3"/>
  <c r="BM12" i="3"/>
  <c r="BM23" i="3"/>
  <c r="EC400" i="338"/>
  <c r="EC75" i="3"/>
  <c r="EC93" i="3"/>
  <c r="W22" i="3"/>
  <c r="EC74" i="3"/>
  <c r="DW67" i="3"/>
  <c r="V14" i="3"/>
  <c r="BQ25" i="3"/>
  <c r="BQ51" i="3" s="1"/>
  <c r="EQ376" i="335"/>
  <c r="EL30" i="336"/>
  <c r="EL35" i="336" s="1"/>
  <c r="EL43" i="336" s="1"/>
  <c r="EF43" i="11"/>
  <c r="CU609" i="338"/>
  <c r="CU612" i="338" s="1"/>
  <c r="CU613" i="338" s="1"/>
  <c r="CI480" i="338"/>
  <c r="CO478" i="338" s="1"/>
  <c r="BN16" i="335"/>
  <c r="EY172" i="338"/>
  <c r="U393" i="335"/>
  <c r="DV278" i="335"/>
  <c r="DH296" i="335"/>
  <c r="EA105" i="335"/>
  <c r="BE311" i="335"/>
  <c r="CA289" i="335"/>
  <c r="EI581" i="338"/>
  <c r="EI582" i="338" s="1"/>
  <c r="CA752" i="338"/>
  <c r="DJ600" i="338"/>
  <c r="DJ601" i="338" s="1"/>
  <c r="DP562" i="338"/>
  <c r="DP563" i="338" s="1"/>
  <c r="CR562" i="338"/>
  <c r="CR563" i="338" s="1"/>
  <c r="BO398" i="338"/>
  <c r="CM124" i="336"/>
  <c r="CA397" i="338"/>
  <c r="CG149" i="335"/>
  <c r="CS158" i="335"/>
  <c r="AT328" i="335"/>
  <c r="DY161" i="336"/>
  <c r="CY610" i="338"/>
  <c r="CK160" i="336"/>
  <c r="CK15" i="335"/>
  <c r="FP14" i="335"/>
  <c r="BK480" i="338"/>
  <c r="BK9" i="338"/>
  <c r="BK43" i="11"/>
  <c r="BK278" i="335"/>
  <c r="BL50" i="335"/>
  <c r="CK303" i="335"/>
  <c r="AT336" i="335"/>
  <c r="CK91" i="335"/>
  <c r="CK328" i="335" s="1"/>
  <c r="CK105" i="335"/>
  <c r="CK43" i="11"/>
  <c r="CJ162" i="336"/>
  <c r="CS295" i="335"/>
  <c r="BQ15" i="335"/>
  <c r="BK364" i="335"/>
  <c r="BI293" i="335"/>
  <c r="DS480" i="338"/>
  <c r="DY478" i="338" s="1"/>
  <c r="DS160" i="336"/>
  <c r="CM14" i="335"/>
  <c r="CM172" i="338" s="1"/>
  <c r="EF443" i="338"/>
  <c r="EF442" i="338"/>
  <c r="E370" i="335"/>
  <c r="BT118" i="336"/>
  <c r="EI100" i="338"/>
  <c r="EI108" i="338" s="1"/>
  <c r="EI133" i="335"/>
  <c r="AK167" i="335"/>
  <c r="AQ155" i="335"/>
  <c r="DS105" i="335"/>
  <c r="EE52" i="335"/>
  <c r="EL162" i="336"/>
  <c r="DS52" i="335"/>
  <c r="DS241" i="338"/>
  <c r="DS245" i="338" s="1"/>
  <c r="DS278" i="335"/>
  <c r="DP162" i="336"/>
  <c r="CU143" i="335"/>
  <c r="CU144" i="335" s="1"/>
  <c r="BB91" i="335"/>
  <c r="BB346" i="335" s="1"/>
  <c r="BH286" i="335"/>
  <c r="CO15" i="335"/>
  <c r="CI161" i="336"/>
  <c r="DH321" i="335"/>
  <c r="DA317" i="335"/>
  <c r="DM366" i="335"/>
  <c r="DM119" i="336" s="1"/>
  <c r="CP296" i="335"/>
  <c r="CP103" i="336"/>
  <c r="CP413" i="338" s="1"/>
  <c r="CQ321" i="335"/>
  <c r="CA777" i="338"/>
  <c r="CA783" i="338" s="1"/>
  <c r="DE740" i="338"/>
  <c r="DS303" i="335"/>
  <c r="DS161" i="336"/>
  <c r="DS330" i="338"/>
  <c r="DY15" i="335"/>
  <c r="EH105" i="335"/>
  <c r="CJ16" i="335"/>
  <c r="CI9" i="338"/>
  <c r="EI740" i="338"/>
  <c r="CY611" i="338"/>
  <c r="DQ754" i="338"/>
  <c r="DQ763" i="338" s="1"/>
  <c r="DJ292" i="335"/>
  <c r="DC321" i="335"/>
  <c r="DU321" i="335"/>
  <c r="DM321" i="335"/>
  <c r="AK155" i="335"/>
  <c r="DU609" i="338"/>
  <c r="CF292" i="335"/>
  <c r="FO141" i="335"/>
  <c r="CJ321" i="335"/>
  <c r="CI321" i="335"/>
  <c r="CI316" i="338"/>
  <c r="CI296" i="335"/>
  <c r="DD168" i="335"/>
  <c r="DD316" i="338"/>
  <c r="DD321" i="335"/>
  <c r="DD296" i="335"/>
  <c r="DD103" i="336"/>
  <c r="DE103" i="336" s="1"/>
  <c r="DG321" i="335"/>
  <c r="DG317" i="335"/>
  <c r="DG292" i="335"/>
  <c r="DE728" i="338"/>
  <c r="DE735" i="338" s="1"/>
  <c r="DK149" i="335"/>
  <c r="DG96" i="335"/>
  <c r="FQ40" i="335"/>
  <c r="EM16" i="335"/>
  <c r="DE294" i="335"/>
  <c r="DH317" i="335"/>
  <c r="DI366" i="335"/>
  <c r="BB462" i="335"/>
  <c r="CG152" i="335"/>
  <c r="CG610" i="338"/>
  <c r="CF610" i="338" s="1"/>
  <c r="CG754" i="338"/>
  <c r="CG763" i="338" s="1"/>
  <c r="DW68" i="335"/>
  <c r="BC461" i="335"/>
  <c r="EM303" i="335"/>
  <c r="EM43" i="11"/>
  <c r="EK229" i="335"/>
  <c r="EK209" i="336" s="1"/>
  <c r="DE152" i="335"/>
  <c r="CL292" i="335"/>
  <c r="DG366" i="335"/>
  <c r="DG119" i="336" s="1"/>
  <c r="DU292" i="335"/>
  <c r="DK777" i="338"/>
  <c r="DQ778" i="338" s="1"/>
  <c r="DQ295" i="335"/>
  <c r="DQ155" i="335"/>
  <c r="CK316" i="338"/>
  <c r="CK321" i="335"/>
  <c r="CK103" i="336"/>
  <c r="CK413" i="338" s="1"/>
  <c r="CK296" i="335"/>
  <c r="DC168" i="335"/>
  <c r="DI168" i="335"/>
  <c r="DC296" i="335"/>
  <c r="FS167" i="335"/>
  <c r="DZ296" i="335"/>
  <c r="DZ168" i="335"/>
  <c r="DT316" i="338"/>
  <c r="DT321" i="335"/>
  <c r="CX321" i="335"/>
  <c r="CX316" i="338"/>
  <c r="DJ168" i="335"/>
  <c r="DJ321" i="335"/>
  <c r="DM367" i="335"/>
  <c r="DJ296" i="335"/>
  <c r="DJ366" i="335"/>
  <c r="DJ119" i="336" s="1"/>
  <c r="DK119" i="336" s="1"/>
  <c r="CJ609" i="338"/>
  <c r="CJ292" i="335"/>
  <c r="CJ316" i="338"/>
  <c r="CM141" i="335"/>
  <c r="EC68" i="335"/>
  <c r="EI284" i="335"/>
  <c r="EI68" i="335"/>
  <c r="EC136" i="335"/>
  <c r="DW47" i="335"/>
  <c r="EM52" i="335"/>
  <c r="DH366" i="335"/>
  <c r="DH119" i="336" s="1"/>
  <c r="DU103" i="336"/>
  <c r="DU413" i="338" s="1"/>
  <c r="DQ44" i="11"/>
  <c r="AV253" i="338"/>
  <c r="AV254" i="338" s="1"/>
  <c r="AY312" i="335"/>
  <c r="AV87" i="335"/>
  <c r="O144" i="335"/>
  <c r="O169" i="335"/>
  <c r="O212" i="335" s="1"/>
  <c r="DM103" i="336"/>
  <c r="DM413" i="338" s="1"/>
  <c r="DM292" i="335"/>
  <c r="EC295" i="335"/>
  <c r="CO609" i="338"/>
  <c r="CO612" i="338" s="1"/>
  <c r="CO613" i="338" s="1"/>
  <c r="AW152" i="335"/>
  <c r="DO54" i="335"/>
  <c r="BQ296" i="335"/>
  <c r="EI225" i="335"/>
  <c r="EH321" i="335"/>
  <c r="CF317" i="335"/>
  <c r="EI61" i="335"/>
  <c r="CM293" i="335"/>
  <c r="DJ103" i="336"/>
  <c r="DK103" i="336" s="1"/>
  <c r="EA330" i="338"/>
  <c r="FQ155" i="335"/>
  <c r="AK295" i="335"/>
  <c r="FR43" i="335"/>
  <c r="AK280" i="335"/>
  <c r="AQ43" i="335"/>
  <c r="S40" i="335"/>
  <c r="Y40" i="335"/>
  <c r="S279" i="335"/>
  <c r="Y279" i="335"/>
  <c r="BC160" i="335"/>
  <c r="DE193" i="336"/>
  <c r="DK193" i="336"/>
  <c r="CX209" i="336"/>
  <c r="CY209" i="336" s="1"/>
  <c r="CY229" i="335"/>
  <c r="CA768" i="338"/>
  <c r="DQ743" i="338"/>
  <c r="BC725" i="338"/>
  <c r="CM165" i="335"/>
  <c r="CJ239" i="335"/>
  <c r="CJ160" i="335"/>
  <c r="CL239" i="335"/>
  <c r="CL160" i="335"/>
  <c r="DT436" i="338"/>
  <c r="Y224" i="335"/>
  <c r="Y225" i="335" s="1"/>
  <c r="Y191" i="335"/>
  <c r="V112" i="336"/>
  <c r="V113" i="336"/>
  <c r="AN292" i="335"/>
  <c r="AO317" i="335"/>
  <c r="AT292" i="335"/>
  <c r="AN317" i="335"/>
  <c r="AM317" i="335"/>
  <c r="AS292" i="335"/>
  <c r="AQ141" i="335"/>
  <c r="AM292" i="335"/>
  <c r="AP292" i="335"/>
  <c r="AJ292" i="335"/>
  <c r="AM366" i="335"/>
  <c r="AI103" i="336"/>
  <c r="AI413" i="338" s="1"/>
  <c r="AI321" i="335"/>
  <c r="AI296" i="335"/>
  <c r="Y160" i="335"/>
  <c r="S160" i="335"/>
  <c r="BI271" i="338"/>
  <c r="BI289" i="335"/>
  <c r="BO289" i="335"/>
  <c r="BC253" i="338"/>
  <c r="BC765" i="338" s="1"/>
  <c r="BO228" i="338"/>
  <c r="EQ424" i="338"/>
  <c r="EQ381" i="338"/>
  <c r="EQ549" i="338"/>
  <c r="CA45" i="11"/>
  <c r="G346" i="335"/>
  <c r="G113" i="336"/>
  <c r="G347" i="335"/>
  <c r="G112" i="336"/>
  <c r="H290" i="335"/>
  <c r="G111" i="336"/>
  <c r="G123" i="336"/>
  <c r="G114" i="338"/>
  <c r="G15" i="11"/>
  <c r="G145" i="336"/>
  <c r="G119" i="336"/>
  <c r="G116" i="336"/>
  <c r="G345" i="335"/>
  <c r="G148" i="335"/>
  <c r="G151" i="335"/>
  <c r="G99" i="335"/>
  <c r="G118" i="336"/>
  <c r="G328" i="335"/>
  <c r="G143" i="335"/>
  <c r="G365" i="335"/>
  <c r="G343" i="335"/>
  <c r="G154" i="335"/>
  <c r="C153" i="335"/>
  <c r="C15" i="11"/>
  <c r="D290" i="335"/>
  <c r="C114" i="338"/>
  <c r="C160" i="338" s="1"/>
  <c r="D92" i="335"/>
  <c r="D100" i="335" s="1"/>
  <c r="C365" i="335"/>
  <c r="C184" i="335"/>
  <c r="C216" i="335" s="1"/>
  <c r="C150" i="335"/>
  <c r="D152" i="335" s="1"/>
  <c r="C176" i="335"/>
  <c r="C214" i="335" s="1"/>
  <c r="C147" i="335"/>
  <c r="C345" i="335" s="1"/>
  <c r="C143" i="335"/>
  <c r="BK133" i="11"/>
  <c r="BK70" i="11"/>
  <c r="BA70" i="11"/>
  <c r="BA133" i="11"/>
  <c r="AM70" i="11"/>
  <c r="AM133" i="11"/>
  <c r="CO132" i="11"/>
  <c r="CO69" i="11"/>
  <c r="BQ69" i="11"/>
  <c r="BQ132" i="11"/>
  <c r="CW158" i="335"/>
  <c r="CX159" i="335"/>
  <c r="CW159" i="335"/>
  <c r="FR156" i="335"/>
  <c r="FR40" i="335"/>
  <c r="FS40" i="335"/>
  <c r="AN311" i="335"/>
  <c r="AM311" i="335"/>
  <c r="AN89" i="335"/>
  <c r="AQ87" i="335"/>
  <c r="AM96" i="335"/>
  <c r="AM286" i="335"/>
  <c r="AM89" i="335"/>
  <c r="AM88" i="335"/>
  <c r="AG286" i="335"/>
  <c r="AH89" i="335"/>
  <c r="AG89" i="335"/>
  <c r="AK87" i="335"/>
  <c r="AG96" i="335"/>
  <c r="AG88" i="335"/>
  <c r="AH311" i="335"/>
  <c r="AG91" i="335"/>
  <c r="AB311" i="335"/>
  <c r="AE87" i="335"/>
  <c r="AA96" i="335"/>
  <c r="AB89" i="335"/>
  <c r="CS289" i="335"/>
  <c r="CS47" i="11"/>
  <c r="BY214" i="335"/>
  <c r="CA214" i="335" s="1"/>
  <c r="CA176" i="335"/>
  <c r="AK152" i="335"/>
  <c r="AE167" i="335"/>
  <c r="AK294" i="335"/>
  <c r="BU47" i="335"/>
  <c r="BO98" i="335"/>
  <c r="AQ47" i="335"/>
  <c r="AQ50" i="335"/>
  <c r="AK98" i="335"/>
  <c r="AQ281" i="335"/>
  <c r="AK47" i="335"/>
  <c r="AM16" i="335"/>
  <c r="AP364" i="335"/>
  <c r="AQ364" i="335" s="1"/>
  <c r="AM303" i="335"/>
  <c r="AM278" i="335"/>
  <c r="AO364" i="335"/>
  <c r="AN16" i="335"/>
  <c r="AM52" i="335"/>
  <c r="AQ14" i="335"/>
  <c r="AQ172" i="338" s="1"/>
  <c r="AM91" i="335"/>
  <c r="AM328" i="335" s="1"/>
  <c r="AM15" i="335"/>
  <c r="AN364" i="335"/>
  <c r="AM9" i="338"/>
  <c r="AS278" i="335"/>
  <c r="AS15" i="335"/>
  <c r="AN50" i="335"/>
  <c r="AN303" i="335"/>
  <c r="AJ50" i="335"/>
  <c r="AI9" i="338"/>
  <c r="AI12" i="338" s="1"/>
  <c r="AI16" i="335"/>
  <c r="AJ303" i="335"/>
  <c r="AI303" i="335"/>
  <c r="AI91" i="335"/>
  <c r="AJ16" i="335"/>
  <c r="AO278" i="335"/>
  <c r="AJ364" i="335"/>
  <c r="AK364" i="335" s="1"/>
  <c r="AK14" i="335"/>
  <c r="AI52" i="335"/>
  <c r="AJ40" i="335"/>
  <c r="AG41" i="335"/>
  <c r="AJ279" i="335"/>
  <c r="AE39" i="335"/>
  <c r="AD40" i="335"/>
  <c r="AD14" i="335"/>
  <c r="AD172" i="338" s="1"/>
  <c r="AD279" i="335"/>
  <c r="AD304" i="335"/>
  <c r="AG304" i="335"/>
  <c r="AD41" i="335"/>
  <c r="Y345" i="335"/>
  <c r="Y148" i="335"/>
  <c r="Y149" i="335"/>
  <c r="Y167" i="335"/>
  <c r="Y348" i="335" s="1"/>
  <c r="AE149" i="335"/>
  <c r="Y293" i="335"/>
  <c r="U87" i="335"/>
  <c r="AA88" i="335" s="1"/>
  <c r="V303" i="335"/>
  <c r="U278" i="335"/>
  <c r="V16" i="335"/>
  <c r="U328" i="335"/>
  <c r="Y14" i="335"/>
  <c r="Y172" i="338" s="1"/>
  <c r="W364" i="335"/>
  <c r="X364" i="335"/>
  <c r="Y364" i="335" s="1"/>
  <c r="U16" i="335"/>
  <c r="U15" i="335"/>
  <c r="U303" i="335"/>
  <c r="U9" i="338"/>
  <c r="U12" i="338" s="1"/>
  <c r="P9" i="338"/>
  <c r="P12" i="338" s="1"/>
  <c r="V15" i="335"/>
  <c r="P303" i="335"/>
  <c r="R364" i="335"/>
  <c r="Q16" i="335"/>
  <c r="P87" i="335"/>
  <c r="P16" i="335"/>
  <c r="P328" i="335"/>
  <c r="Q303" i="335"/>
  <c r="V278" i="335"/>
  <c r="K15" i="335"/>
  <c r="K278" i="335"/>
  <c r="K9" i="338"/>
  <c r="K91" i="335"/>
  <c r="K290" i="335" s="1"/>
  <c r="L278" i="335"/>
  <c r="L15" i="335"/>
  <c r="K364" i="335"/>
  <c r="CY47" i="11"/>
  <c r="DE289" i="335"/>
  <c r="CY289" i="335"/>
  <c r="CS45" i="11"/>
  <c r="CS287" i="335"/>
  <c r="CY287" i="335"/>
  <c r="BU43" i="335"/>
  <c r="CA43" i="335"/>
  <c r="BU725" i="338"/>
  <c r="BU726" i="338" s="1"/>
  <c r="CG777" i="338"/>
  <c r="CG783" i="338" s="1"/>
  <c r="AT366" i="335"/>
  <c r="AS367" i="335"/>
  <c r="AO103" i="336"/>
  <c r="AO413" i="338" s="1"/>
  <c r="AP367" i="335"/>
  <c r="AQ367" i="335" s="1"/>
  <c r="AO367" i="335"/>
  <c r="AP321" i="335"/>
  <c r="AT367" i="335"/>
  <c r="AU296" i="335"/>
  <c r="AO296" i="335"/>
  <c r="BA311" i="335"/>
  <c r="AZ96" i="335"/>
  <c r="BF286" i="335"/>
  <c r="BF88" i="335"/>
  <c r="AZ91" i="335"/>
  <c r="AZ328" i="335" s="1"/>
  <c r="AZ88" i="335"/>
  <c r="AZ286" i="335"/>
  <c r="AU87" i="335"/>
  <c r="BA286" i="335" s="1"/>
  <c r="AU312" i="335"/>
  <c r="AU253" i="338"/>
  <c r="BA287" i="335"/>
  <c r="AP89" i="335"/>
  <c r="AP91" i="335"/>
  <c r="AP143" i="335" s="1"/>
  <c r="AP96" i="335"/>
  <c r="AP286" i="335"/>
  <c r="AP88" i="335"/>
  <c r="AP311" i="335"/>
  <c r="CG47" i="11"/>
  <c r="CM289" i="335"/>
  <c r="CG289" i="335"/>
  <c r="CG287" i="335"/>
  <c r="CM287" i="335"/>
  <c r="CG45" i="11"/>
  <c r="CM280" i="335"/>
  <c r="CG43" i="335"/>
  <c r="CM43" i="335"/>
  <c r="BU768" i="338"/>
  <c r="BU139" i="335"/>
  <c r="BO743" i="338"/>
  <c r="BO752" i="338" s="1"/>
  <c r="DU168" i="335"/>
  <c r="DV321" i="335"/>
  <c r="DU296" i="335"/>
  <c r="FV152" i="335"/>
  <c r="CU292" i="335"/>
  <c r="DA292" i="335"/>
  <c r="CU343" i="335"/>
  <c r="CU103" i="336"/>
  <c r="CU413" i="338" s="1"/>
  <c r="CS610" i="338"/>
  <c r="CS167" i="335"/>
  <c r="BM15" i="335"/>
  <c r="BM43" i="11"/>
  <c r="BM480" i="338"/>
  <c r="BM9" i="338"/>
  <c r="BM12" i="338" s="1"/>
  <c r="BM160" i="336"/>
  <c r="BM52" i="335"/>
  <c r="CF162" i="336"/>
  <c r="CI438" i="338"/>
  <c r="CI105" i="335"/>
  <c r="CI52" i="335"/>
  <c r="CJ303" i="335"/>
  <c r="CI43" i="11"/>
  <c r="CO52" i="11" s="1"/>
  <c r="CO16" i="338" s="1"/>
  <c r="CI160" i="336"/>
  <c r="CO278" i="335"/>
  <c r="BB96" i="335"/>
  <c r="BE89" i="335"/>
  <c r="BH88" i="335"/>
  <c r="FS160" i="335"/>
  <c r="DV42" i="335"/>
  <c r="DV330" i="338"/>
  <c r="DV332" i="338" s="1"/>
  <c r="DO367" i="335"/>
  <c r="DN321" i="335"/>
  <c r="BN162" i="336"/>
  <c r="BQ480" i="338"/>
  <c r="BW478" i="338" s="1"/>
  <c r="BR50" i="335"/>
  <c r="BQ105" i="335"/>
  <c r="BQ160" i="336"/>
  <c r="BQ52" i="335"/>
  <c r="BR303" i="335"/>
  <c r="BW278" i="335"/>
  <c r="CS43" i="335"/>
  <c r="DO305" i="335"/>
  <c r="DQ42" i="335"/>
  <c r="DP44" i="335"/>
  <c r="DO44" i="335"/>
  <c r="DO58" i="338"/>
  <c r="DO120" i="11"/>
  <c r="BI225" i="335"/>
  <c r="V394" i="335"/>
  <c r="DB364" i="335"/>
  <c r="BB321" i="335"/>
  <c r="BX317" i="335"/>
  <c r="BK311" i="335"/>
  <c r="AV303" i="335"/>
  <c r="CG225" i="335"/>
  <c r="CC609" i="338"/>
  <c r="BW609" i="338"/>
  <c r="BW615" i="338" s="1"/>
  <c r="BW616" i="338" s="1"/>
  <c r="AE294" i="335"/>
  <c r="AT321" i="335"/>
  <c r="BB296" i="335"/>
  <c r="BN296" i="335"/>
  <c r="BZ317" i="335"/>
  <c r="AW754" i="338"/>
  <c r="AY9" i="338"/>
  <c r="AY12" i="338" s="1"/>
  <c r="AS316" i="338"/>
  <c r="BB366" i="335"/>
  <c r="BF366" i="335"/>
  <c r="BF118" i="336" s="1"/>
  <c r="BH89" i="335"/>
  <c r="BQ88" i="335"/>
  <c r="AV16" i="335"/>
  <c r="BA15" i="335"/>
  <c r="CG191" i="335"/>
  <c r="BM88" i="335"/>
  <c r="AZ317" i="335"/>
  <c r="BA317" i="335"/>
  <c r="BR89" i="335"/>
  <c r="BW311" i="335"/>
  <c r="BG88" i="335"/>
  <c r="CW105" i="335"/>
  <c r="DC15" i="335"/>
  <c r="AY16" i="335"/>
  <c r="AV9" i="338"/>
  <c r="BB15" i="335"/>
  <c r="V393" i="335"/>
  <c r="CD321" i="335"/>
  <c r="BA321" i="335"/>
  <c r="BH311" i="335"/>
  <c r="AU303" i="335"/>
  <c r="BA278" i="335"/>
  <c r="DB139" i="335"/>
  <c r="AZ16" i="335"/>
  <c r="AS103" i="336"/>
  <c r="AS413" i="338" s="1"/>
  <c r="AU9" i="338"/>
  <c r="AU12" i="338" s="1"/>
  <c r="BI611" i="338"/>
  <c r="BH611" i="338" s="1"/>
  <c r="BN88" i="335"/>
  <c r="AV366" i="335"/>
  <c r="BC152" i="335"/>
  <c r="CA152" i="335"/>
  <c r="BA366" i="335"/>
  <c r="BW286" i="335"/>
  <c r="BW88" i="335"/>
  <c r="AV367" i="335"/>
  <c r="AW367" i="335" s="1"/>
  <c r="BW89" i="335"/>
  <c r="AU367" i="335"/>
  <c r="DB311" i="335"/>
  <c r="CX16" i="335"/>
  <c r="DQ225" i="335"/>
  <c r="DJ721" i="338"/>
  <c r="DJ734" i="338" s="1"/>
  <c r="CG280" i="335"/>
  <c r="FJ106" i="336"/>
  <c r="F222" i="336"/>
  <c r="DE40" i="336"/>
  <c r="DE222" i="336" s="1"/>
  <c r="AQ397" i="338"/>
  <c r="BH380" i="335"/>
  <c r="BI380" i="335" s="1"/>
  <c r="CE185" i="336"/>
  <c r="CE198" i="336" s="1"/>
  <c r="DQ195" i="336"/>
  <c r="BO251" i="336"/>
  <c r="BR43" i="336"/>
  <c r="DC21" i="336"/>
  <c r="CS136" i="336"/>
  <c r="DG21" i="336"/>
  <c r="CJ21" i="336"/>
  <c r="CQ609" i="338"/>
  <c r="CQ103" i="336"/>
  <c r="CQ413" i="338" s="1"/>
  <c r="CW292" i="335"/>
  <c r="CQ292" i="335"/>
  <c r="CA723" i="338"/>
  <c r="CG279" i="335"/>
  <c r="CG40" i="335"/>
  <c r="CK367" i="335"/>
  <c r="CI317" i="335"/>
  <c r="CI103" i="336"/>
  <c r="CI413" i="338" s="1"/>
  <c r="CJ317" i="335"/>
  <c r="CL9" i="338"/>
  <c r="CL12" i="338" s="1"/>
  <c r="CL480" i="338"/>
  <c r="CK162" i="336"/>
  <c r="CO16" i="335"/>
  <c r="CL160" i="336"/>
  <c r="CL43" i="11"/>
  <c r="CL303" i="335"/>
  <c r="CL16" i="335"/>
  <c r="CL105" i="335"/>
  <c r="CL317" i="335"/>
  <c r="CQ162" i="336"/>
  <c r="CR480" i="338"/>
  <c r="CX479" i="338" s="1"/>
  <c r="CR161" i="336"/>
  <c r="CR43" i="11"/>
  <c r="CX278" i="335"/>
  <c r="BI281" i="335"/>
  <c r="DE295" i="335"/>
  <c r="EC152" i="335"/>
  <c r="CE292" i="335"/>
  <c r="CY777" i="338"/>
  <c r="CY155" i="335"/>
  <c r="CY167" i="335"/>
  <c r="CS149" i="335"/>
  <c r="DT168" i="335"/>
  <c r="EC100" i="338"/>
  <c r="CW103" i="336"/>
  <c r="CW413" i="338" s="1"/>
  <c r="ER166" i="338"/>
  <c r="ER167" i="338" s="1"/>
  <c r="ES31" i="335"/>
  <c r="AA103" i="336"/>
  <c r="AA413" i="338" s="1"/>
  <c r="BA292" i="335"/>
  <c r="CD292" i="335"/>
  <c r="AZ41" i="3"/>
  <c r="DM144" i="336"/>
  <c r="DQ144" i="336" s="1"/>
  <c r="DS144" i="336"/>
  <c r="Q92" i="3"/>
  <c r="R92" i="3"/>
  <c r="EI82" i="3"/>
  <c r="BA90" i="3"/>
  <c r="BA36" i="3" s="1"/>
  <c r="EC60" i="3"/>
  <c r="EF95" i="3"/>
  <c r="AO29" i="3"/>
  <c r="EG76" i="3"/>
  <c r="EG383" i="335" s="1"/>
  <c r="DC33" i="3"/>
  <c r="BK33" i="3"/>
  <c r="DY76" i="3"/>
  <c r="V21" i="3"/>
  <c r="W21" i="3" s="1"/>
  <c r="EC32" i="3"/>
  <c r="AB9" i="3"/>
  <c r="AC9" i="3" s="1"/>
  <c r="AZ95" i="3"/>
  <c r="CS97" i="3"/>
  <c r="DM95" i="3"/>
  <c r="CG94" i="3"/>
  <c r="BL40" i="3"/>
  <c r="BM40" i="3" s="1"/>
  <c r="BN40" i="3" s="1"/>
  <c r="BO40" i="3" s="1"/>
  <c r="DU95" i="3"/>
  <c r="DJ95" i="3"/>
  <c r="CY92" i="3"/>
  <c r="CM92" i="3"/>
  <c r="CD95" i="3"/>
  <c r="CV66" i="3"/>
  <c r="BF43" i="3"/>
  <c r="BG43" i="3" s="1"/>
  <c r="BU41" i="3"/>
  <c r="BL36" i="3"/>
  <c r="CP84" i="3"/>
  <c r="AN23" i="3"/>
  <c r="AO23" i="3" s="1"/>
  <c r="G417" i="338"/>
  <c r="AC14" i="3"/>
  <c r="BY45" i="3"/>
  <c r="EH95" i="3"/>
  <c r="CI144" i="336"/>
  <c r="CI134" i="336" s="1"/>
  <c r="CI135" i="336" s="1"/>
  <c r="V31" i="3"/>
  <c r="EI41" i="3"/>
  <c r="EI73" i="3"/>
  <c r="EI81" i="3"/>
  <c r="AP83" i="3"/>
  <c r="BO72" i="3"/>
  <c r="EI67" i="3"/>
  <c r="EC73" i="3"/>
  <c r="BU416" i="338"/>
  <c r="DQ416" i="338"/>
  <c r="CG93" i="3"/>
  <c r="AZ43" i="3"/>
  <c r="BA43" i="3" s="1"/>
  <c r="BB43" i="3" s="1"/>
  <c r="BC43" i="3" s="1"/>
  <c r="BE41" i="3"/>
  <c r="BF85" i="3"/>
  <c r="EI400" i="338"/>
  <c r="EI416" i="338"/>
  <c r="AO12" i="3"/>
  <c r="C87" i="3"/>
  <c r="AN31" i="3"/>
  <c r="AO31" i="3" s="1"/>
  <c r="EG45" i="3"/>
  <c r="AO144" i="336"/>
  <c r="EB147" i="336"/>
  <c r="EB148" i="336" s="1"/>
  <c r="EC91" i="3"/>
  <c r="CO95" i="3"/>
  <c r="DP45" i="3"/>
  <c r="DQ45" i="3" s="1"/>
  <c r="CL95" i="3"/>
  <c r="CA417" i="338"/>
  <c r="M400" i="338"/>
  <c r="AZ30" i="3"/>
  <c r="BA30" i="3" s="1"/>
  <c r="BB30" i="3" s="1"/>
  <c r="BA606" i="338"/>
  <c r="BA607" i="338" s="1"/>
  <c r="DW322" i="338"/>
  <c r="EO642" i="338"/>
  <c r="EO572" i="338"/>
  <c r="EO658" i="338"/>
  <c r="DS108" i="338"/>
  <c r="EI84" i="338"/>
  <c r="EO648" i="338"/>
  <c r="EO584" i="338"/>
  <c r="DI412" i="338"/>
  <c r="DI381" i="335" s="1"/>
  <c r="BL412" i="338"/>
  <c r="BL381" i="335" s="1"/>
  <c r="BF214" i="336"/>
  <c r="DD85" i="336"/>
  <c r="DG85" i="336" s="1"/>
  <c r="BC246" i="336"/>
  <c r="CG15" i="336"/>
  <c r="CD268" i="336"/>
  <c r="BI266" i="336"/>
  <c r="BI271" i="336" s="1"/>
  <c r="BO266" i="336" s="1"/>
  <c r="BO271" i="336" s="1"/>
  <c r="V43" i="336"/>
  <c r="CY98" i="336"/>
  <c r="DQ239" i="335"/>
  <c r="FA425" i="338"/>
  <c r="EW550" i="338"/>
  <c r="ER382" i="338"/>
  <c r="EW382" i="338"/>
  <c r="AQ280" i="335"/>
  <c r="AE43" i="335"/>
  <c r="AQ40" i="335"/>
  <c r="DB272" i="338"/>
  <c r="X278" i="335"/>
  <c r="DN366" i="335"/>
  <c r="DT296" i="335"/>
  <c r="DN103" i="336"/>
  <c r="DN413" i="338" s="1"/>
  <c r="CE609" i="338"/>
  <c r="CE612" i="338" s="1"/>
  <c r="CE613" i="338" s="1"/>
  <c r="CE317" i="335"/>
  <c r="CE316" i="338"/>
  <c r="BI50" i="335"/>
  <c r="BC47" i="335"/>
  <c r="BC281" i="335"/>
  <c r="BC50" i="335"/>
  <c r="FW61" i="335"/>
  <c r="DS292" i="335"/>
  <c r="CW609" i="338"/>
  <c r="DC292" i="335"/>
  <c r="CF103" i="336"/>
  <c r="CG103" i="336" s="1"/>
  <c r="CF316" i="338"/>
  <c r="CF321" i="335"/>
  <c r="CK366" i="335"/>
  <c r="DW728" i="338"/>
  <c r="DN54" i="335"/>
  <c r="FT167" i="335"/>
  <c r="DE155" i="335"/>
  <c r="DK47" i="11"/>
  <c r="DK56" i="11" s="1"/>
  <c r="DK289" i="335"/>
  <c r="CE367" i="335"/>
  <c r="BX321" i="335"/>
  <c r="CJ103" i="336"/>
  <c r="CJ413" i="338" s="1"/>
  <c r="CK317" i="335"/>
  <c r="DK295" i="335"/>
  <c r="DW295" i="335"/>
  <c r="BT119" i="336"/>
  <c r="BU119" i="336" s="1"/>
  <c r="E346" i="335"/>
  <c r="E294" i="335"/>
  <c r="DW740" i="338"/>
  <c r="DW761" i="338" s="1"/>
  <c r="DW44" i="11"/>
  <c r="AC296" i="335"/>
  <c r="AC103" i="336"/>
  <c r="AC413" i="338" s="1"/>
  <c r="U348" i="335"/>
  <c r="U103" i="336"/>
  <c r="U413" i="338" s="1"/>
  <c r="H366" i="335"/>
  <c r="H348" i="335"/>
  <c r="Y365" i="335"/>
  <c r="Y316" i="338" s="1"/>
  <c r="X113" i="336"/>
  <c r="Y113" i="336" s="1"/>
  <c r="F92" i="335"/>
  <c r="F100" i="335" s="1"/>
  <c r="G92" i="335"/>
  <c r="G100" i="335" s="1"/>
  <c r="G290" i="335"/>
  <c r="J145" i="336"/>
  <c r="J113" i="336"/>
  <c r="J112" i="336"/>
  <c r="J92" i="335"/>
  <c r="J100" i="335" s="1"/>
  <c r="J111" i="336"/>
  <c r="J346" i="335"/>
  <c r="J114" i="338"/>
  <c r="J365" i="335"/>
  <c r="J148" i="335"/>
  <c r="J343" i="335"/>
  <c r="J99" i="335"/>
  <c r="EM133" i="11"/>
  <c r="EM70" i="11"/>
  <c r="DD159" i="335"/>
  <c r="AM69" i="11"/>
  <c r="AI40" i="335"/>
  <c r="AN173" i="338"/>
  <c r="S149" i="335"/>
  <c r="AE152" i="335"/>
  <c r="S148" i="335"/>
  <c r="Y152" i="335"/>
  <c r="AC279" i="335"/>
  <c r="AU133" i="11"/>
  <c r="DE133" i="11"/>
  <c r="DT70" i="11"/>
  <c r="BT105" i="335"/>
  <c r="BW16" i="335"/>
  <c r="BS162" i="336"/>
  <c r="BY52" i="335"/>
  <c r="BZ50" i="335"/>
  <c r="BY9" i="338"/>
  <c r="BA89" i="335"/>
  <c r="BI740" i="338"/>
  <c r="X393" i="335"/>
  <c r="CD367" i="335"/>
  <c r="DG364" i="335"/>
  <c r="BE364" i="335"/>
  <c r="X328" i="335"/>
  <c r="BQ321" i="335"/>
  <c r="AU321" i="335"/>
  <c r="CD317" i="335"/>
  <c r="AZ303" i="335"/>
  <c r="CC139" i="335"/>
  <c r="BE105" i="335"/>
  <c r="AZ52" i="335"/>
  <c r="BH50" i="335"/>
  <c r="AJ88" i="335"/>
  <c r="BU252" i="336"/>
  <c r="CD609" i="338"/>
  <c r="CD612" i="338" s="1"/>
  <c r="CD613" i="338" s="1"/>
  <c r="BS56" i="11"/>
  <c r="CE55" i="11"/>
  <c r="BX54" i="11"/>
  <c r="BG9" i="338"/>
  <c r="DE280" i="335"/>
  <c r="DE156" i="335"/>
  <c r="DK158" i="335" s="1"/>
  <c r="BK69" i="11"/>
  <c r="AC14" i="335"/>
  <c r="AC172" i="338" s="1"/>
  <c r="AH9" i="338"/>
  <c r="O87" i="335"/>
  <c r="Y151" i="335"/>
  <c r="DC158" i="335"/>
  <c r="AC41" i="335"/>
  <c r="CC133" i="11"/>
  <c r="DJ133" i="11"/>
  <c r="BT160" i="336"/>
  <c r="BY161" i="336"/>
  <c r="BY438" i="338"/>
  <c r="CE436" i="338" s="1"/>
  <c r="BR367" i="335"/>
  <c r="DD364" i="335"/>
  <c r="DE364" i="335" s="1"/>
  <c r="BN321" i="335"/>
  <c r="CX139" i="335"/>
  <c r="AJ96" i="335"/>
  <c r="BF50" i="335"/>
  <c r="AZ15" i="335"/>
  <c r="F116" i="336"/>
  <c r="BA609" i="338"/>
  <c r="CG160" i="335"/>
  <c r="BG480" i="338"/>
  <c r="BE43" i="11"/>
  <c r="BE52" i="11" s="1"/>
  <c r="BE16" i="338" s="1"/>
  <c r="BE9" i="338"/>
  <c r="BE12" i="338" s="1"/>
  <c r="CA281" i="335"/>
  <c r="AW47" i="335"/>
  <c r="BO245" i="335"/>
  <c r="BE480" i="338"/>
  <c r="BL316" i="338"/>
  <c r="BL317" i="338" s="1"/>
  <c r="DB56" i="11"/>
  <c r="CE56" i="11"/>
  <c r="BT56" i="11"/>
  <c r="CF55" i="11"/>
  <c r="CD54" i="11"/>
  <c r="BY54" i="11"/>
  <c r="EW402" i="335"/>
  <c r="EX402" i="335" s="1"/>
  <c r="EY402" i="335" s="1"/>
  <c r="EZ402" i="335" s="1"/>
  <c r="FC402" i="335" s="1"/>
  <c r="AZ292" i="335"/>
  <c r="BR360" i="335"/>
  <c r="DM356" i="335"/>
  <c r="BN254" i="338"/>
  <c r="BZ54" i="11"/>
  <c r="BZ63" i="11" s="1"/>
  <c r="CD53" i="11"/>
  <c r="CC167" i="336"/>
  <c r="EA78" i="11"/>
  <c r="EA82" i="11" s="1"/>
  <c r="CM55" i="11"/>
  <c r="DY360" i="335"/>
  <c r="DS360" i="335"/>
  <c r="DH356" i="335"/>
  <c r="DC356" i="335"/>
  <c r="BM356" i="335"/>
  <c r="BX253" i="338"/>
  <c r="BX254" i="338" s="1"/>
  <c r="BW260" i="338"/>
  <c r="AG254" i="338"/>
  <c r="DD56" i="11"/>
  <c r="CD55" i="11"/>
  <c r="CF54" i="11"/>
  <c r="EI10" i="335"/>
  <c r="BB360" i="335"/>
  <c r="DZ356" i="335"/>
  <c r="DQ378" i="335"/>
  <c r="DS402" i="335"/>
  <c r="BO378" i="335"/>
  <c r="BU402" i="335" s="1"/>
  <c r="BU405" i="335" s="1"/>
  <c r="BQ402" i="335"/>
  <c r="BQ405" i="335" s="1"/>
  <c r="DJ168" i="336"/>
  <c r="DJ167" i="336"/>
  <c r="DS436" i="338"/>
  <c r="DS437" i="338"/>
  <c r="BZ56" i="11"/>
  <c r="BZ65" i="11" s="1"/>
  <c r="CF56" i="11"/>
  <c r="BW55" i="11"/>
  <c r="CC55" i="11"/>
  <c r="DP70" i="11"/>
  <c r="DP133" i="11"/>
  <c r="DK133" i="11"/>
  <c r="DK70" i="11"/>
  <c r="CW70" i="11"/>
  <c r="CW133" i="11"/>
  <c r="CI70" i="11"/>
  <c r="CI133" i="11"/>
  <c r="CD133" i="11"/>
  <c r="CD70" i="11"/>
  <c r="BY70" i="11"/>
  <c r="BY133" i="11"/>
  <c r="BF70" i="11"/>
  <c r="BF133" i="11"/>
  <c r="AH70" i="11"/>
  <c r="AH133" i="11"/>
  <c r="X133" i="11"/>
  <c r="X70" i="11"/>
  <c r="DB260" i="338"/>
  <c r="DH260" i="338"/>
  <c r="BU10" i="335"/>
  <c r="DU48" i="11"/>
  <c r="DV77" i="335"/>
  <c r="DW75" i="335"/>
  <c r="CE54" i="11"/>
  <c r="CC53" i="11"/>
  <c r="DM132" i="11"/>
  <c r="CM133" i="11"/>
  <c r="DS93" i="11"/>
  <c r="DS97" i="11" s="1"/>
  <c r="BT133" i="11"/>
  <c r="CA744" i="338"/>
  <c r="CR133" i="11"/>
  <c r="DB133" i="11"/>
  <c r="DG133" i="11"/>
  <c r="J70" i="11"/>
  <c r="BI378" i="335"/>
  <c r="BO402" i="335" s="1"/>
  <c r="CS127" i="336"/>
  <c r="U69" i="11"/>
  <c r="EI322" i="338"/>
  <c r="BO70" i="11"/>
  <c r="DC56" i="11"/>
  <c r="BT54" i="11"/>
  <c r="AS132" i="11"/>
  <c r="S133" i="11"/>
  <c r="AQ70" i="11"/>
  <c r="BO769" i="338"/>
  <c r="CD360" i="335"/>
  <c r="CC360" i="335"/>
  <c r="DB360" i="335"/>
  <c r="DQ11" i="335"/>
  <c r="BC11" i="335"/>
  <c r="S11" i="335"/>
  <c r="AK10" i="335"/>
  <c r="AE10" i="335"/>
  <c r="Y10" i="335"/>
  <c r="BO48" i="11"/>
  <c r="BK360" i="335"/>
  <c r="BU752" i="338"/>
  <c r="BU322" i="338"/>
  <c r="EB356" i="335"/>
  <c r="AI360" i="335"/>
  <c r="BC10" i="335"/>
  <c r="EL464" i="338"/>
  <c r="EL468" i="338" s="1"/>
  <c r="BC70" i="11"/>
  <c r="EU133" i="11"/>
  <c r="DA132" i="11"/>
  <c r="C69" i="11"/>
  <c r="DZ436" i="338"/>
  <c r="AH360" i="335"/>
  <c r="EO382" i="338"/>
  <c r="EO425" i="338"/>
  <c r="DW425" i="338"/>
  <c r="DW550" i="338"/>
  <c r="DQ382" i="338"/>
  <c r="DQ550" i="338"/>
  <c r="EG425" i="338"/>
  <c r="EG382" i="338"/>
  <c r="EG550" i="338"/>
  <c r="DE10" i="335"/>
  <c r="AW10" i="335"/>
  <c r="FS65" i="335"/>
  <c r="DN65" i="335"/>
  <c r="DT65" i="335" s="1"/>
  <c r="DZ65" i="335" s="1"/>
  <c r="DA429" i="338"/>
  <c r="DA430" i="338"/>
  <c r="DC101" i="338"/>
  <c r="BG57" i="11"/>
  <c r="BI48" i="11"/>
  <c r="BI57" i="11" s="1"/>
  <c r="DA56" i="11"/>
  <c r="DG56" i="11"/>
  <c r="BG53" i="11"/>
  <c r="BI44" i="11"/>
  <c r="BI53" i="11" s="1"/>
  <c r="EG70" i="11"/>
  <c r="EG133" i="11"/>
  <c r="EB133" i="11"/>
  <c r="EB70" i="11"/>
  <c r="DS133" i="11"/>
  <c r="DS70" i="11"/>
  <c r="DN70" i="11"/>
  <c r="DN133" i="11"/>
  <c r="DI133" i="11"/>
  <c r="DI70" i="11"/>
  <c r="CY133" i="11"/>
  <c r="CY70" i="11"/>
  <c r="CU70" i="11"/>
  <c r="CU133" i="11"/>
  <c r="CF133" i="11"/>
  <c r="CF70" i="11"/>
  <c r="AJ133" i="11"/>
  <c r="AJ70" i="11"/>
  <c r="AA133" i="11"/>
  <c r="AA70" i="11"/>
  <c r="V133" i="11"/>
  <c r="V70" i="11"/>
  <c r="L133" i="11"/>
  <c r="L70" i="11"/>
  <c r="H133" i="11"/>
  <c r="H70" i="11"/>
  <c r="D133" i="11"/>
  <c r="D70" i="11"/>
  <c r="DY132" i="11"/>
  <c r="DY69" i="11"/>
  <c r="CC69" i="11"/>
  <c r="CC132" i="11"/>
  <c r="BE69" i="11"/>
  <c r="BE132" i="11"/>
  <c r="CA13" i="11"/>
  <c r="BZ357" i="335"/>
  <c r="BZ25" i="11"/>
  <c r="CF25" i="11"/>
  <c r="BY53" i="11"/>
  <c r="BY62" i="11" s="1"/>
  <c r="EC10" i="335"/>
  <c r="DU360" i="335"/>
  <c r="DA360" i="335"/>
  <c r="CE360" i="335"/>
  <c r="BF360" i="335"/>
  <c r="BA360" i="335"/>
  <c r="DY356" i="335"/>
  <c r="DU356" i="335"/>
  <c r="DS356" i="335"/>
  <c r="DI356" i="335"/>
  <c r="DD356" i="335"/>
  <c r="DB356" i="335"/>
  <c r="CX356" i="335"/>
  <c r="DW12" i="335"/>
  <c r="DQ12" i="335"/>
  <c r="DW11" i="335"/>
  <c r="BO11" i="335"/>
  <c r="BI11" i="335"/>
  <c r="AW11" i="335"/>
  <c r="AQ11" i="335"/>
  <c r="AK11" i="335"/>
  <c r="AE11" i="335"/>
  <c r="Y11" i="335"/>
  <c r="DW10" i="335"/>
  <c r="DQ10" i="335"/>
  <c r="S10" i="335"/>
  <c r="BN360" i="335"/>
  <c r="BS360" i="335"/>
  <c r="EI11" i="335"/>
  <c r="BX167" i="336"/>
  <c r="EE187" i="336"/>
  <c r="CY378" i="335"/>
  <c r="DE402" i="335" s="1"/>
  <c r="DJ412" i="338"/>
  <c r="DJ381" i="335" s="1"/>
  <c r="DI86" i="336"/>
  <c r="DI447" i="335" s="1"/>
  <c r="BU106" i="336"/>
  <c r="D224" i="336"/>
  <c r="D222" i="336"/>
  <c r="D380" i="335"/>
  <c r="CF408" i="338"/>
  <c r="CG408" i="338" s="1"/>
  <c r="BO196" i="336"/>
  <c r="CW171" i="336"/>
  <c r="CW148" i="336"/>
  <c r="DZ76" i="336"/>
  <c r="DY437" i="335"/>
  <c r="BL43" i="336"/>
  <c r="EA414" i="335"/>
  <c r="F397" i="338"/>
  <c r="AE124" i="336"/>
  <c r="EB343" i="338"/>
  <c r="AP21" i="336"/>
  <c r="AQ21" i="336" s="1"/>
  <c r="BK214" i="336"/>
  <c r="AS148" i="336"/>
  <c r="CF124" i="336"/>
  <c r="Y45" i="336"/>
  <c r="CM397" i="338"/>
  <c r="EB61" i="336"/>
  <c r="EB422" i="335" s="1"/>
  <c r="EA422" i="335"/>
  <c r="CO402" i="335"/>
  <c r="DS78" i="11"/>
  <c r="DS82" i="11" s="1"/>
  <c r="DT78" i="11"/>
  <c r="DT82" i="11" s="1"/>
  <c r="BO10" i="335"/>
  <c r="CY10" i="335"/>
  <c r="DN64" i="335"/>
  <c r="CE133" i="11"/>
  <c r="EN70" i="11"/>
  <c r="DZ133" i="11"/>
  <c r="AW70" i="11"/>
  <c r="EC12" i="335"/>
  <c r="EU417" i="335"/>
  <c r="BM230" i="338"/>
  <c r="BU360" i="335"/>
  <c r="AG397" i="335"/>
  <c r="BG133" i="11"/>
  <c r="AV70" i="11"/>
  <c r="AC70" i="11"/>
  <c r="DG402" i="335"/>
  <c r="DC266" i="338"/>
  <c r="CC56" i="11"/>
  <c r="BY55" i="11"/>
  <c r="BI46" i="11"/>
  <c r="BO45" i="11"/>
  <c r="BO44" i="11"/>
  <c r="EC11" i="335"/>
  <c r="CO360" i="335"/>
  <c r="EH356" i="335"/>
  <c r="DM437" i="338"/>
  <c r="DM439" i="338" s="1"/>
  <c r="DG439" i="338"/>
  <c r="BI10" i="335"/>
  <c r="EA167" i="338"/>
  <c r="EG167" i="338"/>
  <c r="EW133" i="11"/>
  <c r="EW70" i="11"/>
  <c r="FA133" i="11"/>
  <c r="FA70" i="11"/>
  <c r="EL425" i="338"/>
  <c r="EL382" i="338"/>
  <c r="EC550" i="338"/>
  <c r="EC425" i="338"/>
  <c r="DS425" i="338"/>
  <c r="DS550" i="338"/>
  <c r="DS382" i="338"/>
  <c r="DN425" i="338"/>
  <c r="DN550" i="338"/>
  <c r="DI550" i="338"/>
  <c r="DI382" i="338"/>
  <c r="DD425" i="338"/>
  <c r="DD550" i="338"/>
  <c r="DD382" i="338"/>
  <c r="CP382" i="338"/>
  <c r="CP425" i="338"/>
  <c r="EE76" i="335"/>
  <c r="DY87" i="335"/>
  <c r="EE286" i="335"/>
  <c r="DZ77" i="335"/>
  <c r="DY139" i="335"/>
  <c r="EB425" i="338"/>
  <c r="EB550" i="338"/>
  <c r="EK48" i="11"/>
  <c r="CF168" i="336"/>
  <c r="DE11" i="335"/>
  <c r="BY355" i="335"/>
  <c r="CE24" i="11"/>
  <c r="BY24" i="11"/>
  <c r="EE356" i="335"/>
  <c r="BC137" i="11"/>
  <c r="BG142" i="11"/>
  <c r="BA139" i="11"/>
  <c r="BG144" i="11" s="1"/>
  <c r="BA142" i="11"/>
  <c r="EA89" i="11"/>
  <c r="DU93" i="11"/>
  <c r="DU97" i="11" s="1"/>
  <c r="DW89" i="11"/>
  <c r="DW93" i="11" s="1"/>
  <c r="DW97" i="11" s="1"/>
  <c r="DW74" i="11"/>
  <c r="DW78" i="11" s="1"/>
  <c r="DW82" i="11" s="1"/>
  <c r="DV78" i="11"/>
  <c r="DV82" i="11" s="1"/>
  <c r="BM56" i="11"/>
  <c r="BO47" i="11"/>
  <c r="BU56" i="11" s="1"/>
  <c r="BG56" i="11"/>
  <c r="BI47" i="11"/>
  <c r="BT55" i="11"/>
  <c r="BZ55" i="11"/>
  <c r="BZ64" i="11" s="1"/>
  <c r="BO46" i="11"/>
  <c r="BU55" i="11" s="1"/>
  <c r="BN55" i="11"/>
  <c r="CC54" i="11"/>
  <c r="BW54" i="11"/>
  <c r="BF54" i="11"/>
  <c r="BI45" i="11"/>
  <c r="DW133" i="11"/>
  <c r="DW70" i="11"/>
  <c r="DD133" i="11"/>
  <c r="DD70" i="11"/>
  <c r="CP133" i="11"/>
  <c r="CP70" i="11"/>
  <c r="CK133" i="11"/>
  <c r="CK70" i="11"/>
  <c r="BW133" i="11"/>
  <c r="BW70" i="11"/>
  <c r="BR133" i="11"/>
  <c r="BR70" i="11"/>
  <c r="BM133" i="11"/>
  <c r="BM70" i="11"/>
  <c r="BH133" i="11"/>
  <c r="BH70" i="11"/>
  <c r="AY133" i="11"/>
  <c r="AY70" i="11"/>
  <c r="AT133" i="11"/>
  <c r="AT70" i="11"/>
  <c r="AO133" i="11"/>
  <c r="AO70" i="11"/>
  <c r="AE133" i="11"/>
  <c r="AE70" i="11"/>
  <c r="F133" i="11"/>
  <c r="F70" i="11"/>
  <c r="CU132" i="11"/>
  <c r="CU69" i="11"/>
  <c r="AY69" i="11"/>
  <c r="AY132" i="11"/>
  <c r="EB53" i="11"/>
  <c r="EL77" i="335"/>
  <c r="AT360" i="335"/>
  <c r="EG356" i="335"/>
  <c r="ET167" i="338"/>
  <c r="EK77" i="335"/>
  <c r="EM53" i="11"/>
  <c r="EH48" i="11"/>
  <c r="CS11" i="335"/>
  <c r="EH139" i="335"/>
  <c r="EH76" i="335"/>
  <c r="CS735" i="338"/>
  <c r="CG143" i="11"/>
  <c r="CY11" i="335"/>
  <c r="EB78" i="11"/>
  <c r="EB82" i="11" s="1"/>
  <c r="EC74" i="11"/>
  <c r="EH74" i="11"/>
  <c r="EH78" i="11" s="1"/>
  <c r="EH82" i="11" s="1"/>
  <c r="CX229" i="338"/>
  <c r="CE478" i="338"/>
  <c r="EI12" i="335"/>
  <c r="EZ382" i="338"/>
  <c r="BS412" i="338"/>
  <c r="BS381" i="335" s="1"/>
  <c r="EC398" i="338"/>
  <c r="DE398" i="338"/>
  <c r="BO106" i="336"/>
  <c r="AQ398" i="338"/>
  <c r="CV436" i="335"/>
  <c r="CW84" i="336"/>
  <c r="CX84" i="336" s="1"/>
  <c r="CS45" i="336"/>
  <c r="CS46" i="336" s="1"/>
  <c r="DI198" i="336"/>
  <c r="EB21" i="336"/>
  <c r="EC21" i="336" s="1"/>
  <c r="BT21" i="336"/>
  <c r="BU21" i="336" s="1"/>
  <c r="BH125" i="336"/>
  <c r="BG124" i="336"/>
  <c r="AT30" i="336"/>
  <c r="AT35" i="336" s="1"/>
  <c r="AT43" i="336" s="1"/>
  <c r="D379" i="335"/>
  <c r="BH206" i="336"/>
  <c r="CW195" i="336"/>
  <c r="CD174" i="336"/>
  <c r="CF174" i="336" s="1"/>
  <c r="CV171" i="336"/>
  <c r="BA125" i="336"/>
  <c r="DI35" i="336"/>
  <c r="DI43" i="336" s="1"/>
  <c r="DC35" i="336"/>
  <c r="DC43" i="336" s="1"/>
  <c r="F30" i="336"/>
  <c r="F35" i="336" s="1"/>
  <c r="F43" i="336" s="1"/>
  <c r="CC35" i="336"/>
  <c r="DM21" i="336"/>
  <c r="AZ407" i="338"/>
  <c r="AZ412" i="338" s="1"/>
  <c r="AZ381" i="335" s="1"/>
  <c r="DY408" i="338"/>
  <c r="EB35" i="336"/>
  <c r="EC35" i="336" s="1"/>
  <c r="DD35" i="336"/>
  <c r="DE35" i="336" s="1"/>
  <c r="AJ35" i="336"/>
  <c r="AZ397" i="338"/>
  <c r="BG125" i="336"/>
  <c r="BG408" i="338"/>
  <c r="AH378" i="335"/>
  <c r="CI377" i="335"/>
  <c r="BY213" i="336"/>
  <c r="BY214" i="336" s="1"/>
  <c r="DE187" i="336"/>
  <c r="CG175" i="336"/>
  <c r="CF175" i="336" s="1"/>
  <c r="CR173" i="336"/>
  <c r="BE178" i="336"/>
  <c r="AQ171" i="336"/>
  <c r="BE125" i="336"/>
  <c r="AZ125" i="336"/>
  <c r="K40" i="336"/>
  <c r="G40" i="336"/>
  <c r="G224" i="336" s="1"/>
  <c r="I40" i="336"/>
  <c r="I380" i="335" s="1"/>
  <c r="BC124" i="336"/>
  <c r="AO407" i="338"/>
  <c r="AO412" i="338" s="1"/>
  <c r="AO381" i="335" s="1"/>
  <c r="EM13" i="336"/>
  <c r="EN13" i="336" s="1"/>
  <c r="EN20" i="336" s="1"/>
  <c r="CL35" i="336"/>
  <c r="BG15" i="336"/>
  <c r="BG21" i="336" s="1"/>
  <c r="BO179" i="336"/>
  <c r="O35" i="336"/>
  <c r="O43" i="336" s="1"/>
  <c r="BI398" i="338"/>
  <c r="BN412" i="338"/>
  <c r="BN381" i="335" s="1"/>
  <c r="CG397" i="338"/>
  <c r="BI397" i="338"/>
  <c r="AE397" i="338"/>
  <c r="DC148" i="336"/>
  <c r="DO167" i="336"/>
  <c r="EG73" i="336"/>
  <c r="EG434" i="335" s="1"/>
  <c r="AP412" i="338"/>
  <c r="AP381" i="335" s="1"/>
  <c r="CV167" i="336"/>
  <c r="BH174" i="336"/>
  <c r="AK397" i="338"/>
  <c r="DI167" i="336"/>
  <c r="CG141" i="335"/>
  <c r="BT286" i="335"/>
  <c r="BC30" i="336"/>
  <c r="DS167" i="336"/>
  <c r="BC179" i="336"/>
  <c r="CG243" i="336"/>
  <c r="CG250" i="336" s="1"/>
  <c r="BK183" i="336"/>
  <c r="BL184" i="336" s="1"/>
  <c r="AV30" i="336"/>
  <c r="AW30" i="336" s="1"/>
  <c r="BG43" i="336"/>
  <c r="DD57" i="336"/>
  <c r="DG57" i="336" s="1"/>
  <c r="BI251" i="336"/>
  <c r="CJ291" i="336"/>
  <c r="DD174" i="336"/>
  <c r="DE174" i="336" s="1"/>
  <c r="DY168" i="336"/>
  <c r="DM168" i="336"/>
  <c r="AE15" i="336"/>
  <c r="AZ45" i="336"/>
  <c r="CW198" i="336"/>
  <c r="AZ378" i="335"/>
  <c r="CK125" i="336"/>
  <c r="CE124" i="336"/>
  <c r="J40" i="336"/>
  <c r="J380" i="335" s="1"/>
  <c r="R30" i="336"/>
  <c r="DQ398" i="338"/>
  <c r="CS398" i="338"/>
  <c r="CG398" i="338"/>
  <c r="BI106" i="336"/>
  <c r="AE398" i="338"/>
  <c r="CS28" i="336"/>
  <c r="CE35" i="336"/>
  <c r="CE43" i="336" s="1"/>
  <c r="CR178" i="336"/>
  <c r="F224" i="336"/>
  <c r="CF148" i="336"/>
  <c r="DG43" i="336"/>
  <c r="BU175" i="336"/>
  <c r="AT148" i="336"/>
  <c r="AZ15" i="336"/>
  <c r="AZ21" i="336" s="1"/>
  <c r="BC175" i="336"/>
  <c r="CE408" i="338"/>
  <c r="CE148" i="336"/>
  <c r="DN148" i="336"/>
  <c r="R21" i="336"/>
  <c r="S21" i="336" s="1"/>
  <c r="AP30" i="336"/>
  <c r="AP35" i="336" s="1"/>
  <c r="AQ35" i="336" s="1"/>
  <c r="X379" i="335"/>
  <c r="Y379" i="335" s="1"/>
  <c r="CF377" i="335"/>
  <c r="CG377" i="335" s="1"/>
  <c r="BI192" i="336"/>
  <c r="BI196" i="336" s="1"/>
  <c r="BU192" i="336"/>
  <c r="BU196" i="336" s="1"/>
  <c r="CF125" i="336"/>
  <c r="CI35" i="336"/>
  <c r="CI43" i="336" s="1"/>
  <c r="CF380" i="335"/>
  <c r="CG380" i="335" s="1"/>
  <c r="CG40" i="336"/>
  <c r="CG222" i="336" s="1"/>
  <c r="BQ43" i="336"/>
  <c r="BQ380" i="335"/>
  <c r="CS30" i="336"/>
  <c r="CR35" i="336"/>
  <c r="CG38" i="336"/>
  <c r="BZ30" i="336"/>
  <c r="G397" i="338"/>
  <c r="P35" i="336"/>
  <c r="P43" i="336" s="1"/>
  <c r="CM127" i="336"/>
  <c r="AQ124" i="336"/>
  <c r="DE45" i="336"/>
  <c r="DE46" i="336" s="1"/>
  <c r="CA95" i="336"/>
  <c r="CK148" i="336"/>
  <c r="DY148" i="336"/>
  <c r="CQ21" i="336"/>
  <c r="BO254" i="336"/>
  <c r="Q35" i="336"/>
  <c r="Q43" i="336" s="1"/>
  <c r="CO30" i="336"/>
  <c r="CO35" i="336" s="1"/>
  <c r="CO43" i="336" s="1"/>
  <c r="CC21" i="336"/>
  <c r="AO15" i="336"/>
  <c r="AO21" i="336" s="1"/>
  <c r="DN21" i="336"/>
  <c r="DB21" i="336"/>
  <c r="CW35" i="336"/>
  <c r="CW43" i="336" s="1"/>
  <c r="CD35" i="336"/>
  <c r="CD43" i="336" s="1"/>
  <c r="M30" i="336"/>
  <c r="M35" i="336" s="1"/>
  <c r="M43" i="336" s="1"/>
  <c r="I30" i="336"/>
  <c r="I35" i="336" s="1"/>
  <c r="DV148" i="336"/>
  <c r="DP148" i="336"/>
  <c r="CU148" i="336"/>
  <c r="CO148" i="336"/>
  <c r="CI148" i="336"/>
  <c r="CA94" i="336"/>
  <c r="BO45" i="336"/>
  <c r="BM412" i="338"/>
  <c r="BM381" i="335" s="1"/>
  <c r="AI412" i="338"/>
  <c r="AI381" i="335" s="1"/>
  <c r="DP331" i="338"/>
  <c r="DT168" i="336"/>
  <c r="BU397" i="338"/>
  <c r="CE167" i="336"/>
  <c r="DT169" i="336"/>
  <c r="DP412" i="338"/>
  <c r="DP381" i="335" s="1"/>
  <c r="EH412" i="338"/>
  <c r="EH381" i="335" s="1"/>
  <c r="CA144" i="336"/>
  <c r="CA139" i="336" s="1"/>
  <c r="CA140" i="336" s="1"/>
  <c r="DU186" i="336"/>
  <c r="DU174" i="336" s="1"/>
  <c r="DV187" i="336"/>
  <c r="EB187" i="336"/>
  <c r="CI169" i="336"/>
  <c r="DP167" i="336"/>
  <c r="CX412" i="338"/>
  <c r="CX381" i="335" s="1"/>
  <c r="DY198" i="336"/>
  <c r="BX168" i="336"/>
  <c r="CG378" i="335"/>
  <c r="CM402" i="335" s="1"/>
  <c r="DP187" i="336"/>
  <c r="CK167" i="336"/>
  <c r="BC45" i="336"/>
  <c r="DV412" i="338"/>
  <c r="DV381" i="335" s="1"/>
  <c r="CU402" i="335"/>
  <c r="DP168" i="336"/>
  <c r="CF412" i="338"/>
  <c r="CF381" i="335" s="1"/>
  <c r="CA45" i="336"/>
  <c r="CK168" i="336"/>
  <c r="BO124" i="336"/>
  <c r="CD167" i="336"/>
  <c r="DD167" i="336"/>
  <c r="EG168" i="336"/>
  <c r="BW402" i="335"/>
  <c r="BW405" i="335" s="1"/>
  <c r="DP201" i="336"/>
  <c r="S124" i="336"/>
  <c r="DY99" i="336"/>
  <c r="DI99" i="336"/>
  <c r="EU411" i="335"/>
  <c r="DK45" i="336"/>
  <c r="DK46" i="336" s="1"/>
  <c r="CS98" i="336"/>
  <c r="S45" i="336"/>
  <c r="EQ425" i="338"/>
  <c r="DM360" i="335"/>
  <c r="AH124" i="11"/>
  <c r="BC91" i="11"/>
  <c r="BI95" i="11" s="1"/>
  <c r="BO25" i="11"/>
  <c r="AQ25" i="11"/>
  <c r="BL145" i="11"/>
  <c r="BO738" i="338"/>
  <c r="AE293" i="335"/>
  <c r="F367" i="335"/>
  <c r="F369" i="335" s="1"/>
  <c r="BX55" i="11"/>
  <c r="AP278" i="335"/>
  <c r="CM322" i="338"/>
  <c r="BO322" i="338"/>
  <c r="BU120" i="11"/>
  <c r="CP121" i="11"/>
  <c r="CV125" i="11"/>
  <c r="CV130" i="11" s="1"/>
  <c r="AD93" i="11"/>
  <c r="AD91" i="11"/>
  <c r="DB80" i="11"/>
  <c r="DB84" i="11" s="1"/>
  <c r="DE322" i="338"/>
  <c r="CG322" i="338"/>
  <c r="BC322" i="338"/>
  <c r="AD112" i="11"/>
  <c r="EH35" i="338"/>
  <c r="AW322" i="338"/>
  <c r="Y322" i="338"/>
  <c r="CP283" i="338"/>
  <c r="CP387" i="335"/>
  <c r="CW387" i="335"/>
  <c r="CP301" i="338"/>
  <c r="CP303" i="338"/>
  <c r="EK283" i="338"/>
  <c r="CU316" i="338"/>
  <c r="EC322" i="338"/>
  <c r="EC254" i="338"/>
  <c r="CV301" i="338"/>
  <c r="S387" i="335"/>
  <c r="EI254" i="338"/>
  <c r="EG48" i="11"/>
  <c r="EG77" i="335"/>
  <c r="DI606" i="338"/>
  <c r="DI607" i="338" s="1"/>
  <c r="DZ634" i="338"/>
  <c r="DZ670" i="338"/>
  <c r="DT670" i="338"/>
  <c r="DT634" i="338"/>
  <c r="DZ646" i="338"/>
  <c r="DZ640" i="338"/>
  <c r="DZ664" i="338"/>
  <c r="DT664" i="338"/>
  <c r="DT646" i="338"/>
  <c r="DS658" i="338"/>
  <c r="DM664" i="338"/>
  <c r="DS628" i="338"/>
  <c r="DS670" i="338"/>
  <c r="DM640" i="338"/>
  <c r="DM606" i="338"/>
  <c r="DM670" i="338"/>
  <c r="DS646" i="338"/>
  <c r="DM628" i="338"/>
  <c r="DG664" i="338"/>
  <c r="DG670" i="338"/>
  <c r="DA628" i="338"/>
  <c r="DA670" i="338"/>
  <c r="DA664" i="338"/>
  <c r="CU606" i="338"/>
  <c r="CU670" i="338"/>
  <c r="CU628" i="338"/>
  <c r="CU664" i="338"/>
  <c r="CO628" i="338"/>
  <c r="CO606" i="338"/>
  <c r="CO607" i="338" s="1"/>
  <c r="CO670" i="338"/>
  <c r="CC658" i="338"/>
  <c r="CC628" i="338"/>
  <c r="CC606" i="338"/>
  <c r="CC607" i="338"/>
  <c r="CI629" i="338" s="1"/>
  <c r="CC670" i="338"/>
  <c r="BW670" i="338"/>
  <c r="BW634" i="338"/>
  <c r="BW628" i="338"/>
  <c r="BQ628" i="338"/>
  <c r="BQ664" i="338"/>
  <c r="BQ606" i="338"/>
  <c r="BQ670" i="338"/>
  <c r="CF605" i="338"/>
  <c r="BH587" i="338"/>
  <c r="BH588" i="338" s="1"/>
  <c r="DM648" i="338"/>
  <c r="DM578" i="338"/>
  <c r="DI642" i="338"/>
  <c r="DI572" i="338"/>
  <c r="CW570" i="338"/>
  <c r="CK630" i="338"/>
  <c r="DP552" i="338"/>
  <c r="BN605" i="338"/>
  <c r="BN556" i="338"/>
  <c r="BN557" i="338" s="1"/>
  <c r="EG387" i="335"/>
  <c r="EE301" i="338"/>
  <c r="CL600" i="338"/>
  <c r="CL601" i="338" s="1"/>
  <c r="CX600" i="338"/>
  <c r="CX601" i="338" s="1"/>
  <c r="BZ600" i="338"/>
  <c r="BZ601" i="338" s="1"/>
  <c r="BT594" i="338"/>
  <c r="BT595" i="338" s="1"/>
  <c r="DQ137" i="338"/>
  <c r="EI89" i="338"/>
  <c r="Y289" i="338"/>
  <c r="AW289" i="338"/>
  <c r="Y287" i="338"/>
  <c r="BU222" i="338"/>
  <c r="CM215" i="338"/>
  <c r="DU606" i="338"/>
  <c r="DU607" i="338" s="1"/>
  <c r="DB606" i="338"/>
  <c r="DB607" i="338" s="1"/>
  <c r="BX606" i="338"/>
  <c r="BX607" i="338" s="1"/>
  <c r="CD635" i="338" s="1"/>
  <c r="CD633" i="338" s="1"/>
  <c r="CF600" i="338"/>
  <c r="CF601" i="338" s="1"/>
  <c r="BH600" i="338"/>
  <c r="BH601" i="338"/>
  <c r="BN672" i="338" s="1"/>
  <c r="CX594" i="338"/>
  <c r="CX595" i="338" s="1"/>
  <c r="BZ594" i="338"/>
  <c r="BZ595" i="338" s="1"/>
  <c r="DJ594" i="338"/>
  <c r="DJ595" i="338" s="1"/>
  <c r="DP666" i="338" s="1"/>
  <c r="CL594" i="338"/>
  <c r="CL595" i="338" s="1"/>
  <c r="BN594" i="338"/>
  <c r="BN595" i="338" s="1"/>
  <c r="CX587" i="338"/>
  <c r="CX588" i="338" s="1"/>
  <c r="BZ604" i="338"/>
  <c r="DJ580" i="338"/>
  <c r="DJ579" i="338"/>
  <c r="DJ604" i="338"/>
  <c r="BN562" i="338"/>
  <c r="BN563" i="338" s="1"/>
  <c r="EE283" i="338"/>
  <c r="CE283" i="338"/>
  <c r="AK286" i="338"/>
  <c r="BI285" i="338"/>
  <c r="AK285" i="338"/>
  <c r="BT230" i="338"/>
  <c r="CA215" i="338"/>
  <c r="EU80" i="3"/>
  <c r="EU28" i="3"/>
  <c r="AE65" i="3"/>
  <c r="AD147" i="336"/>
  <c r="AD148" i="336" s="1"/>
  <c r="AQ65" i="3"/>
  <c r="AP147" i="336"/>
  <c r="AP148" i="336" s="1"/>
  <c r="AC75" i="3"/>
  <c r="AB24" i="3"/>
  <c r="C99" i="3"/>
  <c r="C103" i="3" s="1"/>
  <c r="C105" i="3" s="1"/>
  <c r="BZ95" i="3"/>
  <c r="CA94" i="3"/>
  <c r="CF95" i="3"/>
  <c r="CG92" i="3"/>
  <c r="CV95" i="3"/>
  <c r="CA90" i="3"/>
  <c r="BX95" i="3"/>
  <c r="BG90" i="3"/>
  <c r="BH90" i="3" s="1"/>
  <c r="BI90" i="3" s="1"/>
  <c r="BF36" i="3"/>
  <c r="AH36" i="3"/>
  <c r="AH41" i="3" s="1"/>
  <c r="AI90" i="3"/>
  <c r="AH95" i="3"/>
  <c r="EE76" i="3"/>
  <c r="EE383" i="335" s="1"/>
  <c r="EE45" i="3"/>
  <c r="EF45" i="3"/>
  <c r="EI71" i="3"/>
  <c r="DD33" i="3"/>
  <c r="DE33" i="3" s="1"/>
  <c r="DD84" i="3"/>
  <c r="K416" i="338"/>
  <c r="K400" i="338"/>
  <c r="C416" i="338"/>
  <c r="C25" i="3"/>
  <c r="C51" i="3" s="1"/>
  <c r="DG382" i="335"/>
  <c r="DG85" i="3"/>
  <c r="DA382" i="335"/>
  <c r="DE83" i="3"/>
  <c r="DE382" i="335" s="1"/>
  <c r="DA144" i="336"/>
  <c r="DA134" i="336" s="1"/>
  <c r="DA137" i="336" s="1"/>
  <c r="CU85" i="3"/>
  <c r="BL30" i="3"/>
  <c r="BM82" i="3"/>
  <c r="BN82" i="3" s="1"/>
  <c r="AP82" i="3"/>
  <c r="CF85" i="3"/>
  <c r="CG81" i="3"/>
  <c r="BS85" i="3"/>
  <c r="AN24" i="3"/>
  <c r="AO24" i="3" s="1"/>
  <c r="BZ147" i="336"/>
  <c r="BZ148" i="336" s="1"/>
  <c r="CA65" i="3"/>
  <c r="V12" i="3"/>
  <c r="W63" i="3"/>
  <c r="DV76" i="3"/>
  <c r="DW60" i="3"/>
  <c r="DP76" i="3"/>
  <c r="CY41" i="3"/>
  <c r="CA41" i="3"/>
  <c r="DT84" i="3"/>
  <c r="DU84" i="3"/>
  <c r="DU85" i="3" s="1"/>
  <c r="DH33" i="3"/>
  <c r="DH84" i="3"/>
  <c r="BR84" i="3"/>
  <c r="BQ33" i="3"/>
  <c r="CA400" i="338"/>
  <c r="CA418" i="338"/>
  <c r="J400" i="338"/>
  <c r="J33" i="3"/>
  <c r="F418" i="338"/>
  <c r="F400" i="338"/>
  <c r="DK417" i="338"/>
  <c r="CM417" i="338"/>
  <c r="C417" i="338"/>
  <c r="CA416" i="338"/>
  <c r="DE67" i="3"/>
  <c r="DC76" i="3"/>
  <c r="BQ397" i="335"/>
  <c r="AN85" i="3"/>
  <c r="BF382" i="335"/>
  <c r="BQ142" i="336"/>
  <c r="BR142" i="336" s="1"/>
  <c r="BS142" i="336" s="1"/>
  <c r="DV95" i="3"/>
  <c r="CY93" i="3"/>
  <c r="CS93" i="3"/>
  <c r="CM93" i="3"/>
  <c r="DW71" i="3"/>
  <c r="DQ71" i="3"/>
  <c r="DE71" i="3"/>
  <c r="DQ70" i="3"/>
  <c r="DE70" i="3"/>
  <c r="CS70" i="3"/>
  <c r="CM70" i="3"/>
  <c r="CA70" i="3"/>
  <c r="H417" i="338"/>
  <c r="F417" i="338"/>
  <c r="CS67" i="3"/>
  <c r="CG67" i="3"/>
  <c r="CG66" i="3"/>
  <c r="DW64" i="3"/>
  <c r="DK64" i="3"/>
  <c r="CM64" i="3"/>
  <c r="CG64" i="3"/>
  <c r="CY60" i="3"/>
  <c r="CA60" i="3"/>
  <c r="G400" i="338"/>
  <c r="AN9" i="3"/>
  <c r="DY95" i="3"/>
  <c r="DY85" i="3"/>
  <c r="EC67" i="3"/>
  <c r="AA41" i="3"/>
  <c r="BF144" i="336"/>
  <c r="CA97" i="3"/>
  <c r="DW91" i="3"/>
  <c r="DQ91" i="3"/>
  <c r="DK91" i="3"/>
  <c r="DE91" i="3"/>
  <c r="CY91" i="3"/>
  <c r="CM91" i="3"/>
  <c r="CY90" i="3"/>
  <c r="CG90" i="3"/>
  <c r="CY84" i="3"/>
  <c r="CA84" i="3"/>
  <c r="H33" i="3"/>
  <c r="BZ85" i="3"/>
  <c r="DS85" i="3"/>
  <c r="DM85" i="3"/>
  <c r="DK82" i="3"/>
  <c r="CY82" i="3"/>
  <c r="CO85" i="3"/>
  <c r="CI85" i="3"/>
  <c r="BT85" i="3"/>
  <c r="DW81" i="3"/>
  <c r="CE85" i="3"/>
  <c r="P21" i="3"/>
  <c r="E33" i="3"/>
  <c r="O33" i="3"/>
  <c r="D33" i="3"/>
  <c r="BF29" i="3"/>
  <c r="BG29" i="3" s="1"/>
  <c r="BH29" i="3" s="1"/>
  <c r="BI29" i="3" s="1"/>
  <c r="G33" i="3"/>
  <c r="EK85" i="3"/>
  <c r="P22" i="3"/>
  <c r="E99" i="3"/>
  <c r="E103" i="3" s="1"/>
  <c r="E105" i="3" s="1"/>
  <c r="U25" i="3"/>
  <c r="U51" i="3" s="1"/>
  <c r="BU93" i="3"/>
  <c r="DW92" i="3"/>
  <c r="DQ92" i="3"/>
  <c r="DK92" i="3"/>
  <c r="DE92" i="3"/>
  <c r="CA92" i="3"/>
  <c r="M33" i="3"/>
  <c r="CG245" i="335"/>
  <c r="CS397" i="338"/>
  <c r="EL296" i="335"/>
  <c r="EL168" i="335"/>
  <c r="EL105" i="335"/>
  <c r="FX104" i="335"/>
  <c r="EF9" i="338"/>
  <c r="EF330" i="338"/>
  <c r="EE9" i="338"/>
  <c r="EE330" i="338"/>
  <c r="DD292" i="335"/>
  <c r="CX103" i="336"/>
  <c r="DI321" i="335"/>
  <c r="DH168" i="335"/>
  <c r="DK611" i="338"/>
  <c r="DK155" i="335"/>
  <c r="DE754" i="338"/>
  <c r="DI296" i="335"/>
  <c r="DQ610" i="338"/>
  <c r="DW152" i="335"/>
  <c r="CM728" i="338"/>
  <c r="CM738" i="338" s="1"/>
  <c r="CS293" i="335"/>
  <c r="CM149" i="335"/>
  <c r="BC740" i="338"/>
  <c r="DJ316" i="338"/>
  <c r="DM317" i="335"/>
  <c r="FT152" i="335"/>
  <c r="DT292" i="335"/>
  <c r="DT609" i="338"/>
  <c r="DT103" i="336"/>
  <c r="DT413" i="338" s="1"/>
  <c r="DS316" i="338"/>
  <c r="DS317" i="338" s="1"/>
  <c r="CF296" i="335"/>
  <c r="CJ366" i="335"/>
  <c r="CJ118" i="336" s="1"/>
  <c r="CI366" i="335"/>
  <c r="CF366" i="335"/>
  <c r="CF118" i="336" s="1"/>
  <c r="CG118" i="336" s="1"/>
  <c r="CJ367" i="335"/>
  <c r="FP40" i="335"/>
  <c r="EC610" i="338"/>
  <c r="EC294" i="335"/>
  <c r="EC167" i="335"/>
  <c r="DB229" i="338"/>
  <c r="CV229" i="338"/>
  <c r="BB287" i="335"/>
  <c r="AV312" i="335"/>
  <c r="EL160" i="336"/>
  <c r="EI44" i="11"/>
  <c r="EH108" i="336"/>
  <c r="EI136" i="335"/>
  <c r="ES166" i="338"/>
  <c r="ES167" i="338" s="1"/>
  <c r="CS754" i="338"/>
  <c r="EI36" i="335"/>
  <c r="DO366" i="335"/>
  <c r="DS296" i="335"/>
  <c r="BB289" i="335"/>
  <c r="AV314" i="335"/>
  <c r="EG296" i="335"/>
  <c r="EB321" i="335"/>
  <c r="DO609" i="338"/>
  <c r="CQ296" i="335"/>
  <c r="CA155" i="335"/>
  <c r="DG316" i="338"/>
  <c r="DG103" i="336"/>
  <c r="DG413" i="338" s="1"/>
  <c r="CG728" i="338"/>
  <c r="CG293" i="335"/>
  <c r="FW36" i="335"/>
  <c r="DW611" i="338"/>
  <c r="DW155" i="335"/>
  <c r="CP366" i="335"/>
  <c r="DC609" i="338"/>
  <c r="DC615" i="338" s="1"/>
  <c r="DC616" i="338" s="1"/>
  <c r="DC103" i="336"/>
  <c r="DC413" i="338" s="1"/>
  <c r="DT91" i="335"/>
  <c r="DT342" i="335" s="1"/>
  <c r="DT42" i="335"/>
  <c r="DU366" i="335"/>
  <c r="DS321" i="335"/>
  <c r="BR364" i="335"/>
  <c r="BN303" i="335"/>
  <c r="BM278" i="335"/>
  <c r="BM91" i="335"/>
  <c r="EI293" i="335"/>
  <c r="CI367" i="335"/>
  <c r="BX367" i="335"/>
  <c r="BW321" i="335"/>
  <c r="DN316" i="338"/>
  <c r="EH53" i="11"/>
  <c r="BU245" i="335"/>
  <c r="BH96" i="335"/>
  <c r="AN52" i="335"/>
  <c r="DZ550" i="338"/>
  <c r="EZ550" i="338"/>
  <c r="EU382" i="338"/>
  <c r="BU281" i="335"/>
  <c r="DE225" i="335"/>
  <c r="H92" i="335"/>
  <c r="H100" i="335" s="1"/>
  <c r="AO50" i="335"/>
  <c r="BO252" i="336"/>
  <c r="BO250" i="336"/>
  <c r="CY725" i="338"/>
  <c r="CG214" i="335"/>
  <c r="EU425" i="338"/>
  <c r="EQ550" i="338"/>
  <c r="EG53" i="11"/>
  <c r="AI366" i="335"/>
  <c r="EI133" i="11"/>
  <c r="EE133" i="11"/>
  <c r="BW69" i="11"/>
  <c r="DU133" i="11"/>
  <c r="U296" i="335"/>
  <c r="AN278" i="335"/>
  <c r="O133" i="11"/>
  <c r="AN91" i="335"/>
  <c r="P103" i="336"/>
  <c r="P413" i="338" s="1"/>
  <c r="AJ91" i="335"/>
  <c r="M15" i="335"/>
  <c r="AG279" i="335"/>
  <c r="Q348" i="335"/>
  <c r="G342" i="335"/>
  <c r="AT278" i="335"/>
  <c r="DN161" i="336"/>
  <c r="EH550" i="338"/>
  <c r="AW293" i="335"/>
  <c r="EK424" i="338"/>
  <c r="ES79" i="335"/>
  <c r="ES37" i="335"/>
  <c r="DE390" i="335"/>
  <c r="AK322" i="338"/>
  <c r="CG390" i="335"/>
  <c r="DD412" i="338"/>
  <c r="DD381" i="335" s="1"/>
  <c r="BI322" i="338"/>
  <c r="BU390" i="335"/>
  <c r="CS322" i="338"/>
  <c r="Y390" i="335"/>
  <c r="CM390" i="335"/>
  <c r="BO390" i="335"/>
  <c r="ES62" i="335"/>
  <c r="BC390" i="335"/>
  <c r="AE322" i="338"/>
  <c r="DJ235" i="338"/>
  <c r="EB108" i="338"/>
  <c r="DD735" i="338"/>
  <c r="J412" i="338"/>
  <c r="CE253" i="338"/>
  <c r="BE254" i="338"/>
  <c r="DG260" i="338"/>
  <c r="DE289" i="338"/>
  <c r="DK283" i="338"/>
  <c r="DZ283" i="338"/>
  <c r="DT387" i="335"/>
  <c r="EF108" i="338"/>
  <c r="EF110" i="338" s="1"/>
  <c r="EF99" i="338"/>
  <c r="EL99" i="338"/>
  <c r="BH604" i="338"/>
  <c r="EI152" i="338"/>
  <c r="EH88" i="338"/>
  <c r="EH25" i="338" s="1"/>
  <c r="EI25" i="338" s="1"/>
  <c r="DJ301" i="338"/>
  <c r="DP292" i="338"/>
  <c r="EI153" i="338"/>
  <c r="DT630" i="338"/>
  <c r="DC636" i="338"/>
  <c r="DH630" i="338"/>
  <c r="CS634" i="338"/>
  <c r="DK664" i="338"/>
  <c r="DQ646" i="338"/>
  <c r="DJ605" i="338"/>
  <c r="DJ609" i="338" s="1"/>
  <c r="DJ612" i="338" s="1"/>
  <c r="DJ613" i="338" s="1"/>
  <c r="DN630" i="338"/>
  <c r="DS634" i="338"/>
  <c r="CK283" i="338"/>
  <c r="CS670" i="338"/>
  <c r="CM634" i="338"/>
  <c r="DQ634" i="338"/>
  <c r="CM658" i="338"/>
  <c r="DI282" i="338"/>
  <c r="DI283" i="338" s="1"/>
  <c r="BU658" i="338"/>
  <c r="DY634" i="338"/>
  <c r="DE664" i="338"/>
  <c r="CP606" i="338"/>
  <c r="CO282" i="338"/>
  <c r="DN34" i="338"/>
  <c r="CX11" i="338"/>
  <c r="DI391" i="335"/>
  <c r="CV391" i="335"/>
  <c r="CO391" i="335"/>
  <c r="BH594" i="338"/>
  <c r="BH595" i="338" s="1"/>
  <c r="CX556" i="338"/>
  <c r="CX557" i="338" s="1"/>
  <c r="DK412" i="338"/>
  <c r="DK381" i="335" s="1"/>
  <c r="CW316" i="338"/>
  <c r="BX609" i="338"/>
  <c r="CE229" i="338"/>
  <c r="CG670" i="338"/>
  <c r="S322" i="338"/>
  <c r="CY628" i="338"/>
  <c r="CG658" i="338"/>
  <c r="DE646" i="338"/>
  <c r="DK646" i="338"/>
  <c r="DJ562" i="338"/>
  <c r="DJ563" i="338" s="1"/>
  <c r="BU53" i="338"/>
  <c r="DY283" i="338"/>
  <c r="CE387" i="335"/>
  <c r="CM664" i="338"/>
  <c r="DE658" i="338"/>
  <c r="DB570" i="338"/>
  <c r="BU664" i="338"/>
  <c r="EL110" i="338"/>
  <c r="CM628" i="338"/>
  <c r="CY634" i="338"/>
  <c r="DQ658" i="338"/>
  <c r="DQ670" i="338"/>
  <c r="CS628" i="338"/>
  <c r="AE286" i="338"/>
  <c r="BO634" i="338"/>
  <c r="DY424" i="338"/>
  <c r="DK634" i="338"/>
  <c r="CA658" i="338"/>
  <c r="BU670" i="338"/>
  <c r="DY658" i="338"/>
  <c r="DK628" i="338"/>
  <c r="BI389" i="335"/>
  <c r="CV282" i="338"/>
  <c r="DO391" i="335"/>
  <c r="CE636" i="338"/>
  <c r="CG628" i="338"/>
  <c r="DE640" i="338"/>
  <c r="DK670" i="338"/>
  <c r="CY664" i="338"/>
  <c r="DQ628" i="338"/>
  <c r="DA549" i="338"/>
  <c r="DJ575" i="338"/>
  <c r="DJ576" i="338" s="1"/>
  <c r="AQ287" i="338"/>
  <c r="BO658" i="338"/>
  <c r="DO282" i="338"/>
  <c r="DN50" i="335"/>
  <c r="BX266" i="338"/>
  <c r="DG581" i="338"/>
  <c r="DG582" i="338" s="1"/>
  <c r="DD721" i="338"/>
  <c r="DD734" i="338" s="1"/>
  <c r="DD229" i="338"/>
  <c r="EH343" i="338"/>
  <c r="EM99" i="338"/>
  <c r="EQ465" i="338"/>
  <c r="EQ464" i="338"/>
  <c r="EL311" i="335"/>
  <c r="EL48" i="11"/>
  <c r="DC550" i="338"/>
  <c r="EK550" i="338"/>
  <c r="BW272" i="338"/>
  <c r="EE243" i="338"/>
  <c r="EL87" i="335"/>
  <c r="EL139" i="335"/>
  <c r="FD139" i="335"/>
  <c r="FJ139" i="335" s="1"/>
  <c r="FJ138" i="335" s="1"/>
  <c r="EB735" i="338"/>
  <c r="CX425" i="338"/>
  <c r="DH550" i="338"/>
  <c r="CS425" i="338"/>
  <c r="CO425" i="338"/>
  <c r="DC425" i="338"/>
  <c r="BZ425" i="338"/>
  <c r="DO437" i="338"/>
  <c r="DV437" i="338"/>
  <c r="DV439" i="338" s="1"/>
  <c r="DP439" i="338"/>
  <c r="CG60" i="338"/>
  <c r="DP735" i="338"/>
  <c r="EN334" i="338"/>
  <c r="FX75" i="335"/>
  <c r="EL286" i="335"/>
  <c r="CK253" i="338"/>
  <c r="DQ425" i="338"/>
  <c r="DM550" i="338"/>
  <c r="EO550" i="338"/>
  <c r="DM425" i="338"/>
  <c r="DH425" i="338"/>
  <c r="DT412" i="338"/>
  <c r="DT381" i="335" s="1"/>
  <c r="DH412" i="338"/>
  <c r="DH381" i="335" s="1"/>
  <c r="DB412" i="338"/>
  <c r="DB381" i="335" s="1"/>
  <c r="CP412" i="338"/>
  <c r="CP381" i="335" s="1"/>
  <c r="EU40" i="3"/>
  <c r="EU94" i="3"/>
  <c r="EE77" i="3"/>
  <c r="EE382" i="335"/>
  <c r="EE85" i="3"/>
  <c r="EE144" i="336"/>
  <c r="EC83" i="3"/>
  <c r="EC382" i="335" s="1"/>
  <c r="EB85" i="3"/>
  <c r="EB382" i="335"/>
  <c r="EB144" i="336"/>
  <c r="EB76" i="3"/>
  <c r="EC64" i="3"/>
  <c r="EC417" i="338"/>
  <c r="EC92" i="3"/>
  <c r="EB95" i="3"/>
  <c r="EL45" i="3"/>
  <c r="EL95" i="3"/>
  <c r="EK187" i="336"/>
  <c r="BC92" i="3"/>
  <c r="S81" i="3"/>
  <c r="BM382" i="335"/>
  <c r="BM144" i="336"/>
  <c r="BN83" i="3"/>
  <c r="BN382" i="335" s="1"/>
  <c r="EC81" i="3"/>
  <c r="DZ85" i="3"/>
  <c r="BZ180" i="336"/>
  <c r="BZ76" i="3"/>
  <c r="EH144" i="336"/>
  <c r="EH85" i="3"/>
  <c r="BU94" i="3"/>
  <c r="BT95" i="3"/>
  <c r="DQ93" i="3"/>
  <c r="DO95" i="3"/>
  <c r="DI95" i="3"/>
  <c r="DK93" i="3"/>
  <c r="DB95" i="3"/>
  <c r="DE93" i="3"/>
  <c r="BY95" i="3"/>
  <c r="CA93" i="3"/>
  <c r="DW70" i="3"/>
  <c r="DU76" i="3"/>
  <c r="EA77" i="3" s="1"/>
  <c r="DI76" i="3"/>
  <c r="DK70" i="3"/>
  <c r="CG70" i="3"/>
  <c r="DQ67" i="3"/>
  <c r="DO76" i="3"/>
  <c r="DT76" i="3"/>
  <c r="DW66" i="3"/>
  <c r="DN76" i="3"/>
  <c r="DQ66" i="3"/>
  <c r="DS147" i="336"/>
  <c r="DW65" i="3"/>
  <c r="DQ65" i="3"/>
  <c r="DM147" i="336"/>
  <c r="DM148" i="336" s="1"/>
  <c r="DG147" i="336"/>
  <c r="DG148" i="336" s="1"/>
  <c r="DK65" i="3"/>
  <c r="DE65" i="3"/>
  <c r="DB147" i="336"/>
  <c r="DB148" i="336" s="1"/>
  <c r="CV147" i="336"/>
  <c r="CV148" i="336" s="1"/>
  <c r="CY65" i="3"/>
  <c r="CP147" i="336"/>
  <c r="CP148" i="336" s="1"/>
  <c r="CS65" i="3"/>
  <c r="CJ147" i="336"/>
  <c r="CJ148" i="336" s="1"/>
  <c r="CM65" i="3"/>
  <c r="CG65" i="3"/>
  <c r="CC147" i="336"/>
  <c r="CG147" i="336" s="1"/>
  <c r="CG148" i="336" s="1"/>
  <c r="CC76" i="3"/>
  <c r="BT147" i="336"/>
  <c r="BT148" i="336"/>
  <c r="BT76" i="3"/>
  <c r="DA76" i="3"/>
  <c r="DE64" i="3"/>
  <c r="CU76" i="3"/>
  <c r="CY64" i="3"/>
  <c r="BW76" i="3"/>
  <c r="BW180" i="336"/>
  <c r="DS384" i="335"/>
  <c r="DW63" i="3"/>
  <c r="DQ63" i="3"/>
  <c r="DQ384" i="335" s="1"/>
  <c r="DM384" i="335"/>
  <c r="AC63" i="3"/>
  <c r="AB12" i="3"/>
  <c r="DS76" i="3"/>
  <c r="DM76" i="3"/>
  <c r="DQ60" i="3"/>
  <c r="DB76" i="3"/>
  <c r="DE60" i="3"/>
  <c r="CF76" i="3"/>
  <c r="CG60" i="3"/>
  <c r="BU60" i="3"/>
  <c r="BS76" i="3"/>
  <c r="M25" i="3"/>
  <c r="M51" i="3"/>
  <c r="CG416" i="338"/>
  <c r="CG400" i="338"/>
  <c r="L416" i="338"/>
  <c r="L25" i="3"/>
  <c r="L51" i="3" s="1"/>
  <c r="L400" i="338"/>
  <c r="H416" i="338"/>
  <c r="H400" i="338"/>
  <c r="D416" i="338"/>
  <c r="D25" i="3"/>
  <c r="D51" i="3" s="1"/>
  <c r="ES15" i="3"/>
  <c r="EI60" i="3"/>
  <c r="AE81" i="3"/>
  <c r="EF147" i="336"/>
  <c r="EF148" i="336" s="1"/>
  <c r="EF76" i="3"/>
  <c r="U82" i="3"/>
  <c r="V82" i="3" s="1"/>
  <c r="EA383" i="335"/>
  <c r="EA397" i="335" s="1"/>
  <c r="EA87" i="3"/>
  <c r="EA105" i="3"/>
  <c r="AQ82" i="3"/>
  <c r="AP30" i="3"/>
  <c r="AQ30" i="3" s="1"/>
  <c r="AP63" i="3"/>
  <c r="AP384" i="335" s="1"/>
  <c r="V19" i="3"/>
  <c r="W70" i="3"/>
  <c r="AO92" i="3"/>
  <c r="AN38" i="3"/>
  <c r="EG99" i="3"/>
  <c r="BU67" i="3"/>
  <c r="BM97" i="3"/>
  <c r="BL43" i="3"/>
  <c r="AN43" i="3"/>
  <c r="AO97" i="3"/>
  <c r="AP97" i="3" s="1"/>
  <c r="AQ97" i="3" s="1"/>
  <c r="DQ94" i="3"/>
  <c r="DE94" i="3"/>
  <c r="DD95" i="3"/>
  <c r="CC85" i="3"/>
  <c r="BW85" i="3"/>
  <c r="CA80" i="3"/>
  <c r="AC74" i="3"/>
  <c r="AB23" i="3"/>
  <c r="CR76" i="3"/>
  <c r="CS73" i="3"/>
  <c r="AO73" i="3"/>
  <c r="AN22" i="3"/>
  <c r="AB22" i="3"/>
  <c r="AC73" i="3"/>
  <c r="AD73" i="3" s="1"/>
  <c r="AE73" i="3" s="1"/>
  <c r="BU73" i="3"/>
  <c r="DE417" i="338"/>
  <c r="D417" i="338"/>
  <c r="AD14" i="3"/>
  <c r="AE14" i="3" s="1"/>
  <c r="DW416" i="338"/>
  <c r="DW400" i="338"/>
  <c r="CY416" i="338"/>
  <c r="EI66" i="3"/>
  <c r="DW93" i="3"/>
  <c r="AI60" i="3"/>
  <c r="AH9" i="3"/>
  <c r="BM92" i="3"/>
  <c r="BM38" i="3" s="1"/>
  <c r="BL95" i="3"/>
  <c r="DS185" i="336"/>
  <c r="DS186" i="336" s="1"/>
  <c r="DS95" i="3"/>
  <c r="DW90" i="3"/>
  <c r="DM185" i="336"/>
  <c r="DQ185" i="336" s="1"/>
  <c r="DQ90" i="3"/>
  <c r="DG185" i="336"/>
  <c r="DG187" i="336" s="1"/>
  <c r="DH187" i="336" s="1"/>
  <c r="DK90" i="3"/>
  <c r="DE90" i="3"/>
  <c r="DA95" i="3"/>
  <c r="CI95" i="3"/>
  <c r="AB95" i="3"/>
  <c r="AC90" i="3"/>
  <c r="AB36" i="3"/>
  <c r="J99" i="3"/>
  <c r="J103" i="3" s="1"/>
  <c r="J105" i="3" s="1"/>
  <c r="EC84" i="3"/>
  <c r="DV85" i="3"/>
  <c r="DW83" i="3"/>
  <c r="DW382" i="335" s="1"/>
  <c r="DJ382" i="335"/>
  <c r="DJ85" i="3"/>
  <c r="DD144" i="336"/>
  <c r="DD382" i="335"/>
  <c r="CX85" i="3"/>
  <c r="CR144" i="336"/>
  <c r="CS144" i="336" s="1"/>
  <c r="CS83" i="3"/>
  <c r="CS382" i="335" s="1"/>
  <c r="CM83" i="3"/>
  <c r="CM382" i="335" s="1"/>
  <c r="CL382" i="335"/>
  <c r="CL144" i="336"/>
  <c r="P31" i="3"/>
  <c r="P85" i="3"/>
  <c r="Q83" i="3"/>
  <c r="Q85" i="3"/>
  <c r="P382" i="335"/>
  <c r="DA85" i="3"/>
  <c r="DE82" i="3"/>
  <c r="AH30" i="3"/>
  <c r="AI82" i="3"/>
  <c r="AJ82" i="3" s="1"/>
  <c r="DK81" i="3"/>
  <c r="CY81" i="3"/>
  <c r="CW85" i="3"/>
  <c r="CS81" i="3"/>
  <c r="BY85" i="3"/>
  <c r="CA81" i="3"/>
  <c r="BL29" i="3"/>
  <c r="BM81" i="3"/>
  <c r="BL85" i="3"/>
  <c r="DQ400" i="338"/>
  <c r="CS418" i="338"/>
  <c r="BU418" i="338"/>
  <c r="I400" i="338"/>
  <c r="I418" i="338"/>
  <c r="I33" i="3"/>
  <c r="DY51" i="3"/>
  <c r="DY87" i="3" s="1"/>
  <c r="DY45" i="3"/>
  <c r="CA66" i="3"/>
  <c r="CP95" i="3"/>
  <c r="CS92" i="3"/>
  <c r="BQ41" i="3"/>
  <c r="BR92" i="3"/>
  <c r="BU92" i="3" s="1"/>
  <c r="DK41" i="3"/>
  <c r="BS45" i="3"/>
  <c r="CJ84" i="3"/>
  <c r="CJ33" i="3"/>
  <c r="CJ45" i="3" s="1"/>
  <c r="CQ76" i="3"/>
  <c r="I41" i="3"/>
  <c r="V29" i="3"/>
  <c r="W29" i="3" s="1"/>
  <c r="CX76" i="3"/>
  <c r="AY33" i="3"/>
  <c r="L41" i="3"/>
  <c r="CM41" i="3"/>
  <c r="BZ384" i="335"/>
  <c r="CU45" i="3"/>
  <c r="CY400" i="338"/>
  <c r="BU72" i="3"/>
  <c r="M41" i="3"/>
  <c r="CM67" i="3"/>
  <c r="CS94" i="3"/>
  <c r="EK76" i="3"/>
  <c r="DW398" i="338"/>
  <c r="CY398" i="338"/>
  <c r="CY127" i="336"/>
  <c r="DK398" i="338"/>
  <c r="DK397" i="338"/>
  <c r="EO133" i="11"/>
  <c r="DZ24" i="338"/>
  <c r="DZ33" i="338" s="1"/>
  <c r="DZ36" i="338" s="1"/>
  <c r="DZ665" i="338"/>
  <c r="DZ629" i="338"/>
  <c r="DZ671" i="338"/>
  <c r="EC287" i="338"/>
  <c r="EC389" i="335"/>
  <c r="DK289" i="338"/>
  <c r="DE283" i="338"/>
  <c r="EL300" i="338"/>
  <c r="EL301" i="338" s="1"/>
  <c r="CW303" i="338"/>
  <c r="AQ289" i="338"/>
  <c r="CK634" i="338"/>
  <c r="EI390" i="335"/>
  <c r="CK670" i="338"/>
  <c r="DI640" i="338"/>
  <c r="BY628" i="338"/>
  <c r="DI628" i="338"/>
  <c r="DC646" i="338"/>
  <c r="BM606" i="338"/>
  <c r="BM607" i="338" s="1"/>
  <c r="CA307" i="338"/>
  <c r="BM670" i="338"/>
  <c r="BS628" i="338"/>
  <c r="BL387" i="335"/>
  <c r="DY10" i="338"/>
  <c r="EI636" i="338"/>
  <c r="DE387" i="335"/>
  <c r="EK301" i="338"/>
  <c r="DC283" i="338"/>
  <c r="DG609" i="338"/>
  <c r="DG612" i="338" s="1"/>
  <c r="DG613" i="338" s="1"/>
  <c r="DM642" i="338"/>
  <c r="CE670" i="338"/>
  <c r="DO634" i="338"/>
  <c r="CE634" i="338"/>
  <c r="CW658" i="338"/>
  <c r="DC664" i="338"/>
  <c r="BS634" i="338"/>
  <c r="CV217" i="338"/>
  <c r="CV218" i="338" s="1"/>
  <c r="CG222" i="338"/>
  <c r="DY108" i="338"/>
  <c r="DW143" i="338"/>
  <c r="DC628" i="338"/>
  <c r="BY670" i="338"/>
  <c r="BY606" i="338"/>
  <c r="BY607" i="338" s="1"/>
  <c r="CW634" i="338"/>
  <c r="CW628" i="338"/>
  <c r="BS670" i="338"/>
  <c r="BY664" i="338"/>
  <c r="CS45" i="338"/>
  <c r="CM43" i="338"/>
  <c r="CR53" i="338"/>
  <c r="EL666" i="338"/>
  <c r="EO90" i="338"/>
  <c r="EU24" i="338"/>
  <c r="FA24" i="338"/>
  <c r="CD88" i="335"/>
  <c r="CD311" i="335"/>
  <c r="CD96" i="335"/>
  <c r="CD286" i="335"/>
  <c r="CD89" i="335"/>
  <c r="CC89" i="335"/>
  <c r="CC286" i="335"/>
  <c r="CC96" i="335"/>
  <c r="CC88" i="335"/>
  <c r="CC311" i="335"/>
  <c r="EQ100" i="338"/>
  <c r="FX167" i="335"/>
  <c r="DW778" i="338"/>
  <c r="EN79" i="335"/>
  <c r="EQ81" i="335" s="1"/>
  <c r="ES100" i="338"/>
  <c r="FC17" i="335"/>
  <c r="ER100" i="338"/>
  <c r="ER99" i="338" s="1"/>
  <c r="BU259" i="338"/>
  <c r="BU260" i="338" s="1"/>
  <c r="CD253" i="338"/>
  <c r="CD254" i="338" s="1"/>
  <c r="BU80" i="11"/>
  <c r="BU84" i="11"/>
  <c r="BI80" i="11"/>
  <c r="AQ95" i="11"/>
  <c r="AU162" i="11"/>
  <c r="AP162" i="11"/>
  <c r="EF25" i="338"/>
  <c r="BU215" i="338"/>
  <c r="DM581" i="338"/>
  <c r="DM582" i="338" s="1"/>
  <c r="DS581" i="338"/>
  <c r="DS582" i="338" s="1"/>
  <c r="DK606" i="338"/>
  <c r="DK607" i="338" s="1"/>
  <c r="DQ665" i="338" s="1"/>
  <c r="DE606" i="338"/>
  <c r="DE607" i="338" s="1"/>
  <c r="DK629" i="338" s="1"/>
  <c r="CS606" i="338"/>
  <c r="CS607" i="338" s="1"/>
  <c r="CY665" i="338" s="1"/>
  <c r="CM606" i="338"/>
  <c r="CM607" i="338" s="1"/>
  <c r="CG606" i="338"/>
  <c r="CG607" i="338" s="1"/>
  <c r="CA606" i="338"/>
  <c r="DD600" i="338"/>
  <c r="DD601" i="338" s="1"/>
  <c r="BI82" i="3"/>
  <c r="DP84" i="3"/>
  <c r="DP85" i="3" s="1"/>
  <c r="DO33" i="3"/>
  <c r="DO45" i="3" s="1"/>
  <c r="DO84" i="3"/>
  <c r="BU90" i="3"/>
  <c r="EZ15" i="3"/>
  <c r="EK95" i="3"/>
  <c r="BF12" i="3"/>
  <c r="AK398" i="338"/>
  <c r="CS124" i="336"/>
  <c r="AK124" i="336"/>
  <c r="CY94" i="336"/>
  <c r="BU45" i="336"/>
  <c r="EC171" i="336"/>
  <c r="BS214" i="336"/>
  <c r="BE214" i="336"/>
  <c r="DW171" i="336"/>
  <c r="CS171" i="336"/>
  <c r="CM171" i="336"/>
  <c r="CG171" i="336"/>
  <c r="AW171" i="336"/>
  <c r="CG124" i="336"/>
  <c r="EU9" i="336"/>
  <c r="FA123" i="336"/>
  <c r="FF123" i="336"/>
  <c r="FL123" i="336" s="1"/>
  <c r="FM123" i="336" s="1"/>
  <c r="EC45" i="336"/>
  <c r="EC46" i="336" s="1"/>
  <c r="BO166" i="336"/>
  <c r="EL103" i="336"/>
  <c r="DE160" i="335"/>
  <c r="CY402" i="335"/>
  <c r="DB91" i="335"/>
  <c r="DB333" i="335" s="1"/>
  <c r="DB96" i="335"/>
  <c r="DH88" i="335"/>
  <c r="DP54" i="335"/>
  <c r="AK43" i="335"/>
  <c r="EL278" i="335"/>
  <c r="EM9" i="338"/>
  <c r="EF246" i="338"/>
  <c r="EH9" i="338"/>
  <c r="EL330" i="338"/>
  <c r="EL9" i="338"/>
  <c r="EM13" i="338" s="1"/>
  <c r="EM15" i="338" s="1"/>
  <c r="FE97" i="335"/>
  <c r="FG97" i="335" s="1"/>
  <c r="GA97" i="335"/>
  <c r="BU252" i="335"/>
  <c r="AY139" i="11"/>
  <c r="BH360" i="335"/>
  <c r="BE360" i="335"/>
  <c r="FA411" i="335"/>
  <c r="BN95" i="338"/>
  <c r="BC162" i="11"/>
  <c r="BF121" i="11"/>
  <c r="BF125" i="11" s="1"/>
  <c r="AN124" i="11"/>
  <c r="CG91" i="11"/>
  <c r="CG361" i="335" s="1"/>
  <c r="CG360" i="335" s="1"/>
  <c r="DK91" i="11"/>
  <c r="DQ95" i="11" s="1"/>
  <c r="DQ99" i="11" s="1"/>
  <c r="DD80" i="11"/>
  <c r="DD84" i="11" s="1"/>
  <c r="R70" i="3"/>
  <c r="S70" i="3" s="1"/>
  <c r="Q19" i="3"/>
  <c r="BH74" i="3"/>
  <c r="BI74" i="3"/>
  <c r="R84" i="3"/>
  <c r="S84" i="3" s="1"/>
  <c r="Q32" i="3"/>
  <c r="AU147" i="336"/>
  <c r="AU148" i="336" s="1"/>
  <c r="AV65" i="3"/>
  <c r="AV147" i="336" s="1"/>
  <c r="AV148" i="336" s="1"/>
  <c r="BM19" i="3"/>
  <c r="BN70" i="3"/>
  <c r="BO70" i="3" s="1"/>
  <c r="AC21" i="3"/>
  <c r="BL142" i="336"/>
  <c r="P23" i="3"/>
  <c r="Q23" i="3" s="1"/>
  <c r="DG95" i="3"/>
  <c r="DK95" i="3" s="1"/>
  <c r="K417" i="338"/>
  <c r="AA25" i="3"/>
  <c r="AA51" i="3" s="1"/>
  <c r="H25" i="3"/>
  <c r="H51" i="3" s="1"/>
  <c r="BR45" i="3"/>
  <c r="EZ84" i="3"/>
  <c r="AH31" i="3"/>
  <c r="CG41" i="3"/>
  <c r="CV25" i="3"/>
  <c r="EO80" i="3"/>
  <c r="M99" i="3"/>
  <c r="M103" i="3" s="1"/>
  <c r="M105" i="3" s="1"/>
  <c r="M106" i="3" s="1"/>
  <c r="AM41" i="3"/>
  <c r="AM25" i="3"/>
  <c r="AM51" i="3" s="1"/>
  <c r="DQ41" i="3"/>
  <c r="CS64" i="3"/>
  <c r="EK45" i="3"/>
  <c r="CL135" i="336"/>
  <c r="CM135" i="336" s="1"/>
  <c r="CM136" i="336"/>
  <c r="S397" i="338"/>
  <c r="Y397" i="338"/>
  <c r="CM45" i="336"/>
  <c r="CM94" i="336"/>
  <c r="CM95" i="336"/>
  <c r="DV30" i="336"/>
  <c r="DW26" i="336"/>
  <c r="ES398" i="338"/>
  <c r="ES376" i="335"/>
  <c r="BO379" i="335"/>
  <c r="BU408" i="335" s="1"/>
  <c r="BU407" i="335" s="1"/>
  <c r="BQ408" i="335"/>
  <c r="BQ407" i="335" s="1"/>
  <c r="BK408" i="335"/>
  <c r="BK407" i="335" s="1"/>
  <c r="BI379" i="335"/>
  <c r="BO408" i="335" s="1"/>
  <c r="BK135" i="336"/>
  <c r="BK134" i="336" s="1"/>
  <c r="BK139" i="336" s="1"/>
  <c r="BK140" i="336" s="1"/>
  <c r="AY135" i="336"/>
  <c r="AY134" i="336" s="1"/>
  <c r="DW397" i="338"/>
  <c r="DQ397" i="338"/>
  <c r="CY397" i="338"/>
  <c r="DE397" i="338"/>
  <c r="EB412" i="338"/>
  <c r="EB381" i="335" s="1"/>
  <c r="AE30" i="336"/>
  <c r="AD35" i="336"/>
  <c r="BW214" i="336"/>
  <c r="BX214" i="336"/>
  <c r="BL174" i="336"/>
  <c r="BM186" i="336"/>
  <c r="DH168" i="336"/>
  <c r="DJ169" i="336"/>
  <c r="DB167" i="336"/>
  <c r="M222" i="336"/>
  <c r="M380" i="335"/>
  <c r="E224" i="336"/>
  <c r="E222" i="336"/>
  <c r="CC213" i="336"/>
  <c r="CD213" i="336" s="1"/>
  <c r="CJ35" i="336"/>
  <c r="CJ43" i="336" s="1"/>
  <c r="CA398" i="338"/>
  <c r="BU398" i="338"/>
  <c r="AW398" i="338"/>
  <c r="BC398" i="338"/>
  <c r="BC106" i="336"/>
  <c r="CG95" i="336"/>
  <c r="CG45" i="336"/>
  <c r="BI296" i="336"/>
  <c r="BI45" i="336"/>
  <c r="CS410" i="338"/>
  <c r="CR412" i="338"/>
  <c r="CR381" i="335" s="1"/>
  <c r="CM410" i="338"/>
  <c r="CM412" i="338" s="1"/>
  <c r="CM381" i="335" s="1"/>
  <c r="CL412" i="338"/>
  <c r="CL381" i="335" s="1"/>
  <c r="CA410" i="338"/>
  <c r="CA412" i="338" s="1"/>
  <c r="CA381" i="335" s="1"/>
  <c r="BZ412" i="338"/>
  <c r="BZ381" i="335" s="1"/>
  <c r="AW410" i="338"/>
  <c r="AV412" i="338"/>
  <c r="AV381" i="335" s="1"/>
  <c r="BU412" i="338"/>
  <c r="BU381" i="335" s="1"/>
  <c r="BI407" i="338"/>
  <c r="BH412" i="338"/>
  <c r="BH381" i="335" s="1"/>
  <c r="EO29" i="336"/>
  <c r="EO398" i="338" s="1"/>
  <c r="EN398" i="338"/>
  <c r="EN376" i="335"/>
  <c r="EO376" i="335" s="1"/>
  <c r="BW408" i="335"/>
  <c r="BW407" i="335" s="1"/>
  <c r="CF35" i="336"/>
  <c r="BO15" i="336"/>
  <c r="BN21" i="336"/>
  <c r="BO21" i="336" s="1"/>
  <c r="BI15" i="336"/>
  <c r="BH21" i="336"/>
  <c r="BI21" i="336" s="1"/>
  <c r="DK127" i="336"/>
  <c r="DE124" i="336"/>
  <c r="DM402" i="335"/>
  <c r="DK378" i="335"/>
  <c r="DQ402" i="335" s="1"/>
  <c r="DM99" i="336"/>
  <c r="CX168" i="336"/>
  <c r="CX167" i="336"/>
  <c r="CP168" i="336"/>
  <c r="CP167" i="336"/>
  <c r="CJ169" i="336"/>
  <c r="CI168" i="336"/>
  <c r="CC168" i="336"/>
  <c r="DK15" i="336"/>
  <c r="DJ21" i="336"/>
  <c r="DK21" i="336" s="1"/>
  <c r="DE15" i="336"/>
  <c r="DD21" i="336"/>
  <c r="DE21" i="336" s="1"/>
  <c r="CY15" i="336"/>
  <c r="CX21" i="336"/>
  <c r="CY21" i="336" s="1"/>
  <c r="CP19" i="336"/>
  <c r="CP21" i="336" s="1"/>
  <c r="CO21" i="336"/>
  <c r="EB168" i="336"/>
  <c r="Y412" i="338"/>
  <c r="BI124" i="336"/>
  <c r="EO411" i="335"/>
  <c r="CG412" i="338"/>
  <c r="CG381" i="335" s="1"/>
  <c r="CY412" i="338"/>
  <c r="CY381" i="335" s="1"/>
  <c r="EG43" i="336"/>
  <c r="CG127" i="336"/>
  <c r="CM398" i="338"/>
  <c r="BO397" i="338"/>
  <c r="CG94" i="336"/>
  <c r="CY95" i="336"/>
  <c r="CK244" i="336"/>
  <c r="CK251" i="336" s="1"/>
  <c r="CY45" i="336"/>
  <c r="CY46" i="336" s="1"/>
  <c r="AY412" i="338"/>
  <c r="AY381" i="335" s="1"/>
  <c r="G412" i="338"/>
  <c r="EW100" i="338"/>
  <c r="FC60" i="335"/>
  <c r="CQ174" i="336"/>
  <c r="BO47" i="335"/>
  <c r="AK281" i="335"/>
  <c r="CL296" i="335"/>
  <c r="DG91" i="335"/>
  <c r="DC167" i="336"/>
  <c r="AA317" i="335"/>
  <c r="DU412" i="338"/>
  <c r="DU381" i="335" s="1"/>
  <c r="DO412" i="338"/>
  <c r="DO381" i="335" s="1"/>
  <c r="DC412" i="338"/>
  <c r="DC381" i="335" s="1"/>
  <c r="BR412" i="338"/>
  <c r="BR381" i="335" s="1"/>
  <c r="BF412" i="338"/>
  <c r="BF381" i="335" s="1"/>
  <c r="AG412" i="338"/>
  <c r="AG381" i="335" s="1"/>
  <c r="X412" i="338"/>
  <c r="M412" i="338"/>
  <c r="E412" i="338"/>
  <c r="BS39" i="338"/>
  <c r="DN198" i="336"/>
  <c r="EG169" i="336"/>
  <c r="EL167" i="336"/>
  <c r="BY168" i="336"/>
  <c r="BY169" i="336"/>
  <c r="CO134" i="336"/>
  <c r="CO135" i="336" s="1"/>
  <c r="CC134" i="336"/>
  <c r="CC139" i="336" s="1"/>
  <c r="CC140" i="336" s="1"/>
  <c r="DO198" i="336"/>
  <c r="DO186" i="336"/>
  <c r="DO174" i="336" s="1"/>
  <c r="BU166" i="336"/>
  <c r="BW169" i="336"/>
  <c r="CK169" i="336"/>
  <c r="DH169" i="336"/>
  <c r="S147" i="336"/>
  <c r="BX169" i="336"/>
  <c r="CG166" i="336"/>
  <c r="DG169" i="336"/>
  <c r="CF169" i="336"/>
  <c r="R412" i="338"/>
  <c r="DH167" i="336"/>
  <c r="DB168" i="336"/>
  <c r="CF198" i="336"/>
  <c r="CV412" i="338"/>
  <c r="CV381" i="335" s="1"/>
  <c r="CJ412" i="338"/>
  <c r="CJ381" i="335" s="1"/>
  <c r="CD412" i="338"/>
  <c r="CD381" i="335" s="1"/>
  <c r="BX412" i="338"/>
  <c r="BX381" i="335" s="1"/>
  <c r="BA412" i="338"/>
  <c r="BA381" i="335" s="1"/>
  <c r="H412" i="338"/>
  <c r="EU415" i="335"/>
  <c r="DI169" i="336"/>
  <c r="DM169" i="336"/>
  <c r="DT174" i="336"/>
  <c r="DZ412" i="338"/>
  <c r="DZ381" i="335" s="1"/>
  <c r="AM254" i="338"/>
  <c r="DZ360" i="335"/>
  <c r="EL356" i="335"/>
  <c r="DV360" i="335"/>
  <c r="DN356" i="335"/>
  <c r="BZ605" i="338"/>
  <c r="DV604" i="338"/>
  <c r="CX604" i="338"/>
  <c r="CL562" i="338"/>
  <c r="CL563" i="338"/>
  <c r="DW774" i="338"/>
  <c r="EM648" i="338"/>
  <c r="EM584" i="338"/>
  <c r="EM578" i="338"/>
  <c r="DI581" i="338"/>
  <c r="DI582" i="338" s="1"/>
  <c r="EM666" i="338"/>
  <c r="BC606" i="338"/>
  <c r="BC607" i="338" s="1"/>
  <c r="CR604" i="338"/>
  <c r="BT600" i="338"/>
  <c r="BT601" i="338" s="1"/>
  <c r="BT672" i="338" s="1"/>
  <c r="EM636" i="338"/>
  <c r="EM565" i="338"/>
  <c r="EL583" i="338"/>
  <c r="AK289" i="338"/>
  <c r="CL605" i="338"/>
  <c r="CL609" i="338" s="1"/>
  <c r="CL612" i="338" s="1"/>
  <c r="EM642" i="338"/>
  <c r="EM572" i="338"/>
  <c r="EM660" i="338"/>
  <c r="EI165" i="335"/>
  <c r="EI464" i="335" s="1"/>
  <c r="EH464" i="335"/>
  <c r="EG160" i="335"/>
  <c r="EG464" i="335"/>
  <c r="EF160" i="335"/>
  <c r="EF464" i="335"/>
  <c r="EB160" i="335"/>
  <c r="EB464" i="335"/>
  <c r="DZ160" i="335"/>
  <c r="DZ464" i="335"/>
  <c r="DY160" i="335"/>
  <c r="DY464" i="335"/>
  <c r="EA160" i="335"/>
  <c r="EA464" i="335"/>
  <c r="EK160" i="335"/>
  <c r="EK464" i="335"/>
  <c r="DE245" i="335"/>
  <c r="CL253" i="338"/>
  <c r="BH254" i="338"/>
  <c r="BT229" i="338"/>
  <c r="DS99" i="338"/>
  <c r="CP53" i="11"/>
  <c r="DK402" i="335"/>
  <c r="CG402" i="335"/>
  <c r="FX136" i="335"/>
  <c r="FW136" i="335"/>
  <c r="EB316" i="338"/>
  <c r="EI98" i="335"/>
  <c r="DQ98" i="335"/>
  <c r="FS98" i="335"/>
  <c r="FP98" i="335"/>
  <c r="CG98" i="335"/>
  <c r="FX98" i="335"/>
  <c r="DJ556" i="338"/>
  <c r="DJ557" i="338"/>
  <c r="CL556" i="338"/>
  <c r="CL557" i="338" s="1"/>
  <c r="CL604" i="338"/>
  <c r="DY670" i="338"/>
  <c r="DY664" i="338"/>
  <c r="DY640" i="338"/>
  <c r="EF578" i="338"/>
  <c r="EG578" i="338"/>
  <c r="EB604" i="338"/>
  <c r="EB557" i="338"/>
  <c r="EC604" i="338"/>
  <c r="EC658" i="338" s="1"/>
  <c r="EK636" i="338"/>
  <c r="EL642" i="338"/>
  <c r="EL660" i="338"/>
  <c r="CM588" i="338"/>
  <c r="CS660" i="338" s="1"/>
  <c r="BO660" i="338"/>
  <c r="BZ587" i="338"/>
  <c r="BZ588" i="338" s="1"/>
  <c r="DV569" i="338"/>
  <c r="DV570" i="338" s="1"/>
  <c r="DV579" i="338"/>
  <c r="DV581" i="338" s="1"/>
  <c r="DV582" i="338" s="1"/>
  <c r="DI636" i="338"/>
  <c r="DI565" i="338"/>
  <c r="CQ636" i="338"/>
  <c r="BY636" i="338"/>
  <c r="BF609" i="338"/>
  <c r="BF612" i="338" s="1"/>
  <c r="BF613" i="338" s="1"/>
  <c r="BF606" i="338"/>
  <c r="BL630" i="338"/>
  <c r="DD594" i="338"/>
  <c r="DD595" i="338" s="1"/>
  <c r="DD604" i="338"/>
  <c r="CF604" i="338"/>
  <c r="CF594" i="338"/>
  <c r="CF595" i="338" s="1"/>
  <c r="CF666" i="338" s="1"/>
  <c r="BO606" i="338"/>
  <c r="BO607" i="338" s="1"/>
  <c r="BU629" i="338" s="1"/>
  <c r="BO609" i="338"/>
  <c r="BI606" i="338"/>
  <c r="BI607" i="338" s="1"/>
  <c r="DU664" i="338"/>
  <c r="DU670" i="338"/>
  <c r="DU634" i="338"/>
  <c r="DU658" i="338"/>
  <c r="EA664" i="338"/>
  <c r="DN664" i="338"/>
  <c r="DN646" i="338"/>
  <c r="DN658" i="338"/>
  <c r="DN606" i="338"/>
  <c r="DH664" i="338"/>
  <c r="DH634" i="338"/>
  <c r="DH628" i="338"/>
  <c r="DH606" i="338"/>
  <c r="DH646" i="338"/>
  <c r="DB628" i="338"/>
  <c r="DB664" i="338"/>
  <c r="CV628" i="338"/>
  <c r="CV658" i="338"/>
  <c r="CP634" i="338"/>
  <c r="CP670" i="338"/>
  <c r="CP628" i="338"/>
  <c r="CJ606" i="338"/>
  <c r="CJ607" i="338" s="1"/>
  <c r="CP629" i="338" s="1"/>
  <c r="CJ658" i="338"/>
  <c r="CJ664" i="338"/>
  <c r="BX658" i="338"/>
  <c r="BX634" i="338"/>
  <c r="BX628" i="338"/>
  <c r="BR634" i="338"/>
  <c r="BR606" i="338"/>
  <c r="BR658" i="338"/>
  <c r="DS609" i="338"/>
  <c r="DS612" i="338" s="1"/>
  <c r="DS613" i="338" s="1"/>
  <c r="BQ630" i="338"/>
  <c r="EH21" i="336"/>
  <c r="EI21" i="336" s="1"/>
  <c r="CF268" i="336"/>
  <c r="BE185" i="336"/>
  <c r="BE187" i="336"/>
  <c r="BR174" i="336"/>
  <c r="DN174" i="336"/>
  <c r="BE173" i="336"/>
  <c r="BE192" i="336" s="1"/>
  <c r="BE196" i="336" s="1"/>
  <c r="AA43" i="336"/>
  <c r="C43" i="336"/>
  <c r="DC99" i="336"/>
  <c r="DZ21" i="336"/>
  <c r="CA11" i="335"/>
  <c r="EU97" i="335"/>
  <c r="FW98" i="335"/>
  <c r="BY25" i="11"/>
  <c r="FY97" i="335"/>
  <c r="DK98" i="335"/>
  <c r="EC98" i="335"/>
  <c r="CA12" i="11"/>
  <c r="BY357" i="335"/>
  <c r="FO98" i="335"/>
  <c r="FR98" i="335"/>
  <c r="CY98" i="335"/>
  <c r="BZ24" i="11"/>
  <c r="BZ355" i="335"/>
  <c r="CE25" i="11"/>
  <c r="BZ10" i="335"/>
  <c r="BE339" i="335"/>
  <c r="BW266" i="338"/>
  <c r="CX55" i="11"/>
  <c r="BE15" i="11"/>
  <c r="BE37" i="11" s="1"/>
  <c r="EG78" i="11"/>
  <c r="EG82" i="11" s="1"/>
  <c r="EM74" i="11"/>
  <c r="ES74" i="11" s="1"/>
  <c r="DO229" i="338"/>
  <c r="DN229" i="338"/>
  <c r="Y387" i="335"/>
  <c r="DW287" i="338"/>
  <c r="AW285" i="338"/>
  <c r="BU285" i="338"/>
  <c r="AW389" i="335"/>
  <c r="Y285" i="338"/>
  <c r="CY320" i="338"/>
  <c r="CY391" i="335" s="1"/>
  <c r="BU389" i="335"/>
  <c r="AE287" i="338"/>
  <c r="AQ285" i="338"/>
  <c r="AW287" i="338"/>
  <c r="BU287" i="338"/>
  <c r="Y389" i="335"/>
  <c r="CX300" i="338"/>
  <c r="CA287" i="338"/>
  <c r="BO286" i="338"/>
  <c r="CX221" i="338"/>
  <c r="DD221" i="338" s="1"/>
  <c r="CG217" i="338"/>
  <c r="CX219" i="338"/>
  <c r="CY219" i="338" s="1"/>
  <c r="CU217" i="338"/>
  <c r="CA220" i="338"/>
  <c r="CM217" i="338"/>
  <c r="CM218" i="338" s="1"/>
  <c r="BU217" i="338"/>
  <c r="BO217" i="338"/>
  <c r="BQ218" i="338"/>
  <c r="DB217" i="338"/>
  <c r="CO230" i="338"/>
  <c r="BQ230" i="338"/>
  <c r="CJ218" i="338"/>
  <c r="CS217" i="338"/>
  <c r="CA222" i="338"/>
  <c r="CP214" i="338"/>
  <c r="CP230" i="338" s="1"/>
  <c r="CA217" i="338"/>
  <c r="DU37" i="338"/>
  <c r="DW11" i="338"/>
  <c r="CG10" i="338"/>
  <c r="BU10" i="338"/>
  <c r="DI108" i="338"/>
  <c r="DK101" i="338"/>
  <c r="EK108" i="338"/>
  <c r="EK110" i="338" s="1"/>
  <c r="EK99" i="338"/>
  <c r="AM412" i="338"/>
  <c r="AM381" i="335" s="1"/>
  <c r="BN266" i="338"/>
  <c r="DC253" i="338"/>
  <c r="DE271" i="338"/>
  <c r="DA272" i="338"/>
  <c r="CA271" i="338"/>
  <c r="BX272" i="338"/>
  <c r="AN254" i="338"/>
  <c r="AH254" i="338"/>
  <c r="CD230" i="338"/>
  <c r="BS230" i="338"/>
  <c r="BY229" i="338"/>
  <c r="DZ108" i="338"/>
  <c r="DZ110" i="338" s="1"/>
  <c r="DZ99" i="338"/>
  <c r="BU11" i="338"/>
  <c r="EI10" i="338"/>
  <c r="DK10" i="338"/>
  <c r="CA10" i="338"/>
  <c r="CM749" i="338"/>
  <c r="EG87" i="335"/>
  <c r="EH311" i="335"/>
  <c r="EH77" i="335"/>
  <c r="EG286" i="335"/>
  <c r="EG311" i="335"/>
  <c r="EG139" i="335"/>
  <c r="EG76" i="335"/>
  <c r="EI75" i="335"/>
  <c r="EI48" i="11" s="1"/>
  <c r="DS549" i="338"/>
  <c r="DS424" i="338"/>
  <c r="CU424" i="338"/>
  <c r="CU381" i="338"/>
  <c r="DC229" i="338"/>
  <c r="CW229" i="338"/>
  <c r="CQ214" i="338"/>
  <c r="DQ10" i="338"/>
  <c r="DD260" i="338"/>
  <c r="DP479" i="338"/>
  <c r="DP478" i="338"/>
  <c r="EG443" i="338"/>
  <c r="EG442" i="338"/>
  <c r="AT412" i="338"/>
  <c r="AT381" i="335" s="1"/>
  <c r="V412" i="338"/>
  <c r="DW141" i="338"/>
  <c r="AC412" i="338"/>
  <c r="AC381" i="335" s="1"/>
  <c r="W412" i="338"/>
  <c r="Q412" i="338"/>
  <c r="BR254" i="338"/>
  <c r="ET550" i="338"/>
  <c r="EU10" i="338"/>
  <c r="DB253" i="338"/>
  <c r="AQ254" i="338"/>
  <c r="CD260" i="338"/>
  <c r="BK254" i="338"/>
  <c r="EF660" i="338"/>
  <c r="DB630" i="338"/>
  <c r="EA660" i="338"/>
  <c r="DU660" i="338"/>
  <c r="DY642" i="338"/>
  <c r="DS642" i="338"/>
  <c r="DS572" i="338"/>
  <c r="DY572" i="338"/>
  <c r="DI221" i="338"/>
  <c r="DO221" i="338"/>
  <c r="DC217" i="338"/>
  <c r="DC218" i="338" s="1"/>
  <c r="EL636" i="338"/>
  <c r="EL565" i="338"/>
  <c r="AW286" i="338"/>
  <c r="CJ253" i="338"/>
  <c r="CF260" i="338"/>
  <c r="CD272" i="338"/>
  <c r="CC266" i="338"/>
  <c r="EK27" i="338"/>
  <c r="EO27" i="338" s="1"/>
  <c r="EL581" i="338"/>
  <c r="EL582" i="338" s="1"/>
  <c r="BT260" i="338"/>
  <c r="CC253" i="338"/>
  <c r="BZ253" i="338"/>
  <c r="EI666" i="338"/>
  <c r="DO99" i="338"/>
  <c r="DH660" i="338"/>
  <c r="DN660" i="338"/>
  <c r="CV660" i="338"/>
  <c r="DB660" i="338"/>
  <c r="BW636" i="338"/>
  <c r="CC636" i="338"/>
  <c r="CV666" i="338"/>
  <c r="DB666" i="338"/>
  <c r="CY636" i="338"/>
  <c r="DE636" i="338"/>
  <c r="DE130" i="338"/>
  <c r="CR735" i="338"/>
  <c r="DE412" i="338"/>
  <c r="DE381" i="335" s="1"/>
  <c r="EC105" i="338"/>
  <c r="EC150" i="338"/>
  <c r="DE581" i="338"/>
  <c r="DE582" i="338" s="1"/>
  <c r="DN581" i="338"/>
  <c r="DN582" i="338" s="1"/>
  <c r="DT581" i="338"/>
  <c r="DT582" i="338" s="1"/>
  <c r="DZ653" i="338" s="1"/>
  <c r="DZ581" i="338"/>
  <c r="DZ582" i="338" s="1"/>
  <c r="CY666" i="338"/>
  <c r="BK666" i="338"/>
  <c r="DM108" i="338"/>
  <c r="DM110" i="338" s="1"/>
  <c r="CC301" i="338"/>
  <c r="AP254" i="338"/>
  <c r="DP108" i="338"/>
  <c r="FA10" i="338"/>
  <c r="DN99" i="338"/>
  <c r="CE412" i="338"/>
  <c r="CE381" i="335" s="1"/>
  <c r="EK167" i="338"/>
  <c r="DW166" i="338"/>
  <c r="DK781" i="338"/>
  <c r="DW138" i="338"/>
  <c r="AH412" i="338"/>
  <c r="AH381" i="335" s="1"/>
  <c r="BO412" i="338"/>
  <c r="BO381" i="335" s="1"/>
  <c r="AS412" i="338"/>
  <c r="AS381" i="335" s="1"/>
  <c r="BT272" i="338"/>
  <c r="E173" i="338"/>
  <c r="BM254" i="338"/>
  <c r="G173" i="338"/>
  <c r="EX425" i="338"/>
  <c r="EX550" i="338"/>
  <c r="EG108" i="338"/>
  <c r="EG110" i="338" s="1"/>
  <c r="EH108" i="338"/>
  <c r="EH110" i="338" s="1"/>
  <c r="EH99" i="338"/>
  <c r="DE11" i="338"/>
  <c r="DQ772" i="338"/>
  <c r="DV479" i="338"/>
  <c r="DV478" i="338"/>
  <c r="DD10" i="338"/>
  <c r="DE47" i="338"/>
  <c r="DE10" i="338" s="1"/>
  <c r="AT382" i="338"/>
  <c r="ES425" i="338"/>
  <c r="ES550" i="338"/>
  <c r="EA91" i="335"/>
  <c r="EA49" i="11" s="1"/>
  <c r="EM110" i="338"/>
  <c r="BC410" i="338"/>
  <c r="BB412" i="338"/>
  <c r="BB381" i="335" s="1"/>
  <c r="AK407" i="338"/>
  <c r="AK412" i="338" s="1"/>
  <c r="AK381" i="335" s="1"/>
  <c r="AJ412" i="338"/>
  <c r="AJ381" i="335" s="1"/>
  <c r="AB412" i="338"/>
  <c r="AB381" i="335" s="1"/>
  <c r="K412" i="338"/>
  <c r="BK266" i="338"/>
  <c r="BQ266" i="338"/>
  <c r="DH253" i="338"/>
  <c r="DH266" i="338"/>
  <c r="DK265" i="338"/>
  <c r="DD253" i="338"/>
  <c r="DJ266" i="338"/>
  <c r="CX266" i="338"/>
  <c r="CX253" i="338"/>
  <c r="DC260" i="338"/>
  <c r="CW260" i="338"/>
  <c r="CR266" i="338"/>
  <c r="CR253" i="338"/>
  <c r="CS259" i="338"/>
  <c r="CQ260" i="338"/>
  <c r="CQ253" i="338"/>
  <c r="CM265" i="338"/>
  <c r="CL266" i="338"/>
  <c r="CF266" i="338"/>
  <c r="CF253" i="338"/>
  <c r="CA265" i="338"/>
  <c r="CE266" i="338"/>
  <c r="BY266" i="338"/>
  <c r="BF254" i="338"/>
  <c r="H173" i="338"/>
  <c r="I173" i="338"/>
  <c r="C382" i="338"/>
  <c r="DU139" i="335"/>
  <c r="FV75" i="335"/>
  <c r="DU77" i="335"/>
  <c r="DU311" i="335"/>
  <c r="DU87" i="335"/>
  <c r="EA88" i="335" s="1"/>
  <c r="EF77" i="335"/>
  <c r="EF76" i="335"/>
  <c r="EF139" i="335"/>
  <c r="EF286" i="335"/>
  <c r="EF48" i="11"/>
  <c r="EE425" i="338"/>
  <c r="EE550" i="338"/>
  <c r="EE382" i="338"/>
  <c r="DY425" i="338"/>
  <c r="DY382" i="338"/>
  <c r="DY550" i="338"/>
  <c r="EA77" i="335"/>
  <c r="EA76" i="335"/>
  <c r="EA286" i="335"/>
  <c r="FW75" i="335"/>
  <c r="FW139" i="335" s="1"/>
  <c r="EA311" i="335"/>
  <c r="EA48" i="11"/>
  <c r="EB77" i="335"/>
  <c r="EA139" i="335"/>
  <c r="CR382" i="338"/>
  <c r="CR425" i="338"/>
  <c r="CD382" i="338"/>
  <c r="CD425" i="338"/>
  <c r="CA115" i="338"/>
  <c r="DJ437" i="338"/>
  <c r="DJ439" i="338" s="1"/>
  <c r="DJ436" i="338"/>
  <c r="EE549" i="338"/>
  <c r="EE381" i="338"/>
  <c r="DG549" i="338"/>
  <c r="DG381" i="338"/>
  <c r="CU229" i="338"/>
  <c r="DM229" i="338"/>
  <c r="DG229" i="338"/>
  <c r="DK259" i="338"/>
  <c r="DI260" i="338"/>
  <c r="DA253" i="338"/>
  <c r="DE259" i="338"/>
  <c r="DA260" i="338"/>
  <c r="DY436" i="338"/>
  <c r="DY437" i="338"/>
  <c r="EB167" i="338"/>
  <c r="EH167" i="338"/>
  <c r="EC166" i="338"/>
  <c r="EM550" i="338"/>
  <c r="EM382" i="338"/>
  <c r="EM425" i="338"/>
  <c r="DO382" i="338"/>
  <c r="DO425" i="338"/>
  <c r="DO550" i="338"/>
  <c r="DJ425" i="338"/>
  <c r="DJ382" i="338"/>
  <c r="DJ550" i="338"/>
  <c r="DE382" i="338"/>
  <c r="DE425" i="338"/>
  <c r="DE550" i="338"/>
  <c r="DA382" i="338"/>
  <c r="DA550" i="338"/>
  <c r="DA425" i="338"/>
  <c r="CV382" i="338"/>
  <c r="CV425" i="338"/>
  <c r="CW412" i="338"/>
  <c r="CW381" i="335" s="1"/>
  <c r="CQ412" i="338"/>
  <c r="CQ381" i="335" s="1"/>
  <c r="CK412" i="338"/>
  <c r="CK381" i="335" s="1"/>
  <c r="CM259" i="338"/>
  <c r="BY253" i="338"/>
  <c r="BY254" i="338" s="1"/>
  <c r="CC272" i="338"/>
  <c r="BT253" i="338"/>
  <c r="BQ254" i="338"/>
  <c r="AO254" i="338"/>
  <c r="AJ254" i="338"/>
  <c r="D173" i="338"/>
  <c r="DJ99" i="338"/>
  <c r="EK412" i="338"/>
  <c r="EK381" i="335" s="1"/>
  <c r="BY412" i="338"/>
  <c r="BY381" i="335" s="1"/>
  <c r="BU271" i="338"/>
  <c r="BU272" i="338" s="1"/>
  <c r="DT99" i="338"/>
  <c r="BZ272" i="338"/>
  <c r="DW142" i="338"/>
  <c r="EE247" i="338"/>
  <c r="EA96" i="335"/>
  <c r="EA412" i="338"/>
  <c r="EA381" i="335" s="1"/>
  <c r="CV272" i="338"/>
  <c r="CU266" i="338"/>
  <c r="CX721" i="338"/>
  <c r="CX734" i="338" s="1"/>
  <c r="CL721" i="338"/>
  <c r="CL734" i="338" s="1"/>
  <c r="CO412" i="338"/>
  <c r="CO381" i="335" s="1"/>
  <c r="CI412" i="338"/>
  <c r="CI381" i="335" s="1"/>
  <c r="CC412" i="338"/>
  <c r="CC381" i="335" s="1"/>
  <c r="BK412" i="338"/>
  <c r="BK381" i="335" s="1"/>
  <c r="AN412" i="338"/>
  <c r="AN381" i="335" s="1"/>
  <c r="I412" i="338"/>
  <c r="DK271" i="338"/>
  <c r="DA266" i="338"/>
  <c r="CY271" i="338"/>
  <c r="DE272" i="338" s="1"/>
  <c r="CY259" i="338"/>
  <c r="ES382" i="338"/>
  <c r="EX382" i="338"/>
  <c r="DH229" i="338"/>
  <c r="DJ260" i="338"/>
  <c r="DW140" i="338"/>
  <c r="EN465" i="338"/>
  <c r="EN464" i="338"/>
  <c r="EN468" i="338" s="1"/>
  <c r="EL334" i="338"/>
  <c r="CU260" i="338"/>
  <c r="BX260" i="338"/>
  <c r="CG259" i="338"/>
  <c r="CG271" i="338"/>
  <c r="CM271" i="338"/>
  <c r="CS271" i="338"/>
  <c r="CS272" i="338" s="1"/>
  <c r="CV253" i="338"/>
  <c r="BY272" i="338"/>
  <c r="DP99" i="338"/>
  <c r="EC412" i="338"/>
  <c r="EC381" i="335" s="1"/>
  <c r="AI254" i="338"/>
  <c r="DJ253" i="338"/>
  <c r="CO424" i="338"/>
  <c r="DG253" i="338"/>
  <c r="DG254" i="338" s="1"/>
  <c r="BW253" i="338"/>
  <c r="BZ266" i="338"/>
  <c r="CS265" i="338"/>
  <c r="DB266" i="338"/>
  <c r="DU436" i="338"/>
  <c r="DU439" i="338" s="1"/>
  <c r="S412" i="338"/>
  <c r="O412" i="338"/>
  <c r="CP272" i="338"/>
  <c r="EE108" i="338"/>
  <c r="EE110" i="338" s="1"/>
  <c r="DJ108" i="338"/>
  <c r="DJ110" i="338" s="1"/>
  <c r="DW139" i="338"/>
  <c r="ET425" i="338"/>
  <c r="EY550" i="338"/>
  <c r="CU412" i="338"/>
  <c r="CU381" i="335" s="1"/>
  <c r="CL260" i="338"/>
  <c r="CA259" i="338"/>
  <c r="CG265" i="338"/>
  <c r="CP253" i="338"/>
  <c r="CP257" i="338" s="1"/>
  <c r="CW253" i="338"/>
  <c r="BU265" i="338"/>
  <c r="BT412" i="338"/>
  <c r="BT381" i="335" s="1"/>
  <c r="BT266" i="338"/>
  <c r="DN437" i="338"/>
  <c r="CE260" i="338"/>
  <c r="CO253" i="338"/>
  <c r="CO254" i="338" s="1"/>
  <c r="DM99" i="338"/>
  <c r="BG254" i="338"/>
  <c r="BY260" i="338"/>
  <c r="CU253" i="338"/>
  <c r="CU254" i="338" s="1"/>
  <c r="DM424" i="338"/>
  <c r="BQ39" i="338"/>
  <c r="EY382" i="338"/>
  <c r="EL412" i="338"/>
  <c r="EL381" i="335" s="1"/>
  <c r="CO266" i="338"/>
  <c r="CY265" i="338"/>
  <c r="DC272" i="338"/>
  <c r="EN471" i="338"/>
  <c r="EN475" i="338" s="1"/>
  <c r="EN472" i="338"/>
  <c r="DN436" i="338"/>
  <c r="DE265" i="338"/>
  <c r="EK549" i="338"/>
  <c r="CI253" i="338"/>
  <c r="DM381" i="338"/>
  <c r="BZ11" i="338"/>
  <c r="BS254" i="338"/>
  <c r="BL254" i="338"/>
  <c r="FY17" i="335"/>
  <c r="FY18" i="335" s="1"/>
  <c r="EW162" i="336"/>
  <c r="EN100" i="338"/>
  <c r="EN108" i="338" s="1"/>
  <c r="EN110" i="338" s="1"/>
  <c r="FY60" i="335"/>
  <c r="EN62" i="335"/>
  <c r="EO60" i="335"/>
  <c r="EN48" i="335"/>
  <c r="EN47" i="335"/>
  <c r="EK108" i="336"/>
  <c r="EN44" i="11"/>
  <c r="EN53" i="11" s="1"/>
  <c r="EN281" i="335"/>
  <c r="EN98" i="335"/>
  <c r="EO98" i="335" s="1"/>
  <c r="EH164" i="336"/>
  <c r="EO46" i="335"/>
  <c r="EN37" i="335"/>
  <c r="EO28" i="3"/>
  <c r="EY376" i="335"/>
  <c r="FZ97" i="335"/>
  <c r="EM84" i="335"/>
  <c r="EL247" i="338"/>
  <c r="FY30" i="335"/>
  <c r="EL243" i="338"/>
  <c r="EG242" i="338"/>
  <c r="EF242" i="338"/>
  <c r="EO94" i="3"/>
  <c r="EO40" i="3"/>
  <c r="EO30" i="335"/>
  <c r="BE609" i="338"/>
  <c r="EC387" i="335"/>
  <c r="EI283" i="338"/>
  <c r="EF168" i="335"/>
  <c r="EK366" i="335"/>
  <c r="EG321" i="335"/>
  <c r="EF296" i="335"/>
  <c r="CR229" i="338"/>
  <c r="CL230" i="338"/>
  <c r="F401" i="338"/>
  <c r="L222" i="336"/>
  <c r="L380" i="335"/>
  <c r="L224" i="336"/>
  <c r="AE407" i="338"/>
  <c r="AD412" i="338"/>
  <c r="AD381" i="335" s="1"/>
  <c r="AU97" i="3"/>
  <c r="AU92" i="3"/>
  <c r="AT38" i="3"/>
  <c r="AT95" i="3"/>
  <c r="I417" i="338"/>
  <c r="I25" i="3"/>
  <c r="AD74" i="3"/>
  <c r="J25" i="3"/>
  <c r="J417" i="338"/>
  <c r="DB51" i="3"/>
  <c r="DB45" i="3"/>
  <c r="DB49" i="3" s="1"/>
  <c r="DS584" i="338"/>
  <c r="DS578" i="338"/>
  <c r="DS648" i="338"/>
  <c r="DY648" i="338"/>
  <c r="DY578" i="338"/>
  <c r="AT95" i="11"/>
  <c r="AN95" i="11"/>
  <c r="AN361" i="335"/>
  <c r="AN360" i="335" s="1"/>
  <c r="AG93" i="11"/>
  <c r="AA119" i="11"/>
  <c r="AA97" i="11"/>
  <c r="AA93" i="11"/>
  <c r="AA91" i="11"/>
  <c r="CG10" i="335"/>
  <c r="AQ214" i="335"/>
  <c r="CE438" i="338"/>
  <c r="CE9" i="338"/>
  <c r="CE12" i="338" s="1"/>
  <c r="CE160" i="336"/>
  <c r="CF50" i="335"/>
  <c r="CE43" i="11"/>
  <c r="CE52" i="11" s="1"/>
  <c r="CE15" i="335"/>
  <c r="CE480" i="338"/>
  <c r="CE161" i="336"/>
  <c r="CE105" i="335"/>
  <c r="CE278" i="335"/>
  <c r="CD162" i="336"/>
  <c r="CE52" i="335"/>
  <c r="CK53" i="335" s="1"/>
  <c r="DW666" i="338"/>
  <c r="CV180" i="335"/>
  <c r="EL76" i="3"/>
  <c r="EN33" i="338"/>
  <c r="EN337" i="338" s="1"/>
  <c r="EN22" i="338"/>
  <c r="EN34" i="338"/>
  <c r="EO74" i="3"/>
  <c r="EO23" i="3"/>
  <c r="EX33" i="338"/>
  <c r="EX337" i="338" s="1"/>
  <c r="CU134" i="336"/>
  <c r="CU139" i="336" s="1"/>
  <c r="CU140" i="336" s="1"/>
  <c r="BA148" i="336"/>
  <c r="BC147" i="336"/>
  <c r="BC148" i="336" s="1"/>
  <c r="FU155" i="335"/>
  <c r="FT155" i="335"/>
  <c r="DZ141" i="335"/>
  <c r="EA317" i="335" s="1"/>
  <c r="DP366" i="335"/>
  <c r="DP321" i="335"/>
  <c r="DP168" i="335"/>
  <c r="DS366" i="335"/>
  <c r="DS116" i="336" s="1"/>
  <c r="DT366" i="335"/>
  <c r="DT116" i="336" s="1"/>
  <c r="DV296" i="335"/>
  <c r="DV168" i="335"/>
  <c r="FU167" i="335"/>
  <c r="DP296" i="335"/>
  <c r="ES19" i="335"/>
  <c r="EO166" i="338"/>
  <c r="EN167" i="338"/>
  <c r="EL321" i="335"/>
  <c r="FX155" i="335"/>
  <c r="AW73" i="3"/>
  <c r="FY35" i="335"/>
  <c r="FY36" i="335" s="1"/>
  <c r="EN14" i="335"/>
  <c r="EO35" i="335"/>
  <c r="EN466" i="338"/>
  <c r="EM34" i="338"/>
  <c r="EM22" i="338"/>
  <c r="EM77" i="335"/>
  <c r="EO75" i="335"/>
  <c r="EM87" i="335"/>
  <c r="EM88" i="335" s="1"/>
  <c r="EH25" i="3"/>
  <c r="EI25" i="3" s="1"/>
  <c r="EI13" i="3"/>
  <c r="EH64" i="3"/>
  <c r="AJ63" i="3"/>
  <c r="AK63" i="3" s="1"/>
  <c r="AK384" i="335" s="1"/>
  <c r="AI384" i="335"/>
  <c r="DY364" i="335"/>
  <c r="DY303" i="335"/>
  <c r="DV43" i="11"/>
  <c r="DV9" i="338"/>
  <c r="DV12" i="338" s="1"/>
  <c r="DY16" i="335"/>
  <c r="DV480" i="338"/>
  <c r="DV161" i="336"/>
  <c r="DV52" i="335"/>
  <c r="DV53" i="335" s="1"/>
  <c r="DV15" i="335"/>
  <c r="DU162" i="336"/>
  <c r="EB15" i="335"/>
  <c r="BW119" i="336"/>
  <c r="BW116" i="336"/>
  <c r="EG167" i="336"/>
  <c r="EF169" i="336"/>
  <c r="EA168" i="336"/>
  <c r="BY162" i="336"/>
  <c r="BZ438" i="338"/>
  <c r="CF437" i="338" s="1"/>
  <c r="BZ16" i="335"/>
  <c r="BZ43" i="11"/>
  <c r="BZ9" i="338"/>
  <c r="BZ12" i="338" s="1"/>
  <c r="BZ278" i="335"/>
  <c r="BZ303" i="335"/>
  <c r="BZ52" i="335"/>
  <c r="BZ53" i="335" s="1"/>
  <c r="BZ480" i="338"/>
  <c r="BZ105" i="335"/>
  <c r="BZ15" i="335"/>
  <c r="CA14" i="335"/>
  <c r="CA172" i="338" s="1"/>
  <c r="BZ161" i="336"/>
  <c r="EB71" i="336"/>
  <c r="EB432" i="335" s="1"/>
  <c r="EC432" i="335" s="1"/>
  <c r="EK356" i="335"/>
  <c r="AK359" i="335"/>
  <c r="AK80" i="11"/>
  <c r="AK121" i="11"/>
  <c r="W97" i="3"/>
  <c r="O25" i="3"/>
  <c r="O51" i="3" s="1"/>
  <c r="DI148" i="336"/>
  <c r="DM51" i="3"/>
  <c r="DM87" i="3" s="1"/>
  <c r="DM45" i="3"/>
  <c r="BW51" i="3"/>
  <c r="BW87" i="3" s="1"/>
  <c r="BW45" i="3"/>
  <c r="BI660" i="338"/>
  <c r="BL634" i="338"/>
  <c r="BL670" i="338"/>
  <c r="BL658" i="338"/>
  <c r="BL664" i="338"/>
  <c r="BL628" i="338"/>
  <c r="DA301" i="338"/>
  <c r="CV303" i="338"/>
  <c r="CU301" i="338"/>
  <c r="CY732" i="338"/>
  <c r="DE732" i="338"/>
  <c r="CG388" i="335"/>
  <c r="CG285" i="338"/>
  <c r="AY95" i="11"/>
  <c r="AS121" i="11"/>
  <c r="AS95" i="11"/>
  <c r="AS361" i="335"/>
  <c r="AS360" i="335" s="1"/>
  <c r="CJ214" i="335"/>
  <c r="CM214" i="335" s="1"/>
  <c r="CM176" i="335"/>
  <c r="FO176" i="335"/>
  <c r="CC438" i="338"/>
  <c r="CC15" i="335"/>
  <c r="CD50" i="335"/>
  <c r="CC161" i="336"/>
  <c r="CC105" i="335"/>
  <c r="CC9" i="338"/>
  <c r="CC12" i="338" s="1"/>
  <c r="CC160" i="336"/>
  <c r="CC91" i="335"/>
  <c r="CC52" i="335"/>
  <c r="CC54" i="335" s="1"/>
  <c r="CC278" i="335"/>
  <c r="BZ162" i="336"/>
  <c r="CC43" i="11"/>
  <c r="CC480" i="338"/>
  <c r="EG660" i="338"/>
  <c r="EI584" i="338"/>
  <c r="EI648" i="338"/>
  <c r="BH97" i="3"/>
  <c r="V38" i="3"/>
  <c r="V95" i="3"/>
  <c r="W92" i="3"/>
  <c r="AG33" i="3"/>
  <c r="AH29" i="3"/>
  <c r="AI75" i="3"/>
  <c r="AH24" i="3"/>
  <c r="CJ85" i="3"/>
  <c r="BR666" i="338"/>
  <c r="BL666" i="338"/>
  <c r="DE630" i="338"/>
  <c r="CY630" i="338"/>
  <c r="BL95" i="338"/>
  <c r="BR57" i="338"/>
  <c r="AH127" i="11"/>
  <c r="AN123" i="11"/>
  <c r="AJ361" i="335"/>
  <c r="AJ360" i="335"/>
  <c r="AP95" i="11"/>
  <c r="CM80" i="11"/>
  <c r="CM85" i="11" s="1"/>
  <c r="CG359" i="335"/>
  <c r="AC121" i="11"/>
  <c r="AC359" i="335"/>
  <c r="AI80" i="11"/>
  <c r="BA162" i="338"/>
  <c r="CK96" i="335"/>
  <c r="DE15" i="3"/>
  <c r="DD66" i="3"/>
  <c r="AH43" i="3"/>
  <c r="AI97" i="3"/>
  <c r="AU81" i="3"/>
  <c r="AT29" i="3"/>
  <c r="AH23" i="3"/>
  <c r="AI74" i="3"/>
  <c r="AI73" i="3"/>
  <c r="BY148" i="336"/>
  <c r="CA147" i="336"/>
  <c r="CA148" i="336" s="1"/>
  <c r="AI65" i="3"/>
  <c r="AH147" i="336"/>
  <c r="AH14" i="3"/>
  <c r="AU362" i="335"/>
  <c r="AU360" i="335"/>
  <c r="BA110" i="11"/>
  <c r="AU110" i="11"/>
  <c r="AU121" i="11"/>
  <c r="AV359" i="335"/>
  <c r="BB80" i="11"/>
  <c r="AV80" i="11"/>
  <c r="BO214" i="335"/>
  <c r="BN278" i="335"/>
  <c r="BN9" i="338"/>
  <c r="BN105" i="335"/>
  <c r="BN52" i="335"/>
  <c r="BQ16" i="335"/>
  <c r="BN43" i="11"/>
  <c r="BN160" i="336"/>
  <c r="BQ303" i="335"/>
  <c r="BT15" i="335"/>
  <c r="BN15" i="335"/>
  <c r="BN91" i="335"/>
  <c r="BN336" i="335" s="1"/>
  <c r="BM162" i="336"/>
  <c r="BN161" i="336"/>
  <c r="BT278" i="335"/>
  <c r="BQ50" i="335"/>
  <c r="EF243" i="338"/>
  <c r="DI91" i="335"/>
  <c r="DI148" i="335" s="1"/>
  <c r="DI89" i="335"/>
  <c r="DI96" i="335"/>
  <c r="AW95" i="11"/>
  <c r="AQ362" i="335"/>
  <c r="BO403" i="335"/>
  <c r="BO405" i="335" s="1"/>
  <c r="BC403" i="335"/>
  <c r="BM405" i="335"/>
  <c r="AH30" i="336"/>
  <c r="AH35" i="336" s="1"/>
  <c r="AH43" i="336" s="1"/>
  <c r="CX148" i="336"/>
  <c r="DU45" i="3"/>
  <c r="CK25" i="11"/>
  <c r="CJ24" i="11"/>
  <c r="CV167" i="335"/>
  <c r="DZ83" i="335"/>
  <c r="DZ84" i="335" s="1"/>
  <c r="DV104" i="335"/>
  <c r="EL50" i="335"/>
  <c r="EK47" i="335"/>
  <c r="EK14" i="335"/>
  <c r="EK553" i="338" s="1"/>
  <c r="EK281" i="335"/>
  <c r="EK35" i="336"/>
  <c r="EK43" i="336" s="1"/>
  <c r="CS362" i="335"/>
  <c r="CS360" i="335" s="1"/>
  <c r="AO360" i="335"/>
  <c r="CS30" i="11"/>
  <c r="FR30" i="11"/>
  <c r="AK360" i="335"/>
  <c r="DQ171" i="336"/>
  <c r="BU171" i="336"/>
  <c r="H40" i="336"/>
  <c r="BH30" i="336"/>
  <c r="CE21" i="336"/>
  <c r="AK45" i="336"/>
  <c r="DQ45" i="336"/>
  <c r="DQ46" i="336" s="1"/>
  <c r="AM95" i="3"/>
  <c r="AM99" i="3" s="1"/>
  <c r="F95" i="3"/>
  <c r="F99" i="3" s="1"/>
  <c r="F103" i="3" s="1"/>
  <c r="F105" i="3" s="1"/>
  <c r="F106" i="3" s="1"/>
  <c r="DK94" i="3"/>
  <c r="AB84" i="3"/>
  <c r="DJ67" i="3"/>
  <c r="DK67" i="3" s="1"/>
  <c r="CS41" i="3"/>
  <c r="CE45" i="3"/>
  <c r="CF33" i="3"/>
  <c r="CG33" i="3" s="1"/>
  <c r="BR75" i="3"/>
  <c r="DD25" i="3"/>
  <c r="CL25" i="3"/>
  <c r="CL45" i="3" s="1"/>
  <c r="CM45" i="3" s="1"/>
  <c r="DW636" i="338"/>
  <c r="BI286" i="338"/>
  <c r="BS260" i="338"/>
  <c r="CJ266" i="338"/>
  <c r="DM33" i="338"/>
  <c r="BZ162" i="11"/>
  <c r="BW162" i="11"/>
  <c r="AP93" i="11"/>
  <c r="BO119" i="11"/>
  <c r="AC82" i="11"/>
  <c r="CC80" i="11"/>
  <c r="CC85" i="11" s="1"/>
  <c r="AI78" i="11"/>
  <c r="DH80" i="11"/>
  <c r="DH84" i="11" s="1"/>
  <c r="AH76" i="11"/>
  <c r="DQ76" i="11"/>
  <c r="AG80" i="11"/>
  <c r="DB55" i="11"/>
  <c r="DY35" i="336"/>
  <c r="DY43" i="336" s="1"/>
  <c r="EE24" i="338"/>
  <c r="DZ35" i="336"/>
  <c r="DZ43" i="336" s="1"/>
  <c r="EF666" i="338"/>
  <c r="EG552" i="338"/>
  <c r="EC122" i="335"/>
  <c r="EC124" i="335" s="1"/>
  <c r="EA356" i="335"/>
  <c r="AK171" i="336"/>
  <c r="AU30" i="336"/>
  <c r="AU35" i="336" s="1"/>
  <c r="AU43" i="336" s="1"/>
  <c r="DW45" i="336"/>
  <c r="DW46" i="336" s="1"/>
  <c r="AW45" i="336"/>
  <c r="AS43" i="3"/>
  <c r="AT43" i="3" s="1"/>
  <c r="AU43" i="3" s="1"/>
  <c r="AV43" i="3" s="1"/>
  <c r="AW43" i="3" s="1"/>
  <c r="U43" i="3"/>
  <c r="V43" i="3" s="1"/>
  <c r="BF92" i="3"/>
  <c r="AN90" i="3"/>
  <c r="AT84" i="3"/>
  <c r="AH84" i="3"/>
  <c r="AA32" i="3"/>
  <c r="AA33" i="3" s="1"/>
  <c r="AA45" i="3" s="1"/>
  <c r="CY75" i="3"/>
  <c r="G25" i="3"/>
  <c r="G51" i="3" s="1"/>
  <c r="AN67" i="3"/>
  <c r="AH67" i="3"/>
  <c r="AB67" i="3"/>
  <c r="P67" i="3"/>
  <c r="DE41" i="3"/>
  <c r="FR160" i="335"/>
  <c r="AU412" i="338"/>
  <c r="AU381" i="335" s="1"/>
  <c r="U412" i="338"/>
  <c r="CY781" i="338"/>
  <c r="BM272" i="338"/>
  <c r="BK162" i="11"/>
  <c r="CD162" i="11"/>
  <c r="DP121" i="11"/>
  <c r="DV125" i="11"/>
  <c r="DV129" i="11" s="1"/>
  <c r="AQ120" i="11"/>
  <c r="AV119" i="11"/>
  <c r="AV123" i="11"/>
  <c r="AO97" i="11"/>
  <c r="AV82" i="11"/>
  <c r="AH82" i="11"/>
  <c r="BM121" i="11"/>
  <c r="BM125" i="11" s="1"/>
  <c r="DK79" i="11"/>
  <c r="DK83" i="11" s="1"/>
  <c r="CW53" i="11"/>
  <c r="BC25" i="11"/>
  <c r="CR167" i="335"/>
  <c r="DV124" i="335"/>
  <c r="FA412" i="335"/>
  <c r="FA415" i="335"/>
  <c r="FA417" i="335"/>
  <c r="BC294" i="335"/>
  <c r="EE104" i="335"/>
  <c r="EK166" i="336"/>
  <c r="EQ167" i="336" s="1"/>
  <c r="EK581" i="338"/>
  <c r="EK582" i="338" s="1"/>
  <c r="EZ80" i="3"/>
  <c r="EI65" i="3"/>
  <c r="BC359" i="335"/>
  <c r="CG80" i="11"/>
  <c r="CG85" i="11" s="1"/>
  <c r="AN162" i="338"/>
  <c r="CG244" i="336"/>
  <c r="BH214" i="336"/>
  <c r="DK174" i="336"/>
  <c r="DK176" i="336" s="1"/>
  <c r="BC171" i="336"/>
  <c r="BN40" i="336"/>
  <c r="CK35" i="336"/>
  <c r="CK43" i="336" s="1"/>
  <c r="BY35" i="336"/>
  <c r="BY43" i="336" s="1"/>
  <c r="CQ35" i="336"/>
  <c r="CQ43" i="336" s="1"/>
  <c r="AW26" i="336"/>
  <c r="AI30" i="336"/>
  <c r="AI35" i="336" s="1"/>
  <c r="AI43" i="336" s="1"/>
  <c r="U35" i="336"/>
  <c r="U43" i="336" s="1"/>
  <c r="J30" i="336"/>
  <c r="J35" i="336" s="1"/>
  <c r="J43" i="336" s="1"/>
  <c r="E30" i="336"/>
  <c r="E35" i="336" s="1"/>
  <c r="E43" i="336" s="1"/>
  <c r="CY124" i="336"/>
  <c r="AQ45" i="336"/>
  <c r="AS85" i="3"/>
  <c r="AS99" i="3"/>
  <c r="H85" i="3"/>
  <c r="BE32" i="3"/>
  <c r="L417" i="338"/>
  <c r="F16" i="3"/>
  <c r="F25" i="3" s="1"/>
  <c r="DW41" i="3"/>
  <c r="DC41" i="3"/>
  <c r="DQ16" i="3"/>
  <c r="BU606" i="338"/>
  <c r="BU607" i="338" s="1"/>
  <c r="F412" i="338"/>
  <c r="P412" i="338"/>
  <c r="DQ102" i="338"/>
  <c r="DW23" i="338"/>
  <c r="DW21" i="338" s="1"/>
  <c r="BK145" i="11"/>
  <c r="AP145" i="11"/>
  <c r="AO124" i="11"/>
  <c r="AU112" i="11"/>
  <c r="AU108" i="11"/>
  <c r="AV78" i="11"/>
  <c r="BR54" i="11"/>
  <c r="AW54" i="11"/>
  <c r="CO24" i="11"/>
  <c r="CO30" i="11" s="1"/>
  <c r="DY15" i="336"/>
  <c r="DY21" i="336" s="1"/>
  <c r="EF83" i="335"/>
  <c r="EF85" i="335" s="1"/>
  <c r="BL21" i="3"/>
  <c r="BM21" i="3" s="1"/>
  <c r="BN21" i="3" s="1"/>
  <c r="BO21" i="3" s="1"/>
  <c r="EL87" i="3"/>
  <c r="EL148" i="336"/>
  <c r="EL163" i="335"/>
  <c r="EL160" i="335" s="1"/>
  <c r="EL187" i="336"/>
  <c r="EL144" i="336"/>
  <c r="EF187" i="336"/>
  <c r="EF198" i="336"/>
  <c r="CQ105" i="3"/>
  <c r="CQ87" i="3"/>
  <c r="CQ383" i="335"/>
  <c r="CQ397" i="335" s="1"/>
  <c r="EL142" i="336"/>
  <c r="AW162" i="338"/>
  <c r="EQ262" i="338"/>
  <c r="EW262" i="338" s="1"/>
  <c r="FC262" i="338" s="1"/>
  <c r="FI262" i="338" s="1"/>
  <c r="EO319" i="338"/>
  <c r="EN390" i="335"/>
  <c r="EQ390" i="335"/>
  <c r="EI384" i="335"/>
  <c r="EI781" i="338"/>
  <c r="EZ97" i="3"/>
  <c r="FA97" i="3" s="1"/>
  <c r="FA43" i="3"/>
  <c r="DZ148" i="336"/>
  <c r="EL85" i="3"/>
  <c r="EA292" i="335"/>
  <c r="EA316" i="338"/>
  <c r="EA103" i="336"/>
  <c r="EA413" i="338" s="1"/>
  <c r="EA609" i="338"/>
  <c r="EB317" i="335"/>
  <c r="EH565" i="338"/>
  <c r="EC323" i="338"/>
  <c r="EM228" i="335"/>
  <c r="EN228" i="335" s="1"/>
  <c r="EI775" i="338"/>
  <c r="EE666" i="338"/>
  <c r="DY666" i="338"/>
  <c r="EM334" i="338"/>
  <c r="EI765" i="338"/>
  <c r="EI770" i="338" s="1"/>
  <c r="EC357" i="335"/>
  <c r="EC356" i="335" s="1"/>
  <c r="EM300" i="338"/>
  <c r="EM301" i="338" s="1"/>
  <c r="EM282" i="338"/>
  <c r="EI418" i="338"/>
  <c r="AW127" i="11"/>
  <c r="CS121" i="11"/>
  <c r="EC763" i="338"/>
  <c r="EM390" i="335"/>
  <c r="DK142" i="336"/>
  <c r="P95" i="3"/>
  <c r="Q90" i="3"/>
  <c r="EM330" i="338"/>
  <c r="EM160" i="336"/>
  <c r="AT21" i="336"/>
  <c r="D21" i="336"/>
  <c r="AT75" i="3"/>
  <c r="AS24" i="3"/>
  <c r="AZ74" i="3"/>
  <c r="AY23" i="3"/>
  <c r="BF70" i="3"/>
  <c r="BE19" i="3"/>
  <c r="AT67" i="3"/>
  <c r="AS16" i="3"/>
  <c r="AS9" i="3"/>
  <c r="AT60" i="3"/>
  <c r="CA304" i="338"/>
  <c r="CA305" i="338"/>
  <c r="AY361" i="335"/>
  <c r="AY360" i="335" s="1"/>
  <c r="BE95" i="11"/>
  <c r="CK53" i="11"/>
  <c r="DY84" i="335"/>
  <c r="DM35" i="336"/>
  <c r="DM43" i="336" s="1"/>
  <c r="CX35" i="336"/>
  <c r="CV35" i="336"/>
  <c r="CV43" i="336" s="1"/>
  <c r="BC82" i="3"/>
  <c r="CC43" i="336"/>
  <c r="AH225" i="335"/>
  <c r="CA192" i="336"/>
  <c r="CA196" i="336" s="1"/>
  <c r="CA175" i="336"/>
  <c r="DK171" i="336"/>
  <c r="DE171" i="336"/>
  <c r="BY21" i="336"/>
  <c r="AS21" i="336"/>
  <c r="H76" i="3"/>
  <c r="AT74" i="3"/>
  <c r="AS23" i="3"/>
  <c r="AY19" i="3"/>
  <c r="AZ70" i="3"/>
  <c r="BK16" i="3"/>
  <c r="BK25" i="3" s="1"/>
  <c r="BL67" i="3"/>
  <c r="CF25" i="3"/>
  <c r="CG14" i="3"/>
  <c r="CK110" i="11"/>
  <c r="CK115" i="11" s="1"/>
  <c r="CK121" i="11"/>
  <c r="AP112" i="11"/>
  <c r="AP106" i="11"/>
  <c r="AG112" i="11"/>
  <c r="AG108" i="11"/>
  <c r="AG119" i="11"/>
  <c r="BA80" i="11"/>
  <c r="BF78" i="11"/>
  <c r="AZ76" i="11"/>
  <c r="AJ82" i="11"/>
  <c r="AJ76" i="11"/>
  <c r="EC666" i="338"/>
  <c r="CG252" i="336"/>
  <c r="BT214" i="336"/>
  <c r="BN214" i="336"/>
  <c r="CW201" i="336"/>
  <c r="CX201" i="336" s="1"/>
  <c r="BO171" i="336"/>
  <c r="BI171" i="336"/>
  <c r="X30" i="336"/>
  <c r="Y30" i="336" s="1"/>
  <c r="AZ84" i="3"/>
  <c r="V84" i="3"/>
  <c r="AT83" i="3"/>
  <c r="AS31" i="3"/>
  <c r="AS33" i="3"/>
  <c r="AY76" i="3"/>
  <c r="P75" i="3"/>
  <c r="BF73" i="3"/>
  <c r="BE22" i="3"/>
  <c r="AH72" i="3"/>
  <c r="AS19" i="3"/>
  <c r="AT70" i="3"/>
  <c r="AB70" i="3"/>
  <c r="BF67" i="3"/>
  <c r="BE16" i="3"/>
  <c r="AT63" i="3"/>
  <c r="AS12" i="3"/>
  <c r="AS142" i="336" s="1"/>
  <c r="P60" i="3"/>
  <c r="DV41" i="3"/>
  <c r="DD41" i="3"/>
  <c r="BT33" i="3"/>
  <c r="CX25" i="3"/>
  <c r="CY16" i="3"/>
  <c r="DQ160" i="335"/>
  <c r="AA412" i="338"/>
  <c r="AA381" i="335" s="1"/>
  <c r="AB321" i="335"/>
  <c r="AA296" i="335"/>
  <c r="CL143" i="11"/>
  <c r="BQ145" i="11"/>
  <c r="DY125" i="11"/>
  <c r="DY129" i="11" s="1"/>
  <c r="AT119" i="11"/>
  <c r="AT112" i="11"/>
  <c r="BX95" i="11"/>
  <c r="BR95" i="11"/>
  <c r="EC86" i="338"/>
  <c r="EB34" i="338"/>
  <c r="EC25" i="3"/>
  <c r="EB51" i="3"/>
  <c r="EC51" i="3" s="1"/>
  <c r="EH85" i="335"/>
  <c r="BZ174" i="336"/>
  <c r="CA171" i="336"/>
  <c r="H95" i="3"/>
  <c r="AA76" i="3"/>
  <c r="AZ75" i="3"/>
  <c r="AY24" i="3"/>
  <c r="AY22" i="3"/>
  <c r="AZ73" i="3"/>
  <c r="BE21" i="3"/>
  <c r="BF72" i="3"/>
  <c r="CV67" i="3"/>
  <c r="AZ67" i="3"/>
  <c r="AY16" i="3"/>
  <c r="BZ41" i="3"/>
  <c r="DT33" i="3"/>
  <c r="DT45" i="3"/>
  <c r="CD33" i="3"/>
  <c r="BT25" i="3"/>
  <c r="BU19" i="3"/>
  <c r="BU417" i="338" s="1"/>
  <c r="H224" i="335"/>
  <c r="DI266" i="338"/>
  <c r="DI253" i="338"/>
  <c r="AU145" i="11"/>
  <c r="AV108" i="11"/>
  <c r="BB108" i="11"/>
  <c r="AV112" i="11"/>
  <c r="AV106" i="11"/>
  <c r="DK93" i="11"/>
  <c r="DK97" i="11"/>
  <c r="DE93" i="11"/>
  <c r="DE97" i="11" s="1"/>
  <c r="AN76" i="11"/>
  <c r="AN82" i="11"/>
  <c r="BB58" i="11"/>
  <c r="AZ53" i="11"/>
  <c r="AZ49" i="11"/>
  <c r="DT85" i="335"/>
  <c r="EK99" i="3"/>
  <c r="BI752" i="338"/>
  <c r="DQ642" i="338"/>
  <c r="BL636" i="338"/>
  <c r="CJ630" i="338"/>
  <c r="FQ160" i="335"/>
  <c r="I118" i="336"/>
  <c r="CI218" i="338"/>
  <c r="BS218" i="338"/>
  <c r="DO108" i="338"/>
  <c r="CX56" i="11"/>
  <c r="CO56" i="11"/>
  <c r="CJ25" i="11"/>
  <c r="CX24" i="11"/>
  <c r="CX30" i="11" s="1"/>
  <c r="CU24" i="11"/>
  <c r="CU30" i="11" s="1"/>
  <c r="CK11" i="335"/>
  <c r="CD11" i="335"/>
  <c r="CR10" i="335"/>
  <c r="CO10" i="335"/>
  <c r="CJ10" i="335"/>
  <c r="EO416" i="335"/>
  <c r="BO740" i="338"/>
  <c r="CV55" i="338"/>
  <c r="DY136" i="336"/>
  <c r="DM164" i="336"/>
  <c r="DK775" i="338"/>
  <c r="CM299" i="338"/>
  <c r="CM300" i="338"/>
  <c r="CM307" i="338" s="1"/>
  <c r="EC104" i="338"/>
  <c r="EB444" i="338"/>
  <c r="DW586" i="338"/>
  <c r="DW605" i="338" s="1"/>
  <c r="DK581" i="338"/>
  <c r="DK582" i="338" s="1"/>
  <c r="DQ581" i="338"/>
  <c r="DQ582" i="338" s="1"/>
  <c r="DW581" i="338"/>
  <c r="DW582" i="338" s="1"/>
  <c r="EC654" i="338" s="1"/>
  <c r="CA225" i="335"/>
  <c r="EB594" i="338"/>
  <c r="EC557" i="338"/>
  <c r="EC630" i="338" s="1"/>
  <c r="EC23" i="338"/>
  <c r="DT33" i="338"/>
  <c r="DT36" i="338"/>
  <c r="DT37" i="338" s="1"/>
  <c r="EG79" i="335"/>
  <c r="DZ79" i="335"/>
  <c r="CM120" i="338"/>
  <c r="DK300" i="338"/>
  <c r="EF61" i="335"/>
  <c r="DK159" i="338"/>
  <c r="CP30" i="336"/>
  <c r="CP35" i="336" s="1"/>
  <c r="CP43" i="336" s="1"/>
  <c r="CK21" i="336"/>
  <c r="DV25" i="3"/>
  <c r="DS33" i="338"/>
  <c r="DS36" i="338" s="1"/>
  <c r="EM161" i="336"/>
  <c r="EH79" i="335"/>
  <c r="EI79" i="335" s="1"/>
  <c r="DW783" i="338"/>
  <c r="CS732" i="338"/>
  <c r="CP660" i="338"/>
  <c r="AQ160" i="335"/>
  <c r="AE160" i="335"/>
  <c r="DE781" i="338"/>
  <c r="EO415" i="335"/>
  <c r="CG119" i="338"/>
  <c r="BI160" i="335"/>
  <c r="EM70" i="335"/>
  <c r="EA611" i="338"/>
  <c r="DB35" i="336"/>
  <c r="DB43" i="336" s="1"/>
  <c r="CR25" i="3"/>
  <c r="EI27" i="338"/>
  <c r="DV24" i="338"/>
  <c r="EE79" i="335"/>
  <c r="BU636" i="338"/>
  <c r="EU416" i="335"/>
  <c r="EU412" i="335"/>
  <c r="CG775" i="338"/>
  <c r="DE288" i="338"/>
  <c r="DP11" i="338"/>
  <c r="DP332" i="338" s="1"/>
  <c r="DQ74" i="338"/>
  <c r="CU21" i="336"/>
  <c r="DS229" i="338"/>
  <c r="FA416" i="335"/>
  <c r="EF79" i="335"/>
  <c r="CK291" i="336"/>
  <c r="CF292" i="336"/>
  <c r="CE291" i="336"/>
  <c r="BY291" i="336"/>
  <c r="BI250" i="336"/>
  <c r="BI251" i="335"/>
  <c r="BI252" i="335" s="1"/>
  <c r="CA250" i="336"/>
  <c r="CA251" i="335"/>
  <c r="CK243" i="336"/>
  <c r="CK250" i="336" s="1"/>
  <c r="CK273" i="336"/>
  <c r="BW244" i="336"/>
  <c r="BW251" i="336" s="1"/>
  <c r="BX270" i="336"/>
  <c r="BY270" i="336" s="1"/>
  <c r="BZ270" i="336" s="1"/>
  <c r="CC243" i="336"/>
  <c r="CC250" i="336" s="1"/>
  <c r="CC244" i="336"/>
  <c r="CC251" i="336" s="1"/>
  <c r="CD267" i="336"/>
  <c r="CC262" i="336"/>
  <c r="BU250" i="336"/>
  <c r="BK607" i="338"/>
  <c r="DA660" i="338"/>
  <c r="DI660" i="338"/>
  <c r="CW660" i="338"/>
  <c r="DT642" i="338"/>
  <c r="DT572" i="338"/>
  <c r="DZ641" i="338"/>
  <c r="CG636" i="338"/>
  <c r="CM636" i="338"/>
  <c r="CA636" i="338"/>
  <c r="BO636" i="338"/>
  <c r="DZ559" i="338"/>
  <c r="DZ630" i="338"/>
  <c r="BQ666" i="338"/>
  <c r="BK660" i="338"/>
  <c r="BQ660" i="338"/>
  <c r="DN578" i="338"/>
  <c r="DN572" i="338"/>
  <c r="DN642" i="338"/>
  <c r="DG565" i="338"/>
  <c r="BR636" i="338"/>
  <c r="CS630" i="338"/>
  <c r="EG572" i="338"/>
  <c r="EG642" i="338"/>
  <c r="EC636" i="338"/>
  <c r="BS666" i="338"/>
  <c r="DC660" i="338"/>
  <c r="CQ660" i="338"/>
  <c r="DI630" i="338"/>
  <c r="BM630" i="338"/>
  <c r="BS630" i="338"/>
  <c r="BO630" i="338"/>
  <c r="DZ642" i="338"/>
  <c r="DZ572" i="338"/>
  <c r="DZ660" i="338"/>
  <c r="DZ659" i="338"/>
  <c r="DT660" i="338"/>
  <c r="BS660" i="338"/>
  <c r="BY660" i="338"/>
  <c r="BM660" i="338"/>
  <c r="DT648" i="338"/>
  <c r="DZ578" i="338"/>
  <c r="DZ647" i="338"/>
  <c r="DT584" i="338"/>
  <c r="DT578" i="338"/>
  <c r="BX636" i="338"/>
  <c r="CD636" i="338"/>
  <c r="DC630" i="338"/>
  <c r="CW630" i="338"/>
  <c r="CD630" i="338"/>
  <c r="CS666" i="338"/>
  <c r="BW666" i="338"/>
  <c r="DS606" i="338"/>
  <c r="CY606" i="338"/>
  <c r="DH666" i="338"/>
  <c r="CU666" i="338"/>
  <c r="CO660" i="338"/>
  <c r="DI641" i="338"/>
  <c r="DI629" i="338"/>
  <c r="DI659" i="338"/>
  <c r="DI635" i="338"/>
  <c r="EH595" i="338"/>
  <c r="EN666" i="338" s="1"/>
  <c r="BY672" i="338"/>
  <c r="DK666" i="338"/>
  <c r="CC666" i="338"/>
  <c r="CY672" i="338"/>
  <c r="BO671" i="338"/>
  <c r="DA666" i="338"/>
  <c r="BX666" i="338"/>
  <c r="CC660" i="338"/>
  <c r="CI660" i="338"/>
  <c r="CW666" i="338"/>
  <c r="CO666" i="338"/>
  <c r="CP672" i="338"/>
  <c r="DO666" i="338"/>
  <c r="BO665" i="338"/>
  <c r="BO629" i="338"/>
  <c r="BO659" i="338"/>
  <c r="BO635" i="338"/>
  <c r="BO633" i="338" s="1"/>
  <c r="DW630" i="338"/>
  <c r="CE664" i="338"/>
  <c r="EK660" i="338"/>
  <c r="CQ630" i="338"/>
  <c r="BU763" i="338"/>
  <c r="AQ288" i="338"/>
  <c r="BI297" i="338"/>
  <c r="BI772" i="338"/>
  <c r="BI775" i="338" s="1"/>
  <c r="CA286" i="338"/>
  <c r="BI291" i="338"/>
  <c r="BI731" i="338" s="1"/>
  <c r="AW291" i="338"/>
  <c r="BU292" i="338"/>
  <c r="BU746" i="338" s="1"/>
  <c r="AW292" i="338"/>
  <c r="AW746" i="338" s="1"/>
  <c r="AW748" i="338" s="1"/>
  <c r="BO297" i="338"/>
  <c r="BO772" i="338" s="1"/>
  <c r="BC291" i="338"/>
  <c r="AW297" i="338"/>
  <c r="AW772" i="338"/>
  <c r="BU291" i="338"/>
  <c r="BC292" i="338"/>
  <c r="BC746" i="338" s="1"/>
  <c r="BC748" i="338" s="1"/>
  <c r="BI292" i="338"/>
  <c r="BI746" i="338" s="1"/>
  <c r="BU297" i="338"/>
  <c r="BU772" i="338" s="1"/>
  <c r="BO291" i="338"/>
  <c r="BC297" i="338"/>
  <c r="BC772" i="338" s="1"/>
  <c r="BO292" i="338"/>
  <c r="BO746" i="338" s="1"/>
  <c r="BC763" i="338"/>
  <c r="BO781" i="338"/>
  <c r="DQ732" i="338"/>
  <c r="DB40" i="338"/>
  <c r="DB123" i="11"/>
  <c r="DB127" i="11" s="1"/>
  <c r="CG746" i="338"/>
  <c r="CG300" i="338"/>
  <c r="CG305" i="338" s="1"/>
  <c r="DK732" i="338"/>
  <c r="EI289" i="338"/>
  <c r="DQ287" i="338"/>
  <c r="CS280" i="338"/>
  <c r="EC746" i="338"/>
  <c r="CG732" i="338"/>
  <c r="CM732" i="338"/>
  <c r="CM282" i="338"/>
  <c r="CL387" i="335"/>
  <c r="CL283" i="338"/>
  <c r="CR283" i="338"/>
  <c r="DW732" i="338"/>
  <c r="EC774" i="338"/>
  <c r="EC775" i="338"/>
  <c r="DP389" i="335"/>
  <c r="BZ300" i="338"/>
  <c r="DV387" i="335"/>
  <c r="EB283" i="338"/>
  <c r="DW282" i="338"/>
  <c r="DQ288" i="338"/>
  <c r="DK288" i="338"/>
  <c r="DQ783" i="338"/>
  <c r="DQ781" i="338"/>
  <c r="CA273" i="336"/>
  <c r="ER274" i="338"/>
  <c r="ET274" i="338"/>
  <c r="EZ262" i="338"/>
  <c r="FF262" i="338" s="1"/>
  <c r="FL262" i="338" s="1"/>
  <c r="ES274" i="338"/>
  <c r="EW268" i="338"/>
  <c r="FC268" i="338"/>
  <c r="FI268" i="338" s="1"/>
  <c r="EF262" i="338"/>
  <c r="ES268" i="338"/>
  <c r="EM139" i="335"/>
  <c r="FE139" i="335"/>
  <c r="FK139" i="335" s="1"/>
  <c r="FK138" i="335" s="1"/>
  <c r="EM76" i="335"/>
  <c r="EM48" i="11"/>
  <c r="EN48" i="11"/>
  <c r="EN77" i="335"/>
  <c r="EN76" i="335"/>
  <c r="EO253" i="338"/>
  <c r="EO765" i="338"/>
  <c r="EN254" i="338"/>
  <c r="DN219" i="338"/>
  <c r="DH217" i="338"/>
  <c r="DM214" i="338"/>
  <c r="DG221" i="338"/>
  <c r="DG217" i="338" s="1"/>
  <c r="DA217" i="338"/>
  <c r="CS222" i="338"/>
  <c r="DY37" i="338"/>
  <c r="EL33" i="338"/>
  <c r="EG25" i="338"/>
  <c r="EK152" i="338"/>
  <c r="EE11" i="338"/>
  <c r="EB24" i="338"/>
  <c r="EB33" i="338" s="1"/>
  <c r="EC49" i="338"/>
  <c r="EC50" i="338"/>
  <c r="DM11" i="338"/>
  <c r="BU217" i="336"/>
  <c r="BF208" i="336"/>
  <c r="CJ174" i="336"/>
  <c r="EU41" i="336"/>
  <c r="EZ41" i="336"/>
  <c r="EU33" i="336"/>
  <c r="EZ33" i="336"/>
  <c r="FA33" i="336" s="1"/>
  <c r="CW56" i="336"/>
  <c r="CV415" i="335"/>
  <c r="EA58" i="336"/>
  <c r="EA419" i="335" s="1"/>
  <c r="EO412" i="335"/>
  <c r="EM75" i="336"/>
  <c r="EM436" i="335" s="1"/>
  <c r="DC422" i="335"/>
  <c r="DT58" i="336"/>
  <c r="DD423" i="335"/>
  <c r="DB58" i="336"/>
  <c r="DA417" i="335"/>
  <c r="CV55" i="336"/>
  <c r="CU48" i="336"/>
  <c r="DZ59" i="336"/>
  <c r="DZ420" i="335" s="1"/>
  <c r="BM43" i="336"/>
  <c r="AY43" i="336"/>
  <c r="BA43" i="336"/>
  <c r="AN43" i="336"/>
  <c r="AG43" i="336"/>
  <c r="BK43" i="336"/>
  <c r="W43" i="336"/>
  <c r="AO43" i="336"/>
  <c r="BW43" i="336"/>
  <c r="BE43" i="336"/>
  <c r="AM43" i="336"/>
  <c r="AZ43" i="336"/>
  <c r="AS43" i="336"/>
  <c r="D43" i="336"/>
  <c r="EO26" i="336"/>
  <c r="DP26" i="336"/>
  <c r="DO30" i="336"/>
  <c r="DO35" i="336" s="1"/>
  <c r="DO43" i="336" s="1"/>
  <c r="ES19" i="336"/>
  <c r="ES98" i="336" s="1"/>
  <c r="EO82" i="3"/>
  <c r="CS95" i="336"/>
  <c r="CS94" i="336"/>
  <c r="DD99" i="336"/>
  <c r="EO19" i="336"/>
  <c r="DB99" i="336"/>
  <c r="DH99" i="336"/>
  <c r="DJ99" i="336"/>
  <c r="BB21" i="336"/>
  <c r="BC21" i="336" s="1"/>
  <c r="BI407" i="335"/>
  <c r="CA402" i="335"/>
  <c r="EI174" i="336"/>
  <c r="EI176" i="336" s="1"/>
  <c r="DK269" i="335"/>
  <c r="DQ269" i="335"/>
  <c r="BI254" i="336"/>
  <c r="CY174" i="336"/>
  <c r="CY176" i="336" s="1"/>
  <c r="BO240" i="335"/>
  <c r="BO248" i="335"/>
  <c r="CA193" i="336"/>
  <c r="BU242" i="336"/>
  <c r="S191" i="335"/>
  <c r="CA245" i="335"/>
  <c r="EH160" i="335"/>
  <c r="EI214" i="335"/>
  <c r="CU159" i="335"/>
  <c r="CY156" i="335"/>
  <c r="CY158" i="335" s="1"/>
  <c r="FA97" i="335"/>
  <c r="EO116" i="335"/>
  <c r="EO117" i="335" s="1"/>
  <c r="BE329" i="335"/>
  <c r="BE330" i="335"/>
  <c r="EM71" i="3"/>
  <c r="EM81" i="335"/>
  <c r="EO18" i="335"/>
  <c r="DI88" i="335"/>
  <c r="DC89" i="335"/>
  <c r="DC96" i="335"/>
  <c r="DC91" i="335"/>
  <c r="EN104" i="335"/>
  <c r="EO126" i="335"/>
  <c r="DP173" i="338"/>
  <c r="EE89" i="11"/>
  <c r="DY93" i="11"/>
  <c r="DY97" i="11" s="1"/>
  <c r="EE74" i="11"/>
  <c r="EE78" i="11" s="1"/>
  <c r="EE82" i="11" s="1"/>
  <c r="DY78" i="11"/>
  <c r="DY82" i="11" s="1"/>
  <c r="EH303" i="335"/>
  <c r="EF334" i="338"/>
  <c r="EL336" i="338" s="1"/>
  <c r="DO242" i="338"/>
  <c r="BQ229" i="338"/>
  <c r="DM173" i="338"/>
  <c r="CK612" i="338"/>
  <c r="CK613" i="338" s="1"/>
  <c r="DV630" i="338"/>
  <c r="EI732" i="338"/>
  <c r="AE289" i="338"/>
  <c r="CW301" i="338"/>
  <c r="DV559" i="338"/>
  <c r="EN565" i="338"/>
  <c r="DI657" i="338"/>
  <c r="EB648" i="338"/>
  <c r="DY676" i="338"/>
  <c r="EH636" i="338"/>
  <c r="BN660" i="338"/>
  <c r="Y288" i="338"/>
  <c r="X288" i="338"/>
  <c r="BC289" i="338"/>
  <c r="BC176" i="336"/>
  <c r="CA283" i="338"/>
  <c r="BO289" i="338"/>
  <c r="BH114" i="338"/>
  <c r="BH338" i="335"/>
  <c r="CS723" i="338"/>
  <c r="DY81" i="335"/>
  <c r="BH342" i="335"/>
  <c r="DI54" i="335"/>
  <c r="CS279" i="335"/>
  <c r="EH168" i="335"/>
  <c r="EH296" i="335"/>
  <c r="EB103" i="336"/>
  <c r="EB296" i="335"/>
  <c r="DW283" i="335"/>
  <c r="EC61" i="335"/>
  <c r="DI367" i="335"/>
  <c r="DI609" i="338"/>
  <c r="DI615" i="338" s="1"/>
  <c r="DI616" i="338" s="1"/>
  <c r="DN367" i="335"/>
  <c r="DO292" i="335"/>
  <c r="DK141" i="335"/>
  <c r="DJ317" i="335"/>
  <c r="DI292" i="335"/>
  <c r="DJ367" i="335"/>
  <c r="DK367" i="335" s="1"/>
  <c r="FT141" i="335"/>
  <c r="CP321" i="335"/>
  <c r="CQ366" i="335"/>
  <c r="CQ119" i="336" s="1"/>
  <c r="CU168" i="335"/>
  <c r="CP367" i="335"/>
  <c r="CO103" i="336"/>
  <c r="CO413" i="338" s="1"/>
  <c r="CQ367" i="335"/>
  <c r="CO296" i="335"/>
  <c r="FP167" i="335"/>
  <c r="CL103" i="336"/>
  <c r="CM103" i="336" s="1"/>
  <c r="CL366" i="335"/>
  <c r="CL316" i="338"/>
  <c r="CM316" i="338" s="1"/>
  <c r="CL321" i="335"/>
  <c r="CV317" i="335"/>
  <c r="CY141" i="335"/>
  <c r="CW317" i="335"/>
  <c r="DY42" i="335"/>
  <c r="DY40" i="338"/>
  <c r="DY228" i="338"/>
  <c r="DY229" i="338" s="1"/>
  <c r="DY119" i="11"/>
  <c r="DY104" i="11" s="1"/>
  <c r="CR311" i="335"/>
  <c r="CR91" i="335"/>
  <c r="CU93" i="335" s="1"/>
  <c r="BH329" i="335"/>
  <c r="BH339" i="335"/>
  <c r="BH341" i="335"/>
  <c r="BH313" i="338"/>
  <c r="BH336" i="335"/>
  <c r="BH348" i="335"/>
  <c r="BH102" i="336"/>
  <c r="BI102" i="336" s="1"/>
  <c r="BH15" i="11"/>
  <c r="BH345" i="335"/>
  <c r="BH49" i="11"/>
  <c r="BH58" i="11" s="1"/>
  <c r="BH162" i="338" s="1"/>
  <c r="BH154" i="335"/>
  <c r="BH148" i="335"/>
  <c r="BH330" i="335"/>
  <c r="BH346" i="335"/>
  <c r="BH331" i="335"/>
  <c r="BH328" i="335"/>
  <c r="BH151" i="335"/>
  <c r="EE39" i="335"/>
  <c r="EE40" i="338" s="1"/>
  <c r="EE53" i="338" s="1"/>
  <c r="CO321" i="335"/>
  <c r="EB366" i="335"/>
  <c r="CL367" i="335"/>
  <c r="CM367" i="335" s="1"/>
  <c r="DI317" i="335"/>
  <c r="DE768" i="338"/>
  <c r="BX316" i="338"/>
  <c r="BY321" i="335"/>
  <c r="BZ366" i="335"/>
  <c r="BZ119" i="336" s="1"/>
  <c r="CA119" i="336" s="1"/>
  <c r="BY367" i="335"/>
  <c r="BZ367" i="335"/>
  <c r="CA367" i="335" s="1"/>
  <c r="BX296" i="335"/>
  <c r="CD296" i="335"/>
  <c r="BY366" i="335"/>
  <c r="BY116" i="336" s="1"/>
  <c r="DU64" i="335"/>
  <c r="EA64" i="335" s="1"/>
  <c r="EG64" i="335" s="1"/>
  <c r="EM64" i="335" s="1"/>
  <c r="ES64" i="335" s="1"/>
  <c r="EY64" i="335" s="1"/>
  <c r="EC740" i="338"/>
  <c r="EC756" i="338" s="1"/>
  <c r="EC47" i="335"/>
  <c r="EC44" i="11"/>
  <c r="EC127" i="335"/>
  <c r="EI281" i="335"/>
  <c r="EI47" i="335"/>
  <c r="EC50" i="335"/>
  <c r="FV136" i="335"/>
  <c r="DY296" i="335"/>
  <c r="DY168" i="335"/>
  <c r="DZ321" i="335"/>
  <c r="FV167" i="335"/>
  <c r="EA366" i="335"/>
  <c r="DY366" i="335"/>
  <c r="CV161" i="336"/>
  <c r="DA364" i="335"/>
  <c r="CV52" i="335"/>
  <c r="DB278" i="335"/>
  <c r="CV330" i="338"/>
  <c r="DB331" i="338" s="1"/>
  <c r="CV15" i="335"/>
  <c r="CV9" i="338"/>
  <c r="CV105" i="335"/>
  <c r="CV43" i="11"/>
  <c r="DB52" i="11" s="1"/>
  <c r="CV480" i="338"/>
  <c r="DB479" i="338" s="1"/>
  <c r="CV160" i="336"/>
  <c r="CW303" i="335"/>
  <c r="DB609" i="338"/>
  <c r="DB612" i="338" s="1"/>
  <c r="DB613" i="338" s="1"/>
  <c r="DC317" i="335"/>
  <c r="DB103" i="336"/>
  <c r="DB413" i="338" s="1"/>
  <c r="DG367" i="335"/>
  <c r="FR141" i="335"/>
  <c r="DB292" i="335"/>
  <c r="FV149" i="335"/>
  <c r="CY740" i="338"/>
  <c r="CY761" i="338" s="1"/>
  <c r="CY281" i="335"/>
  <c r="DE47" i="335"/>
  <c r="CY44" i="11"/>
  <c r="DE50" i="335"/>
  <c r="CY47" i="335"/>
  <c r="DE281" i="335"/>
  <c r="DK293" i="335"/>
  <c r="DK728" i="338"/>
  <c r="DK735" i="338" s="1"/>
  <c r="BY303" i="335"/>
  <c r="BW162" i="336"/>
  <c r="BX438" i="338"/>
  <c r="BX303" i="335"/>
  <c r="BX52" i="335"/>
  <c r="BY54" i="335" s="1"/>
  <c r="BX160" i="336"/>
  <c r="BZ364" i="335"/>
  <c r="CA364" i="335" s="1"/>
  <c r="BX480" i="338"/>
  <c r="BX278" i="335"/>
  <c r="BX105" i="335"/>
  <c r="BX91" i="335"/>
  <c r="BX341" i="335" s="1"/>
  <c r="BY50" i="335"/>
  <c r="CC364" i="335"/>
  <c r="BX291" i="336"/>
  <c r="BY16" i="335"/>
  <c r="BX9" i="338"/>
  <c r="BX12" i="338" s="1"/>
  <c r="BX15" i="335"/>
  <c r="CA50" i="335"/>
  <c r="EI728" i="338"/>
  <c r="EI735" i="338" s="1"/>
  <c r="EI149" i="335"/>
  <c r="DW284" i="335"/>
  <c r="DW136" i="335"/>
  <c r="EC284" i="335"/>
  <c r="EC728" i="338"/>
  <c r="EC735" i="338" s="1"/>
  <c r="EC293" i="335"/>
  <c r="EC149" i="335"/>
  <c r="CV292" i="335"/>
  <c r="BH337" i="335"/>
  <c r="BH343" i="335"/>
  <c r="EB330" i="338"/>
  <c r="EB43" i="11"/>
  <c r="EB105" i="335"/>
  <c r="EH15" i="335"/>
  <c r="EE16" i="335"/>
  <c r="FW14" i="335"/>
  <c r="EB161" i="336"/>
  <c r="EB9" i="338"/>
  <c r="EB160" i="336"/>
  <c r="EB52" i="335"/>
  <c r="EA162" i="336"/>
  <c r="EB303" i="335"/>
  <c r="EF364" i="335"/>
  <c r="EE303" i="335"/>
  <c r="EB16" i="335"/>
  <c r="CY14" i="335"/>
  <c r="CY172" i="338" s="1"/>
  <c r="CU16" i="335"/>
  <c r="BO279" i="335"/>
  <c r="BO723" i="338"/>
  <c r="BO40" i="335"/>
  <c r="CE162" i="336"/>
  <c r="CL173" i="338"/>
  <c r="CL278" i="335"/>
  <c r="CM50" i="335"/>
  <c r="CV609" i="338"/>
  <c r="DY41" i="335"/>
  <c r="CO367" i="335"/>
  <c r="EB168" i="335"/>
  <c r="CR96" i="335"/>
  <c r="CO366" i="335"/>
  <c r="CU296" i="335"/>
  <c r="DI103" i="336"/>
  <c r="DI413" i="338" s="1"/>
  <c r="EE366" i="335"/>
  <c r="EE119" i="336" s="1"/>
  <c r="BH347" i="335"/>
  <c r="BH99" i="335"/>
  <c r="BH206" i="335" s="1"/>
  <c r="BH207" i="335" s="1"/>
  <c r="DU480" i="338"/>
  <c r="EA479" i="338" s="1"/>
  <c r="DU16" i="335"/>
  <c r="DU278" i="335"/>
  <c r="DU105" i="335"/>
  <c r="DU364" i="335"/>
  <c r="DV303" i="335"/>
  <c r="EL366" i="335"/>
  <c r="FS105" i="335"/>
  <c r="EB91" i="335"/>
  <c r="FW155" i="335"/>
  <c r="CX88" i="335"/>
  <c r="DV229" i="338"/>
  <c r="CS281" i="335"/>
  <c r="DU65" i="335"/>
  <c r="EA65" i="335" s="1"/>
  <c r="EG65" i="335" s="1"/>
  <c r="EM65" i="335" s="1"/>
  <c r="ES65" i="335" s="1"/>
  <c r="FS155" i="335"/>
  <c r="DV99" i="3"/>
  <c r="CD105" i="3"/>
  <c r="CD109" i="3" s="1"/>
  <c r="BL41" i="3"/>
  <c r="V41" i="3"/>
  <c r="BM142" i="336"/>
  <c r="CD87" i="3"/>
  <c r="BG384" i="335"/>
  <c r="DC45" i="3"/>
  <c r="DC49" i="3" s="1"/>
  <c r="BG12" i="3"/>
  <c r="CY85" i="3"/>
  <c r="BK106" i="3"/>
  <c r="BE109" i="3"/>
  <c r="BK110" i="3"/>
  <c r="EN79" i="336"/>
  <c r="EN440" i="335" s="1"/>
  <c r="DB332" i="338"/>
  <c r="EM452" i="335"/>
  <c r="BX245" i="336"/>
  <c r="BX252" i="336" s="1"/>
  <c r="EA69" i="336"/>
  <c r="EA430" i="335" s="1"/>
  <c r="G43" i="336"/>
  <c r="DK610" i="338"/>
  <c r="FO167" i="335"/>
  <c r="AK159" i="11"/>
  <c r="CY97" i="11"/>
  <c r="FS59" i="11" s="1"/>
  <c r="CX125" i="11"/>
  <c r="CX129" i="11" s="1"/>
  <c r="AQ80" i="11"/>
  <c r="BT125" i="11"/>
  <c r="EL77" i="3"/>
  <c r="BQ45" i="3"/>
  <c r="CM95" i="3"/>
  <c r="H99" i="3"/>
  <c r="H103" i="3" s="1"/>
  <c r="H105" i="3" s="1"/>
  <c r="H106" i="3" s="1"/>
  <c r="EL105" i="3"/>
  <c r="EL383" i="335"/>
  <c r="EL397" i="335" s="1"/>
  <c r="M45" i="3"/>
  <c r="M49" i="3" s="1"/>
  <c r="O47" i="3" s="1"/>
  <c r="BX76" i="3"/>
  <c r="BX99" i="3" s="1"/>
  <c r="BA12" i="3"/>
  <c r="CW60" i="336"/>
  <c r="CX60" i="336" s="1"/>
  <c r="BU35" i="336"/>
  <c r="EN88" i="336"/>
  <c r="DO103" i="336"/>
  <c r="DO413" i="338" s="1"/>
  <c r="DY85" i="335"/>
  <c r="CW296" i="335"/>
  <c r="AK225" i="335"/>
  <c r="FP155" i="335"/>
  <c r="AT312" i="335"/>
  <c r="CJ161" i="336"/>
  <c r="CL364" i="335"/>
  <c r="CM364" i="335" s="1"/>
  <c r="BB311" i="335"/>
  <c r="CM281" i="335"/>
  <c r="DM296" i="335"/>
  <c r="CK16" i="335"/>
  <c r="BI96" i="335"/>
  <c r="DW754" i="338"/>
  <c r="EC755" i="338" s="1"/>
  <c r="CJ105" i="335"/>
  <c r="DO169" i="336"/>
  <c r="CW179" i="335"/>
  <c r="CX179" i="335" s="1"/>
  <c r="DN242" i="338"/>
  <c r="DT167" i="336"/>
  <c r="BZ229" i="338"/>
  <c r="BH173" i="338"/>
  <c r="CL229" i="338"/>
  <c r="CA140" i="11"/>
  <c r="CA145" i="11" s="1"/>
  <c r="EA53" i="11"/>
  <c r="DP169" i="336"/>
  <c r="CL168" i="336"/>
  <c r="DN169" i="336"/>
  <c r="CY166" i="336"/>
  <c r="DV169" i="336"/>
  <c r="EF21" i="338"/>
  <c r="EF22" i="338"/>
  <c r="EI769" i="338"/>
  <c r="CW169" i="336"/>
  <c r="EL173" i="338"/>
  <c r="DP241" i="338"/>
  <c r="DP240" i="338" s="1"/>
  <c r="DD612" i="338"/>
  <c r="AO43" i="3"/>
  <c r="AP43" i="3"/>
  <c r="DD660" i="338"/>
  <c r="CK671" i="338"/>
  <c r="CK669" i="338"/>
  <c r="CI627" i="338"/>
  <c r="CS64" i="338"/>
  <c r="CS11" i="338" s="1"/>
  <c r="CA160" i="335"/>
  <c r="CF229" i="338"/>
  <c r="BZ606" i="338"/>
  <c r="CA176" i="336"/>
  <c r="CR218" i="338"/>
  <c r="EL578" i="338"/>
  <c r="CW612" i="338"/>
  <c r="CW613" i="338" s="1"/>
  <c r="CY635" i="338"/>
  <c r="CL278" i="338"/>
  <c r="CR278" i="338" s="1"/>
  <c r="CA289" i="338"/>
  <c r="EL648" i="338"/>
  <c r="DP587" i="338"/>
  <c r="DP588" i="338" s="1"/>
  <c r="DK95" i="11"/>
  <c r="DK99" i="11" s="1"/>
  <c r="DK361" i="335"/>
  <c r="CS31" i="11"/>
  <c r="FR31" i="11"/>
  <c r="ER578" i="338"/>
  <c r="ER584" i="338"/>
  <c r="EO89" i="338"/>
  <c r="EC732" i="338"/>
  <c r="ER648" i="338"/>
  <c r="CG85" i="3"/>
  <c r="DH45" i="3"/>
  <c r="DW144" i="336"/>
  <c r="AG25" i="3"/>
  <c r="AG51" i="3" s="1"/>
  <c r="EF108" i="335"/>
  <c r="FD50" i="335"/>
  <c r="FJ50" i="335" s="1"/>
  <c r="AH123" i="11"/>
  <c r="AO125" i="11"/>
  <c r="BQ57" i="338"/>
  <c r="AB127" i="11"/>
  <c r="AI125" i="11"/>
  <c r="AQ123" i="11"/>
  <c r="CM110" i="11"/>
  <c r="CM115" i="11" s="1"/>
  <c r="CK125" i="11"/>
  <c r="CK130" i="11" s="1"/>
  <c r="AQ124" i="11"/>
  <c r="CG121" i="11"/>
  <c r="DE95" i="11"/>
  <c r="DE99" i="11" s="1"/>
  <c r="BS57" i="338"/>
  <c r="BO95" i="11"/>
  <c r="AW362" i="335"/>
  <c r="AW360" i="335" s="1"/>
  <c r="AW110" i="11"/>
  <c r="AW121" i="11"/>
  <c r="BC125" i="11"/>
  <c r="AQ121" i="11"/>
  <c r="AQ125" i="11"/>
  <c r="AM125" i="11"/>
  <c r="AW80" i="11"/>
  <c r="BC80" i="11"/>
  <c r="CA80" i="11"/>
  <c r="FA84" i="3"/>
  <c r="EZ40" i="3"/>
  <c r="FA40" i="3" s="1"/>
  <c r="BI289" i="338"/>
  <c r="BU289" i="338"/>
  <c r="BU627" i="338"/>
  <c r="BU626" i="338" s="1"/>
  <c r="EA83" i="338"/>
  <c r="EA24" i="338" s="1"/>
  <c r="DI679" i="338"/>
  <c r="CW283" i="338"/>
  <c r="EQ578" i="338"/>
  <c r="EH581" i="338"/>
  <c r="EH582" i="338" s="1"/>
  <c r="EH654" i="338" s="1"/>
  <c r="EH679" i="338" s="1"/>
  <c r="EK578" i="338"/>
  <c r="DQ605" i="338"/>
  <c r="DQ606" i="338" s="1"/>
  <c r="DQ607" i="338" s="1"/>
  <c r="EO28" i="338"/>
  <c r="DJ642" i="338"/>
  <c r="BY635" i="338"/>
  <c r="BY633" i="338" s="1"/>
  <c r="BY632" i="338" s="1"/>
  <c r="CG176" i="336"/>
  <c r="BO176" i="336"/>
  <c r="EQ648" i="338"/>
  <c r="DQ587" i="338"/>
  <c r="DQ588" i="338" s="1"/>
  <c r="DQ660" i="338" s="1"/>
  <c r="BT606" i="338"/>
  <c r="BT607" i="338" s="1"/>
  <c r="CQ316" i="338"/>
  <c r="EK648" i="338"/>
  <c r="EN81" i="336"/>
  <c r="DN612" i="338"/>
  <c r="DN613" i="338" s="1"/>
  <c r="EC777" i="338"/>
  <c r="EC611" i="338"/>
  <c r="EK108" i="335"/>
  <c r="EK23" i="338"/>
  <c r="EG604" i="338"/>
  <c r="DP581" i="338"/>
  <c r="DP582" i="338" s="1"/>
  <c r="EC679" i="338"/>
  <c r="CQ229" i="338"/>
  <c r="BZ611" i="338"/>
  <c r="EL36" i="338"/>
  <c r="EL337" i="338"/>
  <c r="CF630" i="338"/>
  <c r="EM36" i="338"/>
  <c r="EM337" i="338"/>
  <c r="BZ636" i="338"/>
  <c r="EL11" i="338"/>
  <c r="BO669" i="338"/>
  <c r="EB584" i="338"/>
  <c r="CL660" i="338"/>
  <c r="EH648" i="338"/>
  <c r="BY665" i="338"/>
  <c r="BY663" i="338" s="1"/>
  <c r="BY662" i="338" s="1"/>
  <c r="BY671" i="338"/>
  <c r="BY669" i="338" s="1"/>
  <c r="BY668" i="338" s="1"/>
  <c r="EB652" i="338"/>
  <c r="CQ301" i="338"/>
  <c r="EB578" i="338"/>
  <c r="BY629" i="338"/>
  <c r="BY627" i="338" s="1"/>
  <c r="EN584" i="338"/>
  <c r="DJ572" i="338"/>
  <c r="BT660" i="338"/>
  <c r="EO153" i="338"/>
  <c r="EK654" i="338"/>
  <c r="EK679" i="338" s="1"/>
  <c r="EI652" i="338"/>
  <c r="EB654" i="338"/>
  <c r="DZ651" i="338"/>
  <c r="EL654" i="338"/>
  <c r="EL679" i="338" s="1"/>
  <c r="ER654" i="338"/>
  <c r="ER679" i="338" s="1"/>
  <c r="EI654" i="338"/>
  <c r="EO653" i="338"/>
  <c r="EO651" i="338" s="1"/>
  <c r="EO654" i="338"/>
  <c r="EG654" i="338"/>
  <c r="EG679" i="338" s="1"/>
  <c r="EE654" i="338"/>
  <c r="EE679" i="338" s="1"/>
  <c r="EC652" i="338"/>
  <c r="CF670" i="338"/>
  <c r="DB665" i="338"/>
  <c r="DB629" i="338"/>
  <c r="DB627" i="338" s="1"/>
  <c r="DQ94" i="338"/>
  <c r="DQ11" i="338" s="1"/>
  <c r="DZ627" i="338"/>
  <c r="EB436" i="338"/>
  <c r="DP646" i="338"/>
  <c r="DG283" i="338"/>
  <c r="DA283" i="338"/>
  <c r="EG21" i="338"/>
  <c r="CR300" i="338"/>
  <c r="CR301" i="338" s="1"/>
  <c r="EE443" i="338"/>
  <c r="EI389" i="335"/>
  <c r="DB659" i="338"/>
  <c r="DB657" i="338" s="1"/>
  <c r="DB656" i="338" s="1"/>
  <c r="CU224" i="338"/>
  <c r="CU230" i="338" s="1"/>
  <c r="CF664" i="338"/>
  <c r="DZ663" i="338"/>
  <c r="DZ662" i="338" s="1"/>
  <c r="EA436" i="338"/>
  <c r="EA439" i="338" s="1"/>
  <c r="DO11" i="338"/>
  <c r="DO332" i="338" s="1"/>
  <c r="CC627" i="338"/>
  <c r="DA316" i="338"/>
  <c r="EG22" i="338"/>
  <c r="EN21" i="338"/>
  <c r="CA763" i="338"/>
  <c r="BX612" i="338"/>
  <c r="BX613" i="338" s="1"/>
  <c r="EH34" i="338"/>
  <c r="EM21" i="338"/>
  <c r="EG34" i="338"/>
  <c r="BT57" i="338"/>
  <c r="EG334" i="338"/>
  <c r="EG150" i="338"/>
  <c r="EF86" i="338"/>
  <c r="BK173" i="336"/>
  <c r="DD565" i="338"/>
  <c r="CR660" i="338"/>
  <c r="CY671" i="338"/>
  <c r="CY669" i="338" s="1"/>
  <c r="CY668" i="338" s="1"/>
  <c r="CC635" i="338"/>
  <c r="CC633" i="338" s="1"/>
  <c r="CC632" i="338" s="1"/>
  <c r="CL630" i="338"/>
  <c r="CG289" i="338"/>
  <c r="CW629" i="338"/>
  <c r="CW627" i="338" s="1"/>
  <c r="CW626" i="338" s="1"/>
  <c r="CG283" i="338"/>
  <c r="BR627" i="338"/>
  <c r="CM660" i="338"/>
  <c r="BU665" i="338"/>
  <c r="BU663" i="338" s="1"/>
  <c r="CY659" i="338"/>
  <c r="CY657" i="338" s="1"/>
  <c r="BM659" i="338"/>
  <c r="CC671" i="338"/>
  <c r="CC665" i="338"/>
  <c r="CC663" i="338" s="1"/>
  <c r="CC659" i="338"/>
  <c r="CC657" i="338" s="1"/>
  <c r="BO627" i="338"/>
  <c r="BO626" i="338" s="1"/>
  <c r="CY629" i="338"/>
  <c r="CY627" i="338" s="1"/>
  <c r="CY626" i="338" s="1"/>
  <c r="DP21" i="336"/>
  <c r="DQ21" i="336" s="1"/>
  <c r="DJ43" i="336"/>
  <c r="DK43" i="336" s="1"/>
  <c r="DO98" i="336"/>
  <c r="DO96" i="336" s="1"/>
  <c r="DP98" i="336"/>
  <c r="DP96" i="336" s="1"/>
  <c r="DO21" i="336"/>
  <c r="DD437" i="335"/>
  <c r="CX570" i="338"/>
  <c r="CX576" i="338"/>
  <c r="DB669" i="338"/>
  <c r="DB169" i="336"/>
  <c r="DS169" i="336"/>
  <c r="DG167" i="336"/>
  <c r="DN167" i="336"/>
  <c r="DD169" i="336"/>
  <c r="DY169" i="336"/>
  <c r="CC214" i="336"/>
  <c r="DA169" i="336"/>
  <c r="EB167" i="336"/>
  <c r="EB365" i="338" s="1"/>
  <c r="DV167" i="336"/>
  <c r="G380" i="335"/>
  <c r="DV565" i="338"/>
  <c r="BK615" i="338"/>
  <c r="BK616" i="338" s="1"/>
  <c r="CD45" i="3"/>
  <c r="DD45" i="3"/>
  <c r="AH22" i="3"/>
  <c r="AI22" i="3" s="1"/>
  <c r="AI144" i="336"/>
  <c r="EG87" i="3"/>
  <c r="EE105" i="3"/>
  <c r="CG95" i="3"/>
  <c r="EL99" i="3"/>
  <c r="EI85" i="3"/>
  <c r="DP99" i="3"/>
  <c r="BL33" i="3"/>
  <c r="EG105" i="3"/>
  <c r="BX45" i="3"/>
  <c r="Q38" i="3"/>
  <c r="R38" i="3" s="1"/>
  <c r="S38" i="3" s="1"/>
  <c r="S92" i="3"/>
  <c r="CY95" i="3"/>
  <c r="AI31" i="3"/>
  <c r="AJ83" i="3"/>
  <c r="AK83" i="3" s="1"/>
  <c r="AK382" i="335" s="1"/>
  <c r="EG77" i="3"/>
  <c r="ES66" i="3"/>
  <c r="ES76" i="3" s="1"/>
  <c r="ET66" i="3"/>
  <c r="ET76" i="3" s="1"/>
  <c r="E45" i="3"/>
  <c r="CD85" i="3"/>
  <c r="CD99" i="3" s="1"/>
  <c r="CM166" i="336"/>
  <c r="CR168" i="336"/>
  <c r="CU169" i="336"/>
  <c r="CV169" i="336"/>
  <c r="CL167" i="336"/>
  <c r="CX169" i="336"/>
  <c r="DA167" i="336"/>
  <c r="BK178" i="336"/>
  <c r="CL169" i="336"/>
  <c r="AQ162" i="338"/>
  <c r="AV127" i="11"/>
  <c r="BU121" i="11"/>
  <c r="BC58" i="11"/>
  <c r="BU95" i="11"/>
  <c r="BU359" i="335"/>
  <c r="DC360" i="335"/>
  <c r="BB123" i="11"/>
  <c r="BO145" i="11"/>
  <c r="AK58" i="11"/>
  <c r="FS52" i="11"/>
  <c r="CY82" i="11"/>
  <c r="FS58" i="11" s="1"/>
  <c r="BR125" i="11"/>
  <c r="DY279" i="335"/>
  <c r="FP149" i="335"/>
  <c r="EB85" i="335"/>
  <c r="BB89" i="335"/>
  <c r="BG286" i="335"/>
  <c r="DK229" i="338"/>
  <c r="CI162" i="336"/>
  <c r="CP278" i="335"/>
  <c r="CC367" i="335"/>
  <c r="CR167" i="336"/>
  <c r="FV133" i="335"/>
  <c r="DP292" i="335"/>
  <c r="CJ296" i="335"/>
  <c r="CM769" i="338"/>
  <c r="CJ480" i="338"/>
  <c r="CP478" i="338" s="1"/>
  <c r="BA91" i="335"/>
  <c r="CJ43" i="11"/>
  <c r="CP52" i="11" s="1"/>
  <c r="CP16" i="338" s="1"/>
  <c r="CJ91" i="335"/>
  <c r="CJ143" i="335" s="1"/>
  <c r="CC366" i="335"/>
  <c r="CC116" i="336" s="1"/>
  <c r="EG108" i="335"/>
  <c r="CR53" i="11"/>
  <c r="EC283" i="335"/>
  <c r="AA286" i="335"/>
  <c r="EQ168" i="335"/>
  <c r="CM155" i="335"/>
  <c r="BX103" i="336"/>
  <c r="BX413" i="338" s="1"/>
  <c r="CM139" i="335"/>
  <c r="CJ438" i="338"/>
  <c r="AS87" i="335"/>
  <c r="CJ160" i="336"/>
  <c r="CJ52" i="335"/>
  <c r="EA108" i="338"/>
  <c r="EH84" i="335"/>
  <c r="CM48" i="11"/>
  <c r="AZ89" i="335"/>
  <c r="DW133" i="335"/>
  <c r="BC87" i="335"/>
  <c r="BC96" i="335" s="1"/>
  <c r="DA91" i="335"/>
  <c r="DA328" i="335" s="1"/>
  <c r="DW61" i="335"/>
  <c r="BG342" i="335"/>
  <c r="DW100" i="338"/>
  <c r="DW99" i="338" s="1"/>
  <c r="FZ17" i="335"/>
  <c r="FZ18" i="335" s="1"/>
  <c r="EE85" i="335"/>
  <c r="EE296" i="335"/>
  <c r="FV98" i="335"/>
  <c r="DI53" i="335"/>
  <c r="DC53" i="335"/>
  <c r="BX230" i="338"/>
  <c r="BX229" i="338"/>
  <c r="DE279" i="335"/>
  <c r="BO103" i="336"/>
  <c r="BN413" i="338"/>
  <c r="BO413" i="338" s="1"/>
  <c r="H144" i="335"/>
  <c r="H388" i="338" s="1"/>
  <c r="CR89" i="335"/>
  <c r="CQ286" i="335"/>
  <c r="FW149" i="335"/>
  <c r="FX149" i="335"/>
  <c r="CM167" i="335"/>
  <c r="CM754" i="338"/>
  <c r="CM152" i="335"/>
  <c r="CS152" i="335"/>
  <c r="CS294" i="335"/>
  <c r="DB321" i="335"/>
  <c r="DD366" i="335"/>
  <c r="DD118" i="336" s="1"/>
  <c r="DE118" i="336" s="1"/>
  <c r="DC366" i="335"/>
  <c r="DC119" i="336" s="1"/>
  <c r="DA321" i="335"/>
  <c r="DG296" i="335"/>
  <c r="DC367" i="335"/>
  <c r="DB367" i="335"/>
  <c r="DA296" i="335"/>
  <c r="DA103" i="336"/>
  <c r="DA413" i="338" s="1"/>
  <c r="FR167" i="335"/>
  <c r="DD367" i="335"/>
  <c r="DE367" i="335" s="1"/>
  <c r="DB366" i="335"/>
  <c r="DB118" i="336" s="1"/>
  <c r="DG168" i="335"/>
  <c r="EI754" i="338"/>
  <c r="EI756" i="338" s="1"/>
  <c r="EI294" i="335"/>
  <c r="EI152" i="335"/>
  <c r="EI167" i="335"/>
  <c r="CU89" i="335"/>
  <c r="EE321" i="335"/>
  <c r="FW167" i="335"/>
  <c r="EH366" i="335"/>
  <c r="EE168" i="335"/>
  <c r="EG366" i="335"/>
  <c r="EF321" i="335"/>
  <c r="EF366" i="335"/>
  <c r="CD229" i="338"/>
  <c r="DA168" i="335"/>
  <c r="DQ173" i="338"/>
  <c r="DK9" i="338"/>
  <c r="DK12" i="338" s="1"/>
  <c r="S92" i="335"/>
  <c r="S100" i="335" s="1"/>
  <c r="M365" i="335"/>
  <c r="M392" i="335" s="1"/>
  <c r="M119" i="336"/>
  <c r="M112" i="336"/>
  <c r="M328" i="335"/>
  <c r="M154" i="335"/>
  <c r="M145" i="336"/>
  <c r="S278" i="335"/>
  <c r="S328" i="335"/>
  <c r="DV99" i="338"/>
  <c r="EB99" i="338"/>
  <c r="CO167" i="336"/>
  <c r="CQ169" i="336"/>
  <c r="CO169" i="336"/>
  <c r="CU167" i="336"/>
  <c r="CR169" i="336"/>
  <c r="CP169" i="336"/>
  <c r="CS166" i="336"/>
  <c r="CY228" i="338"/>
  <c r="DE229" i="338" s="1"/>
  <c r="CY40" i="335"/>
  <c r="CY723" i="338"/>
  <c r="CY721" i="338" s="1"/>
  <c r="DZ168" i="336"/>
  <c r="EB169" i="336"/>
  <c r="EA169" i="336"/>
  <c r="DZ169" i="336"/>
  <c r="DZ167" i="336"/>
  <c r="EF167" i="336"/>
  <c r="EE169" i="336"/>
  <c r="DV108" i="338"/>
  <c r="CO168" i="336"/>
  <c r="CQ88" i="335"/>
  <c r="CI96" i="335"/>
  <c r="CJ311" i="335"/>
  <c r="BC609" i="338"/>
  <c r="BC615" i="338" s="1"/>
  <c r="BC616" i="338" s="1"/>
  <c r="EH16" i="335"/>
  <c r="EG278" i="335"/>
  <c r="EG303" i="335"/>
  <c r="FR139" i="335"/>
  <c r="EE21" i="338"/>
  <c r="CJ15" i="335"/>
  <c r="CD291" i="336"/>
  <c r="CJ278" i="335"/>
  <c r="DW98" i="335"/>
  <c r="CS98" i="335"/>
  <c r="FQ98" i="335"/>
  <c r="CU330" i="338"/>
  <c r="CU160" i="336"/>
  <c r="CU328" i="335"/>
  <c r="CY50" i="335"/>
  <c r="CU52" i="335"/>
  <c r="DA53" i="335" s="1"/>
  <c r="CU161" i="336"/>
  <c r="CW364" i="335"/>
  <c r="CJ230" i="338"/>
  <c r="CP229" i="338"/>
  <c r="BL303" i="335"/>
  <c r="BM290" i="336"/>
  <c r="BL230" i="338"/>
  <c r="BR229" i="338"/>
  <c r="DK160" i="335"/>
  <c r="FT160" i="335"/>
  <c r="CI230" i="338"/>
  <c r="CI229" i="338"/>
  <c r="CM610" i="338"/>
  <c r="CA44" i="11"/>
  <c r="CA740" i="338"/>
  <c r="CG47" i="335"/>
  <c r="CG50" i="335"/>
  <c r="BZ168" i="336"/>
  <c r="CD169" i="336"/>
  <c r="CC169" i="336"/>
  <c r="BZ167" i="336"/>
  <c r="CE169" i="336"/>
  <c r="CA166" i="336"/>
  <c r="CF167" i="336"/>
  <c r="BZ169" i="336"/>
  <c r="BW230" i="338"/>
  <c r="CC229" i="338"/>
  <c r="BW229" i="338"/>
  <c r="CP162" i="336"/>
  <c r="CW15" i="335"/>
  <c r="CQ364" i="335"/>
  <c r="CR303" i="335"/>
  <c r="CQ303" i="335"/>
  <c r="CQ278" i="335"/>
  <c r="CS50" i="335"/>
  <c r="CR364" i="335"/>
  <c r="CS364" i="335" s="1"/>
  <c r="CW278" i="335"/>
  <c r="CQ15" i="335"/>
  <c r="CR16" i="335"/>
  <c r="CY743" i="338"/>
  <c r="DE744" i="338" s="1"/>
  <c r="AE191" i="335"/>
  <c r="AE225" i="335"/>
  <c r="AE412" i="338"/>
  <c r="AE381" i="335" s="1"/>
  <c r="FP105" i="335"/>
  <c r="EA80" i="335"/>
  <c r="CQ311" i="335"/>
  <c r="EI107" i="335"/>
  <c r="CS740" i="338"/>
  <c r="CS756" i="338" s="1"/>
  <c r="CJ612" i="338"/>
  <c r="CJ613" i="338" s="1"/>
  <c r="EC107" i="335"/>
  <c r="DY330" i="338"/>
  <c r="CU53" i="11"/>
  <c r="EF34" i="338"/>
  <c r="EQ292" i="335"/>
  <c r="EL317" i="335"/>
  <c r="EK103" i="336"/>
  <c r="EK413" i="338" s="1"/>
  <c r="EK316" i="338"/>
  <c r="DU367" i="335"/>
  <c r="DT367" i="335"/>
  <c r="DK105" i="335"/>
  <c r="DP317" i="335"/>
  <c r="BI9" i="338"/>
  <c r="BR9" i="338"/>
  <c r="BR12" i="338" s="1"/>
  <c r="DZ364" i="335"/>
  <c r="DS367" i="335"/>
  <c r="DP103" i="336"/>
  <c r="DP413" i="338" s="1"/>
  <c r="DQ413" i="338" s="1"/>
  <c r="DS317" i="335"/>
  <c r="U88" i="335"/>
  <c r="F295" i="335"/>
  <c r="BL119" i="336"/>
  <c r="BR278" i="335"/>
  <c r="BR161" i="336"/>
  <c r="BQ162" i="336"/>
  <c r="CS47" i="335"/>
  <c r="EL81" i="335"/>
  <c r="E155" i="335"/>
  <c r="CC303" i="335"/>
  <c r="BS50" i="335"/>
  <c r="BR291" i="336"/>
  <c r="FR149" i="335"/>
  <c r="FQ152" i="335"/>
  <c r="CS769" i="338"/>
  <c r="CF291" i="336"/>
  <c r="EE84" i="335"/>
  <c r="CY279" i="335"/>
  <c r="CF15" i="335"/>
  <c r="EH22" i="338"/>
  <c r="BZ15" i="11"/>
  <c r="BZ38" i="11" s="1"/>
  <c r="EH168" i="336"/>
  <c r="BI724" i="338"/>
  <c r="EG160" i="336"/>
  <c r="AY287" i="335"/>
  <c r="BG345" i="335"/>
  <c r="BH169" i="335"/>
  <c r="EH167" i="336"/>
  <c r="CK364" i="335"/>
  <c r="BM116" i="336"/>
  <c r="BG341" i="335"/>
  <c r="EG364" i="335"/>
  <c r="FR155" i="335"/>
  <c r="EH364" i="335"/>
  <c r="EI364" i="335" s="1"/>
  <c r="CD119" i="336"/>
  <c r="CQ89" i="335"/>
  <c r="CF52" i="335"/>
  <c r="CF43" i="11"/>
  <c r="CV88" i="335"/>
  <c r="AQ225" i="335"/>
  <c r="DA53" i="11"/>
  <c r="DG53" i="11"/>
  <c r="BW480" i="338"/>
  <c r="BW160" i="336"/>
  <c r="BW438" i="338"/>
  <c r="BW9" i="338"/>
  <c r="BW52" i="335"/>
  <c r="BW53" i="335" s="1"/>
  <c r="BW161" i="336"/>
  <c r="BX50" i="335"/>
  <c r="BW105" i="335"/>
  <c r="CM740" i="338"/>
  <c r="CM47" i="335"/>
  <c r="CM44" i="11"/>
  <c r="CF278" i="335"/>
  <c r="EH334" i="338"/>
  <c r="EN336" i="338" s="1"/>
  <c r="EH21" i="338"/>
  <c r="EA452" i="338"/>
  <c r="EG451" i="338" s="1"/>
  <c r="CJ364" i="335"/>
  <c r="CF16" i="335"/>
  <c r="EH169" i="336"/>
  <c r="DU99" i="338"/>
  <c r="DN615" i="338"/>
  <c r="DN616" i="338" s="1"/>
  <c r="EF162" i="336"/>
  <c r="CS228" i="338"/>
  <c r="BG154" i="335"/>
  <c r="EI14" i="335"/>
  <c r="CI16" i="335"/>
  <c r="CI303" i="335"/>
  <c r="EG16" i="335"/>
  <c r="DZ119" i="11"/>
  <c r="DZ104" i="11" s="1"/>
  <c r="CF160" i="336"/>
  <c r="EG15" i="335"/>
  <c r="CF161" i="336"/>
  <c r="BE317" i="338"/>
  <c r="CF105" i="335"/>
  <c r="DV81" i="335"/>
  <c r="BS364" i="335"/>
  <c r="FP152" i="335"/>
  <c r="DT53" i="11"/>
  <c r="EA99" i="338"/>
  <c r="BZ114" i="338"/>
  <c r="FO14" i="335"/>
  <c r="FO105" i="335" s="1"/>
  <c r="CF303" i="335"/>
  <c r="DQ775" i="338"/>
  <c r="AQ412" i="338"/>
  <c r="AQ381" i="335" s="1"/>
  <c r="EG161" i="336"/>
  <c r="BC103" i="336"/>
  <c r="BG148" i="335"/>
  <c r="BM119" i="336"/>
  <c r="CX286" i="335"/>
  <c r="EG105" i="335"/>
  <c r="EM15" i="335"/>
  <c r="DY80" i="335"/>
  <c r="CS40" i="335"/>
  <c r="CD118" i="336"/>
  <c r="CF9" i="338"/>
  <c r="CF12" i="338" s="1"/>
  <c r="CF438" i="338"/>
  <c r="FR105" i="335"/>
  <c r="CL15" i="335"/>
  <c r="DA168" i="336"/>
  <c r="CQ9" i="338"/>
  <c r="CQ480" i="338"/>
  <c r="CQ52" i="335"/>
  <c r="CQ160" i="336"/>
  <c r="CQ105" i="335"/>
  <c r="CQ161" i="336"/>
  <c r="CQ43" i="11"/>
  <c r="CW52" i="11" s="1"/>
  <c r="CW16" i="338" s="1"/>
  <c r="CW54" i="338" s="1"/>
  <c r="BA88" i="335"/>
  <c r="BE343" i="335"/>
  <c r="BE345" i="335"/>
  <c r="EB84" i="335"/>
  <c r="DW79" i="335"/>
  <c r="DQ294" i="335"/>
  <c r="CD303" i="335"/>
  <c r="CG14" i="335"/>
  <c r="CD364" i="335"/>
  <c r="DQ152" i="335"/>
  <c r="CE303" i="335"/>
  <c r="EE334" i="338"/>
  <c r="BE328" i="335"/>
  <c r="CI91" i="335"/>
  <c r="BE331" i="335"/>
  <c r="BE49" i="11"/>
  <c r="FF17" i="335"/>
  <c r="FF172" i="338" s="1"/>
  <c r="BT16" i="335"/>
  <c r="BE338" i="335"/>
  <c r="CU303" i="335"/>
  <c r="CD161" i="336"/>
  <c r="CD278" i="335"/>
  <c r="BM16" i="335"/>
  <c r="BO14" i="335"/>
  <c r="BO172" i="338" s="1"/>
  <c r="CV364" i="335"/>
  <c r="DQ293" i="335"/>
  <c r="CU9" i="338"/>
  <c r="BU723" i="338"/>
  <c r="BU721" i="338" s="1"/>
  <c r="BE348" i="335"/>
  <c r="BU14" i="335"/>
  <c r="BU172" i="338" s="1"/>
  <c r="BL105" i="335"/>
  <c r="CU278" i="335"/>
  <c r="BL91" i="335"/>
  <c r="BM50" i="335"/>
  <c r="FX152" i="335"/>
  <c r="CU15" i="335"/>
  <c r="AU88" i="335"/>
  <c r="BE114" i="338"/>
  <c r="DU81" i="335"/>
  <c r="EE33" i="338"/>
  <c r="DQ756" i="338"/>
  <c r="FQ87" i="335"/>
  <c r="CE364" i="335"/>
  <c r="EE22" i="338"/>
  <c r="CJ229" i="338"/>
  <c r="BU230" i="338"/>
  <c r="BE336" i="335"/>
  <c r="BE341" i="335"/>
  <c r="CI88" i="335"/>
  <c r="BM303" i="335"/>
  <c r="DW149" i="335"/>
  <c r="FS149" i="335"/>
  <c r="FQ14" i="335"/>
  <c r="FQ15" i="335" s="1"/>
  <c r="BN364" i="335"/>
  <c r="BO364" i="335" s="1"/>
  <c r="BQ364" i="335"/>
  <c r="BM364" i="335"/>
  <c r="BO50" i="335"/>
  <c r="BL364" i="335"/>
  <c r="CU43" i="11"/>
  <c r="CR162" i="336"/>
  <c r="BE313" i="338"/>
  <c r="CA229" i="338"/>
  <c r="CU364" i="335"/>
  <c r="BL278" i="335"/>
  <c r="BL43" i="11"/>
  <c r="BL52" i="11" s="1"/>
  <c r="BL16" i="338" s="1"/>
  <c r="DA278" i="335"/>
  <c r="BS303" i="335"/>
  <c r="BE347" i="335"/>
  <c r="BU50" i="335"/>
  <c r="BE148" i="335"/>
  <c r="BE143" i="335"/>
  <c r="BE144" i="335" s="1"/>
  <c r="BE154" i="335"/>
  <c r="DK152" i="335"/>
  <c r="CD16" i="335"/>
  <c r="EI23" i="338"/>
  <c r="DK167" i="335"/>
  <c r="DK754" i="338"/>
  <c r="CF364" i="335"/>
  <c r="CG364" i="335" s="1"/>
  <c r="CI364" i="335"/>
  <c r="CE16" i="335"/>
  <c r="BE337" i="335"/>
  <c r="BE342" i="335"/>
  <c r="CI286" i="335"/>
  <c r="CD91" i="335"/>
  <c r="CD325" i="338" s="1"/>
  <c r="DQ167" i="335"/>
  <c r="BE99" i="335"/>
  <c r="BE206" i="335" s="1"/>
  <c r="BE207" i="335" s="1"/>
  <c r="CV303" i="335"/>
  <c r="BN290" i="336"/>
  <c r="BO290" i="336" s="1"/>
  <c r="CV16" i="335"/>
  <c r="BL290" i="336"/>
  <c r="BL292" i="336" s="1"/>
  <c r="BL291" i="336" s="1"/>
  <c r="DV85" i="335"/>
  <c r="BX364" i="335"/>
  <c r="BE151" i="335"/>
  <c r="DZ53" i="11"/>
  <c r="BT364" i="335"/>
  <c r="BU364" i="335" s="1"/>
  <c r="BW364" i="335"/>
  <c r="BL15" i="335"/>
  <c r="CU105" i="335"/>
  <c r="BR15" i="335"/>
  <c r="BS290" i="336"/>
  <c r="BS292" i="336" s="1"/>
  <c r="BS291" i="336" s="1"/>
  <c r="DA15" i="335"/>
  <c r="BB54" i="335"/>
  <c r="CX364" i="335"/>
  <c r="CY364" i="335" s="1"/>
  <c r="BL9" i="338"/>
  <c r="BL12" i="338" s="1"/>
  <c r="BL480" i="338"/>
  <c r="BL52" i="335"/>
  <c r="CU480" i="338"/>
  <c r="DD54" i="335"/>
  <c r="AA15" i="335"/>
  <c r="AA91" i="335"/>
  <c r="AA348" i="335" s="1"/>
  <c r="BU279" i="335"/>
  <c r="BU40" i="335"/>
  <c r="AZ118" i="336"/>
  <c r="EQ296" i="335"/>
  <c r="CA40" i="335"/>
  <c r="BF343" i="335"/>
  <c r="AZ116" i="336"/>
  <c r="AG278" i="335"/>
  <c r="AG15" i="335"/>
  <c r="BC9" i="338"/>
  <c r="BC12" i="338" s="1"/>
  <c r="CA279" i="335"/>
  <c r="FT105" i="335"/>
  <c r="EE34" i="338"/>
  <c r="BB336" i="335"/>
  <c r="AA278" i="335"/>
  <c r="AA303" i="335"/>
  <c r="AA52" i="335"/>
  <c r="FU40" i="335"/>
  <c r="BH116" i="336"/>
  <c r="BI116" i="336" s="1"/>
  <c r="DV22" i="335"/>
  <c r="DH118" i="336"/>
  <c r="EB21" i="335"/>
  <c r="EB22" i="335"/>
  <c r="DW56" i="335"/>
  <c r="EK28" i="335"/>
  <c r="EL28" i="335"/>
  <c r="EQ27" i="335"/>
  <c r="EO26" i="335"/>
  <c r="EH22" i="335"/>
  <c r="EH21" i="335"/>
  <c r="EN21" i="335"/>
  <c r="BR91" i="335"/>
  <c r="BR160" i="336"/>
  <c r="BR480" i="338"/>
  <c r="EE130" i="335"/>
  <c r="EI129" i="335"/>
  <c r="EI130" i="335" s="1"/>
  <c r="DU22" i="335"/>
  <c r="DT22" i="335"/>
  <c r="EA57" i="335"/>
  <c r="EA58" i="335"/>
  <c r="EG58" i="335"/>
  <c r="EM57" i="335"/>
  <c r="EG57" i="335"/>
  <c r="DW20" i="335"/>
  <c r="DV58" i="335"/>
  <c r="DU58" i="335"/>
  <c r="DU57" i="335"/>
  <c r="AY91" i="335"/>
  <c r="AY96" i="335"/>
  <c r="BE286" i="335"/>
  <c r="BE88" i="335"/>
  <c r="CD52" i="335"/>
  <c r="CD105" i="335"/>
  <c r="CD160" i="336"/>
  <c r="CD43" i="11"/>
  <c r="CD52" i="11" s="1"/>
  <c r="CD16" i="338" s="1"/>
  <c r="CC162" i="336"/>
  <c r="CD480" i="338"/>
  <c r="CD9" i="338"/>
  <c r="CD12" i="338" s="1"/>
  <c r="CE50" i="335"/>
  <c r="CD438" i="338"/>
  <c r="DS130" i="335"/>
  <c r="DW129" i="335"/>
  <c r="DW130" i="335" s="1"/>
  <c r="BS480" i="338"/>
  <c r="BR162" i="336"/>
  <c r="BY15" i="335"/>
  <c r="BS105" i="335"/>
  <c r="BY278" i="335"/>
  <c r="BS160" i="336"/>
  <c r="BT50" i="335"/>
  <c r="BS52" i="335"/>
  <c r="BS9" i="338"/>
  <c r="BS12" i="338" s="1"/>
  <c r="BS16" i="335"/>
  <c r="BS91" i="335"/>
  <c r="BT315" i="335" s="1"/>
  <c r="BS43" i="11"/>
  <c r="BY52" i="11" s="1"/>
  <c r="BY16" i="338" s="1"/>
  <c r="BS161" i="336"/>
  <c r="DY130" i="335"/>
  <c r="EC129" i="335"/>
  <c r="EC130" i="335" s="1"/>
  <c r="EG21" i="335"/>
  <c r="EM21" i="335"/>
  <c r="EG22" i="335"/>
  <c r="DZ57" i="335"/>
  <c r="DZ58" i="335"/>
  <c r="EO129" i="335"/>
  <c r="EK130" i="335"/>
  <c r="EH58" i="335"/>
  <c r="EN57" i="335"/>
  <c r="EH57" i="335"/>
  <c r="EE57" i="335"/>
  <c r="EI56" i="335"/>
  <c r="EO57" i="335" s="1"/>
  <c r="EE58" i="335"/>
  <c r="EF57" i="335"/>
  <c r="EL57" i="335"/>
  <c r="EF58" i="335"/>
  <c r="EI26" i="335"/>
  <c r="DH116" i="336"/>
  <c r="EG28" i="335"/>
  <c r="EM27" i="335"/>
  <c r="DZ22" i="335"/>
  <c r="DY22" i="335"/>
  <c r="DY21" i="335"/>
  <c r="EC20" i="335"/>
  <c r="EB58" i="335"/>
  <c r="EB57" i="335"/>
  <c r="EF21" i="335"/>
  <c r="EL21" i="335"/>
  <c r="EK21" i="335"/>
  <c r="EL22" i="335"/>
  <c r="EO20" i="335"/>
  <c r="EK22" i="335"/>
  <c r="EQ21" i="335"/>
  <c r="EH28" i="335"/>
  <c r="EH27" i="335"/>
  <c r="EN27" i="335"/>
  <c r="EF22" i="335"/>
  <c r="EI20" i="335"/>
  <c r="EE22" i="335"/>
  <c r="EE21" i="335"/>
  <c r="DY57" i="335"/>
  <c r="EC56" i="335"/>
  <c r="DY58" i="335"/>
  <c r="EK168" i="335"/>
  <c r="BZ478" i="338"/>
  <c r="DG478" i="338"/>
  <c r="DG481" i="338" s="1"/>
  <c r="DJ479" i="338"/>
  <c r="DJ54" i="335"/>
  <c r="EG9" i="338"/>
  <c r="EM173" i="338"/>
  <c r="EG245" i="338"/>
  <c r="EG43" i="11"/>
  <c r="EG52" i="11" s="1"/>
  <c r="EG330" i="338"/>
  <c r="EG331" i="338" s="1"/>
  <c r="EG52" i="335"/>
  <c r="EK464" i="338"/>
  <c r="EK465" i="338"/>
  <c r="BC292" i="335"/>
  <c r="DU161" i="336"/>
  <c r="DU330" i="338"/>
  <c r="DU15" i="335"/>
  <c r="EM278" i="335"/>
  <c r="BG36" i="3"/>
  <c r="EC95" i="3"/>
  <c r="BA41" i="3"/>
  <c r="DT479" i="338"/>
  <c r="BK612" i="338"/>
  <c r="BK613" i="338" s="1"/>
  <c r="DT89" i="335"/>
  <c r="CU478" i="338"/>
  <c r="CU439" i="338" s="1"/>
  <c r="AZ173" i="338"/>
  <c r="DS479" i="338"/>
  <c r="DS482" i="338" s="1"/>
  <c r="BC741" i="338"/>
  <c r="DO479" i="338"/>
  <c r="CA721" i="338"/>
  <c r="CA734" i="338" s="1"/>
  <c r="BY317" i="338"/>
  <c r="EI323" i="338"/>
  <c r="DY479" i="338"/>
  <c r="EK88" i="335"/>
  <c r="AU173" i="338"/>
  <c r="AO257" i="338"/>
  <c r="EK89" i="335"/>
  <c r="EX398" i="338"/>
  <c r="FG123" i="336"/>
  <c r="EQ91" i="336"/>
  <c r="EQ452" i="335" s="1"/>
  <c r="EQ68" i="336"/>
  <c r="EQ429" i="335" s="1"/>
  <c r="CO479" i="338"/>
  <c r="BF348" i="335"/>
  <c r="DN53" i="335"/>
  <c r="DQ149" i="335"/>
  <c r="DQ99" i="338"/>
  <c r="BM317" i="338"/>
  <c r="CQ96" i="335"/>
  <c r="CQ91" i="335"/>
  <c r="FK97" i="335"/>
  <c r="FM97" i="335" s="1"/>
  <c r="Y292" i="335"/>
  <c r="BF331" i="335"/>
  <c r="V144" i="335"/>
  <c r="DA88" i="335"/>
  <c r="BG116" i="336"/>
  <c r="E152" i="335"/>
  <c r="D345" i="335"/>
  <c r="F294" i="335"/>
  <c r="BF342" i="335"/>
  <c r="BF345" i="335"/>
  <c r="DQ728" i="338"/>
  <c r="DQ735" i="338" s="1"/>
  <c r="F152" i="335"/>
  <c r="DD317" i="338"/>
  <c r="BU738" i="338"/>
  <c r="BR53" i="338"/>
  <c r="DI274" i="338"/>
  <c r="EB565" i="338"/>
  <c r="DJ559" i="338"/>
  <c r="EB636" i="338"/>
  <c r="DU671" i="338"/>
  <c r="DU669" i="338" s="1"/>
  <c r="DU668" i="338" s="1"/>
  <c r="EH642" i="338"/>
  <c r="EI88" i="338"/>
  <c r="CG11" i="338"/>
  <c r="DZ657" i="338"/>
  <c r="DZ656" i="338" s="1"/>
  <c r="CQ659" i="338"/>
  <c r="CQ657" i="338" s="1"/>
  <c r="CQ656" i="338" s="1"/>
  <c r="DA615" i="338"/>
  <c r="DA616" i="338" s="1"/>
  <c r="DW185" i="336"/>
  <c r="DV91" i="335"/>
  <c r="DA612" i="338"/>
  <c r="DA613" i="338" s="1"/>
  <c r="BI778" i="338"/>
  <c r="BF274" i="338"/>
  <c r="DN265" i="338"/>
  <c r="DN266" i="338" s="1"/>
  <c r="BH317" i="338"/>
  <c r="CS124" i="11"/>
  <c r="CM58" i="338"/>
  <c r="CM95" i="338" s="1"/>
  <c r="AA173" i="338"/>
  <c r="DN331" i="338"/>
  <c r="DQ53" i="11"/>
  <c r="DJ262" i="338"/>
  <c r="CG58" i="338"/>
  <c r="CG95" i="338" s="1"/>
  <c r="BI173" i="338"/>
  <c r="DJ274" i="338"/>
  <c r="EH96" i="335"/>
  <c r="BI316" i="338"/>
  <c r="DI262" i="338"/>
  <c r="BS317" i="338"/>
  <c r="EF89" i="11"/>
  <c r="EL89" i="11" s="1"/>
  <c r="DI268" i="338"/>
  <c r="CM124" i="11"/>
  <c r="CM96" i="338" s="1"/>
  <c r="DJ268" i="338"/>
  <c r="DQ108" i="338"/>
  <c r="DQ110" i="338" s="1"/>
  <c r="DE761" i="338"/>
  <c r="AW103" i="336"/>
  <c r="EI761" i="338"/>
  <c r="EI748" i="338"/>
  <c r="BK151" i="335"/>
  <c r="BK92" i="335"/>
  <c r="BK100" i="335" s="1"/>
  <c r="BK345" i="335"/>
  <c r="BK337" i="335"/>
  <c r="CV91" i="335"/>
  <c r="DB88" i="335"/>
  <c r="DN259" i="338"/>
  <c r="DN72" i="335" s="1"/>
  <c r="DN45" i="11" s="1"/>
  <c r="DN54" i="11" s="1"/>
  <c r="CJ286" i="335"/>
  <c r="CJ88" i="335"/>
  <c r="FQ139" i="335"/>
  <c r="DO271" i="338"/>
  <c r="DG88" i="335"/>
  <c r="DP271" i="338"/>
  <c r="DP74" i="335" s="1"/>
  <c r="BE118" i="336"/>
  <c r="BG118" i="336"/>
  <c r="DG332" i="338"/>
  <c r="AQ360" i="335"/>
  <c r="BK102" i="336"/>
  <c r="BK385" i="335" s="1"/>
  <c r="BK290" i="335"/>
  <c r="BK347" i="335"/>
  <c r="BK331" i="335"/>
  <c r="DD413" i="338"/>
  <c r="DE413" i="338" s="1"/>
  <c r="CV89" i="335"/>
  <c r="AY254" i="338"/>
  <c r="AY255" i="338" s="1"/>
  <c r="DO265" i="338"/>
  <c r="DO266" i="338" s="1"/>
  <c r="DK330" i="338"/>
  <c r="FW176" i="335"/>
  <c r="AO336" i="335"/>
  <c r="DA96" i="335"/>
  <c r="DK53" i="11"/>
  <c r="CG139" i="335"/>
  <c r="BK348" i="335"/>
  <c r="BK148" i="335"/>
  <c r="BK346" i="335"/>
  <c r="BK329" i="335"/>
  <c r="CV286" i="335"/>
  <c r="CV96" i="335"/>
  <c r="DO259" i="338"/>
  <c r="DO260" i="338" s="1"/>
  <c r="CJ89" i="335"/>
  <c r="DB89" i="335"/>
  <c r="DP259" i="338"/>
  <c r="DP72" i="335" s="1"/>
  <c r="DP45" i="11" s="1"/>
  <c r="DP54" i="11" s="1"/>
  <c r="DZ304" i="335"/>
  <c r="BN119" i="336"/>
  <c r="BO119" i="336" s="1"/>
  <c r="DI242" i="338"/>
  <c r="BK317" i="338"/>
  <c r="AT173" i="338"/>
  <c r="DY259" i="338"/>
  <c r="DY72" i="335" s="1"/>
  <c r="EE173" i="338"/>
  <c r="CP484" i="338"/>
  <c r="DH245" i="338"/>
  <c r="DJ241" i="338"/>
  <c r="DK241" i="338" s="1"/>
  <c r="DH332" i="338"/>
  <c r="CV479" i="338"/>
  <c r="DH331" i="338"/>
  <c r="EH88" i="335"/>
  <c r="DI479" i="338"/>
  <c r="DI481" i="338" s="1"/>
  <c r="GF428" i="338" s="1"/>
  <c r="BU755" i="338"/>
  <c r="EB89" i="335"/>
  <c r="DH478" i="338"/>
  <c r="DH481" i="338" s="1"/>
  <c r="GE428" i="338" s="1"/>
  <c r="DS91" i="335"/>
  <c r="CS58" i="338"/>
  <c r="BQ317" i="338"/>
  <c r="EB96" i="335"/>
  <c r="EG397" i="335"/>
  <c r="DW763" i="338"/>
  <c r="BB254" i="338"/>
  <c r="BB255" i="338" s="1"/>
  <c r="DH242" i="338"/>
  <c r="EB88" i="335"/>
  <c r="BU103" i="336"/>
  <c r="EL74" i="11"/>
  <c r="ER74" i="11" s="1"/>
  <c r="EX74" i="11" s="1"/>
  <c r="EX78" i="11" s="1"/>
  <c r="EX82" i="11" s="1"/>
  <c r="DW87" i="335"/>
  <c r="EC48" i="11"/>
  <c r="FT52" i="335"/>
  <c r="S173" i="338"/>
  <c r="S292" i="335"/>
  <c r="EF105" i="335"/>
  <c r="BR119" i="336"/>
  <c r="BH118" i="336"/>
  <c r="BI118" i="336" s="1"/>
  <c r="BI366" i="335"/>
  <c r="BH478" i="338"/>
  <c r="BH481" i="338" s="1"/>
  <c r="CK330" i="335"/>
  <c r="S364" i="335"/>
  <c r="S15" i="335"/>
  <c r="Y278" i="335"/>
  <c r="S9" i="338"/>
  <c r="S12" i="338" s="1"/>
  <c r="DA54" i="335"/>
  <c r="CK143" i="335"/>
  <c r="CK144" i="335" s="1"/>
  <c r="AU119" i="336"/>
  <c r="EA173" i="338"/>
  <c r="EM474" i="338"/>
  <c r="CP96" i="335"/>
  <c r="CP91" i="335"/>
  <c r="BI105" i="335"/>
  <c r="BI15" i="335"/>
  <c r="CX52" i="11"/>
  <c r="BI278" i="335"/>
  <c r="AU116" i="336"/>
  <c r="DM54" i="335"/>
  <c r="BR118" i="336"/>
  <c r="AP53" i="335"/>
  <c r="CS726" i="338"/>
  <c r="AO114" i="338"/>
  <c r="AO160" i="338" s="1"/>
  <c r="M345" i="335"/>
  <c r="M118" i="336"/>
  <c r="M116" i="336"/>
  <c r="FV39" i="335"/>
  <c r="BT313" i="338"/>
  <c r="DN478" i="338"/>
  <c r="DN482" i="338" s="1"/>
  <c r="BG99" i="335"/>
  <c r="BG206" i="335" s="1"/>
  <c r="AO348" i="335"/>
  <c r="BG346" i="335"/>
  <c r="BG328" i="335"/>
  <c r="BT431" i="338"/>
  <c r="M99" i="335"/>
  <c r="M113" i="336"/>
  <c r="M343" i="335"/>
  <c r="M173" i="338"/>
  <c r="FT15" i="335"/>
  <c r="AO99" i="335"/>
  <c r="DJ52" i="11"/>
  <c r="BA173" i="338"/>
  <c r="AC286" i="335"/>
  <c r="M342" i="335"/>
  <c r="BT102" i="336"/>
  <c r="DQ330" i="338"/>
  <c r="EF279" i="335"/>
  <c r="BT151" i="335"/>
  <c r="BG15" i="11"/>
  <c r="BG49" i="11"/>
  <c r="BG58" i="11" s="1"/>
  <c r="BG162" i="338" s="1"/>
  <c r="BH54" i="335"/>
  <c r="BG114" i="338"/>
  <c r="BG160" i="338" s="1"/>
  <c r="BG337" i="335"/>
  <c r="BT329" i="335"/>
  <c r="M348" i="335"/>
  <c r="M346" i="335"/>
  <c r="M148" i="335"/>
  <c r="M114" i="338"/>
  <c r="M160" i="338" s="1"/>
  <c r="M15" i="11"/>
  <c r="M37" i="11" s="1"/>
  <c r="S290" i="335"/>
  <c r="M143" i="335"/>
  <c r="BG53" i="335"/>
  <c r="BG102" i="336"/>
  <c r="BG385" i="335" s="1"/>
  <c r="EF119" i="11"/>
  <c r="AV173" i="338"/>
  <c r="DZ41" i="335"/>
  <c r="BG348" i="335"/>
  <c r="BT143" i="335"/>
  <c r="AC88" i="335"/>
  <c r="M336" i="335"/>
  <c r="M347" i="335"/>
  <c r="AO345" i="335"/>
  <c r="AO143" i="335"/>
  <c r="BN317" i="338"/>
  <c r="EQ53" i="11"/>
  <c r="EK53" i="11"/>
  <c r="BT317" i="338"/>
  <c r="CA609" i="338"/>
  <c r="X173" i="338"/>
  <c r="DJ331" i="338"/>
  <c r="DE105" i="335"/>
  <c r="L123" i="336"/>
  <c r="L143" i="335"/>
  <c r="L169" i="335" s="1"/>
  <c r="L336" i="335"/>
  <c r="L348" i="335"/>
  <c r="L347" i="335"/>
  <c r="BG339" i="335"/>
  <c r="BH93" i="335"/>
  <c r="BH101" i="335" s="1"/>
  <c r="BG313" i="338"/>
  <c r="BG336" i="335"/>
  <c r="BH315" i="335"/>
  <c r="BG343" i="335"/>
  <c r="BG347" i="335"/>
  <c r="BG330" i="335"/>
  <c r="BG143" i="335"/>
  <c r="BG169" i="335" s="1"/>
  <c r="BG329" i="335"/>
  <c r="BG331" i="335"/>
  <c r="BG338" i="335"/>
  <c r="BH365" i="335"/>
  <c r="DG54" i="335"/>
  <c r="DK52" i="335"/>
  <c r="DM53" i="335"/>
  <c r="DM478" i="338"/>
  <c r="DM479" i="338"/>
  <c r="DK726" i="338"/>
  <c r="BZ313" i="338"/>
  <c r="EF42" i="335"/>
  <c r="EF58" i="338" s="1"/>
  <c r="EF95" i="338" s="1"/>
  <c r="EL39" i="335"/>
  <c r="DD478" i="338"/>
  <c r="BH262" i="338"/>
  <c r="BF154" i="335"/>
  <c r="EF40" i="338"/>
  <c r="EF53" i="338" s="1"/>
  <c r="AO342" i="335"/>
  <c r="BF338" i="335"/>
  <c r="AS54" i="335"/>
  <c r="DZ228" i="338"/>
  <c r="DZ229" i="338" s="1"/>
  <c r="DZ279" i="335"/>
  <c r="BQ119" i="336"/>
  <c r="AO15" i="11"/>
  <c r="AO38" i="11" s="1"/>
  <c r="AO343" i="335"/>
  <c r="AO346" i="335"/>
  <c r="AT54" i="335"/>
  <c r="DZ40" i="338"/>
  <c r="DZ53" i="338" s="1"/>
  <c r="BZ342" i="335"/>
  <c r="BZ346" i="335"/>
  <c r="CK163" i="336"/>
  <c r="AO53" i="335"/>
  <c r="BF336" i="335"/>
  <c r="AO151" i="335"/>
  <c r="AO154" i="335"/>
  <c r="AO347" i="335"/>
  <c r="CK337" i="335"/>
  <c r="CK313" i="338"/>
  <c r="CK148" i="335"/>
  <c r="CK325" i="338"/>
  <c r="CK338" i="335"/>
  <c r="CK157" i="335"/>
  <c r="CK348" i="335"/>
  <c r="CK336" i="335"/>
  <c r="CK345" i="335"/>
  <c r="CK346" i="335"/>
  <c r="CK347" i="335"/>
  <c r="CK341" i="335"/>
  <c r="CK102" i="336"/>
  <c r="CK385" i="335" s="1"/>
  <c r="CK339" i="335"/>
  <c r="CK329" i="335"/>
  <c r="CK431" i="338"/>
  <c r="CQ430" i="338" s="1"/>
  <c r="CK114" i="338"/>
  <c r="CK160" i="338" s="1"/>
  <c r="CK49" i="11"/>
  <c r="U286" i="335"/>
  <c r="DB347" i="335"/>
  <c r="AW123" i="11"/>
  <c r="BO359" i="335"/>
  <c r="BO80" i="11"/>
  <c r="BO124" i="11"/>
  <c r="BO58" i="338"/>
  <c r="BO95" i="338" s="1"/>
  <c r="BI362" i="335"/>
  <c r="BI360" i="335" s="1"/>
  <c r="BI121" i="11"/>
  <c r="BI125" i="11" s="1"/>
  <c r="FR48" i="11"/>
  <c r="FR64" i="11" s="1"/>
  <c r="CS40" i="338"/>
  <c r="CS39" i="338" s="1"/>
  <c r="BO657" i="338"/>
  <c r="BO656" i="338" s="1"/>
  <c r="DZ639" i="338"/>
  <c r="DZ638" i="338" s="1"/>
  <c r="DV636" i="338"/>
  <c r="DJ660" i="338"/>
  <c r="CM389" i="335"/>
  <c r="DE389" i="335"/>
  <c r="BZ630" i="338"/>
  <c r="CC669" i="338"/>
  <c r="CW671" i="338"/>
  <c r="CW669" i="338" s="1"/>
  <c r="CW665" i="338"/>
  <c r="CW663" i="338" s="1"/>
  <c r="CW662" i="338" s="1"/>
  <c r="DB635" i="338"/>
  <c r="DB633" i="338" s="1"/>
  <c r="CQ627" i="338"/>
  <c r="CS320" i="338"/>
  <c r="CS391" i="335" s="1"/>
  <c r="DK287" i="338"/>
  <c r="EA89" i="335"/>
  <c r="DH615" i="338"/>
  <c r="DH616" i="338" s="1"/>
  <c r="EF665" i="338"/>
  <c r="BM665" i="338"/>
  <c r="BM663" i="338" s="1"/>
  <c r="DZ633" i="338"/>
  <c r="CS306" i="338"/>
  <c r="CS243" i="335"/>
  <c r="CS245" i="335" s="1"/>
  <c r="DP572" i="338"/>
  <c r="CW659" i="338"/>
  <c r="CW657" i="338" s="1"/>
  <c r="CW656" i="338" s="1"/>
  <c r="DI332" i="338"/>
  <c r="CM288" i="338"/>
  <c r="EF641" i="338"/>
  <c r="DP642" i="338"/>
  <c r="BM629" i="338"/>
  <c r="BM627" i="338" s="1"/>
  <c r="BM626" i="338" s="1"/>
  <c r="BT664" i="338"/>
  <c r="K43" i="336"/>
  <c r="EE71" i="336"/>
  <c r="EE432" i="335" s="1"/>
  <c r="DS56" i="336"/>
  <c r="DS417" i="335" s="1"/>
  <c r="CW436" i="335"/>
  <c r="AE103" i="336"/>
  <c r="AV35" i="336"/>
  <c r="AV43" i="336" s="1"/>
  <c r="AW43" i="336" s="1"/>
  <c r="DO331" i="338"/>
  <c r="DJ86" i="336"/>
  <c r="DJ447" i="335" s="1"/>
  <c r="DK447" i="335" s="1"/>
  <c r="EY100" i="338"/>
  <c r="FE60" i="335"/>
  <c r="DB478" i="338"/>
  <c r="DB482" i="338" s="1"/>
  <c r="EZ139" i="335"/>
  <c r="FF139" i="335" s="1"/>
  <c r="FL139" i="335" s="1"/>
  <c r="CK331" i="335"/>
  <c r="E149" i="335"/>
  <c r="M123" i="336"/>
  <c r="DM265" i="338"/>
  <c r="DP265" i="338"/>
  <c r="CK342" i="335"/>
  <c r="EB81" i="335"/>
  <c r="M111" i="336"/>
  <c r="DG52" i="11"/>
  <c r="CK99" i="335"/>
  <c r="CK494" i="338" s="1"/>
  <c r="M151" i="335"/>
  <c r="DE721" i="338"/>
  <c r="DE734" i="338" s="1"/>
  <c r="BE268" i="338"/>
  <c r="BH53" i="335"/>
  <c r="DT336" i="335"/>
  <c r="BZ290" i="335"/>
  <c r="BT114" i="338"/>
  <c r="BT327" i="338"/>
  <c r="BT346" i="335"/>
  <c r="BT341" i="335"/>
  <c r="BT336" i="335"/>
  <c r="BT345" i="335"/>
  <c r="BT328" i="335"/>
  <c r="BT163" i="336"/>
  <c r="L148" i="335"/>
  <c r="L365" i="335"/>
  <c r="M290" i="335"/>
  <c r="L99" i="335"/>
  <c r="BZ92" i="335"/>
  <c r="L118" i="336"/>
  <c r="BT331" i="335"/>
  <c r="BT348" i="335"/>
  <c r="BT339" i="335"/>
  <c r="BT99" i="335"/>
  <c r="BT347" i="335"/>
  <c r="BT343" i="335"/>
  <c r="BT49" i="11"/>
  <c r="L114" i="338"/>
  <c r="L345" i="335"/>
  <c r="L154" i="335"/>
  <c r="L151" i="335"/>
  <c r="L111" i="336"/>
  <c r="BT148" i="335"/>
  <c r="L112" i="336"/>
  <c r="BT330" i="335"/>
  <c r="BT15" i="11"/>
  <c r="BT14" i="11" s="1"/>
  <c r="BT358" i="335" s="1"/>
  <c r="BT356" i="335" s="1"/>
  <c r="BT154" i="335"/>
  <c r="BT338" i="335"/>
  <c r="L145" i="336"/>
  <c r="L15" i="11"/>
  <c r="L37" i="11" s="1"/>
  <c r="L119" i="336"/>
  <c r="M92" i="335"/>
  <c r="M100" i="335" s="1"/>
  <c r="L113" i="336"/>
  <c r="AP54" i="335"/>
  <c r="AZ343" i="335"/>
  <c r="BE274" i="338"/>
  <c r="BF268" i="338"/>
  <c r="EC89" i="11"/>
  <c r="EH89" i="11"/>
  <c r="EN89" i="11" s="1"/>
  <c r="ET89" i="11" s="1"/>
  <c r="ET93" i="11" s="1"/>
  <c r="ET97" i="11" s="1"/>
  <c r="DD331" i="338"/>
  <c r="DH173" i="338"/>
  <c r="DD173" i="338"/>
  <c r="AG148" i="335"/>
  <c r="AZ329" i="335"/>
  <c r="DM331" i="338"/>
  <c r="BE257" i="338"/>
  <c r="BB53" i="335"/>
  <c r="CP54" i="335"/>
  <c r="BC15" i="335"/>
  <c r="AS257" i="338"/>
  <c r="BF257" i="338"/>
  <c r="BE262" i="338"/>
  <c r="BF262" i="338"/>
  <c r="DD52" i="11"/>
  <c r="V173" i="338"/>
  <c r="BC278" i="335"/>
  <c r="AW9" i="338"/>
  <c r="DE9" i="338"/>
  <c r="BB151" i="335"/>
  <c r="DJ53" i="335"/>
  <c r="BH290" i="335"/>
  <c r="CM9" i="338"/>
  <c r="BK330" i="335"/>
  <c r="AO328" i="335"/>
  <c r="AO148" i="335"/>
  <c r="DE43" i="11"/>
  <c r="FS52" i="335"/>
  <c r="DH54" i="335"/>
  <c r="BG151" i="335"/>
  <c r="Y328" i="335"/>
  <c r="CV52" i="11"/>
  <c r="CI125" i="11"/>
  <c r="CO54" i="335"/>
  <c r="BI52" i="335"/>
  <c r="BI54" i="335" s="1"/>
  <c r="BO366" i="335"/>
  <c r="BE119" i="336"/>
  <c r="E167" i="335"/>
  <c r="E169" i="335" s="1"/>
  <c r="E212" i="335" s="1"/>
  <c r="P169" i="335"/>
  <c r="DA89" i="335"/>
  <c r="BE54" i="335"/>
  <c r="DS331" i="338"/>
  <c r="BN116" i="336"/>
  <c r="BO116" i="336" s="1"/>
  <c r="W350" i="335"/>
  <c r="F293" i="335"/>
  <c r="CY54" i="11"/>
  <c r="E293" i="335"/>
  <c r="W144" i="335"/>
  <c r="ES467" i="338"/>
  <c r="EL452" i="338"/>
  <c r="ER451" i="338" s="1"/>
  <c r="AQ145" i="11"/>
  <c r="BK125" i="11"/>
  <c r="BQ125" i="11"/>
  <c r="CY31" i="11"/>
  <c r="FS31" i="11" s="1"/>
  <c r="FS25" i="11"/>
  <c r="AC127" i="11"/>
  <c r="AC123" i="11"/>
  <c r="AI123" i="11"/>
  <c r="CY80" i="11"/>
  <c r="CY84" i="11" s="1"/>
  <c r="CY359" i="335"/>
  <c r="DA125" i="11"/>
  <c r="DA129" i="11" s="1"/>
  <c r="CU125" i="11"/>
  <c r="CU130" i="11"/>
  <c r="CI129" i="11"/>
  <c r="DE80" i="11"/>
  <c r="DE84" i="11" s="1"/>
  <c r="BN125" i="11"/>
  <c r="FP48" i="11"/>
  <c r="CM123" i="11"/>
  <c r="ER398" i="338"/>
  <c r="ER376" i="335"/>
  <c r="CG778" i="338"/>
  <c r="BF114" i="338"/>
  <c r="BK365" i="335"/>
  <c r="BK111" i="336" s="1"/>
  <c r="AP342" i="335"/>
  <c r="CU169" i="335"/>
  <c r="CU212" i="335" s="1"/>
  <c r="CU213" i="335" s="1"/>
  <c r="BF143" i="335"/>
  <c r="BF169" i="335" s="1"/>
  <c r="BF49" i="11"/>
  <c r="BF58" i="11" s="1"/>
  <c r="CS139" i="335"/>
  <c r="DS118" i="336"/>
  <c r="DQ15" i="335"/>
  <c r="FS87" i="335"/>
  <c r="DP367" i="335"/>
  <c r="DQ367" i="335" s="1"/>
  <c r="BF346" i="335"/>
  <c r="BF329" i="335"/>
  <c r="DE54" i="11"/>
  <c r="DQ278" i="335"/>
  <c r="BQ116" i="336"/>
  <c r="BK116" i="336"/>
  <c r="BG315" i="335"/>
  <c r="BG93" i="335"/>
  <c r="BG101" i="335" s="1"/>
  <c r="S143" i="335"/>
  <c r="S144" i="335" s="1"/>
  <c r="S388" i="338" s="1"/>
  <c r="BF102" i="336"/>
  <c r="BF385" i="335" s="1"/>
  <c r="BF330" i="335"/>
  <c r="DM116" i="336"/>
  <c r="DK278" i="335"/>
  <c r="BF337" i="335"/>
  <c r="FS15" i="335"/>
  <c r="DQ141" i="335"/>
  <c r="DP609" i="338"/>
  <c r="DP612" i="338" s="1"/>
  <c r="DP613" i="338" s="1"/>
  <c r="BF339" i="335"/>
  <c r="BF347" i="335"/>
  <c r="BI91" i="335"/>
  <c r="BF315" i="335"/>
  <c r="BF15" i="11"/>
  <c r="BF37" i="11" s="1"/>
  <c r="BF328" i="335"/>
  <c r="DK15" i="335"/>
  <c r="DK43" i="11"/>
  <c r="BF341" i="335"/>
  <c r="BF99" i="335"/>
  <c r="BF206" i="335" s="1"/>
  <c r="BF313" i="338"/>
  <c r="BF151" i="335"/>
  <c r="R169" i="335"/>
  <c r="DI669" i="338"/>
  <c r="CX660" i="338"/>
  <c r="CK629" i="338"/>
  <c r="CK627" i="338" s="1"/>
  <c r="CK626" i="338" s="1"/>
  <c r="DJ634" i="338"/>
  <c r="DI647" i="338"/>
  <c r="DI645" i="338" s="1"/>
  <c r="DG659" i="338"/>
  <c r="DG657" i="338" s="1"/>
  <c r="DG635" i="338"/>
  <c r="DG633" i="338" s="1"/>
  <c r="EN648" i="338"/>
  <c r="CK665" i="338"/>
  <c r="CK663" i="338" s="1"/>
  <c r="EH578" i="338"/>
  <c r="DG647" i="338"/>
  <c r="DG645" i="338" s="1"/>
  <c r="DG644" i="338" s="1"/>
  <c r="DG665" i="338"/>
  <c r="DG663" i="338" s="1"/>
  <c r="CO633" i="338"/>
  <c r="CO632" i="338"/>
  <c r="EH584" i="338"/>
  <c r="BH605" i="338"/>
  <c r="BH606" i="338" s="1"/>
  <c r="BH607" i="338" s="1"/>
  <c r="DG578" i="338"/>
  <c r="DG629" i="338"/>
  <c r="DG627" i="338" s="1"/>
  <c r="DG626" i="338" s="1"/>
  <c r="EN578" i="338"/>
  <c r="CI671" i="338"/>
  <c r="CI669" i="338" s="1"/>
  <c r="CI668" i="338" s="1"/>
  <c r="CI665" i="338"/>
  <c r="CI663" i="338" s="1"/>
  <c r="BR665" i="338"/>
  <c r="BR663" i="338"/>
  <c r="BR662" i="338" s="1"/>
  <c r="CO665" i="338"/>
  <c r="CO663" i="338" s="1"/>
  <c r="CO662" i="338" s="1"/>
  <c r="DZ645" i="338"/>
  <c r="EA145" i="338"/>
  <c r="EC145" i="338" s="1"/>
  <c r="CP671" i="338"/>
  <c r="CP669" i="338" s="1"/>
  <c r="BN628" i="338"/>
  <c r="CX666" i="338"/>
  <c r="CO659" i="338"/>
  <c r="CO657" i="338" s="1"/>
  <c r="CO656" i="338" s="1"/>
  <c r="DU665" i="338"/>
  <c r="DU663" i="338"/>
  <c r="DU662" i="338" s="1"/>
  <c r="BT634" i="338"/>
  <c r="DN332" i="338"/>
  <c r="DN333" i="338" s="1"/>
  <c r="CI635" i="338"/>
  <c r="CI633" i="338" s="1"/>
  <c r="BR635" i="338"/>
  <c r="BR633" i="338"/>
  <c r="BR659" i="338"/>
  <c r="BR657" i="338" s="1"/>
  <c r="DI627" i="338"/>
  <c r="CY633" i="338"/>
  <c r="CY632" i="338" s="1"/>
  <c r="EF659" i="338"/>
  <c r="CR606" i="338"/>
  <c r="BN606" i="338"/>
  <c r="BN607" i="338" s="1"/>
  <c r="CS305" i="338"/>
  <c r="CI659" i="338"/>
  <c r="DD590" i="338"/>
  <c r="CP659" i="338"/>
  <c r="CP657" i="338"/>
  <c r="CP656" i="338" s="1"/>
  <c r="DM629" i="338"/>
  <c r="DM627" i="338" s="1"/>
  <c r="EF635" i="338"/>
  <c r="EF629" i="338"/>
  <c r="CF636" i="338"/>
  <c r="CM32" i="3"/>
  <c r="CL84" i="3"/>
  <c r="BT342" i="335"/>
  <c r="BT337" i="335"/>
  <c r="CJ96" i="335"/>
  <c r="CK311" i="335"/>
  <c r="CP88" i="335"/>
  <c r="CP286" i="335"/>
  <c r="CK89" i="335"/>
  <c r="CX96" i="335"/>
  <c r="CX91" i="335"/>
  <c r="BS118" i="336"/>
  <c r="BS119" i="336"/>
  <c r="BS116" i="336"/>
  <c r="DH96" i="335"/>
  <c r="DH91" i="335"/>
  <c r="DM259" i="338"/>
  <c r="BU316" i="338"/>
  <c r="ES173" i="338"/>
  <c r="DV648" i="338"/>
  <c r="CQ671" i="338"/>
  <c r="CQ669" i="338" s="1"/>
  <c r="DD636" i="338"/>
  <c r="CQ635" i="338"/>
  <c r="CQ633" i="338" s="1"/>
  <c r="EC76" i="335"/>
  <c r="DM671" i="338"/>
  <c r="DM669" i="338" s="1"/>
  <c r="DM668" i="338" s="1"/>
  <c r="EE91" i="335"/>
  <c r="EE347" i="335" s="1"/>
  <c r="EH572" i="338"/>
  <c r="DU659" i="338"/>
  <c r="DU657" i="338" s="1"/>
  <c r="BN634" i="338"/>
  <c r="DV584" i="338"/>
  <c r="DV578" i="338"/>
  <c r="DM659" i="338"/>
  <c r="DM657" i="338" s="1"/>
  <c r="DM656" i="338" s="1"/>
  <c r="CQ665" i="338"/>
  <c r="CQ663" i="338" s="1"/>
  <c r="BG615" i="338"/>
  <c r="BG616" i="338" s="1"/>
  <c r="EE89" i="335"/>
  <c r="BZ317" i="338"/>
  <c r="DM635" i="338"/>
  <c r="DM633" i="338" s="1"/>
  <c r="DH629" i="338"/>
  <c r="DH627" i="338" s="1"/>
  <c r="DH626" i="338" s="1"/>
  <c r="DZ88" i="335"/>
  <c r="DM679" i="338"/>
  <c r="DM647" i="338"/>
  <c r="DM645" i="338"/>
  <c r="DM644" i="338" s="1"/>
  <c r="EC139" i="335"/>
  <c r="DU647" i="338"/>
  <c r="DU645" i="338" s="1"/>
  <c r="EC87" i="335"/>
  <c r="BI761" i="338"/>
  <c r="BM633" i="338"/>
  <c r="BM632" i="338" s="1"/>
  <c r="DJ606" i="338"/>
  <c r="DJ607" i="338" s="1"/>
  <c r="DU641" i="338"/>
  <c r="DU639" i="338" s="1"/>
  <c r="BT630" i="338"/>
  <c r="CI615" i="338"/>
  <c r="CI616" i="338" s="1"/>
  <c r="CS309" i="338"/>
  <c r="CS304" i="338"/>
  <c r="CS307" i="338"/>
  <c r="CO671" i="338"/>
  <c r="CO669" i="338" s="1"/>
  <c r="CO629" i="338"/>
  <c r="CO627" i="338" s="1"/>
  <c r="EC108" i="338"/>
  <c r="BN658" i="338"/>
  <c r="DS679" i="338"/>
  <c r="BN664" i="338"/>
  <c r="DI217" i="338"/>
  <c r="DI218" i="338" s="1"/>
  <c r="BY615" i="338"/>
  <c r="BY616" i="338" s="1"/>
  <c r="DJ317" i="338"/>
  <c r="CS387" i="335"/>
  <c r="CY289" i="338"/>
  <c r="CY283" i="338"/>
  <c r="EU166" i="338"/>
  <c r="EU167" i="338" s="1"/>
  <c r="EI144" i="336"/>
  <c r="W96" i="335"/>
  <c r="X144" i="335"/>
  <c r="X169" i="335"/>
  <c r="L328" i="335"/>
  <c r="L342" i="335"/>
  <c r="L116" i="336"/>
  <c r="L346" i="335"/>
  <c r="EN81" i="335"/>
  <c r="CC615" i="338"/>
  <c r="CC616" i="338" s="1"/>
  <c r="CC612" i="338"/>
  <c r="CC613" i="338" s="1"/>
  <c r="DK783" i="338"/>
  <c r="AE147" i="336"/>
  <c r="AE148" i="336" s="1"/>
  <c r="CI139" i="336"/>
  <c r="CI140" i="336" s="1"/>
  <c r="CP262" i="338"/>
  <c r="DS148" i="336"/>
  <c r="CP268" i="338"/>
  <c r="DS332" i="338"/>
  <c r="CI137" i="336"/>
  <c r="BI43" i="11"/>
  <c r="BI52" i="11" s="1"/>
  <c r="BI16" i="338" s="1"/>
  <c r="BC761" i="338"/>
  <c r="BK257" i="338"/>
  <c r="BG262" i="338"/>
  <c r="AU254" i="338"/>
  <c r="BM52" i="11"/>
  <c r="BM16" i="338" s="1"/>
  <c r="EL52" i="11"/>
  <c r="EB364" i="335"/>
  <c r="EC364" i="335" s="1"/>
  <c r="EF15" i="335"/>
  <c r="DZ16" i="335"/>
  <c r="EE364" i="335"/>
  <c r="DZ105" i="335"/>
  <c r="DZ278" i="335"/>
  <c r="EA303" i="335"/>
  <c r="DZ303" i="335"/>
  <c r="DZ91" i="335"/>
  <c r="DZ325" i="338" s="1"/>
  <c r="EK84" i="335"/>
  <c r="EA84" i="335"/>
  <c r="EB367" i="335"/>
  <c r="EC367" i="335" s="1"/>
  <c r="DU85" i="335"/>
  <c r="DY162" i="336"/>
  <c r="FV14" i="335"/>
  <c r="DG118" i="336"/>
  <c r="CS721" i="338"/>
  <c r="CS734" i="338" s="1"/>
  <c r="DK366" i="335"/>
  <c r="DJ116" i="336"/>
  <c r="DK116" i="336" s="1"/>
  <c r="DU612" i="338"/>
  <c r="DU613" i="338" s="1"/>
  <c r="DU615" i="338"/>
  <c r="DU616" i="338" s="1"/>
  <c r="DS257" i="338"/>
  <c r="DS271" i="338"/>
  <c r="DS74" i="335" s="1"/>
  <c r="DT265" i="338"/>
  <c r="DU271" i="338"/>
  <c r="DU74" i="335" s="1"/>
  <c r="DU47" i="11" s="1"/>
  <c r="DY173" i="338"/>
  <c r="DU259" i="338"/>
  <c r="DS265" i="338"/>
  <c r="DS73" i="335" s="1"/>
  <c r="DS46" i="11" s="1"/>
  <c r="DU257" i="338"/>
  <c r="DS259" i="338"/>
  <c r="DT271" i="338"/>
  <c r="DT74" i="335" s="1"/>
  <c r="DU265" i="338"/>
  <c r="EF271" i="338"/>
  <c r="EF74" i="335" s="1"/>
  <c r="EF257" i="338"/>
  <c r="EF265" i="338"/>
  <c r="EF73" i="335" s="1"/>
  <c r="EB80" i="335"/>
  <c r="DW83" i="335"/>
  <c r="EK85" i="335"/>
  <c r="DZ43" i="11"/>
  <c r="EF52" i="11" s="1"/>
  <c r="DG116" i="336"/>
  <c r="DT257" i="338"/>
  <c r="DV331" i="338"/>
  <c r="K116" i="336"/>
  <c r="K114" i="338"/>
  <c r="K160" i="338" s="1"/>
  <c r="AD9" i="338"/>
  <c r="AI151" i="335"/>
  <c r="AI328" i="335"/>
  <c r="EA16" i="335"/>
  <c r="BX148" i="335"/>
  <c r="EC14" i="335"/>
  <c r="EC9" i="338" s="1"/>
  <c r="EZ19" i="335"/>
  <c r="FE17" i="335"/>
  <c r="BK262" i="338"/>
  <c r="BK274" i="338"/>
  <c r="BK173" i="338"/>
  <c r="CL54" i="335"/>
  <c r="EX166" i="338"/>
  <c r="EX167" i="338" s="1"/>
  <c r="DS54" i="335"/>
  <c r="DS53" i="335"/>
  <c r="CY43" i="11"/>
  <c r="EF96" i="335"/>
  <c r="EF91" i="335"/>
  <c r="EF88" i="335"/>
  <c r="EF89" i="335"/>
  <c r="DY292" i="335"/>
  <c r="DY316" i="338"/>
  <c r="BX431" i="338"/>
  <c r="BX99" i="335"/>
  <c r="BX348" i="335"/>
  <c r="BX338" i="335"/>
  <c r="BX345" i="335"/>
  <c r="BX346" i="335"/>
  <c r="EL85" i="335"/>
  <c r="EC141" i="335"/>
  <c r="EA364" i="335"/>
  <c r="DJ118" i="336"/>
  <c r="DK118" i="336" s="1"/>
  <c r="DT259" i="338"/>
  <c r="DT72" i="335" s="1"/>
  <c r="DE15" i="335"/>
  <c r="BX15" i="11"/>
  <c r="BX37" i="11" s="1"/>
  <c r="EF446" i="338"/>
  <c r="EF445" i="338"/>
  <c r="EH173" i="338"/>
  <c r="AK286" i="335"/>
  <c r="BM337" i="335"/>
  <c r="BM154" i="335"/>
  <c r="BM99" i="335"/>
  <c r="BM206" i="335" s="1"/>
  <c r="BM207" i="335" s="1"/>
  <c r="BM143" i="335"/>
  <c r="BM169" i="335" s="1"/>
  <c r="BM339" i="335"/>
  <c r="AP257" i="338"/>
  <c r="AZ151" i="335"/>
  <c r="AZ114" i="338"/>
  <c r="AZ160" i="338" s="1"/>
  <c r="AB303" i="335"/>
  <c r="AZ99" i="335"/>
  <c r="AZ206" i="335" s="1"/>
  <c r="AZ208" i="335" s="1"/>
  <c r="AZ209" i="335" s="1"/>
  <c r="AG154" i="335"/>
  <c r="BK53" i="335"/>
  <c r="BK338" i="335"/>
  <c r="BQ53" i="335"/>
  <c r="E345" i="335"/>
  <c r="F149" i="335"/>
  <c r="E148" i="335"/>
  <c r="BU744" i="338"/>
  <c r="DE726" i="338"/>
  <c r="AM173" i="338"/>
  <c r="Y394" i="335"/>
  <c r="AZ148" i="335"/>
  <c r="AZ154" i="335"/>
  <c r="AZ342" i="335"/>
  <c r="AZ143" i="335"/>
  <c r="AZ169" i="335" s="1"/>
  <c r="CQ479" i="338"/>
  <c r="CQ482" i="338" s="1"/>
  <c r="AB16" i="335"/>
  <c r="BK339" i="335"/>
  <c r="BK336" i="335"/>
  <c r="DE278" i="335"/>
  <c r="BK342" i="335"/>
  <c r="AB15" i="335"/>
  <c r="AB9" i="338"/>
  <c r="AB52" i="335"/>
  <c r="AH278" i="335"/>
  <c r="AB91" i="335"/>
  <c r="AH15" i="335"/>
  <c r="AB364" i="335"/>
  <c r="AB278" i="335"/>
  <c r="BY119" i="336"/>
  <c r="BY118" i="336"/>
  <c r="BO744" i="338"/>
  <c r="AG342" i="335"/>
  <c r="BF92" i="335"/>
  <c r="BF100" i="335" s="1"/>
  <c r="AZ330" i="335"/>
  <c r="BF290" i="335"/>
  <c r="BK54" i="335"/>
  <c r="CY9" i="338"/>
  <c r="CY12" i="338" s="1"/>
  <c r="BK93" i="335"/>
  <c r="BK101" i="335" s="1"/>
  <c r="CY105" i="335"/>
  <c r="R96" i="335"/>
  <c r="E347" i="335"/>
  <c r="F155" i="335"/>
  <c r="CE116" i="336"/>
  <c r="CE118" i="336"/>
  <c r="CE119" i="336"/>
  <c r="CM25" i="3"/>
  <c r="BN92" i="3"/>
  <c r="BO92" i="3" s="1"/>
  <c r="AI30" i="3"/>
  <c r="AJ30" i="3" s="1"/>
  <c r="AK30" i="3" s="1"/>
  <c r="G222" i="336"/>
  <c r="DP606" i="338"/>
  <c r="L45" i="3"/>
  <c r="L49" i="3" s="1"/>
  <c r="AC24" i="3"/>
  <c r="CW419" i="335"/>
  <c r="BT628" i="338"/>
  <c r="BT658" i="338"/>
  <c r="EH240" i="338"/>
  <c r="EH245" i="338"/>
  <c r="DD85" i="3"/>
  <c r="DJ581" i="338"/>
  <c r="DJ582" i="338" s="1"/>
  <c r="DT64" i="335"/>
  <c r="BT670" i="338"/>
  <c r="DZ330" i="338"/>
  <c r="DZ160" i="336"/>
  <c r="DZ161" i="336"/>
  <c r="DZ15" i="335"/>
  <c r="EF278" i="335"/>
  <c r="EA271" i="338"/>
  <c r="DZ52" i="335"/>
  <c r="DZ9" i="338"/>
  <c r="DZ480" i="338"/>
  <c r="DZ42" i="335"/>
  <c r="Q12" i="3"/>
  <c r="R63" i="3"/>
  <c r="Q384" i="335"/>
  <c r="CL51" i="3"/>
  <c r="CM51" i="3" s="1"/>
  <c r="F373" i="335"/>
  <c r="F87" i="3"/>
  <c r="BX163" i="336"/>
  <c r="AC31" i="3"/>
  <c r="AD83" i="3"/>
  <c r="AC382" i="335"/>
  <c r="AC144" i="336"/>
  <c r="BC756" i="338"/>
  <c r="BH274" i="338"/>
  <c r="CD615" i="338"/>
  <c r="CD616" i="338" s="1"/>
  <c r="CU665" i="338"/>
  <c r="CU663" i="338" s="1"/>
  <c r="CU662" i="338" s="1"/>
  <c r="BH268" i="338"/>
  <c r="CU671" i="338"/>
  <c r="CU669" i="338" s="1"/>
  <c r="BG173" i="338"/>
  <c r="CA726" i="338"/>
  <c r="BL615" i="338"/>
  <c r="BL616" i="338" s="1"/>
  <c r="CU629" i="338"/>
  <c r="CU627" i="338" s="1"/>
  <c r="BN670" i="338"/>
  <c r="CY171" i="336"/>
  <c r="I43" i="336"/>
  <c r="CG185" i="336"/>
  <c r="EB43" i="336"/>
  <c r="EC43" i="336" s="1"/>
  <c r="AQ30" i="336"/>
  <c r="AP43" i="336"/>
  <c r="AQ43" i="336" s="1"/>
  <c r="BZ214" i="336"/>
  <c r="CR199" i="336"/>
  <c r="CK317" i="338"/>
  <c r="DK627" i="338"/>
  <c r="EL84" i="335"/>
  <c r="AU257" i="338"/>
  <c r="AM342" i="335"/>
  <c r="DS452" i="338"/>
  <c r="CM778" i="338"/>
  <c r="AP114" i="338"/>
  <c r="AP345" i="335"/>
  <c r="AP315" i="335"/>
  <c r="CE317" i="338"/>
  <c r="CP274" i="338"/>
  <c r="Y9" i="338"/>
  <c r="AP15" i="11"/>
  <c r="AP37" i="11" s="1"/>
  <c r="DW755" i="338"/>
  <c r="AP93" i="335"/>
  <c r="AP101" i="335" s="1"/>
  <c r="BZ431" i="338"/>
  <c r="BZ432" i="338" s="1"/>
  <c r="GA480" i="338" s="1"/>
  <c r="BZ329" i="335"/>
  <c r="DJ413" i="338"/>
  <c r="DK413" i="338" s="1"/>
  <c r="DW53" i="11"/>
  <c r="AP151" i="335"/>
  <c r="AP148" i="335"/>
  <c r="AO22" i="3"/>
  <c r="EB99" i="3"/>
  <c r="BL183" i="336"/>
  <c r="BL208" i="336"/>
  <c r="BE175" i="336"/>
  <c r="EZ9" i="336"/>
  <c r="FC9" i="336" s="1"/>
  <c r="DS201" i="336"/>
  <c r="DT201" i="336" s="1"/>
  <c r="DU201" i="336" s="1"/>
  <c r="DV201" i="336" s="1"/>
  <c r="DY201" i="336" s="1"/>
  <c r="EM20" i="336"/>
  <c r="EH73" i="336"/>
  <c r="EH434" i="335" s="1"/>
  <c r="CR192" i="336"/>
  <c r="CR196" i="336" s="1"/>
  <c r="EQ228" i="335"/>
  <c r="CE437" i="338"/>
  <c r="CE439" i="338" s="1"/>
  <c r="BO110" i="11"/>
  <c r="BU110" i="11"/>
  <c r="BO362" i="335"/>
  <c r="BO360" i="335"/>
  <c r="BO121" i="11"/>
  <c r="BC361" i="335"/>
  <c r="BC360" i="335" s="1"/>
  <c r="CM306" i="338"/>
  <c r="CG316" i="338"/>
  <c r="AE74" i="3"/>
  <c r="EC76" i="3"/>
  <c r="EC105" i="3" s="1"/>
  <c r="BI66" i="3"/>
  <c r="BH15" i="3"/>
  <c r="BI15" i="3" s="1"/>
  <c r="H45" i="3"/>
  <c r="H49" i="3"/>
  <c r="EC83" i="338"/>
  <c r="EC11" i="338" s="1"/>
  <c r="EA11" i="338"/>
  <c r="CM308" i="338"/>
  <c r="DI387" i="335"/>
  <c r="CF317" i="338"/>
  <c r="DB218" i="338"/>
  <c r="CP627" i="338"/>
  <c r="DZ669" i="338"/>
  <c r="DZ668" i="338" s="1"/>
  <c r="DT317" i="338"/>
  <c r="BU253" i="338"/>
  <c r="CP635" i="338"/>
  <c r="CP633" i="338" s="1"/>
  <c r="AM255" i="338"/>
  <c r="CY663" i="338"/>
  <c r="CY662" i="338" s="1"/>
  <c r="DS439" i="338"/>
  <c r="FD29" i="336"/>
  <c r="FJ29" i="336" s="1"/>
  <c r="CR52" i="11"/>
  <c r="CK154" i="335"/>
  <c r="CK15" i="11"/>
  <c r="CK14" i="11" s="1"/>
  <c r="CK12" i="335" s="1"/>
  <c r="CK151" i="335"/>
  <c r="CK327" i="338"/>
  <c r="AQ278" i="335"/>
  <c r="CX413" i="338"/>
  <c r="CY413" i="338" s="1"/>
  <c r="CY103" i="336"/>
  <c r="BA612" i="338"/>
  <c r="BA613" i="338" s="1"/>
  <c r="BA615" i="338"/>
  <c r="BA616" i="338" s="1"/>
  <c r="CR254" i="338"/>
  <c r="BB143" i="335"/>
  <c r="BB347" i="335"/>
  <c r="BB329" i="335"/>
  <c r="BH92" i="335"/>
  <c r="BH100" i="335" s="1"/>
  <c r="BB345" i="335"/>
  <c r="BB348" i="335"/>
  <c r="BB148" i="335"/>
  <c r="BB331" i="335"/>
  <c r="BB337" i="335"/>
  <c r="BB99" i="335"/>
  <c r="BB206" i="335" s="1"/>
  <c r="BB207" i="335" s="1"/>
  <c r="BB154" i="335"/>
  <c r="BE93" i="335"/>
  <c r="BE101" i="335" s="1"/>
  <c r="DD228" i="335"/>
  <c r="DE228" i="335" s="1"/>
  <c r="AI114" i="338"/>
  <c r="AG16" i="335"/>
  <c r="K348" i="335"/>
  <c r="AM345" i="335"/>
  <c r="BB313" i="338"/>
  <c r="BB102" i="336"/>
  <c r="BC102" i="336" s="1"/>
  <c r="DK609" i="338"/>
  <c r="DK615" i="338" s="1"/>
  <c r="DK616" i="338" s="1"/>
  <c r="BB328" i="335"/>
  <c r="AI15" i="11"/>
  <c r="AI38" i="11" s="1"/>
  <c r="K365" i="335"/>
  <c r="AM15" i="11"/>
  <c r="AM346" i="335"/>
  <c r="BW479" i="338"/>
  <c r="BG274" i="338"/>
  <c r="O182" i="335"/>
  <c r="BE315" i="335"/>
  <c r="BB15" i="11"/>
  <c r="BB339" i="335"/>
  <c r="BB343" i="335"/>
  <c r="DS119" i="336"/>
  <c r="DM118" i="336"/>
  <c r="EE452" i="338"/>
  <c r="CM105" i="335"/>
  <c r="K111" i="336"/>
  <c r="BB330" i="335"/>
  <c r="BB114" i="338"/>
  <c r="BB160" i="338" s="1"/>
  <c r="BB342" i="335"/>
  <c r="BG365" i="335"/>
  <c r="BG111" i="336" s="1"/>
  <c r="DB345" i="335"/>
  <c r="DB148" i="335"/>
  <c r="AV286" i="335"/>
  <c r="AY311" i="335"/>
  <c r="AY89" i="335"/>
  <c r="AV96" i="335"/>
  <c r="AV91" i="335"/>
  <c r="BB88" i="335"/>
  <c r="CO615" i="338"/>
  <c r="CO616" i="338" s="1"/>
  <c r="AV88" i="335"/>
  <c r="CJ317" i="338"/>
  <c r="CG755" i="338"/>
  <c r="BB286" i="335"/>
  <c r="EX9" i="338"/>
  <c r="BI741" i="338"/>
  <c r="AM257" i="338"/>
  <c r="Y315" i="338"/>
  <c r="Y393" i="335"/>
  <c r="Y314" i="338"/>
  <c r="DW741" i="338"/>
  <c r="DW756" i="338"/>
  <c r="EC741" i="338"/>
  <c r="CR479" i="338"/>
  <c r="CR478" i="338"/>
  <c r="DV43" i="335"/>
  <c r="DV75" i="11" s="1"/>
  <c r="DV79" i="11" s="1"/>
  <c r="DV83" i="11" s="1"/>
  <c r="DV280" i="335"/>
  <c r="CO173" i="338"/>
  <c r="CG56" i="11"/>
  <c r="AU91" i="335"/>
  <c r="AU96" i="335"/>
  <c r="AU286" i="335"/>
  <c r="DE56" i="11"/>
  <c r="CY56" i="11"/>
  <c r="G401" i="338"/>
  <c r="CG54" i="11"/>
  <c r="BC721" i="338"/>
  <c r="CA775" i="338"/>
  <c r="CG769" i="338"/>
  <c r="EM452" i="338"/>
  <c r="ES450" i="338" s="1"/>
  <c r="EM54" i="335"/>
  <c r="Y392" i="335"/>
  <c r="DI119" i="336"/>
  <c r="DI118" i="336"/>
  <c r="DI116" i="336"/>
  <c r="O350" i="335"/>
  <c r="O170" i="335"/>
  <c r="EX100" i="338"/>
  <c r="FD60" i="335"/>
  <c r="BB173" i="338"/>
  <c r="AV257" i="338"/>
  <c r="AW366" i="335"/>
  <c r="AV116" i="336"/>
  <c r="AW116" i="336" s="1"/>
  <c r="AV118" i="336"/>
  <c r="AW118" i="336" s="1"/>
  <c r="AV119" i="336"/>
  <c r="BB118" i="336"/>
  <c r="BC118" i="336" s="1"/>
  <c r="BB116" i="336"/>
  <c r="BC116" i="336" s="1"/>
  <c r="BB119" i="336"/>
  <c r="BC366" i="335"/>
  <c r="AW756" i="338"/>
  <c r="BC755" i="338"/>
  <c r="EI99" i="338"/>
  <c r="EI110" i="338"/>
  <c r="BA119" i="336"/>
  <c r="BA118" i="336"/>
  <c r="BA116" i="336"/>
  <c r="C151" i="335"/>
  <c r="C370" i="335"/>
  <c r="C346" i="335"/>
  <c r="D294" i="335"/>
  <c r="C167" i="335"/>
  <c r="C366" i="335" s="1"/>
  <c r="C154" i="335"/>
  <c r="D295" i="335"/>
  <c r="D155" i="335"/>
  <c r="C347" i="335"/>
  <c r="G169" i="335"/>
  <c r="G144" i="335"/>
  <c r="G388" i="338" s="1"/>
  <c r="BO724" i="338"/>
  <c r="BO721" i="338"/>
  <c r="AW292" i="335"/>
  <c r="EG243" i="338"/>
  <c r="CV615" i="338"/>
  <c r="CV616" i="338" s="1"/>
  <c r="CV612" i="338"/>
  <c r="CV613" i="338" s="1"/>
  <c r="DK729" i="338"/>
  <c r="CY296" i="335"/>
  <c r="CY168" i="335"/>
  <c r="CR338" i="335"/>
  <c r="CQ612" i="338"/>
  <c r="CQ613" i="338" s="1"/>
  <c r="CQ615" i="338"/>
  <c r="CQ616" i="338" s="1"/>
  <c r="EB331" i="338"/>
  <c r="CO53" i="335"/>
  <c r="BM53" i="335"/>
  <c r="AT118" i="336"/>
  <c r="AT116" i="336"/>
  <c r="AT119" i="336"/>
  <c r="K336" i="335"/>
  <c r="K112" i="336"/>
  <c r="K151" i="335"/>
  <c r="L92" i="335"/>
  <c r="L100" i="335" s="1"/>
  <c r="K346" i="335"/>
  <c r="K119" i="336"/>
  <c r="K143" i="335"/>
  <c r="K169" i="335" s="1"/>
  <c r="K92" i="335"/>
  <c r="K100" i="335" s="1"/>
  <c r="K345" i="335"/>
  <c r="K343" i="335"/>
  <c r="K118" i="336"/>
  <c r="K154" i="335"/>
  <c r="L290" i="335"/>
  <c r="K123" i="336"/>
  <c r="K342" i="335"/>
  <c r="K148" i="335"/>
  <c r="K145" i="336"/>
  <c r="K113" i="336"/>
  <c r="K99" i="335"/>
  <c r="K328" i="335"/>
  <c r="K15" i="11"/>
  <c r="K347" i="335"/>
  <c r="AG303" i="335"/>
  <c r="AD15" i="335"/>
  <c r="AJ15" i="335"/>
  <c r="AD52" i="335"/>
  <c r="AD278" i="335"/>
  <c r="AJ278" i="335"/>
  <c r="AK50" i="335"/>
  <c r="AG50" i="335"/>
  <c r="AD16" i="335"/>
  <c r="AD91" i="335"/>
  <c r="AG364" i="335"/>
  <c r="AJ257" i="338"/>
  <c r="AO173" i="338"/>
  <c r="AN257" i="338"/>
  <c r="AS173" i="338"/>
  <c r="AE296" i="335"/>
  <c r="AK296" i="335"/>
  <c r="AG102" i="336"/>
  <c r="AG385" i="335" s="1"/>
  <c r="AG346" i="335"/>
  <c r="AG99" i="335"/>
  <c r="AG345" i="335"/>
  <c r="AG336" i="335"/>
  <c r="AG348" i="335"/>
  <c r="AG347" i="335"/>
  <c r="AG343" i="335"/>
  <c r="AG143" i="335"/>
  <c r="AG15" i="11"/>
  <c r="AG37" i="11" s="1"/>
  <c r="AG114" i="338"/>
  <c r="AG151" i="335"/>
  <c r="AG328" i="335"/>
  <c r="AK88" i="335"/>
  <c r="AK96" i="335"/>
  <c r="BU229" i="338"/>
  <c r="BO230" i="338"/>
  <c r="AM116" i="336"/>
  <c r="AM119" i="336"/>
  <c r="AM118" i="336"/>
  <c r="DT439" i="338"/>
  <c r="DZ89" i="335"/>
  <c r="EE88" i="335"/>
  <c r="BR317" i="338"/>
  <c r="BO316" i="338"/>
  <c r="BH257" i="338"/>
  <c r="BK268" i="338"/>
  <c r="BG268" i="338"/>
  <c r="BG257" i="338"/>
  <c r="DW735" i="338"/>
  <c r="EC729" i="338"/>
  <c r="CF413" i="338"/>
  <c r="CG413" i="338" s="1"/>
  <c r="DV725" i="338"/>
  <c r="DV120" i="11"/>
  <c r="DY44" i="335"/>
  <c r="DV58" i="338"/>
  <c r="DY119" i="336"/>
  <c r="BU769" i="338"/>
  <c r="CA769" i="338"/>
  <c r="AU89" i="335"/>
  <c r="AU311" i="335"/>
  <c r="AV89" i="335"/>
  <c r="AV311" i="335"/>
  <c r="K173" i="338"/>
  <c r="L173" i="338"/>
  <c r="U311" i="335"/>
  <c r="AI364" i="335"/>
  <c r="AI102" i="336"/>
  <c r="AI385" i="335" s="1"/>
  <c r="AI342" i="335"/>
  <c r="AI343" i="335"/>
  <c r="AI345" i="335"/>
  <c r="AI336" i="335"/>
  <c r="AI99" i="335"/>
  <c r="AI346" i="335"/>
  <c r="AI154" i="335"/>
  <c r="AI348" i="335"/>
  <c r="AI347" i="335"/>
  <c r="AO92" i="335"/>
  <c r="AO100" i="335" s="1"/>
  <c r="AI143" i="335"/>
  <c r="AI148" i="335"/>
  <c r="AO290" i="335"/>
  <c r="AM290" i="335"/>
  <c r="AM148" i="335"/>
  <c r="AM154" i="335"/>
  <c r="AM102" i="336"/>
  <c r="AM385" i="335" s="1"/>
  <c r="AM336" i="335"/>
  <c r="AM151" i="335"/>
  <c r="AM99" i="335"/>
  <c r="AM114" i="338"/>
  <c r="AM160" i="338" s="1"/>
  <c r="AM348" i="335"/>
  <c r="AM92" i="335"/>
  <c r="AM100" i="335" s="1"/>
  <c r="AM143" i="335"/>
  <c r="AM144" i="335" s="1"/>
  <c r="AM347" i="335"/>
  <c r="AM343" i="335"/>
  <c r="U173" i="338"/>
  <c r="AZ345" i="335"/>
  <c r="AZ337" i="335"/>
  <c r="AZ339" i="335"/>
  <c r="AZ15" i="11"/>
  <c r="AZ14" i="11" s="1"/>
  <c r="AZ39" i="11" s="1"/>
  <c r="AZ313" i="338"/>
  <c r="AZ331" i="335"/>
  <c r="AZ346" i="335"/>
  <c r="AZ336" i="335"/>
  <c r="AZ347" i="335"/>
  <c r="AZ102" i="336"/>
  <c r="AZ385" i="335" s="1"/>
  <c r="AZ92" i="335"/>
  <c r="AZ100" i="335" s="1"/>
  <c r="AZ290" i="335"/>
  <c r="P96" i="335"/>
  <c r="AK279" i="335"/>
  <c r="AK40" i="335"/>
  <c r="AE279" i="335"/>
  <c r="AE40" i="335"/>
  <c r="AJ54" i="335"/>
  <c r="AQ9" i="338"/>
  <c r="AQ12" i="338" s="1"/>
  <c r="AW15" i="335"/>
  <c r="AW278" i="335"/>
  <c r="AQ15" i="335"/>
  <c r="D149" i="335"/>
  <c r="C148" i="335"/>
  <c r="D293" i="335"/>
  <c r="BF119" i="336"/>
  <c r="BF116" i="336"/>
  <c r="DQ58" i="338"/>
  <c r="DQ280" i="335"/>
  <c r="DQ43" i="335"/>
  <c r="DQ725" i="338"/>
  <c r="DQ721" i="338" s="1"/>
  <c r="AP99" i="335"/>
  <c r="AP154" i="335"/>
  <c r="AP336" i="335"/>
  <c r="AP347" i="335"/>
  <c r="AP102" i="336"/>
  <c r="AP343" i="335"/>
  <c r="AP348" i="335"/>
  <c r="AP346" i="335"/>
  <c r="Y15" i="335"/>
  <c r="AS53" i="335"/>
  <c r="AM54" i="335"/>
  <c r="AM53" i="335"/>
  <c r="AE96" i="335"/>
  <c r="AQ286" i="335"/>
  <c r="AQ96" i="335"/>
  <c r="AQ88" i="335"/>
  <c r="CM239" i="335"/>
  <c r="DB338" i="335"/>
  <c r="EN74" i="11"/>
  <c r="CF119" i="336"/>
  <c r="CX478" i="338"/>
  <c r="CX482" i="338" s="1"/>
  <c r="CX255" i="338"/>
  <c r="DN317" i="338"/>
  <c r="BM328" i="335"/>
  <c r="BM92" i="335"/>
  <c r="BM100" i="335" s="1"/>
  <c r="BM329" i="335"/>
  <c r="BM347" i="335"/>
  <c r="BM163" i="336"/>
  <c r="BO54" i="11"/>
  <c r="O215" i="335"/>
  <c r="O213" i="335"/>
  <c r="DB157" i="335"/>
  <c r="EF65" i="335"/>
  <c r="EL65" i="335" s="1"/>
  <c r="ER65" i="335" s="1"/>
  <c r="EX65" i="335" s="1"/>
  <c r="FD65" i="335" s="1"/>
  <c r="DM317" i="338"/>
  <c r="CY783" i="338"/>
  <c r="BM330" i="335"/>
  <c r="BM338" i="335"/>
  <c r="BM313" i="338"/>
  <c r="BM346" i="335"/>
  <c r="BM151" i="335"/>
  <c r="BM49" i="11"/>
  <c r="CM735" i="338"/>
  <c r="FR15" i="335"/>
  <c r="DB102" i="336"/>
  <c r="DB385" i="335" s="1"/>
  <c r="CG366" i="335"/>
  <c r="FC19" i="335"/>
  <c r="BM341" i="335"/>
  <c r="BM348" i="335"/>
  <c r="BM331" i="335"/>
  <c r="BM102" i="336"/>
  <c r="BM385" i="335" s="1"/>
  <c r="FW87" i="335"/>
  <c r="FW160" i="335"/>
  <c r="FX87" i="335"/>
  <c r="CY609" i="338"/>
  <c r="CY612" i="338" s="1"/>
  <c r="CY613" i="338" s="1"/>
  <c r="CO118" i="336"/>
  <c r="CO116" i="336"/>
  <c r="CO119" i="336"/>
  <c r="AP12" i="3"/>
  <c r="AP142" i="336" s="1"/>
  <c r="AQ142" i="336" s="1"/>
  <c r="AQ137" i="336" s="1"/>
  <c r="AP73" i="3"/>
  <c r="AQ73" i="3" s="1"/>
  <c r="BM30" i="3"/>
  <c r="AD75" i="3"/>
  <c r="CS95" i="3"/>
  <c r="DB99" i="3"/>
  <c r="DY99" i="3"/>
  <c r="AP382" i="335"/>
  <c r="AQ83" i="3"/>
  <c r="AQ382" i="335" s="1"/>
  <c r="AP144" i="336"/>
  <c r="AQ144" i="336"/>
  <c r="DY105" i="3"/>
  <c r="DY383" i="335"/>
  <c r="DY397" i="335" s="1"/>
  <c r="AC23" i="3"/>
  <c r="BR95" i="3"/>
  <c r="CP85" i="3"/>
  <c r="CS84" i="3"/>
  <c r="CS85" i="3" s="1"/>
  <c r="DS99" i="3"/>
  <c r="CF99" i="3"/>
  <c r="BB90" i="3"/>
  <c r="BA95" i="3"/>
  <c r="EO766" i="338"/>
  <c r="EO640" i="338"/>
  <c r="EO646" i="338"/>
  <c r="EO634" i="338"/>
  <c r="EO670" i="338"/>
  <c r="EO664" i="338"/>
  <c r="CG218" i="338"/>
  <c r="DO118" i="336"/>
  <c r="DO116" i="336"/>
  <c r="DO119" i="336"/>
  <c r="EA334" i="335"/>
  <c r="EA328" i="335"/>
  <c r="EA143" i="335"/>
  <c r="EA169" i="335" s="1"/>
  <c r="EM12" i="338"/>
  <c r="DG615" i="338"/>
  <c r="DG616" i="338" s="1"/>
  <c r="CJ116" i="336"/>
  <c r="CJ119" i="336"/>
  <c r="ES108" i="338"/>
  <c r="ES110" i="338" s="1"/>
  <c r="ES99" i="338"/>
  <c r="EY166" i="338"/>
  <c r="EY167" i="338" s="1"/>
  <c r="EZ31" i="335"/>
  <c r="EL467" i="338"/>
  <c r="DW139" i="335"/>
  <c r="DD119" i="336"/>
  <c r="J393" i="335"/>
  <c r="DW48" i="11"/>
  <c r="CA260" i="338"/>
  <c r="EC286" i="335"/>
  <c r="J394" i="335"/>
  <c r="J316" i="338"/>
  <c r="DN119" i="336"/>
  <c r="DN118" i="336"/>
  <c r="DT118" i="336"/>
  <c r="DT119" i="336"/>
  <c r="DN116" i="336"/>
  <c r="AC364" i="335"/>
  <c r="AC91" i="335"/>
  <c r="AC52" i="335"/>
  <c r="AI53" i="335" s="1"/>
  <c r="AC15" i="335"/>
  <c r="AI278" i="335"/>
  <c r="AC303" i="335"/>
  <c r="AI15" i="335"/>
  <c r="AC278" i="335"/>
  <c r="AD364" i="335"/>
  <c r="AE364" i="335" s="1"/>
  <c r="AE14" i="335"/>
  <c r="AE172" i="338" s="1"/>
  <c r="AH364" i="335"/>
  <c r="AC9" i="338"/>
  <c r="AC16" i="335"/>
  <c r="AD303" i="335"/>
  <c r="CK118" i="336"/>
  <c r="CK116" i="336"/>
  <c r="CK119" i="336"/>
  <c r="BO56" i="11"/>
  <c r="O96" i="335"/>
  <c r="P89" i="335"/>
  <c r="P311" i="335"/>
  <c r="AZ53" i="335"/>
  <c r="BF53" i="335"/>
  <c r="BA54" i="335"/>
  <c r="J401" i="338"/>
  <c r="J314" i="338"/>
  <c r="J315" i="338"/>
  <c r="J392" i="335"/>
  <c r="BK52" i="11"/>
  <c r="BK16" i="338" s="1"/>
  <c r="DY89" i="335"/>
  <c r="DY88" i="335"/>
  <c r="BO55" i="11"/>
  <c r="EH51" i="3"/>
  <c r="EI51" i="3" s="1"/>
  <c r="CE254" i="338"/>
  <c r="CE255" i="338" s="1"/>
  <c r="CS729" i="338"/>
  <c r="EH45" i="3"/>
  <c r="EI45" i="3" s="1"/>
  <c r="BI54" i="11"/>
  <c r="CC148" i="336"/>
  <c r="DS198" i="336"/>
  <c r="FA80" i="3"/>
  <c r="DD416" i="335"/>
  <c r="DQ147" i="336"/>
  <c r="DQ148" i="336" s="1"/>
  <c r="BQ134" i="336"/>
  <c r="EO452" i="335"/>
  <c r="EE61" i="336"/>
  <c r="EE422" i="335" s="1"/>
  <c r="CS147" i="336"/>
  <c r="CS148" i="336" s="1"/>
  <c r="DA139" i="336"/>
  <c r="DA140" i="336" s="1"/>
  <c r="DE144" i="336"/>
  <c r="DG201" i="336"/>
  <c r="DH201" i="336" s="1"/>
  <c r="DI201" i="336" s="1"/>
  <c r="DJ201" i="336" s="1"/>
  <c r="DK185" i="336"/>
  <c r="DK187" i="336" s="1"/>
  <c r="DG198" i="336"/>
  <c r="EL413" i="338"/>
  <c r="DA135" i="336"/>
  <c r="CY147" i="336"/>
  <c r="CY148" i="336" s="1"/>
  <c r="EC422" i="335"/>
  <c r="CS139" i="336"/>
  <c r="CS140" i="336" s="1"/>
  <c r="CO137" i="336"/>
  <c r="CO139" i="336"/>
  <c r="CO140" i="336" s="1"/>
  <c r="DE147" i="336"/>
  <c r="DE148" i="336" s="1"/>
  <c r="DZ437" i="335"/>
  <c r="EA76" i="336"/>
  <c r="EA437" i="335" s="1"/>
  <c r="EC427" i="335"/>
  <c r="EC78" i="11"/>
  <c r="EC82" i="11" s="1"/>
  <c r="BO53" i="11"/>
  <c r="BU53" i="11"/>
  <c r="BI56" i="11"/>
  <c r="DY91" i="335"/>
  <c r="DY96" i="335"/>
  <c r="EA93" i="11"/>
  <c r="EA97" i="11" s="1"/>
  <c r="EG89" i="11"/>
  <c r="BC142" i="11"/>
  <c r="BI142" i="11"/>
  <c r="EA154" i="335"/>
  <c r="CM253" i="338"/>
  <c r="CM765" i="338" s="1"/>
  <c r="CM774" i="338" s="1"/>
  <c r="BK255" i="338"/>
  <c r="EA327" i="338"/>
  <c r="EA343" i="335"/>
  <c r="CM35" i="336"/>
  <c r="CL43" i="336"/>
  <c r="CM43" i="336" s="1"/>
  <c r="I224" i="336"/>
  <c r="I222" i="336"/>
  <c r="FI106" i="336"/>
  <c r="K222" i="336"/>
  <c r="K380" i="335"/>
  <c r="AK35" i="336"/>
  <c r="AJ43" i="336"/>
  <c r="AK43" i="336" s="1"/>
  <c r="DD43" i="336"/>
  <c r="DE43" i="336" s="1"/>
  <c r="CM292" i="335"/>
  <c r="CG292" i="335"/>
  <c r="CG609" i="338"/>
  <c r="J222" i="336"/>
  <c r="J224" i="336"/>
  <c r="BK187" i="336"/>
  <c r="BK185" i="336"/>
  <c r="CG251" i="335"/>
  <c r="CG252" i="335" s="1"/>
  <c r="CM147" i="336"/>
  <c r="CM148" i="336" s="1"/>
  <c r="S30" i="336"/>
  <c r="R35" i="336"/>
  <c r="CA30" i="336"/>
  <c r="BZ35" i="336"/>
  <c r="AW147" i="336"/>
  <c r="AW148" i="336" s="1"/>
  <c r="EB69" i="336"/>
  <c r="EB430" i="335" s="1"/>
  <c r="DP628" i="338"/>
  <c r="CR103" i="336"/>
  <c r="BO407" i="335"/>
  <c r="BC95" i="11"/>
  <c r="AD361" i="335"/>
  <c r="AD360" i="335" s="1"/>
  <c r="AD121" i="11"/>
  <c r="AJ95" i="11"/>
  <c r="BL125" i="11"/>
  <c r="BU58" i="338"/>
  <c r="BU124" i="11"/>
  <c r="BU96" i="338" s="1"/>
  <c r="CC626" i="338"/>
  <c r="CD629" i="338"/>
  <c r="CD627" i="338" s="1"/>
  <c r="CD626" i="338" s="1"/>
  <c r="CD671" i="338"/>
  <c r="CD659" i="338"/>
  <c r="CD657" i="338" s="1"/>
  <c r="DI639" i="338"/>
  <c r="DI638" i="338" s="1"/>
  <c r="DH607" i="338"/>
  <c r="DN647" i="338" s="1"/>
  <c r="DN645" i="338" s="1"/>
  <c r="EI286" i="335"/>
  <c r="BS255" i="338"/>
  <c r="DC642" i="338"/>
  <c r="DC679" i="338" s="1"/>
  <c r="DP634" i="338"/>
  <c r="DP664" i="338"/>
  <c r="DP670" i="338"/>
  <c r="BQ607" i="338"/>
  <c r="CU607" i="338"/>
  <c r="CU615" i="338"/>
  <c r="CU616" i="338" s="1"/>
  <c r="CD665" i="338"/>
  <c r="CD663" i="338" s="1"/>
  <c r="BU671" i="338"/>
  <c r="BU669" i="338" s="1"/>
  <c r="BZ666" i="338"/>
  <c r="DN607" i="338"/>
  <c r="DT647" i="338" s="1"/>
  <c r="DT645" i="338" s="1"/>
  <c r="DT644" i="338" s="1"/>
  <c r="DC612" i="338"/>
  <c r="DC613" i="338" s="1"/>
  <c r="EI139" i="335"/>
  <c r="DI612" i="338"/>
  <c r="DI613" i="338" s="1"/>
  <c r="CL658" i="338"/>
  <c r="DH665" i="338"/>
  <c r="DH663" i="338" s="1"/>
  <c r="DH659" i="338"/>
  <c r="DH657" i="338" s="1"/>
  <c r="DH656" i="338" s="1"/>
  <c r="DH635" i="338"/>
  <c r="DH633" i="338" s="1"/>
  <c r="DM607" i="338"/>
  <c r="DM615" i="338"/>
  <c r="DM616" i="338" s="1"/>
  <c r="BN630" i="338"/>
  <c r="DP658" i="338"/>
  <c r="DK734" i="338"/>
  <c r="BU635" i="338"/>
  <c r="CM609" i="338"/>
  <c r="DE260" i="338"/>
  <c r="DK671" i="338"/>
  <c r="DK669" i="338" s="1"/>
  <c r="DK668" i="338" s="1"/>
  <c r="BZ664" i="338"/>
  <c r="BZ628" i="338"/>
  <c r="BZ634" i="338"/>
  <c r="BZ670" i="338"/>
  <c r="BZ658" i="338"/>
  <c r="DP640" i="338"/>
  <c r="DG669" i="338"/>
  <c r="DH85" i="3"/>
  <c r="DV105" i="3"/>
  <c r="DV87" i="3"/>
  <c r="DV77" i="3"/>
  <c r="DV383" i="335"/>
  <c r="CX99" i="3"/>
  <c r="BX373" i="335"/>
  <c r="W384" i="335"/>
  <c r="X63" i="3"/>
  <c r="Y63" i="3" s="1"/>
  <c r="Y384" i="335" s="1"/>
  <c r="AI36" i="3"/>
  <c r="AJ90" i="3"/>
  <c r="AQ63" i="3"/>
  <c r="AQ384" i="335" s="1"/>
  <c r="DQ76" i="3"/>
  <c r="DQ105" i="3" s="1"/>
  <c r="DP383" i="335"/>
  <c r="DP397" i="335" s="1"/>
  <c r="DP105" i="3"/>
  <c r="DP87" i="3"/>
  <c r="W12" i="3"/>
  <c r="AM45" i="3"/>
  <c r="AC22" i="3"/>
  <c r="CA85" i="3"/>
  <c r="CG76" i="3"/>
  <c r="CG105" i="3" s="1"/>
  <c r="CG109" i="3" s="1"/>
  <c r="DC383" i="335"/>
  <c r="DC397" i="335" s="1"/>
  <c r="DC105" i="3"/>
  <c r="DC87" i="3"/>
  <c r="BU84" i="3"/>
  <c r="DW84" i="3"/>
  <c r="DW85" i="3" s="1"/>
  <c r="DT85" i="3"/>
  <c r="DT99" i="3" s="1"/>
  <c r="BC407" i="335"/>
  <c r="EO48" i="11"/>
  <c r="EO76" i="335"/>
  <c r="EL331" i="338"/>
  <c r="ES81" i="335"/>
  <c r="ES80" i="335"/>
  <c r="DT15" i="11"/>
  <c r="DT327" i="338"/>
  <c r="DT334" i="335"/>
  <c r="DT163" i="336"/>
  <c r="DT325" i="338"/>
  <c r="DT114" i="338"/>
  <c r="DT160" i="338" s="1"/>
  <c r="DT348" i="335"/>
  <c r="DT347" i="335"/>
  <c r="DT157" i="335"/>
  <c r="DT431" i="338"/>
  <c r="DT329" i="335"/>
  <c r="DT99" i="335"/>
  <c r="DT206" i="335" s="1"/>
  <c r="DT207" i="335" s="1"/>
  <c r="DT313" i="338"/>
  <c r="DT333" i="335"/>
  <c r="DT341" i="335"/>
  <c r="DT151" i="335"/>
  <c r="DT330" i="335"/>
  <c r="DT331" i="335"/>
  <c r="DT148" i="335"/>
  <c r="DT345" i="335"/>
  <c r="DT343" i="335"/>
  <c r="DT154" i="335"/>
  <c r="DT143" i="335"/>
  <c r="DT328" i="335"/>
  <c r="DT102" i="336"/>
  <c r="DT385" i="335" s="1"/>
  <c r="CM729" i="338"/>
  <c r="CG738" i="338"/>
  <c r="CG735" i="338"/>
  <c r="DO615" i="338"/>
  <c r="DO616" i="338" s="1"/>
  <c r="DO612" i="338"/>
  <c r="DO613" i="338" s="1"/>
  <c r="CS763" i="338"/>
  <c r="BX615" i="338"/>
  <c r="BX616" i="338" s="1"/>
  <c r="EG91" i="335"/>
  <c r="EG89" i="335"/>
  <c r="CK254" i="338"/>
  <c r="AO93" i="335"/>
  <c r="AO101" i="335" s="1"/>
  <c r="AN151" i="335"/>
  <c r="AN346" i="335"/>
  <c r="AN348" i="335"/>
  <c r="AN148" i="335"/>
  <c r="AN99" i="335"/>
  <c r="AN328" i="335"/>
  <c r="AP365" i="335"/>
  <c r="AN143" i="335"/>
  <c r="AN15" i="11"/>
  <c r="AN14" i="11" s="1"/>
  <c r="AN358" i="335" s="1"/>
  <c r="AN356" i="335" s="1"/>
  <c r="AN93" i="335"/>
  <c r="AN101" i="335" s="1"/>
  <c r="AN154" i="335"/>
  <c r="AN336" i="335"/>
  <c r="AN315" i="335"/>
  <c r="AO365" i="335"/>
  <c r="AN365" i="335"/>
  <c r="AQ91" i="335"/>
  <c r="AN114" i="338"/>
  <c r="AN160" i="338" s="1"/>
  <c r="AN102" i="336"/>
  <c r="AN385" i="335" s="1"/>
  <c r="AN347" i="335"/>
  <c r="AO315" i="335"/>
  <c r="AN345" i="335"/>
  <c r="AN343" i="335"/>
  <c r="AN342" i="335"/>
  <c r="AT290" i="335"/>
  <c r="AT92" i="335"/>
  <c r="AT100" i="335" s="1"/>
  <c r="AI116" i="336"/>
  <c r="AI118" i="336"/>
  <c r="AI119" i="336"/>
  <c r="EF13" i="338"/>
  <c r="EF15" i="338" s="1"/>
  <c r="EM286" i="335"/>
  <c r="AQ52" i="335"/>
  <c r="AN54" i="335"/>
  <c r="AT53" i="335"/>
  <c r="EK39" i="335"/>
  <c r="EE279" i="335"/>
  <c r="EE119" i="11"/>
  <c r="EF304" i="335"/>
  <c r="EF41" i="335"/>
  <c r="EE42" i="335"/>
  <c r="DT120" i="11"/>
  <c r="DT43" i="335"/>
  <c r="DT75" i="11" s="1"/>
  <c r="DT280" i="335"/>
  <c r="DT58" i="338"/>
  <c r="EB116" i="336"/>
  <c r="EC116" i="336" s="1"/>
  <c r="EC366" i="335"/>
  <c r="EB119" i="336"/>
  <c r="EC119" i="336" s="1"/>
  <c r="EB118" i="336"/>
  <c r="DE763" i="338"/>
  <c r="AJ345" i="335"/>
  <c r="AJ143" i="335"/>
  <c r="AJ169" i="335" s="1"/>
  <c r="AJ102" i="336"/>
  <c r="AJ148" i="335"/>
  <c r="AJ343" i="335"/>
  <c r="AJ342" i="335"/>
  <c r="AJ328" i="335"/>
  <c r="AJ336" i="335"/>
  <c r="AJ346" i="335"/>
  <c r="AJ93" i="335"/>
  <c r="AJ101" i="335" s="1"/>
  <c r="AM93" i="335"/>
  <c r="AM101" i="335" s="1"/>
  <c r="AM315" i="335"/>
  <c r="AJ151" i="335"/>
  <c r="AP92" i="335"/>
  <c r="AP100" i="335" s="1"/>
  <c r="AJ114" i="338"/>
  <c r="AJ160" i="338" s="1"/>
  <c r="AJ15" i="11"/>
  <c r="AJ38" i="11" s="1"/>
  <c r="AP290" i="335"/>
  <c r="AJ315" i="335"/>
  <c r="AJ99" i="335"/>
  <c r="AJ347" i="335"/>
  <c r="AJ348" i="335"/>
  <c r="AJ154" i="335"/>
  <c r="BM336" i="335"/>
  <c r="BM114" i="338"/>
  <c r="BM342" i="335"/>
  <c r="BM15" i="11"/>
  <c r="BM148" i="335"/>
  <c r="BM345" i="335"/>
  <c r="BM343" i="335"/>
  <c r="BM290" i="335"/>
  <c r="CP118" i="336"/>
  <c r="CP119" i="336"/>
  <c r="CP116" i="336"/>
  <c r="EA119" i="336"/>
  <c r="EA118" i="336"/>
  <c r="EA116" i="336"/>
  <c r="DA345" i="335"/>
  <c r="DA290" i="335"/>
  <c r="DA333" i="335"/>
  <c r="DA163" i="336"/>
  <c r="DA99" i="335"/>
  <c r="DA154" i="335"/>
  <c r="DA341" i="335"/>
  <c r="DT615" i="338"/>
  <c r="DT616" i="338" s="1"/>
  <c r="DT612" i="338"/>
  <c r="DT613" i="338" s="1"/>
  <c r="EN161" i="336"/>
  <c r="EN160" i="336"/>
  <c r="EN330" i="338"/>
  <c r="AO54" i="335"/>
  <c r="BH170" i="335"/>
  <c r="DU116" i="336"/>
  <c r="DU118" i="336"/>
  <c r="DU119" i="336"/>
  <c r="BT254" i="338"/>
  <c r="CS10" i="338"/>
  <c r="BZ254" i="338"/>
  <c r="CV283" i="338"/>
  <c r="CV387" i="335"/>
  <c r="CM780" i="338"/>
  <c r="CS781" i="338" s="1"/>
  <c r="CM309" i="338"/>
  <c r="CP665" i="338"/>
  <c r="CP663" i="338" s="1"/>
  <c r="CO387" i="335"/>
  <c r="CO283" i="338"/>
  <c r="CU283" i="338"/>
  <c r="CO316" i="338"/>
  <c r="CM304" i="338"/>
  <c r="BI300" i="338"/>
  <c r="CJ254" i="338"/>
  <c r="DO387" i="335"/>
  <c r="DO316" i="338"/>
  <c r="DH642" i="338"/>
  <c r="DH641" i="338"/>
  <c r="DH639" i="338" s="1"/>
  <c r="DH638" i="338" s="1"/>
  <c r="CM305" i="338"/>
  <c r="DZ626" i="338"/>
  <c r="DD219" i="338"/>
  <c r="DJ219" i="338" s="1"/>
  <c r="CP607" i="338"/>
  <c r="DO283" i="338"/>
  <c r="DI316" i="338"/>
  <c r="DQ292" i="338"/>
  <c r="DP282" i="338"/>
  <c r="EL88" i="335"/>
  <c r="EQ468" i="338"/>
  <c r="EQ467" i="338"/>
  <c r="FX139" i="335"/>
  <c r="AK82" i="3"/>
  <c r="Q31" i="3"/>
  <c r="P33" i="3"/>
  <c r="AC36" i="3"/>
  <c r="AD90" i="3"/>
  <c r="AC95" i="3"/>
  <c r="DM186" i="336"/>
  <c r="DM198" i="336"/>
  <c r="CC99" i="3"/>
  <c r="EF383" i="335"/>
  <c r="EF397" i="335" s="1"/>
  <c r="EF99" i="3"/>
  <c r="EF87" i="3"/>
  <c r="EG373" i="335"/>
  <c r="EF373" i="335"/>
  <c r="EF105" i="3"/>
  <c r="EL106" i="3" s="1"/>
  <c r="CF373" i="335"/>
  <c r="CG373" i="335" s="1"/>
  <c r="CF105" i="3"/>
  <c r="CF87" i="3"/>
  <c r="CF383" i="335"/>
  <c r="CF397" i="335" s="1"/>
  <c r="DM105" i="3"/>
  <c r="DM99" i="3"/>
  <c r="DM383" i="335"/>
  <c r="AC384" i="335"/>
  <c r="AD63" i="3"/>
  <c r="AC12" i="3"/>
  <c r="CU105" i="3"/>
  <c r="CU383" i="335"/>
  <c r="CU397" i="335" s="1"/>
  <c r="CU99" i="3"/>
  <c r="CE383" i="335"/>
  <c r="CE397" i="335"/>
  <c r="CE87" i="3"/>
  <c r="CE105" i="3"/>
  <c r="CE99" i="3"/>
  <c r="CE373" i="335"/>
  <c r="CX383" i="335"/>
  <c r="CX397" i="335" s="1"/>
  <c r="CX87" i="3"/>
  <c r="CX105" i="3"/>
  <c r="AJ60" i="3"/>
  <c r="AI9" i="3"/>
  <c r="DW95" i="3"/>
  <c r="CR383" i="335"/>
  <c r="CR397" i="335" s="1"/>
  <c r="CR87" i="3"/>
  <c r="CR105" i="3"/>
  <c r="AP92" i="3"/>
  <c r="AO38" i="3"/>
  <c r="BS87" i="3"/>
  <c r="BS105" i="3"/>
  <c r="BS109" i="3" s="1"/>
  <c r="BS383" i="335"/>
  <c r="BS397" i="335" s="1"/>
  <c r="DS77" i="3"/>
  <c r="DY77" i="3"/>
  <c r="DS373" i="335"/>
  <c r="DS383" i="335"/>
  <c r="DS105" i="3"/>
  <c r="CC383" i="335"/>
  <c r="CC105" i="3"/>
  <c r="DT87" i="3"/>
  <c r="DT105" i="3"/>
  <c r="DT77" i="3"/>
  <c r="DT373" i="335"/>
  <c r="DT383" i="335"/>
  <c r="DT397" i="335" s="1"/>
  <c r="DI105" i="3"/>
  <c r="DI87" i="3"/>
  <c r="DI383" i="335"/>
  <c r="DI397" i="335" s="1"/>
  <c r="DI77" i="3"/>
  <c r="CA95" i="3"/>
  <c r="BT99" i="3"/>
  <c r="BZ87" i="3"/>
  <c r="BZ99" i="3"/>
  <c r="BZ105" i="3"/>
  <c r="BZ383" i="335"/>
  <c r="BZ397" i="335" s="1"/>
  <c r="BO83" i="3"/>
  <c r="BO382" i="335"/>
  <c r="BN144" i="336"/>
  <c r="BO144" i="336" s="1"/>
  <c r="BN81" i="3"/>
  <c r="BM29" i="3"/>
  <c r="R83" i="3"/>
  <c r="Q382" i="335"/>
  <c r="X70" i="3"/>
  <c r="W19" i="3"/>
  <c r="EA109" i="3"/>
  <c r="EA108" i="3"/>
  <c r="EG106" i="3"/>
  <c r="EG109" i="3"/>
  <c r="EG108" i="3"/>
  <c r="U30" i="3"/>
  <c r="U33" i="3" s="1"/>
  <c r="U45" i="3" s="1"/>
  <c r="U85" i="3"/>
  <c r="U99" i="3" s="1"/>
  <c r="W82" i="3"/>
  <c r="DB87" i="3"/>
  <c r="DB105" i="3"/>
  <c r="DC373" i="335"/>
  <c r="DB383" i="335"/>
  <c r="DB397" i="335" s="1"/>
  <c r="BW383" i="335"/>
  <c r="BW105" i="3"/>
  <c r="DA105" i="3"/>
  <c r="DA383" i="335"/>
  <c r="DA397" i="335" s="1"/>
  <c r="DP373" i="335"/>
  <c r="DQ373" i="335" s="1"/>
  <c r="DO77" i="3"/>
  <c r="DO87" i="3"/>
  <c r="DO383" i="335"/>
  <c r="DO105" i="3"/>
  <c r="DU373" i="335"/>
  <c r="DV373" i="335"/>
  <c r="DW373" i="335" s="1"/>
  <c r="DU87" i="3"/>
  <c r="DY373" i="335"/>
  <c r="DU105" i="3"/>
  <c r="DU77" i="3"/>
  <c r="DU383" i="335"/>
  <c r="DU397" i="335" s="1"/>
  <c r="DU99" i="3"/>
  <c r="D45" i="3"/>
  <c r="D49" i="3"/>
  <c r="EE397" i="335"/>
  <c r="EK105" i="3"/>
  <c r="EK77" i="3"/>
  <c r="EK383" i="335"/>
  <c r="EK397" i="335" s="1"/>
  <c r="DA99" i="3"/>
  <c r="BM43" i="3"/>
  <c r="BN97" i="3"/>
  <c r="DW384" i="335"/>
  <c r="DW76" i="3"/>
  <c r="BT105" i="3"/>
  <c r="BT87" i="3"/>
  <c r="BT383" i="335"/>
  <c r="BT397" i="335" s="1"/>
  <c r="DN105" i="3"/>
  <c r="DN87" i="3"/>
  <c r="DN383" i="335"/>
  <c r="DN397" i="335" s="1"/>
  <c r="CR99" i="3"/>
  <c r="EB87" i="3"/>
  <c r="EB105" i="3"/>
  <c r="EB383" i="335"/>
  <c r="EB77" i="3"/>
  <c r="AZ135" i="336"/>
  <c r="BA135" i="336" s="1"/>
  <c r="BA134" i="336" s="1"/>
  <c r="BM615" i="338"/>
  <c r="BM616" i="338" s="1"/>
  <c r="CA230" i="338"/>
  <c r="DK665" i="338"/>
  <c r="DK663" i="338" s="1"/>
  <c r="DK662" i="338" s="1"/>
  <c r="CM10" i="338"/>
  <c r="CM53" i="338"/>
  <c r="EM391" i="335"/>
  <c r="CJ665" i="338"/>
  <c r="CJ663" i="338" s="1"/>
  <c r="CJ629" i="338"/>
  <c r="CJ659" i="338"/>
  <c r="CJ657" i="338" s="1"/>
  <c r="CJ656" i="338" s="1"/>
  <c r="CJ635" i="338"/>
  <c r="CJ633" i="338" s="1"/>
  <c r="CJ671" i="338"/>
  <c r="CJ669" i="338" s="1"/>
  <c r="EB628" i="338"/>
  <c r="DY679" i="338"/>
  <c r="DB663" i="338"/>
  <c r="DB662" i="338" s="1"/>
  <c r="FD17" i="335"/>
  <c r="FD172" i="338" s="1"/>
  <c r="EC83" i="335"/>
  <c r="CC328" i="335"/>
  <c r="CD114" i="338"/>
  <c r="CD160" i="338" s="1"/>
  <c r="EI83" i="335"/>
  <c r="EK43" i="11"/>
  <c r="EG85" i="335"/>
  <c r="EQ108" i="338"/>
  <c r="EQ110" i="338" s="1"/>
  <c r="EQ99" i="338"/>
  <c r="DQ671" i="338"/>
  <c r="DQ669" i="338" s="1"/>
  <c r="DQ635" i="338"/>
  <c r="DQ633" i="338" s="1"/>
  <c r="DQ629" i="338"/>
  <c r="DQ627" i="338" s="1"/>
  <c r="DQ626" i="338" s="1"/>
  <c r="DQ641" i="338"/>
  <c r="DQ639" i="338" s="1"/>
  <c r="DQ659" i="338"/>
  <c r="DQ657" i="338" s="1"/>
  <c r="DQ647" i="338"/>
  <c r="DQ645" i="338" s="1"/>
  <c r="CS218" i="338"/>
  <c r="CA607" i="338"/>
  <c r="DK635" i="338"/>
  <c r="DK633" i="338" s="1"/>
  <c r="DK659" i="338"/>
  <c r="DK657" i="338" s="1"/>
  <c r="DK641" i="338"/>
  <c r="DK639" i="338" s="1"/>
  <c r="DK647" i="338"/>
  <c r="DK645" i="338" s="1"/>
  <c r="AD23" i="3"/>
  <c r="AE23" i="3" s="1"/>
  <c r="EU43" i="3"/>
  <c r="EU97" i="3"/>
  <c r="BH12" i="3"/>
  <c r="EZ66" i="3"/>
  <c r="FA66" i="3" s="1"/>
  <c r="FA15" i="3"/>
  <c r="BF142" i="336"/>
  <c r="BG142" i="336" s="1"/>
  <c r="EU32" i="3"/>
  <c r="EU84" i="3"/>
  <c r="DO85" i="3"/>
  <c r="DO99" i="3" s="1"/>
  <c r="DQ84" i="3"/>
  <c r="DQ85" i="3" s="1"/>
  <c r="FA41" i="336"/>
  <c r="FC41" i="336"/>
  <c r="FD41" i="336" s="1"/>
  <c r="FE41" i="336" s="1"/>
  <c r="FF41" i="336" s="1"/>
  <c r="DK260" i="338"/>
  <c r="DV333" i="338"/>
  <c r="DZ85" i="335"/>
  <c r="EA157" i="335"/>
  <c r="EA151" i="335"/>
  <c r="EA99" i="335"/>
  <c r="EA333" i="335"/>
  <c r="EA346" i="335"/>
  <c r="EA85" i="335"/>
  <c r="EF84" i="335"/>
  <c r="EG96" i="335"/>
  <c r="EA114" i="338"/>
  <c r="EA160" i="338" s="1"/>
  <c r="EA431" i="338"/>
  <c r="EG430" i="338" s="1"/>
  <c r="EA347" i="335"/>
  <c r="EA325" i="338"/>
  <c r="EA336" i="335"/>
  <c r="EA15" i="11"/>
  <c r="CG272" i="338"/>
  <c r="EA102" i="336"/>
  <c r="EA385" i="335" s="1"/>
  <c r="DB334" i="335"/>
  <c r="DB49" i="11"/>
  <c r="DB337" i="335"/>
  <c r="DB339" i="335"/>
  <c r="DB431" i="338"/>
  <c r="DB143" i="335"/>
  <c r="DB144" i="335" s="1"/>
  <c r="DB114" i="338"/>
  <c r="DB151" i="335"/>
  <c r="DB327" i="338"/>
  <c r="DB336" i="335"/>
  <c r="DB99" i="335"/>
  <c r="DB154" i="335"/>
  <c r="DB325" i="338"/>
  <c r="DB330" i="335"/>
  <c r="DB15" i="11"/>
  <c r="DB343" i="335"/>
  <c r="DB341" i="335"/>
  <c r="DB346" i="335"/>
  <c r="DB329" i="335"/>
  <c r="DB348" i="335"/>
  <c r="EH89" i="335"/>
  <c r="EA163" i="336"/>
  <c r="EA313" i="338"/>
  <c r="EA341" i="335"/>
  <c r="EA331" i="335"/>
  <c r="EA148" i="335"/>
  <c r="EA345" i="335"/>
  <c r="EG88" i="335"/>
  <c r="DB328" i="335"/>
  <c r="EN9" i="338"/>
  <c r="EK116" i="336"/>
  <c r="EK118" i="336"/>
  <c r="EK119" i="336"/>
  <c r="BE144" i="11"/>
  <c r="CM95" i="11"/>
  <c r="CM100" i="11" s="1"/>
  <c r="CG95" i="11"/>
  <c r="CG100" i="11" s="1"/>
  <c r="AQ70" i="3"/>
  <c r="BN19" i="3"/>
  <c r="BO19" i="3" s="1"/>
  <c r="AW65" i="3"/>
  <c r="BN38" i="3"/>
  <c r="BO38" i="3" s="1"/>
  <c r="BN30" i="3"/>
  <c r="BO30" i="3" s="1"/>
  <c r="CV51" i="3"/>
  <c r="CV45" i="3"/>
  <c r="R32" i="3"/>
  <c r="S32" i="3" s="1"/>
  <c r="BO90" i="3"/>
  <c r="BN95" i="3"/>
  <c r="R19" i="3"/>
  <c r="S19" i="3" s="1"/>
  <c r="EO20" i="336"/>
  <c r="EU29" i="336"/>
  <c r="EU398" i="338" s="1"/>
  <c r="ET398" i="338"/>
  <c r="EZ29" i="336"/>
  <c r="EU376" i="335"/>
  <c r="DW30" i="336"/>
  <c r="DV35" i="336"/>
  <c r="CG35" i="336"/>
  <c r="CF43" i="336"/>
  <c r="CG43" i="336" s="1"/>
  <c r="BN186" i="336"/>
  <c r="BN174" i="336" s="1"/>
  <c r="BM174" i="336"/>
  <c r="AE35" i="336"/>
  <c r="AD43" i="336"/>
  <c r="AE43" i="336" s="1"/>
  <c r="DG341" i="335"/>
  <c r="DG328" i="335"/>
  <c r="DG330" i="335"/>
  <c r="DG431" i="338"/>
  <c r="DG329" i="335"/>
  <c r="DG327" i="338"/>
  <c r="DG338" i="335"/>
  <c r="DG343" i="335"/>
  <c r="DG143" i="335"/>
  <c r="DG163" i="336"/>
  <c r="DG337" i="335"/>
  <c r="DG336" i="335"/>
  <c r="DG325" i="338"/>
  <c r="DG194" i="335"/>
  <c r="DG334" i="335"/>
  <c r="DG346" i="335"/>
  <c r="DG154" i="335"/>
  <c r="DG290" i="335"/>
  <c r="DG99" i="335"/>
  <c r="DG114" i="338"/>
  <c r="DG160" i="338" s="1"/>
  <c r="DG331" i="335"/>
  <c r="DG102" i="336"/>
  <c r="DG385" i="335" s="1"/>
  <c r="DG151" i="335"/>
  <c r="DG148" i="335"/>
  <c r="DG348" i="335"/>
  <c r="DG15" i="11"/>
  <c r="DG13" i="11" s="1"/>
  <c r="DG49" i="11"/>
  <c r="DG313" i="338"/>
  <c r="DG333" i="335"/>
  <c r="DG347" i="335"/>
  <c r="DG345" i="335"/>
  <c r="DG339" i="335"/>
  <c r="DG157" i="335"/>
  <c r="DG342" i="335"/>
  <c r="EW108" i="338"/>
  <c r="EW110" i="338" s="1"/>
  <c r="EW99" i="338"/>
  <c r="DC255" i="338"/>
  <c r="S220" i="336"/>
  <c r="S224" i="336" s="1"/>
  <c r="S148" i="336"/>
  <c r="CC135" i="336"/>
  <c r="CD134" i="336"/>
  <c r="CD139" i="336" s="1"/>
  <c r="CD140" i="336" s="1"/>
  <c r="CC137" i="336"/>
  <c r="CV214" i="338"/>
  <c r="CP215" i="338"/>
  <c r="CL636" i="338"/>
  <c r="CX664" i="338"/>
  <c r="CX658" i="338"/>
  <c r="CX606" i="338"/>
  <c r="CX628" i="338"/>
  <c r="CX634" i="338"/>
  <c r="CX670" i="338"/>
  <c r="DV670" i="338"/>
  <c r="DV628" i="338"/>
  <c r="DV640" i="338"/>
  <c r="DV658" i="338"/>
  <c r="DV646" i="338"/>
  <c r="DV634" i="338"/>
  <c r="DV664" i="338"/>
  <c r="AQ255" i="338"/>
  <c r="CI254" i="338"/>
  <c r="AS255" i="338"/>
  <c r="DK272" i="338"/>
  <c r="BN609" i="338"/>
  <c r="DD634" i="338"/>
  <c r="DJ664" i="338"/>
  <c r="DD628" i="338"/>
  <c r="DJ646" i="338"/>
  <c r="DD640" i="338"/>
  <c r="DJ658" i="338"/>
  <c r="DD670" i="338"/>
  <c r="DJ628" i="338"/>
  <c r="DD646" i="338"/>
  <c r="DD658" i="338"/>
  <c r="DJ640" i="338"/>
  <c r="DD606" i="338"/>
  <c r="BL681" i="338"/>
  <c r="DP559" i="338"/>
  <c r="DJ630" i="338"/>
  <c r="DP630" i="338"/>
  <c r="BR607" i="338"/>
  <c r="BR615" i="338"/>
  <c r="BR616" i="338" s="1"/>
  <c r="BU659" i="338"/>
  <c r="BU657" i="338"/>
  <c r="DD613" i="338"/>
  <c r="EB640" i="338"/>
  <c r="EB646" i="338"/>
  <c r="EB634" i="338"/>
  <c r="EB664" i="338"/>
  <c r="EB670" i="338"/>
  <c r="CF628" i="338"/>
  <c r="CF634" i="338"/>
  <c r="CF658" i="338"/>
  <c r="CF606" i="338"/>
  <c r="CF607" i="338" s="1"/>
  <c r="EC664" i="338"/>
  <c r="EC646" i="338"/>
  <c r="EI640" i="338"/>
  <c r="EC640" i="338"/>
  <c r="EI646" i="338"/>
  <c r="EC670" i="338"/>
  <c r="EI670" i="338"/>
  <c r="EI658" i="338"/>
  <c r="EC628" i="338"/>
  <c r="EC606" i="338"/>
  <c r="EC607" i="338" s="1"/>
  <c r="EI653" i="338" s="1"/>
  <c r="EI651" i="338" s="1"/>
  <c r="EI634" i="338"/>
  <c r="EI664" i="338"/>
  <c r="EC634" i="338"/>
  <c r="CL670" i="338"/>
  <c r="CL664" i="338"/>
  <c r="CR664" i="338"/>
  <c r="CR658" i="338"/>
  <c r="CL628" i="338"/>
  <c r="CR628" i="338"/>
  <c r="CL606" i="338"/>
  <c r="CR634" i="338"/>
  <c r="CL634" i="338"/>
  <c r="CR670" i="338"/>
  <c r="DD664" i="338"/>
  <c r="DJ670" i="338"/>
  <c r="BF607" i="338"/>
  <c r="BF615" i="338"/>
  <c r="BF616" i="338" s="1"/>
  <c r="EB559" i="338"/>
  <c r="EB630" i="338"/>
  <c r="EB658" i="338"/>
  <c r="CR630" i="338"/>
  <c r="EZ183" i="336"/>
  <c r="EZ184" i="336"/>
  <c r="CG24" i="11"/>
  <c r="FP24" i="11" s="1"/>
  <c r="CA355" i="335"/>
  <c r="CA322" i="338" s="1"/>
  <c r="CA24" i="11"/>
  <c r="CA10" i="335"/>
  <c r="BR255" i="338"/>
  <c r="CI431" i="338"/>
  <c r="CO429" i="338" s="1"/>
  <c r="CI338" i="335"/>
  <c r="CI337" i="335"/>
  <c r="CI341" i="335"/>
  <c r="CJ315" i="335"/>
  <c r="CI15" i="11"/>
  <c r="CI163" i="336"/>
  <c r="EM78" i="11"/>
  <c r="EM82" i="11" s="1"/>
  <c r="DP242" i="338"/>
  <c r="DD301" i="338"/>
  <c r="CY300" i="338"/>
  <c r="CS266" i="338"/>
  <c r="CA218" i="338"/>
  <c r="CU218" i="338"/>
  <c r="BU218" i="338"/>
  <c r="CY221" i="338"/>
  <c r="CY222" i="338"/>
  <c r="CX217" i="338"/>
  <c r="CQ230" i="338"/>
  <c r="AN255" i="338"/>
  <c r="EM96" i="335"/>
  <c r="EM91" i="335"/>
  <c r="EG446" i="338"/>
  <c r="EG445" i="338"/>
  <c r="DP481" i="338"/>
  <c r="DP482" i="338"/>
  <c r="CQ215" i="338"/>
  <c r="CW214" i="338"/>
  <c r="EI87" i="335"/>
  <c r="EI76" i="335"/>
  <c r="DV482" i="338"/>
  <c r="CY260" i="338"/>
  <c r="EA342" i="335"/>
  <c r="BQ255" i="338"/>
  <c r="BO300" i="338"/>
  <c r="DY609" i="338"/>
  <c r="DY612" i="338" s="1"/>
  <c r="DY613" i="338" s="1"/>
  <c r="DY606" i="338"/>
  <c r="DY607" i="338" s="1"/>
  <c r="EL316" i="338"/>
  <c r="EL387" i="335"/>
  <c r="EL283" i="338"/>
  <c r="EN474" i="338"/>
  <c r="CX254" i="338"/>
  <c r="DD332" i="338"/>
  <c r="DD333" i="338" s="1"/>
  <c r="CA272" i="338"/>
  <c r="CF254" i="338"/>
  <c r="CG253" i="338"/>
  <c r="CG765" i="338" s="1"/>
  <c r="CQ254" i="338"/>
  <c r="CM272" i="338"/>
  <c r="DA255" i="338"/>
  <c r="DE253" i="338"/>
  <c r="DE765" i="338" s="1"/>
  <c r="DB255" i="338"/>
  <c r="FV87" i="335"/>
  <c r="FV139" i="335"/>
  <c r="DH254" i="338"/>
  <c r="BL255" i="338"/>
  <c r="AP255" i="338"/>
  <c r="EC167" i="338"/>
  <c r="DU91" i="335"/>
  <c r="DU96" i="335"/>
  <c r="DU89" i="335"/>
  <c r="CS260" i="338"/>
  <c r="DD254" i="338"/>
  <c r="EA348" i="335"/>
  <c r="CL254" i="338"/>
  <c r="DN439" i="338"/>
  <c r="EA615" i="338"/>
  <c r="EA616" i="338" s="1"/>
  <c r="CM266" i="338"/>
  <c r="CG266" i="338"/>
  <c r="AO255" i="338"/>
  <c r="BW254" i="338"/>
  <c r="BW255" i="338" s="1"/>
  <c r="CC254" i="338"/>
  <c r="DK266" i="338"/>
  <c r="DE266" i="338"/>
  <c r="DC254" i="338"/>
  <c r="CW255" i="338"/>
  <c r="BY255" i="338"/>
  <c r="CU255" i="338"/>
  <c r="DJ257" i="338"/>
  <c r="DJ254" i="338"/>
  <c r="DB254" i="338"/>
  <c r="CM260" i="338"/>
  <c r="CG260" i="338"/>
  <c r="FA17" i="335"/>
  <c r="FA172" i="338" s="1"/>
  <c r="FA173" i="338" s="1"/>
  <c r="ER173" i="338"/>
  <c r="EN83" i="335"/>
  <c r="ET84" i="335" s="1"/>
  <c r="EN87" i="335"/>
  <c r="ET286" i="335" s="1"/>
  <c r="FY67" i="335"/>
  <c r="ET100" i="338"/>
  <c r="EZ60" i="335"/>
  <c r="FZ60" i="335"/>
  <c r="EU60" i="335"/>
  <c r="EN99" i="338"/>
  <c r="EN68" i="335"/>
  <c r="EN69" i="335"/>
  <c r="EO67" i="335"/>
  <c r="EO61" i="335"/>
  <c r="EO100" i="338"/>
  <c r="FY61" i="335"/>
  <c r="ES68" i="335"/>
  <c r="ES69" i="335"/>
  <c r="EO44" i="11"/>
  <c r="EO53" i="11" s="1"/>
  <c r="DK301" i="338"/>
  <c r="BS676" i="338"/>
  <c r="BN380" i="335"/>
  <c r="BO380" i="335" s="1"/>
  <c r="BN43" i="336"/>
  <c r="BO43" i="336" s="1"/>
  <c r="BO40" i="336"/>
  <c r="BO222" i="336" s="1"/>
  <c r="CG251" i="336"/>
  <c r="CG247" i="335"/>
  <c r="EE141" i="335"/>
  <c r="EE609" i="338" s="1"/>
  <c r="EE612" i="338" s="1"/>
  <c r="FW104" i="335"/>
  <c r="EE105" i="335"/>
  <c r="Q67" i="3"/>
  <c r="R67" i="3" s="1"/>
  <c r="S67" i="3" s="1"/>
  <c r="P16" i="3"/>
  <c r="AT32" i="3"/>
  <c r="AU84" i="3"/>
  <c r="BS125" i="11"/>
  <c r="EL303" i="335"/>
  <c r="EK278" i="335"/>
  <c r="EK364" i="335"/>
  <c r="EM364" i="335"/>
  <c r="DV141" i="335"/>
  <c r="DZ367" i="335" s="1"/>
  <c r="FV104" i="335"/>
  <c r="DV105" i="335"/>
  <c r="DW104" i="335"/>
  <c r="BT173" i="338"/>
  <c r="BN173" i="338"/>
  <c r="AI29" i="3"/>
  <c r="BI97" i="3"/>
  <c r="X97" i="3"/>
  <c r="Y97" i="3" s="1"/>
  <c r="W43" i="3"/>
  <c r="BX522" i="338"/>
  <c r="CA105" i="335"/>
  <c r="BZ52" i="11"/>
  <c r="CF436" i="338"/>
  <c r="CK173" i="338"/>
  <c r="CE173" i="338"/>
  <c r="AA121" i="11"/>
  <c r="AG125" i="11" s="1"/>
  <c r="AG95" i="11"/>
  <c r="AA361" i="335"/>
  <c r="AA360" i="335" s="1"/>
  <c r="G45" i="3"/>
  <c r="G49" i="3" s="1"/>
  <c r="DA84" i="336"/>
  <c r="CX436" i="335"/>
  <c r="EF119" i="336"/>
  <c r="DY265" i="338"/>
  <c r="DV259" i="338"/>
  <c r="AC67" i="3"/>
  <c r="AB16" i="3"/>
  <c r="AN36" i="3"/>
  <c r="AN41" i="3" s="1"/>
  <c r="AN95" i="3"/>
  <c r="AO90" i="3"/>
  <c r="DQ359" i="335"/>
  <c r="DQ80" i="11"/>
  <c r="DQ84" i="11" s="1"/>
  <c r="DD51" i="3"/>
  <c r="DE51" i="3" s="1"/>
  <c r="DE25" i="3"/>
  <c r="AW124" i="11"/>
  <c r="DI337" i="335"/>
  <c r="DI329" i="335"/>
  <c r="DI331" i="335"/>
  <c r="DI431" i="338"/>
  <c r="DI157" i="335"/>
  <c r="DI348" i="335"/>
  <c r="BQ54" i="335"/>
  <c r="BN53" i="335"/>
  <c r="BN54" i="335"/>
  <c r="BT53" i="335"/>
  <c r="AH148" i="336"/>
  <c r="AJ73" i="3"/>
  <c r="CI479" i="338"/>
  <c r="CI478" i="338"/>
  <c r="CC329" i="335"/>
  <c r="CC148" i="335"/>
  <c r="CC327" i="338"/>
  <c r="CC338" i="335"/>
  <c r="CC49" i="11"/>
  <c r="CC99" i="335"/>
  <c r="CC102" i="336"/>
  <c r="CC385" i="335" s="1"/>
  <c r="CC348" i="335"/>
  <c r="CC151" i="335"/>
  <c r="CC343" i="335"/>
  <c r="CC15" i="11"/>
  <c r="CC38" i="11" s="1"/>
  <c r="CC342" i="335"/>
  <c r="CC337" i="335"/>
  <c r="CC341" i="335"/>
  <c r="CC331" i="335"/>
  <c r="CC313" i="338"/>
  <c r="CC93" i="335"/>
  <c r="CC347" i="335"/>
  <c r="CC346" i="335"/>
  <c r="CC339" i="335"/>
  <c r="CC315" i="335"/>
  <c r="CC325" i="338"/>
  <c r="CC345" i="335"/>
  <c r="CC143" i="335"/>
  <c r="CC431" i="338"/>
  <c r="CC154" i="335"/>
  <c r="CC114" i="338"/>
  <c r="CC160" i="338" s="1"/>
  <c r="CC336" i="335"/>
  <c r="CC163" i="336"/>
  <c r="CC330" i="335"/>
  <c r="DV452" i="338"/>
  <c r="DV257" i="338"/>
  <c r="EB173" i="338"/>
  <c r="DY257" i="338"/>
  <c r="DV265" i="338"/>
  <c r="AJ384" i="335"/>
  <c r="DN246" i="338"/>
  <c r="DO246" i="338"/>
  <c r="EU122" i="335"/>
  <c r="EU124" i="335" s="1"/>
  <c r="DY271" i="338"/>
  <c r="EH242" i="338"/>
  <c r="BU731" i="338"/>
  <c r="CA732" i="338" s="1"/>
  <c r="AH16" i="3"/>
  <c r="AI67" i="3"/>
  <c r="BG92" i="3"/>
  <c r="BF95" i="3"/>
  <c r="BF38" i="3"/>
  <c r="BF41" i="3"/>
  <c r="AH80" i="11"/>
  <c r="AH359" i="335"/>
  <c r="AH121" i="11"/>
  <c r="AH125" i="11"/>
  <c r="BU75" i="3"/>
  <c r="BI30" i="336"/>
  <c r="BH35" i="336"/>
  <c r="BH43" i="336" s="1"/>
  <c r="BI43" i="336" s="1"/>
  <c r="BN154" i="335"/>
  <c r="BN337" i="335"/>
  <c r="BN342" i="335"/>
  <c r="BN114" i="338"/>
  <c r="BN160" i="338" s="1"/>
  <c r="BT290" i="335"/>
  <c r="BN329" i="335"/>
  <c r="BN345" i="335"/>
  <c r="AU125" i="11"/>
  <c r="BA125" i="11"/>
  <c r="BN39" i="3"/>
  <c r="AI14" i="3"/>
  <c r="AI147" i="336"/>
  <c r="AI148" i="336" s="1"/>
  <c r="AJ65" i="3"/>
  <c r="W95" i="3"/>
  <c r="X92" i="3"/>
  <c r="W38" i="3"/>
  <c r="W41" i="3"/>
  <c r="CI52" i="11"/>
  <c r="CI16" i="338" s="1"/>
  <c r="CI436" i="338"/>
  <c r="CI437" i="338"/>
  <c r="DV52" i="11"/>
  <c r="EH76" i="3"/>
  <c r="EN77" i="3" s="1"/>
  <c r="EI64" i="3"/>
  <c r="EI76" i="3" s="1"/>
  <c r="EO36" i="335"/>
  <c r="CU135" i="336"/>
  <c r="CU137" i="336"/>
  <c r="I51" i="3"/>
  <c r="I45" i="3"/>
  <c r="I49" i="3" s="1"/>
  <c r="AV97" i="3"/>
  <c r="DK243" i="335"/>
  <c r="DK245" i="335" s="1"/>
  <c r="CD632" i="338"/>
  <c r="BF32" i="3"/>
  <c r="BE33" i="3"/>
  <c r="EK167" i="336"/>
  <c r="CR321" i="335"/>
  <c r="CR296" i="335"/>
  <c r="CU321" i="335"/>
  <c r="CU367" i="335"/>
  <c r="CU366" i="335"/>
  <c r="CX168" i="335"/>
  <c r="CX296" i="335"/>
  <c r="CR316" i="338"/>
  <c r="CR366" i="335"/>
  <c r="CR367" i="335"/>
  <c r="AO67" i="3"/>
  <c r="AN16" i="3"/>
  <c r="AN76" i="3"/>
  <c r="AH85" i="3"/>
  <c r="AH32" i="3"/>
  <c r="AH33" i="3" s="1"/>
  <c r="AI84" i="3"/>
  <c r="EH552" i="338"/>
  <c r="BO40" i="338"/>
  <c r="BU39" i="338" s="1"/>
  <c r="BU123" i="11"/>
  <c r="BU54" i="338" s="1"/>
  <c r="BO123" i="11"/>
  <c r="AB85" i="3"/>
  <c r="AB32" i="3"/>
  <c r="AB33" i="3" s="1"/>
  <c r="AC84" i="3"/>
  <c r="H380" i="335"/>
  <c r="H224" i="336"/>
  <c r="H222" i="336"/>
  <c r="H43" i="336"/>
  <c r="CV366" i="335"/>
  <c r="CV321" i="335"/>
  <c r="FQ167" i="335"/>
  <c r="DA366" i="335"/>
  <c r="CX366" i="335"/>
  <c r="CX367" i="335"/>
  <c r="CY367" i="335" s="1"/>
  <c r="CV168" i="335"/>
  <c r="DA367" i="335"/>
  <c r="CW366" i="335"/>
  <c r="CV103" i="336"/>
  <c r="CV413" i="338" s="1"/>
  <c r="CV296" i="335"/>
  <c r="DB296" i="335"/>
  <c r="CW321" i="335"/>
  <c r="DB168" i="335"/>
  <c r="CV367" i="335"/>
  <c r="CW367" i="335"/>
  <c r="DZ242" i="338"/>
  <c r="EA242" i="338"/>
  <c r="BN52" i="11"/>
  <c r="BN16" i="338" s="1"/>
  <c r="BT52" i="11"/>
  <c r="BT16" i="338" s="1"/>
  <c r="AJ74" i="3"/>
  <c r="AI23" i="3"/>
  <c r="AV81" i="3"/>
  <c r="AU29" i="3"/>
  <c r="AI43" i="3"/>
  <c r="AJ97" i="3"/>
  <c r="DD76" i="3"/>
  <c r="DE66" i="3"/>
  <c r="DE76" i="3" s="1"/>
  <c r="AI24" i="3"/>
  <c r="AJ75" i="3"/>
  <c r="CV316" i="338"/>
  <c r="CI53" i="335"/>
  <c r="AS125" i="11"/>
  <c r="AY125" i="11"/>
  <c r="O45" i="3"/>
  <c r="DA179" i="335"/>
  <c r="CF478" i="338"/>
  <c r="CF479" i="338"/>
  <c r="CF521" i="338" s="1"/>
  <c r="DV481" i="338"/>
  <c r="EB479" i="338"/>
  <c r="EB478" i="338"/>
  <c r="EM162" i="336"/>
  <c r="EN43" i="11"/>
  <c r="EN16" i="335"/>
  <c r="EN303" i="335"/>
  <c r="EN52" i="335"/>
  <c r="EK169" i="336"/>
  <c r="EN278" i="335"/>
  <c r="EN15" i="335"/>
  <c r="EU18" i="335"/>
  <c r="DZ103" i="336"/>
  <c r="DZ413" i="338" s="1"/>
  <c r="DZ316" i="338"/>
  <c r="DZ317" i="338" s="1"/>
  <c r="DZ609" i="338"/>
  <c r="DZ317" i="335"/>
  <c r="DZ292" i="335"/>
  <c r="EF292" i="335"/>
  <c r="CV176" i="335"/>
  <c r="CW180" i="335"/>
  <c r="FQ180" i="335"/>
  <c r="CE54" i="335"/>
  <c r="CE53" i="335"/>
  <c r="CK479" i="338"/>
  <c r="CK478" i="338"/>
  <c r="AA127" i="11"/>
  <c r="AA123" i="11"/>
  <c r="J51" i="3"/>
  <c r="J45" i="3"/>
  <c r="J49" i="3" s="1"/>
  <c r="AV92" i="3"/>
  <c r="AU38" i="3"/>
  <c r="BE612" i="338"/>
  <c r="DV271" i="338"/>
  <c r="EI241" i="338"/>
  <c r="EI240" i="338" s="1"/>
  <c r="DI656" i="338"/>
  <c r="EG630" i="338"/>
  <c r="EG676" i="338" s="1"/>
  <c r="DZ81" i="335"/>
  <c r="DZ80" i="335"/>
  <c r="CG11" i="335"/>
  <c r="BB162" i="338"/>
  <c r="CV76" i="3"/>
  <c r="CY67" i="3"/>
  <c r="EC79" i="335"/>
  <c r="EC80" i="335" s="1"/>
  <c r="AT127" i="11"/>
  <c r="AT123" i="11"/>
  <c r="AZ123" i="11"/>
  <c r="AT384" i="335"/>
  <c r="AU63" i="3"/>
  <c r="AT12" i="3"/>
  <c r="AU70" i="3"/>
  <c r="AT19" i="3"/>
  <c r="BF22" i="3"/>
  <c r="BG73" i="3"/>
  <c r="AT144" i="336"/>
  <c r="AT382" i="335"/>
  <c r="AT85" i="3"/>
  <c r="AT31" i="3"/>
  <c r="AU83" i="3"/>
  <c r="EA81" i="335"/>
  <c r="AG127" i="11"/>
  <c r="AG123" i="11"/>
  <c r="AM123" i="11"/>
  <c r="AZ19" i="3"/>
  <c r="BA70" i="3"/>
  <c r="H373" i="335"/>
  <c r="H87" i="3"/>
  <c r="CY35" i="336"/>
  <c r="CX43" i="336"/>
  <c r="CY43" i="336" s="1"/>
  <c r="AS25" i="3"/>
  <c r="AS51" i="3" s="1"/>
  <c r="BG70" i="3"/>
  <c r="BF19" i="3"/>
  <c r="EO13" i="336"/>
  <c r="EA612" i="338"/>
  <c r="EA613" i="338" s="1"/>
  <c r="FF133" i="335"/>
  <c r="FL133" i="335" s="1"/>
  <c r="EL109" i="3"/>
  <c r="EL108" i="3"/>
  <c r="BO731" i="338"/>
  <c r="EG559" i="338"/>
  <c r="EL80" i="335"/>
  <c r="EF81" i="335"/>
  <c r="EF80" i="335"/>
  <c r="EE80" i="335"/>
  <c r="EE81" i="335"/>
  <c r="EG80" i="335"/>
  <c r="EG81" i="335"/>
  <c r="EM80" i="335"/>
  <c r="DV586" i="338"/>
  <c r="DV605" i="338" s="1"/>
  <c r="DW587" i="338"/>
  <c r="DW588" i="338" s="1"/>
  <c r="CM10" i="335"/>
  <c r="CM11" i="335"/>
  <c r="AV110" i="11"/>
  <c r="AV362" i="335"/>
  <c r="AV360" i="335" s="1"/>
  <c r="BB110" i="11"/>
  <c r="AV121" i="11"/>
  <c r="BU25" i="3"/>
  <c r="BT51" i="3"/>
  <c r="BU51" i="3" s="1"/>
  <c r="BG72" i="3"/>
  <c r="BF21" i="3"/>
  <c r="DV45" i="3"/>
  <c r="DW45" i="3" s="1"/>
  <c r="BE25" i="3"/>
  <c r="P24" i="3"/>
  <c r="Q75" i="3"/>
  <c r="W84" i="3"/>
  <c r="V32" i="3"/>
  <c r="AZ80" i="11"/>
  <c r="AZ359" i="335"/>
  <c r="BF80" i="11"/>
  <c r="AU75" i="3"/>
  <c r="AT24" i="3"/>
  <c r="BC30" i="3"/>
  <c r="CQ109" i="3"/>
  <c r="CQ108" i="3"/>
  <c r="DV33" i="338"/>
  <c r="DV36" i="338" s="1"/>
  <c r="DW24" i="338"/>
  <c r="DW33" i="338" s="1"/>
  <c r="DW36" i="338" s="1"/>
  <c r="DW37" i="338" s="1"/>
  <c r="DV51" i="3"/>
  <c r="DW51" i="3" s="1"/>
  <c r="DW25" i="3"/>
  <c r="EB595" i="338"/>
  <c r="EH443" i="338"/>
  <c r="EH442" i="338"/>
  <c r="CS301" i="338"/>
  <c r="CM243" i="335"/>
  <c r="CS10" i="335"/>
  <c r="AZ58" i="11"/>
  <c r="AN359" i="335"/>
  <c r="AT80" i="11"/>
  <c r="AN80" i="11"/>
  <c r="AN121" i="11"/>
  <c r="H225" i="335"/>
  <c r="AY25" i="3"/>
  <c r="BA75" i="3"/>
  <c r="AZ24" i="3"/>
  <c r="CX51" i="3"/>
  <c r="CY51" i="3" s="1"/>
  <c r="CY25" i="3"/>
  <c r="CX45" i="3"/>
  <c r="P9" i="3"/>
  <c r="Q60" i="3"/>
  <c r="P76" i="3"/>
  <c r="P99" i="3"/>
  <c r="BG67" i="3"/>
  <c r="BF76" i="3"/>
  <c r="BF16" i="3"/>
  <c r="AH76" i="3"/>
  <c r="AI72" i="3"/>
  <c r="AH21" i="3"/>
  <c r="AH25" i="3" s="1"/>
  <c r="AY383" i="335"/>
  <c r="AY87" i="3"/>
  <c r="AY105" i="3"/>
  <c r="AY99" i="3"/>
  <c r="AZ32" i="3"/>
  <c r="AZ33" i="3"/>
  <c r="BA84" i="3"/>
  <c r="AZ85" i="3"/>
  <c r="BM67" i="3"/>
  <c r="BL76" i="3"/>
  <c r="BL16" i="3"/>
  <c r="BL25" i="3" s="1"/>
  <c r="AU67" i="3"/>
  <c r="AT16" i="3"/>
  <c r="EM332" i="338"/>
  <c r="R90" i="3"/>
  <c r="S90" i="3" s="1"/>
  <c r="Q36" i="3"/>
  <c r="Q41" i="3" s="1"/>
  <c r="Q95" i="3"/>
  <c r="BZ607" i="338"/>
  <c r="EO135" i="335"/>
  <c r="EO322" i="338"/>
  <c r="EO390" i="335"/>
  <c r="V85" i="3"/>
  <c r="CR51" i="3"/>
  <c r="CS51" i="3"/>
  <c r="CR45" i="3"/>
  <c r="CS25" i="3"/>
  <c r="EC21" i="338"/>
  <c r="EC334" i="338"/>
  <c r="BO741" i="338"/>
  <c r="BO756" i="338"/>
  <c r="BO761" i="338"/>
  <c r="DI254" i="338"/>
  <c r="DK253" i="338"/>
  <c r="DI257" i="338"/>
  <c r="DJ255" i="338"/>
  <c r="DI255" i="338"/>
  <c r="BA67" i="3"/>
  <c r="AZ76" i="3"/>
  <c r="AZ16" i="3"/>
  <c r="BA73" i="3"/>
  <c r="AZ22" i="3"/>
  <c r="AA383" i="335"/>
  <c r="AA99" i="3"/>
  <c r="AA105" i="3"/>
  <c r="AA87" i="3"/>
  <c r="EK80" i="335"/>
  <c r="BT45" i="3"/>
  <c r="BU33" i="3"/>
  <c r="AB19" i="3"/>
  <c r="AC70" i="3"/>
  <c r="AB76" i="3"/>
  <c r="X35" i="336"/>
  <c r="Y35" i="336" s="1"/>
  <c r="AJ359" i="335"/>
  <c r="AJ121" i="11"/>
  <c r="AP80" i="11"/>
  <c r="AJ80" i="11"/>
  <c r="AP121" i="11"/>
  <c r="AP110" i="11"/>
  <c r="AP362" i="335"/>
  <c r="AP360" i="335" s="1"/>
  <c r="CF51" i="3"/>
  <c r="CG51" i="3" s="1"/>
  <c r="CF45" i="3"/>
  <c r="CG25" i="3"/>
  <c r="AU74" i="3"/>
  <c r="AT23" i="3"/>
  <c r="AU60" i="3"/>
  <c r="AT76" i="3"/>
  <c r="AT9" i="3"/>
  <c r="BA74" i="3"/>
  <c r="AZ23" i="3"/>
  <c r="EM283" i="338"/>
  <c r="EM387" i="335"/>
  <c r="EI774" i="338"/>
  <c r="EI766" i="338"/>
  <c r="EO228" i="335"/>
  <c r="FY132" i="335"/>
  <c r="FY133" i="335" s="1"/>
  <c r="EO132" i="335"/>
  <c r="EO133" i="335" s="1"/>
  <c r="FF136" i="335"/>
  <c r="FL136" i="335" s="1"/>
  <c r="AQ43" i="3"/>
  <c r="BY245" i="336"/>
  <c r="BY252" i="336" s="1"/>
  <c r="BZ269" i="336"/>
  <c r="BZ245" i="336" s="1"/>
  <c r="BZ252" i="336" s="1"/>
  <c r="BX244" i="336"/>
  <c r="BX251" i="336" s="1"/>
  <c r="BU266" i="336"/>
  <c r="BU271" i="336" s="1"/>
  <c r="BO246" i="336"/>
  <c r="BO253" i="336" s="1"/>
  <c r="BO285" i="336"/>
  <c r="CD243" i="336"/>
  <c r="CD250" i="336" s="1"/>
  <c r="CE267" i="336"/>
  <c r="CD273" i="336"/>
  <c r="CD262" i="336"/>
  <c r="CY607" i="338"/>
  <c r="DT679" i="338"/>
  <c r="DC665" i="338"/>
  <c r="DC663" i="338" s="1"/>
  <c r="DC635" i="338"/>
  <c r="DC633" i="338" s="1"/>
  <c r="DC647" i="338"/>
  <c r="DC645" i="338" s="1"/>
  <c r="DC644" i="338" s="1"/>
  <c r="DC629" i="338"/>
  <c r="DC627" i="338" s="1"/>
  <c r="DC671" i="338"/>
  <c r="DC669" i="338" s="1"/>
  <c r="DC641" i="338"/>
  <c r="DC639" i="338" s="1"/>
  <c r="DC659" i="338"/>
  <c r="DC657" i="338" s="1"/>
  <c r="DC656" i="338" s="1"/>
  <c r="BQ635" i="338"/>
  <c r="BQ633" i="338" s="1"/>
  <c r="BQ665" i="338"/>
  <c r="BQ663" i="338" s="1"/>
  <c r="BQ662" i="338" s="1"/>
  <c r="BQ671" i="338"/>
  <c r="BQ669" i="338" s="1"/>
  <c r="BQ668" i="338" s="1"/>
  <c r="BQ659" i="338"/>
  <c r="BQ629" i="338"/>
  <c r="BQ627" i="338" s="1"/>
  <c r="DS607" i="338"/>
  <c r="DS615" i="338"/>
  <c r="DS616" i="338" s="1"/>
  <c r="CQ626" i="338"/>
  <c r="CM676" i="338"/>
  <c r="BR626" i="338"/>
  <c r="BC731" i="338"/>
  <c r="AW731" i="338"/>
  <c r="EI243" i="335"/>
  <c r="EI245" i="335" s="1"/>
  <c r="EI301" i="338"/>
  <c r="CY287" i="338"/>
  <c r="CS389" i="335"/>
  <c r="CS287" i="338"/>
  <c r="DW387" i="335"/>
  <c r="EC289" i="338"/>
  <c r="EC243" i="335"/>
  <c r="EC245" i="335" s="1"/>
  <c r="EC301" i="338"/>
  <c r="CX301" i="338"/>
  <c r="CR303" i="338"/>
  <c r="CU303" i="338"/>
  <c r="CG301" i="338"/>
  <c r="CG307" i="338"/>
  <c r="CG306" i="338"/>
  <c r="CG309" i="338"/>
  <c r="CG273" i="336"/>
  <c r="CG304" i="338"/>
  <c r="CG308" i="338"/>
  <c r="CM301" i="338"/>
  <c r="DW243" i="335"/>
  <c r="DW245" i="335" s="1"/>
  <c r="EC283" i="338"/>
  <c r="BZ301" i="338"/>
  <c r="CF301" i="338"/>
  <c r="CM289" i="338"/>
  <c r="CM283" i="338"/>
  <c r="CS289" i="338"/>
  <c r="CM387" i="335"/>
  <c r="CS283" i="338"/>
  <c r="EF259" i="338"/>
  <c r="EL262" i="338"/>
  <c r="EZ274" i="338"/>
  <c r="FF274" i="338" s="1"/>
  <c r="FL274" i="338" s="1"/>
  <c r="EX274" i="338"/>
  <c r="FD274" i="338"/>
  <c r="FJ274" i="338" s="1"/>
  <c r="EY274" i="338"/>
  <c r="FE274" i="338" s="1"/>
  <c r="FK274" i="338" s="1"/>
  <c r="EY268" i="338"/>
  <c r="FE268" i="338" s="1"/>
  <c r="FK268" i="338" s="1"/>
  <c r="EQ254" i="338"/>
  <c r="EO138" i="335"/>
  <c r="EO768" i="338" s="1"/>
  <c r="EO254" i="338"/>
  <c r="DO217" i="338"/>
  <c r="DU221" i="338"/>
  <c r="DH218" i="338"/>
  <c r="DA224" i="338"/>
  <c r="DA218" i="338"/>
  <c r="DS214" i="338"/>
  <c r="DT219" i="338"/>
  <c r="DN217" i="338"/>
  <c r="DM221" i="338"/>
  <c r="DM332" i="338"/>
  <c r="EE332" i="338"/>
  <c r="EE12" i="338"/>
  <c r="EC10" i="338"/>
  <c r="EK88" i="338"/>
  <c r="EO88" i="338"/>
  <c r="EO152" i="338"/>
  <c r="BF185" i="336"/>
  <c r="BF178" i="336"/>
  <c r="BF173" i="336"/>
  <c r="BF187" i="336"/>
  <c r="DD422" i="335"/>
  <c r="EQ79" i="336"/>
  <c r="EQ440" i="335" s="1"/>
  <c r="CX56" i="336"/>
  <c r="CW415" i="335"/>
  <c r="DB417" i="335"/>
  <c r="DC58" i="336"/>
  <c r="EA59" i="336"/>
  <c r="EA420" i="335" s="1"/>
  <c r="CW55" i="336"/>
  <c r="EN75" i="336"/>
  <c r="EN436" i="335" s="1"/>
  <c r="EB58" i="336"/>
  <c r="EZ26" i="336"/>
  <c r="FA26" i="336" s="1"/>
  <c r="EU26" i="336"/>
  <c r="EO81" i="3"/>
  <c r="EO29" i="3"/>
  <c r="BU254" i="336"/>
  <c r="BU240" i="335"/>
  <c r="BU248" i="335"/>
  <c r="BU249" i="335" s="1"/>
  <c r="EI160" i="335"/>
  <c r="FX160" i="335"/>
  <c r="EO180" i="335"/>
  <c r="ES180" i="335"/>
  <c r="ET180" i="335" s="1"/>
  <c r="EM152" i="335"/>
  <c r="EM370" i="335"/>
  <c r="EM319" i="335"/>
  <c r="EM294" i="335"/>
  <c r="EM295" i="335"/>
  <c r="EM155" i="335"/>
  <c r="EM320" i="335"/>
  <c r="EM10" i="335"/>
  <c r="EO10" i="335" s="1"/>
  <c r="DC345" i="335"/>
  <c r="DC347" i="335"/>
  <c r="DC333" i="335"/>
  <c r="DC348" i="335"/>
  <c r="DC114" i="338"/>
  <c r="DC328" i="335"/>
  <c r="DC102" i="336"/>
  <c r="DC385" i="335" s="1"/>
  <c r="DC49" i="11"/>
  <c r="DC154" i="335"/>
  <c r="DC143" i="335"/>
  <c r="DC169" i="335" s="1"/>
  <c r="DC339" i="335"/>
  <c r="DC327" i="338"/>
  <c r="DC15" i="11"/>
  <c r="DC346" i="335"/>
  <c r="DC315" i="335"/>
  <c r="DC157" i="335"/>
  <c r="DC331" i="335"/>
  <c r="DC337" i="335"/>
  <c r="DI92" i="335"/>
  <c r="DC334" i="335"/>
  <c r="DC93" i="335"/>
  <c r="DC431" i="338"/>
  <c r="DI429" i="338" s="1"/>
  <c r="DC342" i="335"/>
  <c r="DC313" i="338"/>
  <c r="DC341" i="335"/>
  <c r="DC330" i="335"/>
  <c r="DC99" i="335"/>
  <c r="DC329" i="335"/>
  <c r="DC336" i="335"/>
  <c r="DC338" i="335"/>
  <c r="DC148" i="335"/>
  <c r="DC343" i="335"/>
  <c r="DC163" i="336"/>
  <c r="DC151" i="335"/>
  <c r="DC325" i="338"/>
  <c r="DI290" i="335"/>
  <c r="EM70" i="3"/>
  <c r="EM377" i="335"/>
  <c r="EM408" i="338"/>
  <c r="EN141" i="335"/>
  <c r="EN609" i="338" s="1"/>
  <c r="EN612" i="338" s="1"/>
  <c r="EN105" i="335"/>
  <c r="EE93" i="11"/>
  <c r="EE97" i="11" s="1"/>
  <c r="EK89" i="11"/>
  <c r="EQ89" i="11" s="1"/>
  <c r="EQ93" i="11" s="1"/>
  <c r="EQ97" i="11" s="1"/>
  <c r="EI74" i="11"/>
  <c r="EI78" i="11" s="1"/>
  <c r="EI82" i="11" s="1"/>
  <c r="EB313" i="338"/>
  <c r="EB154" i="335"/>
  <c r="EB347" i="335"/>
  <c r="DE741" i="338"/>
  <c r="EB343" i="335"/>
  <c r="EB431" i="338"/>
  <c r="EB151" i="335"/>
  <c r="EB315" i="335"/>
  <c r="EB327" i="338"/>
  <c r="DK769" i="338"/>
  <c r="CY748" i="338"/>
  <c r="EI741" i="338"/>
  <c r="CK615" i="338"/>
  <c r="CK616" i="338" s="1"/>
  <c r="EC748" i="338"/>
  <c r="EI729" i="338"/>
  <c r="EL332" i="338"/>
  <c r="EL12" i="338"/>
  <c r="EL17" i="338" s="1"/>
  <c r="EI650" i="338"/>
  <c r="DB615" i="338"/>
  <c r="DB616" i="338" s="1"/>
  <c r="DH621" i="338" s="1"/>
  <c r="DH622" i="338" s="1"/>
  <c r="DH623" i="338" s="1"/>
  <c r="DD578" i="338"/>
  <c r="CR336" i="335"/>
  <c r="BX151" i="335"/>
  <c r="BX330" i="335"/>
  <c r="BX337" i="335"/>
  <c r="BX342" i="335"/>
  <c r="BX343" i="335"/>
  <c r="BX327" i="338"/>
  <c r="BX154" i="335"/>
  <c r="BX325" i="338"/>
  <c r="BX328" i="335"/>
  <c r="BX336" i="335"/>
  <c r="CV53" i="335"/>
  <c r="EB49" i="11"/>
  <c r="EB163" i="336"/>
  <c r="EB102" i="336"/>
  <c r="EC102" i="336" s="1"/>
  <c r="EB148" i="335"/>
  <c r="EB114" i="338"/>
  <c r="EB334" i="335"/>
  <c r="CY52" i="335"/>
  <c r="EB93" i="335"/>
  <c r="CR102" i="336"/>
  <c r="CW54" i="335"/>
  <c r="CR143" i="335"/>
  <c r="BX102" i="336"/>
  <c r="BX385" i="335" s="1"/>
  <c r="BX331" i="335"/>
  <c r="BX339" i="335"/>
  <c r="BX347" i="335"/>
  <c r="BX143" i="335"/>
  <c r="BX144" i="335" s="1"/>
  <c r="EB157" i="335"/>
  <c r="EB336" i="335"/>
  <c r="EB345" i="335"/>
  <c r="EB328" i="335"/>
  <c r="EB346" i="335"/>
  <c r="EB342" i="335"/>
  <c r="EB333" i="335"/>
  <c r="EB15" i="11"/>
  <c r="EB37" i="11" s="1"/>
  <c r="CR343" i="335"/>
  <c r="BX313" i="338"/>
  <c r="BX49" i="11"/>
  <c r="BX114" i="338"/>
  <c r="BX160" i="338" s="1"/>
  <c r="BX329" i="335"/>
  <c r="EB331" i="335"/>
  <c r="EB325" i="338"/>
  <c r="EB143" i="335"/>
  <c r="EB144" i="335" s="1"/>
  <c r="EB99" i="335"/>
  <c r="EB206" i="335" s="1"/>
  <c r="EB207" i="335" s="1"/>
  <c r="EB341" i="335"/>
  <c r="EB348" i="335"/>
  <c r="EE228" i="338"/>
  <c r="EE229" i="338" s="1"/>
  <c r="AQ12" i="3"/>
  <c r="AQ416" i="338" s="1"/>
  <c r="CG87" i="3"/>
  <c r="AJ144" i="336"/>
  <c r="DP99" i="336"/>
  <c r="DO99" i="336"/>
  <c r="M401" i="338"/>
  <c r="AA347" i="335"/>
  <c r="CJ337" i="335"/>
  <c r="CJ336" i="335"/>
  <c r="CJ151" i="335"/>
  <c r="CJ154" i="335"/>
  <c r="CK93" i="335"/>
  <c r="CJ338" i="335"/>
  <c r="CK315" i="335"/>
  <c r="CJ339" i="335"/>
  <c r="CJ163" i="336"/>
  <c r="CJ102" i="336"/>
  <c r="CJ385" i="335" s="1"/>
  <c r="CJ342" i="335"/>
  <c r="CJ157" i="335"/>
  <c r="CJ313" i="338"/>
  <c r="CJ341" i="335"/>
  <c r="CJ15" i="11"/>
  <c r="CJ37" i="11" s="1"/>
  <c r="CJ346" i="335"/>
  <c r="CJ343" i="335"/>
  <c r="CJ49" i="11"/>
  <c r="CJ330" i="335"/>
  <c r="CJ347" i="335"/>
  <c r="CJ431" i="338"/>
  <c r="CJ331" i="335"/>
  <c r="CJ148" i="335"/>
  <c r="AW125" i="11"/>
  <c r="EC77" i="3"/>
  <c r="BX383" i="335"/>
  <c r="BX397" i="335" s="1"/>
  <c r="BX87" i="3"/>
  <c r="BX105" i="3"/>
  <c r="DA60" i="336"/>
  <c r="DA419" i="335" s="1"/>
  <c r="CX419" i="335"/>
  <c r="DQ103" i="336"/>
  <c r="ER91" i="336"/>
  <c r="DI315" i="335"/>
  <c r="CF54" i="335"/>
  <c r="CD93" i="335"/>
  <c r="CD15" i="11"/>
  <c r="BK112" i="336"/>
  <c r="DS242" i="338"/>
  <c r="DP245" i="338"/>
  <c r="EO23" i="338"/>
  <c r="EO334" i="338" s="1"/>
  <c r="DQ241" i="338"/>
  <c r="DQ240" i="338" s="1"/>
  <c r="EK21" i="338"/>
  <c r="EL22" i="338"/>
  <c r="CF52" i="11"/>
  <c r="CU225" i="338"/>
  <c r="DG317" i="338"/>
  <c r="DG92" i="335"/>
  <c r="CD341" i="335"/>
  <c r="CD431" i="338"/>
  <c r="CJ429" i="338" s="1"/>
  <c r="DA329" i="335"/>
  <c r="DA114" i="338"/>
  <c r="DA342" i="335"/>
  <c r="DA157" i="335"/>
  <c r="DA151" i="335"/>
  <c r="DA338" i="335"/>
  <c r="DA49" i="11"/>
  <c r="DA58" i="11" s="1"/>
  <c r="FP15" i="335"/>
  <c r="BN365" i="335"/>
  <c r="CD348" i="335"/>
  <c r="CD330" i="335"/>
  <c r="DA325" i="338"/>
  <c r="DA326" i="338" s="1"/>
  <c r="DA343" i="335"/>
  <c r="DA339" i="335"/>
  <c r="DA327" i="338"/>
  <c r="DA328" i="338" s="1"/>
  <c r="DA431" i="338"/>
  <c r="DA15" i="11"/>
  <c r="DA37" i="11" s="1"/>
  <c r="DB93" i="335"/>
  <c r="CD336" i="335"/>
  <c r="DA143" i="335"/>
  <c r="DA313" i="338"/>
  <c r="DA102" i="336"/>
  <c r="DA385" i="335" s="1"/>
  <c r="DA337" i="335"/>
  <c r="DA92" i="335"/>
  <c r="BM315" i="335"/>
  <c r="BL346" i="335"/>
  <c r="BA339" i="335"/>
  <c r="CX278" i="338"/>
  <c r="CX277" i="338" s="1"/>
  <c r="CL277" i="338"/>
  <c r="CM277" i="338" s="1"/>
  <c r="CM285" i="338" s="1"/>
  <c r="CM278" i="338"/>
  <c r="DP660" i="338"/>
  <c r="BO43" i="11"/>
  <c r="CD337" i="335"/>
  <c r="CD290" i="335"/>
  <c r="CD346" i="335"/>
  <c r="CJ290" i="335"/>
  <c r="CD331" i="335"/>
  <c r="CD329" i="335"/>
  <c r="CD328" i="335"/>
  <c r="CW317" i="338"/>
  <c r="BL339" i="335"/>
  <c r="CD315" i="335"/>
  <c r="CD154" i="335"/>
  <c r="CD49" i="11"/>
  <c r="CD163" i="336"/>
  <c r="CD347" i="335"/>
  <c r="CD327" i="338"/>
  <c r="CD338" i="335"/>
  <c r="DT681" i="338"/>
  <c r="DB116" i="336"/>
  <c r="E366" i="335"/>
  <c r="AT89" i="335"/>
  <c r="BL337" i="335"/>
  <c r="BL341" i="335"/>
  <c r="CJ92" i="335"/>
  <c r="CD148" i="335"/>
  <c r="CD102" i="336"/>
  <c r="CD385" i="335" s="1"/>
  <c r="CD345" i="335"/>
  <c r="E348" i="335"/>
  <c r="BM93" i="335"/>
  <c r="BM101" i="335" s="1"/>
  <c r="EG265" i="338"/>
  <c r="EG73" i="335" s="1"/>
  <c r="EG46" i="11" s="1"/>
  <c r="BL343" i="335"/>
  <c r="BL330" i="335"/>
  <c r="BL102" i="336"/>
  <c r="BL385" i="335" s="1"/>
  <c r="ER68" i="336"/>
  <c r="ER429" i="335" s="1"/>
  <c r="AJ125" i="11"/>
  <c r="CW96" i="338"/>
  <c r="EF61" i="336"/>
  <c r="EF422" i="335" s="1"/>
  <c r="EY108" i="338"/>
  <c r="EY110" i="338" s="1"/>
  <c r="EZ94" i="3"/>
  <c r="FA94" i="3" s="1"/>
  <c r="DU235" i="338"/>
  <c r="DD648" i="338"/>
  <c r="DD584" i="338"/>
  <c r="EN654" i="338"/>
  <c r="EN679" i="338" s="1"/>
  <c r="FW96" i="335"/>
  <c r="EN442" i="335"/>
  <c r="EQ81" i="336"/>
  <c r="EQ442" i="335" s="1"/>
  <c r="EC778" i="338"/>
  <c r="EC783" i="338"/>
  <c r="EK34" i="338"/>
  <c r="EO650" i="338"/>
  <c r="EM339" i="338"/>
  <c r="EN339" i="338"/>
  <c r="EE36" i="338"/>
  <c r="EE337" i="338"/>
  <c r="DN235" i="338"/>
  <c r="CY330" i="338"/>
  <c r="CJ615" i="338"/>
  <c r="CJ616" i="338" s="1"/>
  <c r="CJ621" i="338" s="1"/>
  <c r="CJ622" i="338" s="1"/>
  <c r="CJ623" i="338" s="1"/>
  <c r="BH255" i="338"/>
  <c r="EG271" i="338"/>
  <c r="EG74" i="335" s="1"/>
  <c r="CM781" i="338"/>
  <c r="EG259" i="338"/>
  <c r="CU226" i="338"/>
  <c r="EI334" i="338"/>
  <c r="DA681" i="338"/>
  <c r="DO73" i="335"/>
  <c r="DO288" i="335" s="1"/>
  <c r="EF24" i="338"/>
  <c r="EF11" i="338"/>
  <c r="EG86" i="338"/>
  <c r="EH150" i="338"/>
  <c r="DP665" i="338"/>
  <c r="DP641" i="338"/>
  <c r="DP639" i="338" s="1"/>
  <c r="DP260" i="338"/>
  <c r="DD642" i="338"/>
  <c r="DD679" i="338" s="1"/>
  <c r="DD572" i="338"/>
  <c r="AJ382" i="335"/>
  <c r="AJ31" i="3"/>
  <c r="AK31" i="3"/>
  <c r="AK418" i="338" s="1"/>
  <c r="AK162" i="338"/>
  <c r="BC162" i="338"/>
  <c r="AA328" i="335"/>
  <c r="AG290" i="335"/>
  <c r="AA343" i="335"/>
  <c r="AG92" i="335"/>
  <c r="AG100" i="335" s="1"/>
  <c r="AA92" i="335"/>
  <c r="AA100" i="335" s="1"/>
  <c r="BL53" i="335"/>
  <c r="BM54" i="335"/>
  <c r="CV54" i="335"/>
  <c r="CU53" i="335"/>
  <c r="EG116" i="336"/>
  <c r="EG118" i="336"/>
  <c r="EG119" i="336"/>
  <c r="DE366" i="335"/>
  <c r="DD116" i="336"/>
  <c r="DE116" i="336" s="1"/>
  <c r="BI88" i="335"/>
  <c r="BI286" i="335"/>
  <c r="AS88" i="335"/>
  <c r="AS91" i="335"/>
  <c r="AS365" i="335" s="1"/>
  <c r="AS145" i="336" s="1"/>
  <c r="AW87" i="335"/>
  <c r="AS311" i="335"/>
  <c r="AT311" i="335"/>
  <c r="CY749" i="338"/>
  <c r="CA761" i="338"/>
  <c r="CA748" i="338"/>
  <c r="DA148" i="335"/>
  <c r="DA334" i="335"/>
  <c r="DA331" i="335"/>
  <c r="DA336" i="335"/>
  <c r="DA347" i="335"/>
  <c r="DA346" i="335"/>
  <c r="DA330" i="335"/>
  <c r="DB315" i="335"/>
  <c r="P212" i="335"/>
  <c r="P213" i="335" s="1"/>
  <c r="P323" i="335"/>
  <c r="CU477" i="338"/>
  <c r="CU482" i="338"/>
  <c r="DA478" i="338"/>
  <c r="CV484" i="338"/>
  <c r="CU481" i="338"/>
  <c r="GD479" i="338" s="1"/>
  <c r="CD92" i="335"/>
  <c r="CD143" i="335"/>
  <c r="CD343" i="335"/>
  <c r="CD339" i="335"/>
  <c r="CD151" i="335"/>
  <c r="CD313" i="338"/>
  <c r="CD99" i="335"/>
  <c r="CD342" i="335"/>
  <c r="BL148" i="335"/>
  <c r="BL338" i="335"/>
  <c r="BL15" i="11"/>
  <c r="BL37" i="11" s="1"/>
  <c r="BL347" i="335"/>
  <c r="BL345" i="335"/>
  <c r="BL154" i="335"/>
  <c r="BL328" i="335"/>
  <c r="BL290" i="335"/>
  <c r="BL92" i="335"/>
  <c r="BL100" i="335" s="1"/>
  <c r="BM365" i="335"/>
  <c r="BL93" i="335"/>
  <c r="BL101" i="335" s="1"/>
  <c r="BL114" i="338"/>
  <c r="BL342" i="335"/>
  <c r="BL99" i="335"/>
  <c r="BL206" i="335" s="1"/>
  <c r="BL207" i="335" s="1"/>
  <c r="BL329" i="335"/>
  <c r="BL143" i="335"/>
  <c r="CI339" i="335"/>
  <c r="BB315" i="335"/>
  <c r="BA329" i="335"/>
  <c r="BA15" i="11"/>
  <c r="BA37" i="11" s="1"/>
  <c r="CM52" i="335"/>
  <c r="BA343" i="335"/>
  <c r="CJ52" i="11"/>
  <c r="CJ16" i="338" s="1"/>
  <c r="BE169" i="335"/>
  <c r="DV348" i="335"/>
  <c r="CC53" i="335"/>
  <c r="DE724" i="338"/>
  <c r="AA15" i="11"/>
  <c r="AA14" i="11" s="1"/>
  <c r="AA346" i="335"/>
  <c r="AA345" i="335"/>
  <c r="EC99" i="338"/>
  <c r="M315" i="338"/>
  <c r="AA365" i="335"/>
  <c r="AA112" i="336" s="1"/>
  <c r="AA342" i="335"/>
  <c r="DW108" i="338"/>
  <c r="M316" i="338"/>
  <c r="CJ484" i="338"/>
  <c r="CC119" i="336"/>
  <c r="AS286" i="335"/>
  <c r="CG52" i="335"/>
  <c r="CG54" i="335" s="1"/>
  <c r="CY724" i="338"/>
  <c r="BO52" i="335"/>
  <c r="BO53" i="335" s="1"/>
  <c r="DC118" i="336"/>
  <c r="AA315" i="335"/>
  <c r="AA336" i="335"/>
  <c r="AA151" i="335"/>
  <c r="BS92" i="335"/>
  <c r="BS100" i="335" s="1"/>
  <c r="AA99" i="335"/>
  <c r="CL53" i="335"/>
  <c r="CP479" i="338"/>
  <c r="CP481" i="338" s="1"/>
  <c r="CC118" i="336"/>
  <c r="CG167" i="336"/>
  <c r="DC116" i="336"/>
  <c r="AA114" i="338"/>
  <c r="AA160" i="338" s="1"/>
  <c r="AA154" i="335"/>
  <c r="AA148" i="335"/>
  <c r="AA290" i="335"/>
  <c r="AA143" i="335"/>
  <c r="AA102" i="336"/>
  <c r="AA385" i="335" s="1"/>
  <c r="AA93" i="335"/>
  <c r="AA101" i="335" s="1"/>
  <c r="DA479" i="338"/>
  <c r="CM756" i="338"/>
  <c r="DV342" i="335"/>
  <c r="DV157" i="335"/>
  <c r="BR92" i="335"/>
  <c r="BR100" i="335" s="1"/>
  <c r="L350" i="335"/>
  <c r="EH257" i="338"/>
  <c r="DN621" i="338"/>
  <c r="DN622" i="338" s="1"/>
  <c r="DN623" i="338" s="1"/>
  <c r="BL173" i="338"/>
  <c r="BL268" i="338"/>
  <c r="BL274" i="338"/>
  <c r="BE58" i="11"/>
  <c r="BI49" i="11"/>
  <c r="BI58" i="11" s="1"/>
  <c r="CD522" i="338"/>
  <c r="CE522" i="338"/>
  <c r="EH162" i="336"/>
  <c r="EI105" i="335"/>
  <c r="BH182" i="335"/>
  <c r="EG450" i="338"/>
  <c r="EH335" i="338"/>
  <c r="CM278" i="335"/>
  <c r="EH336" i="338"/>
  <c r="BK58" i="11"/>
  <c r="CM15" i="335"/>
  <c r="CG15" i="335"/>
  <c r="CF522" i="338"/>
  <c r="BL262" i="338"/>
  <c r="M369" i="335"/>
  <c r="M394" i="335"/>
  <c r="M314" i="338"/>
  <c r="M393" i="335"/>
  <c r="BU105" i="335"/>
  <c r="DQ168" i="335"/>
  <c r="CG105" i="335"/>
  <c r="BH350" i="335"/>
  <c r="CS748" i="338"/>
  <c r="CS761" i="338"/>
  <c r="EH116" i="336"/>
  <c r="EI116" i="336" s="1"/>
  <c r="CM763" i="338"/>
  <c r="CS755" i="338"/>
  <c r="EC609" i="338"/>
  <c r="EC615" i="338" s="1"/>
  <c r="EC616" i="338" s="1"/>
  <c r="CV329" i="335"/>
  <c r="DQ296" i="335"/>
  <c r="CG278" i="335"/>
  <c r="BH212" i="335"/>
  <c r="BH215" i="335" s="1"/>
  <c r="DB119" i="336"/>
  <c r="CM755" i="338"/>
  <c r="BL257" i="338"/>
  <c r="DH93" i="335"/>
  <c r="DH290" i="335"/>
  <c r="DH315" i="335"/>
  <c r="BU43" i="11"/>
  <c r="CM57" i="338"/>
  <c r="BC612" i="338"/>
  <c r="BC613" i="338" s="1"/>
  <c r="CY741" i="338"/>
  <c r="EI755" i="338"/>
  <c r="EI763" i="338"/>
  <c r="DK173" i="338"/>
  <c r="DK240" i="338"/>
  <c r="CY229" i="338"/>
  <c r="EG257" i="338"/>
  <c r="EH265" i="338"/>
  <c r="EH73" i="335" s="1"/>
  <c r="EH271" i="338"/>
  <c r="EH74" i="335" s="1"/>
  <c r="FT53" i="335"/>
  <c r="CP92" i="335"/>
  <c r="BT54" i="335"/>
  <c r="EG53" i="335"/>
  <c r="EC57" i="335"/>
  <c r="P182" i="335"/>
  <c r="EH259" i="338"/>
  <c r="EH72" i="335" s="1"/>
  <c r="EH45" i="11" s="1"/>
  <c r="FV40" i="335"/>
  <c r="BL54" i="335"/>
  <c r="EC21" i="335"/>
  <c r="EC108" i="335"/>
  <c r="DV341" i="335"/>
  <c r="CW53" i="335"/>
  <c r="CQ54" i="335"/>
  <c r="CQ53" i="335"/>
  <c r="DV347" i="335"/>
  <c r="DV49" i="11"/>
  <c r="EB58" i="11" s="1"/>
  <c r="DV336" i="335"/>
  <c r="DV163" i="336"/>
  <c r="BO278" i="335"/>
  <c r="ER39" i="335"/>
  <c r="EL279" i="335"/>
  <c r="CV481" i="338"/>
  <c r="CV482" i="338"/>
  <c r="CU52" i="11"/>
  <c r="DA52" i="11"/>
  <c r="EB290" i="335"/>
  <c r="EB92" i="335"/>
  <c r="DV333" i="335"/>
  <c r="R368" i="335"/>
  <c r="CA52" i="335"/>
  <c r="BW54" i="335"/>
  <c r="BX54" i="335"/>
  <c r="BS290" i="335"/>
  <c r="CI268" i="338"/>
  <c r="CI262" i="338"/>
  <c r="CD173" i="338"/>
  <c r="CI257" i="338"/>
  <c r="BO9" i="338"/>
  <c r="BO12" i="338" s="1"/>
  <c r="BU15" i="335"/>
  <c r="BO105" i="335"/>
  <c r="BO15" i="335"/>
  <c r="BU278" i="335"/>
  <c r="DV431" i="338"/>
  <c r="EB430" i="338" s="1"/>
  <c r="DV154" i="335"/>
  <c r="DV345" i="335"/>
  <c r="CI274" i="338"/>
  <c r="FE132" i="335"/>
  <c r="FE12" i="336" s="1"/>
  <c r="FE100" i="338"/>
  <c r="FE99" i="338" s="1"/>
  <c r="CV336" i="335"/>
  <c r="CV154" i="335"/>
  <c r="CV151" i="335"/>
  <c r="CV347" i="335"/>
  <c r="CV337" i="335"/>
  <c r="CV15" i="11"/>
  <c r="CV37" i="11" s="1"/>
  <c r="DS481" i="338"/>
  <c r="CW479" i="338"/>
  <c r="CW478" i="338"/>
  <c r="CQ52" i="11"/>
  <c r="CQ16" i="338" s="1"/>
  <c r="CC478" i="338"/>
  <c r="CC479" i="338"/>
  <c r="CS741" i="338"/>
  <c r="CM748" i="338"/>
  <c r="CM761" i="338"/>
  <c r="EI21" i="338"/>
  <c r="CI92" i="335"/>
  <c r="CI99" i="335"/>
  <c r="CI348" i="335"/>
  <c r="CI49" i="11"/>
  <c r="CI58" i="11" s="1"/>
  <c r="CI313" i="338"/>
  <c r="CI331" i="335"/>
  <c r="CI143" i="335"/>
  <c r="CI144" i="335" s="1"/>
  <c r="CI336" i="335"/>
  <c r="CI102" i="336"/>
  <c r="CI385" i="335" s="1"/>
  <c r="EF93" i="11"/>
  <c r="EF97" i="11" s="1"/>
  <c r="CU365" i="335"/>
  <c r="BK113" i="336"/>
  <c r="BF144" i="335"/>
  <c r="R170" i="335"/>
  <c r="R212" i="335"/>
  <c r="CU173" i="338"/>
  <c r="BI143" i="335"/>
  <c r="BI144" i="335" s="1"/>
  <c r="BI388" i="338" s="1"/>
  <c r="CV365" i="335"/>
  <c r="CV369" i="335" s="1"/>
  <c r="CI290" i="335"/>
  <c r="CI154" i="335"/>
  <c r="CI327" i="338"/>
  <c r="CI325" i="338"/>
  <c r="CI326" i="338" s="1"/>
  <c r="CI148" i="335"/>
  <c r="CI347" i="335"/>
  <c r="CI328" i="335"/>
  <c r="CI157" i="335"/>
  <c r="CI346" i="335"/>
  <c r="CI342" i="335"/>
  <c r="CI343" i="335"/>
  <c r="BH392" i="335"/>
  <c r="BK123" i="336"/>
  <c r="R182" i="335"/>
  <c r="R350" i="335"/>
  <c r="BE208" i="335"/>
  <c r="BE209" i="335" s="1"/>
  <c r="CA724" i="338"/>
  <c r="FQ91" i="335"/>
  <c r="DB481" i="338"/>
  <c r="GA428" i="338" s="1"/>
  <c r="CI151" i="335"/>
  <c r="CJ93" i="335"/>
  <c r="CI329" i="335"/>
  <c r="CI114" i="338"/>
  <c r="CI160" i="338" s="1"/>
  <c r="CI345" i="335"/>
  <c r="CI330" i="335"/>
  <c r="BH394" i="335"/>
  <c r="BU724" i="338"/>
  <c r="CK169" i="335"/>
  <c r="CK182" i="335" s="1"/>
  <c r="BY53" i="335"/>
  <c r="BS52" i="11"/>
  <c r="BS16" i="338" s="1"/>
  <c r="BS53" i="335"/>
  <c r="BS99" i="335"/>
  <c r="BS315" i="335"/>
  <c r="BS338" i="335"/>
  <c r="BS337" i="335"/>
  <c r="BS114" i="338"/>
  <c r="BS160" i="338" s="1"/>
  <c r="BS341" i="335"/>
  <c r="BS93" i="335"/>
  <c r="BS101" i="335" s="1"/>
  <c r="BS345" i="335"/>
  <c r="BS143" i="335"/>
  <c r="BS15" i="11"/>
  <c r="BS14" i="11" s="1"/>
  <c r="BS26" i="11" s="1"/>
  <c r="BS346" i="335"/>
  <c r="BS339" i="335"/>
  <c r="BS102" i="336"/>
  <c r="BS385" i="335" s="1"/>
  <c r="BS151" i="335"/>
  <c r="BS329" i="335"/>
  <c r="BS330" i="335"/>
  <c r="BS331" i="335"/>
  <c r="BS347" i="335"/>
  <c r="BS342" i="335"/>
  <c r="BS148" i="335"/>
  <c r="BS336" i="335"/>
  <c r="BS348" i="335"/>
  <c r="BT93" i="335"/>
  <c r="BT101" i="335" s="1"/>
  <c r="BS325" i="338"/>
  <c r="BS49" i="11"/>
  <c r="BS154" i="335"/>
  <c r="BS327" i="338"/>
  <c r="BS328" i="335"/>
  <c r="BS163" i="336"/>
  <c r="BS313" i="338"/>
  <c r="BS343" i="335"/>
  <c r="CJ436" i="338"/>
  <c r="CJ437" i="338"/>
  <c r="CJ479" i="338"/>
  <c r="CJ478" i="338"/>
  <c r="CD53" i="335"/>
  <c r="EO27" i="335"/>
  <c r="BY478" i="338"/>
  <c r="BY479" i="338"/>
  <c r="AY342" i="335"/>
  <c r="AY102" i="336"/>
  <c r="AY385" i="335" s="1"/>
  <c r="AY331" i="335"/>
  <c r="AY346" i="335"/>
  <c r="AY343" i="335"/>
  <c r="AY336" i="335"/>
  <c r="AY337" i="335"/>
  <c r="AY148" i="335"/>
  <c r="AY15" i="11"/>
  <c r="AY37" i="11" s="1"/>
  <c r="AY345" i="335"/>
  <c r="AY339" i="335"/>
  <c r="AY329" i="335"/>
  <c r="AY151" i="335"/>
  <c r="AY154" i="335"/>
  <c r="AY313" i="338"/>
  <c r="AY328" i="335"/>
  <c r="AY348" i="335"/>
  <c r="AY330" i="335"/>
  <c r="AY347" i="335"/>
  <c r="AY99" i="335"/>
  <c r="AY206" i="335" s="1"/>
  <c r="AY114" i="338"/>
  <c r="AY143" i="335"/>
  <c r="BE290" i="335"/>
  <c r="BE92" i="335"/>
  <c r="BE100" i="335" s="1"/>
  <c r="BX478" i="338"/>
  <c r="BX479" i="338"/>
  <c r="EO21" i="335"/>
  <c r="EI57" i="335"/>
  <c r="EI21" i="335"/>
  <c r="BR339" i="335"/>
  <c r="BR290" i="335"/>
  <c r="BR148" i="335"/>
  <c r="BR337" i="335"/>
  <c r="BR328" i="335"/>
  <c r="BR49" i="11"/>
  <c r="BR336" i="335"/>
  <c r="BR343" i="335"/>
  <c r="BR348" i="335"/>
  <c r="BR163" i="336"/>
  <c r="BR327" i="338"/>
  <c r="BR151" i="335"/>
  <c r="BR325" i="338"/>
  <c r="BR102" i="336"/>
  <c r="BR385" i="335" s="1"/>
  <c r="BR143" i="335"/>
  <c r="BR313" i="338"/>
  <c r="BR345" i="335"/>
  <c r="BR329" i="335"/>
  <c r="BR15" i="11"/>
  <c r="BR37" i="11" s="1"/>
  <c r="BR346" i="335"/>
  <c r="BR342" i="335"/>
  <c r="BR341" i="335"/>
  <c r="BR330" i="335"/>
  <c r="BR154" i="335"/>
  <c r="BR99" i="335"/>
  <c r="BR206" i="335" s="1"/>
  <c r="BR338" i="335"/>
  <c r="BR347" i="335"/>
  <c r="BR114" i="338"/>
  <c r="BR331" i="335"/>
  <c r="EO130" i="335"/>
  <c r="EE327" i="338"/>
  <c r="ER450" i="338"/>
  <c r="EE341" i="335"/>
  <c r="BH482" i="338"/>
  <c r="BT292" i="336"/>
  <c r="BT291" i="336" s="1"/>
  <c r="CS57" i="338"/>
  <c r="CO482" i="338"/>
  <c r="Y173" i="338"/>
  <c r="CO481" i="338"/>
  <c r="GC479" i="338" s="1"/>
  <c r="CO439" i="338"/>
  <c r="DH482" i="338"/>
  <c r="DH333" i="338"/>
  <c r="DW729" i="338"/>
  <c r="EL78" i="11"/>
  <c r="EL82" i="11" s="1"/>
  <c r="DQ331" i="338"/>
  <c r="CS95" i="338"/>
  <c r="DG482" i="338"/>
  <c r="DQ259" i="338"/>
  <c r="DQ260" i="338" s="1"/>
  <c r="DM242" i="338"/>
  <c r="EM17" i="338"/>
  <c r="DQ729" i="338"/>
  <c r="DO481" i="338"/>
  <c r="EF229" i="338"/>
  <c r="EG173" i="338"/>
  <c r="DJ240" i="338"/>
  <c r="EM8" i="338"/>
  <c r="DN73" i="335"/>
  <c r="DT266" i="338"/>
  <c r="DS325" i="338"/>
  <c r="DS329" i="335"/>
  <c r="DO482" i="338"/>
  <c r="DS334" i="335"/>
  <c r="DG621" i="338"/>
  <c r="DG622" i="338" s="1"/>
  <c r="DG623" i="338" s="1"/>
  <c r="CQ429" i="338"/>
  <c r="DS102" i="336"/>
  <c r="DS385" i="335" s="1"/>
  <c r="DS333" i="335"/>
  <c r="DS49" i="11"/>
  <c r="DP253" i="338"/>
  <c r="DS255" i="338" s="1"/>
  <c r="DU332" i="338"/>
  <c r="EG246" i="338"/>
  <c r="EG13" i="338"/>
  <c r="EG15" i="338" s="1"/>
  <c r="EG452" i="338"/>
  <c r="EM53" i="335"/>
  <c r="EK468" i="338"/>
  <c r="EK467" i="338"/>
  <c r="DM482" i="338"/>
  <c r="ET88" i="335"/>
  <c r="CQ49" i="11"/>
  <c r="CQ346" i="335"/>
  <c r="CQ348" i="335"/>
  <c r="CQ328" i="335"/>
  <c r="CQ143" i="335"/>
  <c r="CQ151" i="335"/>
  <c r="CQ163" i="336"/>
  <c r="CQ347" i="335"/>
  <c r="CQ343" i="335"/>
  <c r="CQ154" i="335"/>
  <c r="CQ342" i="335"/>
  <c r="CQ327" i="338"/>
  <c r="CQ99" i="335"/>
  <c r="CQ345" i="335"/>
  <c r="CQ15" i="11"/>
  <c r="CQ37" i="11" s="1"/>
  <c r="CQ337" i="335"/>
  <c r="CQ338" i="335"/>
  <c r="CQ341" i="335"/>
  <c r="CQ431" i="338"/>
  <c r="CQ330" i="335"/>
  <c r="CQ114" i="338"/>
  <c r="CQ325" i="338"/>
  <c r="CQ148" i="335"/>
  <c r="FJ17" i="335"/>
  <c r="FF19" i="335"/>
  <c r="FJ60" i="335"/>
  <c r="DO74" i="335"/>
  <c r="DO289" i="335" s="1"/>
  <c r="DN481" i="338"/>
  <c r="DK722" i="338"/>
  <c r="BZ609" i="338"/>
  <c r="BI313" i="338"/>
  <c r="DM481" i="338"/>
  <c r="GG479" i="338" s="1"/>
  <c r="DE173" i="338"/>
  <c r="DI482" i="338"/>
  <c r="DN287" i="335"/>
  <c r="DH246" i="338"/>
  <c r="DO72" i="335"/>
  <c r="DO312" i="335" s="1"/>
  <c r="DN260" i="338"/>
  <c r="BE255" i="338"/>
  <c r="DP272" i="338"/>
  <c r="DS341" i="335"/>
  <c r="DS343" i="335"/>
  <c r="DS431" i="338"/>
  <c r="DY429" i="338" s="1"/>
  <c r="DS342" i="335"/>
  <c r="DS157" i="335"/>
  <c r="DS327" i="338"/>
  <c r="DS143" i="335"/>
  <c r="DS169" i="335" s="1"/>
  <c r="DS313" i="338"/>
  <c r="DJ242" i="338"/>
  <c r="DU266" i="338"/>
  <c r="DS154" i="335"/>
  <c r="DS331" i="335"/>
  <c r="DT93" i="335"/>
  <c r="DS336" i="335"/>
  <c r="DS348" i="335"/>
  <c r="DS347" i="335"/>
  <c r="DS99" i="335"/>
  <c r="DS151" i="335"/>
  <c r="DT73" i="335"/>
  <c r="DP243" i="338"/>
  <c r="DJ245" i="338"/>
  <c r="DJ246" i="338" s="1"/>
  <c r="DT315" i="335"/>
  <c r="EC96" i="335"/>
  <c r="L182" i="335"/>
  <c r="DS148" i="335"/>
  <c r="DS345" i="335"/>
  <c r="DS15" i="11"/>
  <c r="DS328" i="335"/>
  <c r="DS163" i="336"/>
  <c r="DS346" i="335"/>
  <c r="BI206" i="335"/>
  <c r="BI207" i="335" s="1"/>
  <c r="L368" i="335"/>
  <c r="L144" i="335"/>
  <c r="L388" i="338" s="1"/>
  <c r="DS114" i="338"/>
  <c r="DK52" i="11"/>
  <c r="AU313" i="338"/>
  <c r="EI88" i="335"/>
  <c r="CP99" i="335"/>
  <c r="CQ315" i="335"/>
  <c r="CP15" i="11"/>
  <c r="CP163" i="336"/>
  <c r="CP157" i="335"/>
  <c r="CP154" i="335"/>
  <c r="CP49" i="11"/>
  <c r="CP143" i="335"/>
  <c r="CP169" i="335" s="1"/>
  <c r="CP328" i="335"/>
  <c r="CP343" i="335"/>
  <c r="CP102" i="336"/>
  <c r="CP385" i="335" s="1"/>
  <c r="CP336" i="335"/>
  <c r="CP329" i="335"/>
  <c r="CP342" i="335"/>
  <c r="CP325" i="338"/>
  <c r="CP339" i="335"/>
  <c r="CP338" i="335"/>
  <c r="CP331" i="335"/>
  <c r="CP347" i="335"/>
  <c r="CP313" i="338"/>
  <c r="CP345" i="335"/>
  <c r="CP346" i="335"/>
  <c r="CP330" i="335"/>
  <c r="CP114" i="338"/>
  <c r="CP160" i="338" s="1"/>
  <c r="CP348" i="335"/>
  <c r="CP431" i="338"/>
  <c r="CP327" i="338"/>
  <c r="CP341" i="335"/>
  <c r="CP151" i="335"/>
  <c r="CQ93" i="335"/>
  <c r="CP148" i="335"/>
  <c r="CP337" i="335"/>
  <c r="EE333" i="335"/>
  <c r="EE348" i="335"/>
  <c r="BG208" i="335"/>
  <c r="BG209" i="335" s="1"/>
  <c r="BG207" i="335"/>
  <c r="EF39" i="338"/>
  <c r="DA93" i="335"/>
  <c r="EN93" i="11"/>
  <c r="EN97" i="11" s="1"/>
  <c r="CX92" i="335"/>
  <c r="P170" i="335"/>
  <c r="EF120" i="11"/>
  <c r="EH93" i="11"/>
  <c r="EH97" i="11" s="1"/>
  <c r="P350" i="335"/>
  <c r="BT206" i="335"/>
  <c r="BT207" i="335" s="1"/>
  <c r="BG144" i="335"/>
  <c r="CY675" i="338"/>
  <c r="CY683" i="338" s="1"/>
  <c r="EA332" i="338"/>
  <c r="BT659" i="338"/>
  <c r="BT657" i="338" s="1"/>
  <c r="BT656" i="338" s="1"/>
  <c r="DZ15" i="11"/>
  <c r="DP638" i="338"/>
  <c r="DZ343" i="335"/>
  <c r="DU73" i="335"/>
  <c r="CU170" i="335"/>
  <c r="DP681" i="338"/>
  <c r="CU173" i="335"/>
  <c r="CU174" i="335" s="1"/>
  <c r="BO125" i="11"/>
  <c r="FR66" i="11"/>
  <c r="FR65" i="11"/>
  <c r="CS53" i="338"/>
  <c r="BN629" i="338"/>
  <c r="BN627" i="338" s="1"/>
  <c r="BN671" i="338"/>
  <c r="BN669" i="338" s="1"/>
  <c r="BN668" i="338" s="1"/>
  <c r="DZ678" i="338"/>
  <c r="DZ687" i="338" s="1"/>
  <c r="DZ675" i="338"/>
  <c r="DP663" i="338"/>
  <c r="DP662" i="338" s="1"/>
  <c r="CC656" i="338"/>
  <c r="CM766" i="338"/>
  <c r="AW35" i="336"/>
  <c r="DT56" i="336"/>
  <c r="DT417" i="335" s="1"/>
  <c r="EF71" i="336"/>
  <c r="EF432" i="335" s="1"/>
  <c r="EK73" i="336"/>
  <c r="BG113" i="336"/>
  <c r="BI99" i="335"/>
  <c r="CK206" i="335"/>
  <c r="CK207" i="335" s="1"/>
  <c r="EI278" i="335"/>
  <c r="EC43" i="11"/>
  <c r="BI331" i="335"/>
  <c r="DZ345" i="335"/>
  <c r="DZ341" i="335"/>
  <c r="EE99" i="335"/>
  <c r="EE325" i="338"/>
  <c r="DJ615" i="338"/>
  <c r="DJ616" i="338" s="1"/>
  <c r="EE163" i="336"/>
  <c r="EE328" i="335"/>
  <c r="EE331" i="335"/>
  <c r="DP266" i="338"/>
  <c r="DP73" i="335"/>
  <c r="DP75" i="335" s="1"/>
  <c r="BH123" i="336"/>
  <c r="BI123" i="336" s="1"/>
  <c r="L316" i="338"/>
  <c r="L315" i="338"/>
  <c r="AU348" i="335"/>
  <c r="BI151" i="335"/>
  <c r="BI345" i="335"/>
  <c r="BI329" i="335"/>
  <c r="BI342" i="335"/>
  <c r="AU154" i="335"/>
  <c r="AU345" i="335"/>
  <c r="BM144" i="335"/>
  <c r="BI338" i="335"/>
  <c r="BI341" i="335"/>
  <c r="BI114" i="338"/>
  <c r="BI160" i="338" s="1"/>
  <c r="BI347" i="335"/>
  <c r="BI154" i="335"/>
  <c r="BI339" i="335"/>
  <c r="BB385" i="335"/>
  <c r="BC385" i="335" s="1"/>
  <c r="BC391" i="338" s="1"/>
  <c r="CI130" i="11"/>
  <c r="DU678" i="338"/>
  <c r="DU687" i="338" s="1"/>
  <c r="CM783" i="338"/>
  <c r="DI626" i="338"/>
  <c r="CX481" i="338"/>
  <c r="GE437" i="338" s="1"/>
  <c r="DT260" i="338"/>
  <c r="CR607" i="338"/>
  <c r="DS333" i="338"/>
  <c r="EF47" i="11"/>
  <c r="BN635" i="338"/>
  <c r="BN633" i="338" s="1"/>
  <c r="DT45" i="11"/>
  <c r="DT54" i="11" s="1"/>
  <c r="DE219" i="338"/>
  <c r="DE220" i="338" s="1"/>
  <c r="BN665" i="338"/>
  <c r="BN663" i="338" s="1"/>
  <c r="CR255" i="338"/>
  <c r="BN659" i="338"/>
  <c r="BN657" i="338"/>
  <c r="BN656" i="338" s="1"/>
  <c r="ES451" i="338"/>
  <c r="EQ229" i="335"/>
  <c r="EQ209" i="336" s="1"/>
  <c r="ER228" i="335"/>
  <c r="ER229" i="335" s="1"/>
  <c r="ER209" i="336" s="1"/>
  <c r="ER78" i="11"/>
  <c r="ER82" i="11" s="1"/>
  <c r="ER119" i="11"/>
  <c r="FQ66" i="11"/>
  <c r="FQ65" i="11"/>
  <c r="FQ64" i="11"/>
  <c r="FQ55" i="11"/>
  <c r="CM54" i="338"/>
  <c r="BF207" i="335"/>
  <c r="BF208" i="335"/>
  <c r="BF209" i="335" s="1"/>
  <c r="BK392" i="335"/>
  <c r="BK145" i="336"/>
  <c r="BK369" i="335"/>
  <c r="DQ609" i="338"/>
  <c r="CU350" i="335"/>
  <c r="BR632" i="338"/>
  <c r="DT629" i="338"/>
  <c r="DT627" i="338" s="1"/>
  <c r="DT659" i="338"/>
  <c r="DT657" i="338" s="1"/>
  <c r="DT656" i="338" s="1"/>
  <c r="DT641" i="338"/>
  <c r="DT639" i="338" s="1"/>
  <c r="DS338" i="335"/>
  <c r="DU656" i="338"/>
  <c r="CP668" i="338"/>
  <c r="CP675" i="338"/>
  <c r="CP683" i="338" s="1"/>
  <c r="CP688" i="338" s="1"/>
  <c r="DU681" i="338"/>
  <c r="EC88" i="335"/>
  <c r="DN665" i="338"/>
  <c r="DN663" i="338"/>
  <c r="DN662" i="338" s="1"/>
  <c r="CX484" i="338"/>
  <c r="BT629" i="338"/>
  <c r="BT627" i="338" s="1"/>
  <c r="EF325" i="338"/>
  <c r="BU722" i="338"/>
  <c r="CM27" i="3"/>
  <c r="AT33" i="3"/>
  <c r="CL85" i="3"/>
  <c r="CM84" i="3"/>
  <c r="CM85" i="3" s="1"/>
  <c r="BO317" i="338"/>
  <c r="BU317" i="338"/>
  <c r="AI169" i="335"/>
  <c r="AI170" i="335" s="1"/>
  <c r="AI144" i="335"/>
  <c r="E350" i="335"/>
  <c r="BM58" i="11"/>
  <c r="EE93" i="335"/>
  <c r="EE334" i="335"/>
  <c r="EE15" i="11"/>
  <c r="EE336" i="335"/>
  <c r="EE431" i="338"/>
  <c r="EK430" i="338" s="1"/>
  <c r="EE315" i="335"/>
  <c r="AZ207" i="335"/>
  <c r="EE154" i="335"/>
  <c r="AS313" i="338"/>
  <c r="AY92" i="335"/>
  <c r="AY100" i="335" s="1"/>
  <c r="AS114" i="338"/>
  <c r="DH143" i="335"/>
  <c r="DH348" i="335"/>
  <c r="DH328" i="335"/>
  <c r="DH331" i="335"/>
  <c r="DH330" i="335"/>
  <c r="DH345" i="335"/>
  <c r="DH148" i="335"/>
  <c r="DH327" i="338"/>
  <c r="DH339" i="335"/>
  <c r="DH313" i="338"/>
  <c r="DH334" i="335"/>
  <c r="DH336" i="335"/>
  <c r="DH157" i="335"/>
  <c r="DH194" i="335"/>
  <c r="DH102" i="336"/>
  <c r="DH385" i="335" s="1"/>
  <c r="DH346" i="335"/>
  <c r="DH431" i="338"/>
  <c r="DH325" i="338"/>
  <c r="DH342" i="335"/>
  <c r="DH347" i="335"/>
  <c r="DH338" i="335"/>
  <c r="DH163" i="336"/>
  <c r="DH151" i="335"/>
  <c r="DH154" i="335"/>
  <c r="DH15" i="11"/>
  <c r="DH114" i="338"/>
  <c r="DH333" i="335"/>
  <c r="DH343" i="335"/>
  <c r="DH337" i="335"/>
  <c r="DH49" i="11"/>
  <c r="DH58" i="11" s="1"/>
  <c r="DH341" i="335"/>
  <c r="DH329" i="335"/>
  <c r="DH99" i="335"/>
  <c r="BU734" i="338"/>
  <c r="CI621" i="338"/>
  <c r="CI622" i="338" s="1"/>
  <c r="CI623" i="338" s="1"/>
  <c r="FW15" i="335"/>
  <c r="DI93" i="335"/>
  <c r="BL621" i="338"/>
  <c r="BL622" i="338" s="1"/>
  <c r="BL623" i="338" s="1"/>
  <c r="DH92" i="335"/>
  <c r="EE102" i="336"/>
  <c r="EE385" i="335" s="1"/>
  <c r="EE151" i="335"/>
  <c r="EE148" i="335"/>
  <c r="EE345" i="335"/>
  <c r="EE114" i="338"/>
  <c r="EE342" i="335"/>
  <c r="EE329" i="335"/>
  <c r="CA722" i="338"/>
  <c r="CD621" i="338"/>
  <c r="CD622" i="338" s="1"/>
  <c r="CD623" i="338" s="1"/>
  <c r="EE49" i="11"/>
  <c r="EE157" i="335"/>
  <c r="EE346" i="335"/>
  <c r="EE313" i="338"/>
  <c r="DM260" i="338"/>
  <c r="CX330" i="335"/>
  <c r="CX15" i="11"/>
  <c r="CX346" i="335"/>
  <c r="CX336" i="335"/>
  <c r="CX343" i="335"/>
  <c r="CX328" i="335"/>
  <c r="CX327" i="338"/>
  <c r="CX329" i="335"/>
  <c r="CX143" i="335"/>
  <c r="CX151" i="335"/>
  <c r="CX342" i="335"/>
  <c r="CX102" i="336"/>
  <c r="CX345" i="335"/>
  <c r="CX49" i="11"/>
  <c r="CX114" i="338"/>
  <c r="CX348" i="335"/>
  <c r="CX339" i="335"/>
  <c r="CX347" i="335"/>
  <c r="CX341" i="335"/>
  <c r="CX337" i="335"/>
  <c r="CX325" i="338"/>
  <c r="CX148" i="335"/>
  <c r="CX154" i="335"/>
  <c r="CO675" i="338"/>
  <c r="CO683" i="338" s="1"/>
  <c r="DT635" i="338"/>
  <c r="DT633" i="338" s="1"/>
  <c r="DT671" i="338"/>
  <c r="DT669" i="338" s="1"/>
  <c r="DT668" i="338" s="1"/>
  <c r="DP287" i="335"/>
  <c r="DT665" i="338"/>
  <c r="DT663" i="338" s="1"/>
  <c r="DT662" i="338" s="1"/>
  <c r="BM292" i="336"/>
  <c r="BN292" i="336" s="1"/>
  <c r="BN291" i="336" s="1"/>
  <c r="X170" i="335"/>
  <c r="X323" i="335"/>
  <c r="X212" i="335"/>
  <c r="X182" i="335"/>
  <c r="DT337" i="335"/>
  <c r="DU272" i="338"/>
  <c r="AA169" i="335"/>
  <c r="AA350" i="335" s="1"/>
  <c r="AA144" i="335"/>
  <c r="K392" i="335"/>
  <c r="K314" i="338"/>
  <c r="K315" i="338"/>
  <c r="K401" i="338"/>
  <c r="K394" i="335"/>
  <c r="K393" i="335"/>
  <c r="K316" i="338"/>
  <c r="DZ102" i="336"/>
  <c r="DZ385" i="335" s="1"/>
  <c r="DT169" i="335"/>
  <c r="DT144" i="335"/>
  <c r="EF343" i="335"/>
  <c r="DS72" i="335"/>
  <c r="DY260" i="338"/>
  <c r="DZ43" i="335"/>
  <c r="DZ75" i="11" s="1"/>
  <c r="DZ330" i="335"/>
  <c r="EF280" i="335"/>
  <c r="DZ280" i="335"/>
  <c r="AV93" i="335"/>
  <c r="AV101" i="335" s="1"/>
  <c r="DZ143" i="335"/>
  <c r="DZ169" i="335" s="1"/>
  <c r="C169" i="335"/>
  <c r="AU143" i="335"/>
  <c r="ER40" i="338"/>
  <c r="AV290" i="335"/>
  <c r="AV345" i="335"/>
  <c r="AY93" i="335"/>
  <c r="AY101" i="335" s="1"/>
  <c r="AV328" i="335"/>
  <c r="DZ257" i="338"/>
  <c r="DZ259" i="338"/>
  <c r="EA257" i="338"/>
  <c r="EA259" i="338"/>
  <c r="EA72" i="335" s="1"/>
  <c r="DZ265" i="338"/>
  <c r="DZ271" i="338"/>
  <c r="EE365" i="335"/>
  <c r="EE112" i="336" s="1"/>
  <c r="DZ154" i="335"/>
  <c r="DZ313" i="338"/>
  <c r="DZ151" i="335"/>
  <c r="DZ290" i="335"/>
  <c r="DZ333" i="335"/>
  <c r="DZ329" i="335"/>
  <c r="DZ328" i="335"/>
  <c r="DZ348" i="335"/>
  <c r="DZ334" i="335"/>
  <c r="DZ99" i="335"/>
  <c r="EA101" i="335" s="1"/>
  <c r="DZ346" i="335"/>
  <c r="DZ92" i="335"/>
  <c r="DZ163" i="336"/>
  <c r="EA315" i="335"/>
  <c r="EA93" i="335"/>
  <c r="DZ331" i="335"/>
  <c r="DZ49" i="11"/>
  <c r="DZ431" i="338"/>
  <c r="EF430" i="338" s="1"/>
  <c r="DZ148" i="335"/>
  <c r="DZ327" i="338"/>
  <c r="DZ328" i="338" s="1"/>
  <c r="DZ336" i="335"/>
  <c r="DZ157" i="335"/>
  <c r="DZ114" i="338"/>
  <c r="AY365" i="335"/>
  <c r="AY113" i="336" s="1"/>
  <c r="AV336" i="335"/>
  <c r="EA265" i="338"/>
  <c r="EA73" i="335" s="1"/>
  <c r="DZ342" i="335"/>
  <c r="DZ347" i="335"/>
  <c r="EC173" i="338"/>
  <c r="EC84" i="335"/>
  <c r="BX206" i="335"/>
  <c r="BX207" i="335" s="1"/>
  <c r="BX494" i="338"/>
  <c r="BX495" i="338" s="1"/>
  <c r="EI15" i="335"/>
  <c r="AB173" i="338"/>
  <c r="EA144" i="335"/>
  <c r="AZ144" i="335"/>
  <c r="BG123" i="336"/>
  <c r="EX173" i="338"/>
  <c r="AH173" i="338"/>
  <c r="BG369" i="335"/>
  <c r="EY173" i="338"/>
  <c r="BG392" i="335"/>
  <c r="AB15" i="11"/>
  <c r="AB38" i="11" s="1"/>
  <c r="AB102" i="336"/>
  <c r="AB385" i="335" s="1"/>
  <c r="AB92" i="335"/>
  <c r="AB100" i="335" s="1"/>
  <c r="AB336" i="335"/>
  <c r="AB290" i="335"/>
  <c r="AB154" i="335"/>
  <c r="AB328" i="335"/>
  <c r="AB343" i="335"/>
  <c r="AB315" i="335"/>
  <c r="AB114" i="338"/>
  <c r="AB143" i="335"/>
  <c r="BU125" i="11"/>
  <c r="DZ120" i="11"/>
  <c r="DZ305" i="335"/>
  <c r="DZ44" i="335"/>
  <c r="DZ58" i="338"/>
  <c r="DZ95" i="338" s="1"/>
  <c r="EB265" i="338"/>
  <c r="EB271" i="338"/>
  <c r="EE271" i="338"/>
  <c r="EE272" i="338" s="1"/>
  <c r="EB259" i="338"/>
  <c r="EE265" i="338"/>
  <c r="EE259" i="338"/>
  <c r="EB257" i="338"/>
  <c r="EF173" i="338"/>
  <c r="DZ173" i="338"/>
  <c r="EE257" i="338"/>
  <c r="AD382" i="335"/>
  <c r="DP607" i="338"/>
  <c r="DP615" i="338"/>
  <c r="DP616" i="338" s="1"/>
  <c r="S63" i="3"/>
  <c r="S384" i="335" s="1"/>
  <c r="R384" i="335"/>
  <c r="EF43" i="335"/>
  <c r="DZ452" i="338"/>
  <c r="EA54" i="335"/>
  <c r="DZ64" i="335"/>
  <c r="CF430" i="338"/>
  <c r="CF429" i="338"/>
  <c r="BG112" i="336"/>
  <c r="AQ139" i="336"/>
  <c r="AQ140" i="336" s="1"/>
  <c r="BL173" i="336"/>
  <c r="BL175" i="336" s="1"/>
  <c r="AZ365" i="335"/>
  <c r="AZ392" i="335" s="1"/>
  <c r="AU315" i="335"/>
  <c r="AU347" i="335"/>
  <c r="AU114" i="338"/>
  <c r="AU160" i="338" s="1"/>
  <c r="AU290" i="335"/>
  <c r="BA92" i="335"/>
  <c r="BA100" i="335" s="1"/>
  <c r="AU336" i="335"/>
  <c r="AV99" i="335"/>
  <c r="AV206" i="335" s="1"/>
  <c r="AV207" i="335" s="1"/>
  <c r="AV154" i="335"/>
  <c r="AV114" i="338"/>
  <c r="AV160" i="338" s="1"/>
  <c r="AV313" i="338"/>
  <c r="AV148" i="335"/>
  <c r="EO83" i="335"/>
  <c r="EO84" i="335" s="1"/>
  <c r="EQ85" i="335"/>
  <c r="E170" i="335"/>
  <c r="E389" i="338" s="1"/>
  <c r="AU151" i="335"/>
  <c r="AV365" i="335"/>
  <c r="AV394" i="335" s="1"/>
  <c r="AU342" i="335"/>
  <c r="AU328" i="335"/>
  <c r="AU92" i="335"/>
  <c r="AU100" i="335" s="1"/>
  <c r="BA290" i="335"/>
  <c r="BB290" i="335"/>
  <c r="BB92" i="335"/>
  <c r="BB100" i="335" s="1"/>
  <c r="AV15" i="11"/>
  <c r="AV37" i="11" s="1"/>
  <c r="AV102" i="336"/>
  <c r="AV385" i="335" s="1"/>
  <c r="AW385" i="335" s="1"/>
  <c r="AW391" i="338" s="1"/>
  <c r="AV342" i="335"/>
  <c r="AV343" i="335"/>
  <c r="AV92" i="335"/>
  <c r="AV100" i="335" s="1"/>
  <c r="FE62" i="335"/>
  <c r="AM169" i="335"/>
  <c r="AM212" i="335" s="1"/>
  <c r="CK255" i="338"/>
  <c r="E368" i="335"/>
  <c r="BW481" i="338"/>
  <c r="AV315" i="335"/>
  <c r="AU93" i="335"/>
  <c r="AU101" i="335" s="1"/>
  <c r="AU343" i="335"/>
  <c r="AU102" i="336"/>
  <c r="AU385" i="335" s="1"/>
  <c r="AU148" i="335"/>
  <c r="AU15" i="11"/>
  <c r="AU37" i="11" s="1"/>
  <c r="AV346" i="335"/>
  <c r="AV347" i="335"/>
  <c r="AV143" i="335"/>
  <c r="AV169" i="335" s="1"/>
  <c r="AY315" i="335"/>
  <c r="AV348" i="335"/>
  <c r="AV151" i="335"/>
  <c r="DK612" i="338"/>
  <c r="DK613" i="338" s="1"/>
  <c r="EQ39" i="335"/>
  <c r="EW39" i="335" s="1"/>
  <c r="E182" i="335"/>
  <c r="EN286" i="335"/>
  <c r="EQ89" i="335"/>
  <c r="V30" i="3"/>
  <c r="V33" i="3" s="1"/>
  <c r="FD398" i="338"/>
  <c r="FD376" i="335"/>
  <c r="DG681" i="338"/>
  <c r="CF255" i="338"/>
  <c r="DG228" i="335"/>
  <c r="DD229" i="335"/>
  <c r="DD209" i="336" s="1"/>
  <c r="BB208" i="335"/>
  <c r="BB209" i="335" s="1"/>
  <c r="EK450" i="338"/>
  <c r="EK451" i="338"/>
  <c r="DC209" i="336"/>
  <c r="BB144" i="335"/>
  <c r="BB169" i="335"/>
  <c r="BF182" i="335"/>
  <c r="BF184" i="335" s="1"/>
  <c r="BF187" i="335" s="1"/>
  <c r="BF170" i="335"/>
  <c r="BF375" i="335"/>
  <c r="BF350" i="335"/>
  <c r="BF212" i="335"/>
  <c r="CY615" i="338"/>
  <c r="CY616" i="338" s="1"/>
  <c r="DB681" i="338"/>
  <c r="C367" i="335"/>
  <c r="C369" i="335" s="1"/>
  <c r="AD173" i="338"/>
  <c r="AI257" i="338"/>
  <c r="AJ173" i="338"/>
  <c r="K144" i="335"/>
  <c r="K388" i="338" s="1"/>
  <c r="EX108" i="338"/>
  <c r="EX110" i="338" s="1"/>
  <c r="EX99" i="338"/>
  <c r="DQ726" i="338"/>
  <c r="AG144" i="335"/>
  <c r="AG169" i="335"/>
  <c r="EI80" i="335"/>
  <c r="C348" i="335"/>
  <c r="CQ621" i="338"/>
  <c r="CQ622" i="338" s="1"/>
  <c r="CQ623" i="338" s="1"/>
  <c r="AP385" i="335"/>
  <c r="AQ385" i="335" s="1"/>
  <c r="AQ391" i="338" s="1"/>
  <c r="AQ102" i="336"/>
  <c r="EZ89" i="11"/>
  <c r="O218" i="335"/>
  <c r="O220" i="335" s="1"/>
  <c r="O217" i="335"/>
  <c r="O184" i="335" s="1"/>
  <c r="O187" i="335" s="1"/>
  <c r="DY108" i="3"/>
  <c r="DY109" i="3"/>
  <c r="BB36" i="3"/>
  <c r="BB95" i="3"/>
  <c r="BC90" i="3"/>
  <c r="DV143" i="335"/>
  <c r="EG429" i="338"/>
  <c r="CM770" i="338"/>
  <c r="AE9" i="338"/>
  <c r="AK15" i="335"/>
  <c r="AE15" i="335"/>
  <c r="AE278" i="335"/>
  <c r="AK278" i="335"/>
  <c r="AI92" i="335"/>
  <c r="AI100" i="335" s="1"/>
  <c r="AC154" i="335"/>
  <c r="AC336" i="335"/>
  <c r="AC345" i="335"/>
  <c r="AC143" i="335"/>
  <c r="AI290" i="335"/>
  <c r="AC15" i="11"/>
  <c r="AC92" i="335"/>
  <c r="AC100" i="335" s="1"/>
  <c r="AC343" i="335"/>
  <c r="AC290" i="335"/>
  <c r="AC114" i="338"/>
  <c r="AC151" i="335"/>
  <c r="AC148" i="335"/>
  <c r="AC346" i="335"/>
  <c r="AC315" i="335"/>
  <c r="AC93" i="335"/>
  <c r="AC101" i="335" s="1"/>
  <c r="AC347" i="335"/>
  <c r="AC342" i="335"/>
  <c r="AC365" i="335"/>
  <c r="AC348" i="335"/>
  <c r="AC99" i="335"/>
  <c r="AE91" i="335"/>
  <c r="AE114" i="338" s="1"/>
  <c r="AE160" i="338" s="1"/>
  <c r="AC102" i="336"/>
  <c r="AC385" i="335" s="1"/>
  <c r="AC328" i="335"/>
  <c r="AH257" i="338"/>
  <c r="AD257" i="338"/>
  <c r="AI173" i="338"/>
  <c r="AG257" i="338"/>
  <c r="AC257" i="338"/>
  <c r="EO770" i="338"/>
  <c r="EO769" i="338"/>
  <c r="EI105" i="3"/>
  <c r="EI108" i="3" s="1"/>
  <c r="DJ681" i="338"/>
  <c r="EB76" i="336"/>
  <c r="EI660" i="338"/>
  <c r="EO659" i="338"/>
  <c r="EO657" i="338" s="1"/>
  <c r="EO660" i="338"/>
  <c r="EO671" i="338"/>
  <c r="EO669" i="338" s="1"/>
  <c r="EO668" i="338" s="1"/>
  <c r="EO641" i="338"/>
  <c r="EO639" i="338" s="1"/>
  <c r="EO638" i="338" s="1"/>
  <c r="EO665" i="338"/>
  <c r="EO663" i="338" s="1"/>
  <c r="EO662" i="338" s="1"/>
  <c r="EO635" i="338"/>
  <c r="EO633" i="338" s="1"/>
  <c r="EO647" i="338"/>
  <c r="EO645" i="338" s="1"/>
  <c r="EO644" i="338" s="1"/>
  <c r="EI77" i="3"/>
  <c r="DY93" i="335"/>
  <c r="DZ246" i="338"/>
  <c r="EI96" i="335"/>
  <c r="DY151" i="335"/>
  <c r="DY327" i="338"/>
  <c r="DY329" i="335"/>
  <c r="DY148" i="335"/>
  <c r="DY341" i="335"/>
  <c r="DY290" i="335"/>
  <c r="DY431" i="338"/>
  <c r="EE430" i="338" s="1"/>
  <c r="DY348" i="335"/>
  <c r="DY143" i="335"/>
  <c r="DY169" i="335" s="1"/>
  <c r="DY170" i="335" s="1"/>
  <c r="EF247" i="338"/>
  <c r="EC91" i="335"/>
  <c r="DO681" i="338"/>
  <c r="EG334" i="335"/>
  <c r="EG154" i="335"/>
  <c r="EG336" i="335"/>
  <c r="EG431" i="338"/>
  <c r="EG325" i="338"/>
  <c r="EG327" i="338"/>
  <c r="EG328" i="338" s="1"/>
  <c r="FC107" i="336"/>
  <c r="EW376" i="335"/>
  <c r="EW398" i="338"/>
  <c r="EI245" i="338"/>
  <c r="CF609" i="338"/>
  <c r="AZ134" i="336"/>
  <c r="S35" i="336"/>
  <c r="R43" i="336"/>
  <c r="S43" i="336" s="1"/>
  <c r="CA35" i="336"/>
  <c r="BZ43" i="336"/>
  <c r="CA43" i="336" s="1"/>
  <c r="EE69" i="336"/>
  <c r="EE430" i="335" s="1"/>
  <c r="CS103" i="336"/>
  <c r="CR413" i="338"/>
  <c r="CS413" i="338" s="1"/>
  <c r="BU95" i="338"/>
  <c r="BU57" i="338"/>
  <c r="DH662" i="338"/>
  <c r="BU735" i="338"/>
  <c r="BU732" i="338"/>
  <c r="DN629" i="338"/>
  <c r="DN671" i="338"/>
  <c r="DN669" i="338" s="1"/>
  <c r="DN668" i="338" s="1"/>
  <c r="CQ255" i="338"/>
  <c r="DG668" i="338"/>
  <c r="DG675" i="338"/>
  <c r="CY278" i="338"/>
  <c r="DN635" i="338"/>
  <c r="DN633" i="338" s="1"/>
  <c r="DN659" i="338"/>
  <c r="DN657" i="338" s="1"/>
  <c r="DN656" i="338" s="1"/>
  <c r="DA635" i="338"/>
  <c r="DA633" i="338" s="1"/>
  <c r="DA665" i="338"/>
  <c r="DA663" i="338" s="1"/>
  <c r="DA662" i="338" s="1"/>
  <c r="DA671" i="338"/>
  <c r="DA669" i="338" s="1"/>
  <c r="DA659" i="338"/>
  <c r="DN641" i="338"/>
  <c r="DN639" i="338" s="1"/>
  <c r="DS665" i="338"/>
  <c r="DS663" i="338" s="1"/>
  <c r="DS662" i="338" s="1"/>
  <c r="DS629" i="338"/>
  <c r="DS627" i="338" s="1"/>
  <c r="DS671" i="338"/>
  <c r="DS669" i="338" s="1"/>
  <c r="DS668" i="338" s="1"/>
  <c r="DS635" i="338"/>
  <c r="DS633" i="338" s="1"/>
  <c r="DS632" i="338" s="1"/>
  <c r="DS641" i="338"/>
  <c r="DS639" i="338" s="1"/>
  <c r="DS647" i="338"/>
  <c r="DS645" i="338" s="1"/>
  <c r="DS644" i="338" s="1"/>
  <c r="DS659" i="338"/>
  <c r="DS657" i="338" s="1"/>
  <c r="DS656" i="338" s="1"/>
  <c r="BW671" i="338"/>
  <c r="BW669" i="338" s="1"/>
  <c r="BW668" i="338" s="1"/>
  <c r="BW665" i="338"/>
  <c r="BW663" i="338"/>
  <c r="BW662" i="338" s="1"/>
  <c r="BW635" i="338"/>
  <c r="BW633" i="338" s="1"/>
  <c r="BW632" i="338" s="1"/>
  <c r="BW659" i="338"/>
  <c r="BW657" i="338" s="1"/>
  <c r="BW629" i="338"/>
  <c r="BW627" i="338" s="1"/>
  <c r="DP109" i="3"/>
  <c r="DP108" i="3"/>
  <c r="X384" i="335"/>
  <c r="DV106" i="3"/>
  <c r="DV108" i="3"/>
  <c r="DV109" i="3"/>
  <c r="EG110" i="3"/>
  <c r="AJ9" i="3"/>
  <c r="AK9" i="3" s="1"/>
  <c r="DC109" i="3"/>
  <c r="EN332" i="338"/>
  <c r="BM621" i="338"/>
  <c r="BM622" i="338" s="1"/>
  <c r="BM623" i="338" s="1"/>
  <c r="AQ343" i="335"/>
  <c r="AQ148" i="335"/>
  <c r="EF305" i="335"/>
  <c r="EE120" i="11"/>
  <c r="EF44" i="335"/>
  <c r="EE43" i="335"/>
  <c r="EE280" i="335"/>
  <c r="EE330" i="335"/>
  <c r="EE58" i="338"/>
  <c r="EK228" i="338"/>
  <c r="EL41" i="335"/>
  <c r="EK279" i="335"/>
  <c r="EK119" i="11"/>
  <c r="EK40" i="338"/>
  <c r="EK53" i="338" s="1"/>
  <c r="CO255" i="338"/>
  <c r="AK102" i="336"/>
  <c r="AJ385" i="335"/>
  <c r="AK385" i="335" s="1"/>
  <c r="AK391" i="338" s="1"/>
  <c r="AN393" i="335"/>
  <c r="AN113" i="336"/>
  <c r="AN394" i="335"/>
  <c r="AN112" i="336"/>
  <c r="AN145" i="336"/>
  <c r="AN392" i="335"/>
  <c r="DA100" i="335"/>
  <c r="DA206" i="335"/>
  <c r="DA207" i="335" s="1"/>
  <c r="DA494" i="338"/>
  <c r="AJ144" i="335"/>
  <c r="DT79" i="11"/>
  <c r="DT83" i="11" s="1"/>
  <c r="AO112" i="336"/>
  <c r="AO113" i="336"/>
  <c r="AO369" i="335"/>
  <c r="AO394" i="335"/>
  <c r="AO145" i="336"/>
  <c r="AO393" i="335"/>
  <c r="AO392" i="335"/>
  <c r="AN144" i="335"/>
  <c r="AN169" i="335"/>
  <c r="AQ54" i="335"/>
  <c r="E213" i="335"/>
  <c r="E215" i="335"/>
  <c r="AZ170" i="335"/>
  <c r="AZ212" i="335"/>
  <c r="AZ375" i="335"/>
  <c r="AZ182" i="335"/>
  <c r="BF298" i="335"/>
  <c r="FE19" i="335"/>
  <c r="DM235" i="338"/>
  <c r="DK316" i="338"/>
  <c r="CO317" i="338"/>
  <c r="DV283" i="338"/>
  <c r="DQ282" i="338"/>
  <c r="DP283" i="338"/>
  <c r="DP387" i="335"/>
  <c r="DP316" i="338"/>
  <c r="DQ746" i="338"/>
  <c r="DQ300" i="338"/>
  <c r="CV665" i="338"/>
  <c r="CV663" i="338" s="1"/>
  <c r="CV662" i="338" s="1"/>
  <c r="CV635" i="338"/>
  <c r="CV633" i="338" s="1"/>
  <c r="CV632" i="338" s="1"/>
  <c r="CV659" i="338"/>
  <c r="CV657" i="338" s="1"/>
  <c r="CV656" i="338" s="1"/>
  <c r="CV671" i="338"/>
  <c r="CV669" i="338" s="1"/>
  <c r="DU106" i="3"/>
  <c r="DB109" i="3"/>
  <c r="DB108" i="3"/>
  <c r="BN29" i="3"/>
  <c r="BO29" i="3"/>
  <c r="BZ106" i="3"/>
  <c r="BZ109" i="3"/>
  <c r="EF108" i="3"/>
  <c r="EF109" i="3"/>
  <c r="BT109" i="3"/>
  <c r="DO108" i="3"/>
  <c r="DO106" i="3"/>
  <c r="DO109" i="3"/>
  <c r="BW397" i="335"/>
  <c r="DY106" i="3"/>
  <c r="DW112" i="3"/>
  <c r="DT112" i="3"/>
  <c r="DS108" i="3"/>
  <c r="DS112" i="3"/>
  <c r="DU112" i="3"/>
  <c r="DS109" i="3"/>
  <c r="DS106" i="3"/>
  <c r="CU109" i="3"/>
  <c r="CU108" i="3"/>
  <c r="DM397" i="335"/>
  <c r="AD95" i="3"/>
  <c r="AE95" i="3" s="1"/>
  <c r="EB397" i="335"/>
  <c r="DN109" i="3"/>
  <c r="DN108" i="3"/>
  <c r="DW105" i="3"/>
  <c r="DW77" i="3"/>
  <c r="BO97" i="3"/>
  <c r="BN43" i="3"/>
  <c r="BO43" i="3" s="1"/>
  <c r="EK108" i="3"/>
  <c r="EK109" i="3"/>
  <c r="BO81" i="3"/>
  <c r="EU66" i="3"/>
  <c r="EU15" i="3"/>
  <c r="CR109" i="3"/>
  <c r="CR108" i="3"/>
  <c r="AK60" i="3"/>
  <c r="CX106" i="3"/>
  <c r="CF109" i="3"/>
  <c r="CF106" i="3"/>
  <c r="CE109" i="3"/>
  <c r="EB106" i="3"/>
  <c r="DA106" i="3"/>
  <c r="DA109" i="3"/>
  <c r="DA108" i="3"/>
  <c r="Y70" i="3"/>
  <c r="X19" i="3"/>
  <c r="Y19" i="3" s="1"/>
  <c r="DI108" i="3"/>
  <c r="DI109" i="3"/>
  <c r="DT109" i="3"/>
  <c r="DT108" i="3"/>
  <c r="DT106" i="3"/>
  <c r="CC109" i="3"/>
  <c r="AD384" i="335"/>
  <c r="AD12" i="3"/>
  <c r="AE12" i="3" s="1"/>
  <c r="AE416" i="338" s="1"/>
  <c r="AE63" i="3"/>
  <c r="AE384" i="335" s="1"/>
  <c r="DM108" i="3"/>
  <c r="DP112" i="3"/>
  <c r="DM109" i="3"/>
  <c r="DQ112" i="3"/>
  <c r="AE90" i="3"/>
  <c r="DZ326" i="338"/>
  <c r="EO320" i="338"/>
  <c r="EN391" i="335"/>
  <c r="EQ391" i="335"/>
  <c r="CJ430" i="338"/>
  <c r="DB214" i="338"/>
  <c r="DH214" i="338" s="1"/>
  <c r="CJ58" i="11"/>
  <c r="DK678" i="338"/>
  <c r="CG671" i="338"/>
  <c r="CG669" i="338" s="1"/>
  <c r="CG665" i="338"/>
  <c r="CG663" i="338" s="1"/>
  <c r="CG635" i="338"/>
  <c r="CG633" i="338" s="1"/>
  <c r="CG629" i="338"/>
  <c r="CG627" i="338" s="1"/>
  <c r="AK144" i="336"/>
  <c r="BI12" i="3"/>
  <c r="BH142" i="336"/>
  <c r="FC26" i="336"/>
  <c r="FD26" i="336" s="1"/>
  <c r="FE26" i="336" s="1"/>
  <c r="FF26" i="336" s="1"/>
  <c r="FD9" i="336"/>
  <c r="EN85" i="335"/>
  <c r="DB494" i="338"/>
  <c r="DH493" i="338" s="1"/>
  <c r="DB169" i="335"/>
  <c r="DB350" i="335" s="1"/>
  <c r="DH429" i="338"/>
  <c r="DH430" i="338"/>
  <c r="BM173" i="335"/>
  <c r="BM174" i="335" s="1"/>
  <c r="BM170" i="335"/>
  <c r="BM350" i="335"/>
  <c r="BM182" i="335"/>
  <c r="BM212" i="335"/>
  <c r="BM215" i="335" s="1"/>
  <c r="EA206" i="335"/>
  <c r="EA207" i="335" s="1"/>
  <c r="CV224" i="338"/>
  <c r="CV226" i="338" s="1"/>
  <c r="FF60" i="335"/>
  <c r="FF132" i="335" s="1"/>
  <c r="FF12" i="336" s="1"/>
  <c r="FG12" i="336" s="1"/>
  <c r="FE64" i="335"/>
  <c r="AK73" i="3"/>
  <c r="DV43" i="336"/>
  <c r="DW43" i="336" s="1"/>
  <c r="DW35" i="336"/>
  <c r="EW74" i="3"/>
  <c r="EZ398" i="338"/>
  <c r="EZ132" i="335"/>
  <c r="DM430" i="338"/>
  <c r="DM429" i="338"/>
  <c r="DG169" i="335"/>
  <c r="DG144" i="335"/>
  <c r="CD137" i="336"/>
  <c r="CD135" i="336"/>
  <c r="CX607" i="338"/>
  <c r="BL629" i="338"/>
  <c r="BL627" i="338" s="1"/>
  <c r="BL635" i="338"/>
  <c r="BL633" i="338" s="1"/>
  <c r="BL632" i="338" s="1"/>
  <c r="BL665" i="338"/>
  <c r="BL663" i="338" s="1"/>
  <c r="BL662" i="338" s="1"/>
  <c r="BL659" i="338"/>
  <c r="BL657" i="338" s="1"/>
  <c r="BL656" i="338" s="1"/>
  <c r="BL671" i="338"/>
  <c r="BL669" i="338" s="1"/>
  <c r="EI665" i="338"/>
  <c r="EI663" i="338" s="1"/>
  <c r="EI662" i="338" s="1"/>
  <c r="EI647" i="338"/>
  <c r="EI645" i="338" s="1"/>
  <c r="EI644" i="338" s="1"/>
  <c r="EI641" i="338"/>
  <c r="EI639" i="338" s="1"/>
  <c r="EI671" i="338"/>
  <c r="EI669" i="338" s="1"/>
  <c r="EI668" i="338" s="1"/>
  <c r="EI635" i="338"/>
  <c r="EI633" i="338" s="1"/>
  <c r="EI632" i="338" s="1"/>
  <c r="EI659" i="338"/>
  <c r="EI657" i="338" s="1"/>
  <c r="EI656" i="338" s="1"/>
  <c r="EI629" i="338"/>
  <c r="DD607" i="338"/>
  <c r="DD615" i="338"/>
  <c r="DD616" i="338" s="1"/>
  <c r="CL607" i="338"/>
  <c r="CL615" i="338"/>
  <c r="CL616" i="338" s="1"/>
  <c r="BX635" i="338"/>
  <c r="BX633" i="338" s="1"/>
  <c r="BX632" i="338" s="1"/>
  <c r="BX659" i="338"/>
  <c r="BX657" i="338" s="1"/>
  <c r="BX665" i="338"/>
  <c r="BX663" i="338" s="1"/>
  <c r="BX662" i="338" s="1"/>
  <c r="BX671" i="338"/>
  <c r="BX669" i="338" s="1"/>
  <c r="BX668" i="338" s="1"/>
  <c r="BX629" i="338"/>
  <c r="BX627" i="338" s="1"/>
  <c r="BX626" i="338" s="1"/>
  <c r="CL671" i="338"/>
  <c r="CL669" i="338" s="1"/>
  <c r="CL635" i="338"/>
  <c r="CL633" i="338" s="1"/>
  <c r="CL632" i="338" s="1"/>
  <c r="CL659" i="338"/>
  <c r="CL657" i="338" s="1"/>
  <c r="CL656" i="338" s="1"/>
  <c r="CL629" i="338"/>
  <c r="CL627" i="338" s="1"/>
  <c r="BU656" i="338"/>
  <c r="EZ208" i="336"/>
  <c r="CO430" i="338"/>
  <c r="CY301" i="338"/>
  <c r="DE301" i="338"/>
  <c r="CY243" i="335"/>
  <c r="CY245" i="335" s="1"/>
  <c r="CX218" i="338"/>
  <c r="CY217" i="338"/>
  <c r="CY218" i="338" s="1"/>
  <c r="DP219" i="338"/>
  <c r="DK219" i="338"/>
  <c r="DC214" i="338"/>
  <c r="CW224" i="338"/>
  <c r="CW230" i="338" s="1"/>
  <c r="EM431" i="338"/>
  <c r="ES430" i="338" s="1"/>
  <c r="EE671" i="338"/>
  <c r="EE641" i="338"/>
  <c r="EE635" i="338"/>
  <c r="EE647" i="338"/>
  <c r="EE665" i="338"/>
  <c r="EE629" i="338"/>
  <c r="CM254" i="338"/>
  <c r="DV93" i="335"/>
  <c r="ER271" i="338"/>
  <c r="CF439" i="338"/>
  <c r="DV315" i="335"/>
  <c r="CG770" i="338"/>
  <c r="CG774" i="338"/>
  <c r="CL255" i="338"/>
  <c r="DU114" i="338"/>
  <c r="DU160" i="338" s="1"/>
  <c r="DU157" i="335"/>
  <c r="DU343" i="335"/>
  <c r="DU347" i="335"/>
  <c r="DU334" i="335"/>
  <c r="DU15" i="11"/>
  <c r="DU38" i="11" s="1"/>
  <c r="DU431" i="338"/>
  <c r="DU325" i="338"/>
  <c r="EA326" i="338" s="1"/>
  <c r="DU151" i="335"/>
  <c r="DU49" i="11"/>
  <c r="EA58" i="11" s="1"/>
  <c r="DU143" i="335"/>
  <c r="DU346" i="335"/>
  <c r="DU163" i="336"/>
  <c r="DW91" i="335"/>
  <c r="DU336" i="335"/>
  <c r="DU348" i="335"/>
  <c r="EA92" i="335"/>
  <c r="DU99" i="335"/>
  <c r="DU327" i="338"/>
  <c r="DY365" i="335"/>
  <c r="DU331" i="335"/>
  <c r="DU341" i="335"/>
  <c r="DU339" i="335"/>
  <c r="DU102" i="336"/>
  <c r="DU385" i="335" s="1"/>
  <c r="DU315" i="335"/>
  <c r="DU148" i="335"/>
  <c r="DU154" i="335"/>
  <c r="EA290" i="335"/>
  <c r="DU329" i="335"/>
  <c r="DU345" i="335"/>
  <c r="DU342" i="335"/>
  <c r="DU93" i="335"/>
  <c r="DU328" i="335"/>
  <c r="DU333" i="335"/>
  <c r="DW96" i="335"/>
  <c r="FV96" i="335"/>
  <c r="DE770" i="338"/>
  <c r="DV365" i="335"/>
  <c r="DK131" i="338"/>
  <c r="CI255" i="338"/>
  <c r="CC255" i="338"/>
  <c r="EN84" i="335"/>
  <c r="EN311" i="335"/>
  <c r="EN88" i="335"/>
  <c r="EN96" i="335"/>
  <c r="EN89" i="335"/>
  <c r="EN91" i="335"/>
  <c r="FY135" i="335"/>
  <c r="FY136" i="335" s="1"/>
  <c r="EO136" i="335"/>
  <c r="EU61" i="335"/>
  <c r="EZ100" i="338"/>
  <c r="FA60" i="335"/>
  <c r="EZ67" i="335"/>
  <c r="EZ56" i="335" s="1"/>
  <c r="EZ62" i="335"/>
  <c r="EU67" i="335"/>
  <c r="ET108" i="338"/>
  <c r="ET110" i="338" s="1"/>
  <c r="ET99" i="338"/>
  <c r="EO68" i="335"/>
  <c r="EO87" i="335"/>
  <c r="EO99" i="338"/>
  <c r="EO108" i="338"/>
  <c r="EO110" i="338" s="1"/>
  <c r="FZ61" i="335"/>
  <c r="ES265" i="338"/>
  <c r="ES73" i="335" s="1"/>
  <c r="ES46" i="11" s="1"/>
  <c r="EQ259" i="338"/>
  <c r="EQ72" i="335" s="1"/>
  <c r="EQ257" i="338"/>
  <c r="ES271" i="338"/>
  <c r="ES74" i="335" s="1"/>
  <c r="ES47" i="11" s="1"/>
  <c r="EK168" i="336"/>
  <c r="EL242" i="338"/>
  <c r="AV38" i="3"/>
  <c r="AW38" i="3" s="1"/>
  <c r="AW92" i="3"/>
  <c r="EK164" i="336"/>
  <c r="EL108" i="336"/>
  <c r="EN173" i="338"/>
  <c r="ER265" i="338"/>
  <c r="ES259" i="338"/>
  <c r="ES72" i="335" s="1"/>
  <c r="ES45" i="11" s="1"/>
  <c r="EQ271" i="338"/>
  <c r="EQ74" i="335" s="1"/>
  <c r="EQ265" i="338"/>
  <c r="EQ73" i="335" s="1"/>
  <c r="EQ46" i="11" s="1"/>
  <c r="EN257" i="338"/>
  <c r="DB179" i="335"/>
  <c r="FR179" i="335" s="1"/>
  <c r="AK75" i="3"/>
  <c r="AJ24" i="3"/>
  <c r="AK24" i="3" s="1"/>
  <c r="CV119" i="336"/>
  <c r="AJ84" i="3"/>
  <c r="AI85" i="3"/>
  <c r="AI32" i="3"/>
  <c r="AI33" i="3" s="1"/>
  <c r="CS367" i="335"/>
  <c r="DT339" i="335"/>
  <c r="DT314" i="335"/>
  <c r="DT47" i="11"/>
  <c r="CY722" i="338"/>
  <c r="CY734" i="338"/>
  <c r="DE722" i="338"/>
  <c r="BG38" i="3"/>
  <c r="BG41" i="3" s="1"/>
  <c r="EH246" i="338"/>
  <c r="DW265" i="338"/>
  <c r="AN99" i="3"/>
  <c r="X43" i="3"/>
  <c r="Y43" i="3" s="1"/>
  <c r="DW743" i="338"/>
  <c r="DW749" i="338" s="1"/>
  <c r="DV103" i="336"/>
  <c r="DV292" i="335"/>
  <c r="DV317" i="335"/>
  <c r="FV141" i="335"/>
  <c r="DW141" i="335"/>
  <c r="DW609" i="338" s="1"/>
  <c r="DY317" i="335"/>
  <c r="DV367" i="335"/>
  <c r="DY367" i="335"/>
  <c r="DV343" i="335"/>
  <c r="EB292" i="335"/>
  <c r="EA367" i="335"/>
  <c r="DV316" i="338"/>
  <c r="DV317" i="338" s="1"/>
  <c r="CG115" i="338"/>
  <c r="Q16" i="3"/>
  <c r="EB482" i="338"/>
  <c r="CF484" i="338"/>
  <c r="CF482" i="338"/>
  <c r="AJ23" i="3"/>
  <c r="AK23" i="3" s="1"/>
  <c r="AK74" i="3"/>
  <c r="AC85" i="3"/>
  <c r="AD84" i="3"/>
  <c r="AE84" i="3" s="1"/>
  <c r="AC32" i="3"/>
  <c r="EA272" i="338"/>
  <c r="EA74" i="335"/>
  <c r="EL257" i="338"/>
  <c r="EK265" i="338"/>
  <c r="EK257" i="338"/>
  <c r="EK271" i="338"/>
  <c r="EM259" i="338"/>
  <c r="EM257" i="338"/>
  <c r="EN259" i="338"/>
  <c r="EN265" i="338"/>
  <c r="EL265" i="338"/>
  <c r="EK173" i="338"/>
  <c r="EN271" i="338"/>
  <c r="EN272" i="338" s="1"/>
  <c r="EK259" i="338"/>
  <c r="EL271" i="338"/>
  <c r="EM271" i="338"/>
  <c r="EQ173" i="338"/>
  <c r="EM265" i="338"/>
  <c r="EC316" i="338"/>
  <c r="AP125" i="11"/>
  <c r="P25" i="3"/>
  <c r="P51" i="3" s="1"/>
  <c r="DV74" i="335"/>
  <c r="DV272" i="338"/>
  <c r="CK481" i="338"/>
  <c r="CK482" i="338"/>
  <c r="CK477" i="338"/>
  <c r="CX180" i="335"/>
  <c r="CW176" i="335"/>
  <c r="EN8" i="338"/>
  <c r="EN12" i="338"/>
  <c r="EN17" i="338" s="1"/>
  <c r="EN13" i="338"/>
  <c r="EN15" i="338" s="1"/>
  <c r="EN54" i="335"/>
  <c r="EN452" i="338"/>
  <c r="DD87" i="3"/>
  <c r="DE87" i="3" s="1"/>
  <c r="DD383" i="335"/>
  <c r="DD105" i="3"/>
  <c r="DD99" i="3"/>
  <c r="DD373" i="335"/>
  <c r="DE373" i="335" s="1"/>
  <c r="CR119" i="336"/>
  <c r="CS119" i="336" s="1"/>
  <c r="CR118" i="336"/>
  <c r="CS366" i="335"/>
  <c r="CR116" i="336"/>
  <c r="CS116" i="336" s="1"/>
  <c r="CU119" i="336"/>
  <c r="CU116" i="336"/>
  <c r="CU118" i="336"/>
  <c r="DW271" i="338"/>
  <c r="AW97" i="3"/>
  <c r="BN369" i="335"/>
  <c r="BN111" i="336"/>
  <c r="BO111" i="336" s="1"/>
  <c r="BO365" i="335"/>
  <c r="BN112" i="336"/>
  <c r="BO112" i="336" s="1"/>
  <c r="BN145" i="336"/>
  <c r="BN394" i="335"/>
  <c r="BN393" i="335"/>
  <c r="BN113" i="336"/>
  <c r="BN392" i="335"/>
  <c r="AI16" i="3"/>
  <c r="AJ67" i="3"/>
  <c r="DY272" i="338"/>
  <c r="DY74" i="335"/>
  <c r="EU79" i="335"/>
  <c r="CI429" i="338"/>
  <c r="CI430" i="338"/>
  <c r="CI481" i="338"/>
  <c r="GB479" i="338" s="1"/>
  <c r="DB84" i="336"/>
  <c r="DA436" i="335"/>
  <c r="EK242" i="338"/>
  <c r="EK243" i="338"/>
  <c r="AV84" i="3"/>
  <c r="AU32" i="3"/>
  <c r="AV32" i="3" s="1"/>
  <c r="AW32" i="3" s="1"/>
  <c r="DY45" i="11"/>
  <c r="DZ612" i="338"/>
  <c r="DZ613" i="338" s="1"/>
  <c r="DZ681" i="338" s="1"/>
  <c r="DZ615" i="338"/>
  <c r="DZ616" i="338" s="1"/>
  <c r="DZ621" i="338" s="1"/>
  <c r="DZ622" i="338" s="1"/>
  <c r="DZ623" i="338" s="1"/>
  <c r="CW118" i="336"/>
  <c r="CW116" i="336"/>
  <c r="CW119" i="336"/>
  <c r="CY366" i="335"/>
  <c r="CX119" i="336"/>
  <c r="CX118" i="336"/>
  <c r="CY118" i="336" s="1"/>
  <c r="CX116" i="336"/>
  <c r="CY116" i="336" s="1"/>
  <c r="AN87" i="3"/>
  <c r="AN105" i="3"/>
  <c r="AN109" i="3" s="1"/>
  <c r="AN383" i="335"/>
  <c r="BG32" i="3"/>
  <c r="BH32" i="3" s="1"/>
  <c r="CF520" i="338"/>
  <c r="DO430" i="338"/>
  <c r="DO429" i="338"/>
  <c r="AO36" i="3"/>
  <c r="AP90" i="3"/>
  <c r="AQ90" i="3" s="1"/>
  <c r="AO95" i="3"/>
  <c r="DY73" i="335"/>
  <c r="DY266" i="338"/>
  <c r="AB25" i="3"/>
  <c r="CV214" i="335"/>
  <c r="CY316" i="338"/>
  <c r="AJ43" i="3"/>
  <c r="AK43" i="3" s="1"/>
  <c r="AK97" i="3"/>
  <c r="BO52" i="11"/>
  <c r="BO16" i="338" s="1"/>
  <c r="AP67" i="3"/>
  <c r="AO16" i="3"/>
  <c r="CR317" i="338"/>
  <c r="CX317" i="338"/>
  <c r="EK373" i="335"/>
  <c r="EH373" i="335"/>
  <c r="EI373" i="335" s="1"/>
  <c r="EH383" i="335"/>
  <c r="EH77" i="3"/>
  <c r="EH87" i="3"/>
  <c r="EI87" i="3" s="1"/>
  <c r="EH99" i="3"/>
  <c r="EL373" i="335"/>
  <c r="EH105" i="3"/>
  <c r="AK65" i="3"/>
  <c r="BO39" i="3"/>
  <c r="CC144" i="335"/>
  <c r="CC169" i="335"/>
  <c r="DV72" i="335"/>
  <c r="DV260" i="338"/>
  <c r="DW259" i="338"/>
  <c r="DW260" i="338" s="1"/>
  <c r="AJ29" i="3"/>
  <c r="EF317" i="335"/>
  <c r="EE317" i="335"/>
  <c r="EE316" i="338"/>
  <c r="EE103" i="336"/>
  <c r="EE413" i="338" s="1"/>
  <c r="EE292" i="335"/>
  <c r="EG367" i="335"/>
  <c r="EK292" i="335"/>
  <c r="FW141" i="335"/>
  <c r="EE367" i="335"/>
  <c r="EE343" i="335"/>
  <c r="EE143" i="335"/>
  <c r="EE169" i="335" s="1"/>
  <c r="EF367" i="335"/>
  <c r="P103" i="3"/>
  <c r="Q101" i="3" s="1"/>
  <c r="AT383" i="335"/>
  <c r="AT105" i="3"/>
  <c r="AT87" i="3"/>
  <c r="CG45" i="3"/>
  <c r="AA106" i="3"/>
  <c r="AA109" i="3"/>
  <c r="AG106" i="3"/>
  <c r="BL383" i="335"/>
  <c r="BL87" i="3"/>
  <c r="BL99" i="3"/>
  <c r="BL105" i="3"/>
  <c r="BL109" i="3" s="1"/>
  <c r="BL110" i="3" s="1"/>
  <c r="AY114" i="3"/>
  <c r="BE115" i="3" s="1"/>
  <c r="AY109" i="3"/>
  <c r="BE110" i="3" s="1"/>
  <c r="BE106" i="3"/>
  <c r="P87" i="3"/>
  <c r="P105" i="3"/>
  <c r="EB666" i="338"/>
  <c r="BA23" i="3"/>
  <c r="BB74" i="3"/>
  <c r="AU9" i="3"/>
  <c r="AV60" i="3"/>
  <c r="AU76" i="3"/>
  <c r="AB383" i="335"/>
  <c r="AB397" i="335" s="1"/>
  <c r="AB99" i="3"/>
  <c r="AB87" i="3"/>
  <c r="AB105" i="3"/>
  <c r="BB73" i="3"/>
  <c r="BA22" i="3"/>
  <c r="BA76" i="3"/>
  <c r="BA16" i="3"/>
  <c r="BB67" i="3"/>
  <c r="CS45" i="3"/>
  <c r="BM16" i="3"/>
  <c r="BN67" i="3"/>
  <c r="BO67" i="3" s="1"/>
  <c r="AJ72" i="3"/>
  <c r="AK72" i="3" s="1"/>
  <c r="AI21" i="3"/>
  <c r="AJ21" i="3" s="1"/>
  <c r="AK21" i="3" s="1"/>
  <c r="BF105" i="3"/>
  <c r="BF383" i="335"/>
  <c r="BF87" i="3"/>
  <c r="BF99" i="3"/>
  <c r="R60" i="3"/>
  <c r="Q9" i="3"/>
  <c r="AY45" i="3"/>
  <c r="AY51" i="3"/>
  <c r="AN125" i="11"/>
  <c r="AT125" i="11"/>
  <c r="BF162" i="338"/>
  <c r="EH446" i="338"/>
  <c r="EH445" i="338"/>
  <c r="EH666" i="338"/>
  <c r="X84" i="3"/>
  <c r="W32" i="3"/>
  <c r="BE51" i="3"/>
  <c r="BE45" i="3"/>
  <c r="DV587" i="338"/>
  <c r="DV588" i="338" s="1"/>
  <c r="AZ87" i="3"/>
  <c r="AZ105" i="3"/>
  <c r="AZ383" i="335"/>
  <c r="AZ397" i="335" s="1"/>
  <c r="AH51" i="3"/>
  <c r="AU24" i="3"/>
  <c r="AV75" i="3"/>
  <c r="AW75" i="3" s="1"/>
  <c r="BA19" i="3"/>
  <c r="BB70" i="3"/>
  <c r="BC70" i="3" s="1"/>
  <c r="AU31" i="3"/>
  <c r="AV83" i="3"/>
  <c r="AW83" i="3"/>
  <c r="AW382" i="335" s="1"/>
  <c r="AU382" i="335"/>
  <c r="AU144" i="336"/>
  <c r="AU85" i="3"/>
  <c r="CV105" i="3"/>
  <c r="CV87" i="3"/>
  <c r="CV383" i="335"/>
  <c r="CV373" i="335"/>
  <c r="CV99" i="3"/>
  <c r="BO734" i="338"/>
  <c r="AU23" i="3"/>
  <c r="AV74" i="3"/>
  <c r="AC19" i="3"/>
  <c r="AD70" i="3"/>
  <c r="AD19" i="3" s="1"/>
  <c r="AE19" i="3" s="1"/>
  <c r="AA397" i="335"/>
  <c r="DK765" i="338"/>
  <c r="DK254" i="338"/>
  <c r="CF629" i="338"/>
  <c r="CF627" i="338" s="1"/>
  <c r="CF635" i="338"/>
  <c r="CF633" i="338" s="1"/>
  <c r="CF632" i="338" s="1"/>
  <c r="CF671" i="338"/>
  <c r="CF669" i="338" s="1"/>
  <c r="CF665" i="338"/>
  <c r="CF663" i="338" s="1"/>
  <c r="CF662" i="338" s="1"/>
  <c r="CF659" i="338"/>
  <c r="CF657" i="338" s="1"/>
  <c r="R36" i="3"/>
  <c r="R95" i="3"/>
  <c r="BL45" i="3"/>
  <c r="BL51" i="3"/>
  <c r="AZ99" i="3"/>
  <c r="AY397" i="335"/>
  <c r="AH99" i="3"/>
  <c r="AH87" i="3"/>
  <c r="AH383" i="335"/>
  <c r="AH397" i="335" s="1"/>
  <c r="AH105" i="3"/>
  <c r="BG76" i="3"/>
  <c r="BG16" i="3"/>
  <c r="BH67" i="3"/>
  <c r="BI67" i="3" s="1"/>
  <c r="AZ162" i="338"/>
  <c r="CM245" i="335"/>
  <c r="R75" i="3"/>
  <c r="Q24" i="3"/>
  <c r="DW606" i="338"/>
  <c r="EO16" i="3"/>
  <c r="EO67" i="3"/>
  <c r="BG22" i="3"/>
  <c r="BH73" i="3"/>
  <c r="AV63" i="3"/>
  <c r="AU384" i="335"/>
  <c r="CG116" i="338"/>
  <c r="EO12" i="336"/>
  <c r="BB75" i="3"/>
  <c r="BC75" i="3" s="1"/>
  <c r="BA24" i="3"/>
  <c r="BB125" i="11"/>
  <c r="AV125" i="11"/>
  <c r="DW660" i="338"/>
  <c r="EC660" i="338"/>
  <c r="EC676" i="338" s="1"/>
  <c r="BO735" i="338"/>
  <c r="CJ681" i="338"/>
  <c r="AS45" i="3"/>
  <c r="AB51" i="3"/>
  <c r="BU45" i="3"/>
  <c r="AU16" i="3"/>
  <c r="AV67" i="3"/>
  <c r="AV16" i="3" s="1"/>
  <c r="AW16" i="3" s="1"/>
  <c r="BB84" i="3"/>
  <c r="BA32" i="3"/>
  <c r="BA85" i="3"/>
  <c r="BA99" i="3" s="1"/>
  <c r="CY45" i="3"/>
  <c r="EB606" i="338"/>
  <c r="EB609" i="338"/>
  <c r="DV37" i="338"/>
  <c r="EU23" i="3"/>
  <c r="BH72" i="3"/>
  <c r="BH21" i="3" s="1"/>
  <c r="BI21" i="3" s="1"/>
  <c r="BG21" i="3"/>
  <c r="EA350" i="335"/>
  <c r="EA170" i="335"/>
  <c r="EA681" i="338"/>
  <c r="BH70" i="3"/>
  <c r="BI70" i="3" s="1"/>
  <c r="BG19" i="3"/>
  <c r="AT99" i="3"/>
  <c r="AU19" i="3"/>
  <c r="AV70" i="3"/>
  <c r="BU285" i="336"/>
  <c r="BU246" i="336"/>
  <c r="BU253" i="336" s="1"/>
  <c r="CA266" i="336"/>
  <c r="CA271" i="336" s="1"/>
  <c r="BW266" i="336"/>
  <c r="BW271" i="336" s="1"/>
  <c r="CE243" i="336"/>
  <c r="CE250" i="336" s="1"/>
  <c r="CF267" i="336"/>
  <c r="CF273" i="336" s="1"/>
  <c r="CE262" i="336"/>
  <c r="CE273" i="336"/>
  <c r="DY647" i="338"/>
  <c r="DY641" i="338"/>
  <c r="DY639" i="338" s="1"/>
  <c r="DY638" i="338" s="1"/>
  <c r="DY659" i="338"/>
  <c r="DY657" i="338" s="1"/>
  <c r="DY656" i="338" s="1"/>
  <c r="DY635" i="338"/>
  <c r="DY633" i="338" s="1"/>
  <c r="DY632" i="338" s="1"/>
  <c r="DY671" i="338"/>
  <c r="DY669" i="338" s="1"/>
  <c r="DY668" i="338" s="1"/>
  <c r="DY629" i="338"/>
  <c r="DY627" i="338" s="1"/>
  <c r="DY665" i="338"/>
  <c r="DY663" i="338" s="1"/>
  <c r="DY662" i="338" s="1"/>
  <c r="DE629" i="338"/>
  <c r="DE659" i="338"/>
  <c r="DE657" i="338" s="1"/>
  <c r="DE641" i="338"/>
  <c r="DE639" i="338" s="1"/>
  <c r="DE635" i="338"/>
  <c r="DE633" i="338" s="1"/>
  <c r="DE632" i="338" s="1"/>
  <c r="DE671" i="338"/>
  <c r="DE669" i="338" s="1"/>
  <c r="DE665" i="338"/>
  <c r="DE663" i="338" s="1"/>
  <c r="DE662" i="338" s="1"/>
  <c r="DC638" i="338"/>
  <c r="DC678" i="338"/>
  <c r="DC687" i="338" s="1"/>
  <c r="DZ683" i="338"/>
  <c r="BQ626" i="338"/>
  <c r="DS621" i="338"/>
  <c r="DS622" i="338" s="1"/>
  <c r="DS623" i="338" s="1"/>
  <c r="DC626" i="338"/>
  <c r="BC732" i="338"/>
  <c r="BC734" i="338"/>
  <c r="BI732" i="338"/>
  <c r="EF72" i="335"/>
  <c r="ER262" i="338"/>
  <c r="EL259" i="338"/>
  <c r="EL72" i="335" s="1"/>
  <c r="ER257" i="338"/>
  <c r="EO139" i="335"/>
  <c r="DS221" i="338"/>
  <c r="DM217" i="338"/>
  <c r="DN218" i="338"/>
  <c r="DZ219" i="338"/>
  <c r="DT217" i="338"/>
  <c r="DU217" i="338"/>
  <c r="EA221" i="338"/>
  <c r="DA230" i="338"/>
  <c r="DA225" i="338"/>
  <c r="DO218" i="338"/>
  <c r="DY214" i="338"/>
  <c r="EK25" i="338"/>
  <c r="EK11" i="338"/>
  <c r="EQ75" i="336"/>
  <c r="EQ436" i="335" s="1"/>
  <c r="EO429" i="335"/>
  <c r="DC417" i="335"/>
  <c r="DD58" i="336"/>
  <c r="ER79" i="336"/>
  <c r="ER440" i="335" s="1"/>
  <c r="EB59" i="336"/>
  <c r="EB420" i="335" s="1"/>
  <c r="CX415" i="335"/>
  <c r="EU19" i="336"/>
  <c r="EW82" i="3"/>
  <c r="EM72" i="3"/>
  <c r="ES179" i="335"/>
  <c r="ET179" i="335" s="1"/>
  <c r="FY180" i="335"/>
  <c r="BE182" i="335"/>
  <c r="BE212" i="335"/>
  <c r="EM355" i="335"/>
  <c r="EM24" i="11"/>
  <c r="EM30" i="11" s="1"/>
  <c r="DC494" i="338"/>
  <c r="DC206" i="335"/>
  <c r="DC101" i="335"/>
  <c r="DI430" i="338"/>
  <c r="DI432" i="338" s="1"/>
  <c r="GF429" i="338" s="1"/>
  <c r="DC144" i="335"/>
  <c r="DE131" i="338"/>
  <c r="EM11" i="335"/>
  <c r="EO11" i="335"/>
  <c r="EK93" i="11"/>
  <c r="EK97" i="11" s="1"/>
  <c r="EG313" i="335"/>
  <c r="CD326" i="338"/>
  <c r="EO21" i="338"/>
  <c r="CX635" i="338"/>
  <c r="CX633" i="338" s="1"/>
  <c r="EB169" i="335"/>
  <c r="EB182" i="335" s="1"/>
  <c r="CL388" i="335"/>
  <c r="CM388" i="335"/>
  <c r="DD278" i="338"/>
  <c r="CR169" i="335"/>
  <c r="CR144" i="335"/>
  <c r="BU52" i="11"/>
  <c r="BU16" i="338" s="1"/>
  <c r="CP58" i="11"/>
  <c r="AW96" i="335"/>
  <c r="BC88" i="335"/>
  <c r="AW88" i="335"/>
  <c r="BC286" i="335"/>
  <c r="EG61" i="336"/>
  <c r="EG422" i="335" s="1"/>
  <c r="BX109" i="3"/>
  <c r="CD106" i="3"/>
  <c r="DG328" i="338"/>
  <c r="DG326" i="338"/>
  <c r="EG338" i="335"/>
  <c r="ER452" i="335"/>
  <c r="ES91" i="336"/>
  <c r="BH213" i="335"/>
  <c r="DG58" i="11"/>
  <c r="ER228" i="338"/>
  <c r="EX39" i="335"/>
  <c r="EX228" i="338" s="1"/>
  <c r="FJ65" i="335"/>
  <c r="EC612" i="338"/>
  <c r="EC613" i="338" s="1"/>
  <c r="BS58" i="11"/>
  <c r="AA113" i="336"/>
  <c r="C350" i="335"/>
  <c r="P215" i="335"/>
  <c r="AA394" i="335"/>
  <c r="AS342" i="335"/>
  <c r="AS151" i="335"/>
  <c r="AY290" i="335"/>
  <c r="AS93" i="335"/>
  <c r="AS101" i="335" s="1"/>
  <c r="AS290" i="335"/>
  <c r="CD101" i="335"/>
  <c r="AT93" i="335"/>
  <c r="AT101" i="335" s="1"/>
  <c r="AS343" i="335"/>
  <c r="AS345" i="335"/>
  <c r="AS154" i="335"/>
  <c r="AS336" i="335"/>
  <c r="AS347" i="335"/>
  <c r="AS92" i="335"/>
  <c r="AS100" i="335" s="1"/>
  <c r="BO54" i="335"/>
  <c r="CI169" i="335"/>
  <c r="AU365" i="335"/>
  <c r="AU393" i="335" s="1"/>
  <c r="AW91" i="335"/>
  <c r="AW343" i="335" s="1"/>
  <c r="AS143" i="335"/>
  <c r="AS144" i="335" s="1"/>
  <c r="AS102" i="336"/>
  <c r="AS385" i="335" s="1"/>
  <c r="AS328" i="335"/>
  <c r="AS348" i="335"/>
  <c r="AT315" i="335"/>
  <c r="AS346" i="335"/>
  <c r="FJ100" i="338"/>
  <c r="DO46" i="11"/>
  <c r="EG272" i="338"/>
  <c r="CP482" i="338"/>
  <c r="DU288" i="335"/>
  <c r="EF332" i="338"/>
  <c r="EF12" i="338"/>
  <c r="EH86" i="338"/>
  <c r="EI86" i="338" s="1"/>
  <c r="EI11" i="338" s="1"/>
  <c r="EI150" i="338"/>
  <c r="EF33" i="338"/>
  <c r="EG24" i="338"/>
  <c r="EG33" i="338" s="1"/>
  <c r="EG11" i="338"/>
  <c r="EH46" i="11"/>
  <c r="DA439" i="338"/>
  <c r="BE170" i="335"/>
  <c r="BF323" i="335"/>
  <c r="BE375" i="335"/>
  <c r="BE350" i="335"/>
  <c r="BM113" i="336"/>
  <c r="BM112" i="336"/>
  <c r="AS315" i="335"/>
  <c r="BI162" i="338"/>
  <c r="CI206" i="335"/>
  <c r="CI207" i="335" s="1"/>
  <c r="C170" i="335"/>
  <c r="C212" i="335"/>
  <c r="C213" i="335" s="1"/>
  <c r="AS394" i="335"/>
  <c r="AA393" i="335"/>
  <c r="DA482" i="338"/>
  <c r="CI494" i="338"/>
  <c r="CO492" i="338" s="1"/>
  <c r="ER279" i="335"/>
  <c r="EB429" i="338"/>
  <c r="EB433" i="338" s="1"/>
  <c r="AS113" i="336"/>
  <c r="DM246" i="338"/>
  <c r="AA392" i="335"/>
  <c r="AA145" i="336"/>
  <c r="AA369" i="335"/>
  <c r="ER108" i="336"/>
  <c r="AS111" i="336"/>
  <c r="AS112" i="336"/>
  <c r="AS393" i="335"/>
  <c r="AS369" i="335"/>
  <c r="CU369" i="335"/>
  <c r="AS392" i="335"/>
  <c r="BU173" i="338"/>
  <c r="CK170" i="335"/>
  <c r="CA173" i="338"/>
  <c r="DO287" i="335"/>
  <c r="BO173" i="338"/>
  <c r="DU289" i="335"/>
  <c r="DP257" i="338"/>
  <c r="DP314" i="335"/>
  <c r="CK173" i="335"/>
  <c r="CK174" i="335" s="1"/>
  <c r="CC482" i="338"/>
  <c r="DO47" i="11"/>
  <c r="BX100" i="335"/>
  <c r="CK212" i="335"/>
  <c r="CK350" i="335"/>
  <c r="CW481" i="338"/>
  <c r="CW482" i="338"/>
  <c r="FU74" i="335"/>
  <c r="ES228" i="335"/>
  <c r="EU228" i="335" s="1"/>
  <c r="ET229" i="335"/>
  <c r="ET209" i="336" s="1"/>
  <c r="DV254" i="338"/>
  <c r="AW365" i="335"/>
  <c r="DP254" i="338"/>
  <c r="AV392" i="335"/>
  <c r="AW102" i="336"/>
  <c r="BX328" i="338"/>
  <c r="BX482" i="338"/>
  <c r="DU338" i="335"/>
  <c r="AY169" i="335"/>
  <c r="AY144" i="335"/>
  <c r="BS144" i="335"/>
  <c r="BS169" i="335"/>
  <c r="EZ12" i="336"/>
  <c r="FA12" i="336" s="1"/>
  <c r="EF266" i="338"/>
  <c r="GH428" i="338"/>
  <c r="CQ58" i="11"/>
  <c r="EG71" i="336"/>
  <c r="EG432" i="335" s="1"/>
  <c r="FI29" i="336"/>
  <c r="FI398" i="338" s="1"/>
  <c r="CQ328" i="338"/>
  <c r="CQ326" i="338"/>
  <c r="CW430" i="338"/>
  <c r="CW429" i="338"/>
  <c r="CQ144" i="335"/>
  <c r="CQ169" i="335"/>
  <c r="DP247" i="338"/>
  <c r="DO45" i="11"/>
  <c r="DO54" i="11" s="1"/>
  <c r="DO75" i="335"/>
  <c r="DU76" i="335" s="1"/>
  <c r="DK245" i="338"/>
  <c r="DP312" i="335"/>
  <c r="DS144" i="335"/>
  <c r="DU46" i="11"/>
  <c r="EE206" i="335"/>
  <c r="EE207" i="335" s="1"/>
  <c r="BH368" i="335"/>
  <c r="BI169" i="335"/>
  <c r="BM298" i="335"/>
  <c r="CP162" i="338"/>
  <c r="AA212" i="335"/>
  <c r="AA215" i="335" s="1"/>
  <c r="AA323" i="335"/>
  <c r="CP144" i="335"/>
  <c r="EF429" i="338"/>
  <c r="AA182" i="335"/>
  <c r="CV430" i="338"/>
  <c r="EK429" i="338"/>
  <c r="BG212" i="335"/>
  <c r="BG375" i="335"/>
  <c r="BG170" i="335"/>
  <c r="BG350" i="335"/>
  <c r="BG182" i="335"/>
  <c r="BH323" i="335"/>
  <c r="DT173" i="335"/>
  <c r="DT174" i="335" s="1"/>
  <c r="DK220" i="338"/>
  <c r="AY112" i="336"/>
  <c r="DI110" i="3"/>
  <c r="EI106" i="3"/>
  <c r="DU56" i="336"/>
  <c r="DU417" i="335" s="1"/>
  <c r="EK434" i="335"/>
  <c r="EL73" i="336"/>
  <c r="ER74" i="335"/>
  <c r="ER47" i="11" s="1"/>
  <c r="ER73" i="335"/>
  <c r="ER46" i="11" s="1"/>
  <c r="DP46" i="11"/>
  <c r="DP55" i="11" s="1"/>
  <c r="ET451" i="338"/>
  <c r="ET450" i="338"/>
  <c r="AV144" i="335"/>
  <c r="AG298" i="335"/>
  <c r="CK187" i="335"/>
  <c r="CK185" i="335"/>
  <c r="CK460" i="335" s="1"/>
  <c r="EU74" i="3"/>
  <c r="ES429" i="338"/>
  <c r="ER304" i="335"/>
  <c r="ER41" i="335"/>
  <c r="EE113" i="336"/>
  <c r="EC271" i="338"/>
  <c r="CX385" i="335"/>
  <c r="CY385" i="335" s="1"/>
  <c r="CY391" i="338" s="1"/>
  <c r="CY102" i="336"/>
  <c r="CX169" i="335"/>
  <c r="CX144" i="335"/>
  <c r="DH144" i="335"/>
  <c r="AS169" i="335"/>
  <c r="AS212" i="335" s="1"/>
  <c r="DZ73" i="335"/>
  <c r="DH206" i="335"/>
  <c r="DH207" i="335" s="1"/>
  <c r="DH494" i="338"/>
  <c r="ER53" i="338"/>
  <c r="DH101" i="335"/>
  <c r="DH100" i="335"/>
  <c r="AA170" i="335"/>
  <c r="DN429" i="338"/>
  <c r="AY123" i="336"/>
  <c r="AM350" i="335"/>
  <c r="FY75" i="335"/>
  <c r="EF260" i="338"/>
  <c r="EE111" i="336"/>
  <c r="DY287" i="335"/>
  <c r="DZ74" i="335"/>
  <c r="EA266" i="338"/>
  <c r="DZ100" i="335"/>
  <c r="EE369" i="335"/>
  <c r="DT212" i="335"/>
  <c r="DT213" i="335" s="1"/>
  <c r="EG266" i="338"/>
  <c r="FU72" i="335"/>
  <c r="EI173" i="338"/>
  <c r="EU126" i="335"/>
  <c r="DZ144" i="335"/>
  <c r="EX40" i="338"/>
  <c r="EX53" i="338" s="1"/>
  <c r="AM182" i="335"/>
  <c r="AW290" i="335"/>
  <c r="AM170" i="335"/>
  <c r="AW718" i="338"/>
  <c r="AW148" i="335"/>
  <c r="AW99" i="335"/>
  <c r="FD39" i="335"/>
  <c r="X215" i="335"/>
  <c r="X213" i="335"/>
  <c r="EC259" i="338"/>
  <c r="EB272" i="338"/>
  <c r="AV113" i="336"/>
  <c r="AV369" i="335"/>
  <c r="AZ112" i="336"/>
  <c r="AZ145" i="336"/>
  <c r="AY145" i="336"/>
  <c r="BE323" i="335"/>
  <c r="AW346" i="335"/>
  <c r="AW336" i="335"/>
  <c r="AV111" i="336"/>
  <c r="AW111" i="336" s="1"/>
  <c r="AV112" i="336"/>
  <c r="AW112" i="336" s="1"/>
  <c r="AZ111" i="336"/>
  <c r="AZ123" i="336"/>
  <c r="AY392" i="335"/>
  <c r="DZ206" i="335"/>
  <c r="DZ207" i="335" s="1"/>
  <c r="EE122" i="336"/>
  <c r="EE392" i="335"/>
  <c r="EE145" i="336"/>
  <c r="AV393" i="335"/>
  <c r="AZ113" i="336"/>
  <c r="AY111" i="336"/>
  <c r="BG368" i="335"/>
  <c r="EA260" i="338"/>
  <c r="AM298" i="335"/>
  <c r="AB144" i="335"/>
  <c r="AB169" i="335"/>
  <c r="EF64" i="335"/>
  <c r="DV629" i="338"/>
  <c r="DV627" i="338" s="1"/>
  <c r="DV665" i="338"/>
  <c r="DV663" i="338" s="1"/>
  <c r="DV662" i="338" s="1"/>
  <c r="DV659" i="338"/>
  <c r="DV657" i="338" s="1"/>
  <c r="DV671" i="338"/>
  <c r="DV669" i="338" s="1"/>
  <c r="DV668" i="338" s="1"/>
  <c r="DV641" i="338"/>
  <c r="DV639" i="338" s="1"/>
  <c r="DV647" i="338"/>
  <c r="DV645" i="338" s="1"/>
  <c r="DV644" i="338" s="1"/>
  <c r="DV635" i="338"/>
  <c r="DV633" i="338"/>
  <c r="DV632" i="338" s="1"/>
  <c r="EH260" i="338"/>
  <c r="EF450" i="338"/>
  <c r="EF451" i="338"/>
  <c r="EE74" i="335"/>
  <c r="EE289" i="335" s="1"/>
  <c r="EI271" i="338"/>
  <c r="EE72" i="335"/>
  <c r="EE260" i="338"/>
  <c r="EB74" i="335"/>
  <c r="EB314" i="335" s="1"/>
  <c r="EH272" i="338"/>
  <c r="EE73" i="335"/>
  <c r="EI265" i="338"/>
  <c r="EB73" i="335"/>
  <c r="FC23" i="3"/>
  <c r="GA438" i="338"/>
  <c r="EL110" i="3"/>
  <c r="EQ119" i="11"/>
  <c r="EQ279" i="335"/>
  <c r="DH228" i="335"/>
  <c r="DG229" i="335"/>
  <c r="BH298" i="335"/>
  <c r="BB170" i="335"/>
  <c r="BB182" i="335"/>
  <c r="BB184" i="335" s="1"/>
  <c r="BB212" i="335"/>
  <c r="BB350" i="335"/>
  <c r="BB375" i="335"/>
  <c r="BF213" i="335"/>
  <c r="BF215" i="335"/>
  <c r="DQ734" i="338"/>
  <c r="DQ722" i="338"/>
  <c r="K350" i="335"/>
  <c r="K368" i="335"/>
  <c r="K212" i="335"/>
  <c r="L298" i="335"/>
  <c r="K170" i="335"/>
  <c r="K389" i="338" s="1"/>
  <c r="K182" i="335"/>
  <c r="AG350" i="335"/>
  <c r="AG212" i="335"/>
  <c r="AG213" i="335" s="1"/>
  <c r="AG182" i="335"/>
  <c r="AG170" i="335"/>
  <c r="O219" i="335"/>
  <c r="O185" i="335"/>
  <c r="FF89" i="11"/>
  <c r="FF93" i="11" s="1"/>
  <c r="FF97" i="11" s="1"/>
  <c r="EZ93" i="11"/>
  <c r="EZ97" i="11" s="1"/>
  <c r="BC36" i="3"/>
  <c r="BC41" i="3" s="1"/>
  <c r="BB41" i="3"/>
  <c r="CF110" i="3"/>
  <c r="DV110" i="3"/>
  <c r="AE151" i="335"/>
  <c r="AC112" i="336"/>
  <c r="AC393" i="335"/>
  <c r="AC113" i="336"/>
  <c r="AC394" i="335"/>
  <c r="AC145" i="336"/>
  <c r="AE173" i="338"/>
  <c r="EU30" i="3"/>
  <c r="EB437" i="335"/>
  <c r="EE76" i="336"/>
  <c r="EF76" i="336" s="1"/>
  <c r="EG76" i="336" s="1"/>
  <c r="FD74" i="11"/>
  <c r="EE429" i="338"/>
  <c r="EE433" i="338" s="1"/>
  <c r="EC333" i="335"/>
  <c r="EC148" i="335"/>
  <c r="EC114" i="338"/>
  <c r="EC160" i="338" s="1"/>
  <c r="EC154" i="335"/>
  <c r="EC348" i="335"/>
  <c r="EC343" i="335"/>
  <c r="EC15" i="11"/>
  <c r="EC37" i="11" s="1"/>
  <c r="EC157" i="335"/>
  <c r="EC346" i="335"/>
  <c r="EC342" i="335"/>
  <c r="EC334" i="335"/>
  <c r="EC49" i="11"/>
  <c r="EC345" i="335"/>
  <c r="EC328" i="335"/>
  <c r="EC331" i="335"/>
  <c r="EC336" i="335"/>
  <c r="EC143" i="335"/>
  <c r="EC151" i="335"/>
  <c r="EC347" i="335"/>
  <c r="EC718" i="338"/>
  <c r="EC762" i="338" s="1"/>
  <c r="FD107" i="336"/>
  <c r="FC376" i="335"/>
  <c r="FC398" i="338"/>
  <c r="DB224" i="338"/>
  <c r="AM323" i="335"/>
  <c r="EF69" i="336"/>
  <c r="EF430" i="335" s="1"/>
  <c r="CJ433" i="338"/>
  <c r="DE278" i="338"/>
  <c r="DJ278" i="338"/>
  <c r="DD277" i="338"/>
  <c r="CY277" i="338"/>
  <c r="CX388" i="335"/>
  <c r="DO110" i="3"/>
  <c r="AN182" i="335"/>
  <c r="AN350" i="335"/>
  <c r="AN170" i="335"/>
  <c r="AN323" i="335"/>
  <c r="EE95" i="338"/>
  <c r="CV230" i="338"/>
  <c r="AM215" i="335"/>
  <c r="AM213" i="335"/>
  <c r="EK39" i="338"/>
  <c r="EQ228" i="338"/>
  <c r="EQ229" i="338" s="1"/>
  <c r="EQ40" i="338"/>
  <c r="CV225" i="338"/>
  <c r="DZ79" i="11"/>
  <c r="DZ83" i="11" s="1"/>
  <c r="EF75" i="11"/>
  <c r="EF79" i="11" s="1"/>
  <c r="EF83" i="11" s="1"/>
  <c r="AZ184" i="335"/>
  <c r="AZ215" i="335"/>
  <c r="AZ213" i="335"/>
  <c r="E217" i="335"/>
  <c r="E218" i="335"/>
  <c r="AJ170" i="335"/>
  <c r="AJ182" i="335"/>
  <c r="AJ350" i="335"/>
  <c r="AJ212" i="335"/>
  <c r="DG493" i="338"/>
  <c r="DG492" i="338"/>
  <c r="BH217" i="335"/>
  <c r="BH185" i="335" s="1"/>
  <c r="BH208" i="335" s="1"/>
  <c r="BH209" i="335" s="1"/>
  <c r="BH218" i="335"/>
  <c r="DQ243" i="335"/>
  <c r="DQ245" i="335" s="1"/>
  <c r="DQ301" i="338"/>
  <c r="DW301" i="338"/>
  <c r="DQ316" i="338"/>
  <c r="DQ317" i="338" s="1"/>
  <c r="DP317" i="338"/>
  <c r="DQ749" i="338"/>
  <c r="DQ748" i="338"/>
  <c r="DQ289" i="338"/>
  <c r="DW289" i="338"/>
  <c r="DQ283" i="338"/>
  <c r="DW283" i="338"/>
  <c r="DQ387" i="335"/>
  <c r="EN102" i="336"/>
  <c r="EO102" i="336" s="1"/>
  <c r="EN163" i="336"/>
  <c r="EN151" i="335"/>
  <c r="EN157" i="335"/>
  <c r="EN333" i="335"/>
  <c r="EN154" i="335"/>
  <c r="EM108" i="336"/>
  <c r="DS110" i="3"/>
  <c r="BZ110" i="3"/>
  <c r="AD142" i="336"/>
  <c r="AE142" i="336" s="1"/>
  <c r="AE137" i="336" s="1"/>
  <c r="DW108" i="3"/>
  <c r="DW109" i="3"/>
  <c r="EO391" i="335"/>
  <c r="EO323" i="338"/>
  <c r="EO772" i="338"/>
  <c r="EN301" i="338"/>
  <c r="EO746" i="338"/>
  <c r="EQ300" i="338"/>
  <c r="EQ301" i="338" s="1"/>
  <c r="EQ387" i="335"/>
  <c r="CJ162" i="338"/>
  <c r="CJ507" i="338" s="1"/>
  <c r="CJ432" i="338"/>
  <c r="DK687" i="338"/>
  <c r="BI416" i="338"/>
  <c r="BI142" i="336"/>
  <c r="BI137" i="336" s="1"/>
  <c r="AK139" i="336"/>
  <c r="AK140" i="336" s="1"/>
  <c r="FE9" i="336"/>
  <c r="DH433" i="338"/>
  <c r="DH492" i="338"/>
  <c r="BM213" i="335"/>
  <c r="DB173" i="335"/>
  <c r="DB174" i="335" s="1"/>
  <c r="DB170" i="335"/>
  <c r="EN15" i="11"/>
  <c r="EN21" i="11" s="1"/>
  <c r="EN114" i="338"/>
  <c r="EZ135" i="335"/>
  <c r="EZ129" i="335" s="1"/>
  <c r="BH19" i="3"/>
  <c r="BI19" i="3" s="1"/>
  <c r="DG212" i="335"/>
  <c r="DG213" i="335" s="1"/>
  <c r="DG170" i="335"/>
  <c r="DG173" i="335"/>
  <c r="DG174" i="335" s="1"/>
  <c r="DG195" i="335"/>
  <c r="DG350" i="335"/>
  <c r="DD641" i="338"/>
  <c r="DD639" i="338" s="1"/>
  <c r="DD665" i="338"/>
  <c r="DD663" i="338" s="1"/>
  <c r="DD659" i="338"/>
  <c r="DD657" i="338" s="1"/>
  <c r="DD647" i="338"/>
  <c r="DD645" i="338" s="1"/>
  <c r="DD644" i="338" s="1"/>
  <c r="DD635" i="338"/>
  <c r="DD633" i="338" s="1"/>
  <c r="DD632" i="338" s="1"/>
  <c r="DJ635" i="338"/>
  <c r="DJ633" i="338" s="1"/>
  <c r="DJ671" i="338"/>
  <c r="DJ669" i="338" s="1"/>
  <c r="DJ641" i="338"/>
  <c r="DJ639" i="338" s="1"/>
  <c r="DJ638" i="338" s="1"/>
  <c r="DJ629" i="338"/>
  <c r="DJ627" i="338" s="1"/>
  <c r="DJ647" i="338"/>
  <c r="DJ645" i="338" s="1"/>
  <c r="DJ659" i="338"/>
  <c r="DJ657" i="338" s="1"/>
  <c r="DJ665" i="338"/>
  <c r="DJ663" i="338" s="1"/>
  <c r="CR671" i="338"/>
  <c r="CR669" i="338" s="1"/>
  <c r="CR665" i="338"/>
  <c r="CR663" i="338" s="1"/>
  <c r="CR635" i="338"/>
  <c r="CR633" i="338" s="1"/>
  <c r="CR659" i="338"/>
  <c r="CR657" i="338" s="1"/>
  <c r="CR656" i="338" s="1"/>
  <c r="CR629" i="338"/>
  <c r="CR627" i="338" s="1"/>
  <c r="DJ621" i="338"/>
  <c r="DJ622" i="338" s="1"/>
  <c r="DJ623" i="338" s="1"/>
  <c r="CI170" i="335"/>
  <c r="ER272" i="338"/>
  <c r="DQ219" i="338"/>
  <c r="DQ220" i="338" s="1"/>
  <c r="DV219" i="338"/>
  <c r="DN214" i="338"/>
  <c r="DT214" i="338" s="1"/>
  <c r="DT224" i="338" s="1"/>
  <c r="DH224" i="338"/>
  <c r="CW225" i="338"/>
  <c r="CW226" i="338"/>
  <c r="DC224" i="338"/>
  <c r="DI214" i="338"/>
  <c r="EL168" i="336"/>
  <c r="EA323" i="335"/>
  <c r="EQ260" i="338"/>
  <c r="DW365" i="335"/>
  <c r="DV394" i="335"/>
  <c r="DV112" i="336"/>
  <c r="DW112" i="336" s="1"/>
  <c r="DV113" i="336"/>
  <c r="DW113" i="336" s="1"/>
  <c r="DV145" i="336"/>
  <c r="DV392" i="335"/>
  <c r="EB145" i="336"/>
  <c r="DW145" i="336"/>
  <c r="DV111" i="336"/>
  <c r="DW111" i="336" s="1"/>
  <c r="DU206" i="335"/>
  <c r="DU207" i="335" s="1"/>
  <c r="EA100" i="335"/>
  <c r="DU101" i="335"/>
  <c r="EG289" i="335"/>
  <c r="DY392" i="335"/>
  <c r="DY113" i="336"/>
  <c r="DW346" i="335"/>
  <c r="EC290" i="335"/>
  <c r="DW148" i="335"/>
  <c r="DW151" i="335"/>
  <c r="DW347" i="335"/>
  <c r="DW49" i="11"/>
  <c r="DW345" i="335"/>
  <c r="DW342" i="335"/>
  <c r="DW333" i="335"/>
  <c r="DW341" i="335"/>
  <c r="DU169" i="335"/>
  <c r="EA171" i="335" s="1"/>
  <c r="DU144" i="335"/>
  <c r="ES272" i="338"/>
  <c r="ES266" i="338"/>
  <c r="EN342" i="335"/>
  <c r="EN336" i="335"/>
  <c r="EN99" i="335"/>
  <c r="EN331" i="335"/>
  <c r="EN315" i="335"/>
  <c r="EN328" i="335"/>
  <c r="EN49" i="11"/>
  <c r="EN327" i="338"/>
  <c r="EN143" i="335"/>
  <c r="EN144" i="335" s="1"/>
  <c r="EN343" i="335"/>
  <c r="FA100" i="338"/>
  <c r="FA108" i="338" s="1"/>
  <c r="FA61" i="335"/>
  <c r="EU68" i="335"/>
  <c r="EO88" i="335"/>
  <c r="EO286" i="335"/>
  <c r="EZ69" i="335"/>
  <c r="EZ68" i="335"/>
  <c r="EZ108" i="338"/>
  <c r="EZ110" i="338" s="1"/>
  <c r="EZ99" i="338"/>
  <c r="EL169" i="336"/>
  <c r="EK317" i="338"/>
  <c r="EE317" i="338"/>
  <c r="CI162" i="338"/>
  <c r="CI507" i="338" s="1"/>
  <c r="EH106" i="3"/>
  <c r="EK112" i="3"/>
  <c r="ET173" i="338"/>
  <c r="ET259" i="338"/>
  <c r="ET72" i="335" s="1"/>
  <c r="ET265" i="338"/>
  <c r="ET73" i="335" s="1"/>
  <c r="ET271" i="338"/>
  <c r="ET74" i="335" s="1"/>
  <c r="EU74" i="335" s="1"/>
  <c r="EU47" i="11" s="1"/>
  <c r="DD397" i="335"/>
  <c r="DE383" i="335"/>
  <c r="DE397" i="335" s="1"/>
  <c r="DE385" i="338" s="1"/>
  <c r="EN74" i="335"/>
  <c r="EN289" i="335" s="1"/>
  <c r="DW292" i="335"/>
  <c r="EC292" i="335"/>
  <c r="DW343" i="335"/>
  <c r="DW103" i="336"/>
  <c r="DV413" i="338"/>
  <c r="DW413" i="338" s="1"/>
  <c r="ER266" i="338"/>
  <c r="DV337" i="335"/>
  <c r="DV45" i="11"/>
  <c r="DV54" i="11" s="1"/>
  <c r="EI383" i="335"/>
  <c r="EI397" i="335" s="1"/>
  <c r="EH397" i="335"/>
  <c r="DY338" i="335"/>
  <c r="DY46" i="11"/>
  <c r="DY55" i="11" s="1"/>
  <c r="DY288" i="335"/>
  <c r="AN397" i="335"/>
  <c r="AW84" i="3"/>
  <c r="DB436" i="335"/>
  <c r="DC84" i="336"/>
  <c r="CI432" i="338"/>
  <c r="GB480" i="338" s="1"/>
  <c r="DV289" i="335"/>
  <c r="DV339" i="335"/>
  <c r="DV314" i="335"/>
  <c r="DV47" i="11"/>
  <c r="EM272" i="338"/>
  <c r="EM74" i="335"/>
  <c r="EK73" i="335"/>
  <c r="EK313" i="335" s="1"/>
  <c r="EK266" i="338"/>
  <c r="EB317" i="338"/>
  <c r="EQ266" i="338"/>
  <c r="EL164" i="336"/>
  <c r="FY98" i="335"/>
  <c r="EE144" i="335"/>
  <c r="DZ350" i="335"/>
  <c r="DY289" i="335"/>
  <c r="DY314" i="335"/>
  <c r="DY339" i="335"/>
  <c r="DY47" i="11"/>
  <c r="AK67" i="3"/>
  <c r="AJ16" i="3"/>
  <c r="AK16" i="3" s="1"/>
  <c r="EL272" i="338"/>
  <c r="EL74" i="335"/>
  <c r="EL73" i="335"/>
  <c r="ER288" i="335" s="1"/>
  <c r="EL266" i="338"/>
  <c r="EM72" i="335"/>
  <c r="EA46" i="11"/>
  <c r="EG55" i="11" s="1"/>
  <c r="EA338" i="335"/>
  <c r="EA288" i="335"/>
  <c r="EG288" i="335"/>
  <c r="AD85" i="3"/>
  <c r="AE85" i="3" s="1"/>
  <c r="DW367" i="335"/>
  <c r="DV369" i="335"/>
  <c r="DW744" i="338"/>
  <c r="AV170" i="335"/>
  <c r="AV212" i="335"/>
  <c r="AV182" i="335"/>
  <c r="AV350" i="335"/>
  <c r="BB298" i="335"/>
  <c r="EQ272" i="338"/>
  <c r="FY46" i="335"/>
  <c r="FY87" i="335" s="1"/>
  <c r="CC170" i="335"/>
  <c r="CC173" i="335"/>
  <c r="CC174" i="335" s="1"/>
  <c r="CC350" i="335"/>
  <c r="CC182" i="335"/>
  <c r="CC212" i="335"/>
  <c r="CC213" i="335" s="1"/>
  <c r="EA337" i="335"/>
  <c r="EA45" i="11"/>
  <c r="BO315" i="338"/>
  <c r="BO394" i="335"/>
  <c r="BO392" i="335"/>
  <c r="BO393" i="335"/>
  <c r="BO314" i="338"/>
  <c r="BO369" i="335"/>
  <c r="DD108" i="3"/>
  <c r="DD106" i="3"/>
  <c r="DD109" i="3"/>
  <c r="CY180" i="335"/>
  <c r="DA180" i="335"/>
  <c r="CX176" i="335"/>
  <c r="CX182" i="335" s="1"/>
  <c r="CX187" i="335" s="1"/>
  <c r="EM73" i="335"/>
  <c r="EK260" i="338"/>
  <c r="EK72" i="335"/>
  <c r="EQ287" i="335" s="1"/>
  <c r="EN73" i="335"/>
  <c r="EQ313" i="335" s="1"/>
  <c r="EK74" i="335"/>
  <c r="EK272" i="338"/>
  <c r="EO271" i="338"/>
  <c r="EO272" i="338" s="1"/>
  <c r="EA339" i="335"/>
  <c r="EA289" i="335"/>
  <c r="EA47" i="11"/>
  <c r="EA56" i="11" s="1"/>
  <c r="DW74" i="335"/>
  <c r="DW339" i="335" s="1"/>
  <c r="AK84" i="3"/>
  <c r="DC179" i="335"/>
  <c r="DD179" i="335" s="1"/>
  <c r="DE179" i="335" s="1"/>
  <c r="ES260" i="338"/>
  <c r="CV109" i="3"/>
  <c r="DB106" i="3"/>
  <c r="CV108" i="3"/>
  <c r="AZ106" i="3"/>
  <c r="AZ109" i="3"/>
  <c r="AZ114" i="3"/>
  <c r="EU12" i="336"/>
  <c r="R9" i="3"/>
  <c r="BF397" i="335"/>
  <c r="BL397" i="335"/>
  <c r="AT109" i="3"/>
  <c r="AT110" i="3" s="1"/>
  <c r="AT106" i="3"/>
  <c r="BB32" i="3"/>
  <c r="BC84" i="3"/>
  <c r="AU145" i="336"/>
  <c r="EB607" i="338"/>
  <c r="EH653" i="338" s="1"/>
  <c r="S60" i="3"/>
  <c r="DW676" i="338"/>
  <c r="EO20" i="3"/>
  <c r="EO71" i="3"/>
  <c r="AH109" i="3"/>
  <c r="AN106" i="3"/>
  <c r="S95" i="3"/>
  <c r="CV397" i="335"/>
  <c r="CV398" i="335" s="1"/>
  <c r="AV24" i="3"/>
  <c r="AW24" i="3" s="1"/>
  <c r="DV609" i="338"/>
  <c r="DV612" i="338" s="1"/>
  <c r="DV613" i="338" s="1"/>
  <c r="DV681" i="338" s="1"/>
  <c r="DV606" i="338"/>
  <c r="BA87" i="3"/>
  <c r="BA383" i="335"/>
  <c r="BA397" i="335" s="1"/>
  <c r="BA105" i="3"/>
  <c r="AT397" i="335"/>
  <c r="DW607" i="338"/>
  <c r="EC653" i="338" s="1"/>
  <c r="EC651" i="338" s="1"/>
  <c r="EC650" i="338" s="1"/>
  <c r="S75" i="3"/>
  <c r="BB24" i="3"/>
  <c r="BC24" i="3" s="1"/>
  <c r="R41" i="3"/>
  <c r="S36" i="3"/>
  <c r="S41" i="3" s="1"/>
  <c r="AV31" i="3"/>
  <c r="AV382" i="335"/>
  <c r="AV144" i="336"/>
  <c r="AW144" i="336" s="1"/>
  <c r="ES390" i="335"/>
  <c r="X32" i="3"/>
  <c r="Y32" i="3" s="1"/>
  <c r="Y84" i="3"/>
  <c r="BF114" i="3"/>
  <c r="BF109" i="3"/>
  <c r="BF106" i="3"/>
  <c r="BN16" i="3"/>
  <c r="BB23" i="3"/>
  <c r="BC23" i="3" s="1"/>
  <c r="BC74" i="3"/>
  <c r="P109" i="3"/>
  <c r="AA110" i="3"/>
  <c r="AG110" i="3"/>
  <c r="AV384" i="335"/>
  <c r="BG383" i="335"/>
  <c r="DK766" i="338"/>
  <c r="DK774" i="338"/>
  <c r="DK770" i="338"/>
  <c r="BC67" i="3"/>
  <c r="BB22" i="3"/>
  <c r="BC22" i="3" s="1"/>
  <c r="BC73" i="3"/>
  <c r="AB109" i="3"/>
  <c r="AH110" i="3" s="1"/>
  <c r="AU87" i="3"/>
  <c r="AU383" i="335"/>
  <c r="AU397" i="335" s="1"/>
  <c r="AU105" i="3"/>
  <c r="BX266" i="336"/>
  <c r="BX271" i="336" s="1"/>
  <c r="BY266" i="336" s="1"/>
  <c r="BW246" i="336"/>
  <c r="BW253" i="336" s="1"/>
  <c r="DE638" i="338"/>
  <c r="DY675" i="338"/>
  <c r="DY626" i="338"/>
  <c r="DZ688" i="338"/>
  <c r="EL260" i="338"/>
  <c r="EO259" i="338"/>
  <c r="ER259" i="338"/>
  <c r="ER72" i="335" s="1"/>
  <c r="ER45" i="11" s="1"/>
  <c r="EX262" i="338"/>
  <c r="EF337" i="335"/>
  <c r="EF45" i="11"/>
  <c r="FY138" i="335"/>
  <c r="EU253" i="338"/>
  <c r="EU765" i="338" s="1"/>
  <c r="ES257" i="338"/>
  <c r="EE214" i="338"/>
  <c r="DT218" i="338"/>
  <c r="DY221" i="338"/>
  <c r="DS217" i="338"/>
  <c r="EA217" i="338"/>
  <c r="EG221" i="338"/>
  <c r="DZ217" i="338"/>
  <c r="EF219" i="338"/>
  <c r="DU218" i="338"/>
  <c r="DM224" i="338"/>
  <c r="DM218" i="338"/>
  <c r="EK33" i="338"/>
  <c r="EK36" i="338" s="1"/>
  <c r="EK37" i="338" s="1"/>
  <c r="EO25" i="338"/>
  <c r="EO11" i="338"/>
  <c r="ES79" i="336"/>
  <c r="ES440" i="335" s="1"/>
  <c r="ER75" i="336"/>
  <c r="ER436" i="335" s="1"/>
  <c r="EE59" i="336"/>
  <c r="EE420" i="335" s="1"/>
  <c r="EO428" i="335"/>
  <c r="DK426" i="335"/>
  <c r="DG58" i="336"/>
  <c r="DG419" i="335" s="1"/>
  <c r="DD417" i="335"/>
  <c r="EW81" i="3"/>
  <c r="EU180" i="335"/>
  <c r="BE215" i="335"/>
  <c r="BE213" i="335"/>
  <c r="BE184" i="335"/>
  <c r="BE187" i="335" s="1"/>
  <c r="DI492" i="338"/>
  <c r="DI493" i="338"/>
  <c r="DC173" i="335"/>
  <c r="DC174" i="335" s="1"/>
  <c r="DC212" i="335"/>
  <c r="DI433" i="338"/>
  <c r="DC207" i="335"/>
  <c r="EM25" i="11"/>
  <c r="EM31" i="11"/>
  <c r="EM357" i="335"/>
  <c r="EM12" i="335"/>
  <c r="EO12" i="335" s="1"/>
  <c r="EW89" i="11"/>
  <c r="FC89" i="11" s="1"/>
  <c r="CI298" i="335"/>
  <c r="CI182" i="335"/>
  <c r="CI350" i="335"/>
  <c r="CI173" i="335"/>
  <c r="CI174" i="335" s="1"/>
  <c r="CU270" i="335"/>
  <c r="CR182" i="335"/>
  <c r="CR173" i="335"/>
  <c r="CR174" i="335" s="1"/>
  <c r="CR170" i="335"/>
  <c r="CR212" i="335"/>
  <c r="CU323" i="335"/>
  <c r="CR350" i="335"/>
  <c r="CR199" i="335"/>
  <c r="CR200" i="335" s="1"/>
  <c r="ES452" i="335"/>
  <c r="ET91" i="336"/>
  <c r="CO493" i="338"/>
  <c r="EX119" i="11"/>
  <c r="EX42" i="335"/>
  <c r="EX58" i="338" s="1"/>
  <c r="EX279" i="335"/>
  <c r="EF36" i="338"/>
  <c r="EF337" i="338"/>
  <c r="EH24" i="338"/>
  <c r="EH11" i="338"/>
  <c r="EH12" i="338" s="1"/>
  <c r="EG332" i="338"/>
  <c r="EG12" i="338"/>
  <c r="EB432" i="338"/>
  <c r="FL89" i="11"/>
  <c r="FL93" i="11" s="1"/>
  <c r="FL97" i="11" s="1"/>
  <c r="AW315" i="338"/>
  <c r="ER164" i="336"/>
  <c r="AW314" i="338"/>
  <c r="AW394" i="335"/>
  <c r="BS212" i="335"/>
  <c r="BS170" i="335"/>
  <c r="BS173" i="335"/>
  <c r="BS174" i="335" s="1"/>
  <c r="BS350" i="335"/>
  <c r="BS182" i="335"/>
  <c r="BS298" i="335"/>
  <c r="AA213" i="335"/>
  <c r="EC73" i="335"/>
  <c r="EC46" i="11" s="1"/>
  <c r="CQ162" i="338"/>
  <c r="FI376" i="335"/>
  <c r="CQ170" i="335"/>
  <c r="CQ173" i="335"/>
  <c r="CQ174" i="335" s="1"/>
  <c r="CQ199" i="335"/>
  <c r="CQ298" i="335"/>
  <c r="CR270" i="335"/>
  <c r="CR323" i="335"/>
  <c r="CQ182" i="335"/>
  <c r="CQ187" i="335" s="1"/>
  <c r="CQ212" i="335"/>
  <c r="CQ213" i="335" s="1"/>
  <c r="CQ350" i="335"/>
  <c r="FD40" i="338"/>
  <c r="FJ39" i="335"/>
  <c r="FJ228" i="338" s="1"/>
  <c r="ER313" i="335"/>
  <c r="ER314" i="335"/>
  <c r="EA314" i="335"/>
  <c r="DZ289" i="335"/>
  <c r="BG213" i="335"/>
  <c r="BG215" i="335"/>
  <c r="EI272" i="338"/>
  <c r="EF312" i="335"/>
  <c r="ER169" i="336"/>
  <c r="ES108" i="336"/>
  <c r="ER168" i="336"/>
  <c r="CK351" i="335"/>
  <c r="CK189" i="335"/>
  <c r="CK487" i="338" s="1"/>
  <c r="CK229" i="336"/>
  <c r="CK263" i="336" s="1"/>
  <c r="CK461" i="335"/>
  <c r="CK199" i="335"/>
  <c r="CK201" i="335" s="1"/>
  <c r="CK202" i="335" s="1"/>
  <c r="FV74" i="335"/>
  <c r="FD119" i="11"/>
  <c r="FD228" i="338"/>
  <c r="FD279" i="335"/>
  <c r="DN492" i="338"/>
  <c r="DN493" i="338"/>
  <c r="AS350" i="335"/>
  <c r="AS375" i="335"/>
  <c r="AS170" i="335"/>
  <c r="AS298" i="335"/>
  <c r="CX173" i="335"/>
  <c r="CX174" i="335" s="1"/>
  <c r="CX298" i="335"/>
  <c r="CX170" i="335"/>
  <c r="CX212" i="335"/>
  <c r="EX39" i="338"/>
  <c r="EU82" i="3"/>
  <c r="X218" i="335"/>
  <c r="X220" i="335" s="1"/>
  <c r="X217" i="335"/>
  <c r="X184" i="335" s="1"/>
  <c r="EB289" i="335"/>
  <c r="AB212" i="335"/>
  <c r="AB215" i="335" s="1"/>
  <c r="AB217" i="335" s="1"/>
  <c r="AB350" i="335"/>
  <c r="AB368" i="335"/>
  <c r="AB323" i="335"/>
  <c r="AB182" i="335"/>
  <c r="AB170" i="335"/>
  <c r="EC58" i="11"/>
  <c r="EE46" i="11"/>
  <c r="EE55" i="11" s="1"/>
  <c r="EE337" i="335"/>
  <c r="EE45" i="11"/>
  <c r="EE54" i="11" s="1"/>
  <c r="EE287" i="335"/>
  <c r="EL64" i="335"/>
  <c r="ER64" i="335" s="1"/>
  <c r="EH288" i="335"/>
  <c r="EB338" i="335"/>
  <c r="EB46" i="11"/>
  <c r="EH55" i="11" s="1"/>
  <c r="EB47" i="11"/>
  <c r="EB56" i="11" s="1"/>
  <c r="EB313" i="335"/>
  <c r="EE47" i="11"/>
  <c r="EE339" i="335"/>
  <c r="EF314" i="335"/>
  <c r="EI74" i="335"/>
  <c r="EI47" i="11" s="1"/>
  <c r="DV675" i="338"/>
  <c r="DV626" i="338"/>
  <c r="EQ123" i="11"/>
  <c r="DH229" i="335"/>
  <c r="DH209" i="336" s="1"/>
  <c r="DI228" i="335"/>
  <c r="DI229" i="335" s="1"/>
  <c r="BB215" i="335"/>
  <c r="BB217" i="335" s="1"/>
  <c r="BB213" i="335"/>
  <c r="DG209" i="336"/>
  <c r="BF217" i="335"/>
  <c r="BF218" i="335"/>
  <c r="DB225" i="338"/>
  <c r="AG184" i="335"/>
  <c r="AG185" i="335" s="1"/>
  <c r="AG460" i="335" s="1"/>
  <c r="AG215" i="335"/>
  <c r="AG218" i="335" s="1"/>
  <c r="O461" i="335"/>
  <c r="EN385" i="335"/>
  <c r="EO385" i="335" s="1"/>
  <c r="EO391" i="338" s="1"/>
  <c r="EO774" i="338"/>
  <c r="EO775" i="338"/>
  <c r="DB230" i="338"/>
  <c r="DH225" i="338"/>
  <c r="EC144" i="335"/>
  <c r="EC388" i="338" s="1"/>
  <c r="EE432" i="338"/>
  <c r="EG69" i="336"/>
  <c r="EN38" i="11"/>
  <c r="EN37" i="11"/>
  <c r="DE277" i="338"/>
  <c r="DD388" i="335"/>
  <c r="CY388" i="335"/>
  <c r="DP278" i="338"/>
  <c r="DQ278" i="338" s="1"/>
  <c r="DK278" i="338"/>
  <c r="DJ277" i="338"/>
  <c r="E219" i="335"/>
  <c r="E220" i="335"/>
  <c r="AM218" i="335"/>
  <c r="AM219" i="335" s="1"/>
  <c r="AM217" i="335"/>
  <c r="BH220" i="335"/>
  <c r="AZ187" i="335"/>
  <c r="AZ351" i="335" s="1"/>
  <c r="EQ53" i="338"/>
  <c r="EQ39" i="338"/>
  <c r="AA218" i="335"/>
  <c r="AA217" i="335"/>
  <c r="AA184" i="335" s="1"/>
  <c r="AA185" i="335" s="1"/>
  <c r="AA460" i="335" s="1"/>
  <c r="AZ217" i="335"/>
  <c r="AZ218" i="335"/>
  <c r="AZ219" i="335" s="1"/>
  <c r="EF76" i="11"/>
  <c r="EM168" i="336"/>
  <c r="ES104" i="335"/>
  <c r="ES141" i="335" s="1"/>
  <c r="EY292" i="335" s="1"/>
  <c r="EN108" i="336"/>
  <c r="EO731" i="338"/>
  <c r="EO732" i="338" s="1"/>
  <c r="EN282" i="338"/>
  <c r="ER300" i="338"/>
  <c r="ER301" i="338"/>
  <c r="ER282" i="338"/>
  <c r="EO780" i="338"/>
  <c r="EO781" i="338"/>
  <c r="EN281" i="338"/>
  <c r="EO281" i="338" s="1"/>
  <c r="EQ283" i="338"/>
  <c r="EN280" i="338"/>
  <c r="EO759" i="338"/>
  <c r="FD262" i="338"/>
  <c r="BM217" i="335"/>
  <c r="BM185" i="335" s="1"/>
  <c r="BM239" i="335" s="1"/>
  <c r="BM156" i="335" s="1"/>
  <c r="BM218" i="335"/>
  <c r="EQ377" i="335"/>
  <c r="EZ23" i="3"/>
  <c r="EZ74" i="3" s="1"/>
  <c r="CR626" i="338"/>
  <c r="DJ626" i="338"/>
  <c r="CI185" i="335"/>
  <c r="CI199" i="335" s="1"/>
  <c r="CI200" i="335" s="1"/>
  <c r="CI187" i="335"/>
  <c r="CI189" i="335" s="1"/>
  <c r="ES314" i="335"/>
  <c r="EB219" i="338"/>
  <c r="DW219" i="338"/>
  <c r="DW220" i="338" s="1"/>
  <c r="DH230" i="338"/>
  <c r="DN224" i="338"/>
  <c r="DN225" i="338" s="1"/>
  <c r="DO214" i="338"/>
  <c r="DI224" i="338"/>
  <c r="DI230" i="338" s="1"/>
  <c r="DC225" i="338"/>
  <c r="ES289" i="335"/>
  <c r="DW392" i="335"/>
  <c r="EI314" i="338"/>
  <c r="DW394" i="335"/>
  <c r="DW314" i="338"/>
  <c r="DW401" i="338"/>
  <c r="EC401" i="338"/>
  <c r="EI401" i="338"/>
  <c r="EC314" i="338"/>
  <c r="DU323" i="335"/>
  <c r="DU350" i="335"/>
  <c r="DU212" i="335"/>
  <c r="DU213" i="335" s="1"/>
  <c r="DU170" i="335"/>
  <c r="DU270" i="335"/>
  <c r="ES313" i="335"/>
  <c r="EN152" i="335"/>
  <c r="EO150" i="335"/>
  <c r="EN370" i="335"/>
  <c r="EO370" i="335" s="1"/>
  <c r="EN319" i="335"/>
  <c r="EN346" i="335"/>
  <c r="EN294" i="335"/>
  <c r="EN160" i="338"/>
  <c r="EN155" i="335"/>
  <c r="EO153" i="335"/>
  <c r="EO777" i="338" s="1"/>
  <c r="EN347" i="335"/>
  <c r="EN320" i="335"/>
  <c r="EN295" i="335"/>
  <c r="EN167" i="335"/>
  <c r="ET296" i="335" s="1"/>
  <c r="EN345" i="335"/>
  <c r="EN149" i="335"/>
  <c r="EN293" i="335"/>
  <c r="EM169" i="336"/>
  <c r="EO10" i="336"/>
  <c r="EU128" i="336" s="1"/>
  <c r="EN377" i="335"/>
  <c r="EO377" i="335" s="1"/>
  <c r="EN408" i="338"/>
  <c r="EO408" i="338" s="1"/>
  <c r="DB180" i="335"/>
  <c r="DC180" i="335" s="1"/>
  <c r="DA176" i="335"/>
  <c r="EM164" i="336"/>
  <c r="ES98" i="335"/>
  <c r="EU98" i="335" s="1"/>
  <c r="ES306" i="335"/>
  <c r="ES48" i="335"/>
  <c r="ES47" i="335"/>
  <c r="ES281" i="335"/>
  <c r="ES83" i="335"/>
  <c r="EN164" i="336"/>
  <c r="EZ173" i="338"/>
  <c r="ET266" i="338"/>
  <c r="EU265" i="338"/>
  <c r="EK314" i="335"/>
  <c r="AV215" i="335"/>
  <c r="AV213" i="335"/>
  <c r="ET260" i="338"/>
  <c r="BI32" i="3"/>
  <c r="EN313" i="335"/>
  <c r="CC215" i="335"/>
  <c r="EM339" i="335"/>
  <c r="EM289" i="335"/>
  <c r="EM47" i="11"/>
  <c r="ES56" i="11" s="1"/>
  <c r="EU271" i="338"/>
  <c r="EU272" i="338" s="1"/>
  <c r="CC185" i="335"/>
  <c r="CC239" i="335" s="1"/>
  <c r="CC156" i="335" s="1"/>
  <c r="CC199" i="335" s="1"/>
  <c r="CC187" i="335"/>
  <c r="CC229" i="336" s="1"/>
  <c r="CC263" i="336" s="1"/>
  <c r="EL398" i="335"/>
  <c r="AW31" i="3"/>
  <c r="AW401" i="338" s="1"/>
  <c r="EC665" i="338"/>
  <c r="EC663" i="338" s="1"/>
  <c r="EC662" i="338" s="1"/>
  <c r="EC647" i="338"/>
  <c r="EC645" i="338" s="1"/>
  <c r="EC644" i="338" s="1"/>
  <c r="EC671" i="338"/>
  <c r="EC669" i="338" s="1"/>
  <c r="EC668" i="338" s="1"/>
  <c r="EC641" i="338"/>
  <c r="EC639" i="338" s="1"/>
  <c r="EC638" i="338" s="1"/>
  <c r="EC635" i="338"/>
  <c r="EC633" i="338" s="1"/>
  <c r="EC632" i="338" s="1"/>
  <c r="EC629" i="338"/>
  <c r="EC627" i="338" s="1"/>
  <c r="EC626" i="338" s="1"/>
  <c r="EC659" i="338"/>
  <c r="EC657" i="338" s="1"/>
  <c r="EC656" i="338" s="1"/>
  <c r="DV615" i="338"/>
  <c r="DV616" i="338" s="1"/>
  <c r="DV607" i="338"/>
  <c r="EB653" i="338" s="1"/>
  <c r="EB651" i="338" s="1"/>
  <c r="EB650" i="338" s="1"/>
  <c r="EU20" i="336"/>
  <c r="DB110" i="3"/>
  <c r="EU319" i="338"/>
  <c r="BC32" i="3"/>
  <c r="BA106" i="3"/>
  <c r="BA109" i="3"/>
  <c r="BA114" i="3"/>
  <c r="EH647" i="338"/>
  <c r="EH671" i="338"/>
  <c r="EH635" i="338"/>
  <c r="EH641" i="338"/>
  <c r="EH629" i="338"/>
  <c r="EH665" i="338"/>
  <c r="BO16" i="3"/>
  <c r="EU179" i="335"/>
  <c r="AV145" i="336"/>
  <c r="AN110" i="3"/>
  <c r="S9" i="3"/>
  <c r="DY674" i="338"/>
  <c r="ER260" i="338"/>
  <c r="EU259" i="338"/>
  <c r="EU260" i="338" s="1"/>
  <c r="EL45" i="11"/>
  <c r="EL54" i="11" s="1"/>
  <c r="EL287" i="335"/>
  <c r="EU254" i="338"/>
  <c r="ET257" i="338"/>
  <c r="EM221" i="338"/>
  <c r="ES221" i="338" s="1"/>
  <c r="EG217" i="338"/>
  <c r="DS218" i="338"/>
  <c r="DS224" i="338"/>
  <c r="DS230" i="338" s="1"/>
  <c r="DM230" i="338"/>
  <c r="EA218" i="338"/>
  <c r="EK214" i="338"/>
  <c r="EL219" i="338"/>
  <c r="EL217" i="338" s="1"/>
  <c r="EF217" i="338"/>
  <c r="EE221" i="338"/>
  <c r="DY217" i="338"/>
  <c r="DZ218" i="338"/>
  <c r="DH58" i="336"/>
  <c r="DH419" i="335" s="1"/>
  <c r="EI427" i="335"/>
  <c r="DK424" i="335"/>
  <c r="ES75" i="336"/>
  <c r="ES436" i="335" s="1"/>
  <c r="ET79" i="336"/>
  <c r="EM229" i="335"/>
  <c r="EM209" i="336" s="1"/>
  <c r="EZ179" i="335"/>
  <c r="FC179" i="335" s="1"/>
  <c r="FD179" i="335" s="1"/>
  <c r="BE217" i="335"/>
  <c r="BE218" i="335"/>
  <c r="BE207" i="336" s="1"/>
  <c r="BE210" i="336" s="1"/>
  <c r="BE211" i="336" s="1"/>
  <c r="DC213" i="335"/>
  <c r="EM358" i="335"/>
  <c r="EM356" i="335"/>
  <c r="EM26" i="11"/>
  <c r="EM32" i="11" s="1"/>
  <c r="EW93" i="11"/>
  <c r="EW97" i="11" s="1"/>
  <c r="CR215" i="335"/>
  <c r="CR217" i="335" s="1"/>
  <c r="CR213" i="335"/>
  <c r="ET452" i="335"/>
  <c r="EW91" i="336"/>
  <c r="EX123" i="11"/>
  <c r="EH33" i="338"/>
  <c r="EH337" i="338" s="1"/>
  <c r="EH339" i="338" s="1"/>
  <c r="EI24" i="338"/>
  <c r="EI33" i="338"/>
  <c r="EI36" i="338" s="1"/>
  <c r="EI37" i="338" s="1"/>
  <c r="EN35" i="338"/>
  <c r="FJ262" i="338"/>
  <c r="FF173" i="338"/>
  <c r="BS213" i="335"/>
  <c r="BS215" i="335"/>
  <c r="BS217" i="335" s="1"/>
  <c r="BS185" i="335" s="1"/>
  <c r="ER312" i="335"/>
  <c r="ER287" i="335"/>
  <c r="ER387" i="335"/>
  <c r="ER377" i="335"/>
  <c r="X219" i="335"/>
  <c r="EQ108" i="336"/>
  <c r="DK228" i="335"/>
  <c r="EF437" i="335"/>
  <c r="DJ388" i="335"/>
  <c r="DK277" i="338"/>
  <c r="DE285" i="338"/>
  <c r="AA220" i="335"/>
  <c r="AA219" i="335"/>
  <c r="EN169" i="336"/>
  <c r="EN168" i="336"/>
  <c r="EU29" i="3"/>
  <c r="EU81" i="3"/>
  <c r="EO282" i="338"/>
  <c r="EN283" i="338"/>
  <c r="EN313" i="338"/>
  <c r="EN387" i="335"/>
  <c r="ES391" i="335"/>
  <c r="ES282" i="338"/>
  <c r="ES300" i="338"/>
  <c r="ES301" i="338" s="1"/>
  <c r="EN389" i="335"/>
  <c r="EO280" i="338"/>
  <c r="EO389" i="335" s="1"/>
  <c r="EC219" i="338"/>
  <c r="EC220" i="338" s="1"/>
  <c r="EH219" i="338"/>
  <c r="EO24" i="336"/>
  <c r="EO19" i="11"/>
  <c r="EN25" i="11"/>
  <c r="EN31" i="11" s="1"/>
  <c r="EN357" i="335"/>
  <c r="EO13" i="11"/>
  <c r="EO25" i="11" s="1"/>
  <c r="EO31" i="11" s="1"/>
  <c r="CC461" i="335"/>
  <c r="CC458" i="335"/>
  <c r="EO18" i="11"/>
  <c r="EN24" i="11"/>
  <c r="EN30" i="11" s="1"/>
  <c r="EN355" i="335"/>
  <c r="EO12" i="11"/>
  <c r="EU73" i="335"/>
  <c r="EU46" i="11" s="1"/>
  <c r="EQ164" i="336"/>
  <c r="EU46" i="335"/>
  <c r="EU127" i="335" s="1"/>
  <c r="EO19" i="3"/>
  <c r="EO70" i="3"/>
  <c r="EX319" i="338"/>
  <c r="EW390" i="335"/>
  <c r="EB671" i="338"/>
  <c r="EB669" i="338" s="1"/>
  <c r="EB668" i="338" s="1"/>
  <c r="EB641" i="338"/>
  <c r="EB639" i="338" s="1"/>
  <c r="EB678" i="338" s="1"/>
  <c r="EB687" i="338" s="1"/>
  <c r="EB635" i="338"/>
  <c r="EB633" i="338" s="1"/>
  <c r="EB665" i="338"/>
  <c r="EB663" i="338" s="1"/>
  <c r="EB662" i="338" s="1"/>
  <c r="EB629" i="338"/>
  <c r="EB627" i="338" s="1"/>
  <c r="EB626" i="338" s="1"/>
  <c r="EB647" i="338"/>
  <c r="EB645" i="338" s="1"/>
  <c r="EB644" i="338" s="1"/>
  <c r="EU322" i="338"/>
  <c r="EU390" i="335"/>
  <c r="EU16" i="3"/>
  <c r="EU67" i="3"/>
  <c r="AW418" i="338"/>
  <c r="EU13" i="336"/>
  <c r="ES312" i="335"/>
  <c r="EU72" i="335"/>
  <c r="EU45" i="11" s="1"/>
  <c r="EU75" i="335"/>
  <c r="ES311" i="335"/>
  <c r="ES88" i="335"/>
  <c r="ES96" i="335"/>
  <c r="ES89" i="335"/>
  <c r="ES286" i="335"/>
  <c r="EK221" i="338"/>
  <c r="EE217" i="338"/>
  <c r="EG218" i="338"/>
  <c r="EF218" i="338"/>
  <c r="DY224" i="338"/>
  <c r="DY218" i="338"/>
  <c r="EQ214" i="338"/>
  <c r="DI58" i="336"/>
  <c r="EZ19" i="336"/>
  <c r="EM225" i="335"/>
  <c r="EM191" i="335"/>
  <c r="FZ180" i="335"/>
  <c r="EU116" i="335"/>
  <c r="EU117" i="335" s="1"/>
  <c r="BE189" i="335"/>
  <c r="BE351" i="335"/>
  <c r="CR218" i="335"/>
  <c r="CR207" i="336" s="1"/>
  <c r="CR184" i="336" s="1"/>
  <c r="CR208" i="336" s="1"/>
  <c r="CR210" i="336" s="1"/>
  <c r="CR211" i="336" s="1"/>
  <c r="EH36" i="338"/>
  <c r="FK151" i="335"/>
  <c r="AB218" i="335"/>
  <c r="EQ11" i="335"/>
  <c r="EQ357" i="335"/>
  <c r="EQ10" i="335"/>
  <c r="EQ355" i="335"/>
  <c r="EQ169" i="336"/>
  <c r="EQ168" i="336"/>
  <c r="DK285" i="338"/>
  <c r="DK388" i="335"/>
  <c r="EU320" i="338"/>
  <c r="EU391" i="335" s="1"/>
  <c r="EO283" i="338"/>
  <c r="EO243" i="335"/>
  <c r="EO245" i="335" s="1"/>
  <c r="ES283" i="338"/>
  <c r="ES387" i="335"/>
  <c r="EO287" i="338"/>
  <c r="EI219" i="338"/>
  <c r="EI220" i="338"/>
  <c r="EN219" i="338"/>
  <c r="EO357" i="335"/>
  <c r="EU44" i="11"/>
  <c r="EU53" i="11" s="1"/>
  <c r="EO14" i="336"/>
  <c r="EO355" i="335"/>
  <c r="EO24" i="11"/>
  <c r="EO30" i="11" s="1"/>
  <c r="EN26" i="11"/>
  <c r="EN32" i="11"/>
  <c r="EO14" i="11"/>
  <c r="EN358" i="335"/>
  <c r="EN356" i="335" s="1"/>
  <c r="EO20" i="11"/>
  <c r="EW306" i="335"/>
  <c r="EW281" i="335"/>
  <c r="EW44" i="11"/>
  <c r="EW53" i="11" s="1"/>
  <c r="FZ46" i="335"/>
  <c r="EW67" i="3"/>
  <c r="EU71" i="3"/>
  <c r="EU20" i="3"/>
  <c r="EQ358" i="335"/>
  <c r="EQ356" i="335" s="1"/>
  <c r="EQ316" i="338"/>
  <c r="EQ317" i="338" s="1"/>
  <c r="ER408" i="338"/>
  <c r="FY150" i="335"/>
  <c r="EW48" i="11"/>
  <c r="ET728" i="338"/>
  <c r="EU138" i="335"/>
  <c r="EU768" i="338" s="1"/>
  <c r="EE224" i="338"/>
  <c r="EE230" i="338" s="1"/>
  <c r="EE218" i="338"/>
  <c r="EL218" i="338"/>
  <c r="EK217" i="338"/>
  <c r="EQ221" i="338"/>
  <c r="EW221" i="338" s="1"/>
  <c r="EW214" i="338"/>
  <c r="FC214" i="338" s="1"/>
  <c r="FI214" i="338" s="1"/>
  <c r="ES217" i="338"/>
  <c r="EM91" i="3"/>
  <c r="ER355" i="335"/>
  <c r="ER10" i="335"/>
  <c r="ER357" i="335"/>
  <c r="ER11" i="335"/>
  <c r="EU153" i="335"/>
  <c r="EU611" i="338" s="1"/>
  <c r="EU147" i="335"/>
  <c r="EU728" i="338" s="1"/>
  <c r="EQ12" i="335"/>
  <c r="DQ426" i="335"/>
  <c r="EU772" i="338"/>
  <c r="EU746" i="338"/>
  <c r="EW391" i="335"/>
  <c r="EX320" i="338"/>
  <c r="EX391" i="335" s="1"/>
  <c r="EW300" i="338"/>
  <c r="EW301" i="338" s="1"/>
  <c r="FZ75" i="335"/>
  <c r="EO219" i="338"/>
  <c r="EO220" i="338" s="1"/>
  <c r="ET219" i="338"/>
  <c r="EZ219" i="338" s="1"/>
  <c r="EO26" i="11"/>
  <c r="EO358" i="335"/>
  <c r="EO356" i="335" s="1"/>
  <c r="EZ20" i="336"/>
  <c r="FA20" i="336" s="1"/>
  <c r="ES10" i="335"/>
  <c r="ES11" i="335"/>
  <c r="ES295" i="335"/>
  <c r="ES155" i="335"/>
  <c r="ES319" i="335"/>
  <c r="ES152" i="335"/>
  <c r="ES294" i="335"/>
  <c r="ES370" i="335"/>
  <c r="ES377" i="335"/>
  <c r="ES408" i="338"/>
  <c r="EQ217" i="338"/>
  <c r="EQ224" i="338" s="1"/>
  <c r="EQ230" i="338" s="1"/>
  <c r="EK224" i="338"/>
  <c r="EK218" i="338"/>
  <c r="FZ138" i="335"/>
  <c r="ER358" i="335"/>
  <c r="ER356" i="335" s="1"/>
  <c r="ER12" i="335"/>
  <c r="EO413" i="335"/>
  <c r="DQ424" i="335"/>
  <c r="EU780" i="338"/>
  <c r="EU781" i="338" s="1"/>
  <c r="EW387" i="335"/>
  <c r="EW283" i="338"/>
  <c r="EU731" i="338"/>
  <c r="ET731" i="338"/>
  <c r="ET282" i="338"/>
  <c r="EU282" i="338" s="1"/>
  <c r="ET389" i="335"/>
  <c r="EU759" i="338"/>
  <c r="FA253" i="338"/>
  <c r="FA765" i="338" s="1"/>
  <c r="EZ116" i="335"/>
  <c r="ES355" i="335"/>
  <c r="ET408" i="338"/>
  <c r="EU408" i="338" s="1"/>
  <c r="EU10" i="336"/>
  <c r="FA128" i="336" s="1"/>
  <c r="EU377" i="335"/>
  <c r="EU370" i="335"/>
  <c r="EU150" i="335"/>
  <c r="EU754" i="338" s="1"/>
  <c r="EU763" i="338" s="1"/>
  <c r="ES357" i="335"/>
  <c r="EZ75" i="335"/>
  <c r="EZ138" i="335" s="1"/>
  <c r="EZ728" i="338" s="1"/>
  <c r="EQ218" i="338"/>
  <c r="EO417" i="335"/>
  <c r="EO427" i="335"/>
  <c r="ES12" i="335"/>
  <c r="FA254" i="338"/>
  <c r="FC75" i="335"/>
  <c r="EX377" i="335"/>
  <c r="ES358" i="335"/>
  <c r="EU19" i="3"/>
  <c r="EU70" i="3"/>
  <c r="EW293" i="335"/>
  <c r="EW318" i="335"/>
  <c r="EW320" i="335"/>
  <c r="EW295" i="335"/>
  <c r="EU24" i="336"/>
  <c r="FZ150" i="335"/>
  <c r="EW370" i="335"/>
  <c r="EW319" i="335"/>
  <c r="EW294" i="335"/>
  <c r="EU14" i="336"/>
  <c r="EQ76" i="336"/>
  <c r="EQ437" i="335" s="1"/>
  <c r="FZ153" i="335"/>
  <c r="EU243" i="335"/>
  <c r="EU287" i="338"/>
  <c r="EU389" i="335"/>
  <c r="FD75" i="335"/>
  <c r="FD48" i="11" s="1"/>
  <c r="FC76" i="335"/>
  <c r="EX408" i="338"/>
  <c r="EW296" i="335"/>
  <c r="EW321" i="335"/>
  <c r="ER76" i="336"/>
  <c r="ER437" i="335" s="1"/>
  <c r="DW426" i="335"/>
  <c r="FE75" i="335"/>
  <c r="EO418" i="335"/>
  <c r="EM171" i="336"/>
  <c r="EO171" i="336" s="1"/>
  <c r="EU413" i="335"/>
  <c r="DW424" i="335"/>
  <c r="FF75" i="335"/>
  <c r="FF138" i="335" s="1"/>
  <c r="FF728" i="338" s="1"/>
  <c r="FG253" i="338"/>
  <c r="FG765" i="338" s="1"/>
  <c r="FG421" i="335"/>
  <c r="EO440" i="335"/>
  <c r="FA413" i="335"/>
  <c r="EC424" i="335"/>
  <c r="EM379" i="335"/>
  <c r="EM410" i="338"/>
  <c r="EU418" i="335"/>
  <c r="EM93" i="3"/>
  <c r="EO93" i="3" s="1"/>
  <c r="EO32" i="336"/>
  <c r="EN410" i="338"/>
  <c r="EO410" i="338" s="1"/>
  <c r="EN379" i="335"/>
  <c r="EO379" i="335" s="1"/>
  <c r="EN165" i="335"/>
  <c r="EO178" i="335"/>
  <c r="EO39" i="3"/>
  <c r="FG413" i="335"/>
  <c r="EN159" i="335"/>
  <c r="FA418" i="335"/>
  <c r="EI424" i="335"/>
  <c r="FG420" i="335"/>
  <c r="EO156" i="335"/>
  <c r="EO13" i="3"/>
  <c r="EO64" i="3"/>
  <c r="FG418" i="335"/>
  <c r="EO426" i="335"/>
  <c r="EO437" i="335"/>
  <c r="EO436" i="335"/>
  <c r="EQ379" i="335"/>
  <c r="FY178" i="335"/>
  <c r="ER379" i="335"/>
  <c r="EU419" i="335"/>
  <c r="ER410" i="338"/>
  <c r="ES379" i="335"/>
  <c r="ES410" i="338"/>
  <c r="EU178" i="335"/>
  <c r="ET410" i="338"/>
  <c r="EU410" i="338" s="1"/>
  <c r="EU379" i="335"/>
  <c r="EU32" i="336"/>
  <c r="FZ178" i="335"/>
  <c r="EX379" i="335"/>
  <c r="EU39" i="3"/>
  <c r="EU93" i="3"/>
  <c r="EW93" i="3"/>
  <c r="EW379" i="335"/>
  <c r="EW410" i="338"/>
  <c r="EX410" i="338"/>
  <c r="FA419" i="335"/>
  <c r="FG419" i="335"/>
  <c r="EO122" i="335"/>
  <c r="EO104" i="335" s="1"/>
  <c r="EM124" i="335"/>
  <c r="EM104" i="335"/>
  <c r="FY104" i="335" s="1"/>
  <c r="EM293" i="335"/>
  <c r="EM149" i="335"/>
  <c r="EN318" i="335"/>
  <c r="EM345" i="335"/>
  <c r="EM318" i="335"/>
  <c r="FY147" i="335"/>
  <c r="EO147" i="335"/>
  <c r="EO149" i="335" s="1"/>
  <c r="EM167" i="335"/>
  <c r="EN321" i="335" s="1"/>
  <c r="EM148" i="335"/>
  <c r="ES149" i="335"/>
  <c r="FZ147" i="335"/>
  <c r="ES318" i="335"/>
  <c r="ES293" i="335"/>
  <c r="ES167" i="335"/>
  <c r="EO28" i="336"/>
  <c r="EM397" i="338"/>
  <c r="EM75" i="3"/>
  <c r="EO34" i="336"/>
  <c r="EM73" i="3"/>
  <c r="EN397" i="338"/>
  <c r="EN30" i="336"/>
  <c r="EO30" i="336" s="1"/>
  <c r="EO27" i="336"/>
  <c r="EO397" i="338" s="1"/>
  <c r="EM30" i="336"/>
  <c r="EM35" i="336" s="1"/>
  <c r="EM43" i="336" s="1"/>
  <c r="EO24" i="3"/>
  <c r="EO75" i="3"/>
  <c r="EO22" i="3"/>
  <c r="EO73" i="3"/>
  <c r="EM45" i="336"/>
  <c r="EM46" i="336" s="1"/>
  <c r="EM407" i="338"/>
  <c r="EM378" i="335"/>
  <c r="EM15" i="336"/>
  <c r="EM21" i="336" s="1"/>
  <c r="EO177" i="335"/>
  <c r="EM380" i="335"/>
  <c r="EO184" i="335"/>
  <c r="EM174" i="336"/>
  <c r="EO174" i="336" s="1"/>
  <c r="EO176" i="336" s="1"/>
  <c r="EM60" i="3"/>
  <c r="EM25" i="3"/>
  <c r="EM142" i="336"/>
  <c r="EM63" i="3"/>
  <c r="EM65" i="3"/>
  <c r="EO18" i="336"/>
  <c r="EO216" i="335"/>
  <c r="EO9" i="3"/>
  <c r="EO60" i="3"/>
  <c r="EM33" i="3"/>
  <c r="EM51" i="3"/>
  <c r="EM83" i="3"/>
  <c r="EM382" i="335" s="1"/>
  <c r="EO136" i="336"/>
  <c r="EO17" i="336"/>
  <c r="EM92" i="3"/>
  <c r="EM41" i="3"/>
  <c r="EM45" i="3" s="1"/>
  <c r="EM90" i="3"/>
  <c r="EM185" i="336" s="1"/>
  <c r="EO186" i="336"/>
  <c r="EO226" i="335"/>
  <c r="EN229" i="335"/>
  <c r="EN209" i="336" s="1"/>
  <c r="EO224" i="335"/>
  <c r="EN225" i="335"/>
  <c r="EN191" i="335"/>
  <c r="EO223" i="335"/>
  <c r="EO191" i="335" s="1"/>
  <c r="EO37" i="3"/>
  <c r="EN45" i="336"/>
  <c r="EN46" i="336" s="1"/>
  <c r="EN378" i="335"/>
  <c r="EO378" i="335" s="1"/>
  <c r="EO8" i="336"/>
  <c r="EN407" i="338"/>
  <c r="DU301" i="338"/>
  <c r="EA301" i="338"/>
  <c r="DU320" i="338"/>
  <c r="DU391" i="335"/>
  <c r="EO11" i="336"/>
  <c r="EN15" i="336"/>
  <c r="EO15" i="336" s="1"/>
  <c r="EO21" i="3"/>
  <c r="EO72" i="3"/>
  <c r="EU11" i="336"/>
  <c r="EU21" i="3"/>
  <c r="EU72" i="3"/>
  <c r="EO36" i="3"/>
  <c r="EN198" i="336"/>
  <c r="EN384" i="335"/>
  <c r="EO12" i="3"/>
  <c r="EO14" i="3"/>
  <c r="EN25" i="3"/>
  <c r="EO25" i="3" s="1"/>
  <c r="EN147" i="336"/>
  <c r="EN148" i="336" s="1"/>
  <c r="EN383" i="335"/>
  <c r="EN33" i="3"/>
  <c r="EO33" i="3" s="1"/>
  <c r="EO31" i="3"/>
  <c r="EO418" i="338" s="1"/>
  <c r="EN382" i="335"/>
  <c r="EN144" i="336"/>
  <c r="FD145" i="336"/>
  <c r="FE145" i="336" s="1"/>
  <c r="EO38" i="3"/>
  <c r="EN41" i="3"/>
  <c r="EO92" i="3"/>
  <c r="EO39" i="336"/>
  <c r="EU206" i="336" s="1"/>
  <c r="EO38" i="336"/>
  <c r="EN380" i="335"/>
  <c r="EO380" i="335" s="1"/>
  <c r="EO40" i="336"/>
  <c r="EO222" i="336" s="1"/>
  <c r="FY156" i="335"/>
  <c r="EU156" i="335"/>
  <c r="ES464" i="335"/>
  <c r="ER464" i="335"/>
  <c r="EU165" i="335"/>
  <c r="EU464" i="335" s="1"/>
  <c r="ET464" i="335"/>
  <c r="ES159" i="335"/>
  <c r="EX464" i="335"/>
  <c r="FZ156" i="335"/>
  <c r="EW464" i="335"/>
  <c r="EW64" i="3"/>
  <c r="EU13" i="3"/>
  <c r="EU64" i="3"/>
  <c r="EU180" i="336"/>
  <c r="EO37" i="336"/>
  <c r="EU195" i="336" s="1"/>
  <c r="FG175" i="336"/>
  <c r="FM175" i="336" s="1"/>
  <c r="EQ378" i="335"/>
  <c r="FY177" i="335"/>
  <c r="EQ380" i="335"/>
  <c r="EQ142" i="336"/>
  <c r="EQ144" i="336"/>
  <c r="EQ147" i="336"/>
  <c r="EQ148" i="336" s="1"/>
  <c r="EQ382" i="335"/>
  <c r="EQ384" i="335"/>
  <c r="EQ193" i="336"/>
  <c r="EQ174" i="336" s="1"/>
  <c r="FY223" i="335"/>
  <c r="ES320" i="335"/>
  <c r="FY153" i="335"/>
  <c r="FY155" i="335" s="1"/>
  <c r="EW366" i="335"/>
  <c r="EW118" i="336" s="1"/>
  <c r="EU28" i="336"/>
  <c r="ES30" i="336"/>
  <c r="ES35" i="336" s="1"/>
  <c r="ES43" i="336" s="1"/>
  <c r="ES397" i="338"/>
  <c r="EU34" i="336"/>
  <c r="EW75" i="3"/>
  <c r="EW397" i="338"/>
  <c r="FY184" i="335"/>
  <c r="ER397" i="338"/>
  <c r="EX397" i="338"/>
  <c r="ET397" i="338"/>
  <c r="EU27" i="336"/>
  <c r="EU24" i="3"/>
  <c r="EU35" i="336"/>
  <c r="EU30" i="336"/>
  <c r="EU75" i="3"/>
  <c r="EU22" i="3"/>
  <c r="EU73" i="3"/>
  <c r="ER378" i="335"/>
  <c r="ER407" i="338"/>
  <c r="ES176" i="335"/>
  <c r="ER43" i="336"/>
  <c r="ER380" i="335"/>
  <c r="ES195" i="336"/>
  <c r="ES198" i="336"/>
  <c r="EU36" i="3"/>
  <c r="EU90" i="3"/>
  <c r="ES171" i="336"/>
  <c r="EU38" i="3"/>
  <c r="EU92" i="3"/>
  <c r="EU186" i="336"/>
  <c r="EU37" i="336"/>
  <c r="FA195" i="336" s="1"/>
  <c r="ER382" i="335"/>
  <c r="ER384" i="335"/>
  <c r="ER142" i="336"/>
  <c r="ES142" i="336" s="1"/>
  <c r="ER383" i="335"/>
  <c r="ER144" i="336"/>
  <c r="ER147" i="336"/>
  <c r="ES33" i="3"/>
  <c r="ES382" i="335"/>
  <c r="ES144" i="336"/>
  <c r="ES384" i="335"/>
  <c r="ES147" i="336"/>
  <c r="EU18" i="336"/>
  <c r="EU136" i="336"/>
  <c r="ES206" i="336"/>
  <c r="EU17" i="336"/>
  <c r="ES25" i="3"/>
  <c r="ES51" i="3" s="1"/>
  <c r="ES383" i="335"/>
  <c r="ES41" i="3"/>
  <c r="ES225" i="335"/>
  <c r="ES407" i="338"/>
  <c r="ES45" i="336"/>
  <c r="ES46" i="336" s="1"/>
  <c r="ES378" i="335"/>
  <c r="ES15" i="336"/>
  <c r="ES21" i="336" s="1"/>
  <c r="EU177" i="335"/>
  <c r="ES380" i="335"/>
  <c r="EU184" i="335"/>
  <c r="EU216" i="335"/>
  <c r="EU9" i="3"/>
  <c r="EU60" i="3"/>
  <c r="EU224" i="335"/>
  <c r="EU223" i="335"/>
  <c r="EU37" i="3"/>
  <c r="EU91" i="3"/>
  <c r="ET407" i="338"/>
  <c r="EU407" i="338" s="1"/>
  <c r="EU8" i="336"/>
  <c r="EU45" i="336" s="1"/>
  <c r="EU15" i="336"/>
  <c r="EU378" i="335"/>
  <c r="EU21" i="336"/>
  <c r="EU38" i="336"/>
  <c r="EU40" i="336"/>
  <c r="EU222" i="336" s="1"/>
  <c r="EU380" i="335"/>
  <c r="EU43" i="336"/>
  <c r="EU33" i="3"/>
  <c r="EU51" i="3"/>
  <c r="EU65" i="3"/>
  <c r="EU45" i="3"/>
  <c r="EU83" i="3"/>
  <c r="EU382" i="335" s="1"/>
  <c r="EU14" i="3"/>
  <c r="EU31" i="3"/>
  <c r="EU401" i="338" s="1"/>
  <c r="EU63" i="3"/>
  <c r="EU384" i="335" s="1"/>
  <c r="ET147" i="336"/>
  <c r="ET148" i="336" s="1"/>
  <c r="EU25" i="3"/>
  <c r="EU12" i="3"/>
  <c r="EU416" i="338"/>
  <c r="ET144" i="336"/>
  <c r="EU400" i="338"/>
  <c r="EU226" i="335"/>
  <c r="ET193" i="336"/>
  <c r="ET174" i="336" s="1"/>
  <c r="EW91" i="3"/>
  <c r="EU39" i="336"/>
  <c r="FA206" i="336" s="1"/>
  <c r="EW206" i="336"/>
  <c r="EW29" i="335"/>
  <c r="EW116" i="335" s="1"/>
  <c r="EW271" i="338"/>
  <c r="EW74" i="335" s="1"/>
  <c r="EW257" i="338"/>
  <c r="EZ259" i="338"/>
  <c r="EZ260" i="338" s="1"/>
  <c r="EZ271" i="338"/>
  <c r="EZ74" i="335" s="1"/>
  <c r="EY257" i="338"/>
  <c r="EX271" i="338"/>
  <c r="EX74" i="335" s="1"/>
  <c r="EY271" i="338"/>
  <c r="EY74" i="335" s="1"/>
  <c r="EY47" i="11" s="1"/>
  <c r="EY56" i="11" s="1"/>
  <c r="EY259" i="338"/>
  <c r="EY72" i="335" s="1"/>
  <c r="EY45" i="11" s="1"/>
  <c r="EY54" i="11" s="1"/>
  <c r="EW265" i="338"/>
  <c r="EW266" i="338" s="1"/>
  <c r="EW173" i="338"/>
  <c r="EX259" i="338"/>
  <c r="EX72" i="335" s="1"/>
  <c r="EX45" i="11" s="1"/>
  <c r="EX54" i="11" s="1"/>
  <c r="EX265" i="338"/>
  <c r="EX73" i="335" s="1"/>
  <c r="EX288" i="335" s="1"/>
  <c r="EZ265" i="338"/>
  <c r="EZ266" i="338" s="1"/>
  <c r="EW259" i="338"/>
  <c r="EW72" i="335" s="1"/>
  <c r="EX257" i="338"/>
  <c r="EZ257" i="338"/>
  <c r="EY265" i="338"/>
  <c r="FI151" i="335"/>
  <c r="EW70" i="3"/>
  <c r="EW408" i="338"/>
  <c r="EW377" i="335"/>
  <c r="EW72" i="3"/>
  <c r="EW317" i="335"/>
  <c r="EW292" i="335"/>
  <c r="EW316" i="338"/>
  <c r="EW71" i="3"/>
  <c r="EW73" i="3"/>
  <c r="EW60" i="3"/>
  <c r="EZ458" i="335"/>
  <c r="EZ460" i="335"/>
  <c r="FC460" i="335"/>
  <c r="FC458" i="335"/>
  <c r="FD185" i="335"/>
  <c r="FE185" i="335" s="1"/>
  <c r="EW407" i="338"/>
  <c r="EW378" i="335"/>
  <c r="FZ177" i="335"/>
  <c r="EW380" i="335"/>
  <c r="FZ184" i="335"/>
  <c r="EW174" i="336"/>
  <c r="EW92" i="3"/>
  <c r="EW63" i="3"/>
  <c r="EW384" i="335" s="1"/>
  <c r="EW87" i="3"/>
  <c r="EW142" i="336"/>
  <c r="EX142" i="336" s="1"/>
  <c r="EW83" i="3"/>
  <c r="EW382" i="335" s="1"/>
  <c r="EW90" i="3"/>
  <c r="EW65" i="3"/>
  <c r="EW147" i="336" s="1"/>
  <c r="EW148" i="336" s="1"/>
  <c r="FZ223" i="335"/>
  <c r="EX378" i="335"/>
  <c r="EX407" i="338"/>
  <c r="EX412" i="338" s="1"/>
  <c r="EX381" i="335" s="1"/>
  <c r="EX380" i="335"/>
  <c r="FD173" i="338"/>
  <c r="EX144" i="336"/>
  <c r="EX147" i="336"/>
  <c r="EX148" i="336"/>
  <c r="EX185" i="336"/>
  <c r="EX382" i="335"/>
  <c r="EX384" i="335"/>
  <c r="EX193" i="336"/>
  <c r="EX174" i="336" s="1"/>
  <c r="CR220" i="335" l="1"/>
  <c r="BX169" i="335"/>
  <c r="CJ327" i="338"/>
  <c r="EU36" i="335"/>
  <c r="D151" i="335"/>
  <c r="D346" i="335"/>
  <c r="EF52" i="335"/>
  <c r="EF16" i="335"/>
  <c r="EF160" i="336"/>
  <c r="EF303" i="335"/>
  <c r="EF553" i="338"/>
  <c r="EF161" i="336"/>
  <c r="EL15" i="335"/>
  <c r="EE162" i="336"/>
  <c r="EE553" i="338"/>
  <c r="EE556" i="338" s="1"/>
  <c r="EE557" i="338" s="1"/>
  <c r="EE43" i="11"/>
  <c r="EK52" i="11" s="1"/>
  <c r="EE160" i="336"/>
  <c r="EE161" i="336"/>
  <c r="EB162" i="336"/>
  <c r="EH553" i="338"/>
  <c r="EH556" i="338" s="1"/>
  <c r="EH557" i="338" s="1"/>
  <c r="EH43" i="11"/>
  <c r="EH161" i="336"/>
  <c r="EH160" i="336"/>
  <c r="EH330" i="338"/>
  <c r="EH52" i="335"/>
  <c r="CY152" i="335"/>
  <c r="CY294" i="335"/>
  <c r="BM105" i="335"/>
  <c r="BN50" i="335"/>
  <c r="EG54" i="335"/>
  <c r="CC172" i="338"/>
  <c r="CC16" i="335"/>
  <c r="CI278" i="335"/>
  <c r="CY224" i="335"/>
  <c r="CY225" i="335" s="1"/>
  <c r="CW225" i="335"/>
  <c r="BC242" i="336"/>
  <c r="BC253" i="336" s="1"/>
  <c r="BI245" i="335"/>
  <c r="R385" i="335"/>
  <c r="S385" i="335" s="1"/>
  <c r="S391" i="338" s="1"/>
  <c r="S102" i="336"/>
  <c r="AG296" i="335"/>
  <c r="AG321" i="335"/>
  <c r="AG367" i="335"/>
  <c r="AG366" i="335"/>
  <c r="AG103" i="336"/>
  <c r="AG413" i="338" s="1"/>
  <c r="AD296" i="335"/>
  <c r="AD321" i="335"/>
  <c r="AD366" i="335"/>
  <c r="AC367" i="335"/>
  <c r="AC369" i="335" s="1"/>
  <c r="AC366" i="335"/>
  <c r="X348" i="335"/>
  <c r="X366" i="335"/>
  <c r="X103" i="336"/>
  <c r="W348" i="335"/>
  <c r="W367" i="335"/>
  <c r="W296" i="335"/>
  <c r="W366" i="335"/>
  <c r="W103" i="336"/>
  <c r="W413" i="338" s="1"/>
  <c r="V103" i="336"/>
  <c r="V413" i="338" s="1"/>
  <c r="V296" i="335"/>
  <c r="V348" i="335"/>
  <c r="V367" i="335"/>
  <c r="V369" i="335" s="1"/>
  <c r="U321" i="335"/>
  <c r="U366" i="335"/>
  <c r="R367" i="335"/>
  <c r="R369" i="335" s="1"/>
  <c r="R103" i="336"/>
  <c r="R321" i="335"/>
  <c r="P348" i="335"/>
  <c r="P321" i="335"/>
  <c r="BB142" i="11"/>
  <c r="BH142" i="11"/>
  <c r="BB139" i="11"/>
  <c r="BH144" i="11" s="1"/>
  <c r="AT342" i="335"/>
  <c r="AT102" i="336"/>
  <c r="AT385" i="335" s="1"/>
  <c r="AT346" i="335"/>
  <c r="AT154" i="335"/>
  <c r="AT148" i="335"/>
  <c r="AT313" i="338"/>
  <c r="AT343" i="335"/>
  <c r="AT347" i="335"/>
  <c r="AT114" i="338"/>
  <c r="AT160" i="338" s="1"/>
  <c r="AT345" i="335"/>
  <c r="AT99" i="335"/>
  <c r="AT206" i="335" s="1"/>
  <c r="AT143" i="335"/>
  <c r="AT151" i="335"/>
  <c r="AT15" i="11"/>
  <c r="AT38" i="11" s="1"/>
  <c r="DY328" i="338"/>
  <c r="CJ329" i="335"/>
  <c r="EB329" i="335"/>
  <c r="DW39" i="335"/>
  <c r="DW228" i="338" s="1"/>
  <c r="DV279" i="335"/>
  <c r="DV40" i="338"/>
  <c r="EB39" i="335"/>
  <c r="DV723" i="338"/>
  <c r="DV721" i="338" s="1"/>
  <c r="DV734" i="338" s="1"/>
  <c r="FV155" i="335"/>
  <c r="EC191" i="335"/>
  <c r="EC225" i="335"/>
  <c r="EB101" i="335"/>
  <c r="F296" i="335"/>
  <c r="E367" i="335"/>
  <c r="E369" i="335" s="1"/>
  <c r="EO127" i="335"/>
  <c r="DD255" i="338"/>
  <c r="CG281" i="335"/>
  <c r="CA47" i="335"/>
  <c r="DH292" i="335"/>
  <c r="DB317" i="335"/>
  <c r="ER168" i="335"/>
  <c r="ER296" i="335"/>
  <c r="CK292" i="335"/>
  <c r="CE103" i="336"/>
  <c r="CE413" i="338" s="1"/>
  <c r="DE777" i="338"/>
  <c r="DE167" i="335"/>
  <c r="DE611" i="338"/>
  <c r="CY728" i="338"/>
  <c r="CY293" i="335"/>
  <c r="DE149" i="335"/>
  <c r="CY149" i="335"/>
  <c r="DE293" i="335"/>
  <c r="FX133" i="335"/>
  <c r="FX61" i="335"/>
  <c r="CI317" i="338"/>
  <c r="CX609" i="338"/>
  <c r="J151" i="335"/>
  <c r="J118" i="336"/>
  <c r="J154" i="335"/>
  <c r="AN15" i="335"/>
  <c r="DW225" i="335"/>
  <c r="EH91" i="335"/>
  <c r="W15" i="335"/>
  <c r="AC311" i="335"/>
  <c r="S152" i="335"/>
  <c r="CG740" i="338"/>
  <c r="AQ98" i="335"/>
  <c r="CG44" i="11"/>
  <c r="CM53" i="11" s="1"/>
  <c r="AN88" i="335"/>
  <c r="CD168" i="336"/>
  <c r="CY46" i="11"/>
  <c r="CY55" i="11" s="1"/>
  <c r="AY303" i="335"/>
  <c r="AH286" i="335"/>
  <c r="AT96" i="335"/>
  <c r="J328" i="335"/>
  <c r="CI160" i="335"/>
  <c r="CI212" i="335" s="1"/>
  <c r="CI215" i="335" s="1"/>
  <c r="FG425" i="338"/>
  <c r="J119" i="336"/>
  <c r="J347" i="335"/>
  <c r="CI612" i="338"/>
  <c r="CI613" i="338" s="1"/>
  <c r="V169" i="335"/>
  <c r="BU740" i="338"/>
  <c r="V364" i="335"/>
  <c r="AG40" i="335"/>
  <c r="W16" i="335"/>
  <c r="AW50" i="335"/>
  <c r="DE288" i="335"/>
  <c r="R303" i="335"/>
  <c r="AQ294" i="335"/>
  <c r="S370" i="335"/>
  <c r="AQ152" i="335"/>
  <c r="FU160" i="335"/>
  <c r="EW424" i="338"/>
  <c r="AI311" i="335"/>
  <c r="AU52" i="335"/>
  <c r="DY65" i="335"/>
  <c r="EE65" i="335" s="1"/>
  <c r="EK65" i="335" s="1"/>
  <c r="EQ65" i="335" s="1"/>
  <c r="EW65" i="335" s="1"/>
  <c r="FC65" i="335" s="1"/>
  <c r="FI65" i="335" s="1"/>
  <c r="AT286" i="335"/>
  <c r="EI117" i="335"/>
  <c r="AZ287" i="335"/>
  <c r="EB466" i="338"/>
  <c r="FC382" i="338"/>
  <c r="FG70" i="11"/>
  <c r="ES114" i="335"/>
  <c r="J15" i="11"/>
  <c r="AC89" i="335"/>
  <c r="J143" i="335"/>
  <c r="AU54" i="335"/>
  <c r="S151" i="335"/>
  <c r="AS364" i="335"/>
  <c r="BT611" i="338"/>
  <c r="AM364" i="335"/>
  <c r="AH91" i="335"/>
  <c r="W303" i="335"/>
  <c r="V87" i="335"/>
  <c r="Q328" i="335"/>
  <c r="AI89" i="335"/>
  <c r="M278" i="335"/>
  <c r="CJ168" i="336"/>
  <c r="L9" i="338"/>
  <c r="CU494" i="338"/>
  <c r="AH88" i="335"/>
  <c r="AY50" i="335"/>
  <c r="DY64" i="335"/>
  <c r="AT253" i="338"/>
  <c r="CG288" i="335"/>
  <c r="DK225" i="335"/>
  <c r="FC550" i="338"/>
  <c r="FC70" i="11"/>
  <c r="FM719" i="338"/>
  <c r="EW168" i="335"/>
  <c r="EX168" i="335"/>
  <c r="ES242" i="338"/>
  <c r="FK133" i="11"/>
  <c r="FL106" i="336"/>
  <c r="FF106" i="336"/>
  <c r="DK443" i="335"/>
  <c r="DQ443" i="335"/>
  <c r="EI443" i="335"/>
  <c r="FD36" i="3"/>
  <c r="DK441" i="335"/>
  <c r="EQ21" i="336"/>
  <c r="ET167" i="336"/>
  <c r="DQ438" i="335"/>
  <c r="DK450" i="335"/>
  <c r="EI450" i="335"/>
  <c r="EO450" i="335"/>
  <c r="FM184" i="336"/>
  <c r="FM208" i="336" s="1"/>
  <c r="FI414" i="335"/>
  <c r="AU111" i="336"/>
  <c r="AU113" i="336"/>
  <c r="EG168" i="335"/>
  <c r="DH367" i="335"/>
  <c r="CR317" i="335"/>
  <c r="DM168" i="335"/>
  <c r="CM611" i="338"/>
  <c r="CC189" i="335"/>
  <c r="CC237" i="336" s="1"/>
  <c r="BI215" i="335"/>
  <c r="BI217" i="335" s="1"/>
  <c r="EN467" i="338"/>
  <c r="EH344" i="338"/>
  <c r="CQ317" i="335"/>
  <c r="AK214" i="335"/>
  <c r="DS58" i="335"/>
  <c r="EI553" i="338"/>
  <c r="EI43" i="11"/>
  <c r="EI52" i="11" s="1"/>
  <c r="BX92" i="335"/>
  <c r="BX290" i="335"/>
  <c r="BL331" i="335"/>
  <c r="BL336" i="335"/>
  <c r="BL348" i="335"/>
  <c r="BL151" i="335"/>
  <c r="BO91" i="335"/>
  <c r="BL49" i="11"/>
  <c r="BL313" i="338"/>
  <c r="BL315" i="335"/>
  <c r="BL365" i="335"/>
  <c r="CG172" i="338"/>
  <c r="CG9" i="338"/>
  <c r="CG12" i="338" s="1"/>
  <c r="CC522" i="338"/>
  <c r="AS96" i="335"/>
  <c r="AY286" i="335"/>
  <c r="AS89" i="335"/>
  <c r="AY88" i="335"/>
  <c r="EE445" i="338"/>
  <c r="EE446" i="338"/>
  <c r="EK334" i="338"/>
  <c r="EK22" i="338"/>
  <c r="EL34" i="338"/>
  <c r="CG741" i="338"/>
  <c r="CA756" i="338"/>
  <c r="FW73" i="335"/>
  <c r="EH52" i="11"/>
  <c r="EB52" i="11"/>
  <c r="DY116" i="336"/>
  <c r="DY118" i="336"/>
  <c r="EI53" i="11"/>
  <c r="EC53" i="11"/>
  <c r="CM160" i="335"/>
  <c r="FP160" i="335"/>
  <c r="ER23" i="338"/>
  <c r="ER27" i="335"/>
  <c r="CR325" i="338"/>
  <c r="CX326" i="338" s="1"/>
  <c r="CR342" i="335"/>
  <c r="CR345" i="335"/>
  <c r="CR331" i="335"/>
  <c r="CR163" i="336"/>
  <c r="EK74" i="11"/>
  <c r="DE158" i="335"/>
  <c r="EI193" i="336"/>
  <c r="EN80" i="335"/>
  <c r="EN364" i="335"/>
  <c r="EO364" i="335" s="1"/>
  <c r="CR348" i="335"/>
  <c r="BN93" i="335"/>
  <c r="BN101" i="335" s="1"/>
  <c r="BN315" i="335"/>
  <c r="BN151" i="335"/>
  <c r="BN148" i="335"/>
  <c r="BT92" i="335"/>
  <c r="BT100" i="335" s="1"/>
  <c r="BN347" i="335"/>
  <c r="BN313" i="338"/>
  <c r="CK52" i="11"/>
  <c r="CK16" i="338" s="1"/>
  <c r="DI143" i="335"/>
  <c r="DI169" i="335" s="1"/>
  <c r="DI345" i="335"/>
  <c r="DI327" i="338"/>
  <c r="DI328" i="338" s="1"/>
  <c r="DI194" i="335"/>
  <c r="DI313" i="338"/>
  <c r="DI99" i="335"/>
  <c r="DI101" i="335" s="1"/>
  <c r="DI347" i="335"/>
  <c r="BY522" i="338"/>
  <c r="EK161" i="336"/>
  <c r="EK330" i="338"/>
  <c r="EL16" i="335"/>
  <c r="EK91" i="335"/>
  <c r="EK160" i="336"/>
  <c r="EC104" i="335"/>
  <c r="EO50" i="335"/>
  <c r="EO281" i="335"/>
  <c r="CY253" i="338"/>
  <c r="DG255" i="338"/>
  <c r="DA254" i="338"/>
  <c r="EE104" i="11"/>
  <c r="EL8" i="338"/>
  <c r="CR337" i="335"/>
  <c r="CR347" i="335"/>
  <c r="EO79" i="335"/>
  <c r="EO80" i="335" s="1"/>
  <c r="EI108" i="335"/>
  <c r="V311" i="335"/>
  <c r="AZ348" i="335"/>
  <c r="U96" i="335"/>
  <c r="DW40" i="335"/>
  <c r="CU176" i="335"/>
  <c r="F173" i="338"/>
  <c r="J173" i="338"/>
  <c r="CR99" i="335"/>
  <c r="CR49" i="11"/>
  <c r="CX58" i="11" s="1"/>
  <c r="CR15" i="11"/>
  <c r="CR38" i="11" s="1"/>
  <c r="CR329" i="335"/>
  <c r="CR154" i="335"/>
  <c r="EH80" i="335"/>
  <c r="BN99" i="335"/>
  <c r="BN206" i="335" s="1"/>
  <c r="BN207" i="335" s="1"/>
  <c r="BN15" i="11"/>
  <c r="BN338" i="335"/>
  <c r="BN331" i="335"/>
  <c r="BN346" i="335"/>
  <c r="BN163" i="336"/>
  <c r="DI342" i="335"/>
  <c r="DI102" i="336"/>
  <c r="DI385" i="335" s="1"/>
  <c r="DI114" i="338"/>
  <c r="DI325" i="338"/>
  <c r="DI326" i="338" s="1"/>
  <c r="DI334" i="335"/>
  <c r="DI151" i="335"/>
  <c r="BZ54" i="335"/>
  <c r="CA9" i="338"/>
  <c r="EL364" i="335"/>
  <c r="EK16" i="335"/>
  <c r="EO14" i="335"/>
  <c r="EK52" i="335"/>
  <c r="EO47" i="335"/>
  <c r="CV254" i="338"/>
  <c r="CS253" i="338"/>
  <c r="DH255" i="338"/>
  <c r="CA253" i="338"/>
  <c r="CY272" i="338"/>
  <c r="FW91" i="335"/>
  <c r="EK9" i="338"/>
  <c r="DT346" i="335"/>
  <c r="BW612" i="338"/>
  <c r="BW613" i="338" s="1"/>
  <c r="CC681" i="338" s="1"/>
  <c r="ET80" i="335"/>
  <c r="CL52" i="11"/>
  <c r="CL16" i="338" s="1"/>
  <c r="V89" i="335"/>
  <c r="BK341" i="335"/>
  <c r="BZ328" i="335"/>
  <c r="DW40" i="338"/>
  <c r="DW279" i="335"/>
  <c r="CR114" i="338"/>
  <c r="CR160" i="338" s="1"/>
  <c r="CU161" i="338" s="1"/>
  <c r="BH385" i="335"/>
  <c r="BI385" i="335" s="1"/>
  <c r="BI391" i="338" s="1"/>
  <c r="CR431" i="338"/>
  <c r="CX430" i="338" s="1"/>
  <c r="CR327" i="338"/>
  <c r="CR341" i="335"/>
  <c r="CR157" i="335"/>
  <c r="CR151" i="335"/>
  <c r="CR328" i="335"/>
  <c r="CR339" i="335"/>
  <c r="CR313" i="338"/>
  <c r="BN290" i="335"/>
  <c r="BN102" i="336"/>
  <c r="BN330" i="335"/>
  <c r="BN92" i="335"/>
  <c r="BN100" i="335" s="1"/>
  <c r="DI163" i="336"/>
  <c r="DI341" i="335"/>
  <c r="DI15" i="11"/>
  <c r="DI37" i="11" s="1"/>
  <c r="DI346" i="335"/>
  <c r="DI330" i="335"/>
  <c r="DI333" i="335"/>
  <c r="BW522" i="338"/>
  <c r="CA43" i="11"/>
  <c r="CA52" i="11" s="1"/>
  <c r="CA16" i="338" s="1"/>
  <c r="CA278" i="335"/>
  <c r="EK303" i="335"/>
  <c r="EK15" i="335"/>
  <c r="FX14" i="335"/>
  <c r="EK105" i="335"/>
  <c r="FW105" i="335"/>
  <c r="CV255" i="338"/>
  <c r="CP254" i="338"/>
  <c r="CS214" i="338"/>
  <c r="CS215" i="338" s="1"/>
  <c r="CR330" i="335"/>
  <c r="CR346" i="335"/>
  <c r="CU315" i="335"/>
  <c r="CE615" i="338"/>
  <c r="CE616" i="338" s="1"/>
  <c r="CD54" i="335"/>
  <c r="BZ338" i="335"/>
  <c r="CY726" i="338"/>
  <c r="FD402" i="335"/>
  <c r="FE402" i="335" s="1"/>
  <c r="FF402" i="335" s="1"/>
  <c r="DV235" i="338"/>
  <c r="EE604" i="338"/>
  <c r="ER108" i="335"/>
  <c r="ER14" i="335"/>
  <c r="ER91" i="335" s="1"/>
  <c r="DE774" i="338"/>
  <c r="BZ735" i="338"/>
  <c r="FD133" i="11"/>
  <c r="ER22" i="335"/>
  <c r="EX21" i="335"/>
  <c r="AB184" i="335"/>
  <c r="AB185" i="335" s="1"/>
  <c r="AB459" i="335" s="1"/>
  <c r="FQ149" i="335"/>
  <c r="DE749" i="338"/>
  <c r="AC392" i="335"/>
  <c r="ER161" i="336"/>
  <c r="ER176" i="335"/>
  <c r="ER214" i="335" s="1"/>
  <c r="EQ427" i="335"/>
  <c r="DW438" i="335"/>
  <c r="EI412" i="338"/>
  <c r="EI381" i="335" s="1"/>
  <c r="DK438" i="335"/>
  <c r="EC450" i="335"/>
  <c r="ET75" i="336"/>
  <c r="DQ414" i="335"/>
  <c r="EO32" i="11"/>
  <c r="ES356" i="335"/>
  <c r="AH95" i="11"/>
  <c r="AB361" i="335"/>
  <c r="AB360" i="335" s="1"/>
  <c r="AC360" i="335"/>
  <c r="CM362" i="335"/>
  <c r="CM360" i="335" s="1"/>
  <c r="CS110" i="11"/>
  <c r="CS115" i="11" s="1"/>
  <c r="CM121" i="11"/>
  <c r="CM125" i="11" s="1"/>
  <c r="CM130" i="11" s="1"/>
  <c r="AI159" i="11"/>
  <c r="BS145" i="11"/>
  <c r="BR123" i="11"/>
  <c r="BR54" i="338" s="1"/>
  <c r="BT110" i="11"/>
  <c r="CS108" i="11"/>
  <c r="FR54" i="11" s="1"/>
  <c r="DI95" i="11"/>
  <c r="DI99" i="11" s="1"/>
  <c r="DJ80" i="11"/>
  <c r="DJ84" i="11" s="1"/>
  <c r="BC52" i="11"/>
  <c r="BC16" i="338" s="1"/>
  <c r="AK78" i="11"/>
  <c r="EI356" i="335"/>
  <c r="CL80" i="11"/>
  <c r="CL85" i="11" s="1"/>
  <c r="AU58" i="11"/>
  <c r="AJ58" i="11"/>
  <c r="BN145" i="11"/>
  <c r="AN145" i="11"/>
  <c r="BR110" i="11"/>
  <c r="DC632" i="338"/>
  <c r="DC675" i="338"/>
  <c r="DC683" i="338" s="1"/>
  <c r="DC688" i="338" s="1"/>
  <c r="CC662" i="338"/>
  <c r="CC675" i="338"/>
  <c r="CC683" i="338" s="1"/>
  <c r="DW629" i="338"/>
  <c r="DW627" i="338" s="1"/>
  <c r="DW665" i="338"/>
  <c r="DW663" i="338" s="1"/>
  <c r="DW662" i="338" s="1"/>
  <c r="DW641" i="338"/>
  <c r="DW639" i="338" s="1"/>
  <c r="DW647" i="338"/>
  <c r="DW645" i="338" s="1"/>
  <c r="DW671" i="338"/>
  <c r="DW669" i="338" s="1"/>
  <c r="DW668" i="338" s="1"/>
  <c r="DW635" i="338"/>
  <c r="DW633" i="338" s="1"/>
  <c r="DW632" i="338" s="1"/>
  <c r="CS665" i="338"/>
  <c r="CS629" i="338"/>
  <c r="CS627" i="338" s="1"/>
  <c r="CS626" i="338" s="1"/>
  <c r="CS659" i="338"/>
  <c r="CS657" i="338" s="1"/>
  <c r="CS671" i="338"/>
  <c r="CS669" i="338" s="1"/>
  <c r="CS635" i="338"/>
  <c r="CS633" i="338" s="1"/>
  <c r="BS659" i="338"/>
  <c r="BS657" i="338" s="1"/>
  <c r="BS656" i="338" s="1"/>
  <c r="BS671" i="338"/>
  <c r="BS669" i="338" s="1"/>
  <c r="BS668" i="338" s="1"/>
  <c r="BS629" i="338"/>
  <c r="BS627" i="338" s="1"/>
  <c r="BS626" i="338" s="1"/>
  <c r="BS635" i="338"/>
  <c r="BS633" i="338" s="1"/>
  <c r="BS632" i="338" s="1"/>
  <c r="BS665" i="338"/>
  <c r="DJ648" i="338"/>
  <c r="DJ679" i="338" s="1"/>
  <c r="DP578" i="338"/>
  <c r="DP648" i="338"/>
  <c r="DP679" i="338" s="1"/>
  <c r="DJ584" i="338"/>
  <c r="DJ578" i="338"/>
  <c r="DP584" i="338"/>
  <c r="DP647" i="338"/>
  <c r="DP645" i="338" s="1"/>
  <c r="BT636" i="338"/>
  <c r="BN636" i="338"/>
  <c r="DM662" i="338"/>
  <c r="DM675" i="338"/>
  <c r="CK660" i="338"/>
  <c r="CE660" i="338"/>
  <c r="CK659" i="338"/>
  <c r="CK657" i="338" s="1"/>
  <c r="CV629" i="338"/>
  <c r="CV627" i="338" s="1"/>
  <c r="CV630" i="338"/>
  <c r="BI288" i="338"/>
  <c r="BC299" i="338"/>
  <c r="BC288" i="338"/>
  <c r="EN572" i="338"/>
  <c r="DU282" i="338"/>
  <c r="FF76" i="335"/>
  <c r="EU323" i="338"/>
  <c r="DB626" i="338"/>
  <c r="DB675" i="338"/>
  <c r="DB683" i="338" s="1"/>
  <c r="DB688" i="338" s="1"/>
  <c r="DG218" i="338"/>
  <c r="DG224" i="338"/>
  <c r="DM225" i="338" s="1"/>
  <c r="DD630" i="338"/>
  <c r="DD629" i="338"/>
  <c r="DD627" i="338" s="1"/>
  <c r="DD559" i="338"/>
  <c r="CX630" i="338"/>
  <c r="BM672" i="338"/>
  <c r="BM671" i="338"/>
  <c r="BM669" i="338" s="1"/>
  <c r="BK634" i="338"/>
  <c r="BE606" i="338"/>
  <c r="BK658" i="338"/>
  <c r="BK628" i="338"/>
  <c r="BK664" i="338"/>
  <c r="BK670" i="338"/>
  <c r="CU630" i="338"/>
  <c r="CU626" i="338" s="1"/>
  <c r="DA629" i="338"/>
  <c r="DA627" i="338" s="1"/>
  <c r="DA630" i="338"/>
  <c r="CX224" i="338"/>
  <c r="CY224" i="338" s="1"/>
  <c r="CY214" i="338"/>
  <c r="CY215" i="338" s="1"/>
  <c r="DD214" i="338"/>
  <c r="CX230" i="338"/>
  <c r="FE77" i="335"/>
  <c r="CQ632" i="338"/>
  <c r="CQ675" i="338"/>
  <c r="CQ683" i="338" s="1"/>
  <c r="CQ688" i="338" s="1"/>
  <c r="EG629" i="338"/>
  <c r="EG671" i="338"/>
  <c r="EG659" i="338"/>
  <c r="EG641" i="338"/>
  <c r="EG665" i="338"/>
  <c r="EG635" i="338"/>
  <c r="EG647" i="338"/>
  <c r="DI665" i="338"/>
  <c r="DI663" i="338" s="1"/>
  <c r="DI666" i="338"/>
  <c r="DO630" i="338"/>
  <c r="DU630" i="338"/>
  <c r="DU559" i="338"/>
  <c r="FD138" i="335"/>
  <c r="FJ76" i="335"/>
  <c r="ET283" i="338"/>
  <c r="DQ638" i="338"/>
  <c r="DQ678" i="338"/>
  <c r="DQ687" i="338" s="1"/>
  <c r="DI644" i="338"/>
  <c r="DI678" i="338"/>
  <c r="DI687" i="338" s="1"/>
  <c r="EA33" i="338"/>
  <c r="EA36" i="338" s="1"/>
  <c r="EC24" i="338"/>
  <c r="EC33" i="338" s="1"/>
  <c r="EC36" i="338" s="1"/>
  <c r="EC37" i="338" s="1"/>
  <c r="BN666" i="338"/>
  <c r="BT666" i="338"/>
  <c r="DD672" i="338"/>
  <c r="CX672" i="338"/>
  <c r="DD603" i="338"/>
  <c r="DD671" i="338"/>
  <c r="DD669" i="338" s="1"/>
  <c r="CG659" i="338"/>
  <c r="CG657" i="338" s="1"/>
  <c r="CG660" i="338"/>
  <c r="DU565" i="338"/>
  <c r="DO636" i="338"/>
  <c r="DO565" i="338"/>
  <c r="DU635" i="338"/>
  <c r="DU633" i="338" s="1"/>
  <c r="DH283" i="338"/>
  <c r="DB387" i="335"/>
  <c r="DB313" i="338"/>
  <c r="DB283" i="338"/>
  <c r="DB316" i="338"/>
  <c r="DB317" i="338" s="1"/>
  <c r="EO656" i="338"/>
  <c r="BN632" i="338"/>
  <c r="BE613" i="338"/>
  <c r="BY626" i="338"/>
  <c r="AW763" i="338"/>
  <c r="CQ666" i="338"/>
  <c r="CQ662" i="338" s="1"/>
  <c r="BM666" i="338"/>
  <c r="BM676" i="338" s="1"/>
  <c r="EU183" i="338"/>
  <c r="EO33" i="338"/>
  <c r="EO337" i="338" s="1"/>
  <c r="EO339" i="338" s="1"/>
  <c r="DY369" i="335"/>
  <c r="BM662" i="338"/>
  <c r="CL613" i="338"/>
  <c r="AW761" i="338"/>
  <c r="CX12" i="338"/>
  <c r="BZ734" i="338"/>
  <c r="BY630" i="338"/>
  <c r="BY676" i="338" s="1"/>
  <c r="EF475" i="338"/>
  <c r="EO363" i="338"/>
  <c r="DQ615" i="338"/>
  <c r="DQ616" i="338" s="1"/>
  <c r="DQ621" i="338" s="1"/>
  <c r="DQ622" i="338" s="1"/>
  <c r="DQ623" i="338" s="1"/>
  <c r="DI633" i="338"/>
  <c r="CY220" i="338"/>
  <c r="BT676" i="338"/>
  <c r="DU629" i="338"/>
  <c r="DU627" i="338" s="1"/>
  <c r="V288" i="338"/>
  <c r="DJ735" i="338"/>
  <c r="DI634" i="338"/>
  <c r="BQ658" i="338"/>
  <c r="BQ657" i="338" s="1"/>
  <c r="CJ301" i="338"/>
  <c r="CE218" i="338"/>
  <c r="DW199" i="338"/>
  <c r="BN662" i="338"/>
  <c r="DK675" i="338"/>
  <c r="DQ668" i="338"/>
  <c r="BM657" i="338"/>
  <c r="DE775" i="338"/>
  <c r="CR672" i="338"/>
  <c r="CR668" i="338" s="1"/>
  <c r="DN12" i="338"/>
  <c r="DN17" i="338" s="1"/>
  <c r="DN18" i="338" s="1"/>
  <c r="EG653" i="338"/>
  <c r="CD670" i="338"/>
  <c r="CD669" i="338" s="1"/>
  <c r="BI666" i="338"/>
  <c r="DP12" i="338"/>
  <c r="DP17" i="338" s="1"/>
  <c r="EU91" i="338"/>
  <c r="EU11" i="338" s="1"/>
  <c r="ET11" i="338"/>
  <c r="FA32" i="338"/>
  <c r="FF255" i="338"/>
  <c r="ER255" i="338"/>
  <c r="EX254" i="338"/>
  <c r="EU606" i="338"/>
  <c r="EU607" i="338" s="1"/>
  <c r="CY180" i="338"/>
  <c r="EI185" i="336"/>
  <c r="EI187" i="336" s="1"/>
  <c r="EH198" i="336"/>
  <c r="EH187" i="336"/>
  <c r="Y75" i="3"/>
  <c r="BN84" i="3"/>
  <c r="BM85" i="3"/>
  <c r="DO142" i="336"/>
  <c r="DP142" i="336" s="1"/>
  <c r="ET187" i="336"/>
  <c r="ET198" i="336"/>
  <c r="EU185" i="336"/>
  <c r="DQ109" i="3"/>
  <c r="DW110" i="3" s="1"/>
  <c r="DW106" i="3"/>
  <c r="DQ108" i="3"/>
  <c r="DC142" i="336"/>
  <c r="DD142" i="336" s="1"/>
  <c r="DB134" i="336"/>
  <c r="EW185" i="336"/>
  <c r="R16" i="3"/>
  <c r="S16" i="3" s="1"/>
  <c r="ES87" i="3"/>
  <c r="EY77" i="3"/>
  <c r="W24" i="3"/>
  <c r="X24" i="3" s="1"/>
  <c r="Y24" i="3" s="1"/>
  <c r="BA142" i="336"/>
  <c r="EW45" i="3"/>
  <c r="Q33" i="3"/>
  <c r="AD22" i="3"/>
  <c r="AE22" i="3" s="1"/>
  <c r="AG45" i="3"/>
  <c r="AB41" i="3"/>
  <c r="AB45" i="3" s="1"/>
  <c r="AT14" i="3"/>
  <c r="AU14" i="3" s="1"/>
  <c r="AV14" i="3" s="1"/>
  <c r="AW14" i="3" s="1"/>
  <c r="EN45" i="3"/>
  <c r="EO45" i="3" s="1"/>
  <c r="EM144" i="336"/>
  <c r="BI72" i="3"/>
  <c r="AW67" i="3"/>
  <c r="AE70" i="3"/>
  <c r="BL106" i="3"/>
  <c r="AP95" i="3"/>
  <c r="AJ12" i="3"/>
  <c r="U110" i="3"/>
  <c r="FF66" i="3"/>
  <c r="EQ76" i="3"/>
  <c r="ES85" i="3"/>
  <c r="EM85" i="3"/>
  <c r="AN25" i="3"/>
  <c r="AN51" i="3" s="1"/>
  <c r="AP23" i="3"/>
  <c r="AQ23" i="3" s="1"/>
  <c r="BH43" i="3"/>
  <c r="BI43" i="3" s="1"/>
  <c r="BM32" i="3"/>
  <c r="BN32" i="3" s="1"/>
  <c r="BO32" i="3" s="1"/>
  <c r="BB83" i="3"/>
  <c r="AB38" i="3"/>
  <c r="AC38" i="3" s="1"/>
  <c r="AD38" i="3" s="1"/>
  <c r="AE38" i="3" s="1"/>
  <c r="EX76" i="3"/>
  <c r="EX383" i="335" s="1"/>
  <c r="EX397" i="335" s="1"/>
  <c r="EX85" i="3"/>
  <c r="EN424" i="335"/>
  <c r="EQ63" i="336"/>
  <c r="EQ424" i="335" s="1"/>
  <c r="EF412" i="338"/>
  <c r="EF381" i="335" s="1"/>
  <c r="EM441" i="335"/>
  <c r="EO441" i="335" s="1"/>
  <c r="DK437" i="335"/>
  <c r="DK412" i="335"/>
  <c r="DK422" i="335"/>
  <c r="DK429" i="335"/>
  <c r="DK436" i="335"/>
  <c r="DK452" i="335"/>
  <c r="DQ411" i="335"/>
  <c r="DQ412" i="335"/>
  <c r="DQ413" i="335"/>
  <c r="DQ415" i="335"/>
  <c r="DQ416" i="335"/>
  <c r="DQ420" i="335"/>
  <c r="DQ422" i="335"/>
  <c r="DQ429" i="335"/>
  <c r="DQ430" i="335"/>
  <c r="DQ432" i="335"/>
  <c r="DQ436" i="335"/>
  <c r="DQ437" i="335"/>
  <c r="DQ440" i="335"/>
  <c r="DQ442" i="335"/>
  <c r="DQ448" i="335"/>
  <c r="DQ449" i="335"/>
  <c r="DW411" i="335"/>
  <c r="DW412" i="335"/>
  <c r="DW413" i="335"/>
  <c r="DW415" i="335"/>
  <c r="DW416" i="335"/>
  <c r="DW436" i="335"/>
  <c r="DW442" i="335"/>
  <c r="EC411" i="335"/>
  <c r="EC415" i="335"/>
  <c r="EC416" i="335"/>
  <c r="EC417" i="335"/>
  <c r="EC429" i="335"/>
  <c r="EC440" i="335"/>
  <c r="EC442" i="335"/>
  <c r="EI413" i="335"/>
  <c r="EI429" i="335"/>
  <c r="EI448" i="335"/>
  <c r="FG415" i="335"/>
  <c r="FG448" i="335"/>
  <c r="EQ426" i="335"/>
  <c r="L43" i="336"/>
  <c r="EM424" i="335"/>
  <c r="EO424" i="335" s="1"/>
  <c r="DK420" i="335"/>
  <c r="DK448" i="335"/>
  <c r="ER443" i="335"/>
  <c r="DK433" i="335"/>
  <c r="DQ433" i="335"/>
  <c r="DW433" i="335"/>
  <c r="EC433" i="335"/>
  <c r="EI433" i="335"/>
  <c r="EO433" i="335"/>
  <c r="DK413" i="335"/>
  <c r="DK432" i="335"/>
  <c r="DW429" i="335"/>
  <c r="DW434" i="335"/>
  <c r="DW437" i="335"/>
  <c r="DW441" i="335"/>
  <c r="DW448" i="335"/>
  <c r="DW452" i="335"/>
  <c r="EC412" i="335"/>
  <c r="EC434" i="335"/>
  <c r="EC441" i="335"/>
  <c r="EC448" i="335"/>
  <c r="EC452" i="335"/>
  <c r="EI411" i="335"/>
  <c r="EI415" i="335"/>
  <c r="EI418" i="335"/>
  <c r="EI436" i="335"/>
  <c r="EI442" i="335"/>
  <c r="EI449" i="335"/>
  <c r="EO448" i="335"/>
  <c r="FA448" i="335"/>
  <c r="FG411" i="335"/>
  <c r="FG416" i="335"/>
  <c r="EC438" i="335"/>
  <c r="EO438" i="335"/>
  <c r="EC443" i="335"/>
  <c r="EO443" i="335"/>
  <c r="DW450" i="335"/>
  <c r="DN412" i="338"/>
  <c r="DN381" i="335" s="1"/>
  <c r="BQ412" i="338"/>
  <c r="BQ381" i="335" s="1"/>
  <c r="EU50" i="335"/>
  <c r="EN348" i="335"/>
  <c r="CI459" i="335"/>
  <c r="AB213" i="335"/>
  <c r="EF454" i="338"/>
  <c r="EU47" i="335"/>
  <c r="DN230" i="338"/>
  <c r="AG187" i="335"/>
  <c r="AG189" i="335" s="1"/>
  <c r="EU740" i="338"/>
  <c r="DS225" i="338"/>
  <c r="DB176" i="335"/>
  <c r="CQ185" i="335"/>
  <c r="AE280" i="335"/>
  <c r="DJ272" i="338"/>
  <c r="EX229" i="338"/>
  <c r="FD229" i="338"/>
  <c r="CC459" i="335"/>
  <c r="EN168" i="335"/>
  <c r="EN316" i="338"/>
  <c r="AA187" i="335"/>
  <c r="EN103" i="336"/>
  <c r="BI212" i="335"/>
  <c r="BI213" i="335" s="1"/>
  <c r="BX481" i="338"/>
  <c r="DA477" i="338"/>
  <c r="EU155" i="335"/>
  <c r="CC487" i="338"/>
  <c r="CC488" i="338" s="1"/>
  <c r="CC375" i="335"/>
  <c r="CC460" i="335"/>
  <c r="AZ189" i="335"/>
  <c r="AW313" i="338"/>
  <c r="DO321" i="335"/>
  <c r="ER96" i="335"/>
  <c r="FC50" i="335"/>
  <c r="FI50" i="335" s="1"/>
  <c r="EU295" i="335"/>
  <c r="EO225" i="335"/>
  <c r="FZ98" i="335"/>
  <c r="CC114" i="3"/>
  <c r="EN296" i="335"/>
  <c r="EQ321" i="335"/>
  <c r="CM721" i="338"/>
  <c r="DW294" i="335"/>
  <c r="ES84" i="335"/>
  <c r="EU83" i="335"/>
  <c r="EU84" i="335" s="1"/>
  <c r="BM219" i="335"/>
  <c r="BM234" i="335"/>
  <c r="BM235" i="335" s="1"/>
  <c r="BM230" i="336"/>
  <c r="BF189" i="335"/>
  <c r="BF324" i="335"/>
  <c r="BF351" i="335"/>
  <c r="BM207" i="336"/>
  <c r="CP350" i="335"/>
  <c r="CP170" i="335"/>
  <c r="CP212" i="335"/>
  <c r="CQ323" i="335"/>
  <c r="CU368" i="335"/>
  <c r="CP173" i="335"/>
  <c r="CP174" i="335" s="1"/>
  <c r="CP199" i="335"/>
  <c r="CP200" i="335" s="1"/>
  <c r="CP182" i="335"/>
  <c r="DZ478" i="338"/>
  <c r="DZ479" i="338"/>
  <c r="DT481" i="338"/>
  <c r="BY343" i="335"/>
  <c r="BY329" i="335"/>
  <c r="BY330" i="335"/>
  <c r="BY313" i="338"/>
  <c r="BY99" i="335"/>
  <c r="BY114" i="338"/>
  <c r="BY160" i="338" s="1"/>
  <c r="BY15" i="11"/>
  <c r="BY38" i="11" s="1"/>
  <c r="BY341" i="335"/>
  <c r="BY148" i="335"/>
  <c r="BY49" i="11"/>
  <c r="BY58" i="11" s="1"/>
  <c r="BY163" i="336"/>
  <c r="BY339" i="335"/>
  <c r="BY154" i="335"/>
  <c r="BY338" i="335"/>
  <c r="CD365" i="335"/>
  <c r="BY290" i="335"/>
  <c r="BY143" i="335"/>
  <c r="BY102" i="336"/>
  <c r="BY385" i="335" s="1"/>
  <c r="BY347" i="335"/>
  <c r="BY431" i="338"/>
  <c r="BY337" i="335"/>
  <c r="BY336" i="335"/>
  <c r="BY331" i="335"/>
  <c r="BY93" i="335"/>
  <c r="BY315" i="335"/>
  <c r="BY345" i="335"/>
  <c r="BY346" i="335"/>
  <c r="BY327" i="338"/>
  <c r="BY328" i="338" s="1"/>
  <c r="BY328" i="335"/>
  <c r="BY151" i="335"/>
  <c r="BY342" i="335"/>
  <c r="BY348" i="335"/>
  <c r="BY325" i="338"/>
  <c r="ES229" i="335"/>
  <c r="EU229" i="335" s="1"/>
  <c r="EA55" i="11"/>
  <c r="EN46" i="11"/>
  <c r="EN55" i="11" s="1"/>
  <c r="EL46" i="11"/>
  <c r="EH289" i="335"/>
  <c r="EE338" i="335"/>
  <c r="EC74" i="335"/>
  <c r="EC339" i="335" s="1"/>
  <c r="CK459" i="335"/>
  <c r="CK375" i="335"/>
  <c r="BI182" i="335"/>
  <c r="AJ323" i="335"/>
  <c r="BM291" i="336"/>
  <c r="BY92" i="335"/>
  <c r="FL61" i="335"/>
  <c r="FK60" i="335"/>
  <c r="CD169" i="335"/>
  <c r="CD144" i="335"/>
  <c r="CK200" i="335"/>
  <c r="CQ215" i="335"/>
  <c r="EN338" i="335"/>
  <c r="EO73" i="335"/>
  <c r="EU288" i="335" s="1"/>
  <c r="EC757" i="338"/>
  <c r="EE314" i="335"/>
  <c r="EE56" i="11"/>
  <c r="EB339" i="335"/>
  <c r="EE288" i="335"/>
  <c r="EI73" i="335"/>
  <c r="EF313" i="335"/>
  <c r="FW74" i="335"/>
  <c r="CK458" i="335"/>
  <c r="C215" i="335"/>
  <c r="AN368" i="335"/>
  <c r="EI109" i="3"/>
  <c r="DQ612" i="338"/>
  <c r="DQ613" i="338" s="1"/>
  <c r="DQ681" i="338" s="1"/>
  <c r="AI212" i="335"/>
  <c r="AI350" i="335"/>
  <c r="C368" i="335"/>
  <c r="C182" i="335"/>
  <c r="DA169" i="335"/>
  <c r="DA144" i="335"/>
  <c r="DP246" i="338"/>
  <c r="DQ245" i="338"/>
  <c r="DQ247" i="338" s="1"/>
  <c r="DS246" i="338"/>
  <c r="CC365" i="335"/>
  <c r="BK162" i="338"/>
  <c r="EN288" i="335"/>
  <c r="EK288" i="335"/>
  <c r="EL288" i="335"/>
  <c r="EE313" i="335"/>
  <c r="CK503" i="338"/>
  <c r="BE162" i="338"/>
  <c r="R215" i="335"/>
  <c r="R213" i="335"/>
  <c r="EE37" i="338"/>
  <c r="CS722" i="338"/>
  <c r="CM734" i="338"/>
  <c r="DE52" i="11"/>
  <c r="CS724" i="338"/>
  <c r="EA296" i="335"/>
  <c r="CU348" i="335"/>
  <c r="FS141" i="335"/>
  <c r="D370" i="335"/>
  <c r="DE141" i="335"/>
  <c r="DT160" i="336"/>
  <c r="DY278" i="335"/>
  <c r="CM279" i="335"/>
  <c r="CR292" i="335"/>
  <c r="FS139" i="335"/>
  <c r="CR105" i="335"/>
  <c r="CX15" i="335"/>
  <c r="DT105" i="335"/>
  <c r="FR152" i="335"/>
  <c r="DE55" i="11"/>
  <c r="FW18" i="335"/>
  <c r="DK61" i="335"/>
  <c r="FM744" i="338"/>
  <c r="EO24" i="335"/>
  <c r="ET57" i="335"/>
  <c r="ES22" i="335"/>
  <c r="FL382" i="338"/>
  <c r="FL70" i="11"/>
  <c r="EM28" i="335"/>
  <c r="DO173" i="338"/>
  <c r="EK229" i="338"/>
  <c r="AS15" i="11"/>
  <c r="AS37" i="11" s="1"/>
  <c r="BY326" i="338"/>
  <c r="DC160" i="338"/>
  <c r="DH317" i="338"/>
  <c r="CU206" i="335"/>
  <c r="CU207" i="335" s="1"/>
  <c r="EA168" i="335"/>
  <c r="EA321" i="335"/>
  <c r="EE15" i="335"/>
  <c r="FQ141" i="335"/>
  <c r="FQ143" i="335" s="1"/>
  <c r="FQ144" i="335" s="1"/>
  <c r="DT52" i="335"/>
  <c r="CX292" i="335"/>
  <c r="CR609" i="338"/>
  <c r="CR612" i="338" s="1"/>
  <c r="CR613" i="338" s="1"/>
  <c r="CU317" i="335"/>
  <c r="CR52" i="335"/>
  <c r="DW229" i="338"/>
  <c r="DQ52" i="335"/>
  <c r="DQ53" i="335" s="1"/>
  <c r="DK239" i="335"/>
  <c r="CY239" i="335"/>
  <c r="DQ158" i="335"/>
  <c r="CY160" i="335"/>
  <c r="L367" i="335"/>
  <c r="EE99" i="338"/>
  <c r="CD56" i="11"/>
  <c r="BR56" i="11"/>
  <c r="DP53" i="11"/>
  <c r="DC53" i="11"/>
  <c r="FI381" i="338"/>
  <c r="FL550" i="338"/>
  <c r="EZ110" i="335"/>
  <c r="FA110" i="335" s="1"/>
  <c r="EZ20" i="335"/>
  <c r="ET114" i="335"/>
  <c r="FK64" i="335"/>
  <c r="AS148" i="335"/>
  <c r="AS99" i="335"/>
  <c r="AS206" i="335" s="1"/>
  <c r="AS207" i="335" s="1"/>
  <c r="BX326" i="338"/>
  <c r="DO317" i="338"/>
  <c r="CL317" i="338"/>
  <c r="BF93" i="335"/>
  <c r="BF101" i="335" s="1"/>
  <c r="DB229" i="335"/>
  <c r="DY480" i="338"/>
  <c r="DY481" i="338" s="1"/>
  <c r="DT15" i="335"/>
  <c r="DS364" i="335"/>
  <c r="DC479" i="338"/>
  <c r="BL116" i="336"/>
  <c r="DS15" i="335"/>
  <c r="EI50" i="335"/>
  <c r="DZ366" i="335"/>
  <c r="DY99" i="338"/>
  <c r="V9" i="338"/>
  <c r="ES14" i="335"/>
  <c r="DO48" i="11"/>
  <c r="DP77" i="335"/>
  <c r="DO87" i="335"/>
  <c r="CD489" i="338"/>
  <c r="BE220" i="335"/>
  <c r="ES85" i="335"/>
  <c r="CI375" i="335"/>
  <c r="CI458" i="335"/>
  <c r="CU112" i="336"/>
  <c r="CU394" i="338" s="1"/>
  <c r="CU392" i="335"/>
  <c r="CU123" i="336"/>
  <c r="CU111" i="336"/>
  <c r="CU145" i="336"/>
  <c r="CU113" i="336"/>
  <c r="CI201" i="335"/>
  <c r="BE219" i="335"/>
  <c r="CI461" i="335"/>
  <c r="DW47" i="11"/>
  <c r="EN314" i="335"/>
  <c r="DO139" i="335"/>
  <c r="EN260" i="338"/>
  <c r="EN72" i="335"/>
  <c r="EM430" i="338"/>
  <c r="EM429" i="338"/>
  <c r="EG432" i="338"/>
  <c r="AE99" i="335"/>
  <c r="AE15" i="11"/>
  <c r="AE27" i="11" s="1"/>
  <c r="AE92" i="335"/>
  <c r="AE100" i="335" s="1"/>
  <c r="AE290" i="335"/>
  <c r="AE346" i="335"/>
  <c r="AE328" i="335"/>
  <c r="AE343" i="335"/>
  <c r="AE348" i="335"/>
  <c r="AE336" i="335"/>
  <c r="AE342" i="335"/>
  <c r="AE154" i="335"/>
  <c r="AE347" i="335"/>
  <c r="AE345" i="335"/>
  <c r="AD123" i="336"/>
  <c r="AE123" i="336" s="1"/>
  <c r="AE148" i="335"/>
  <c r="CI460" i="335"/>
  <c r="AM220" i="335"/>
  <c r="AZ220" i="335"/>
  <c r="DU286" i="335"/>
  <c r="DO286" i="335"/>
  <c r="DO76" i="335"/>
  <c r="CW214" i="335"/>
  <c r="DY111" i="336"/>
  <c r="DY112" i="336"/>
  <c r="DY145" i="336"/>
  <c r="DW331" i="335"/>
  <c r="DW114" i="338"/>
  <c r="EC163" i="338" s="1"/>
  <c r="EC92" i="335"/>
  <c r="DW15" i="11"/>
  <c r="DW38" i="11" s="1"/>
  <c r="EB122" i="336"/>
  <c r="EC122" i="336" s="1"/>
  <c r="EC124" i="336" s="1"/>
  <c r="DW329" i="335"/>
  <c r="DW334" i="335"/>
  <c r="DW143" i="335"/>
  <c r="DW154" i="335"/>
  <c r="DY122" i="336"/>
  <c r="DY124" i="336" s="1"/>
  <c r="DW157" i="335"/>
  <c r="DW336" i="335"/>
  <c r="DS122" i="336"/>
  <c r="DS124" i="336" s="1"/>
  <c r="DW718" i="338"/>
  <c r="EA429" i="338"/>
  <c r="EA430" i="338"/>
  <c r="E187" i="335"/>
  <c r="E185" i="335"/>
  <c r="EM163" i="336"/>
  <c r="EM157" i="335"/>
  <c r="CK462" i="335"/>
  <c r="CK208" i="335" s="1"/>
  <c r="CK209" i="335" s="1"/>
  <c r="CY176" i="335"/>
  <c r="AI215" i="335"/>
  <c r="AI213" i="335"/>
  <c r="EN106" i="3"/>
  <c r="EL112" i="3"/>
  <c r="EH112" i="3"/>
  <c r="AD154" i="335"/>
  <c r="AJ290" i="335"/>
  <c r="AD345" i="335"/>
  <c r="AD143" i="335"/>
  <c r="AE143" i="335" s="1"/>
  <c r="AE144" i="335" s="1"/>
  <c r="AE388" i="338" s="1"/>
  <c r="AD315" i="335"/>
  <c r="AD346" i="335"/>
  <c r="AD92" i="335"/>
  <c r="AD100" i="335" s="1"/>
  <c r="AD348" i="335"/>
  <c r="AD343" i="335"/>
  <c r="AD328" i="335"/>
  <c r="AD102" i="336"/>
  <c r="AJ92" i="335"/>
  <c r="AJ100" i="335" s="1"/>
  <c r="AD342" i="335"/>
  <c r="AG365" i="335"/>
  <c r="AG392" i="335" s="1"/>
  <c r="AD290" i="335"/>
  <c r="AD114" i="338"/>
  <c r="AD160" i="338" s="1"/>
  <c r="AD163" i="338" s="1"/>
  <c r="AD164" i="338" s="1"/>
  <c r="AD336" i="335"/>
  <c r="AD365" i="335"/>
  <c r="AD99" i="335"/>
  <c r="AD151" i="335"/>
  <c r="G212" i="335"/>
  <c r="G182" i="335"/>
  <c r="G350" i="335"/>
  <c r="G368" i="335"/>
  <c r="G170" i="335"/>
  <c r="G389" i="338" s="1"/>
  <c r="EI168" i="335"/>
  <c r="EI296" i="335"/>
  <c r="CI116" i="336"/>
  <c r="CI119" i="336"/>
  <c r="CI118" i="336"/>
  <c r="CA25" i="11"/>
  <c r="CA357" i="335"/>
  <c r="CG25" i="11"/>
  <c r="FP25" i="11" s="1"/>
  <c r="DE101" i="338"/>
  <c r="DE108" i="338" s="1"/>
  <c r="DC108" i="338"/>
  <c r="BX58" i="11"/>
  <c r="BR58" i="11"/>
  <c r="BS206" i="335"/>
  <c r="BS207" i="335" s="1"/>
  <c r="BY100" i="335"/>
  <c r="EG365" i="335"/>
  <c r="EG112" i="336" s="1"/>
  <c r="EG346" i="335"/>
  <c r="EH365" i="335"/>
  <c r="EG333" i="335"/>
  <c r="EG328" i="335"/>
  <c r="EG315" i="335"/>
  <c r="EG290" i="335"/>
  <c r="EG148" i="335"/>
  <c r="EG347" i="335"/>
  <c r="EG99" i="335"/>
  <c r="EG157" i="335"/>
  <c r="EG342" i="335"/>
  <c r="EG151" i="335"/>
  <c r="EG114" i="338"/>
  <c r="EG160" i="338" s="1"/>
  <c r="EG102" i="336"/>
  <c r="EG385" i="335" s="1"/>
  <c r="EG345" i="335"/>
  <c r="EK365" i="335"/>
  <c r="EG331" i="335"/>
  <c r="EG348" i="335"/>
  <c r="EG15" i="11"/>
  <c r="EG92" i="335"/>
  <c r="EG93" i="335"/>
  <c r="EG341" i="335"/>
  <c r="EG49" i="11"/>
  <c r="EG58" i="11" s="1"/>
  <c r="EG163" i="336"/>
  <c r="EG313" i="338"/>
  <c r="FS91" i="335"/>
  <c r="EM89" i="11"/>
  <c r="EG93" i="11"/>
  <c r="EG97" i="11" s="1"/>
  <c r="EI89" i="11"/>
  <c r="EI93" i="11" s="1"/>
  <c r="EI97" i="11" s="1"/>
  <c r="EB365" i="335"/>
  <c r="DY330" i="335"/>
  <c r="DY333" i="335"/>
  <c r="DY313" i="338"/>
  <c r="EC313" i="338" s="1"/>
  <c r="DY114" i="338"/>
  <c r="DY160" i="338" s="1"/>
  <c r="DY345" i="335"/>
  <c r="DY102" i="336"/>
  <c r="DY385" i="335" s="1"/>
  <c r="EE92" i="335"/>
  <c r="DY15" i="11"/>
  <c r="DY157" i="335"/>
  <c r="EA365" i="335"/>
  <c r="DZ93" i="335"/>
  <c r="DY328" i="335"/>
  <c r="DY331" i="335"/>
  <c r="DY343" i="335"/>
  <c r="DY347" i="335"/>
  <c r="DY154" i="335"/>
  <c r="DY336" i="335"/>
  <c r="DY92" i="335"/>
  <c r="DY315" i="335"/>
  <c r="DZ365" i="335"/>
  <c r="DY334" i="335"/>
  <c r="DY163" i="336"/>
  <c r="DY342" i="335"/>
  <c r="DY325" i="338"/>
  <c r="DY326" i="338" s="1"/>
  <c r="DY49" i="11"/>
  <c r="EE290" i="335"/>
  <c r="DY346" i="335"/>
  <c r="DY99" i="335"/>
  <c r="DZ315" i="335"/>
  <c r="DY337" i="335"/>
  <c r="CA254" i="338"/>
  <c r="BU765" i="338"/>
  <c r="BX432" i="338"/>
  <c r="BY428" i="338"/>
  <c r="CD430" i="338"/>
  <c r="CD429" i="338"/>
  <c r="BY433" i="338"/>
  <c r="EF99" i="335"/>
  <c r="EF163" i="336"/>
  <c r="EF102" i="336"/>
  <c r="EF385" i="335" s="1"/>
  <c r="EF334" i="335"/>
  <c r="EF15" i="11"/>
  <c r="EF37" i="11" s="1"/>
  <c r="EF151" i="335"/>
  <c r="EF333" i="335"/>
  <c r="EF93" i="335"/>
  <c r="EF341" i="335"/>
  <c r="EF345" i="335"/>
  <c r="EF336" i="335"/>
  <c r="EF315" i="335"/>
  <c r="EF329" i="335"/>
  <c r="EF348" i="335"/>
  <c r="EF328" i="335"/>
  <c r="EF143" i="335"/>
  <c r="EF92" i="335"/>
  <c r="EF290" i="335"/>
  <c r="EF327" i="338"/>
  <c r="EF114" i="338"/>
  <c r="EF160" i="338" s="1"/>
  <c r="EF49" i="11"/>
  <c r="EF331" i="335"/>
  <c r="EF346" i="335"/>
  <c r="EF313" i="338"/>
  <c r="EF347" i="335"/>
  <c r="EF148" i="335"/>
  <c r="EF342" i="335"/>
  <c r="EF431" i="338"/>
  <c r="EF154" i="335"/>
  <c r="EF339" i="335"/>
  <c r="EF330" i="335"/>
  <c r="EF157" i="335"/>
  <c r="EF365" i="335"/>
  <c r="DP118" i="336"/>
  <c r="DQ118" i="336" s="1"/>
  <c r="DQ366" i="335"/>
  <c r="DP116" i="336"/>
  <c r="DQ116" i="336" s="1"/>
  <c r="DP119" i="336"/>
  <c r="DQ119" i="336" s="1"/>
  <c r="CU214" i="335"/>
  <c r="CU215" i="335" s="1"/>
  <c r="CU182" i="335"/>
  <c r="FQ176" i="335"/>
  <c r="DZ430" i="338"/>
  <c r="DZ429" i="338"/>
  <c r="EF331" i="338"/>
  <c r="DZ332" i="338"/>
  <c r="DS266" i="338"/>
  <c r="DQ265" i="338"/>
  <c r="DQ266" i="338" s="1"/>
  <c r="DK755" i="338"/>
  <c r="DQ755" i="338"/>
  <c r="DK763" i="338"/>
  <c r="DS47" i="11"/>
  <c r="DY56" i="11" s="1"/>
  <c r="DS339" i="335"/>
  <c r="DU621" i="338"/>
  <c r="DU622" i="338" s="1"/>
  <c r="DU623" i="338" s="1"/>
  <c r="EA621" i="338"/>
  <c r="EA622" i="338" s="1"/>
  <c r="EA623" i="338" s="1"/>
  <c r="L394" i="335"/>
  <c r="L369" i="335"/>
  <c r="L314" i="338"/>
  <c r="L401" i="338"/>
  <c r="L393" i="335"/>
  <c r="L392" i="335"/>
  <c r="M169" i="335"/>
  <c r="M212" i="335" s="1"/>
  <c r="M144" i="335"/>
  <c r="M388" i="338" s="1"/>
  <c r="GD428" i="338"/>
  <c r="GF479" i="338"/>
  <c r="EF118" i="336"/>
  <c r="EF116" i="336"/>
  <c r="EH119" i="336"/>
  <c r="EI119" i="336" s="1"/>
  <c r="EI366" i="335"/>
  <c r="EH118" i="336"/>
  <c r="AB365" i="335"/>
  <c r="AB342" i="335"/>
  <c r="AH290" i="335"/>
  <c r="AB148" i="335"/>
  <c r="AB93" i="335"/>
  <c r="AB101" i="335" s="1"/>
  <c r="AB346" i="335"/>
  <c r="AB345" i="335"/>
  <c r="AB348" i="335"/>
  <c r="AB99" i="335"/>
  <c r="AB347" i="335"/>
  <c r="AB151" i="335"/>
  <c r="FE172" i="338"/>
  <c r="FE173" i="338" s="1"/>
  <c r="FK17" i="335"/>
  <c r="CM366" i="335"/>
  <c r="CL116" i="336"/>
  <c r="CM116" i="336" s="1"/>
  <c r="CL118" i="336"/>
  <c r="CM118" i="336" s="1"/>
  <c r="CL119" i="336"/>
  <c r="CM119" i="336" s="1"/>
  <c r="EL89" i="335"/>
  <c r="ER88" i="335"/>
  <c r="EL96" i="335"/>
  <c r="FX96" i="335" s="1"/>
  <c r="EM89" i="335"/>
  <c r="EL91" i="335"/>
  <c r="CJ99" i="335"/>
  <c r="CJ114" i="338"/>
  <c r="CJ325" i="338"/>
  <c r="CJ326" i="338" s="1"/>
  <c r="CJ345" i="335"/>
  <c r="CJ348" i="335"/>
  <c r="CJ328" i="335"/>
  <c r="DY317" i="338"/>
  <c r="EB332" i="338"/>
  <c r="EB333" i="338" s="1"/>
  <c r="CD317" i="338"/>
  <c r="CA316" i="338"/>
  <c r="BX317" i="338"/>
  <c r="CR148" i="335"/>
  <c r="ET465" i="338"/>
  <c r="ET464" i="338"/>
  <c r="EO740" i="338"/>
  <c r="EO741" i="338" s="1"/>
  <c r="FI60" i="335"/>
  <c r="AU255" i="338"/>
  <c r="EC93" i="11"/>
  <c r="EC97" i="11" s="1"/>
  <c r="BZ336" i="335"/>
  <c r="EC281" i="335"/>
  <c r="AH119" i="336"/>
  <c r="AH116" i="336"/>
  <c r="AH118" i="336"/>
  <c r="AH395" i="338" s="1"/>
  <c r="CV172" i="338"/>
  <c r="EK245" i="338"/>
  <c r="EN241" i="338"/>
  <c r="EA245" i="338"/>
  <c r="EB241" i="338"/>
  <c r="ER43" i="11"/>
  <c r="ER160" i="336"/>
  <c r="ER52" i="335"/>
  <c r="ER553" i="338"/>
  <c r="ER604" i="338" s="1"/>
  <c r="ER606" i="338" s="1"/>
  <c r="ER278" i="335"/>
  <c r="EW57" i="335"/>
  <c r="EQ57" i="335"/>
  <c r="EQ58" i="335"/>
  <c r="FI133" i="11"/>
  <c r="FI70" i="11"/>
  <c r="DZ22" i="338"/>
  <c r="DZ466" i="338"/>
  <c r="EA22" i="338"/>
  <c r="CD484" i="338"/>
  <c r="DB15" i="335"/>
  <c r="CV278" i="335"/>
  <c r="EI611" i="338"/>
  <c r="EI777" i="338"/>
  <c r="EI783" i="338" s="1"/>
  <c r="DZ21" i="338"/>
  <c r="Y154" i="335"/>
  <c r="AE295" i="335"/>
  <c r="Y347" i="335"/>
  <c r="Y295" i="335"/>
  <c r="Y155" i="335"/>
  <c r="AE155" i="335"/>
  <c r="FQ43" i="335"/>
  <c r="FP43" i="335"/>
  <c r="CG242" i="336"/>
  <c r="CM193" i="336"/>
  <c r="CG193" i="336"/>
  <c r="DM229" i="335"/>
  <c r="DM209" i="336" s="1"/>
  <c r="DN228" i="335"/>
  <c r="BI725" i="338"/>
  <c r="BI280" i="335"/>
  <c r="BO43" i="335"/>
  <c r="BI43" i="335"/>
  <c r="BO280" i="335"/>
  <c r="AW725" i="338"/>
  <c r="AW721" i="338" s="1"/>
  <c r="AW43" i="335"/>
  <c r="AW280" i="335"/>
  <c r="BC280" i="335"/>
  <c r="W113" i="336"/>
  <c r="W369" i="335"/>
  <c r="W394" i="335"/>
  <c r="W393" i="335"/>
  <c r="W112" i="336"/>
  <c r="AN321" i="335"/>
  <c r="AN103" i="336"/>
  <c r="AN413" i="338" s="1"/>
  <c r="AN366" i="335"/>
  <c r="AP366" i="335"/>
  <c r="AN367" i="335"/>
  <c r="AN369" i="335" s="1"/>
  <c r="AN296" i="335"/>
  <c r="AO321" i="335"/>
  <c r="AS366" i="335"/>
  <c r="AO366" i="335"/>
  <c r="AM367" i="335"/>
  <c r="AM321" i="335"/>
  <c r="AM103" i="336"/>
  <c r="AM413" i="338" s="1"/>
  <c r="AM296" i="335"/>
  <c r="AJ366" i="335"/>
  <c r="AP296" i="335"/>
  <c r="AJ103" i="336"/>
  <c r="AJ321" i="335"/>
  <c r="AJ367" i="335"/>
  <c r="AI292" i="335"/>
  <c r="AK141" i="335"/>
  <c r="AI317" i="335"/>
  <c r="AJ317" i="335"/>
  <c r="AH321" i="335"/>
  <c r="AH103" i="336"/>
  <c r="AH413" i="338" s="1"/>
  <c r="AH296" i="335"/>
  <c r="AI367" i="335"/>
  <c r="AH367" i="335"/>
  <c r="AE214" i="335"/>
  <c r="Y214" i="335"/>
  <c r="K292" i="335"/>
  <c r="K367" i="335"/>
  <c r="K369" i="335" s="1"/>
  <c r="J348" i="335"/>
  <c r="J366" i="335"/>
  <c r="J296" i="335"/>
  <c r="J367" i="335"/>
  <c r="J369" i="335" s="1"/>
  <c r="I366" i="335"/>
  <c r="I348" i="335"/>
  <c r="G366" i="335"/>
  <c r="G348" i="335"/>
  <c r="F366" i="335"/>
  <c r="F348" i="335"/>
  <c r="X112" i="336"/>
  <c r="X394" i="338" s="1"/>
  <c r="X394" i="335"/>
  <c r="BO139" i="335"/>
  <c r="BU288" i="335"/>
  <c r="BO265" i="338"/>
  <c r="BO253" i="338"/>
  <c r="BU254" i="338" s="1"/>
  <c r="BO288" i="335"/>
  <c r="BI259" i="338"/>
  <c r="BO260" i="338" s="1"/>
  <c r="BO287" i="335"/>
  <c r="BI253" i="338"/>
  <c r="BI287" i="335"/>
  <c r="AZ142" i="11"/>
  <c r="AZ139" i="11"/>
  <c r="CA48" i="11"/>
  <c r="CA139" i="335"/>
  <c r="BU45" i="11"/>
  <c r="CA54" i="11" s="1"/>
  <c r="BU287" i="335"/>
  <c r="CA287" i="335"/>
  <c r="DI53" i="11"/>
  <c r="DO53" i="11"/>
  <c r="EG465" i="338"/>
  <c r="EG464" i="338"/>
  <c r="EL167" i="338"/>
  <c r="EF167" i="338"/>
  <c r="EI166" i="338"/>
  <c r="AW728" i="338"/>
  <c r="AW735" i="338" s="1"/>
  <c r="BC149" i="335"/>
  <c r="AW167" i="335"/>
  <c r="BC296" i="335" s="1"/>
  <c r="EX70" i="11"/>
  <c r="EX133" i="11"/>
  <c r="DU40" i="338"/>
  <c r="DU53" i="338" s="1"/>
  <c r="EA39" i="335"/>
  <c r="DV41" i="335"/>
  <c r="DU41" i="335"/>
  <c r="DU279" i="335"/>
  <c r="DU228" i="338"/>
  <c r="DU229" i="338" s="1"/>
  <c r="DJ64" i="335"/>
  <c r="DJ65" i="335"/>
  <c r="EL176" i="335"/>
  <c r="EL214" i="335" s="1"/>
  <c r="EM179" i="335"/>
  <c r="BI152" i="335"/>
  <c r="BI294" i="335"/>
  <c r="BI167" i="335"/>
  <c r="BO152" i="335"/>
  <c r="BI610" i="338"/>
  <c r="BI754" i="338"/>
  <c r="BU295" i="335"/>
  <c r="CA295" i="335"/>
  <c r="BU167" i="335"/>
  <c r="BU777" i="338"/>
  <c r="BO295" i="335"/>
  <c r="BO611" i="338"/>
  <c r="BO167" i="335"/>
  <c r="BO155" i="335"/>
  <c r="CA728" i="338"/>
  <c r="CA293" i="335"/>
  <c r="CA149" i="335"/>
  <c r="CA167" i="335"/>
  <c r="DK47" i="335"/>
  <c r="DK740" i="338"/>
  <c r="DK50" i="335"/>
  <c r="DK281" i="335"/>
  <c r="DQ50" i="335"/>
  <c r="AW160" i="335"/>
  <c r="AZ296" i="335"/>
  <c r="AY366" i="335"/>
  <c r="AT103" i="336"/>
  <c r="AT413" i="338" s="1"/>
  <c r="AY367" i="335"/>
  <c r="AY369" i="335" s="1"/>
  <c r="AT296" i="335"/>
  <c r="AT316" i="338"/>
  <c r="AW316" i="338" s="1"/>
  <c r="AT348" i="335"/>
  <c r="EH13" i="338"/>
  <c r="EH15" i="338" s="1"/>
  <c r="EI778" i="338"/>
  <c r="CU162" i="336"/>
  <c r="CW16" i="335"/>
  <c r="BA254" i="338"/>
  <c r="BA255" i="338" s="1"/>
  <c r="DH612" i="338"/>
  <c r="DH613" i="338" s="1"/>
  <c r="DN681" i="338" s="1"/>
  <c r="ER52" i="11"/>
  <c r="L343" i="335"/>
  <c r="F169" i="335"/>
  <c r="G298" i="335" s="1"/>
  <c r="F111" i="336"/>
  <c r="F347" i="335"/>
  <c r="F151" i="335"/>
  <c r="F114" i="338"/>
  <c r="F160" i="338" s="1"/>
  <c r="F163" i="338" s="1"/>
  <c r="F145" i="336"/>
  <c r="I365" i="335"/>
  <c r="I401" i="338" s="1"/>
  <c r="I346" i="335"/>
  <c r="I123" i="336"/>
  <c r="I347" i="335"/>
  <c r="I345" i="335"/>
  <c r="I328" i="335"/>
  <c r="I114" i="338"/>
  <c r="J113" i="338" s="1"/>
  <c r="AD96" i="335"/>
  <c r="AG311" i="335"/>
  <c r="AE98" i="335"/>
  <c r="AO89" i="335"/>
  <c r="AO96" i="335"/>
  <c r="AO311" i="335"/>
  <c r="CM47" i="11"/>
  <c r="CM45" i="11"/>
  <c r="BQ91" i="335"/>
  <c r="BQ43" i="11"/>
  <c r="BQ52" i="11" s="1"/>
  <c r="BQ16" i="338" s="1"/>
  <c r="BA316" i="338"/>
  <c r="BG317" i="338" s="1"/>
  <c r="BA103" i="336"/>
  <c r="BA413" i="338" s="1"/>
  <c r="BG296" i="335"/>
  <c r="AZ103" i="336"/>
  <c r="AZ413" i="338" s="1"/>
  <c r="AZ316" i="338"/>
  <c r="BF317" i="338" s="1"/>
  <c r="AZ367" i="335"/>
  <c r="AZ369" i="335" s="1"/>
  <c r="AY172" i="338"/>
  <c r="AY52" i="335"/>
  <c r="AY15" i="335"/>
  <c r="AY480" i="338"/>
  <c r="BH317" i="335"/>
  <c r="BH103" i="336"/>
  <c r="BG317" i="335"/>
  <c r="BM292" i="335"/>
  <c r="BI141" i="335"/>
  <c r="BE317" i="335"/>
  <c r="BN89" i="335"/>
  <c r="BN311" i="335"/>
  <c r="BQ89" i="335"/>
  <c r="BN286" i="335"/>
  <c r="BM89" i="335"/>
  <c r="BM311" i="335"/>
  <c r="BS286" i="335"/>
  <c r="BM286" i="335"/>
  <c r="BL96" i="335"/>
  <c r="BL311" i="335"/>
  <c r="BL88" i="335"/>
  <c r="BR88" i="335"/>
  <c r="BL89" i="335"/>
  <c r="BL286" i="335"/>
  <c r="BR286" i="335"/>
  <c r="BK96" i="335"/>
  <c r="BK88" i="335"/>
  <c r="BK286" i="335"/>
  <c r="BO87" i="335"/>
  <c r="BT317" i="335"/>
  <c r="BW317" i="335"/>
  <c r="BS609" i="338"/>
  <c r="BS615" i="338" s="1"/>
  <c r="BS616" i="338" s="1"/>
  <c r="BS621" i="338" s="1"/>
  <c r="BS622" i="338" s="1"/>
  <c r="BS623" i="338" s="1"/>
  <c r="BY292" i="335"/>
  <c r="BS317" i="335"/>
  <c r="BU141" i="335"/>
  <c r="BQ292" i="335"/>
  <c r="BZ292" i="335"/>
  <c r="BZ103" i="336"/>
  <c r="CF87" i="335"/>
  <c r="CF48" i="11"/>
  <c r="CC321" i="335"/>
  <c r="CE87" i="335"/>
  <c r="CE139" i="335"/>
  <c r="CL48" i="11"/>
  <c r="CL87" i="335"/>
  <c r="FP75" i="335"/>
  <c r="CL139" i="335"/>
  <c r="CO48" i="11"/>
  <c r="CO139" i="335"/>
  <c r="CO87" i="335"/>
  <c r="CS180" i="335"/>
  <c r="FP180" i="335"/>
  <c r="CO176" i="335"/>
  <c r="CW87" i="335"/>
  <c r="CW48" i="11"/>
  <c r="DC286" i="335"/>
  <c r="CW139" i="335"/>
  <c r="CY75" i="335"/>
  <c r="EH425" i="338"/>
  <c r="EH382" i="338"/>
  <c r="DT550" i="338"/>
  <c r="DT425" i="338"/>
  <c r="DT382" i="338"/>
  <c r="CC382" i="338"/>
  <c r="CC425" i="338"/>
  <c r="DD87" i="335"/>
  <c r="DD139" i="335"/>
  <c r="DE75" i="335"/>
  <c r="DG311" i="335"/>
  <c r="DD48" i="11"/>
  <c r="DD311" i="335"/>
  <c r="DC172" i="338"/>
  <c r="DC161" i="336"/>
  <c r="DC330" i="338"/>
  <c r="DC160" i="336"/>
  <c r="DC43" i="11"/>
  <c r="DJ87" i="335"/>
  <c r="DJ76" i="335"/>
  <c r="DJ311" i="335"/>
  <c r="EM464" i="338"/>
  <c r="EM465" i="338"/>
  <c r="ER105" i="335"/>
  <c r="EU33" i="335"/>
  <c r="BR612" i="338"/>
  <c r="BR613" i="338" s="1"/>
  <c r="BR681" i="338" s="1"/>
  <c r="CS160" i="335"/>
  <c r="X392" i="335"/>
  <c r="BY612" i="338"/>
  <c r="BY613" i="338" s="1"/>
  <c r="CE681" i="338" s="1"/>
  <c r="H169" i="335"/>
  <c r="DU479" i="338"/>
  <c r="DU478" i="338"/>
  <c r="CG167" i="335"/>
  <c r="DE98" i="335"/>
  <c r="CA98" i="335"/>
  <c r="CM98" i="335"/>
  <c r="DV304" i="335"/>
  <c r="DV53" i="11"/>
  <c r="BQ609" i="338"/>
  <c r="BK53" i="11"/>
  <c r="EQ459" i="338"/>
  <c r="CP89" i="335"/>
  <c r="BN610" i="338"/>
  <c r="DE239" i="335"/>
  <c r="BZ53" i="11"/>
  <c r="DC331" i="338"/>
  <c r="EE64" i="335"/>
  <c r="ES53" i="11"/>
  <c r="DU169" i="336"/>
  <c r="EQ167" i="338"/>
  <c r="AT462" i="335"/>
  <c r="BE462" i="335"/>
  <c r="AY462" i="335"/>
  <c r="BF462" i="335"/>
  <c r="AZ462" i="335"/>
  <c r="I143" i="335"/>
  <c r="I144" i="335" s="1"/>
  <c r="I388" i="338" s="1"/>
  <c r="DK133" i="335"/>
  <c r="DU110" i="338"/>
  <c r="BX366" i="335"/>
  <c r="EO107" i="335"/>
  <c r="EO108" i="335" s="1"/>
  <c r="AP317" i="335"/>
  <c r="DZ34" i="338"/>
  <c r="EX321" i="335"/>
  <c r="EI337" i="338"/>
  <c r="EI339" i="338" s="1"/>
  <c r="AE292" i="335"/>
  <c r="DD481" i="338"/>
  <c r="BG462" i="335"/>
  <c r="BC458" i="335"/>
  <c r="AS462" i="335"/>
  <c r="AB375" i="335"/>
  <c r="EU139" i="335"/>
  <c r="EU87" i="335"/>
  <c r="CY254" i="338"/>
  <c r="EO209" i="336"/>
  <c r="DZ39" i="338"/>
  <c r="DZ55" i="338"/>
  <c r="FL17" i="335"/>
  <c r="FL19" i="335" s="1"/>
  <c r="F394" i="338"/>
  <c r="FK19" i="335"/>
  <c r="GA17" i="335"/>
  <c r="FI17" i="335"/>
  <c r="FM17" i="335" s="1"/>
  <c r="X27" i="11"/>
  <c r="FD19" i="335"/>
  <c r="FG17" i="335"/>
  <c r="FG172" i="338" s="1"/>
  <c r="FG173" i="338" s="1"/>
  <c r="G27" i="11"/>
  <c r="GF437" i="338"/>
  <c r="GC428" i="338"/>
  <c r="CX351" i="335"/>
  <c r="CX189" i="335"/>
  <c r="DJ482" i="338"/>
  <c r="DJ481" i="338"/>
  <c r="EC769" i="338"/>
  <c r="DW769" i="338"/>
  <c r="DW770" i="338"/>
  <c r="DW775" i="338"/>
  <c r="FC29" i="335"/>
  <c r="FC31" i="335" s="1"/>
  <c r="EU104" i="335"/>
  <c r="BG218" i="335"/>
  <c r="BG219" i="335" s="1"/>
  <c r="EL312" i="335"/>
  <c r="CX214" i="335"/>
  <c r="ET272" i="338"/>
  <c r="EK338" i="335"/>
  <c r="EL313" i="335"/>
  <c r="EA298" i="335"/>
  <c r="DU173" i="335"/>
  <c r="DU174" i="335" s="1"/>
  <c r="CC481" i="338"/>
  <c r="EH81" i="335"/>
  <c r="EQ14" i="335"/>
  <c r="EQ330" i="338" s="1"/>
  <c r="EQ160" i="335"/>
  <c r="EN58" i="335"/>
  <c r="EU748" i="338"/>
  <c r="AG299" i="335"/>
  <c r="CX185" i="335"/>
  <c r="BB218" i="335"/>
  <c r="BG217" i="335"/>
  <c r="EX120" i="11"/>
  <c r="EK287" i="335"/>
  <c r="EI259" i="338"/>
  <c r="EO260" i="338" s="1"/>
  <c r="DY105" i="335"/>
  <c r="FU152" i="335"/>
  <c r="EQ23" i="338"/>
  <c r="EU76" i="335"/>
  <c r="BF325" i="335"/>
  <c r="EK312" i="335"/>
  <c r="DD482" i="338"/>
  <c r="CD15" i="335"/>
  <c r="DV366" i="335"/>
  <c r="DZ171" i="335"/>
  <c r="BY481" i="338"/>
  <c r="DM621" i="338"/>
  <c r="DM622" i="338" s="1"/>
  <c r="DM623" i="338" s="1"/>
  <c r="EQ21" i="338"/>
  <c r="DO296" i="335"/>
  <c r="EQ314" i="335"/>
  <c r="FY74" i="335"/>
  <c r="EN47" i="11"/>
  <c r="EN339" i="335"/>
  <c r="FD78" i="11"/>
  <c r="FD82" i="11" s="1"/>
  <c r="FJ74" i="11"/>
  <c r="FJ78" i="11" s="1"/>
  <c r="FJ82" i="11" s="1"/>
  <c r="EK225" i="338"/>
  <c r="DO96" i="335"/>
  <c r="DO91" i="335"/>
  <c r="FJ119" i="11"/>
  <c r="FJ123" i="11" s="1"/>
  <c r="FJ127" i="11" s="1"/>
  <c r="FJ40" i="338"/>
  <c r="FJ279" i="335"/>
  <c r="K215" i="335"/>
  <c r="K213" i="335"/>
  <c r="EU761" i="338"/>
  <c r="EE225" i="338"/>
  <c r="EK47" i="11"/>
  <c r="EK56" i="11" s="1"/>
  <c r="EK289" i="335"/>
  <c r="EK339" i="335"/>
  <c r="EM288" i="335"/>
  <c r="EM338" i="335"/>
  <c r="EF37" i="338"/>
  <c r="BH239" i="335"/>
  <c r="BI239" i="335" s="1"/>
  <c r="BH461" i="335"/>
  <c r="BI461" i="335" s="1"/>
  <c r="BH458" i="335"/>
  <c r="BI458" i="335" s="1"/>
  <c r="BH375" i="335"/>
  <c r="AJ213" i="335"/>
  <c r="AJ215" i="335"/>
  <c r="BR144" i="335"/>
  <c r="BR169" i="335"/>
  <c r="AY207" i="335"/>
  <c r="AY208" i="335"/>
  <c r="AY209" i="335" s="1"/>
  <c r="CM54" i="335"/>
  <c r="CM53" i="335"/>
  <c r="BL144" i="335"/>
  <c r="BL169" i="335"/>
  <c r="BM123" i="336"/>
  <c r="BM392" i="335"/>
  <c r="BM145" i="336"/>
  <c r="BM111" i="336"/>
  <c r="BM369" i="335"/>
  <c r="CD100" i="335"/>
  <c r="CD206" i="335"/>
  <c r="CD207" i="335" s="1"/>
  <c r="BN385" i="335"/>
  <c r="BO385" i="335" s="1"/>
  <c r="BO391" i="338" s="1"/>
  <c r="BO102" i="336"/>
  <c r="DV73" i="335"/>
  <c r="EB288" i="335" s="1"/>
  <c r="DV266" i="338"/>
  <c r="EZ57" i="335"/>
  <c r="EZ58" i="335"/>
  <c r="FA56" i="335"/>
  <c r="DH326" i="338"/>
  <c r="DH328" i="338"/>
  <c r="BM162" i="338"/>
  <c r="EA333" i="338"/>
  <c r="FW151" i="335"/>
  <c r="FW148" i="335"/>
  <c r="FW154" i="335"/>
  <c r="BM394" i="338"/>
  <c r="AU169" i="335"/>
  <c r="AU144" i="335"/>
  <c r="CQ428" i="338"/>
  <c r="CV429" i="338"/>
  <c r="CV433" i="338" s="1"/>
  <c r="CP206" i="335"/>
  <c r="CP100" i="335"/>
  <c r="CP494" i="338"/>
  <c r="CQ100" i="335"/>
  <c r="CR101" i="335"/>
  <c r="CQ494" i="338"/>
  <c r="CW492" i="338" s="1"/>
  <c r="EG453" i="338"/>
  <c r="EM450" i="338"/>
  <c r="EM451" i="338"/>
  <c r="DU333" i="338"/>
  <c r="DN46" i="11"/>
  <c r="DN55" i="11" s="1"/>
  <c r="DO313" i="335"/>
  <c r="DN74" i="335"/>
  <c r="DN288" i="335"/>
  <c r="CG53" i="335"/>
  <c r="CA54" i="335"/>
  <c r="EH338" i="335"/>
  <c r="EH313" i="335"/>
  <c r="DK749" i="338"/>
  <c r="DK744" i="338"/>
  <c r="EN266" i="338"/>
  <c r="DU314" i="335"/>
  <c r="DY305" i="335"/>
  <c r="DY58" i="338"/>
  <c r="EE57" i="338" s="1"/>
  <c r="EN553" i="338"/>
  <c r="EN556" i="338" s="1"/>
  <c r="EN557" i="338" s="1"/>
  <c r="CM317" i="338"/>
  <c r="AA9" i="338"/>
  <c r="AA12" i="338" s="1"/>
  <c r="AA17" i="338" s="1"/>
  <c r="AA18" i="338" s="1"/>
  <c r="CG295" i="335"/>
  <c r="CP609" i="338"/>
  <c r="CY768" i="338"/>
  <c r="BQ143" i="335"/>
  <c r="FP141" i="335"/>
  <c r="CS141" i="335"/>
  <c r="AW72" i="335"/>
  <c r="DQ105" i="335"/>
  <c r="Y343" i="335"/>
  <c r="AA16" i="335"/>
  <c r="DQ281" i="335"/>
  <c r="DW50" i="335"/>
  <c r="CP292" i="335"/>
  <c r="BC460" i="335"/>
  <c r="BC462" i="335" s="1"/>
  <c r="DH681" i="338"/>
  <c r="CG723" i="338"/>
  <c r="CG228" i="338"/>
  <c r="BY364" i="335"/>
  <c r="BW43" i="11"/>
  <c r="BX16" i="335"/>
  <c r="DY9" i="338"/>
  <c r="EE17" i="338" s="1"/>
  <c r="EE278" i="335"/>
  <c r="DY160" i="336"/>
  <c r="DY52" i="335"/>
  <c r="DY43" i="11"/>
  <c r="DQ744" i="338"/>
  <c r="CQ172" i="338"/>
  <c r="AW295" i="335"/>
  <c r="AQ167" i="335"/>
  <c r="AQ348" i="335" s="1"/>
  <c r="AW155" i="335"/>
  <c r="S167" i="335"/>
  <c r="S155" i="335"/>
  <c r="FV105" i="335"/>
  <c r="EI84" i="335"/>
  <c r="CO621" i="338"/>
  <c r="CO622" i="338" s="1"/>
  <c r="CO623" i="338" s="1"/>
  <c r="DY120" i="11"/>
  <c r="EE124" i="11" s="1"/>
  <c r="EE128" i="11" s="1"/>
  <c r="EI9" i="338"/>
  <c r="EI8" i="338" s="1"/>
  <c r="ER108" i="338"/>
  <c r="ER110" i="338" s="1"/>
  <c r="ET53" i="11"/>
  <c r="CY266" i="338"/>
  <c r="BM255" i="338"/>
  <c r="CA266" i="338"/>
  <c r="DY439" i="338"/>
  <c r="CW254" i="338"/>
  <c r="BN255" i="338"/>
  <c r="EC160" i="335"/>
  <c r="CP316" i="338"/>
  <c r="DZ439" i="338"/>
  <c r="CW615" i="338"/>
  <c r="CW616" i="338" s="1"/>
  <c r="DC621" i="338" s="1"/>
  <c r="DC622" i="338" s="1"/>
  <c r="DC623" i="338" s="1"/>
  <c r="CS14" i="335"/>
  <c r="CG611" i="338"/>
  <c r="CP317" i="335"/>
  <c r="EI295" i="335"/>
  <c r="DW281" i="335"/>
  <c r="DQ47" i="335"/>
  <c r="H395" i="338"/>
  <c r="CF480" i="338"/>
  <c r="DQ741" i="338"/>
  <c r="DW610" i="338"/>
  <c r="DW615" i="338" s="1"/>
  <c r="DW616" i="338" s="1"/>
  <c r="DW167" i="335"/>
  <c r="DT161" i="336"/>
  <c r="DS162" i="336"/>
  <c r="DT278" i="335"/>
  <c r="DT241" i="338"/>
  <c r="DT303" i="335"/>
  <c r="FU14" i="335"/>
  <c r="FV15" i="335" s="1"/>
  <c r="DT364" i="335"/>
  <c r="DT9" i="338"/>
  <c r="DT8" i="338" s="1"/>
  <c r="DT330" i="338"/>
  <c r="DT43" i="11"/>
  <c r="DT52" i="11" s="1"/>
  <c r="CS611" i="338"/>
  <c r="CS155" i="335"/>
  <c r="CS777" i="338"/>
  <c r="BZ172" i="338"/>
  <c r="BZ160" i="336"/>
  <c r="CR172" i="338"/>
  <c r="CR15" i="335"/>
  <c r="CR278" i="335"/>
  <c r="CA87" i="335"/>
  <c r="BY311" i="335"/>
  <c r="BZ89" i="335"/>
  <c r="BY286" i="335"/>
  <c r="BT116" i="336"/>
  <c r="BU116" i="336" s="1"/>
  <c r="BU366" i="335"/>
  <c r="CQ118" i="336"/>
  <c r="CQ395" i="338" s="1"/>
  <c r="CQ116" i="336"/>
  <c r="DT287" i="335"/>
  <c r="EY99" i="338"/>
  <c r="BG323" i="335"/>
  <c r="EN36" i="338"/>
  <c r="CS167" i="336"/>
  <c r="AA364" i="335"/>
  <c r="CG155" i="335"/>
  <c r="EL53" i="11"/>
  <c r="CM295" i="335"/>
  <c r="EI155" i="335"/>
  <c r="DE756" i="338"/>
  <c r="BM681" i="338"/>
  <c r="BM684" i="338" s="1"/>
  <c r="CS239" i="335"/>
  <c r="EB278" i="335"/>
  <c r="EH278" i="335"/>
  <c r="EB480" i="338"/>
  <c r="EB481" i="338" s="1"/>
  <c r="BA96" i="335"/>
  <c r="EC36" i="335"/>
  <c r="CJ172" i="338"/>
  <c r="CP15" i="335"/>
  <c r="CO364" i="335"/>
  <c r="EO172" i="338"/>
  <c r="EU30" i="335"/>
  <c r="CO292" i="335"/>
  <c r="CO317" i="335"/>
  <c r="EC158" i="335"/>
  <c r="EI158" i="335"/>
  <c r="EN22" i="335"/>
  <c r="EN108" i="335"/>
  <c r="EW167" i="336"/>
  <c r="ER114" i="335"/>
  <c r="ER245" i="338"/>
  <c r="ES246" i="338" s="1"/>
  <c r="FF23" i="335"/>
  <c r="FL23" i="335" s="1"/>
  <c r="FJ550" i="338"/>
  <c r="EU120" i="335"/>
  <c r="EM58" i="335"/>
  <c r="BH290" i="336"/>
  <c r="BI290" i="336" s="1"/>
  <c r="DY53" i="11"/>
  <c r="DD53" i="11"/>
  <c r="CV53" i="11"/>
  <c r="FU141" i="335"/>
  <c r="BQ278" i="335"/>
  <c r="DG53" i="335"/>
  <c r="DP53" i="335"/>
  <c r="EK321" i="335"/>
  <c r="EB108" i="335"/>
  <c r="FT98" i="335"/>
  <c r="BC214" i="335"/>
  <c r="EM467" i="338"/>
  <c r="EG99" i="338"/>
  <c r="E15" i="11"/>
  <c r="F27" i="11" s="1"/>
  <c r="M133" i="11"/>
  <c r="CV133" i="11"/>
  <c r="DO133" i="11"/>
  <c r="O103" i="336"/>
  <c r="O413" i="338" s="1"/>
  <c r="EH133" i="11"/>
  <c r="BE70" i="11"/>
  <c r="FX176" i="335"/>
  <c r="DA70" i="11"/>
  <c r="CI69" i="11"/>
  <c r="I292" i="335"/>
  <c r="EA22" i="335"/>
  <c r="ER84" i="335"/>
  <c r="ER16" i="335"/>
  <c r="ER28" i="335"/>
  <c r="FA24" i="335"/>
  <c r="EZ25" i="335"/>
  <c r="ES57" i="335"/>
  <c r="FJ425" i="338"/>
  <c r="FJ133" i="11"/>
  <c r="ET107" i="335"/>
  <c r="U89" i="335"/>
  <c r="FU149" i="335"/>
  <c r="BF54" i="335"/>
  <c r="BG54" i="335"/>
  <c r="DM612" i="338"/>
  <c r="DM613" i="338" s="1"/>
  <c r="CX54" i="335"/>
  <c r="DW293" i="335"/>
  <c r="CO229" i="338"/>
  <c r="F290" i="335"/>
  <c r="BN70" i="11"/>
  <c r="AG133" i="11"/>
  <c r="AB133" i="11"/>
  <c r="BX133" i="11"/>
  <c r="H367" i="335"/>
  <c r="H369" i="335" s="1"/>
  <c r="DY133" i="11"/>
  <c r="M296" i="335"/>
  <c r="M364" i="335"/>
  <c r="Y294" i="335"/>
  <c r="EQ22" i="335"/>
  <c r="EU24" i="335"/>
  <c r="EU111" i="335"/>
  <c r="ET58" i="335"/>
  <c r="ER21" i="335"/>
  <c r="BZ14" i="11"/>
  <c r="BZ358" i="335" s="1"/>
  <c r="BZ356" i="335" s="1"/>
  <c r="X38" i="11"/>
  <c r="M38" i="11"/>
  <c r="I395" i="338"/>
  <c r="CI190" i="335"/>
  <c r="CI300" i="335"/>
  <c r="CI487" i="338"/>
  <c r="CI488" i="338" s="1"/>
  <c r="BS239" i="335"/>
  <c r="BS156" i="335" s="1"/>
  <c r="BS458" i="335"/>
  <c r="BS459" i="335"/>
  <c r="BS208" i="335"/>
  <c r="BS209" i="335" s="1"/>
  <c r="BS114" i="3"/>
  <c r="BS375" i="335"/>
  <c r="BS460" i="335"/>
  <c r="FA29" i="335"/>
  <c r="EU167" i="335"/>
  <c r="CR219" i="335"/>
  <c r="FR176" i="335"/>
  <c r="DA182" i="335"/>
  <c r="DA187" i="335" s="1"/>
  <c r="BF299" i="335"/>
  <c r="ET85" i="335"/>
  <c r="EY84" i="335"/>
  <c r="ET366" i="335"/>
  <c r="EY296" i="335"/>
  <c r="EY168" i="335"/>
  <c r="EW31" i="335"/>
  <c r="ES321" i="335"/>
  <c r="EH37" i="338"/>
  <c r="BS218" i="335"/>
  <c r="DA214" i="335"/>
  <c r="DG179" i="335"/>
  <c r="ES105" i="335"/>
  <c r="CI351" i="335"/>
  <c r="EW317" i="338"/>
  <c r="ES103" i="336"/>
  <c r="EU158" i="335"/>
  <c r="EU777" i="338"/>
  <c r="CI229" i="336"/>
  <c r="CI263" i="336" s="1"/>
  <c r="BY482" i="338"/>
  <c r="EA331" i="338"/>
  <c r="DU331" i="338"/>
  <c r="CP53" i="335"/>
  <c r="CK54" i="335"/>
  <c r="CJ54" i="335"/>
  <c r="CJ53" i="335"/>
  <c r="BA328" i="335"/>
  <c r="BA346" i="335"/>
  <c r="BA348" i="335"/>
  <c r="BA342" i="335"/>
  <c r="BF365" i="335"/>
  <c r="BA345" i="335"/>
  <c r="BA114" i="338"/>
  <c r="BA160" i="338" s="1"/>
  <c r="BB161" i="338" s="1"/>
  <c r="BA148" i="335"/>
  <c r="BC91" i="335"/>
  <c r="BG92" i="335"/>
  <c r="BG100" i="335" s="1"/>
  <c r="BB93" i="335"/>
  <c r="BB101" i="335" s="1"/>
  <c r="BA154" i="335"/>
  <c r="BA151" i="335"/>
  <c r="BG290" i="335"/>
  <c r="BA143" i="335"/>
  <c r="BA315" i="335"/>
  <c r="BA102" i="336"/>
  <c r="BA385" i="335" s="1"/>
  <c r="BA337" i="335"/>
  <c r="BA99" i="335"/>
  <c r="BA206" i="335" s="1"/>
  <c r="BA207" i="335" s="1"/>
  <c r="BB365" i="335"/>
  <c r="BA347" i="335"/>
  <c r="BA336" i="335"/>
  <c r="BA331" i="335"/>
  <c r="BE365" i="335"/>
  <c r="BA330" i="335"/>
  <c r="BA313" i="338"/>
  <c r="BC313" i="338" s="1"/>
  <c r="BA93" i="335"/>
  <c r="BA101" i="335" s="1"/>
  <c r="BA365" i="335"/>
  <c r="EG646" i="338"/>
  <c r="EG645" i="338" s="1"/>
  <c r="EG664" i="338"/>
  <c r="EG663" i="338" s="1"/>
  <c r="EG662" i="338" s="1"/>
  <c r="EG628" i="338"/>
  <c r="EG627" i="338" s="1"/>
  <c r="EG626" i="338" s="1"/>
  <c r="EG658" i="338"/>
  <c r="EG657" i="338" s="1"/>
  <c r="EG656" i="338" s="1"/>
  <c r="EG606" i="338"/>
  <c r="EG607" i="338" s="1"/>
  <c r="EG640" i="338"/>
  <c r="EG639" i="338" s="1"/>
  <c r="EG638" i="338" s="1"/>
  <c r="EG634" i="338"/>
  <c r="EG633" i="338" s="1"/>
  <c r="EG632" i="338" s="1"/>
  <c r="EG652" i="338"/>
  <c r="EG651" i="338" s="1"/>
  <c r="EG670" i="338"/>
  <c r="EG669" i="338" s="1"/>
  <c r="EG668" i="338" s="1"/>
  <c r="EB452" i="338"/>
  <c r="EH53" i="335"/>
  <c r="EB53" i="335"/>
  <c r="EB54" i="335"/>
  <c r="EE54" i="335"/>
  <c r="FW52" i="335"/>
  <c r="V350" i="335"/>
  <c r="V170" i="335"/>
  <c r="V182" i="335"/>
  <c r="W323" i="335"/>
  <c r="EK42" i="335"/>
  <c r="DM266" i="338"/>
  <c r="DM73" i="335"/>
  <c r="CJ144" i="335"/>
  <c r="CJ169" i="335"/>
  <c r="EL42" i="335"/>
  <c r="EL119" i="11"/>
  <c r="ER123" i="11" s="1"/>
  <c r="EL228" i="338"/>
  <c r="EL229" i="338" s="1"/>
  <c r="EL40" i="338"/>
  <c r="EL304" i="335"/>
  <c r="EL329" i="335"/>
  <c r="BH393" i="335"/>
  <c r="BH113" i="336"/>
  <c r="BI113" i="336" s="1"/>
  <c r="BH369" i="335"/>
  <c r="BI365" i="335"/>
  <c r="BH111" i="336"/>
  <c r="BI111" i="336" s="1"/>
  <c r="BH112" i="336"/>
  <c r="BI112" i="336" s="1"/>
  <c r="BY37" i="11"/>
  <c r="DO272" i="338"/>
  <c r="DO253" i="338"/>
  <c r="CV315" i="335"/>
  <c r="CV348" i="335"/>
  <c r="CV342" i="335"/>
  <c r="CV157" i="335"/>
  <c r="CV143" i="335"/>
  <c r="CV163" i="336"/>
  <c r="DB290" i="335"/>
  <c r="CV338" i="335"/>
  <c r="DB92" i="335"/>
  <c r="CV325" i="338"/>
  <c r="CV313" i="338"/>
  <c r="CV345" i="335"/>
  <c r="CV341" i="335"/>
  <c r="CV330" i="335"/>
  <c r="CV148" i="335"/>
  <c r="CV102" i="336"/>
  <c r="CV385" i="335" s="1"/>
  <c r="CV92" i="335"/>
  <c r="CV290" i="335"/>
  <c r="CV331" i="335"/>
  <c r="CV99" i="335"/>
  <c r="CV114" i="338"/>
  <c r="CV113" i="338" s="1"/>
  <c r="CV339" i="335"/>
  <c r="CV49" i="11"/>
  <c r="CV431" i="338"/>
  <c r="CV346" i="335"/>
  <c r="CV93" i="335"/>
  <c r="CV327" i="338"/>
  <c r="CV328" i="338" s="1"/>
  <c r="CV343" i="335"/>
  <c r="CV328" i="335"/>
  <c r="CQ290" i="335"/>
  <c r="CR93" i="335"/>
  <c r="CQ92" i="335"/>
  <c r="CR315" i="335"/>
  <c r="CQ339" i="335"/>
  <c r="CQ336" i="335"/>
  <c r="CQ329" i="335"/>
  <c r="CQ157" i="335"/>
  <c r="CQ331" i="335"/>
  <c r="CQ313" i="338"/>
  <c r="CQ102" i="336"/>
  <c r="CQ385" i="335" s="1"/>
  <c r="EL119" i="336"/>
  <c r="EL116" i="336"/>
  <c r="EL118" i="336"/>
  <c r="AW286" i="335"/>
  <c r="EO553" i="338"/>
  <c r="EO628" i="338" s="1"/>
  <c r="EN162" i="336"/>
  <c r="EU100" i="338"/>
  <c r="FA110" i="338" s="1"/>
  <c r="AI365" i="335"/>
  <c r="AG315" i="335"/>
  <c r="AD148" i="335"/>
  <c r="AG93" i="335"/>
  <c r="AG101" i="335" s="1"/>
  <c r="AD15" i="11"/>
  <c r="AD38" i="11" s="1"/>
  <c r="AD347" i="335"/>
  <c r="AD93" i="335"/>
  <c r="AD101" i="335" s="1"/>
  <c r="FD100" i="338"/>
  <c r="FD99" i="338" s="1"/>
  <c r="DC365" i="335"/>
  <c r="CX290" i="335"/>
  <c r="CX99" i="335"/>
  <c r="CX331" i="335"/>
  <c r="CX338" i="335"/>
  <c r="CX157" i="335"/>
  <c r="CX313" i="338"/>
  <c r="CX163" i="336"/>
  <c r="CX431" i="338"/>
  <c r="BI346" i="335"/>
  <c r="BI718" i="338"/>
  <c r="BI15" i="11"/>
  <c r="BI328" i="335"/>
  <c r="BI336" i="335"/>
  <c r="BI330" i="335"/>
  <c r="BI337" i="335"/>
  <c r="BI148" i="335"/>
  <c r="AZ350" i="335"/>
  <c r="EF46" i="11"/>
  <c r="EL55" i="11" s="1"/>
  <c r="EF338" i="335"/>
  <c r="DU72" i="335"/>
  <c r="DU260" i="338"/>
  <c r="X298" i="335"/>
  <c r="X350" i="335"/>
  <c r="DM72" i="335"/>
  <c r="DS260" i="338"/>
  <c r="EG326" i="338"/>
  <c r="EE266" i="338"/>
  <c r="EE101" i="335"/>
  <c r="CX429" i="338"/>
  <c r="CP290" i="335"/>
  <c r="DV148" i="335"/>
  <c r="DV331" i="335"/>
  <c r="DV328" i="335"/>
  <c r="DV102" i="336"/>
  <c r="DW102" i="336" s="1"/>
  <c r="DV99" i="335"/>
  <c r="DV114" i="338"/>
  <c r="DV160" i="338" s="1"/>
  <c r="DV161" i="338" s="1"/>
  <c r="DV313" i="338"/>
  <c r="DV151" i="335"/>
  <c r="DV330" i="335"/>
  <c r="DV329" i="335"/>
  <c r="DV15" i="11"/>
  <c r="DV38" i="11" s="1"/>
  <c r="DV325" i="338"/>
  <c r="EB326" i="338" s="1"/>
  <c r="DV327" i="338"/>
  <c r="DV334" i="335"/>
  <c r="DV346" i="335"/>
  <c r="CA612" i="338"/>
  <c r="CA613" i="338" s="1"/>
  <c r="CA615" i="338"/>
  <c r="CA616" i="338" s="1"/>
  <c r="BT144" i="335"/>
  <c r="BT169" i="335"/>
  <c r="L170" i="335"/>
  <c r="L389" i="338" s="1"/>
  <c r="L212" i="335"/>
  <c r="AZ315" i="335"/>
  <c r="AZ93" i="335"/>
  <c r="AZ101" i="335" s="1"/>
  <c r="CD58" i="11"/>
  <c r="CI681" i="338"/>
  <c r="BZ433" i="338"/>
  <c r="BY432" i="338"/>
  <c r="AO169" i="335"/>
  <c r="AO144" i="335"/>
  <c r="CI54" i="335"/>
  <c r="CF53" i="335"/>
  <c r="CD478" i="338"/>
  <c r="CD479" i="338"/>
  <c r="BZ331" i="335"/>
  <c r="BZ148" i="335"/>
  <c r="BZ315" i="335"/>
  <c r="BZ347" i="335"/>
  <c r="BZ343" i="335"/>
  <c r="EK81" i="335"/>
  <c r="BK15" i="11"/>
  <c r="BK37" i="11" s="1"/>
  <c r="BK114" i="338"/>
  <c r="BK160" i="338" s="1"/>
  <c r="BK163" i="338" s="1"/>
  <c r="BK164" i="338" s="1"/>
  <c r="BZ325" i="338"/>
  <c r="ES78" i="11"/>
  <c r="ES82" i="11" s="1"/>
  <c r="EY74" i="11"/>
  <c r="BY88" i="335"/>
  <c r="BY96" i="335"/>
  <c r="CA96" i="335" s="1"/>
  <c r="CA46" i="11"/>
  <c r="CA288" i="335"/>
  <c r="S365" i="335"/>
  <c r="S314" i="338" s="1"/>
  <c r="S114" i="338"/>
  <c r="S113" i="338" s="1"/>
  <c r="D123" i="336"/>
  <c r="D328" i="335"/>
  <c r="D116" i="336"/>
  <c r="EL133" i="11"/>
  <c r="EL70" i="11"/>
  <c r="DY167" i="338"/>
  <c r="EE167" i="338"/>
  <c r="BO149" i="335"/>
  <c r="BI728" i="338"/>
  <c r="CM191" i="335"/>
  <c r="CM225" i="335"/>
  <c r="BC728" i="338"/>
  <c r="BC293" i="335"/>
  <c r="BZ610" i="338"/>
  <c r="BZ615" i="338" s="1"/>
  <c r="BZ616" i="338" s="1"/>
  <c r="E295" i="335"/>
  <c r="BZ339" i="335"/>
  <c r="BZ154" i="335"/>
  <c r="BZ348" i="335"/>
  <c r="BZ341" i="335"/>
  <c r="BZ99" i="335"/>
  <c r="CQ317" i="338"/>
  <c r="EY65" i="335"/>
  <c r="FE65" i="335" s="1"/>
  <c r="FK65" i="335" s="1"/>
  <c r="BZ143" i="335"/>
  <c r="BZ327" i="338"/>
  <c r="ET81" i="335"/>
  <c r="EY80" i="335"/>
  <c r="BW172" i="338"/>
  <c r="BW91" i="335"/>
  <c r="FW133" i="335"/>
  <c r="BQ172" i="338"/>
  <c r="BQ173" i="338" s="1"/>
  <c r="BQ9" i="338"/>
  <c r="BQ12" i="338" s="1"/>
  <c r="BR13" i="338" s="1"/>
  <c r="BQ290" i="336"/>
  <c r="BQ161" i="336"/>
  <c r="DK58" i="338"/>
  <c r="DK95" i="338" s="1"/>
  <c r="EE39" i="338"/>
  <c r="BI40" i="335"/>
  <c r="BC40" i="335"/>
  <c r="AD292" i="335"/>
  <c r="AD317" i="335"/>
  <c r="AD367" i="335"/>
  <c r="AC292" i="335"/>
  <c r="AC317" i="335"/>
  <c r="AB317" i="335"/>
  <c r="AB292" i="335"/>
  <c r="AB367" i="335"/>
  <c r="AB369" i="335" s="1"/>
  <c r="AB103" i="336"/>
  <c r="AB413" i="338" s="1"/>
  <c r="X292" i="335"/>
  <c r="X343" i="335"/>
  <c r="X367" i="335"/>
  <c r="U292" i="335"/>
  <c r="U143" i="335"/>
  <c r="U367" i="335"/>
  <c r="U369" i="335" s="1"/>
  <c r="U343" i="335"/>
  <c r="G296" i="335"/>
  <c r="G367" i="335"/>
  <c r="G369" i="335" s="1"/>
  <c r="DI158" i="335"/>
  <c r="FS156" i="335"/>
  <c r="DC159" i="335"/>
  <c r="DB158" i="335"/>
  <c r="CV158" i="335"/>
  <c r="FQ156" i="335"/>
  <c r="AQ149" i="335"/>
  <c r="AQ293" i="335"/>
  <c r="AB279" i="335"/>
  <c r="AH279" i="335"/>
  <c r="W172" i="338"/>
  <c r="X303" i="335"/>
  <c r="W9" i="338"/>
  <c r="AC8" i="338" s="1"/>
  <c r="DK46" i="11"/>
  <c r="DK55" i="11" s="1"/>
  <c r="BK681" i="338"/>
  <c r="BN328" i="335"/>
  <c r="BN49" i="11"/>
  <c r="BN348" i="335"/>
  <c r="BN143" i="335"/>
  <c r="BN339" i="335"/>
  <c r="BN343" i="335"/>
  <c r="BN341" i="335"/>
  <c r="DI338" i="335"/>
  <c r="DI328" i="335"/>
  <c r="DI343" i="335"/>
  <c r="DI49" i="11"/>
  <c r="DI58" i="11" s="1"/>
  <c r="DI154" i="335"/>
  <c r="DI336" i="335"/>
  <c r="DI339" i="335"/>
  <c r="CA15" i="335"/>
  <c r="BZ522" i="338"/>
  <c r="DV89" i="335"/>
  <c r="EM311" i="335"/>
  <c r="CA405" i="335"/>
  <c r="EE304" i="335"/>
  <c r="DB331" i="335"/>
  <c r="DB342" i="335"/>
  <c r="AP328" i="335"/>
  <c r="DQ292" i="335"/>
  <c r="CF116" i="336"/>
  <c r="CG116" i="336" s="1"/>
  <c r="DT49" i="11"/>
  <c r="DZ58" i="11" s="1"/>
  <c r="DY243" i="338"/>
  <c r="BK154" i="335"/>
  <c r="DE748" i="338"/>
  <c r="BK315" i="335"/>
  <c r="BK143" i="335"/>
  <c r="BK313" i="338"/>
  <c r="BK99" i="335"/>
  <c r="BK206" i="335" s="1"/>
  <c r="BZ49" i="11"/>
  <c r="BZ93" i="335"/>
  <c r="BZ337" i="335"/>
  <c r="BZ163" i="336"/>
  <c r="BX484" i="338"/>
  <c r="BZ102" i="336"/>
  <c r="BZ345" i="335"/>
  <c r="BK343" i="335"/>
  <c r="BK328" i="335"/>
  <c r="DA317" i="338"/>
  <c r="BZ330" i="335"/>
  <c r="BZ151" i="335"/>
  <c r="EC133" i="335"/>
  <c r="DS42" i="335"/>
  <c r="DS16" i="335"/>
  <c r="ER321" i="335"/>
  <c r="ER58" i="335"/>
  <c r="FI425" i="338"/>
  <c r="EX116" i="335"/>
  <c r="EY31" i="335"/>
  <c r="BB290" i="336"/>
  <c r="BC290" i="336" s="1"/>
  <c r="W392" i="335"/>
  <c r="EZ50" i="335"/>
  <c r="FF50" i="335" s="1"/>
  <c r="EX43" i="11"/>
  <c r="EY16" i="335"/>
  <c r="EY303" i="335"/>
  <c r="EY308" i="335"/>
  <c r="EY62" i="335"/>
  <c r="DZ21" i="335"/>
  <c r="BS612" i="338"/>
  <c r="BS613" i="338" s="1"/>
  <c r="BI214" i="335"/>
  <c r="DP229" i="338"/>
  <c r="EF53" i="11"/>
  <c r="DS104" i="11"/>
  <c r="DS108" i="11" s="1"/>
  <c r="DS112" i="11" s="1"/>
  <c r="EE53" i="11"/>
  <c r="V392" i="335"/>
  <c r="EY133" i="11"/>
  <c r="EY70" i="11"/>
  <c r="EX53" i="11"/>
  <c r="ES553" i="338"/>
  <c r="EY278" i="335"/>
  <c r="EY15" i="335"/>
  <c r="EY321" i="335"/>
  <c r="EY366" i="335"/>
  <c r="EX67" i="335"/>
  <c r="FU98" i="335"/>
  <c r="FW152" i="335"/>
  <c r="CM294" i="335"/>
  <c r="BU214" i="335"/>
  <c r="DP721" i="338"/>
  <c r="DP734" i="338" s="1"/>
  <c r="CY295" i="335"/>
  <c r="CR174" i="336"/>
  <c r="CR175" i="336" s="1"/>
  <c r="E404" i="338"/>
  <c r="I367" i="335"/>
  <c r="BQ272" i="338"/>
  <c r="BA50" i="335"/>
  <c r="EQ33" i="338"/>
  <c r="EN114" i="335"/>
  <c r="ER141" i="335"/>
  <c r="ET14" i="335"/>
  <c r="EX229" i="335"/>
  <c r="EX209" i="336" s="1"/>
  <c r="EY228" i="335"/>
  <c r="EY70" i="335"/>
  <c r="EX176" i="335"/>
  <c r="EX214" i="335" s="1"/>
  <c r="EY180" i="335"/>
  <c r="EZ180" i="335" s="1"/>
  <c r="FZ24" i="335"/>
  <c r="EZ77" i="335"/>
  <c r="H27" i="11"/>
  <c r="DB8" i="338"/>
  <c r="FC25" i="335"/>
  <c r="S38" i="11"/>
  <c r="BQ395" i="338"/>
  <c r="FI23" i="335"/>
  <c r="EZ122" i="335"/>
  <c r="EH609" i="338"/>
  <c r="EH612" i="338" s="1"/>
  <c r="EH292" i="335"/>
  <c r="EH143" i="335"/>
  <c r="EI141" i="335"/>
  <c r="EH103" i="336"/>
  <c r="EH316" i="338"/>
  <c r="EH317" i="338" s="1"/>
  <c r="EK317" i="335"/>
  <c r="EH367" i="335"/>
  <c r="EE368" i="335"/>
  <c r="EE182" i="335"/>
  <c r="EE170" i="335"/>
  <c r="EE171" i="335"/>
  <c r="EE173" i="335"/>
  <c r="EE174" i="335" s="1"/>
  <c r="EE323" i="335"/>
  <c r="EE212" i="335"/>
  <c r="EE350" i="335"/>
  <c r="DY681" i="338"/>
  <c r="DY684" i="338" s="1"/>
  <c r="DY689" i="338" s="1"/>
  <c r="DZ270" i="335"/>
  <c r="DZ212" i="335"/>
  <c r="DZ213" i="335" s="1"/>
  <c r="DZ298" i="335"/>
  <c r="FW143" i="335"/>
  <c r="FW144" i="335" s="1"/>
  <c r="EN292" i="335"/>
  <c r="DY615" i="338"/>
  <c r="DY616" i="338" s="1"/>
  <c r="DY621" i="338" s="1"/>
  <c r="DY622" i="338" s="1"/>
  <c r="DY623" i="338" s="1"/>
  <c r="DZ170" i="335"/>
  <c r="DZ173" i="335"/>
  <c r="DZ174" i="335" s="1"/>
  <c r="EQ317" i="335"/>
  <c r="EN169" i="335"/>
  <c r="EA270" i="335"/>
  <c r="EC341" i="335"/>
  <c r="EH343" i="335"/>
  <c r="AV163" i="338"/>
  <c r="AV164" i="338" s="1"/>
  <c r="AI113" i="338"/>
  <c r="AZ358" i="335"/>
  <c r="AZ356" i="335" s="1"/>
  <c r="AA394" i="338"/>
  <c r="BM113" i="338"/>
  <c r="FC110" i="335"/>
  <c r="G8" i="338"/>
  <c r="DN57" i="338"/>
  <c r="FA18" i="335"/>
  <c r="AC27" i="11"/>
  <c r="AB113" i="338"/>
  <c r="DN19" i="338"/>
  <c r="CQ8" i="338"/>
  <c r="BY124" i="11"/>
  <c r="BY96" i="338" s="1"/>
  <c r="DD124" i="11"/>
  <c r="DD128" i="11" s="1"/>
  <c r="DN8" i="338"/>
  <c r="CQ124" i="11"/>
  <c r="CQ96" i="338" s="1"/>
  <c r="BF38" i="11"/>
  <c r="BF14" i="11"/>
  <c r="BF358" i="335" s="1"/>
  <c r="BF356" i="335" s="1"/>
  <c r="FJ62" i="335"/>
  <c r="FD67" i="335"/>
  <c r="V27" i="11"/>
  <c r="FG60" i="335"/>
  <c r="FD108" i="338"/>
  <c r="FD110" i="338" s="1"/>
  <c r="GA60" i="335"/>
  <c r="BF395" i="338"/>
  <c r="FE108" i="338"/>
  <c r="FE110" i="338" s="1"/>
  <c r="FE67" i="335"/>
  <c r="FC62" i="335"/>
  <c r="FD62" i="335"/>
  <c r="FI100" i="338"/>
  <c r="FC100" i="338"/>
  <c r="EZ14" i="335"/>
  <c r="EA113" i="338"/>
  <c r="BM160" i="338"/>
  <c r="BN161" i="338" s="1"/>
  <c r="EZ107" i="335"/>
  <c r="EZ108" i="335" s="1"/>
  <c r="FG183" i="336"/>
  <c r="H394" i="338"/>
  <c r="CX17" i="338"/>
  <c r="BM145" i="11"/>
  <c r="BH145" i="11"/>
  <c r="BL40" i="338"/>
  <c r="BR39" i="338" s="1"/>
  <c r="BL362" i="335"/>
  <c r="BL360" i="335" s="1"/>
  <c r="AE104" i="11"/>
  <c r="AE108" i="11" s="1"/>
  <c r="DC95" i="11"/>
  <c r="DC99" i="11" s="1"/>
  <c r="CL95" i="11"/>
  <c r="CL100" i="11" s="1"/>
  <c r="CK95" i="11"/>
  <c r="CK100" i="11" s="1"/>
  <c r="BT95" i="11"/>
  <c r="CR13" i="338"/>
  <c r="EE108" i="11"/>
  <c r="EE112" i="11" s="1"/>
  <c r="CE58" i="338"/>
  <c r="CE95" i="338" s="1"/>
  <c r="CV58" i="338"/>
  <c r="CV95" i="338" s="1"/>
  <c r="DD105" i="11"/>
  <c r="DE105" i="11" s="1"/>
  <c r="DG123" i="11"/>
  <c r="BY105" i="11"/>
  <c r="CE109" i="11" s="1"/>
  <c r="CK58" i="338"/>
  <c r="CQ57" i="338" s="1"/>
  <c r="DA40" i="338"/>
  <c r="DA39" i="338" s="1"/>
  <c r="BY58" i="338"/>
  <c r="BY57" i="338" s="1"/>
  <c r="CK124" i="11"/>
  <c r="CK96" i="338" s="1"/>
  <c r="EU283" i="338"/>
  <c r="EU314" i="338"/>
  <c r="EU289" i="338"/>
  <c r="DJ656" i="338"/>
  <c r="DJ675" i="338"/>
  <c r="FF219" i="338"/>
  <c r="FL219" i="338" s="1"/>
  <c r="FC221" i="338"/>
  <c r="FI221" i="338" s="1"/>
  <c r="FI217" i="338" s="1"/>
  <c r="EW217" i="338"/>
  <c r="EW218" i="338" s="1"/>
  <c r="EU766" i="338"/>
  <c r="FA766" i="338"/>
  <c r="EO288" i="338"/>
  <c r="EU288" i="338"/>
  <c r="DV660" i="338"/>
  <c r="EB659" i="338"/>
  <c r="EB657" i="338" s="1"/>
  <c r="FC77" i="335"/>
  <c r="ET387" i="335"/>
  <c r="EU783" i="338"/>
  <c r="EB260" i="338"/>
  <c r="EB72" i="335"/>
  <c r="DZ266" i="338"/>
  <c r="EC265" i="338"/>
  <c r="EF58" i="11"/>
  <c r="DT170" i="335"/>
  <c r="DT350" i="335"/>
  <c r="CX629" i="338"/>
  <c r="CX627" i="338" s="1"/>
  <c r="CX671" i="338"/>
  <c r="CX669" i="338" s="1"/>
  <c r="CX668" i="338" s="1"/>
  <c r="CX659" i="338"/>
  <c r="CX657" i="338" s="1"/>
  <c r="CX656" i="338" s="1"/>
  <c r="CX665" i="338"/>
  <c r="CX663" i="338" s="1"/>
  <c r="CX662" i="338" s="1"/>
  <c r="EE653" i="338"/>
  <c r="EE659" i="338"/>
  <c r="BO749" i="338"/>
  <c r="BO748" i="338"/>
  <c r="DJ221" i="338"/>
  <c r="DE221" i="338"/>
  <c r="DE222" i="338" s="1"/>
  <c r="DD217" i="338"/>
  <c r="EY312" i="335"/>
  <c r="EY287" i="335"/>
  <c r="EY337" i="335"/>
  <c r="EU774" i="338"/>
  <c r="BM656" i="338"/>
  <c r="BM675" i="338"/>
  <c r="EW272" i="338"/>
  <c r="EY289" i="335"/>
  <c r="EY314" i="335"/>
  <c r="EY339" i="335"/>
  <c r="FG254" i="338"/>
  <c r="EZ48" i="11"/>
  <c r="ET316" i="338"/>
  <c r="EX282" i="338"/>
  <c r="EX283" i="338" s="1"/>
  <c r="EU775" i="338"/>
  <c r="DV144" i="335"/>
  <c r="DV169" i="335"/>
  <c r="DM45" i="11"/>
  <c r="DM54" i="11" s="1"/>
  <c r="DN312" i="335"/>
  <c r="EF326" i="338"/>
  <c r="BO732" i="338"/>
  <c r="BI735" i="338"/>
  <c r="DP333" i="338"/>
  <c r="EF654" i="338"/>
  <c r="EF679" i="338" s="1"/>
  <c r="EI679" i="338" s="1"/>
  <c r="DZ654" i="338"/>
  <c r="DZ650" i="338" s="1"/>
  <c r="EF653" i="338"/>
  <c r="EY320" i="338"/>
  <c r="EZ320" i="338" s="1"/>
  <c r="EH266" i="338"/>
  <c r="EB266" i="338"/>
  <c r="EB394" i="335"/>
  <c r="EB369" i="335"/>
  <c r="EB392" i="335"/>
  <c r="EB113" i="336"/>
  <c r="DZ272" i="338"/>
  <c r="EF272" i="338"/>
  <c r="DZ260" i="338"/>
  <c r="DZ72" i="335"/>
  <c r="DO254" i="338"/>
  <c r="DO257" i="338"/>
  <c r="DP255" i="338"/>
  <c r="DP636" i="338"/>
  <c r="DJ636" i="338"/>
  <c r="DJ632" i="338" s="1"/>
  <c r="DP565" i="338"/>
  <c r="DJ565" i="338"/>
  <c r="DU572" i="338"/>
  <c r="DO642" i="338"/>
  <c r="DU642" i="338"/>
  <c r="DU638" i="338" s="1"/>
  <c r="FL255" i="338"/>
  <c r="FL75" i="335"/>
  <c r="FL76" i="335" s="1"/>
  <c r="EM338" i="338"/>
  <c r="CU660" i="338"/>
  <c r="CI630" i="338"/>
  <c r="CI626" i="338" s="1"/>
  <c r="CO630" i="338"/>
  <c r="DC387" i="335"/>
  <c r="DC316" i="338"/>
  <c r="EK572" i="338"/>
  <c r="EK642" i="338"/>
  <c r="DM630" i="338"/>
  <c r="DM626" i="338" s="1"/>
  <c r="DS630" i="338"/>
  <c r="DS676" i="338" s="1"/>
  <c r="DS559" i="338"/>
  <c r="CA630" i="338"/>
  <c r="EG648" i="338"/>
  <c r="EG644" i="338" s="1"/>
  <c r="EG584" i="338"/>
  <c r="EE642" i="338"/>
  <c r="EE572" i="338"/>
  <c r="DE214" i="338"/>
  <c r="EF113" i="338"/>
  <c r="DU313" i="335"/>
  <c r="EC337" i="338"/>
  <c r="DI681" i="338"/>
  <c r="CO626" i="338"/>
  <c r="DZ584" i="338"/>
  <c r="DZ648" i="338"/>
  <c r="DZ644" i="338" s="1"/>
  <c r="EQ642" i="338"/>
  <c r="EQ572" i="338"/>
  <c r="DE176" i="336"/>
  <c r="EC770" i="338"/>
  <c r="DN628" i="338"/>
  <c r="DN627" i="338" s="1"/>
  <c r="DN626" i="338" s="1"/>
  <c r="CE658" i="338"/>
  <c r="DA672" i="338"/>
  <c r="DA668" i="338" s="1"/>
  <c r="CP666" i="338"/>
  <c r="CP662" i="338" s="1"/>
  <c r="EB587" i="338"/>
  <c r="EB588" i="338" s="1"/>
  <c r="ES666" i="338"/>
  <c r="EA34" i="338"/>
  <c r="DE180" i="338"/>
  <c r="CS180" i="338"/>
  <c r="CS197" i="338"/>
  <c r="CM199" i="338"/>
  <c r="BZ672" i="338"/>
  <c r="BC774" i="338"/>
  <c r="BY659" i="338"/>
  <c r="BY657" i="338" s="1"/>
  <c r="DE628" i="338"/>
  <c r="DE627" i="338" s="1"/>
  <c r="DA658" i="338"/>
  <c r="DA657" i="338" s="1"/>
  <c r="CJ628" i="338"/>
  <c r="CJ627" i="338" s="1"/>
  <c r="EX48" i="11"/>
  <c r="EY77" i="335"/>
  <c r="ES358" i="338"/>
  <c r="EU200" i="338"/>
  <c r="DQ197" i="338"/>
  <c r="CY197" i="338"/>
  <c r="CM181" i="338"/>
  <c r="EN636" i="338"/>
  <c r="EC781" i="338"/>
  <c r="DC666" i="338"/>
  <c r="DC662" i="338" s="1"/>
  <c r="CG630" i="338"/>
  <c r="CG626" i="338" s="1"/>
  <c r="EK363" i="338"/>
  <c r="DW748" i="338"/>
  <c r="CM775" i="338"/>
  <c r="BO664" i="338"/>
  <c r="BO663" i="338" s="1"/>
  <c r="BO675" i="338" s="1"/>
  <c r="BO683" i="338" s="1"/>
  <c r="CV672" i="338"/>
  <c r="CV676" i="338" s="1"/>
  <c r="CQ672" i="338"/>
  <c r="CQ676" i="338" s="1"/>
  <c r="CQ674" i="338" s="1"/>
  <c r="DG666" i="338"/>
  <c r="DG662" i="338" s="1"/>
  <c r="BZ218" i="338"/>
  <c r="BW218" i="338"/>
  <c r="DU482" i="338"/>
  <c r="DO12" i="338"/>
  <c r="DO17" i="338" s="1"/>
  <c r="EL572" i="338"/>
  <c r="ET581" i="338"/>
  <c r="ET311" i="335"/>
  <c r="EY88" i="335"/>
  <c r="EY286" i="335"/>
  <c r="ET77" i="335"/>
  <c r="EY76" i="335"/>
  <c r="ES255" i="338"/>
  <c r="DK197" i="338"/>
  <c r="CM182" i="338"/>
  <c r="CL197" i="338"/>
  <c r="AC37" i="11"/>
  <c r="BM8" i="338"/>
  <c r="DZ97" i="338"/>
  <c r="BS163" i="338"/>
  <c r="EG17" i="338"/>
  <c r="EK123" i="11"/>
  <c r="EK127" i="11" s="1"/>
  <c r="DY123" i="11"/>
  <c r="DY127" i="11" s="1"/>
  <c r="EA12" i="338"/>
  <c r="DJ13" i="338"/>
  <c r="DJ15" i="338" s="1"/>
  <c r="AB160" i="338"/>
  <c r="AB161" i="338" s="1"/>
  <c r="CF17" i="338"/>
  <c r="EU418" i="338"/>
  <c r="EH148" i="336"/>
  <c r="EI147" i="336"/>
  <c r="EI148" i="336" s="1"/>
  <c r="BM147" i="336"/>
  <c r="BN65" i="3"/>
  <c r="EM76" i="3"/>
  <c r="EM105" i="3" s="1"/>
  <c r="EM106" i="3" s="1"/>
  <c r="EM384" i="335"/>
  <c r="AK12" i="3"/>
  <c r="AJ142" i="336"/>
  <c r="AK142" i="336" s="1"/>
  <c r="AK137" i="336" s="1"/>
  <c r="CV134" i="336"/>
  <c r="CV139" i="336" s="1"/>
  <c r="CV140" i="336" s="1"/>
  <c r="R72" i="3"/>
  <c r="S72" i="3" s="1"/>
  <c r="Q76" i="3"/>
  <c r="AO76" i="3"/>
  <c r="AP60" i="3"/>
  <c r="AQ60" i="3" s="1"/>
  <c r="EQ105" i="3"/>
  <c r="EQ106" i="3" s="1"/>
  <c r="EQ383" i="335"/>
  <c r="EQ397" i="335" s="1"/>
  <c r="EQ99" i="3"/>
  <c r="EX105" i="3"/>
  <c r="EX87" i="3"/>
  <c r="EA198" i="336"/>
  <c r="EA186" i="336"/>
  <c r="CG144" i="336"/>
  <c r="CG139" i="336" s="1"/>
  <c r="CG140" i="336" s="1"/>
  <c r="CE134" i="336"/>
  <c r="AO148" i="336"/>
  <c r="AQ147" i="336"/>
  <c r="AQ148" i="336" s="1"/>
  <c r="BR144" i="336"/>
  <c r="BR382" i="335"/>
  <c r="BU83" i="3"/>
  <c r="BU382" i="335" s="1"/>
  <c r="BR85" i="3"/>
  <c r="DJ148" i="336"/>
  <c r="DK147" i="336"/>
  <c r="DK148" i="336" s="1"/>
  <c r="BS148" i="336"/>
  <c r="BU147" i="336"/>
  <c r="BU148" i="336" s="1"/>
  <c r="DI85" i="3"/>
  <c r="DI99" i="3" s="1"/>
  <c r="DK84" i="3"/>
  <c r="DK85" i="3" s="1"/>
  <c r="BU70" i="3"/>
  <c r="BR76" i="3"/>
  <c r="EA148" i="336"/>
  <c r="EC147" i="336"/>
  <c r="EC148" i="336" s="1"/>
  <c r="EX77" i="3"/>
  <c r="ES373" i="335"/>
  <c r="ER87" i="3"/>
  <c r="ER105" i="3"/>
  <c r="ER99" i="3"/>
  <c r="ER397" i="335"/>
  <c r="AJ22" i="3"/>
  <c r="AK22" i="3" s="1"/>
  <c r="X90" i="3"/>
  <c r="X36" i="3" s="1"/>
  <c r="Y36" i="3" s="1"/>
  <c r="BM14" i="3"/>
  <c r="BW134" i="336"/>
  <c r="Q97" i="3"/>
  <c r="DN95" i="3"/>
  <c r="CQ85" i="3"/>
  <c r="CQ99" i="3" s="1"/>
  <c r="CW76" i="3"/>
  <c r="BF23" i="3"/>
  <c r="BG23" i="3" s="1"/>
  <c r="BH23" i="3" s="1"/>
  <c r="BI23" i="3" s="1"/>
  <c r="EQ187" i="336"/>
  <c r="AH45" i="3"/>
  <c r="DW147" i="336"/>
  <c r="DW148" i="336" s="1"/>
  <c r="BM17" i="338"/>
  <c r="BM18" i="338" s="1"/>
  <c r="CP45" i="3"/>
  <c r="BW99" i="3"/>
  <c r="DC85" i="3"/>
  <c r="FG94" i="3"/>
  <c r="EQ45" i="3"/>
  <c r="ER45" i="3"/>
  <c r="FL80" i="3"/>
  <c r="FL15" i="3"/>
  <c r="ET95" i="3"/>
  <c r="BB19" i="3"/>
  <c r="BC19" i="3" s="1"/>
  <c r="BB16" i="3"/>
  <c r="BC16" i="3" s="1"/>
  <c r="ER77" i="3"/>
  <c r="EQ77" i="3"/>
  <c r="Q21" i="3"/>
  <c r="AP29" i="3"/>
  <c r="AQ29" i="3" s="1"/>
  <c r="DK144" i="336"/>
  <c r="BK397" i="335"/>
  <c r="BH36" i="3"/>
  <c r="BI36" i="3" s="1"/>
  <c r="AO9" i="3"/>
  <c r="AP31" i="3"/>
  <c r="AQ31" i="3" s="1"/>
  <c r="CY144" i="336"/>
  <c r="CY139" i="336" s="1"/>
  <c r="CY140" i="336" s="1"/>
  <c r="AO15" i="3"/>
  <c r="FJ84" i="3"/>
  <c r="DV17" i="338"/>
  <c r="BF8" i="338"/>
  <c r="EE123" i="11"/>
  <c r="EE127" i="11" s="1"/>
  <c r="DN13" i="338"/>
  <c r="BS8" i="338"/>
  <c r="AA161" i="338"/>
  <c r="U163" i="338"/>
  <c r="EC38" i="11"/>
  <c r="EC39" i="11" s="1"/>
  <c r="AE163" i="338"/>
  <c r="AE164" i="338" s="1"/>
  <c r="AU113" i="338"/>
  <c r="BX163" i="338"/>
  <c r="DA8" i="338"/>
  <c r="DM12" i="338"/>
  <c r="DM17" i="338" s="1"/>
  <c r="DM18" i="338" s="1"/>
  <c r="BG12" i="338"/>
  <c r="BG17" i="338" s="1"/>
  <c r="BG18" i="338" s="1"/>
  <c r="DG395" i="338"/>
  <c r="CC124" i="11"/>
  <c r="CC96" i="338" s="1"/>
  <c r="AA163" i="338"/>
  <c r="AA164" i="338" s="1"/>
  <c r="DJ395" i="338"/>
  <c r="DP95" i="338"/>
  <c r="DK395" i="338"/>
  <c r="DV57" i="338"/>
  <c r="EG8" i="338"/>
  <c r="DP57" i="338"/>
  <c r="CW123" i="11"/>
  <c r="AY17" i="338"/>
  <c r="AY18" i="338" s="1"/>
  <c r="ES65" i="336"/>
  <c r="ER426" i="335"/>
  <c r="ER427" i="335"/>
  <c r="ES66" i="336"/>
  <c r="EH61" i="336"/>
  <c r="EH422" i="335" s="1"/>
  <c r="AS38" i="11"/>
  <c r="BI35" i="336"/>
  <c r="EQ165" i="336"/>
  <c r="E394" i="338"/>
  <c r="DE166" i="336"/>
  <c r="BX43" i="336"/>
  <c r="ER450" i="335"/>
  <c r="FG431" i="335"/>
  <c r="FA23" i="3"/>
  <c r="EF59" i="336"/>
  <c r="EC437" i="335"/>
  <c r="ES68" i="336"/>
  <c r="FA9" i="336"/>
  <c r="EO442" i="335"/>
  <c r="EY398" i="338"/>
  <c r="DK40" i="336"/>
  <c r="DK222" i="336" s="1"/>
  <c r="X385" i="335"/>
  <c r="Y385" i="335" s="1"/>
  <c r="Y391" i="338" s="1"/>
  <c r="DT57" i="336"/>
  <c r="BW243" i="336"/>
  <c r="BW250" i="336" s="1"/>
  <c r="BR214" i="336"/>
  <c r="BM214" i="336"/>
  <c r="BG214" i="336"/>
  <c r="DW430" i="335"/>
  <c r="DQ419" i="335"/>
  <c r="ES67" i="336"/>
  <c r="ES428" i="335" s="1"/>
  <c r="ER438" i="335"/>
  <c r="FM411" i="335"/>
  <c r="FM412" i="335"/>
  <c r="FM416" i="335"/>
  <c r="FM417" i="335"/>
  <c r="FM420" i="335"/>
  <c r="FM421" i="335"/>
  <c r="AS14" i="11"/>
  <c r="AS12" i="335" s="1"/>
  <c r="CI113" i="338"/>
  <c r="CU43" i="336"/>
  <c r="AV21" i="336"/>
  <c r="AW21" i="336" s="1"/>
  <c r="CC402" i="335"/>
  <c r="CC405" i="335" s="1"/>
  <c r="BY167" i="336"/>
  <c r="CA218" i="336"/>
  <c r="FG184" i="336"/>
  <c r="FG208" i="336" s="1"/>
  <c r="CJ14" i="11"/>
  <c r="CJ358" i="335" s="1"/>
  <c r="CJ356" i="335" s="1"/>
  <c r="DV95" i="338"/>
  <c r="AI395" i="338"/>
  <c r="AS27" i="11"/>
  <c r="CD395" i="338"/>
  <c r="CQ113" i="338"/>
  <c r="BE14" i="11"/>
  <c r="BE12" i="335" s="1"/>
  <c r="DZ160" i="338"/>
  <c r="DZ161" i="338" s="1"/>
  <c r="AO14" i="11"/>
  <c r="AO358" i="335" s="1"/>
  <c r="AO356" i="335" s="1"/>
  <c r="BY113" i="338"/>
  <c r="EC12" i="338"/>
  <c r="AO37" i="11"/>
  <c r="BE113" i="338"/>
  <c r="BE38" i="11"/>
  <c r="FE138" i="335"/>
  <c r="EZ130" i="335"/>
  <c r="FA129" i="335"/>
  <c r="CI163" i="338"/>
  <c r="CI164" i="338" s="1"/>
  <c r="AZ163" i="338"/>
  <c r="AZ164" i="338" s="1"/>
  <c r="AY27" i="11"/>
  <c r="BL27" i="11"/>
  <c r="BR8" i="338"/>
  <c r="DU161" i="338"/>
  <c r="CR37" i="11"/>
  <c r="CR39" i="11" s="1"/>
  <c r="BN113" i="338"/>
  <c r="AU161" i="338"/>
  <c r="CQ12" i="338"/>
  <c r="CQ17" i="338" s="1"/>
  <c r="CQ18" i="338" s="1"/>
  <c r="CF8" i="338"/>
  <c r="DM97" i="338"/>
  <c r="EG113" i="338"/>
  <c r="BE27" i="11"/>
  <c r="BL38" i="11"/>
  <c r="CL17" i="338"/>
  <c r="CL18" i="338" s="1"/>
  <c r="AT163" i="338"/>
  <c r="AT164" i="338" s="1"/>
  <c r="U394" i="338"/>
  <c r="AB8" i="338"/>
  <c r="CK395" i="338"/>
  <c r="EA395" i="338"/>
  <c r="AE113" i="338"/>
  <c r="AC160" i="338"/>
  <c r="AC163" i="338" s="1"/>
  <c r="AC164" i="338" s="1"/>
  <c r="K113" i="338"/>
  <c r="K395" i="338"/>
  <c r="CF40" i="338"/>
  <c r="CF53" i="338" s="1"/>
  <c r="DN39" i="338"/>
  <c r="CE13" i="338"/>
  <c r="AZ13" i="338"/>
  <c r="EH17" i="338"/>
  <c r="CK358" i="335"/>
  <c r="CK356" i="335" s="1"/>
  <c r="AV27" i="11"/>
  <c r="EF57" i="338"/>
  <c r="CQ160" i="338"/>
  <c r="CQ163" i="338" s="1"/>
  <c r="CQ164" i="338" s="1"/>
  <c r="DP13" i="338"/>
  <c r="AV38" i="11"/>
  <c r="AY160" i="338"/>
  <c r="AZ161" i="338" s="1"/>
  <c r="BM13" i="338"/>
  <c r="BX8" i="338"/>
  <c r="J160" i="338"/>
  <c r="EE27" i="11"/>
  <c r="EE33" i="11" s="1"/>
  <c r="EE67" i="11" s="1"/>
  <c r="AC14" i="11"/>
  <c r="AC12" i="335" s="1"/>
  <c r="DQ95" i="338"/>
  <c r="S27" i="11"/>
  <c r="M14" i="11"/>
  <c r="M358" i="335" s="1"/>
  <c r="M356" i="335" s="1"/>
  <c r="M323" i="338" s="1"/>
  <c r="BH395" i="338"/>
  <c r="CL8" i="338"/>
  <c r="CK8" i="338"/>
  <c r="BZ105" i="11"/>
  <c r="CL58" i="338"/>
  <c r="CL95" i="338" s="1"/>
  <c r="DM57" i="338"/>
  <c r="DG57" i="338"/>
  <c r="DG124" i="11"/>
  <c r="AC38" i="11"/>
  <c r="K163" i="338"/>
  <c r="AI8" i="338"/>
  <c r="CL13" i="338"/>
  <c r="AS8" i="338"/>
  <c r="DI12" i="338"/>
  <c r="BZ124" i="11"/>
  <c r="BZ96" i="338" s="1"/>
  <c r="CF124" i="11"/>
  <c r="CF96" i="338" s="1"/>
  <c r="AV161" i="338"/>
  <c r="EE394" i="338"/>
  <c r="AT113" i="338"/>
  <c r="AE8" i="338"/>
  <c r="AT14" i="11"/>
  <c r="AZ26" i="11" s="1"/>
  <c r="AT37" i="11"/>
  <c r="DO95" i="338"/>
  <c r="AZ395" i="338"/>
  <c r="CL124" i="11"/>
  <c r="CL96" i="338" s="1"/>
  <c r="DA124" i="11"/>
  <c r="DO13" i="338"/>
  <c r="AO394" i="338"/>
  <c r="L394" i="338"/>
  <c r="DY394" i="338"/>
  <c r="BX17" i="338"/>
  <c r="CC17" i="338"/>
  <c r="DM8" i="338"/>
  <c r="BK12" i="338"/>
  <c r="BL13" i="338" s="1"/>
  <c r="AJ12" i="338"/>
  <c r="AJ17" i="338" s="1"/>
  <c r="AJ18" i="338" s="1"/>
  <c r="AP8" i="338"/>
  <c r="O12" i="338"/>
  <c r="U8" i="338"/>
  <c r="BF12" i="338"/>
  <c r="BF13" i="338" s="1"/>
  <c r="BL8" i="338"/>
  <c r="X12" i="338"/>
  <c r="X8" i="338"/>
  <c r="BZ40" i="338"/>
  <c r="CF123" i="11"/>
  <c r="CF54" i="338" s="1"/>
  <c r="BZ104" i="11"/>
  <c r="BZ108" i="11" s="1"/>
  <c r="BZ123" i="11"/>
  <c r="BZ54" i="338" s="1"/>
  <c r="CK40" i="338"/>
  <c r="CQ39" i="338" s="1"/>
  <c r="CQ123" i="11"/>
  <c r="CQ54" i="338" s="1"/>
  <c r="Y112" i="336"/>
  <c r="Y394" i="338" s="1"/>
  <c r="EC27" i="11"/>
  <c r="EC33" i="11" s="1"/>
  <c r="EC67" i="11" s="1"/>
  <c r="Y12" i="338"/>
  <c r="Y17" i="338" s="1"/>
  <c r="Y8" i="338"/>
  <c r="BZ160" i="338"/>
  <c r="CC161" i="338" s="1"/>
  <c r="BZ113" i="338"/>
  <c r="CQ27" i="11"/>
  <c r="CQ33" i="11" s="1"/>
  <c r="CQ38" i="11"/>
  <c r="CQ39" i="11" s="1"/>
  <c r="CD37" i="11"/>
  <c r="CD14" i="11"/>
  <c r="AT27" i="11"/>
  <c r="AN37" i="11"/>
  <c r="AN38" i="11"/>
  <c r="CK37" i="11"/>
  <c r="CK38" i="11"/>
  <c r="EG37" i="11"/>
  <c r="EG27" i="11"/>
  <c r="EG33" i="11" s="1"/>
  <c r="EG67" i="11" s="1"/>
  <c r="EG38" i="11"/>
  <c r="DY38" i="11"/>
  <c r="DY37" i="11"/>
  <c r="CX37" i="11"/>
  <c r="CX38" i="11"/>
  <c r="CX27" i="11"/>
  <c r="CX33" i="11" s="1"/>
  <c r="CX67" i="11" s="1"/>
  <c r="EF8" i="338"/>
  <c r="DZ12" i="338"/>
  <c r="AY394" i="338"/>
  <c r="EF17" i="338"/>
  <c r="S17" i="338"/>
  <c r="CJ395" i="338"/>
  <c r="P14" i="11"/>
  <c r="P12" i="335" s="1"/>
  <c r="V14" i="11"/>
  <c r="V39" i="11" s="1"/>
  <c r="DC123" i="11"/>
  <c r="DC127" i="11" s="1"/>
  <c r="CI58" i="338"/>
  <c r="CO58" i="338"/>
  <c r="CO95" i="338" s="1"/>
  <c r="BW124" i="11"/>
  <c r="BW96" i="338" s="1"/>
  <c r="CD17" i="338"/>
  <c r="CD18" i="338" s="1"/>
  <c r="DO108" i="11"/>
  <c r="DT124" i="11"/>
  <c r="DT128" i="11" s="1"/>
  <c r="P38" i="11"/>
  <c r="V37" i="11"/>
  <c r="DH57" i="338"/>
  <c r="CX124" i="11"/>
  <c r="CX128" i="11" s="1"/>
  <c r="DO123" i="11"/>
  <c r="DO127" i="11" s="1"/>
  <c r="CW40" i="338"/>
  <c r="CW39" i="338" s="1"/>
  <c r="CO124" i="11"/>
  <c r="CO96" i="338" s="1"/>
  <c r="BW58" i="338"/>
  <c r="BW57" i="338" s="1"/>
  <c r="BK394" i="338"/>
  <c r="DV124" i="11"/>
  <c r="DV128" i="11" s="1"/>
  <c r="CR124" i="11"/>
  <c r="DI106" i="11"/>
  <c r="DI110" i="11" s="1"/>
  <c r="DI114" i="11" s="1"/>
  <c r="DO39" i="338"/>
  <c r="DH124" i="11"/>
  <c r="DH128" i="11" s="1"/>
  <c r="DB124" i="11"/>
  <c r="DB128" i="11" s="1"/>
  <c r="CR58" i="338"/>
  <c r="BW105" i="11"/>
  <c r="CI124" i="11"/>
  <c r="CI96" i="338" s="1"/>
  <c r="CC58" i="338"/>
  <c r="CC95" i="338" s="1"/>
  <c r="EZ272" i="338"/>
  <c r="D395" i="338"/>
  <c r="EY266" i="338"/>
  <c r="EY73" i="335"/>
  <c r="EY46" i="11" s="1"/>
  <c r="EY55" i="11" s="1"/>
  <c r="BS395" i="338"/>
  <c r="F395" i="338"/>
  <c r="EX41" i="335"/>
  <c r="EX304" i="335"/>
  <c r="EW119" i="11"/>
  <c r="FC39" i="335"/>
  <c r="FD41" i="335" s="1"/>
  <c r="EW40" i="338"/>
  <c r="EW279" i="335"/>
  <c r="EW228" i="338"/>
  <c r="EX31" i="335"/>
  <c r="ES366" i="335"/>
  <c r="ES316" i="338"/>
  <c r="ET367" i="335"/>
  <c r="EU367" i="335" s="1"/>
  <c r="FC166" i="338"/>
  <c r="ET321" i="335"/>
  <c r="EW367" i="335"/>
  <c r="ES367" i="335"/>
  <c r="EX366" i="335"/>
  <c r="EX116" i="336" s="1"/>
  <c r="FD116" i="336" s="1"/>
  <c r="FJ116" i="336" s="1"/>
  <c r="EM105" i="335"/>
  <c r="EU88" i="335"/>
  <c r="CJ489" i="338"/>
  <c r="BG394" i="338"/>
  <c r="EF398" i="335"/>
  <c r="CA254" i="336"/>
  <c r="CA248" i="335"/>
  <c r="CA249" i="335" s="1"/>
  <c r="CA240" i="335"/>
  <c r="CA55" i="11"/>
  <c r="CG55" i="11"/>
  <c r="EK395" i="338"/>
  <c r="CD113" i="338"/>
  <c r="J394" i="338"/>
  <c r="G395" i="338"/>
  <c r="DO317" i="335"/>
  <c r="DH272" i="338"/>
  <c r="DJ229" i="338"/>
  <c r="DT39" i="338"/>
  <c r="FE550" i="338"/>
  <c r="EX296" i="335"/>
  <c r="ET161" i="336"/>
  <c r="ET105" i="335"/>
  <c r="ET160" i="336"/>
  <c r="FD25" i="335"/>
  <c r="FM550" i="338"/>
  <c r="FM70" i="11"/>
  <c r="ES21" i="335"/>
  <c r="EC196" i="338"/>
  <c r="EI196" i="338"/>
  <c r="BO8" i="338"/>
  <c r="DH103" i="336"/>
  <c r="DH413" i="338" s="1"/>
  <c r="DH54" i="11"/>
  <c r="AU292" i="335"/>
  <c r="EU129" i="335"/>
  <c r="EU130" i="335" s="1"/>
  <c r="ER81" i="335"/>
  <c r="ER243" i="338"/>
  <c r="ET303" i="335"/>
  <c r="ET52" i="335"/>
  <c r="ET43" i="11"/>
  <c r="FM425" i="338"/>
  <c r="FI382" i="338"/>
  <c r="ET23" i="338"/>
  <c r="ET459" i="338"/>
  <c r="EW62" i="335"/>
  <c r="EW612" i="338"/>
  <c r="EB439" i="338"/>
  <c r="BO272" i="338"/>
  <c r="ET21" i="335"/>
  <c r="ER103" i="336"/>
  <c r="ER413" i="338" s="1"/>
  <c r="ER162" i="336"/>
  <c r="FJ23" i="335"/>
  <c r="FJ110" i="335" s="1"/>
  <c r="ES27" i="335"/>
  <c r="ET108" i="335"/>
  <c r="AY14" i="11"/>
  <c r="AY358" i="335" s="1"/>
  <c r="AY356" i="335" s="1"/>
  <c r="AY38" i="11"/>
  <c r="DJ97" i="338"/>
  <c r="DJ57" i="338"/>
  <c r="DD57" i="338"/>
  <c r="BY12" i="338"/>
  <c r="BZ13" i="338" s="1"/>
  <c r="BY8" i="338"/>
  <c r="AM12" i="338"/>
  <c r="AN13" i="338" s="1"/>
  <c r="AS17" i="338"/>
  <c r="AS18" i="338" s="1"/>
  <c r="BU118" i="336"/>
  <c r="BU395" i="338" s="1"/>
  <c r="BT395" i="338"/>
  <c r="Y38" i="11"/>
  <c r="Y27" i="11"/>
  <c r="Y37" i="11"/>
  <c r="AT12" i="338"/>
  <c r="AZ8" i="338"/>
  <c r="AZ17" i="338"/>
  <c r="AZ18" i="338" s="1"/>
  <c r="DV104" i="11"/>
  <c r="DV108" i="11" s="1"/>
  <c r="DV112" i="11" s="1"/>
  <c r="DV123" i="11"/>
  <c r="DV127" i="11" s="1"/>
  <c r="CP12" i="338"/>
  <c r="CQ13" i="338"/>
  <c r="DS12" i="338"/>
  <c r="DS17" i="338" s="1"/>
  <c r="DS8" i="338"/>
  <c r="DS13" i="338"/>
  <c r="CW12" i="338"/>
  <c r="CW17" i="338" s="1"/>
  <c r="CW18" i="338" s="1"/>
  <c r="CW8" i="338"/>
  <c r="P160" i="338"/>
  <c r="V113" i="338"/>
  <c r="DI57" i="338"/>
  <c r="DC95" i="338"/>
  <c r="BN12" i="338"/>
  <c r="BN8" i="338"/>
  <c r="BT160" i="338"/>
  <c r="BT163" i="338" s="1"/>
  <c r="BT113" i="338"/>
  <c r="DB53" i="338"/>
  <c r="DH39" i="338"/>
  <c r="BA14" i="11"/>
  <c r="BA358" i="335" s="1"/>
  <c r="BA356" i="335" s="1"/>
  <c r="BA38" i="11"/>
  <c r="AO113" i="338"/>
  <c r="AI160" i="338"/>
  <c r="AI163" i="338" s="1"/>
  <c r="AI164" i="338" s="1"/>
  <c r="CX40" i="338"/>
  <c r="CX39" i="338" s="1"/>
  <c r="DN53" i="338"/>
  <c r="DN55" i="338" s="1"/>
  <c r="BL17" i="338"/>
  <c r="BL18" i="338" s="1"/>
  <c r="BO17" i="338"/>
  <c r="BO18" i="338" s="1"/>
  <c r="DZ113" i="338"/>
  <c r="CP27" i="11"/>
  <c r="CP33" i="11" s="1"/>
  <c r="CW13" i="338"/>
  <c r="EW187" i="336"/>
  <c r="EW198" i="336"/>
  <c r="EO185" i="336"/>
  <c r="EM198" i="336"/>
  <c r="EM187" i="336"/>
  <c r="BO139" i="336"/>
  <c r="BO140" i="336" s="1"/>
  <c r="BO145" i="336"/>
  <c r="DC398" i="335"/>
  <c r="ES397" i="335"/>
  <c r="ER373" i="335"/>
  <c r="EO401" i="338"/>
  <c r="EM87" i="3"/>
  <c r="EO87" i="3" s="1"/>
  <c r="AW139" i="336"/>
  <c r="AW140" i="336" s="1"/>
  <c r="AW145" i="336"/>
  <c r="F51" i="3"/>
  <c r="F45" i="3"/>
  <c r="F49" i="3" s="1"/>
  <c r="EN397" i="335"/>
  <c r="EW95" i="3"/>
  <c r="EW76" i="3"/>
  <c r="EW77" i="3" s="1"/>
  <c r="EU144" i="336"/>
  <c r="EU145" i="336" s="1"/>
  <c r="EO90" i="3"/>
  <c r="EW85" i="3"/>
  <c r="EU147" i="336"/>
  <c r="EU148" i="336" s="1"/>
  <c r="EU76" i="3"/>
  <c r="EU417" i="338"/>
  <c r="EO83" i="3"/>
  <c r="EN51" i="3"/>
  <c r="EO51" i="3" s="1"/>
  <c r="EM147" i="336"/>
  <c r="EO65" i="3"/>
  <c r="BF110" i="3"/>
  <c r="AZ110" i="3"/>
  <c r="DE105" i="3"/>
  <c r="EO417" i="338"/>
  <c r="DW99" i="3"/>
  <c r="CG99" i="3"/>
  <c r="DJ187" i="336"/>
  <c r="DJ198" i="336"/>
  <c r="AV82" i="3"/>
  <c r="AU30" i="3"/>
  <c r="AU33" i="3" s="1"/>
  <c r="BC81" i="3"/>
  <c r="BA29" i="3"/>
  <c r="BB81" i="3"/>
  <c r="BB85" i="3" s="1"/>
  <c r="BC85" i="3" s="1"/>
  <c r="AQ66" i="3"/>
  <c r="AP15" i="3"/>
  <c r="AQ15" i="3" s="1"/>
  <c r="X65" i="3"/>
  <c r="Y65" i="3" s="1"/>
  <c r="W14" i="3"/>
  <c r="W147" i="336"/>
  <c r="BB60" i="3"/>
  <c r="BA9" i="3"/>
  <c r="BC60" i="3"/>
  <c r="FE84" i="3"/>
  <c r="FF32" i="3"/>
  <c r="EO41" i="3"/>
  <c r="R24" i="3"/>
  <c r="S24" i="3" s="1"/>
  <c r="BH16" i="3"/>
  <c r="BI16" i="3" s="1"/>
  <c r="DY110" i="3"/>
  <c r="BG27" i="11"/>
  <c r="R73" i="3"/>
  <c r="Q22" i="3"/>
  <c r="Q25" i="3" s="1"/>
  <c r="Q51" i="3" s="1"/>
  <c r="W382" i="335"/>
  <c r="W144" i="336"/>
  <c r="X83" i="3"/>
  <c r="Y83" i="3" s="1"/>
  <c r="Y382" i="335" s="1"/>
  <c r="W31" i="3"/>
  <c r="DD398" i="335"/>
  <c r="DW87" i="3"/>
  <c r="EC106" i="3"/>
  <c r="CD110" i="3"/>
  <c r="EG198" i="336"/>
  <c r="EG187" i="336"/>
  <c r="W23" i="3"/>
  <c r="X74" i="3"/>
  <c r="FG97" i="3"/>
  <c r="DA110" i="3"/>
  <c r="DT110" i="3"/>
  <c r="AN394" i="338"/>
  <c r="BC95" i="3"/>
  <c r="AP22" i="3"/>
  <c r="AQ22" i="3" s="1"/>
  <c r="R12" i="3"/>
  <c r="AQ75" i="3"/>
  <c r="AP24" i="3"/>
  <c r="AQ24" i="3" s="1"/>
  <c r="CQ142" i="336"/>
  <c r="CR142" i="336" s="1"/>
  <c r="CP134" i="336"/>
  <c r="EE95" i="3"/>
  <c r="DW94" i="3"/>
  <c r="BS95" i="3"/>
  <c r="BS99" i="3" s="1"/>
  <c r="K99" i="3"/>
  <c r="K103" i="3" s="1"/>
  <c r="K105" i="3" s="1"/>
  <c r="BU66" i="3"/>
  <c r="BU76" i="3" s="1"/>
  <c r="BU105" i="3" s="1"/>
  <c r="BU109" i="3" s="1"/>
  <c r="AT21" i="3"/>
  <c r="AT25" i="3" s="1"/>
  <c r="AT51" i="3" s="1"/>
  <c r="FG66" i="3"/>
  <c r="FM94" i="3"/>
  <c r="DQ87" i="3"/>
  <c r="R21" i="3"/>
  <c r="S21" i="3" s="1"/>
  <c r="BM36" i="3"/>
  <c r="CY66" i="3"/>
  <c r="CY76" i="3" s="1"/>
  <c r="CY105" i="3" s="1"/>
  <c r="AD9" i="3"/>
  <c r="AE9" i="3" s="1"/>
  <c r="BU144" i="336"/>
  <c r="BO82" i="3"/>
  <c r="P45" i="3"/>
  <c r="BM9" i="3"/>
  <c r="BN9" i="3" s="1"/>
  <c r="BO9" i="3" s="1"/>
  <c r="AK81" i="3"/>
  <c r="BF31" i="3"/>
  <c r="BF33" i="3" s="1"/>
  <c r="EC144" i="336"/>
  <c r="EC145" i="336" s="1"/>
  <c r="DE84" i="3"/>
  <c r="DE85" i="3" s="1"/>
  <c r="BQ110" i="3"/>
  <c r="AD43" i="3"/>
  <c r="AE43" i="3" s="1"/>
  <c r="BA31" i="3"/>
  <c r="BB31" i="3" s="1"/>
  <c r="BC31" i="3" s="1"/>
  <c r="BC418" i="338" s="1"/>
  <c r="DE97" i="3"/>
  <c r="BU97" i="3"/>
  <c r="DC95" i="3"/>
  <c r="AE60" i="3"/>
  <c r="C41" i="3"/>
  <c r="C45" i="3" s="1"/>
  <c r="C49" i="3" s="1"/>
  <c r="AZ21" i="3"/>
  <c r="BF14" i="3"/>
  <c r="BG14" i="3" s="1"/>
  <c r="EX99" i="3"/>
  <c r="BL14" i="11"/>
  <c r="BL358" i="335" s="1"/>
  <c r="BL356" i="335" s="1"/>
  <c r="ER81" i="336"/>
  <c r="X43" i="336"/>
  <c r="Y43" i="336" s="1"/>
  <c r="CW414" i="335"/>
  <c r="CW48" i="336"/>
  <c r="EM331" i="338"/>
  <c r="EM336" i="338"/>
  <c r="EN335" i="338"/>
  <c r="EM335" i="338"/>
  <c r="FK106" i="336"/>
  <c r="FE29" i="336"/>
  <c r="CR385" i="335"/>
  <c r="CS385" i="335" s="1"/>
  <c r="CS391" i="338" s="1"/>
  <c r="CS102" i="336"/>
  <c r="EM333" i="338"/>
  <c r="EZ376" i="335"/>
  <c r="FA376" i="335" s="1"/>
  <c r="EZ107" i="336"/>
  <c r="FF29" i="336"/>
  <c r="FA29" i="336"/>
  <c r="FA398" i="338" s="1"/>
  <c r="DB38" i="11"/>
  <c r="DB37" i="11"/>
  <c r="EA38" i="11"/>
  <c r="EA37" i="11"/>
  <c r="DI333" i="338"/>
  <c r="BT385" i="335"/>
  <c r="BU385" i="335" s="1"/>
  <c r="BU391" i="338" s="1"/>
  <c r="BU102" i="336"/>
  <c r="BE160" i="338"/>
  <c r="BE161" i="338" s="1"/>
  <c r="CA102" i="336"/>
  <c r="BZ385" i="335"/>
  <c r="CA385" i="335" s="1"/>
  <c r="CA391" i="338" s="1"/>
  <c r="EC330" i="338"/>
  <c r="DY332" i="338"/>
  <c r="EE331" i="338"/>
  <c r="DM165" i="336"/>
  <c r="BK175" i="336"/>
  <c r="BK192" i="336"/>
  <c r="BK196" i="336" s="1"/>
  <c r="DE167" i="336"/>
  <c r="CY167" i="336"/>
  <c r="EN449" i="335"/>
  <c r="EO449" i="335" s="1"/>
  <c r="EQ88" i="336"/>
  <c r="EQ449" i="335" s="1"/>
  <c r="EB413" i="338"/>
  <c r="EC413" i="338" s="1"/>
  <c r="EC103" i="336"/>
  <c r="BH160" i="338"/>
  <c r="BH113" i="338"/>
  <c r="BZ57" i="338"/>
  <c r="BZ95" i="338"/>
  <c r="CF95" i="338"/>
  <c r="CF57" i="338"/>
  <c r="DP30" i="336"/>
  <c r="DQ26" i="336"/>
  <c r="CV414" i="335"/>
  <c r="CV48" i="336"/>
  <c r="DT419" i="335"/>
  <c r="DU58" i="336"/>
  <c r="DU419" i="335" s="1"/>
  <c r="DV86" i="336"/>
  <c r="DU447" i="335"/>
  <c r="DC37" i="11"/>
  <c r="DC38" i="11"/>
  <c r="EB419" i="335"/>
  <c r="EE58" i="336"/>
  <c r="CX48" i="336"/>
  <c r="DA56" i="336"/>
  <c r="BF192" i="336"/>
  <c r="BF196" i="336" s="1"/>
  <c r="BF175" i="336"/>
  <c r="EE333" i="338"/>
  <c r="DM333" i="338"/>
  <c r="CC14" i="11"/>
  <c r="CC37" i="11"/>
  <c r="CC39" i="11" s="1"/>
  <c r="DI160" i="338"/>
  <c r="DI163" i="338" s="1"/>
  <c r="DI113" i="338"/>
  <c r="CM251" i="335"/>
  <c r="CM248" i="335"/>
  <c r="BM39" i="11"/>
  <c r="BM37" i="11"/>
  <c r="BM38" i="11"/>
  <c r="AJ14" i="11"/>
  <c r="AJ358" i="335" s="1"/>
  <c r="AJ356" i="335" s="1"/>
  <c r="AJ37" i="11"/>
  <c r="EE165" i="336"/>
  <c r="CM12" i="338"/>
  <c r="BQ139" i="336"/>
  <c r="BQ140" i="336" s="1"/>
  <c r="BQ137" i="336"/>
  <c r="BQ135" i="336"/>
  <c r="BR134" i="336"/>
  <c r="AG38" i="11"/>
  <c r="AG14" i="11"/>
  <c r="AG39" i="11" s="1"/>
  <c r="AG27" i="11"/>
  <c r="K38" i="11"/>
  <c r="K14" i="11"/>
  <c r="K358" i="335" s="1"/>
  <c r="K356" i="335" s="1"/>
  <c r="K323" i="338" s="1"/>
  <c r="K27" i="11"/>
  <c r="K37" i="11"/>
  <c r="BC119" i="336"/>
  <c r="BC395" i="338" s="1"/>
  <c r="BB395" i="338"/>
  <c r="BM184" i="336"/>
  <c r="BL185" i="336"/>
  <c r="BL187" i="336"/>
  <c r="BL178" i="336"/>
  <c r="BL192" i="336" s="1"/>
  <c r="BL196" i="336" s="1"/>
  <c r="AP38" i="11"/>
  <c r="AP27" i="11"/>
  <c r="AP14" i="11"/>
  <c r="AP160" i="338"/>
  <c r="AP163" i="338" s="1"/>
  <c r="AP164" i="338" s="1"/>
  <c r="AP113" i="338"/>
  <c r="EF335" i="338"/>
  <c r="BU218" i="336"/>
  <c r="AC43" i="336"/>
  <c r="BF43" i="336"/>
  <c r="DT447" i="335"/>
  <c r="DN447" i="335"/>
  <c r="FA431" i="335"/>
  <c r="FM431" i="335"/>
  <c r="FA439" i="335"/>
  <c r="FG439" i="335"/>
  <c r="FM439" i="335"/>
  <c r="FA444" i="335"/>
  <c r="FM444" i="335"/>
  <c r="FA451" i="335"/>
  <c r="FM451" i="335"/>
  <c r="CU395" i="338"/>
  <c r="EG335" i="338"/>
  <c r="EQ161" i="336"/>
  <c r="EY435" i="335"/>
  <c r="BN163" i="338"/>
  <c r="BO249" i="335"/>
  <c r="E395" i="338"/>
  <c r="EI45" i="336"/>
  <c r="EI46" i="336" s="1"/>
  <c r="DQ412" i="338"/>
  <c r="DQ381" i="335" s="1"/>
  <c r="CL489" i="338"/>
  <c r="CK488" i="338"/>
  <c r="CQ189" i="335"/>
  <c r="CQ299" i="335"/>
  <c r="DO343" i="335"/>
  <c r="DO114" i="338"/>
  <c r="DO113" i="338" s="1"/>
  <c r="DO348" i="335"/>
  <c r="DO148" i="335"/>
  <c r="DO333" i="335"/>
  <c r="AV218" i="335"/>
  <c r="AV217" i="335"/>
  <c r="ET176" i="335"/>
  <c r="EU176" i="335" s="1"/>
  <c r="FZ179" i="335"/>
  <c r="EO124" i="335"/>
  <c r="EU286" i="335"/>
  <c r="DO163" i="336"/>
  <c r="EZ72" i="335"/>
  <c r="EZ45" i="11" s="1"/>
  <c r="EM341" i="335"/>
  <c r="EM141" i="335"/>
  <c r="EM292" i="335" s="1"/>
  <c r="EU778" i="338"/>
  <c r="CQ351" i="335"/>
  <c r="DO336" i="335"/>
  <c r="EE213" i="335"/>
  <c r="EE215" i="335"/>
  <c r="EE218" i="335" s="1"/>
  <c r="EE207" i="336" s="1"/>
  <c r="EO610" i="338"/>
  <c r="EO754" i="338"/>
  <c r="EU755" i="338" s="1"/>
  <c r="EO294" i="335"/>
  <c r="EU743" i="338"/>
  <c r="EU749" i="338" s="1"/>
  <c r="DO327" i="338"/>
  <c r="DO328" i="338" s="1"/>
  <c r="DD180" i="335"/>
  <c r="DE180" i="335" s="1"/>
  <c r="DC176" i="335"/>
  <c r="DC214" i="335" s="1"/>
  <c r="DZ214" i="338"/>
  <c r="CY744" i="338"/>
  <c r="CS749" i="338"/>
  <c r="DE755" i="338"/>
  <c r="CY763" i="338"/>
  <c r="CY755" i="338"/>
  <c r="EG609" i="338"/>
  <c r="EG316" i="338"/>
  <c r="EG317" i="338" s="1"/>
  <c r="EG103" i="336"/>
  <c r="EG413" i="338" s="1"/>
  <c r="FX141" i="335"/>
  <c r="EG343" i="335"/>
  <c r="EH317" i="335"/>
  <c r="EG292" i="335"/>
  <c r="EL367" i="335"/>
  <c r="DE215" i="338"/>
  <c r="DP289" i="335"/>
  <c r="DP47" i="11"/>
  <c r="DP56" i="11" s="1"/>
  <c r="DS314" i="335"/>
  <c r="CG721" i="338"/>
  <c r="CM724" i="338"/>
  <c r="CG744" i="338"/>
  <c r="CM744" i="338"/>
  <c r="CG752" i="338"/>
  <c r="CG749" i="338"/>
  <c r="DH495" i="338"/>
  <c r="DC482" i="338"/>
  <c r="DC481" i="338"/>
  <c r="GB428" i="338" s="1"/>
  <c r="CE482" i="338"/>
  <c r="CE481" i="338"/>
  <c r="CE477" i="338"/>
  <c r="EM559" i="338"/>
  <c r="EM630" i="338"/>
  <c r="CG724" i="338"/>
  <c r="D394" i="338"/>
  <c r="EE108" i="335"/>
  <c r="ES556" i="338"/>
  <c r="ES557" i="338" s="1"/>
  <c r="ES604" i="338"/>
  <c r="ES606" i="338" s="1"/>
  <c r="ES607" i="338" s="1"/>
  <c r="DA481" i="338"/>
  <c r="GE479" i="338" s="1"/>
  <c r="EF395" i="338"/>
  <c r="CC13" i="338"/>
  <c r="CG43" i="11"/>
  <c r="CG52" i="11" s="1"/>
  <c r="DT81" i="335"/>
  <c r="CQ433" i="338"/>
  <c r="DB395" i="338"/>
  <c r="DY395" i="338"/>
  <c r="FQ96" i="335"/>
  <c r="BL395" i="338"/>
  <c r="DC395" i="338"/>
  <c r="EG143" i="335"/>
  <c r="J395" i="338"/>
  <c r="EH108" i="335"/>
  <c r="DT317" i="335"/>
  <c r="EZ28" i="335"/>
  <c r="I369" i="335"/>
  <c r="DJ53" i="11"/>
  <c r="EM243" i="338"/>
  <c r="I169" i="335"/>
  <c r="EZ33" i="335"/>
  <c r="FE425" i="338"/>
  <c r="ET364" i="335"/>
  <c r="EU364" i="335" s="1"/>
  <c r="EU20" i="335"/>
  <c r="EU21" i="335" s="1"/>
  <c r="EM242" i="338"/>
  <c r="FD29" i="335"/>
  <c r="GA29" i="335" s="1"/>
  <c r="ET89" i="335"/>
  <c r="ES43" i="11"/>
  <c r="ES108" i="335"/>
  <c r="EZ35" i="335"/>
  <c r="FA111" i="335"/>
  <c r="EX457" i="338"/>
  <c r="EX460" i="338" s="1"/>
  <c r="EU56" i="335"/>
  <c r="ER57" i="335"/>
  <c r="ET22" i="335"/>
  <c r="FK550" i="338"/>
  <c r="ES23" i="338"/>
  <c r="ES34" i="338" s="1"/>
  <c r="ES459" i="338"/>
  <c r="EW103" i="336"/>
  <c r="EX68" i="335"/>
  <c r="DW412" i="338"/>
  <c r="DW381" i="335" s="1"/>
  <c r="M292" i="335"/>
  <c r="L296" i="335"/>
  <c r="BR260" i="338"/>
  <c r="BS53" i="11"/>
  <c r="DC9" i="338"/>
  <c r="DD13" i="338" s="1"/>
  <c r="DO303" i="335"/>
  <c r="EM108" i="335"/>
  <c r="EQ28" i="335"/>
  <c r="EU107" i="335"/>
  <c r="ES91" i="335"/>
  <c r="ES143" i="335" s="1"/>
  <c r="EX87" i="335"/>
  <c r="ES28" i="335"/>
  <c r="EX15" i="335"/>
  <c r="EM22" i="335"/>
  <c r="FK425" i="338"/>
  <c r="EW229" i="335"/>
  <c r="EW209" i="336" s="1"/>
  <c r="EX135" i="335"/>
  <c r="EX132" i="335" s="1"/>
  <c r="EX26" i="335"/>
  <c r="EY28" i="335" s="1"/>
  <c r="AK160" i="335"/>
  <c r="DG266" i="338"/>
  <c r="CX260" i="338"/>
  <c r="FG719" i="338"/>
  <c r="FE133" i="11"/>
  <c r="FC69" i="11"/>
  <c r="EQ105" i="335"/>
  <c r="EU26" i="335"/>
  <c r="EU113" i="335"/>
  <c r="EM245" i="338"/>
  <c r="ES243" i="338"/>
  <c r="ET16" i="335"/>
  <c r="ET28" i="335"/>
  <c r="EX278" i="335"/>
  <c r="ES58" i="335"/>
  <c r="EX83" i="335"/>
  <c r="EY85" i="335" s="1"/>
  <c r="EX130" i="335"/>
  <c r="FA744" i="338"/>
  <c r="AG219" i="335"/>
  <c r="AG220" i="335"/>
  <c r="EF80" i="11"/>
  <c r="EF84" i="11" s="1"/>
  <c r="EF359" i="335"/>
  <c r="EY260" i="338"/>
  <c r="EU46" i="336"/>
  <c r="ES209" i="336"/>
  <c r="EU209" i="336" s="1"/>
  <c r="FZ167" i="335"/>
  <c r="EU149" i="335"/>
  <c r="ES168" i="335"/>
  <c r="EN366" i="335"/>
  <c r="EN119" i="336" s="1"/>
  <c r="EO119" i="336" s="1"/>
  <c r="EU152" i="335"/>
  <c r="FY152" i="335"/>
  <c r="BM157" i="335"/>
  <c r="BM199" i="335"/>
  <c r="BM200" i="335" s="1"/>
  <c r="CR499" i="338"/>
  <c r="GD439" i="338" s="1"/>
  <c r="DH179" i="335"/>
  <c r="DI179" i="335" s="1"/>
  <c r="DJ179" i="335" s="1"/>
  <c r="CQ507" i="338"/>
  <c r="FY88" i="335"/>
  <c r="FC116" i="335"/>
  <c r="FZ29" i="335"/>
  <c r="FZ30" i="335" s="1"/>
  <c r="EW116" i="336"/>
  <c r="FC116" i="336" s="1"/>
  <c r="FI116" i="336" s="1"/>
  <c r="EM317" i="335"/>
  <c r="EU294" i="335"/>
  <c r="AB219" i="335"/>
  <c r="AB220" i="335"/>
  <c r="DY225" i="338"/>
  <c r="DY230" i="338"/>
  <c r="C218" i="335"/>
  <c r="C217" i="335"/>
  <c r="EB185" i="335"/>
  <c r="EB187" i="335"/>
  <c r="EB351" i="335" s="1"/>
  <c r="FI89" i="11"/>
  <c r="FC93" i="11"/>
  <c r="FC97" i="11" s="1"/>
  <c r="EI260" i="338"/>
  <c r="EC260" i="338"/>
  <c r="CP507" i="338"/>
  <c r="BI368" i="335"/>
  <c r="BI170" i="335"/>
  <c r="BS162" i="338"/>
  <c r="AG217" i="335"/>
  <c r="BF220" i="335"/>
  <c r="BF207" i="336"/>
  <c r="BF210" i="336" s="1"/>
  <c r="BF211" i="336" s="1"/>
  <c r="CR187" i="335"/>
  <c r="CR185" i="335"/>
  <c r="EA432" i="338"/>
  <c r="EA433" i="338"/>
  <c r="DC230" i="338"/>
  <c r="FV73" i="335"/>
  <c r="DZ288" i="335"/>
  <c r="DZ46" i="11"/>
  <c r="EF55" i="11" s="1"/>
  <c r="EF288" i="335"/>
  <c r="DZ313" i="335"/>
  <c r="DZ338" i="335"/>
  <c r="EA313" i="335"/>
  <c r="CW493" i="338"/>
  <c r="O351" i="335"/>
  <c r="O189" i="335"/>
  <c r="ET735" i="338"/>
  <c r="CC351" i="335"/>
  <c r="CI299" i="335"/>
  <c r="CX213" i="335"/>
  <c r="BH219" i="335"/>
  <c r="BH207" i="336"/>
  <c r="O458" i="335"/>
  <c r="O460" i="335"/>
  <c r="O375" i="335"/>
  <c r="O459" i="335"/>
  <c r="DV170" i="335"/>
  <c r="DW169" i="335"/>
  <c r="DV270" i="335"/>
  <c r="DV350" i="335"/>
  <c r="DV368" i="335"/>
  <c r="AM184" i="335"/>
  <c r="AM185" i="335" s="1"/>
  <c r="AM459" i="335" s="1"/>
  <c r="DS77" i="335"/>
  <c r="DV76" i="335"/>
  <c r="DP139" i="335"/>
  <c r="DP48" i="11"/>
  <c r="DP87" i="335"/>
  <c r="FU75" i="335"/>
  <c r="DS311" i="335"/>
  <c r="DP76" i="335"/>
  <c r="DV286" i="335"/>
  <c r="DP286" i="335"/>
  <c r="DP311" i="335"/>
  <c r="EU735" i="338"/>
  <c r="AV184" i="335"/>
  <c r="AV185" i="335" s="1"/>
  <c r="AV458" i="335" s="1"/>
  <c r="DU214" i="338"/>
  <c r="DO224" i="338"/>
  <c r="BM459" i="335"/>
  <c r="BM375" i="335"/>
  <c r="BM184" i="335"/>
  <c r="BM187" i="335" s="1"/>
  <c r="BM460" i="335"/>
  <c r="BM461" i="335"/>
  <c r="FC279" i="335"/>
  <c r="FC119" i="11"/>
  <c r="FD53" i="338"/>
  <c r="FD39" i="338"/>
  <c r="EC169" i="335"/>
  <c r="DY173" i="335"/>
  <c r="DY174" i="335" s="1"/>
  <c r="EE298" i="335"/>
  <c r="DZ323" i="335"/>
  <c r="DY212" i="335"/>
  <c r="DY213" i="335" s="1"/>
  <c r="FV169" i="335"/>
  <c r="EA368" i="335"/>
  <c r="DY270" i="335"/>
  <c r="DY298" i="335"/>
  <c r="DY350" i="335"/>
  <c r="AW757" i="338"/>
  <c r="AW762" i="338"/>
  <c r="AZ368" i="335"/>
  <c r="BE298" i="335"/>
  <c r="AY298" i="335"/>
  <c r="CJ482" i="338"/>
  <c r="CJ481" i="338"/>
  <c r="DN47" i="11"/>
  <c r="DO314" i="335"/>
  <c r="DN75" i="335"/>
  <c r="DN289" i="335"/>
  <c r="DY144" i="335"/>
  <c r="FV143" i="335"/>
  <c r="EE328" i="338"/>
  <c r="EC327" i="338"/>
  <c r="DS312" i="335"/>
  <c r="DW72" i="335"/>
  <c r="DS287" i="335"/>
  <c r="EE160" i="338"/>
  <c r="EF161" i="338" s="1"/>
  <c r="EE113" i="338"/>
  <c r="AD144" i="335"/>
  <c r="DP313" i="335"/>
  <c r="DS313" i="335"/>
  <c r="DP288" i="335"/>
  <c r="EX12" i="338"/>
  <c r="BB38" i="11"/>
  <c r="BB27" i="11"/>
  <c r="CQ493" i="338"/>
  <c r="CQ492" i="338"/>
  <c r="ER89" i="11"/>
  <c r="EL93" i="11"/>
  <c r="EL97" i="11" s="1"/>
  <c r="EL104" i="11"/>
  <c r="BB187" i="335"/>
  <c r="DO56" i="11"/>
  <c r="DU56" i="11"/>
  <c r="AW345" i="335"/>
  <c r="AW342" i="335"/>
  <c r="BC290" i="335"/>
  <c r="AW328" i="335"/>
  <c r="AW114" i="338"/>
  <c r="AW160" i="338" s="1"/>
  <c r="AW151" i="335"/>
  <c r="AW347" i="335"/>
  <c r="AW15" i="11"/>
  <c r="AW37" i="11" s="1"/>
  <c r="EI288" i="335"/>
  <c r="EK337" i="338"/>
  <c r="EK338" i="338" s="1"/>
  <c r="FG61" i="335"/>
  <c r="AV123" i="336"/>
  <c r="AW123" i="336" s="1"/>
  <c r="AW154" i="335"/>
  <c r="DO55" i="11"/>
  <c r="DU55" i="11"/>
  <c r="M170" i="335"/>
  <c r="M389" i="338" s="1"/>
  <c r="AG54" i="335"/>
  <c r="AE52" i="335"/>
  <c r="AJ53" i="335"/>
  <c r="P217" i="335"/>
  <c r="P184" i="335" s="1"/>
  <c r="P218" i="335"/>
  <c r="FK172" i="338"/>
  <c r="FK173" i="338" s="1"/>
  <c r="EG47" i="11"/>
  <c r="EG339" i="335"/>
  <c r="EG314" i="335"/>
  <c r="BA169" i="335"/>
  <c r="BA323" i="335" s="1"/>
  <c r="BA144" i="335"/>
  <c r="BB392" i="335"/>
  <c r="BB369" i="335"/>
  <c r="BB394" i="335"/>
  <c r="BB112" i="336"/>
  <c r="BB113" i="336"/>
  <c r="BC113" i="336" s="1"/>
  <c r="BC365" i="335"/>
  <c r="CC206" i="335"/>
  <c r="CC101" i="335"/>
  <c r="CC494" i="338"/>
  <c r="DI206" i="335"/>
  <c r="DI207" i="335" s="1"/>
  <c r="DI494" i="338"/>
  <c r="DI495" i="338" s="1"/>
  <c r="DI100" i="335"/>
  <c r="EM334" i="335"/>
  <c r="EM347" i="335"/>
  <c r="EM151" i="335"/>
  <c r="EM154" i="335"/>
  <c r="EM114" i="338"/>
  <c r="EM93" i="335"/>
  <c r="EM327" i="338"/>
  <c r="EM290" i="335"/>
  <c r="EM325" i="338"/>
  <c r="EM326" i="338" s="1"/>
  <c r="EM342" i="335"/>
  <c r="EM102" i="336"/>
  <c r="EM385" i="335" s="1"/>
  <c r="EM15" i="11"/>
  <c r="EM313" i="338"/>
  <c r="EM99" i="335"/>
  <c r="EM92" i="335"/>
  <c r="EM346" i="335"/>
  <c r="EM333" i="335"/>
  <c r="EM315" i="335"/>
  <c r="EM328" i="335"/>
  <c r="EM331" i="335"/>
  <c r="EM336" i="335"/>
  <c r="EM365" i="335"/>
  <c r="CI38" i="11"/>
  <c r="CI37" i="11"/>
  <c r="CI14" i="11"/>
  <c r="CI27" i="11"/>
  <c r="CI34" i="11" s="1"/>
  <c r="BR621" i="338"/>
  <c r="BR622" i="338" s="1"/>
  <c r="BR623" i="338" s="1"/>
  <c r="BX621" i="338"/>
  <c r="BX622" i="338" s="1"/>
  <c r="BX623" i="338" s="1"/>
  <c r="DG494" i="338"/>
  <c r="DG206" i="335"/>
  <c r="DB206" i="335"/>
  <c r="DB101" i="335"/>
  <c r="DB160" i="338"/>
  <c r="FY139" i="335"/>
  <c r="BF115" i="3"/>
  <c r="DW369" i="335"/>
  <c r="AV14" i="11"/>
  <c r="AV39" i="11" s="1"/>
  <c r="AB27" i="11"/>
  <c r="CQ101" i="335"/>
  <c r="DY430" i="338"/>
  <c r="CQ206" i="335"/>
  <c r="CQ207" i="335" s="1"/>
  <c r="CQ14" i="11"/>
  <c r="CQ26" i="11" s="1"/>
  <c r="CQ32" i="11" s="1"/>
  <c r="CQ432" i="338"/>
  <c r="FQ99" i="335"/>
  <c r="BI394" i="335"/>
  <c r="CI100" i="335"/>
  <c r="DI144" i="335"/>
  <c r="EM49" i="11"/>
  <c r="EM58" i="11" s="1"/>
  <c r="DG100" i="335"/>
  <c r="AI182" i="335"/>
  <c r="AA37" i="11"/>
  <c r="AA27" i="11"/>
  <c r="AA38" i="11"/>
  <c r="BL58" i="11"/>
  <c r="BO49" i="11"/>
  <c r="BO58" i="11" s="1"/>
  <c r="CD328" i="338"/>
  <c r="EL333" i="338"/>
  <c r="EH430" i="338"/>
  <c r="EH429" i="338"/>
  <c r="AY113" i="338"/>
  <c r="ET292" i="335"/>
  <c r="AU346" i="335"/>
  <c r="AU99" i="335"/>
  <c r="AU206" i="335" s="1"/>
  <c r="AU207" i="335" s="1"/>
  <c r="EG163" i="338"/>
  <c r="EF433" i="338"/>
  <c r="BC143" i="335"/>
  <c r="BC144" i="335" s="1"/>
  <c r="BC388" i="338" s="1"/>
  <c r="BO313" i="338"/>
  <c r="DA315" i="335"/>
  <c r="EK398" i="335"/>
  <c r="DT621" i="338"/>
  <c r="DT622" i="338" s="1"/>
  <c r="DT623" i="338" s="1"/>
  <c r="EL395" i="338"/>
  <c r="CE395" i="338"/>
  <c r="CA366" i="335"/>
  <c r="EE468" i="338"/>
  <c r="EE467" i="338"/>
  <c r="DS681" i="338"/>
  <c r="DS684" i="338" s="1"/>
  <c r="DS689" i="338" s="1"/>
  <c r="EC761" i="338"/>
  <c r="FC172" i="338"/>
  <c r="CK343" i="335"/>
  <c r="EG395" i="338"/>
  <c r="AI27" i="11"/>
  <c r="CY756" i="338"/>
  <c r="AK172" i="338"/>
  <c r="AK9" i="338"/>
  <c r="DO439" i="338"/>
  <c r="FO139" i="335"/>
  <c r="BK118" i="336"/>
  <c r="BK119" i="336"/>
  <c r="BN478" i="338"/>
  <c r="BN479" i="338"/>
  <c r="EA478" i="338"/>
  <c r="EA482" i="338" s="1"/>
  <c r="DU481" i="338"/>
  <c r="BZ118" i="336"/>
  <c r="BZ116" i="336"/>
  <c r="CA116" i="336" s="1"/>
  <c r="CC317" i="338"/>
  <c r="BW317" i="338"/>
  <c r="Q169" i="335"/>
  <c r="Q144" i="335"/>
  <c r="D154" i="335"/>
  <c r="D167" i="335"/>
  <c r="D347" i="335"/>
  <c r="DU241" i="338"/>
  <c r="EA278" i="335"/>
  <c r="BS172" i="338"/>
  <c r="BT303" i="335"/>
  <c r="S393" i="335"/>
  <c r="S315" i="338"/>
  <c r="S394" i="335"/>
  <c r="EM52" i="11"/>
  <c r="AG53" i="335"/>
  <c r="CC8" i="338"/>
  <c r="DK108" i="338"/>
  <c r="DK110" i="338" s="1"/>
  <c r="CS296" i="335"/>
  <c r="DT162" i="336"/>
  <c r="DU52" i="335"/>
  <c r="DU43" i="11"/>
  <c r="BI240" i="335"/>
  <c r="DV16" i="335"/>
  <c r="DW723" i="338"/>
  <c r="DU42" i="335"/>
  <c r="BS15" i="335"/>
  <c r="S392" i="335"/>
  <c r="DW14" i="335"/>
  <c r="BK8" i="338"/>
  <c r="BO778" i="338"/>
  <c r="EK296" i="335"/>
  <c r="CM167" i="336"/>
  <c r="DD53" i="335"/>
  <c r="EA15" i="335"/>
  <c r="DU160" i="336"/>
  <c r="DU9" i="338"/>
  <c r="DU12" i="338" s="1"/>
  <c r="DU17" i="338" s="1"/>
  <c r="DE53" i="11"/>
  <c r="DK761" i="338"/>
  <c r="BU775" i="338"/>
  <c r="DV364" i="335"/>
  <c r="DW364" i="335" s="1"/>
  <c r="GB97" i="335"/>
  <c r="BS278" i="335"/>
  <c r="DU303" i="335"/>
  <c r="BI193" i="336"/>
  <c r="DJ332" i="338"/>
  <c r="EM604" i="338"/>
  <c r="EM628" i="338" s="1"/>
  <c r="S316" i="338"/>
  <c r="BQ53" i="11"/>
  <c r="CK230" i="338"/>
  <c r="BI252" i="336"/>
  <c r="DQ9" i="338"/>
  <c r="DQ12" i="338" s="1"/>
  <c r="DQ17" i="338" s="1"/>
  <c r="P317" i="335"/>
  <c r="CL291" i="336"/>
  <c r="W292" i="335"/>
  <c r="R317" i="335"/>
  <c r="L292" i="335"/>
  <c r="BN272" i="338"/>
  <c r="BM260" i="338"/>
  <c r="DM123" i="11"/>
  <c r="DM127" i="11" s="1"/>
  <c r="BN56" i="11"/>
  <c r="DI55" i="11"/>
  <c r="CR55" i="11"/>
  <c r="DC54" i="11"/>
  <c r="BM54" i="11"/>
  <c r="BN53" i="11"/>
  <c r="EU108" i="335"/>
  <c r="BC405" i="335"/>
  <c r="BM55" i="11"/>
  <c r="DQ43" i="11"/>
  <c r="DQ52" i="11" s="1"/>
  <c r="CI15" i="335"/>
  <c r="DD317" i="335"/>
  <c r="DY304" i="335"/>
  <c r="CR224" i="338"/>
  <c r="CA408" i="335"/>
  <c r="CA407" i="335" s="1"/>
  <c r="BI405" i="335"/>
  <c r="BZ291" i="336"/>
  <c r="AH292" i="335"/>
  <c r="J292" i="335"/>
  <c r="CU272" i="338"/>
  <c r="CV56" i="11"/>
  <c r="CV55" i="11"/>
  <c r="DG54" i="11"/>
  <c r="CV54" i="11"/>
  <c r="BK54" i="11"/>
  <c r="BR53" i="11"/>
  <c r="BU155" i="335"/>
  <c r="CX160" i="336"/>
  <c r="CW160" i="336"/>
  <c r="FC381" i="338"/>
  <c r="ET27" i="335"/>
  <c r="EN28" i="335"/>
  <c r="EQ34" i="338"/>
  <c r="EQ114" i="335"/>
  <c r="EQ108" i="335"/>
  <c r="FF25" i="335"/>
  <c r="EX308" i="335"/>
  <c r="AJ286" i="335"/>
  <c r="FI110" i="335"/>
  <c r="FG23" i="335"/>
  <c r="FK23" i="335"/>
  <c r="EW67" i="335"/>
  <c r="EW130" i="335" s="1"/>
  <c r="DH50" i="335"/>
  <c r="FF550" i="338"/>
  <c r="FF70" i="11"/>
  <c r="EQ553" i="338"/>
  <c r="ER85" i="335"/>
  <c r="EQ243" i="338"/>
  <c r="FF26" i="335"/>
  <c r="ET562" i="338"/>
  <c r="ET563" i="338" s="1"/>
  <c r="EU135" i="335"/>
  <c r="EU136" i="335" s="1"/>
  <c r="EX52" i="11"/>
  <c r="AU15" i="335"/>
  <c r="DB52" i="335"/>
  <c r="FG744" i="338"/>
  <c r="EX62" i="335"/>
  <c r="EX52" i="335"/>
  <c r="BT12" i="335"/>
  <c r="BS37" i="11"/>
  <c r="BS27" i="11"/>
  <c r="DU37" i="11"/>
  <c r="DU39" i="11" s="1"/>
  <c r="EA27" i="11"/>
  <c r="EA33" i="11" s="1"/>
  <c r="EA67" i="11" s="1"/>
  <c r="BN37" i="11"/>
  <c r="BT27" i="11"/>
  <c r="BN38" i="11"/>
  <c r="DW37" i="11"/>
  <c r="DW39" i="11" s="1"/>
  <c r="EB409" i="338"/>
  <c r="EC409" i="338" s="1"/>
  <c r="AE12" i="338"/>
  <c r="AE17" i="338" s="1"/>
  <c r="AE18" i="338" s="1"/>
  <c r="K12" i="338"/>
  <c r="K17" i="338" s="1"/>
  <c r="K8" i="338"/>
  <c r="H113" i="338"/>
  <c r="H163" i="338"/>
  <c r="CI13" i="338"/>
  <c r="CI12" i="338"/>
  <c r="CI17" i="338" s="1"/>
  <c r="CI18" i="338" s="1"/>
  <c r="AB37" i="11"/>
  <c r="AB14" i="11"/>
  <c r="BR38" i="11"/>
  <c r="BR39" i="11" s="1"/>
  <c r="BR27" i="11"/>
  <c r="BL160" i="338"/>
  <c r="BL163" i="338" s="1"/>
  <c r="BL113" i="338"/>
  <c r="L38" i="11"/>
  <c r="M27" i="11"/>
  <c r="L27" i="11"/>
  <c r="L14" i="11"/>
  <c r="L12" i="335" s="1"/>
  <c r="EB124" i="336"/>
  <c r="AC113" i="338"/>
  <c r="CP38" i="11"/>
  <c r="AU38" i="11"/>
  <c r="AU14" i="11"/>
  <c r="AU27" i="11"/>
  <c r="BA27" i="11"/>
  <c r="CV38" i="11"/>
  <c r="CV39" i="11" s="1"/>
  <c r="DB27" i="11"/>
  <c r="DB33" i="11" s="1"/>
  <c r="DB67" i="11" s="1"/>
  <c r="CV14" i="11"/>
  <c r="CV358" i="335" s="1"/>
  <c r="CV356" i="335" s="1"/>
  <c r="CE17" i="338"/>
  <c r="CF13" i="338"/>
  <c r="CG119" i="336"/>
  <c r="CG395" i="338" s="1"/>
  <c r="CF395" i="338"/>
  <c r="AZ12" i="335"/>
  <c r="U17" i="338"/>
  <c r="U13" i="338"/>
  <c r="AG160" i="338"/>
  <c r="AG163" i="338" s="1"/>
  <c r="AG164" i="338" s="1"/>
  <c r="AG113" i="338"/>
  <c r="BX14" i="11"/>
  <c r="BX12" i="335" s="1"/>
  <c r="BX38" i="11"/>
  <c r="BX39" i="11" s="1"/>
  <c r="CD27" i="11"/>
  <c r="CD34" i="11" s="1"/>
  <c r="E160" i="338"/>
  <c r="E163" i="338" s="1"/>
  <c r="H14" i="11"/>
  <c r="H38" i="11"/>
  <c r="H37" i="11"/>
  <c r="AM8" i="338"/>
  <c r="AP17" i="338"/>
  <c r="AP18" i="338" s="1"/>
  <c r="AS13" i="338"/>
  <c r="DU104" i="11"/>
  <c r="DU108" i="11" s="1"/>
  <c r="DU112" i="11" s="1"/>
  <c r="DU123" i="11"/>
  <c r="DU127" i="11" s="1"/>
  <c r="AO12" i="338"/>
  <c r="AO17" i="338" s="1"/>
  <c r="AO18" i="338" s="1"/>
  <c r="AU8" i="338"/>
  <c r="AO8" i="338"/>
  <c r="DT104" i="11"/>
  <c r="DZ108" i="11" s="1"/>
  <c r="DZ112" i="11" s="1"/>
  <c r="DT123" i="11"/>
  <c r="DT127" i="11" s="1"/>
  <c r="I27" i="11"/>
  <c r="S112" i="336"/>
  <c r="S394" i="338" s="1"/>
  <c r="R394" i="338"/>
  <c r="BA12" i="338"/>
  <c r="BA8" i="338"/>
  <c r="DS39" i="338"/>
  <c r="DS53" i="338"/>
  <c r="BW123" i="11"/>
  <c r="BW54" i="338" s="1"/>
  <c r="BW104" i="11"/>
  <c r="CC108" i="11" s="1"/>
  <c r="DD108" i="11"/>
  <c r="DD112" i="11" s="1"/>
  <c r="DE104" i="11"/>
  <c r="DE119" i="11" s="1"/>
  <c r="DE40" i="338" s="1"/>
  <c r="DK39" i="338" s="1"/>
  <c r="I12" i="338"/>
  <c r="I17" i="338" s="1"/>
  <c r="I8" i="338"/>
  <c r="DJ105" i="11"/>
  <c r="DP109" i="11" s="1"/>
  <c r="DP113" i="11" s="1"/>
  <c r="DJ124" i="11"/>
  <c r="DJ128" i="11" s="1"/>
  <c r="DH104" i="11"/>
  <c r="DN108" i="11" s="1"/>
  <c r="DN112" i="11" s="1"/>
  <c r="DH123" i="11"/>
  <c r="DH127" i="11" s="1"/>
  <c r="W37" i="11"/>
  <c r="W27" i="11"/>
  <c r="W14" i="11"/>
  <c r="Q38" i="11"/>
  <c r="Q14" i="11"/>
  <c r="W160" i="338"/>
  <c r="W113" i="338"/>
  <c r="V12" i="338"/>
  <c r="V13" i="338" s="1"/>
  <c r="V8" i="338"/>
  <c r="DI124" i="11"/>
  <c r="DI128" i="11" s="1"/>
  <c r="DC124" i="11"/>
  <c r="DC128" i="11" s="1"/>
  <c r="CW58" i="338"/>
  <c r="CW124" i="11"/>
  <c r="CW105" i="11"/>
  <c r="CU58" i="338"/>
  <c r="CU124" i="11"/>
  <c r="CV124" i="11"/>
  <c r="CP124" i="11"/>
  <c r="CP96" i="338" s="1"/>
  <c r="CP58" i="338"/>
  <c r="CP95" i="338" s="1"/>
  <c r="CJ58" i="338"/>
  <c r="CJ124" i="11"/>
  <c r="CJ96" i="338" s="1"/>
  <c r="CD58" i="338"/>
  <c r="CD95" i="338" s="1"/>
  <c r="CD124" i="11"/>
  <c r="CD96" i="338" s="1"/>
  <c r="BX58" i="338"/>
  <c r="BX124" i="11"/>
  <c r="BX96" i="338" s="1"/>
  <c r="BX105" i="11"/>
  <c r="DM53" i="338"/>
  <c r="DM55" i="338" s="1"/>
  <c r="DM39" i="338"/>
  <c r="DD40" i="338"/>
  <c r="DD123" i="11"/>
  <c r="DD127" i="11" s="1"/>
  <c r="CK123" i="11"/>
  <c r="CK54" i="338" s="1"/>
  <c r="CE40" i="338"/>
  <c r="CE53" i="338" s="1"/>
  <c r="CE123" i="11"/>
  <c r="CE54" i="338" s="1"/>
  <c r="CU14" i="11"/>
  <c r="CU37" i="11"/>
  <c r="CU38" i="11"/>
  <c r="AU17" i="338"/>
  <c r="AU18" i="338" s="1"/>
  <c r="F17" i="338"/>
  <c r="J17" i="338"/>
  <c r="AV8" i="338"/>
  <c r="G394" i="338"/>
  <c r="DZ123" i="11"/>
  <c r="DZ127" i="11" s="1"/>
  <c r="CE8" i="338"/>
  <c r="AT8" i="338"/>
  <c r="DS123" i="11"/>
  <c r="DS127" i="11" s="1"/>
  <c r="F8" i="338"/>
  <c r="DN123" i="11"/>
  <c r="DN127" i="11" s="1"/>
  <c r="EW412" i="338"/>
  <c r="EW381" i="335" s="1"/>
  <c r="FE175" i="336"/>
  <c r="FC20" i="336"/>
  <c r="FD20" i="336" s="1"/>
  <c r="FE20" i="336" s="1"/>
  <c r="FF20" i="336" s="1"/>
  <c r="EK61" i="336"/>
  <c r="ES99" i="336"/>
  <c r="BX246" i="336"/>
  <c r="BX253" i="336" s="1"/>
  <c r="AU163" i="338"/>
  <c r="EH71" i="336"/>
  <c r="DS174" i="336"/>
  <c r="DW174" i="336" s="1"/>
  <c r="DW186" i="336"/>
  <c r="DW187" i="336" s="1"/>
  <c r="DG418" i="335"/>
  <c r="DH57" i="336"/>
  <c r="BC35" i="336"/>
  <c r="BB43" i="336"/>
  <c r="BC43" i="336" s="1"/>
  <c r="ES412" i="338"/>
  <c r="ES381" i="335" s="1"/>
  <c r="EO45" i="336"/>
  <c r="EO46" i="336" s="1"/>
  <c r="DU395" i="338"/>
  <c r="EB414" i="335"/>
  <c r="EC414" i="335" s="1"/>
  <c r="EE53" i="336"/>
  <c r="EI330" i="338"/>
  <c r="BI285" i="336"/>
  <c r="CA252" i="335"/>
  <c r="CW167" i="336"/>
  <c r="AP413" i="338"/>
  <c r="AQ413" i="338" s="1"/>
  <c r="AW412" i="338"/>
  <c r="AW381" i="335" s="1"/>
  <c r="BQ214" i="336"/>
  <c r="EI397" i="338"/>
  <c r="CW170" i="336"/>
  <c r="BI174" i="336"/>
  <c r="BL214" i="336"/>
  <c r="CJ273" i="336"/>
  <c r="EH35" i="336"/>
  <c r="CJ243" i="336"/>
  <c r="CJ250" i="336" s="1"/>
  <c r="CG196" i="336"/>
  <c r="DA43" i="336"/>
  <c r="BC196" i="336"/>
  <c r="DH43" i="336"/>
  <c r="ER63" i="336"/>
  <c r="ES63" i="336" s="1"/>
  <c r="BE8" i="338"/>
  <c r="BG8" i="338"/>
  <c r="AY8" i="338"/>
  <c r="DY331" i="338"/>
  <c r="CA167" i="336"/>
  <c r="EN338" i="338"/>
  <c r="DC169" i="336"/>
  <c r="CQ167" i="336"/>
  <c r="BC412" i="338"/>
  <c r="BC381" i="335" s="1"/>
  <c r="AW397" i="338"/>
  <c r="CC408" i="335"/>
  <c r="CC407" i="335" s="1"/>
  <c r="DU168" i="336"/>
  <c r="CJ244" i="336"/>
  <c r="CJ251" i="336" s="1"/>
  <c r="EE167" i="336"/>
  <c r="DU167" i="336"/>
  <c r="EL15" i="336"/>
  <c r="EL21" i="336" s="1"/>
  <c r="BW262" i="336"/>
  <c r="W394" i="338"/>
  <c r="CI123" i="11"/>
  <c r="CA214" i="336"/>
  <c r="AB43" i="336"/>
  <c r="AV12" i="338"/>
  <c r="DW330" i="338"/>
  <c r="BI246" i="336"/>
  <c r="BI253" i="336" s="1"/>
  <c r="EA167" i="336"/>
  <c r="EA365" i="338" s="1"/>
  <c r="K224" i="336"/>
  <c r="DY165" i="336"/>
  <c r="CD269" i="336"/>
  <c r="CA251" i="336"/>
  <c r="DN30" i="336"/>
  <c r="DN35" i="336" s="1"/>
  <c r="DN43" i="336" s="1"/>
  <c r="BW273" i="336"/>
  <c r="BO252" i="335"/>
  <c r="DN97" i="338"/>
  <c r="CK17" i="338"/>
  <c r="CK18" i="338" s="1"/>
  <c r="DS409" i="338"/>
  <c r="V394" i="338"/>
  <c r="DV394" i="338"/>
  <c r="CM97" i="338"/>
  <c r="CM55" i="338"/>
  <c r="CG53" i="338"/>
  <c r="CM39" i="338"/>
  <c r="J8" i="338"/>
  <c r="DM124" i="11"/>
  <c r="DM128" i="11" s="1"/>
  <c r="CO395" i="338"/>
  <c r="AT395" i="338"/>
  <c r="D27" i="11"/>
  <c r="AW113" i="336"/>
  <c r="AW394" i="338" s="1"/>
  <c r="AV394" i="338"/>
  <c r="DH160" i="338"/>
  <c r="DH163" i="338" s="1"/>
  <c r="DH113" i="338"/>
  <c r="AS160" i="338"/>
  <c r="CJ160" i="338"/>
  <c r="CJ163" i="338" s="1"/>
  <c r="CJ164" i="338" s="1"/>
  <c r="CP113" i="338"/>
  <c r="BS358" i="335"/>
  <c r="BS356" i="335" s="1"/>
  <c r="BS12" i="335"/>
  <c r="DW160" i="338"/>
  <c r="EC113" i="338"/>
  <c r="EB160" i="338"/>
  <c r="AN161" i="338"/>
  <c r="AO161" i="338"/>
  <c r="AM161" i="338"/>
  <c r="AN39" i="11"/>
  <c r="AN12" i="335"/>
  <c r="DZ38" i="11"/>
  <c r="DZ27" i="11"/>
  <c r="DZ37" i="11"/>
  <c r="DS125" i="336"/>
  <c r="DH27" i="11"/>
  <c r="DH38" i="11"/>
  <c r="DH37" i="11"/>
  <c r="EE38" i="11"/>
  <c r="EE37" i="11"/>
  <c r="DA160" i="338"/>
  <c r="DA113" i="338"/>
  <c r="BX27" i="11"/>
  <c r="BR14" i="11"/>
  <c r="BY27" i="11"/>
  <c r="BS38" i="11"/>
  <c r="AH12" i="338"/>
  <c r="AN17" i="338"/>
  <c r="AN18" i="338" s="1"/>
  <c r="AN8" i="338"/>
  <c r="DO105" i="11"/>
  <c r="DO124" i="11"/>
  <c r="G160" i="338"/>
  <c r="J14" i="11"/>
  <c r="J37" i="11"/>
  <c r="J38" i="11"/>
  <c r="J27" i="11"/>
  <c r="Q12" i="338"/>
  <c r="CR12" i="338"/>
  <c r="CR17" i="338" s="1"/>
  <c r="CR8" i="338"/>
  <c r="M12" i="338"/>
  <c r="M17" i="338" s="1"/>
  <c r="M8" i="338"/>
  <c r="BT12" i="338"/>
  <c r="BT17" i="338" s="1"/>
  <c r="BT18" i="338" s="1"/>
  <c r="BT8" i="338"/>
  <c r="BZ8" i="338"/>
  <c r="DO8" i="338"/>
  <c r="DI13" i="338"/>
  <c r="DB12" i="338"/>
  <c r="DB17" i="338" s="1"/>
  <c r="DH8" i="338"/>
  <c r="DB13" i="338"/>
  <c r="DJ8" i="338"/>
  <c r="DP8" i="338"/>
  <c r="BW395" i="338"/>
  <c r="I394" i="338"/>
  <c r="DD8" i="338"/>
  <c r="DD12" i="338"/>
  <c r="DD17" i="338" s="1"/>
  <c r="CX13" i="338"/>
  <c r="CX8" i="338"/>
  <c r="DA13" i="338"/>
  <c r="L12" i="338"/>
  <c r="L17" i="338" s="1"/>
  <c r="L8" i="338"/>
  <c r="D160" i="338"/>
  <c r="D163" i="338" s="1"/>
  <c r="E113" i="338"/>
  <c r="D113" i="338"/>
  <c r="DG12" i="338"/>
  <c r="DG17" i="338" s="1"/>
  <c r="DH13" i="338"/>
  <c r="DM19" i="338"/>
  <c r="DG13" i="338"/>
  <c r="DG8" i="338"/>
  <c r="BY104" i="11"/>
  <c r="BY123" i="11"/>
  <c r="BY54" i="338" s="1"/>
  <c r="BY40" i="338"/>
  <c r="CD40" i="338"/>
  <c r="CD53" i="338" s="1"/>
  <c r="CD123" i="11"/>
  <c r="CD54" i="338" s="1"/>
  <c r="G12" i="338"/>
  <c r="G17" i="338" s="1"/>
  <c r="H8" i="338"/>
  <c r="D12" i="338"/>
  <c r="D17" i="338" s="1"/>
  <c r="E8" i="338"/>
  <c r="D8" i="338"/>
  <c r="DJ104" i="11"/>
  <c r="DJ108" i="11" s="1"/>
  <c r="DJ112" i="11" s="1"/>
  <c r="DJ123" i="11"/>
  <c r="DJ127" i="11" s="1"/>
  <c r="DP123" i="11"/>
  <c r="DP127" i="11" s="1"/>
  <c r="U14" i="11"/>
  <c r="AA26" i="11" s="1"/>
  <c r="U38" i="11"/>
  <c r="U37" i="11"/>
  <c r="O37" i="11"/>
  <c r="O38" i="11"/>
  <c r="O14" i="11"/>
  <c r="BS113" i="338"/>
  <c r="CD13" i="338"/>
  <c r="BY163" i="338"/>
  <c r="CD38" i="11"/>
  <c r="CG17" i="338"/>
  <c r="BN14" i="11"/>
  <c r="AM113" i="338"/>
  <c r="BZ37" i="11"/>
  <c r="BZ39" i="11" s="1"/>
  <c r="CV12" i="338"/>
  <c r="CV17" i="338" s="1"/>
  <c r="CV18" i="338" s="1"/>
  <c r="CV8" i="338"/>
  <c r="DY53" i="338"/>
  <c r="DY39" i="338"/>
  <c r="U161" i="338"/>
  <c r="V161" i="338"/>
  <c r="AA113" i="338"/>
  <c r="EH435" i="338"/>
  <c r="BW12" i="338"/>
  <c r="BZ17" i="338"/>
  <c r="DN124" i="11"/>
  <c r="DN128" i="11" s="1"/>
  <c r="U113" i="338"/>
  <c r="AZ113" i="338"/>
  <c r="S8" i="338"/>
  <c r="H17" i="338"/>
  <c r="L395" i="338"/>
  <c r="BG395" i="338"/>
  <c r="CR675" i="338"/>
  <c r="DJ644" i="338"/>
  <c r="DJ678" i="338"/>
  <c r="DJ687" i="338" s="1"/>
  <c r="DD638" i="338"/>
  <c r="DD678" i="338"/>
  <c r="DD687" i="338" s="1"/>
  <c r="BX675" i="338"/>
  <c r="DD656" i="338"/>
  <c r="DD675" i="338"/>
  <c r="DE656" i="338"/>
  <c r="CX626" i="338"/>
  <c r="CX675" i="338"/>
  <c r="DV678" i="338"/>
  <c r="CA665" i="338"/>
  <c r="CA663" i="338" s="1"/>
  <c r="CA671" i="338"/>
  <c r="CA669" i="338" s="1"/>
  <c r="CA629" i="338"/>
  <c r="CA627" i="338" s="1"/>
  <c r="CA659" i="338"/>
  <c r="CA657" i="338" s="1"/>
  <c r="CA635" i="338"/>
  <c r="CA633" i="338" s="1"/>
  <c r="BZ660" i="338"/>
  <c r="BZ676" i="338" s="1"/>
  <c r="CF660" i="338"/>
  <c r="CR666" i="338"/>
  <c r="CR662" i="338" s="1"/>
  <c r="CL666" i="338"/>
  <c r="DO665" i="338"/>
  <c r="DO663" i="338" s="1"/>
  <c r="DO662" i="338" s="1"/>
  <c r="DO629" i="338"/>
  <c r="DO627" i="338" s="1"/>
  <c r="DO635" i="338"/>
  <c r="DO633" i="338" s="1"/>
  <c r="DO632" i="338" s="1"/>
  <c r="DO659" i="338"/>
  <c r="DO657" i="338" s="1"/>
  <c r="DO656" i="338" s="1"/>
  <c r="DO647" i="338"/>
  <c r="DO645" i="338" s="1"/>
  <c r="DO671" i="338"/>
  <c r="DO669" i="338" s="1"/>
  <c r="DO641" i="338"/>
  <c r="DO639" i="338" s="1"/>
  <c r="CX636" i="338"/>
  <c r="CX676" i="338" s="1"/>
  <c r="CR636" i="338"/>
  <c r="BZ635" i="338"/>
  <c r="BZ633" i="338" s="1"/>
  <c r="BZ632" i="338" s="1"/>
  <c r="BZ665" i="338"/>
  <c r="BZ663" i="338" s="1"/>
  <c r="BZ662" i="338" s="1"/>
  <c r="BZ659" i="338"/>
  <c r="BZ657" i="338" s="1"/>
  <c r="BZ656" i="338" s="1"/>
  <c r="BZ671" i="338"/>
  <c r="BZ669" i="338" s="1"/>
  <c r="BZ668" i="338" s="1"/>
  <c r="BZ629" i="338"/>
  <c r="BZ627" i="338" s="1"/>
  <c r="BI629" i="338"/>
  <c r="BI627" i="338" s="1"/>
  <c r="BI665" i="338"/>
  <c r="BI663" i="338" s="1"/>
  <c r="BI662" i="338" s="1"/>
  <c r="BI635" i="338"/>
  <c r="BI633" i="338" s="1"/>
  <c r="BI659" i="338"/>
  <c r="BI657" i="338" s="1"/>
  <c r="BI671" i="338"/>
  <c r="BI669" i="338" s="1"/>
  <c r="CM671" i="338"/>
  <c r="CM629" i="338"/>
  <c r="CM627" i="338" s="1"/>
  <c r="CM626" i="338" s="1"/>
  <c r="CM659" i="338"/>
  <c r="CM657" i="338" s="1"/>
  <c r="CM635" i="338"/>
  <c r="CM633" i="338" s="1"/>
  <c r="CM665" i="338"/>
  <c r="CM663" i="338" s="1"/>
  <c r="CM662" i="338" s="1"/>
  <c r="CF656" i="338"/>
  <c r="BT635" i="338"/>
  <c r="BT633" i="338" s="1"/>
  <c r="BT632" i="338" s="1"/>
  <c r="BT665" i="338"/>
  <c r="BT663" i="338" s="1"/>
  <c r="BT662" i="338" s="1"/>
  <c r="BT671" i="338"/>
  <c r="BT669" i="338" s="1"/>
  <c r="BT668" i="338" s="1"/>
  <c r="DD597" i="338"/>
  <c r="DJ597" i="338"/>
  <c r="DD666" i="338"/>
  <c r="DD676" i="338" s="1"/>
  <c r="DJ666" i="338"/>
  <c r="CF672" i="338"/>
  <c r="CF668" i="338" s="1"/>
  <c r="CL672" i="338"/>
  <c r="CL668" i="338" s="1"/>
  <c r="EA635" i="338"/>
  <c r="EA633" i="338" s="1"/>
  <c r="EA665" i="338"/>
  <c r="EA663" i="338" s="1"/>
  <c r="EA662" i="338" s="1"/>
  <c r="EA671" i="338"/>
  <c r="EA669" i="338" s="1"/>
  <c r="EA668" i="338" s="1"/>
  <c r="EA659" i="338"/>
  <c r="EA657" i="338" s="1"/>
  <c r="EA656" i="338" s="1"/>
  <c r="EA653" i="338"/>
  <c r="EA651" i="338" s="1"/>
  <c r="EA650" i="338" s="1"/>
  <c r="EA629" i="338"/>
  <c r="EA627" i="338" s="1"/>
  <c r="EA641" i="338"/>
  <c r="EA639" i="338" s="1"/>
  <c r="EA647" i="338"/>
  <c r="EA645" i="338" s="1"/>
  <c r="DP672" i="338"/>
  <c r="DP676" i="338" s="1"/>
  <c r="DP684" i="338" s="1"/>
  <c r="DP689" i="338" s="1"/>
  <c r="DJ603" i="338"/>
  <c r="DJ672" i="338"/>
  <c r="DJ668" i="338" s="1"/>
  <c r="DP671" i="338"/>
  <c r="DP669" i="338" s="1"/>
  <c r="DP668" i="338" s="1"/>
  <c r="CX632" i="338"/>
  <c r="DP621" i="338"/>
  <c r="DP622" i="338" s="1"/>
  <c r="DP623" i="338" s="1"/>
  <c r="DV642" i="338"/>
  <c r="EB642" i="338"/>
  <c r="EB572" i="338"/>
  <c r="DV572" i="338"/>
  <c r="DY653" i="338"/>
  <c r="DY651" i="338" s="1"/>
  <c r="DY654" i="338"/>
  <c r="CE635" i="338"/>
  <c r="CE633" i="338" s="1"/>
  <c r="CE632" i="338" s="1"/>
  <c r="CE659" i="338"/>
  <c r="CE657" i="338" s="1"/>
  <c r="CE656" i="338" s="1"/>
  <c r="CE629" i="338"/>
  <c r="CE627" i="338" s="1"/>
  <c r="CE665" i="338"/>
  <c r="CE663" i="338" s="1"/>
  <c r="CE662" i="338" s="1"/>
  <c r="CE671" i="338"/>
  <c r="CE669" i="338" s="1"/>
  <c r="CC621" i="338"/>
  <c r="CC622" i="338" s="1"/>
  <c r="CC623" i="338" s="1"/>
  <c r="CU681" i="338"/>
  <c r="CO681" i="338"/>
  <c r="DA570" i="338"/>
  <c r="DM572" i="338"/>
  <c r="EA565" i="338"/>
  <c r="EA636" i="338"/>
  <c r="EA676" i="338" s="1"/>
  <c r="DU636" i="338"/>
  <c r="DU676" i="338" s="1"/>
  <c r="DB636" i="338"/>
  <c r="DH636" i="338"/>
  <c r="DH632" i="338" s="1"/>
  <c r="EF636" i="338"/>
  <c r="EF565" i="338"/>
  <c r="DB632" i="338"/>
  <c r="DK660" i="338"/>
  <c r="DK656" i="338" s="1"/>
  <c r="DU584" i="338"/>
  <c r="EA578" i="338"/>
  <c r="DU578" i="338"/>
  <c r="EA648" i="338"/>
  <c r="EA679" i="338" s="1"/>
  <c r="DU648" i="338"/>
  <c r="EA584" i="338"/>
  <c r="CK636" i="338"/>
  <c r="CE630" i="338"/>
  <c r="EE648" i="338"/>
  <c r="EE578" i="338"/>
  <c r="EE584" i="338"/>
  <c r="DQ656" i="338"/>
  <c r="BO666" i="338"/>
  <c r="BO662" i="338" s="1"/>
  <c r="BU666" i="338"/>
  <c r="BU662" i="338" s="1"/>
  <c r="DG660" i="338"/>
  <c r="DG656" i="338" s="1"/>
  <c r="DO578" i="338"/>
  <c r="DO648" i="338"/>
  <c r="DO679" i="338" s="1"/>
  <c r="DT565" i="338"/>
  <c r="DN565" i="338"/>
  <c r="DN636" i="338"/>
  <c r="DN676" i="338" s="1"/>
  <c r="DT636" i="338"/>
  <c r="DT676" i="338" s="1"/>
  <c r="DT684" i="338" s="1"/>
  <c r="DT689" i="338" s="1"/>
  <c r="CU636" i="338"/>
  <c r="CJ636" i="338"/>
  <c r="CJ632" i="338" s="1"/>
  <c r="CP636" i="338"/>
  <c r="CP632" i="338" s="1"/>
  <c r="CP565" i="338"/>
  <c r="DZ565" i="338"/>
  <c r="DZ636" i="338"/>
  <c r="DZ676" i="338" s="1"/>
  <c r="DZ674" i="338" s="1"/>
  <c r="DB621" i="338"/>
  <c r="DB622" i="338" s="1"/>
  <c r="DB623" i="338" s="1"/>
  <c r="CL665" i="338"/>
  <c r="CL663" i="338" s="1"/>
  <c r="CL662" i="338" s="1"/>
  <c r="DW659" i="338"/>
  <c r="DW657" i="338" s="1"/>
  <c r="DW656" i="338" s="1"/>
  <c r="CR565" i="338"/>
  <c r="EN642" i="338"/>
  <c r="DO672" i="338"/>
  <c r="DO676" i="338" s="1"/>
  <c r="DO684" i="338" s="1"/>
  <c r="DO689" i="338" s="1"/>
  <c r="DI672" i="338"/>
  <c r="DI676" i="338" s="1"/>
  <c r="DI684" i="338" s="1"/>
  <c r="BI672" i="338"/>
  <c r="BI676" i="338" s="1"/>
  <c r="BO672" i="338"/>
  <c r="BO668" i="338" s="1"/>
  <c r="BX660" i="338"/>
  <c r="BX676" i="338" s="1"/>
  <c r="CD660" i="338"/>
  <c r="CD656" i="338" s="1"/>
  <c r="DB576" i="338"/>
  <c r="DN648" i="338"/>
  <c r="DN644" i="338" s="1"/>
  <c r="DQ636" i="338"/>
  <c r="DQ632" i="338" s="1"/>
  <c r="CW636" i="338"/>
  <c r="CI636" i="338"/>
  <c r="CI632" i="338" s="1"/>
  <c r="EQ565" i="338"/>
  <c r="EQ636" i="338"/>
  <c r="ER572" i="338"/>
  <c r="ER642" i="338"/>
  <c r="ES584" i="338"/>
  <c r="ES578" i="338"/>
  <c r="ES648" i="338"/>
  <c r="BS664" i="338"/>
  <c r="BS663" i="338" s="1"/>
  <c r="CS672" i="338"/>
  <c r="CS668" i="338" s="1"/>
  <c r="BL672" i="338"/>
  <c r="BL676" i="338" s="1"/>
  <c r="BL684" i="338" s="1"/>
  <c r="CK666" i="338"/>
  <c r="CK662" i="338" s="1"/>
  <c r="CA660" i="338"/>
  <c r="DO572" i="338"/>
  <c r="EK565" i="338"/>
  <c r="EU659" i="338"/>
  <c r="EU657" i="338" s="1"/>
  <c r="CW635" i="338"/>
  <c r="CW633" i="338" s="1"/>
  <c r="CK672" i="338"/>
  <c r="CK668" i="338" s="1"/>
  <c r="CG672" i="338"/>
  <c r="CG668" i="338" s="1"/>
  <c r="CC672" i="338"/>
  <c r="CC676" i="338" s="1"/>
  <c r="CC674" i="338" s="1"/>
  <c r="CG666" i="338"/>
  <c r="CY660" i="338"/>
  <c r="CY676" i="338" s="1"/>
  <c r="CY674" i="338" s="1"/>
  <c r="DQ648" i="338"/>
  <c r="DQ679" i="338" s="1"/>
  <c r="DK642" i="338"/>
  <c r="DK638" i="338" s="1"/>
  <c r="DM636" i="338"/>
  <c r="DM632" i="338" s="1"/>
  <c r="DH565" i="338"/>
  <c r="DA636" i="338"/>
  <c r="DA676" i="338" s="1"/>
  <c r="DA684" i="338" s="1"/>
  <c r="DA689" i="338" s="1"/>
  <c r="CS636" i="338"/>
  <c r="EI642" i="338"/>
  <c r="EI638" i="338" s="1"/>
  <c r="EM581" i="338"/>
  <c r="EM582" i="338" s="1"/>
  <c r="EQ666" i="338"/>
  <c r="DM641" i="338"/>
  <c r="DM639" i="338" s="1"/>
  <c r="CK635" i="338"/>
  <c r="CK633" i="338" s="1"/>
  <c r="CI658" i="338"/>
  <c r="CI657" i="338" s="1"/>
  <c r="BU634" i="338"/>
  <c r="BU633" i="338" s="1"/>
  <c r="DE672" i="338"/>
  <c r="DE676" i="338" s="1"/>
  <c r="BR672" i="338"/>
  <c r="BR668" i="338" s="1"/>
  <c r="BK672" i="338"/>
  <c r="BK676" i="338" s="1"/>
  <c r="BK684" i="338" s="1"/>
  <c r="CJ666" i="338"/>
  <c r="CJ662" i="338" s="1"/>
  <c r="BR660" i="338"/>
  <c r="DW648" i="338"/>
  <c r="DW679" i="338" s="1"/>
  <c r="DK630" i="338"/>
  <c r="DK626" i="338" s="1"/>
  <c r="EQ581" i="338"/>
  <c r="EQ582" i="338" s="1"/>
  <c r="AC394" i="338"/>
  <c r="DM13" i="338"/>
  <c r="DJ12" i="338"/>
  <c r="DJ17" i="338" s="1"/>
  <c r="DJ18" i="338" s="1"/>
  <c r="DO395" i="338"/>
  <c r="CP395" i="338"/>
  <c r="DT395" i="338"/>
  <c r="BY395" i="338"/>
  <c r="CC395" i="338"/>
  <c r="AG12" i="338"/>
  <c r="DQ39" i="338"/>
  <c r="DQ53" i="338"/>
  <c r="DV39" i="338"/>
  <c r="DV53" i="338"/>
  <c r="BX104" i="11"/>
  <c r="CD108" i="11" s="1"/>
  <c r="BX40" i="338"/>
  <c r="BX123" i="11"/>
  <c r="BX54" i="338" s="1"/>
  <c r="CJ40" i="338"/>
  <c r="CP39" i="338" s="1"/>
  <c r="CP123" i="11"/>
  <c r="CP54" i="338" s="1"/>
  <c r="CJ123" i="11"/>
  <c r="CJ54" i="338" s="1"/>
  <c r="DP39" i="338"/>
  <c r="DP53" i="338"/>
  <c r="BI395" i="338"/>
  <c r="CD8" i="338"/>
  <c r="CC123" i="11"/>
  <c r="CC54" i="338" s="1"/>
  <c r="CI40" i="338"/>
  <c r="X14" i="11"/>
  <c r="DG105" i="11"/>
  <c r="CI127" i="11"/>
  <c r="DI123" i="11"/>
  <c r="DI127" i="11" s="1"/>
  <c r="CI8" i="338"/>
  <c r="R37" i="11"/>
  <c r="DP124" i="11"/>
  <c r="DP128" i="11" s="1"/>
  <c r="R38" i="11"/>
  <c r="DO57" i="338"/>
  <c r="M394" i="338"/>
  <c r="BW40" i="338"/>
  <c r="CC39" i="338" s="1"/>
  <c r="X113" i="338"/>
  <c r="FG766" i="338"/>
  <c r="EZ73" i="335"/>
  <c r="EZ46" i="11" s="1"/>
  <c r="FF48" i="11"/>
  <c r="FE76" i="335"/>
  <c r="FE48" i="11"/>
  <c r="FK76" i="335"/>
  <c r="FD77" i="335"/>
  <c r="FA138" i="335"/>
  <c r="FA728" i="338" s="1"/>
  <c r="FA729" i="338" s="1"/>
  <c r="FC138" i="335"/>
  <c r="EU387" i="335"/>
  <c r="FA75" i="335"/>
  <c r="EC678" i="338"/>
  <c r="EC687" i="338" s="1"/>
  <c r="EB632" i="338"/>
  <c r="EB675" i="338"/>
  <c r="DT225" i="338"/>
  <c r="DT230" i="338"/>
  <c r="EY221" i="338"/>
  <c r="EW260" i="338"/>
  <c r="EY272" i="338"/>
  <c r="EX266" i="338"/>
  <c r="EX46" i="11"/>
  <c r="EX55" i="11" s="1"/>
  <c r="DU313" i="338"/>
  <c r="DW313" i="338" s="1"/>
  <c r="FG75" i="335"/>
  <c r="FG48" i="11" s="1"/>
  <c r="FF77" i="335"/>
  <c r="FD76" i="335"/>
  <c r="GA75" i="335"/>
  <c r="FC48" i="11"/>
  <c r="EZ76" i="335"/>
  <c r="EU732" i="338"/>
  <c r="EX390" i="335"/>
  <c r="EX300" i="338"/>
  <c r="EX301" i="338" s="1"/>
  <c r="EY319" i="338"/>
  <c r="EO314" i="338"/>
  <c r="EO289" i="338"/>
  <c r="EO387" i="335"/>
  <c r="EX387" i="335"/>
  <c r="EN170" i="335"/>
  <c r="DV687" i="338"/>
  <c r="DV683" i="338"/>
  <c r="DV688" i="338" s="1"/>
  <c r="FC217" i="338"/>
  <c r="DO143" i="335"/>
  <c r="DU92" i="335"/>
  <c r="DO347" i="335"/>
  <c r="DO49" i="11"/>
  <c r="DO342" i="335"/>
  <c r="DO431" i="338"/>
  <c r="DO154" i="335"/>
  <c r="DO329" i="335"/>
  <c r="EC675" i="338"/>
  <c r="DO225" i="338"/>
  <c r="ER283" i="338"/>
  <c r="DV278" i="338"/>
  <c r="EI388" i="338"/>
  <c r="EI46" i="11"/>
  <c r="ER316" i="338"/>
  <c r="ER317" i="338" s="1"/>
  <c r="CF626" i="338"/>
  <c r="CF675" i="338"/>
  <c r="CL626" i="338"/>
  <c r="CL675" i="338"/>
  <c r="BW675" i="338"/>
  <c r="DS638" i="338"/>
  <c r="DS678" i="338"/>
  <c r="DS687" i="338" s="1"/>
  <c r="DN638" i="338"/>
  <c r="DN678" i="338"/>
  <c r="DN687" i="338" s="1"/>
  <c r="DN675" i="338"/>
  <c r="DN632" i="338"/>
  <c r="CO688" i="338"/>
  <c r="CP784" i="338"/>
  <c r="DT638" i="338"/>
  <c r="DT678" i="338"/>
  <c r="DT687" i="338" s="1"/>
  <c r="DT626" i="338"/>
  <c r="DT675" i="338"/>
  <c r="DO102" i="336"/>
  <c r="DO385" i="335" s="1"/>
  <c r="DO337" i="335"/>
  <c r="DO157" i="335"/>
  <c r="DU290" i="335"/>
  <c r="DO313" i="338"/>
  <c r="DO290" i="335"/>
  <c r="DO346" i="335"/>
  <c r="DO339" i="335"/>
  <c r="DO92" i="335"/>
  <c r="DO330" i="335"/>
  <c r="DO345" i="335"/>
  <c r="EB189" i="335"/>
  <c r="ER219" i="338"/>
  <c r="EM217" i="338"/>
  <c r="DI225" i="338"/>
  <c r="DP277" i="338"/>
  <c r="DE388" i="335"/>
  <c r="BL626" i="338"/>
  <c r="BL675" i="338"/>
  <c r="CV626" i="338"/>
  <c r="CV675" i="338"/>
  <c r="DW626" i="338"/>
  <c r="DW675" i="338"/>
  <c r="DO338" i="335"/>
  <c r="DO15" i="11"/>
  <c r="DO151" i="335"/>
  <c r="DO99" i="335"/>
  <c r="DO331" i="335"/>
  <c r="DO325" i="338"/>
  <c r="DO328" i="335"/>
  <c r="DO334" i="335"/>
  <c r="DO194" i="335"/>
  <c r="FU194" i="335" s="1"/>
  <c r="DO341" i="335"/>
  <c r="DJ683" i="338"/>
  <c r="ER54" i="11"/>
  <c r="EC338" i="335"/>
  <c r="DO311" i="335"/>
  <c r="EK45" i="11"/>
  <c r="EK54" i="11" s="1"/>
  <c r="DA626" i="338"/>
  <c r="DS173" i="335"/>
  <c r="DS174" i="335" s="1"/>
  <c r="EG678" i="338"/>
  <c r="EG687" i="338" s="1"/>
  <c r="EG650" i="338"/>
  <c r="CG632" i="338"/>
  <c r="CG675" i="338"/>
  <c r="CG656" i="338"/>
  <c r="DS675" i="338"/>
  <c r="DS626" i="338"/>
  <c r="BT626" i="338"/>
  <c r="BT675" i="338"/>
  <c r="BN675" i="338"/>
  <c r="BN626" i="338"/>
  <c r="CY688" i="338"/>
  <c r="DP644" i="338"/>
  <c r="DP678" i="338"/>
  <c r="DP687" i="338" s="1"/>
  <c r="EC272" i="338"/>
  <c r="DO333" i="338"/>
  <c r="CR277" i="338"/>
  <c r="CS278" i="338"/>
  <c r="BI749" i="338"/>
  <c r="BI748" i="338"/>
  <c r="BU748" i="338"/>
  <c r="BU749" i="338"/>
  <c r="EB36" i="338"/>
  <c r="EB337" i="338"/>
  <c r="BO632" i="338"/>
  <c r="DP635" i="338"/>
  <c r="DP633" i="338" s="1"/>
  <c r="DP632" i="338" s="1"/>
  <c r="DP659" i="338"/>
  <c r="DP657" i="338" s="1"/>
  <c r="DP656" i="338" s="1"/>
  <c r="DP629" i="338"/>
  <c r="DP627" i="338" s="1"/>
  <c r="CY656" i="338"/>
  <c r="BO775" i="338"/>
  <c r="DS37" i="338"/>
  <c r="DC681" i="338"/>
  <c r="AM163" i="338"/>
  <c r="AM164" i="338" s="1"/>
  <c r="K394" i="338"/>
  <c r="CU659" i="338"/>
  <c r="CU657" i="338" s="1"/>
  <c r="CU656" i="338" s="1"/>
  <c r="CU635" i="338"/>
  <c r="DQ663" i="338"/>
  <c r="CS663" i="338"/>
  <c r="CM669" i="338"/>
  <c r="CW672" i="338"/>
  <c r="CW676" i="338" s="1"/>
  <c r="DC672" i="338"/>
  <c r="DC676" i="338" s="1"/>
  <c r="DC674" i="338" s="1"/>
  <c r="CO672" i="338"/>
  <c r="CJ672" i="338"/>
  <c r="CJ676" i="338" s="1"/>
  <c r="CW681" i="338"/>
  <c r="CW684" i="338" s="1"/>
  <c r="CW689" i="338" s="1"/>
  <c r="L113" i="338"/>
  <c r="DH672" i="338"/>
  <c r="DH676" i="338" s="1"/>
  <c r="DB672" i="338"/>
  <c r="DB676" i="338" s="1"/>
  <c r="DH671" i="338"/>
  <c r="DH669" i="338" s="1"/>
  <c r="BU672" i="338"/>
  <c r="BU676" i="338" s="1"/>
  <c r="CA672" i="338"/>
  <c r="CA668" i="338" s="1"/>
  <c r="BM27" i="11"/>
  <c r="BR395" i="338"/>
  <c r="BE395" i="338"/>
  <c r="CU672" i="338"/>
  <c r="CU676" i="338" s="1"/>
  <c r="EF647" i="338"/>
  <c r="EF671" i="338"/>
  <c r="BU288" i="338"/>
  <c r="CA288" i="338"/>
  <c r="BU299" i="338"/>
  <c r="CU633" i="338"/>
  <c r="CE672" i="338"/>
  <c r="CE676" i="338" s="1"/>
  <c r="CE684" i="338" s="1"/>
  <c r="CI666" i="338"/>
  <c r="CI676" i="338" s="1"/>
  <c r="CI684" i="338" s="1"/>
  <c r="CA666" i="338"/>
  <c r="CA676" i="338" s="1"/>
  <c r="DK636" i="338"/>
  <c r="CO477" i="338"/>
  <c r="BZ481" i="338"/>
  <c r="AW299" i="338"/>
  <c r="CA749" i="338"/>
  <c r="CY576" i="338"/>
  <c r="DE647" i="338" s="1"/>
  <c r="DE645" i="338" s="1"/>
  <c r="EI749" i="338"/>
  <c r="CD666" i="338"/>
  <c r="CD676" i="338" s="1"/>
  <c r="DK648" i="338"/>
  <c r="DK679" i="338" s="1"/>
  <c r="DG636" i="338"/>
  <c r="BQ636" i="338"/>
  <c r="BQ676" i="338" s="1"/>
  <c r="CP630" i="338"/>
  <c r="CP676" i="338" s="1"/>
  <c r="BX255" i="338"/>
  <c r="CD681" i="338"/>
  <c r="BG255" i="338"/>
  <c r="DY646" i="338"/>
  <c r="DY645" i="338" s="1"/>
  <c r="BW660" i="338"/>
  <c r="BW656" i="338" s="1"/>
  <c r="BW630" i="338"/>
  <c r="CL218" i="338"/>
  <c r="CF218" i="338"/>
  <c r="BX283" i="338"/>
  <c r="BR387" i="335"/>
  <c r="CD218" i="338"/>
  <c r="EU635" i="338"/>
  <c r="EO636" i="338"/>
  <c r="EO632" i="338" s="1"/>
  <c r="EW636" i="338"/>
  <c r="ET582" i="338"/>
  <c r="ET654" i="338" s="1"/>
  <c r="ET679" i="338" s="1"/>
  <c r="EU581" i="338"/>
  <c r="EU582" i="338" s="1"/>
  <c r="EU654" i="338" s="1"/>
  <c r="EU650" i="338" s="1"/>
  <c r="EU660" i="338"/>
  <c r="EU656" i="338" s="1"/>
  <c r="CM197" i="338"/>
  <c r="ES660" i="338"/>
  <c r="EQ660" i="338"/>
  <c r="FI255" i="338"/>
  <c r="FI75" i="335"/>
  <c r="GB75" i="335" s="1"/>
  <c r="FJ255" i="338"/>
  <c r="FM253" i="338"/>
  <c r="ES654" i="338"/>
  <c r="EW660" i="338"/>
  <c r="FK48" i="11"/>
  <c r="FK77" i="335"/>
  <c r="FL77" i="335"/>
  <c r="ES642" i="338"/>
  <c r="ES572" i="338"/>
  <c r="EN587" i="338"/>
  <c r="EN588" i="338" s="1"/>
  <c r="ET660" i="338" s="1"/>
  <c r="ES565" i="338"/>
  <c r="ES636" i="338"/>
  <c r="EU32" i="338"/>
  <c r="DW197" i="338"/>
  <c r="DW198" i="338" s="1"/>
  <c r="EC199" i="338" s="1"/>
  <c r="CI180" i="338"/>
  <c r="CM180" i="338" s="1"/>
  <c r="DW180" i="338"/>
  <c r="DW181" i="338" s="1"/>
  <c r="EC182" i="338" s="1"/>
  <c r="EU105" i="3"/>
  <c r="ES148" i="336"/>
  <c r="ES163" i="335"/>
  <c r="ES160" i="335" s="1"/>
  <c r="FZ160" i="335" s="1"/>
  <c r="EU41" i="3"/>
  <c r="EM373" i="335"/>
  <c r="EQ373" i="335"/>
  <c r="EM77" i="3"/>
  <c r="EN373" i="335"/>
  <c r="EO373" i="335" s="1"/>
  <c r="ES77" i="3"/>
  <c r="EM383" i="335"/>
  <c r="EM397" i="335" s="1"/>
  <c r="EM398" i="335" s="1"/>
  <c r="ER112" i="3"/>
  <c r="EM112" i="3"/>
  <c r="EM95" i="3"/>
  <c r="EN112" i="3"/>
  <c r="EO91" i="3"/>
  <c r="ER163" i="335"/>
  <c r="ER148" i="336"/>
  <c r="EO416" i="338"/>
  <c r="EO400" i="338"/>
  <c r="EZ29" i="3"/>
  <c r="EW105" i="3"/>
  <c r="EY112" i="3" s="1"/>
  <c r="EX373" i="335"/>
  <c r="EW383" i="335"/>
  <c r="EW397" i="335" s="1"/>
  <c r="EW373" i="335"/>
  <c r="EM109" i="3"/>
  <c r="EM110" i="3" s="1"/>
  <c r="EM108" i="3"/>
  <c r="EX187" i="336"/>
  <c r="EX198" i="336"/>
  <c r="ES45" i="3"/>
  <c r="EQ112" i="3"/>
  <c r="EU85" i="3"/>
  <c r="DA14" i="11"/>
  <c r="DA38" i="11"/>
  <c r="DA39" i="11" s="1"/>
  <c r="DA27" i="11"/>
  <c r="DA33" i="11" s="1"/>
  <c r="DA67" i="11" s="1"/>
  <c r="AP16" i="3"/>
  <c r="AP76" i="3"/>
  <c r="AQ67" i="3"/>
  <c r="AQ95" i="3"/>
  <c r="EW144" i="336"/>
  <c r="EO144" i="336"/>
  <c r="EO145" i="336" s="1"/>
  <c r="EO383" i="335"/>
  <c r="EO63" i="3"/>
  <c r="AV9" i="3"/>
  <c r="AW60" i="3"/>
  <c r="AK29" i="3"/>
  <c r="DE109" i="3"/>
  <c r="DE106" i="3"/>
  <c r="DE108" i="3"/>
  <c r="DG11" i="335"/>
  <c r="DK11" i="335" s="1"/>
  <c r="DG25" i="11"/>
  <c r="DG31" i="11" s="1"/>
  <c r="DK13" i="11"/>
  <c r="DG357" i="335"/>
  <c r="DG38" i="11"/>
  <c r="DM25" i="11"/>
  <c r="DM31" i="11" s="1"/>
  <c r="EG398" i="335"/>
  <c r="EH398" i="335"/>
  <c r="DU398" i="335"/>
  <c r="BW106" i="3"/>
  <c r="CC106" i="3"/>
  <c r="BW109" i="3"/>
  <c r="X82" i="3"/>
  <c r="Y82" i="3" s="1"/>
  <c r="W85" i="3"/>
  <c r="W30" i="3"/>
  <c r="W33" i="3" s="1"/>
  <c r="EF112" i="3"/>
  <c r="EE108" i="3"/>
  <c r="EE109" i="3"/>
  <c r="EE106" i="3"/>
  <c r="EG112" i="3"/>
  <c r="EK106" i="3"/>
  <c r="EI112" i="3"/>
  <c r="AW70" i="3"/>
  <c r="AV19" i="3"/>
  <c r="AW19" i="3" s="1"/>
  <c r="AW63" i="3"/>
  <c r="AW384" i="335" s="1"/>
  <c r="AH106" i="3"/>
  <c r="AJ32" i="3"/>
  <c r="AK32" i="3" s="1"/>
  <c r="AJ85" i="3"/>
  <c r="AK85" i="3" s="1"/>
  <c r="EA328" i="338"/>
  <c r="DW327" i="338"/>
  <c r="EC328" i="338" s="1"/>
  <c r="CX160" i="338"/>
  <c r="CX328" i="338"/>
  <c r="BI73" i="3"/>
  <c r="BH22" i="3"/>
  <c r="BI22" i="3" s="1"/>
  <c r="AV23" i="3"/>
  <c r="AW23" i="3" s="1"/>
  <c r="AW74" i="3"/>
  <c r="AP36" i="3"/>
  <c r="AO41" i="3"/>
  <c r="AV113" i="338"/>
  <c r="BB113" i="338"/>
  <c r="AT142" i="336"/>
  <c r="AU12" i="3"/>
  <c r="Y92" i="3"/>
  <c r="X95" i="3"/>
  <c r="X38" i="3"/>
  <c r="AJ14" i="3"/>
  <c r="AJ147" i="336"/>
  <c r="BR383" i="335"/>
  <c r="BR105" i="3"/>
  <c r="BR87" i="3"/>
  <c r="BU87" i="3" s="1"/>
  <c r="BW373" i="335"/>
  <c r="BT373" i="335"/>
  <c r="BU373" i="335" s="1"/>
  <c r="BG95" i="3"/>
  <c r="BH92" i="3"/>
  <c r="BI92" i="3" s="1"/>
  <c r="AD67" i="3"/>
  <c r="AC16" i="3"/>
  <c r="AC25" i="3" s="1"/>
  <c r="AC51" i="3" s="1"/>
  <c r="AC76" i="3"/>
  <c r="DG12" i="11"/>
  <c r="DG14" i="11"/>
  <c r="DG27" i="11"/>
  <c r="AC41" i="3"/>
  <c r="AD36" i="3"/>
  <c r="EC118" i="336"/>
  <c r="EC395" i="338" s="1"/>
  <c r="EB395" i="338"/>
  <c r="DT57" i="338"/>
  <c r="DT95" i="338"/>
  <c r="DT38" i="11"/>
  <c r="DT37" i="11"/>
  <c r="AJ36" i="3"/>
  <c r="AK90" i="3"/>
  <c r="DW383" i="335"/>
  <c r="DW397" i="335" s="1"/>
  <c r="DW385" i="338" s="1"/>
  <c r="DV397" i="335"/>
  <c r="DY398" i="335" s="1"/>
  <c r="BK51" i="3"/>
  <c r="BK45" i="3"/>
  <c r="X29" i="3"/>
  <c r="G106" i="3"/>
  <c r="AD32" i="3"/>
  <c r="AE32" i="3" s="1"/>
  <c r="AC33" i="3"/>
  <c r="CP328" i="338"/>
  <c r="CP14" i="11"/>
  <c r="CV27" i="11"/>
  <c r="CV33" i="11" s="1"/>
  <c r="CV67" i="11" s="1"/>
  <c r="CP37" i="11"/>
  <c r="CG383" i="335"/>
  <c r="CG397" i="335" s="1"/>
  <c r="CG385" i="338" s="1"/>
  <c r="CC397" i="335"/>
  <c r="CF398" i="335" s="1"/>
  <c r="AQ92" i="3"/>
  <c r="AP38" i="3"/>
  <c r="AQ38" i="3" s="1"/>
  <c r="EA106" i="3"/>
  <c r="DU108" i="3"/>
  <c r="DV112" i="3"/>
  <c r="DY112" i="3"/>
  <c r="DU109" i="3"/>
  <c r="CX109" i="3"/>
  <c r="CX110" i="3" s="1"/>
  <c r="CX108" i="3"/>
  <c r="DC108" i="3"/>
  <c r="DI106" i="3"/>
  <c r="X12" i="3"/>
  <c r="ES99" i="3"/>
  <c r="ES105" i="3"/>
  <c r="EY106" i="3" s="1"/>
  <c r="DD49" i="3"/>
  <c r="DE49" i="3" s="1"/>
  <c r="DG47" i="3" s="1"/>
  <c r="DH47" i="3" s="1"/>
  <c r="DE45" i="3"/>
  <c r="CJ113" i="338"/>
  <c r="DO397" i="335"/>
  <c r="DP398" i="335" s="1"/>
  <c r="DQ383" i="335"/>
  <c r="DQ397" i="335" s="1"/>
  <c r="R31" i="3"/>
  <c r="S31" i="3" s="1"/>
  <c r="R144" i="336"/>
  <c r="R145" i="336" s="1"/>
  <c r="S83" i="3"/>
  <c r="R85" i="3"/>
  <c r="R382" i="335"/>
  <c r="DQ186" i="336"/>
  <c r="DQ187" i="336" s="1"/>
  <c r="DM174" i="336"/>
  <c r="DQ174" i="336" s="1"/>
  <c r="AI17" i="338"/>
  <c r="AI18" i="338" s="1"/>
  <c r="AC12" i="338"/>
  <c r="AZ37" i="11"/>
  <c r="AZ27" i="11"/>
  <c r="AZ38" i="11"/>
  <c r="BF27" i="11"/>
  <c r="BB14" i="11"/>
  <c r="BH27" i="11"/>
  <c r="BB37" i="11"/>
  <c r="AM37" i="11"/>
  <c r="AM14" i="11"/>
  <c r="AM38" i="11"/>
  <c r="AM27" i="11"/>
  <c r="AI14" i="11"/>
  <c r="AI37" i="11"/>
  <c r="AO27" i="11"/>
  <c r="AD31" i="3"/>
  <c r="AD144" i="336"/>
  <c r="AE83" i="3"/>
  <c r="AE382" i="335" s="1"/>
  <c r="EF123" i="11"/>
  <c r="EF127" i="11" s="1"/>
  <c r="EF104" i="11"/>
  <c r="P47" i="3"/>
  <c r="O49" i="3"/>
  <c r="AV29" i="3"/>
  <c r="AW81" i="3"/>
  <c r="EB109" i="3"/>
  <c r="EB110" i="3" s="1"/>
  <c r="EB108" i="3"/>
  <c r="AE75" i="3"/>
  <c r="AD24" i="3"/>
  <c r="AE24" i="3" s="1"/>
  <c r="DK8" i="338"/>
  <c r="ET373" i="335"/>
  <c r="EU373" i="335" s="1"/>
  <c r="ET105" i="3"/>
  <c r="ET383" i="335"/>
  <c r="ET87" i="3"/>
  <c r="EU87" i="3" s="1"/>
  <c r="ET77" i="3"/>
  <c r="CI328" i="338"/>
  <c r="EB328" i="338"/>
  <c r="EL123" i="11"/>
  <c r="M395" i="338"/>
  <c r="DZ57" i="338"/>
  <c r="M163" i="338"/>
  <c r="L106" i="3"/>
  <c r="K106" i="3"/>
  <c r="AD21" i="3"/>
  <c r="AE21" i="3" s="1"/>
  <c r="AE72" i="3"/>
  <c r="AS113" i="338"/>
  <c r="CJ328" i="338"/>
  <c r="R23" i="3"/>
  <c r="Y90" i="3"/>
  <c r="X73" i="3"/>
  <c r="X22" i="3" s="1"/>
  <c r="Y22" i="3" s="1"/>
  <c r="EC90" i="3"/>
  <c r="DZ185" i="336"/>
  <c r="I99" i="3"/>
  <c r="I103" i="3" s="1"/>
  <c r="I105" i="3" s="1"/>
  <c r="I106" i="3" s="1"/>
  <c r="I87" i="3"/>
  <c r="BM384" i="335"/>
  <c r="BN63" i="3"/>
  <c r="V76" i="3"/>
  <c r="V16" i="3"/>
  <c r="V25" i="3" s="1"/>
  <c r="V51" i="3" s="1"/>
  <c r="W67" i="3"/>
  <c r="BO94" i="3"/>
  <c r="R29" i="3"/>
  <c r="BZ25" i="3"/>
  <c r="CA13" i="3"/>
  <c r="BM31" i="3"/>
  <c r="BN74" i="3"/>
  <c r="BN23" i="3" s="1"/>
  <c r="BO23" i="3" s="1"/>
  <c r="EI417" i="338"/>
  <c r="CS66" i="3"/>
  <c r="DZ76" i="3"/>
  <c r="AS105" i="3"/>
  <c r="AS87" i="3"/>
  <c r="AS383" i="335"/>
  <c r="AM383" i="335"/>
  <c r="AM105" i="3"/>
  <c r="BM95" i="3"/>
  <c r="BB63" i="3"/>
  <c r="BA384" i="335"/>
  <c r="EA45" i="3"/>
  <c r="EA51" i="3"/>
  <c r="AO19" i="3"/>
  <c r="AP19" i="3" s="1"/>
  <c r="AQ19" i="3" s="1"/>
  <c r="AQ417" i="338" s="1"/>
  <c r="S74" i="3"/>
  <c r="EC80" i="3"/>
  <c r="EC85" i="3" s="1"/>
  <c r="EC99" i="3" s="1"/>
  <c r="AN32" i="3"/>
  <c r="AN33" i="3" s="1"/>
  <c r="AN45" i="3" s="1"/>
  <c r="AO84" i="3"/>
  <c r="AI70" i="3"/>
  <c r="AT36" i="3"/>
  <c r="AT41" i="3" s="1"/>
  <c r="AT45" i="3" s="1"/>
  <c r="AU90" i="3"/>
  <c r="CJ144" i="336"/>
  <c r="BX142" i="336"/>
  <c r="CA142" i="336" s="1"/>
  <c r="AI92" i="3"/>
  <c r="FM80" i="3"/>
  <c r="FK97" i="3"/>
  <c r="FL43" i="3"/>
  <c r="EX109" i="3"/>
  <c r="EX108" i="3"/>
  <c r="EX106" i="3"/>
  <c r="X72" i="3"/>
  <c r="X21" i="3" s="1"/>
  <c r="Y21" i="3" s="1"/>
  <c r="BH75" i="3"/>
  <c r="BH24" i="3" s="1"/>
  <c r="BI24" i="3" s="1"/>
  <c r="FL32" i="3"/>
  <c r="FK84" i="3"/>
  <c r="BY64" i="3"/>
  <c r="BG147" i="336"/>
  <c r="BI84" i="3"/>
  <c r="BN73" i="3"/>
  <c r="BN22" i="3" s="1"/>
  <c r="BO22" i="3" s="1"/>
  <c r="BH65" i="3"/>
  <c r="AU21" i="3"/>
  <c r="AV72" i="3"/>
  <c r="BA21" i="3"/>
  <c r="BB72" i="3"/>
  <c r="EQ108" i="3"/>
  <c r="EQ109" i="3"/>
  <c r="EQ110" i="3" s="1"/>
  <c r="E49" i="3"/>
  <c r="BC66" i="3"/>
  <c r="AZ14" i="3"/>
  <c r="BF9" i="3"/>
  <c r="BF25" i="3" s="1"/>
  <c r="BO60" i="3"/>
  <c r="BG83" i="3"/>
  <c r="BM75" i="3"/>
  <c r="FG41" i="336"/>
  <c r="FI41" i="336"/>
  <c r="FJ41" i="336" s="1"/>
  <c r="FK41" i="336" s="1"/>
  <c r="FL41" i="336" s="1"/>
  <c r="FM41" i="336" s="1"/>
  <c r="DW193" i="336"/>
  <c r="DW176" i="336"/>
  <c r="EN35" i="336"/>
  <c r="CG266" i="336"/>
  <c r="CG271" i="336" s="1"/>
  <c r="CG246" i="336" s="1"/>
  <c r="CG253" i="336" s="1"/>
  <c r="CC266" i="336"/>
  <c r="CC271" i="336" s="1"/>
  <c r="CA285" i="336"/>
  <c r="CA246" i="336"/>
  <c r="CA253" i="336" s="1"/>
  <c r="BS13" i="338"/>
  <c r="BS17" i="338"/>
  <c r="BS18" i="338" s="1"/>
  <c r="BT142" i="336"/>
  <c r="BU142" i="336" s="1"/>
  <c r="BS134" i="336"/>
  <c r="FJ398" i="338"/>
  <c r="FJ107" i="336"/>
  <c r="FJ376" i="335"/>
  <c r="BT186" i="336"/>
  <c r="BS174" i="336"/>
  <c r="BT174" i="336" s="1"/>
  <c r="DN99" i="336"/>
  <c r="FF175" i="336"/>
  <c r="EN21" i="336"/>
  <c r="EO21" i="336" s="1"/>
  <c r="CD214" i="336"/>
  <c r="CE215" i="336"/>
  <c r="CM186" i="336"/>
  <c r="CK174" i="336"/>
  <c r="CM174" i="336" s="1"/>
  <c r="CM176" i="336" s="1"/>
  <c r="BI214" i="336"/>
  <c r="BO214" i="336"/>
  <c r="CW395" i="338"/>
  <c r="CG186" i="336"/>
  <c r="CG187" i="336" s="1"/>
  <c r="AS394" i="338"/>
  <c r="EC419" i="335"/>
  <c r="EC430" i="335"/>
  <c r="EI434" i="335"/>
  <c r="CS412" i="338"/>
  <c r="CS381" i="335" s="1"/>
  <c r="EU452" i="335"/>
  <c r="EC420" i="335"/>
  <c r="BA395" i="338"/>
  <c r="DW419" i="335"/>
  <c r="BI412" i="338"/>
  <c r="BI381" i="335" s="1"/>
  <c r="FI175" i="336"/>
  <c r="FK175" i="336"/>
  <c r="FJ175" i="336"/>
  <c r="EX91" i="336"/>
  <c r="EW452" i="335"/>
  <c r="FD23" i="3"/>
  <c r="FC74" i="3"/>
  <c r="CY119" i="336"/>
  <c r="CY395" i="338" s="1"/>
  <c r="CX395" i="338"/>
  <c r="CD163" i="338"/>
  <c r="CD161" i="338"/>
  <c r="EU163" i="335"/>
  <c r="ER160" i="335"/>
  <c r="ER412" i="338"/>
  <c r="ER381" i="335" s="1"/>
  <c r="EU397" i="338"/>
  <c r="EZ81" i="3"/>
  <c r="FA81" i="3" s="1"/>
  <c r="FA29" i="3"/>
  <c r="EL434" i="335"/>
  <c r="EM73" i="336"/>
  <c r="AA358" i="335"/>
  <c r="AA356" i="335" s="1"/>
  <c r="AA12" i="335"/>
  <c r="AA39" i="11"/>
  <c r="ET412" i="338"/>
  <c r="ET381" i="335" s="1"/>
  <c r="EU187" i="336"/>
  <c r="FD175" i="336"/>
  <c r="FC175" i="336"/>
  <c r="EM412" i="338"/>
  <c r="EM381" i="335" s="1"/>
  <c r="EO103" i="336"/>
  <c r="EN413" i="338"/>
  <c r="EO413" i="338" s="1"/>
  <c r="DJ58" i="336"/>
  <c r="DJ419" i="335" s="1"/>
  <c r="DI419" i="335"/>
  <c r="EF420" i="335"/>
  <c r="EG59" i="336"/>
  <c r="DY125" i="336"/>
  <c r="EO187" i="336"/>
  <c r="ES76" i="336"/>
  <c r="ET436" i="335"/>
  <c r="EU436" i="335" s="1"/>
  <c r="EW75" i="336"/>
  <c r="EZ13" i="336"/>
  <c r="EE437" i="335"/>
  <c r="CF243" i="336"/>
  <c r="CF250" i="336" s="1"/>
  <c r="FF9" i="336"/>
  <c r="EE124" i="336"/>
  <c r="EE409" i="338"/>
  <c r="EE125" i="336"/>
  <c r="DS160" i="338"/>
  <c r="DT161" i="338" s="1"/>
  <c r="DY113" i="338"/>
  <c r="DS38" i="11"/>
  <c r="DS37" i="11"/>
  <c r="DY27" i="11"/>
  <c r="DY33" i="11" s="1"/>
  <c r="DY67" i="11" s="1"/>
  <c r="EA163" i="338"/>
  <c r="DW325" i="338"/>
  <c r="FC30" i="3"/>
  <c r="FC82" i="3" s="1"/>
  <c r="FA19" i="336"/>
  <c r="EZ30" i="3"/>
  <c r="FC19" i="336"/>
  <c r="ET440" i="335"/>
  <c r="EU440" i="335" s="1"/>
  <c r="EW79" i="336"/>
  <c r="DC436" i="335"/>
  <c r="DD84" i="336"/>
  <c r="EG437" i="335"/>
  <c r="EH76" i="336"/>
  <c r="EH437" i="335" s="1"/>
  <c r="AE38" i="11"/>
  <c r="EF333" i="338"/>
  <c r="DG163" i="338"/>
  <c r="BA137" i="336"/>
  <c r="AZ137" i="336"/>
  <c r="AZ139" i="336"/>
  <c r="AZ140" i="336" s="1"/>
  <c r="BA139" i="336"/>
  <c r="BA140" i="336" s="1"/>
  <c r="DZ124" i="11"/>
  <c r="DZ128" i="11" s="1"/>
  <c r="EF124" i="11"/>
  <c r="EF128" i="11" s="1"/>
  <c r="AZ394" i="338"/>
  <c r="BR160" i="338"/>
  <c r="BX113" i="338"/>
  <c r="BR113" i="338"/>
  <c r="BG183" i="336"/>
  <c r="BG208" i="336"/>
  <c r="BH184" i="336"/>
  <c r="BH208" i="336" s="1"/>
  <c r="FA74" i="3"/>
  <c r="DY163" i="338"/>
  <c r="EK335" i="338"/>
  <c r="DG113" i="338"/>
  <c r="EL335" i="338"/>
  <c r="EK336" i="338"/>
  <c r="BR17" i="338"/>
  <c r="DB60" i="336"/>
  <c r="CJ38" i="11"/>
  <c r="CJ39" i="11" s="1"/>
  <c r="CJ27" i="11"/>
  <c r="CJ34" i="11" s="1"/>
  <c r="AM395" i="338"/>
  <c r="DC55" i="336"/>
  <c r="DB414" i="335"/>
  <c r="DV385" i="335"/>
  <c r="DW385" i="335" s="1"/>
  <c r="DW391" i="338" s="1"/>
  <c r="DY333" i="338"/>
  <c r="CR14" i="11"/>
  <c r="ER88" i="336"/>
  <c r="EB385" i="335"/>
  <c r="DQ19" i="336"/>
  <c r="DS19" i="336"/>
  <c r="AT135" i="336"/>
  <c r="AS134" i="336"/>
  <c r="DQ417" i="335"/>
  <c r="ET82" i="336"/>
  <c r="ES443" i="335"/>
  <c r="EF43" i="336"/>
  <c r="ET63" i="336"/>
  <c r="ES424" i="335"/>
  <c r="DO447" i="335"/>
  <c r="DP86" i="336"/>
  <c r="DP447" i="335" s="1"/>
  <c r="DG425" i="335"/>
  <c r="DH64" i="336"/>
  <c r="ET89" i="336"/>
  <c r="ES450" i="335"/>
  <c r="EQ80" i="336"/>
  <c r="ET330" i="338"/>
  <c r="BS43" i="336"/>
  <c r="ER424" i="335"/>
  <c r="ET67" i="336"/>
  <c r="ER433" i="335"/>
  <c r="ES330" i="338"/>
  <c r="EZ47" i="11"/>
  <c r="FE460" i="335"/>
  <c r="FE458" i="335"/>
  <c r="FF185" i="335"/>
  <c r="EW45" i="11"/>
  <c r="EX312" i="335"/>
  <c r="EW312" i="335"/>
  <c r="EW287" i="335"/>
  <c r="EO229" i="335"/>
  <c r="EM367" i="335"/>
  <c r="EM369" i="335" s="1"/>
  <c r="EO728" i="338"/>
  <c r="FY141" i="335"/>
  <c r="ES292" i="335"/>
  <c r="AB458" i="335"/>
  <c r="BM201" i="335"/>
  <c r="BM202" i="335" s="1"/>
  <c r="FD460" i="335"/>
  <c r="FA265" i="338"/>
  <c r="FA266" i="338" s="1"/>
  <c r="ER398" i="335"/>
  <c r="FD458" i="335"/>
  <c r="EW73" i="335"/>
  <c r="EX289" i="335"/>
  <c r="EX47" i="11"/>
  <c r="EX56" i="11" s="1"/>
  <c r="ES116" i="336"/>
  <c r="FY167" i="335"/>
  <c r="FZ155" i="335"/>
  <c r="ES296" i="335"/>
  <c r="EU293" i="335"/>
  <c r="EM168" i="335"/>
  <c r="EQ366" i="335"/>
  <c r="EO293" i="335"/>
  <c r="EO167" i="335"/>
  <c r="EU245" i="335"/>
  <c r="EZ119" i="335"/>
  <c r="EZ120" i="335" s="1"/>
  <c r="AB461" i="335"/>
  <c r="AB460" i="335"/>
  <c r="EK230" i="338"/>
  <c r="EX64" i="335"/>
  <c r="EN398" i="335"/>
  <c r="ES609" i="338"/>
  <c r="ES317" i="335"/>
  <c r="ET317" i="335"/>
  <c r="DI209" i="336"/>
  <c r="DK209" i="336" s="1"/>
  <c r="DK229" i="335"/>
  <c r="EX260" i="338"/>
  <c r="EU174" i="336"/>
  <c r="EU176" i="336" s="1"/>
  <c r="EQ398" i="335"/>
  <c r="EN367" i="335"/>
  <c r="EM348" i="335"/>
  <c r="ER366" i="335"/>
  <c r="FZ152" i="335"/>
  <c r="AB187" i="335"/>
  <c r="DC182" i="335"/>
  <c r="BS184" i="335"/>
  <c r="BS187" i="335" s="1"/>
  <c r="BS461" i="335"/>
  <c r="BS462" i="335" s="1"/>
  <c r="X185" i="335"/>
  <c r="X187" i="335"/>
  <c r="EX95" i="338"/>
  <c r="AS213" i="335"/>
  <c r="AS215" i="335"/>
  <c r="CK215" i="335"/>
  <c r="CK213" i="335"/>
  <c r="DC323" i="335"/>
  <c r="DC350" i="335"/>
  <c r="DC170" i="335"/>
  <c r="DI298" i="335"/>
  <c r="CO427" i="338"/>
  <c r="CO428" i="338" s="1"/>
  <c r="GB60" i="335"/>
  <c r="FI67" i="335"/>
  <c r="FI62" i="335"/>
  <c r="FF62" i="335"/>
  <c r="FJ67" i="335"/>
  <c r="FF100" i="338"/>
  <c r="FF67" i="335"/>
  <c r="FF56" i="335" s="1"/>
  <c r="FL60" i="335"/>
  <c r="DQ385" i="338"/>
  <c r="BX398" i="335"/>
  <c r="EF289" i="335"/>
  <c r="DZ339" i="335"/>
  <c r="DZ337" i="335"/>
  <c r="DZ287" i="335"/>
  <c r="DY433" i="338"/>
  <c r="DY432" i="338"/>
  <c r="EG36" i="338"/>
  <c r="EG337" i="338"/>
  <c r="EB612" i="338"/>
  <c r="EB613" i="338" s="1"/>
  <c r="EB615" i="338"/>
  <c r="EB616" i="338" s="1"/>
  <c r="BO113" i="336"/>
  <c r="BO394" i="338" s="1"/>
  <c r="BN394" i="338"/>
  <c r="CR395" i="338"/>
  <c r="CS118" i="336"/>
  <c r="CS395" i="338" s="1"/>
  <c r="DU100" i="335"/>
  <c r="EU48" i="11"/>
  <c r="EU281" i="335"/>
  <c r="DA185" i="335"/>
  <c r="AG351" i="335"/>
  <c r="FA179" i="335"/>
  <c r="ET108" i="336"/>
  <c r="CC503" i="338"/>
  <c r="EO152" i="335"/>
  <c r="CI503" i="338"/>
  <c r="BM220" i="335"/>
  <c r="FD304" i="335"/>
  <c r="ER55" i="11"/>
  <c r="ET168" i="335"/>
  <c r="FJ229" i="338"/>
  <c r="CI213" i="335"/>
  <c r="CX350" i="335"/>
  <c r="AS182" i="335"/>
  <c r="DA270" i="335"/>
  <c r="DZ314" i="335"/>
  <c r="DZ47" i="11"/>
  <c r="EA312" i="335"/>
  <c r="CW433" i="338"/>
  <c r="AY182" i="335"/>
  <c r="FK67" i="335"/>
  <c r="DT46" i="11"/>
  <c r="DT288" i="335"/>
  <c r="FU73" i="335"/>
  <c r="DT313" i="335"/>
  <c r="DW73" i="335"/>
  <c r="DT338" i="335"/>
  <c r="DS206" i="335"/>
  <c r="DS207" i="335" s="1"/>
  <c r="DW99" i="335"/>
  <c r="DT101" i="335"/>
  <c r="DS212" i="335"/>
  <c r="DS213" i="335" s="1"/>
  <c r="DS350" i="335"/>
  <c r="DT270" i="335"/>
  <c r="DT323" i="335"/>
  <c r="DS170" i="335"/>
  <c r="CC462" i="335"/>
  <c r="EN39" i="11"/>
  <c r="BF221" i="335"/>
  <c r="CP207" i="335"/>
  <c r="AZ323" i="335"/>
  <c r="AY212" i="335"/>
  <c r="AY323" i="335"/>
  <c r="AY375" i="335"/>
  <c r="AY350" i="335"/>
  <c r="AY170" i="335"/>
  <c r="FJ108" i="338"/>
  <c r="FJ110" i="338" s="1"/>
  <c r="FJ99" i="338"/>
  <c r="BL173" i="335"/>
  <c r="BL174" i="335" s="1"/>
  <c r="BL350" i="335"/>
  <c r="BL170" i="335"/>
  <c r="BM323" i="335"/>
  <c r="BL298" i="335"/>
  <c r="BL182" i="335"/>
  <c r="BL212" i="335"/>
  <c r="EB323" i="335"/>
  <c r="EB350" i="335"/>
  <c r="EB173" i="335"/>
  <c r="EB174" i="335" s="1"/>
  <c r="EB170" i="335"/>
  <c r="EB171" i="335"/>
  <c r="EB270" i="335"/>
  <c r="EB368" i="335"/>
  <c r="EB298" i="335"/>
  <c r="EB212" i="335"/>
  <c r="AG394" i="335"/>
  <c r="AG393" i="335"/>
  <c r="AG112" i="336"/>
  <c r="AG113" i="336"/>
  <c r="AG145" i="336"/>
  <c r="AG369" i="335"/>
  <c r="AC169" i="335"/>
  <c r="AC144" i="335"/>
  <c r="DY171" i="335"/>
  <c r="EI609" i="338"/>
  <c r="EH109" i="3"/>
  <c r="EH108" i="3"/>
  <c r="EO265" i="338"/>
  <c r="EM266" i="338"/>
  <c r="EN334" i="335"/>
  <c r="EN148" i="335"/>
  <c r="EN431" i="338"/>
  <c r="EN93" i="335"/>
  <c r="EN341" i="335"/>
  <c r="EN325" i="338"/>
  <c r="BI350" i="335"/>
  <c r="AW393" i="335"/>
  <c r="AW369" i="335"/>
  <c r="AW392" i="335"/>
  <c r="AU394" i="335"/>
  <c r="AU369" i="335"/>
  <c r="AU112" i="336"/>
  <c r="AU394" i="338" s="1"/>
  <c r="AU392" i="335"/>
  <c r="EQ47" i="11"/>
  <c r="EQ56" i="11" s="1"/>
  <c r="EQ289" i="335"/>
  <c r="AN212" i="335"/>
  <c r="AO368" i="335"/>
  <c r="CP255" i="338"/>
  <c r="CJ255" i="338"/>
  <c r="CS316" i="338"/>
  <c r="CU317" i="338"/>
  <c r="BT255" i="338"/>
  <c r="BZ255" i="338"/>
  <c r="AQ154" i="335"/>
  <c r="AQ336" i="335"/>
  <c r="AP123" i="336"/>
  <c r="AQ123" i="336" s="1"/>
  <c r="AQ151" i="335"/>
  <c r="AQ99" i="335"/>
  <c r="AQ342" i="335"/>
  <c r="AQ15" i="11"/>
  <c r="AQ345" i="335"/>
  <c r="AQ328" i="335"/>
  <c r="AQ114" i="338"/>
  <c r="AQ347" i="335"/>
  <c r="AQ346" i="335"/>
  <c r="AW92" i="335"/>
  <c r="AW100" i="335" s="1"/>
  <c r="AQ365" i="335"/>
  <c r="AP112" i="336"/>
  <c r="AP113" i="336"/>
  <c r="AQ113" i="336" s="1"/>
  <c r="AP394" i="335"/>
  <c r="AP111" i="336"/>
  <c r="AQ111" i="336" s="1"/>
  <c r="AP393" i="335"/>
  <c r="AP392" i="335"/>
  <c r="AP145" i="336"/>
  <c r="AQ145" i="336"/>
  <c r="AP369" i="335"/>
  <c r="BR298" i="335"/>
  <c r="DY312" i="335"/>
  <c r="DV287" i="335"/>
  <c r="DS337" i="335"/>
  <c r="DT312" i="335"/>
  <c r="DS45" i="11"/>
  <c r="DN430" i="338"/>
  <c r="DH432" i="338"/>
  <c r="GE429" i="338" s="1"/>
  <c r="DH169" i="335"/>
  <c r="AW206" i="335"/>
  <c r="AW207" i="335" s="1"/>
  <c r="AS208" i="335"/>
  <c r="AS209" i="335" s="1"/>
  <c r="EH314" i="335"/>
  <c r="EH47" i="11"/>
  <c r="EH56" i="11" s="1"/>
  <c r="EG72" i="335"/>
  <c r="EG260" i="338"/>
  <c r="EM260" i="338"/>
  <c r="FQ148" i="335"/>
  <c r="FQ151" i="335"/>
  <c r="CV112" i="336"/>
  <c r="CV145" i="336"/>
  <c r="CV123" i="336"/>
  <c r="CV113" i="336"/>
  <c r="CV392" i="335"/>
  <c r="CV111" i="336"/>
  <c r="CU621" i="338"/>
  <c r="CU622" i="338" s="1"/>
  <c r="DA621" i="338"/>
  <c r="DA622" i="338" s="1"/>
  <c r="DA623" i="338" s="1"/>
  <c r="EA481" i="338"/>
  <c r="DI621" i="338"/>
  <c r="DI622" i="338" s="1"/>
  <c r="DO621" i="338"/>
  <c r="DO622" i="338" s="1"/>
  <c r="CQ681" i="338"/>
  <c r="CQ684" i="338" s="1"/>
  <c r="AP144" i="335"/>
  <c r="AP169" i="335"/>
  <c r="AQ143" i="335"/>
  <c r="AQ144" i="335" s="1"/>
  <c r="AQ388" i="338" s="1"/>
  <c r="CQ481" i="338"/>
  <c r="CQ477" i="338"/>
  <c r="BO118" i="336"/>
  <c r="BO395" i="338" s="1"/>
  <c r="BN395" i="338"/>
  <c r="DB212" i="335"/>
  <c r="FQ154" i="335"/>
  <c r="DQ332" i="338"/>
  <c r="DQ333" i="338" s="1"/>
  <c r="DA118" i="336"/>
  <c r="DA119" i="336"/>
  <c r="DA116" i="336"/>
  <c r="CV118" i="336"/>
  <c r="CV395" i="338" s="1"/>
  <c r="CV116" i="336"/>
  <c r="CA12" i="338"/>
  <c r="FV91" i="335"/>
  <c r="FW88" i="335"/>
  <c r="EO96" i="335"/>
  <c r="EA182" i="335"/>
  <c r="EA212" i="335"/>
  <c r="EA173" i="335"/>
  <c r="EA174" i="335" s="1"/>
  <c r="FX88" i="335"/>
  <c r="FX91" i="335"/>
  <c r="ET74" i="11"/>
  <c r="EO74" i="11"/>
  <c r="EO78" i="11" s="1"/>
  <c r="EO82" i="11" s="1"/>
  <c r="EN78" i="11"/>
  <c r="EN82" i="11" s="1"/>
  <c r="BE17" i="338"/>
  <c r="BE18" i="338" s="1"/>
  <c r="CD494" i="338"/>
  <c r="DG430" i="338"/>
  <c r="DG429" i="338"/>
  <c r="DA432" i="338"/>
  <c r="GE480" i="338" s="1"/>
  <c r="BL123" i="336"/>
  <c r="BL369" i="335"/>
  <c r="BL112" i="336"/>
  <c r="BL113" i="336"/>
  <c r="EB38" i="11"/>
  <c r="EB39" i="11" s="1"/>
  <c r="DG230" i="338"/>
  <c r="DG225" i="338"/>
  <c r="CR484" i="338"/>
  <c r="CR481" i="338"/>
  <c r="CR482" i="338"/>
  <c r="CP429" i="338"/>
  <c r="CP430" i="338"/>
  <c r="EN52" i="11"/>
  <c r="ET52" i="11"/>
  <c r="CD255" i="338"/>
  <c r="AT365" i="335"/>
  <c r="DM681" i="338"/>
  <c r="BZ482" i="338"/>
  <c r="BW482" i="338"/>
  <c r="EF609" i="338"/>
  <c r="EF316" i="338"/>
  <c r="EG317" i="335"/>
  <c r="EK367" i="335"/>
  <c r="EK369" i="335" s="1"/>
  <c r="EL292" i="335"/>
  <c r="EF103" i="336"/>
  <c r="EF413" i="338" s="1"/>
  <c r="BX681" i="338"/>
  <c r="BX684" i="338" s="1"/>
  <c r="DM395" i="338"/>
  <c r="BU9" i="338"/>
  <c r="AV255" i="338"/>
  <c r="EL556" i="338"/>
  <c r="EL557" i="338" s="1"/>
  <c r="EL604" i="338"/>
  <c r="DZ482" i="338"/>
  <c r="DT482" i="338"/>
  <c r="BM395" i="338"/>
  <c r="CA53" i="11"/>
  <c r="CY179" i="335"/>
  <c r="DI246" i="338"/>
  <c r="DB333" i="338"/>
  <c r="CK681" i="338"/>
  <c r="DY482" i="338"/>
  <c r="EB228" i="335"/>
  <c r="CS744" i="338"/>
  <c r="AB366" i="335"/>
  <c r="DD54" i="11"/>
  <c r="V366" i="335"/>
  <c r="DG272" i="338"/>
  <c r="CF53" i="11"/>
  <c r="CR56" i="11"/>
  <c r="CL56" i="11"/>
  <c r="CR54" i="11"/>
  <c r="CL54" i="11"/>
  <c r="I296" i="335"/>
  <c r="BL272" i="338"/>
  <c r="CQ272" i="338"/>
  <c r="BQ56" i="11"/>
  <c r="DD55" i="11"/>
  <c r="BQ55" i="11"/>
  <c r="BL53" i="11"/>
  <c r="CO9" i="338"/>
  <c r="ET609" i="338"/>
  <c r="ET612" i="338" s="1"/>
  <c r="ET103" i="336"/>
  <c r="EQ103" i="336"/>
  <c r="EQ413" i="338" s="1"/>
  <c r="EQ609" i="338"/>
  <c r="EQ612" i="338" s="1"/>
  <c r="ER317" i="335"/>
  <c r="FF35" i="335"/>
  <c r="BQ260" i="338"/>
  <c r="DI272" i="338"/>
  <c r="CK266" i="338"/>
  <c r="BX56" i="11"/>
  <c r="DC55" i="11"/>
  <c r="EU634" i="338"/>
  <c r="EU562" i="338"/>
  <c r="EU563" i="338" s="1"/>
  <c r="EU636" i="338" s="1"/>
  <c r="R366" i="335"/>
  <c r="BR272" i="338"/>
  <c r="BS266" i="338"/>
  <c r="CX272" i="338"/>
  <c r="CW272" i="338"/>
  <c r="CO260" i="338"/>
  <c r="CJ260" i="338"/>
  <c r="BL56" i="11"/>
  <c r="CJ55" i="11"/>
  <c r="DA54" i="11"/>
  <c r="CO54" i="11"/>
  <c r="BT53" i="11"/>
  <c r="AT88" i="335"/>
  <c r="AH52" i="335"/>
  <c r="X87" i="335"/>
  <c r="L364" i="335"/>
  <c r="AV50" i="335"/>
  <c r="AU50" i="335"/>
  <c r="FD425" i="338"/>
  <c r="BB9" i="338"/>
  <c r="DD161" i="336"/>
  <c r="FD382" i="338"/>
  <c r="FF110" i="335"/>
  <c r="FE25" i="335"/>
  <c r="FE110" i="335"/>
  <c r="DW179" i="338"/>
  <c r="EC179" i="338"/>
  <c r="EI179" i="338"/>
  <c r="DW196" i="338"/>
  <c r="BH321" i="335"/>
  <c r="BT311" i="335"/>
  <c r="EW47" i="11"/>
  <c r="FZ74" i="335"/>
  <c r="EX314" i="335"/>
  <c r="EW314" i="335"/>
  <c r="EW289" i="335"/>
  <c r="FA74" i="335"/>
  <c r="EZ314" i="335"/>
  <c r="FZ73" i="335"/>
  <c r="EZ289" i="335"/>
  <c r="FA271" i="338"/>
  <c r="FA272" i="338" s="1"/>
  <c r="EX313" i="335"/>
  <c r="EX272" i="338"/>
  <c r="FA259" i="338"/>
  <c r="FA260" i="338" s="1"/>
  <c r="EX119" i="336"/>
  <c r="EX118" i="336"/>
  <c r="FA30" i="335"/>
  <c r="ES214" i="335"/>
  <c r="ES413" i="338"/>
  <c r="FE103" i="336"/>
  <c r="EO366" i="335"/>
  <c r="EN116" i="336"/>
  <c r="EO116" i="336" s="1"/>
  <c r="EN118" i="336"/>
  <c r="FY149" i="335"/>
  <c r="FZ149" i="335"/>
  <c r="EO165" i="335"/>
  <c r="EO464" i="335" s="1"/>
  <c r="EN160" i="335"/>
  <c r="EN212" i="335" s="1"/>
  <c r="EN206" i="335"/>
  <c r="FZ72" i="335"/>
  <c r="EX287" i="335"/>
  <c r="FA116" i="335"/>
  <c r="FA117" i="335" s="1"/>
  <c r="EW113" i="335"/>
  <c r="FC118" i="336"/>
  <c r="FI118" i="336" s="1"/>
  <c r="EO158" i="335"/>
  <c r="EN464" i="335"/>
  <c r="EU225" i="335"/>
  <c r="EU191" i="335"/>
  <c r="EU412" i="338"/>
  <c r="EU381" i="335" s="1"/>
  <c r="ET118" i="336"/>
  <c r="ET116" i="336"/>
  <c r="EU366" i="335"/>
  <c r="ET119" i="336"/>
  <c r="EM316" i="338"/>
  <c r="ES317" i="338" s="1"/>
  <c r="EM296" i="335"/>
  <c r="EO168" i="335"/>
  <c r="EO296" i="335"/>
  <c r="EO743" i="338"/>
  <c r="EU744" i="338" s="1"/>
  <c r="EW166" i="338"/>
  <c r="CX458" i="335"/>
  <c r="CX461" i="335"/>
  <c r="CX199" i="335"/>
  <c r="CX503" i="338"/>
  <c r="CX375" i="335"/>
  <c r="CX459" i="335"/>
  <c r="CX114" i="3"/>
  <c r="CX460" i="335"/>
  <c r="FI29" i="335"/>
  <c r="EW26" i="335"/>
  <c r="EW119" i="336"/>
  <c r="EN412" i="338"/>
  <c r="EN381" i="335" s="1"/>
  <c r="EM366" i="335"/>
  <c r="EM321" i="335"/>
  <c r="EM103" i="336"/>
  <c r="EM413" i="338" s="1"/>
  <c r="BS157" i="335"/>
  <c r="EQ225" i="338"/>
  <c r="EU756" i="338"/>
  <c r="DK179" i="335"/>
  <c r="DM179" i="335"/>
  <c r="DC215" i="335"/>
  <c r="CI202" i="335"/>
  <c r="FE179" i="335"/>
  <c r="GA179" i="335"/>
  <c r="BF190" i="335"/>
  <c r="BF300" i="335"/>
  <c r="EU610" i="338"/>
  <c r="CX487" i="338"/>
  <c r="DO144" i="335"/>
  <c r="CI462" i="335"/>
  <c r="CI208" i="335" s="1"/>
  <c r="AM458" i="335"/>
  <c r="AA458" i="335"/>
  <c r="AA375" i="335"/>
  <c r="AA459" i="335"/>
  <c r="AA461" i="335"/>
  <c r="X189" i="335"/>
  <c r="AA324" i="335"/>
  <c r="X351" i="335"/>
  <c r="CQ218" i="335"/>
  <c r="CQ217" i="335"/>
  <c r="EU769" i="338"/>
  <c r="EU770" i="338"/>
  <c r="CC200" i="335"/>
  <c r="CC201" i="335"/>
  <c r="CC157" i="335"/>
  <c r="CI158" i="335"/>
  <c r="EE217" i="335"/>
  <c r="FC180" i="335"/>
  <c r="FA180" i="335"/>
  <c r="BM231" i="336"/>
  <c r="BM232" i="336" s="1"/>
  <c r="BM236" i="335"/>
  <c r="BM239" i="336" s="1"/>
  <c r="EO783" i="338"/>
  <c r="EO778" i="338"/>
  <c r="EE219" i="335"/>
  <c r="EE220" i="335"/>
  <c r="EO611" i="338"/>
  <c r="EO295" i="335"/>
  <c r="EO155" i="335"/>
  <c r="AG459" i="335"/>
  <c r="AG375" i="335"/>
  <c r="AG461" i="335"/>
  <c r="ES287" i="335"/>
  <c r="EM45" i="11"/>
  <c r="EM337" i="335"/>
  <c r="EM312" i="335"/>
  <c r="EO72" i="335"/>
  <c r="EL289" i="335"/>
  <c r="FX74" i="335"/>
  <c r="EL47" i="11"/>
  <c r="EM314" i="335"/>
  <c r="ER289" i="335"/>
  <c r="EO74" i="335"/>
  <c r="EL314" i="335"/>
  <c r="CC218" i="335"/>
  <c r="AG458" i="335"/>
  <c r="BF219" i="335"/>
  <c r="DV621" i="338"/>
  <c r="DV622" i="338" s="1"/>
  <c r="DV623" i="338" s="1"/>
  <c r="EN312" i="335"/>
  <c r="FC40" i="338"/>
  <c r="FI39" i="335"/>
  <c r="EW123" i="11"/>
  <c r="CQ200" i="335"/>
  <c r="ET46" i="11"/>
  <c r="ET55" i="11" s="1"/>
  <c r="ET288" i="335"/>
  <c r="ET313" i="335"/>
  <c r="FY72" i="335"/>
  <c r="CC217" i="335"/>
  <c r="BI208" i="335"/>
  <c r="BI209" i="335" s="1"/>
  <c r="EL339" i="335"/>
  <c r="BM208" i="335"/>
  <c r="BM458" i="335"/>
  <c r="EC289" i="335"/>
  <c r="EC47" i="11"/>
  <c r="EI289" i="335"/>
  <c r="FD123" i="11"/>
  <c r="FD127" i="11" s="1"/>
  <c r="ES288" i="335"/>
  <c r="EM313" i="335"/>
  <c r="EM46" i="11"/>
  <c r="FR180" i="335"/>
  <c r="EQ288" i="335"/>
  <c r="EK46" i="11"/>
  <c r="FX73" i="335"/>
  <c r="ET289" i="335"/>
  <c r="ET314" i="335"/>
  <c r="ET47" i="11"/>
  <c r="ET56" i="11" s="1"/>
  <c r="BH459" i="335"/>
  <c r="BH460" i="335"/>
  <c r="BI460" i="335" s="1"/>
  <c r="FY73" i="335"/>
  <c r="BH184" i="335"/>
  <c r="BH187" i="335" s="1"/>
  <c r="EB199" i="335"/>
  <c r="ET45" i="11"/>
  <c r="ET287" i="335"/>
  <c r="ET312" i="335"/>
  <c r="EO36" i="338"/>
  <c r="EO37" i="338" s="1"/>
  <c r="EQ45" i="11"/>
  <c r="EG161" i="338"/>
  <c r="EF163" i="338"/>
  <c r="BR207" i="335"/>
  <c r="BG184" i="335"/>
  <c r="BG187" i="335" s="1"/>
  <c r="FJ172" i="338"/>
  <c r="DS395" i="338"/>
  <c r="DN395" i="338"/>
  <c r="AO163" i="338"/>
  <c r="AO164" i="338" s="1"/>
  <c r="EK556" i="338"/>
  <c r="EK557" i="338" s="1"/>
  <c r="EK604" i="338"/>
  <c r="AT207" i="335"/>
  <c r="AT208" i="335"/>
  <c r="Q350" i="335"/>
  <c r="DI395" i="338"/>
  <c r="DY247" i="338"/>
  <c r="DS247" i="338"/>
  <c r="DZ37" i="338"/>
  <c r="W212" i="335"/>
  <c r="W182" i="335"/>
  <c r="W170" i="335"/>
  <c r="FQ105" i="335"/>
  <c r="EE116" i="336"/>
  <c r="DA348" i="335"/>
  <c r="EE118" i="336"/>
  <c r="EE395" i="338" s="1"/>
  <c r="EL339" i="338"/>
  <c r="AW172" i="338"/>
  <c r="BR172" i="338"/>
  <c r="BR52" i="335"/>
  <c r="BR16" i="335"/>
  <c r="BR43" i="11"/>
  <c r="EB366" i="338"/>
  <c r="DI97" i="338"/>
  <c r="CS44" i="11"/>
  <c r="DH395" i="338"/>
  <c r="CM43" i="11"/>
  <c r="BR105" i="335"/>
  <c r="CM40" i="335"/>
  <c r="CM228" i="338"/>
  <c r="ER292" i="335"/>
  <c r="EL609" i="338"/>
  <c r="BM172" i="338"/>
  <c r="BM161" i="336"/>
  <c r="DH17" i="338"/>
  <c r="ET471" i="338"/>
  <c r="ET474" i="338" s="1"/>
  <c r="CJ9" i="338"/>
  <c r="EQ475" i="338"/>
  <c r="S224" i="335"/>
  <c r="S225" i="335" s="1"/>
  <c r="AA366" i="335"/>
  <c r="Q321" i="335"/>
  <c r="CC50" i="335"/>
  <c r="Q87" i="335"/>
  <c r="BT161" i="336"/>
  <c r="BX162" i="336"/>
  <c r="BS89" i="335"/>
  <c r="DA172" i="338"/>
  <c r="DA330" i="338"/>
  <c r="DG333" i="338" s="1"/>
  <c r="CW55" i="11"/>
  <c r="CI167" i="336"/>
  <c r="BN480" i="338"/>
  <c r="FL110" i="335"/>
  <c r="DK75" i="335"/>
  <c r="DH43" i="11"/>
  <c r="DM160" i="336"/>
  <c r="EQ91" i="335"/>
  <c r="EQ337" i="335" s="1"/>
  <c r="EQ96" i="335"/>
  <c r="FF29" i="335"/>
  <c r="FE29" i="335"/>
  <c r="DH162" i="336"/>
  <c r="ER303" i="335"/>
  <c r="EQ43" i="11"/>
  <c r="EQ52" i="11" s="1"/>
  <c r="EU132" i="335"/>
  <c r="EU133" i="335" s="1"/>
  <c r="ET133" i="335"/>
  <c r="FI25" i="335"/>
  <c r="GA23" i="335"/>
  <c r="EX133" i="335"/>
  <c r="FD133" i="335" s="1"/>
  <c r="EX131" i="336"/>
  <c r="FD131" i="336" s="1"/>
  <c r="FJ131" i="336" s="1"/>
  <c r="EO33" i="335"/>
  <c r="GB23" i="335"/>
  <c r="EX113" i="335"/>
  <c r="FZ33" i="335"/>
  <c r="DE119" i="336"/>
  <c r="DE395" i="338" s="1"/>
  <c r="DD395" i="338"/>
  <c r="EA13" i="338"/>
  <c r="AH8" i="338"/>
  <c r="AB12" i="338"/>
  <c r="AD8" i="338"/>
  <c r="AD12" i="338"/>
  <c r="AJ8" i="338"/>
  <c r="BF160" i="338"/>
  <c r="BF113" i="338"/>
  <c r="AW119" i="336"/>
  <c r="AW395" i="338" s="1"/>
  <c r="AV395" i="338"/>
  <c r="EB12" i="338"/>
  <c r="EB17" i="338" s="1"/>
  <c r="EH8" i="338"/>
  <c r="EB8" i="338"/>
  <c r="BH38" i="11"/>
  <c r="BH37" i="11"/>
  <c r="BN27" i="11"/>
  <c r="BH14" i="11"/>
  <c r="DE12" i="338"/>
  <c r="DE17" i="338" s="1"/>
  <c r="DE8" i="338"/>
  <c r="AW12" i="338"/>
  <c r="AW17" i="338" s="1"/>
  <c r="AW18" i="338" s="1"/>
  <c r="BC8" i="338"/>
  <c r="AW8" i="338"/>
  <c r="BC17" i="338"/>
  <c r="BC18" i="338" s="1"/>
  <c r="BT38" i="11"/>
  <c r="BT37" i="11"/>
  <c r="BZ27" i="11"/>
  <c r="L160" i="338"/>
  <c r="L163" i="338" s="1"/>
  <c r="M113" i="338"/>
  <c r="BG37" i="11"/>
  <c r="BG14" i="11"/>
  <c r="BG38" i="11"/>
  <c r="CV13" i="338"/>
  <c r="CU12" i="338"/>
  <c r="CU13" i="338"/>
  <c r="DA17" i="338"/>
  <c r="BI12" i="338"/>
  <c r="BI17" i="338" s="1"/>
  <c r="BI18" i="338" s="1"/>
  <c r="BI8" i="338"/>
  <c r="DB39" i="338"/>
  <c r="DK17" i="338"/>
  <c r="DH109" i="11"/>
  <c r="DH113" i="11" s="1"/>
  <c r="DN109" i="11"/>
  <c r="DN113" i="11" s="1"/>
  <c r="DV8" i="338"/>
  <c r="DW53" i="338"/>
  <c r="DW39" i="338"/>
  <c r="AU395" i="338"/>
  <c r="X163" i="338"/>
  <c r="E17" i="338"/>
  <c r="EY160" i="335"/>
  <c r="EY212" i="335" s="1"/>
  <c r="FF145" i="336"/>
  <c r="EU193" i="336"/>
  <c r="ET142" i="336"/>
  <c r="EU142" i="336" s="1"/>
  <c r="EU171" i="336"/>
  <c r="FL175" i="336"/>
  <c r="EO193" i="336"/>
  <c r="EZ20" i="3"/>
  <c r="EO407" i="338"/>
  <c r="EO412" i="338" s="1"/>
  <c r="EO381" i="335" s="1"/>
  <c r="EN142" i="336"/>
  <c r="FG20" i="336"/>
  <c r="FI20" i="336"/>
  <c r="FA13" i="336"/>
  <c r="FC13" i="336"/>
  <c r="EK339" i="338"/>
  <c r="EL338" i="338"/>
  <c r="CG281" i="336"/>
  <c r="CM276" i="336" s="1"/>
  <c r="CG285" i="336"/>
  <c r="CD266" i="336"/>
  <c r="CC246" i="336"/>
  <c r="CC253" i="336" s="1"/>
  <c r="FG26" i="336"/>
  <c r="FI26" i="336"/>
  <c r="EI422" i="335"/>
  <c r="EG333" i="338"/>
  <c r="FI9" i="336"/>
  <c r="FG9" i="336"/>
  <c r="EF338" i="338"/>
  <c r="EG430" i="335"/>
  <c r="EH69" i="336"/>
  <c r="DW417" i="335"/>
  <c r="CP163" i="338"/>
  <c r="CP164" i="338" s="1"/>
  <c r="DW394" i="338"/>
  <c r="EA350" i="338"/>
  <c r="DG446" i="335"/>
  <c r="DH85" i="336"/>
  <c r="DT332" i="338"/>
  <c r="S103" i="336"/>
  <c r="R413" i="338"/>
  <c r="S413" i="338" s="1"/>
  <c r="I14" i="11"/>
  <c r="I38" i="11"/>
  <c r="BX262" i="336"/>
  <c r="BY267" i="336"/>
  <c r="BX243" i="336"/>
  <c r="BX250" i="336" s="1"/>
  <c r="BU214" i="336"/>
  <c r="BF135" i="336"/>
  <c r="BE134" i="336"/>
  <c r="BL135" i="336"/>
  <c r="CR43" i="336"/>
  <c r="CS43" i="336" s="1"/>
  <c r="CS35" i="336"/>
  <c r="FC33" i="336"/>
  <c r="FD33" i="336" s="1"/>
  <c r="FE33" i="336" s="1"/>
  <c r="FF33" i="336" s="1"/>
  <c r="EE13" i="338"/>
  <c r="EE15" i="338" s="1"/>
  <c r="EB13" i="338"/>
  <c r="CL413" i="338"/>
  <c r="CM413" i="338" s="1"/>
  <c r="BK137" i="336"/>
  <c r="AY139" i="336"/>
  <c r="AY140" i="336" s="1"/>
  <c r="AY137" i="336"/>
  <c r="CL142" i="336"/>
  <c r="CD270" i="336"/>
  <c r="CD244" i="336" s="1"/>
  <c r="CD251" i="336" s="1"/>
  <c r="CS142" i="336"/>
  <c r="CG142" i="336"/>
  <c r="DW142" i="336"/>
  <c r="DH62" i="336"/>
  <c r="DG423" i="335"/>
  <c r="FK53" i="336"/>
  <c r="FJ414" i="335"/>
  <c r="EZ435" i="335"/>
  <c r="FA435" i="335" s="1"/>
  <c r="FC74" i="336"/>
  <c r="V163" i="338"/>
  <c r="EI142" i="336"/>
  <c r="EB65" i="336"/>
  <c r="EA426" i="335"/>
  <c r="EX43" i="336"/>
  <c r="FD90" i="3"/>
  <c r="FE36" i="3"/>
  <c r="ET72" i="336"/>
  <c r="ES433" i="335"/>
  <c r="FI90" i="3"/>
  <c r="FJ36" i="3"/>
  <c r="ET77" i="336"/>
  <c r="ES438" i="335"/>
  <c r="EW89" i="336"/>
  <c r="ET450" i="335"/>
  <c r="EU450" i="335" s="1"/>
  <c r="BB163" i="338"/>
  <c r="BB164" i="338" s="1"/>
  <c r="BY161" i="338"/>
  <c r="DQ104" i="11"/>
  <c r="DG108" i="11"/>
  <c r="DG112" i="11" s="1"/>
  <c r="DM108" i="11"/>
  <c r="DM112" i="11" s="1"/>
  <c r="DI39" i="338"/>
  <c r="DC53" i="338"/>
  <c r="CC53" i="338"/>
  <c r="CY104" i="11"/>
  <c r="CW108" i="11"/>
  <c r="DC108" i="11"/>
  <c r="DC112" i="11" s="1"/>
  <c r="R12" i="335"/>
  <c r="R39" i="11"/>
  <c r="R358" i="335"/>
  <c r="R356" i="335" s="1"/>
  <c r="DO27" i="11" l="1"/>
  <c r="I160" i="338"/>
  <c r="I163" i="338" s="1"/>
  <c r="G163" i="338"/>
  <c r="DI27" i="11"/>
  <c r="CX113" i="338"/>
  <c r="AJ113" i="338"/>
  <c r="CG8" i="338"/>
  <c r="AJ163" i="338"/>
  <c r="DI38" i="11"/>
  <c r="I113" i="338"/>
  <c r="CM17" i="338"/>
  <c r="AD113" i="338"/>
  <c r="CM8" i="338"/>
  <c r="AT254" i="338"/>
  <c r="AZ254" i="338"/>
  <c r="BF255" i="338" s="1"/>
  <c r="AT257" i="338"/>
  <c r="DA492" i="338"/>
  <c r="DA493" i="338"/>
  <c r="AH347" i="335"/>
  <c r="AH348" i="335"/>
  <c r="AH102" i="336"/>
  <c r="AH385" i="335" s="1"/>
  <c r="AH99" i="335"/>
  <c r="AH154" i="335"/>
  <c r="AN290" i="335"/>
  <c r="AM365" i="335"/>
  <c r="AJ365" i="335"/>
  <c r="AH365" i="335"/>
  <c r="AH342" i="335"/>
  <c r="AH151" i="335"/>
  <c r="AI315" i="335"/>
  <c r="AK91" i="335"/>
  <c r="AH343" i="335"/>
  <c r="AH148" i="335"/>
  <c r="AH114" i="338"/>
  <c r="AH328" i="335"/>
  <c r="AH336" i="335"/>
  <c r="AH93" i="335"/>
  <c r="AH101" i="335" s="1"/>
  <c r="AH315" i="335"/>
  <c r="AH143" i="335"/>
  <c r="AH346" i="335"/>
  <c r="AH15" i="11"/>
  <c r="AH345" i="335"/>
  <c r="AI93" i="335"/>
  <c r="AI101" i="335" s="1"/>
  <c r="AN92" i="335"/>
  <c r="AN100" i="335" s="1"/>
  <c r="AH92" i="335"/>
  <c r="AH100" i="335" s="1"/>
  <c r="EH464" i="338"/>
  <c r="EH468" i="338" s="1"/>
  <c r="EH465" i="338"/>
  <c r="CI218" i="335"/>
  <c r="CI217" i="335"/>
  <c r="CX612" i="338"/>
  <c r="CX613" i="338" s="1"/>
  <c r="DD681" i="338" s="1"/>
  <c r="DD684" i="338" s="1"/>
  <c r="CX615" i="338"/>
  <c r="CX616" i="338" s="1"/>
  <c r="DD621" i="338" s="1"/>
  <c r="DD622" i="338" s="1"/>
  <c r="DD623" i="338" s="1"/>
  <c r="DE296" i="335"/>
  <c r="DK296" i="335"/>
  <c r="DE168" i="335"/>
  <c r="EB350" i="338"/>
  <c r="EE559" i="338"/>
  <c r="EE630" i="338"/>
  <c r="EE676" i="338" s="1"/>
  <c r="AH369" i="335"/>
  <c r="EI338" i="335"/>
  <c r="BA53" i="335"/>
  <c r="AV54" i="335"/>
  <c r="AU53" i="335"/>
  <c r="AW52" i="335"/>
  <c r="EH15" i="11"/>
  <c r="EH342" i="335"/>
  <c r="EH431" i="338"/>
  <c r="EH333" i="335"/>
  <c r="EH148" i="335"/>
  <c r="EH348" i="335"/>
  <c r="EH163" i="336"/>
  <c r="EH341" i="335"/>
  <c r="EH328" i="335"/>
  <c r="EH154" i="335"/>
  <c r="EH313" i="338"/>
  <c r="EH347" i="335"/>
  <c r="EH157" i="335"/>
  <c r="EH290" i="335"/>
  <c r="EH325" i="338"/>
  <c r="EH334" i="335"/>
  <c r="EH102" i="336"/>
  <c r="EH336" i="335"/>
  <c r="EH99" i="335"/>
  <c r="EH92" i="335"/>
  <c r="EH114" i="338"/>
  <c r="EH49" i="11"/>
  <c r="EH345" i="335"/>
  <c r="EH346" i="335"/>
  <c r="EH331" i="335"/>
  <c r="EH151" i="335"/>
  <c r="EH327" i="338"/>
  <c r="EH93" i="335"/>
  <c r="EH315" i="335"/>
  <c r="EI91" i="335"/>
  <c r="EH339" i="335"/>
  <c r="EN290" i="335"/>
  <c r="EH337" i="335"/>
  <c r="EN92" i="335"/>
  <c r="DE783" i="338"/>
  <c r="DK778" i="338"/>
  <c r="DE778" i="338"/>
  <c r="AC118" i="336"/>
  <c r="AC119" i="336"/>
  <c r="AC116" i="336"/>
  <c r="CG53" i="11"/>
  <c r="BX182" i="335"/>
  <c r="BX170" i="335"/>
  <c r="BX173" i="335"/>
  <c r="BX174" i="335" s="1"/>
  <c r="BX212" i="335"/>
  <c r="BX350" i="335"/>
  <c r="AM369" i="335"/>
  <c r="EI313" i="338"/>
  <c r="AB88" i="335"/>
  <c r="V96" i="335"/>
  <c r="AB286" i="335"/>
  <c r="W311" i="335"/>
  <c r="V88" i="335"/>
  <c r="W89" i="335"/>
  <c r="V286" i="335"/>
  <c r="J169" i="335"/>
  <c r="J144" i="335"/>
  <c r="J388" i="338" s="1"/>
  <c r="BU761" i="338"/>
  <c r="BU756" i="338"/>
  <c r="BU741" i="338"/>
  <c r="CA741" i="338"/>
  <c r="CY729" i="338"/>
  <c r="DE729" i="338"/>
  <c r="CY735" i="338"/>
  <c r="EB119" i="11"/>
  <c r="EH39" i="335"/>
  <c r="EB279" i="335"/>
  <c r="EE41" i="335"/>
  <c r="EB40" i="338"/>
  <c r="EB228" i="338"/>
  <c r="EB229" i="338" s="1"/>
  <c r="EB42" i="335"/>
  <c r="EB723" i="338"/>
  <c r="EB347" i="338"/>
  <c r="AT169" i="335"/>
  <c r="AT144" i="335"/>
  <c r="AW143" i="335"/>
  <c r="W119" i="336"/>
  <c r="W116" i="336"/>
  <c r="W118" i="336"/>
  <c r="X413" i="338"/>
  <c r="Y413" i="338" s="1"/>
  <c r="Y103" i="336"/>
  <c r="BC252" i="336"/>
  <c r="BC250" i="336"/>
  <c r="BC251" i="336"/>
  <c r="BC254" i="336"/>
  <c r="DK168" i="335"/>
  <c r="EH452" i="338"/>
  <c r="EH54" i="335"/>
  <c r="EN53" i="335"/>
  <c r="EF556" i="338"/>
  <c r="EF557" i="338" s="1"/>
  <c r="EF628" i="338"/>
  <c r="EF627" i="338" s="1"/>
  <c r="EF604" i="338"/>
  <c r="EF54" i="335"/>
  <c r="EF452" i="338"/>
  <c r="EL53" i="335"/>
  <c r="EI52" i="335"/>
  <c r="EF53" i="335"/>
  <c r="V298" i="335"/>
  <c r="V212" i="335"/>
  <c r="AB298" i="335"/>
  <c r="AA368" i="335"/>
  <c r="CG761" i="338"/>
  <c r="CM741" i="338"/>
  <c r="CG748" i="338"/>
  <c r="CG756" i="338"/>
  <c r="FO160" i="335"/>
  <c r="U116" i="336"/>
  <c r="U118" i="336"/>
  <c r="U119" i="336"/>
  <c r="X119" i="336"/>
  <c r="Y119" i="336" s="1"/>
  <c r="Y366" i="335"/>
  <c r="X118" i="336"/>
  <c r="X116" i="336"/>
  <c r="Y116" i="336" s="1"/>
  <c r="AE366" i="335"/>
  <c r="AD119" i="336"/>
  <c r="AE119" i="336" s="1"/>
  <c r="AD118" i="336"/>
  <c r="AD116" i="336"/>
  <c r="AE116" i="336" s="1"/>
  <c r="AG116" i="336"/>
  <c r="AG119" i="336"/>
  <c r="AG118" i="336"/>
  <c r="CF257" i="338"/>
  <c r="CI173" i="338"/>
  <c r="CF268" i="338"/>
  <c r="CF262" i="338"/>
  <c r="CF274" i="338"/>
  <c r="EN331" i="338"/>
  <c r="EH331" i="338"/>
  <c r="EH332" i="338"/>
  <c r="EN333" i="338"/>
  <c r="EH630" i="338"/>
  <c r="EH559" i="338"/>
  <c r="CY230" i="338"/>
  <c r="EC298" i="335"/>
  <c r="CM615" i="338"/>
  <c r="CM616" i="338" s="1"/>
  <c r="CM612" i="338"/>
  <c r="CM613" i="338" s="1"/>
  <c r="FI402" i="335"/>
  <c r="FJ402" i="335" s="1"/>
  <c r="FK402" i="335" s="1"/>
  <c r="FL402" i="335" s="1"/>
  <c r="ES144" i="335"/>
  <c r="ES169" i="335"/>
  <c r="AM460" i="335"/>
  <c r="BH210" i="336"/>
  <c r="BH211" i="336" s="1"/>
  <c r="EK53" i="335"/>
  <c r="FX52" i="335"/>
  <c r="EK452" i="338"/>
  <c r="EO52" i="335"/>
  <c r="EO53" i="335" s="1"/>
  <c r="EL54" i="335"/>
  <c r="EK54" i="335"/>
  <c r="EI556" i="338"/>
  <c r="EI557" i="338" s="1"/>
  <c r="EI628" i="338"/>
  <c r="EI627" i="338" s="1"/>
  <c r="EU160" i="335"/>
  <c r="AM461" i="335"/>
  <c r="EI331" i="338"/>
  <c r="FX53" i="335"/>
  <c r="FX105" i="335"/>
  <c r="FX15" i="335"/>
  <c r="CG254" i="338"/>
  <c r="CM255" i="338" s="1"/>
  <c r="CA765" i="338"/>
  <c r="EO9" i="338"/>
  <c r="EO12" i="338" s="1"/>
  <c r="EO15" i="335"/>
  <c r="EO278" i="335"/>
  <c r="EO43" i="11"/>
  <c r="EO52" i="11" s="1"/>
  <c r="EC105" i="335"/>
  <c r="EC743" i="338"/>
  <c r="EO330" i="338"/>
  <c r="EK332" i="338"/>
  <c r="EK331" i="338"/>
  <c r="EU80" i="335"/>
  <c r="AM375" i="335"/>
  <c r="DU328" i="338"/>
  <c r="CE621" i="338"/>
  <c r="CE622" i="338" s="1"/>
  <c r="CE623" i="338" s="1"/>
  <c r="CK621" i="338"/>
  <c r="CK622" i="338" s="1"/>
  <c r="CK623" i="338" s="1"/>
  <c r="CC521" i="338"/>
  <c r="CC520" i="338"/>
  <c r="EK8" i="338"/>
  <c r="EL13" i="338"/>
  <c r="EL15" i="338" s="1"/>
  <c r="EK13" i="338"/>
  <c r="EK15" i="338" s="1"/>
  <c r="EK12" i="338"/>
  <c r="EK17" i="338" s="1"/>
  <c r="CR206" i="335"/>
  <c r="CR207" i="335" s="1"/>
  <c r="CR494" i="338"/>
  <c r="CU101" i="335"/>
  <c r="DE254" i="338"/>
  <c r="CY765" i="338"/>
  <c r="EQ74" i="11"/>
  <c r="EK78" i="11"/>
  <c r="EK82" i="11" s="1"/>
  <c r="EK104" i="11"/>
  <c r="EK108" i="11" s="1"/>
  <c r="EK112" i="11" s="1"/>
  <c r="ER334" i="338"/>
  <c r="ER21" i="338"/>
  <c r="EX36" i="338"/>
  <c r="EX21" i="338"/>
  <c r="ER33" i="338"/>
  <c r="EO105" i="335"/>
  <c r="CM173" i="338"/>
  <c r="CG239" i="338"/>
  <c r="CG396" i="335" s="1"/>
  <c r="CG173" i="338"/>
  <c r="CS254" i="338"/>
  <c r="CS255" i="338" s="1"/>
  <c r="CS765" i="338"/>
  <c r="EK345" i="335"/>
  <c r="EK431" i="338"/>
  <c r="EK348" i="335"/>
  <c r="EK49" i="11"/>
  <c r="EK58" i="11" s="1"/>
  <c r="EK346" i="335"/>
  <c r="EK315" i="335"/>
  <c r="EK313" i="338"/>
  <c r="EK329" i="335"/>
  <c r="EK328" i="335"/>
  <c r="EK163" i="336"/>
  <c r="EK327" i="338"/>
  <c r="EK328" i="338" s="1"/>
  <c r="EK347" i="335"/>
  <c r="EK99" i="335"/>
  <c r="EK343" i="335"/>
  <c r="EK341" i="335"/>
  <c r="EK333" i="335"/>
  <c r="EK92" i="335"/>
  <c r="EK15" i="11"/>
  <c r="EK157" i="335"/>
  <c r="EK102" i="336"/>
  <c r="EK385" i="335" s="1"/>
  <c r="EK151" i="335"/>
  <c r="EK342" i="335"/>
  <c r="EK143" i="335"/>
  <c r="EK331" i="335"/>
  <c r="EK114" i="338"/>
  <c r="EK336" i="335"/>
  <c r="EK334" i="335"/>
  <c r="EK93" i="335"/>
  <c r="EK325" i="338"/>
  <c r="EK326" i="338" s="1"/>
  <c r="EK148" i="335"/>
  <c r="EK154" i="335"/>
  <c r="EK290" i="335"/>
  <c r="EK337" i="335"/>
  <c r="DI212" i="335"/>
  <c r="DI213" i="335" s="1"/>
  <c r="DI350" i="335"/>
  <c r="DI173" i="335"/>
  <c r="DI174" i="335" s="1"/>
  <c r="DI195" i="335"/>
  <c r="DI170" i="335"/>
  <c r="BL392" i="335"/>
  <c r="BL145" i="336"/>
  <c r="BL111" i="336"/>
  <c r="BO347" i="335"/>
  <c r="BO99" i="335"/>
  <c r="BO329" i="335"/>
  <c r="BO330" i="335"/>
  <c r="BO154" i="335"/>
  <c r="BO92" i="335"/>
  <c r="BO100" i="335" s="1"/>
  <c r="BO114" i="338"/>
  <c r="BO151" i="335"/>
  <c r="BO290" i="335"/>
  <c r="BO342" i="335"/>
  <c r="BO331" i="335"/>
  <c r="BO15" i="11"/>
  <c r="BO27" i="11" s="1"/>
  <c r="BO343" i="335"/>
  <c r="BO338" i="335"/>
  <c r="BO718" i="338"/>
  <c r="BO341" i="335"/>
  <c r="BO143" i="335"/>
  <c r="BO346" i="335"/>
  <c r="BO339" i="335"/>
  <c r="BN123" i="336"/>
  <c r="BO123" i="336" s="1"/>
  <c r="BO148" i="335"/>
  <c r="BO345" i="335"/>
  <c r="BO328" i="335"/>
  <c r="BO337" i="335"/>
  <c r="BO336" i="335"/>
  <c r="DY235" i="338"/>
  <c r="ER338" i="335"/>
  <c r="ER339" i="335"/>
  <c r="ER431" i="338"/>
  <c r="ER329" i="335"/>
  <c r="ER337" i="335"/>
  <c r="ER114" i="338"/>
  <c r="ER160" i="338" s="1"/>
  <c r="ER313" i="338"/>
  <c r="ER163" i="336"/>
  <c r="ER346" i="335"/>
  <c r="ER334" i="335"/>
  <c r="ER157" i="335"/>
  <c r="ER49" i="11"/>
  <c r="ER15" i="11"/>
  <c r="ER341" i="335"/>
  <c r="ER333" i="335"/>
  <c r="ER154" i="335"/>
  <c r="ER148" i="335"/>
  <c r="ER345" i="335"/>
  <c r="ER325" i="338"/>
  <c r="ER343" i="335"/>
  <c r="ER143" i="335"/>
  <c r="ER99" i="335"/>
  <c r="ER206" i="335" s="1"/>
  <c r="ER207" i="335" s="1"/>
  <c r="ER151" i="335"/>
  <c r="ER102" i="336"/>
  <c r="ER385" i="335" s="1"/>
  <c r="ER327" i="338"/>
  <c r="ER348" i="335"/>
  <c r="ER331" i="335"/>
  <c r="ER328" i="335"/>
  <c r="ER342" i="335"/>
  <c r="ER347" i="335"/>
  <c r="ER336" i="335"/>
  <c r="EM468" i="338"/>
  <c r="ER330" i="338"/>
  <c r="ER9" i="338"/>
  <c r="EX17" i="338" s="1"/>
  <c r="EQ162" i="336"/>
  <c r="ER42" i="335"/>
  <c r="ER280" i="335" s="1"/>
  <c r="ER15" i="335"/>
  <c r="EE658" i="338"/>
  <c r="EE657" i="338" s="1"/>
  <c r="EE656" i="338" s="1"/>
  <c r="EE628" i="338"/>
  <c r="EE627" i="338" s="1"/>
  <c r="EE664" i="338"/>
  <c r="EE663" i="338" s="1"/>
  <c r="EE662" i="338" s="1"/>
  <c r="EE652" i="338"/>
  <c r="EE651" i="338" s="1"/>
  <c r="EE640" i="338"/>
  <c r="EE639" i="338" s="1"/>
  <c r="EE670" i="338"/>
  <c r="EE669" i="338" s="1"/>
  <c r="EE668" i="338" s="1"/>
  <c r="EE646" i="338"/>
  <c r="EE645" i="338" s="1"/>
  <c r="EE644" i="338" s="1"/>
  <c r="EE606" i="338"/>
  <c r="EE634" i="338"/>
  <c r="EE633" i="338" s="1"/>
  <c r="EE632" i="338" s="1"/>
  <c r="EE613" i="338"/>
  <c r="EE681" i="338" s="1"/>
  <c r="EE684" i="338" s="1"/>
  <c r="EE689" i="338" s="1"/>
  <c r="EE638" i="338"/>
  <c r="EF38" i="11"/>
  <c r="EF39" i="11" s="1"/>
  <c r="DY161" i="338"/>
  <c r="EB125" i="336"/>
  <c r="DU39" i="338"/>
  <c r="CX53" i="338"/>
  <c r="EF27" i="11"/>
  <c r="EF33" i="11" s="1"/>
  <c r="EF67" i="11" s="1"/>
  <c r="BY14" i="11"/>
  <c r="BY358" i="335" s="1"/>
  <c r="BY356" i="335" s="1"/>
  <c r="AJ162" i="338"/>
  <c r="AU162" i="338"/>
  <c r="AU164" i="338" s="1"/>
  <c r="CD668" i="338"/>
  <c r="CD675" i="338"/>
  <c r="CD683" i="338" s="1"/>
  <c r="BQ656" i="338"/>
  <c r="BQ675" i="338"/>
  <c r="BQ683" i="338" s="1"/>
  <c r="DY650" i="338"/>
  <c r="DU626" i="338"/>
  <c r="DU675" i="338"/>
  <c r="DU683" i="338" s="1"/>
  <c r="DU688" i="338" s="1"/>
  <c r="DD668" i="338"/>
  <c r="DW638" i="338"/>
  <c r="DW678" i="338"/>
  <c r="DW687" i="338" s="1"/>
  <c r="BQ674" i="338"/>
  <c r="EY390" i="335"/>
  <c r="EZ319" i="338"/>
  <c r="EZ300" i="338" s="1"/>
  <c r="EA684" i="338"/>
  <c r="EA689" i="338" s="1"/>
  <c r="DI662" i="338"/>
  <c r="BM668" i="338"/>
  <c r="DD626" i="338"/>
  <c r="BN676" i="338"/>
  <c r="DK683" i="338"/>
  <c r="DK688" i="338" s="1"/>
  <c r="EA283" i="338"/>
  <c r="DU387" i="335"/>
  <c r="DU316" i="338"/>
  <c r="DU283" i="338"/>
  <c r="BC780" i="338"/>
  <c r="BC300" i="338"/>
  <c r="CS656" i="338"/>
  <c r="EU633" i="338"/>
  <c r="EZ313" i="335"/>
  <c r="DI632" i="338"/>
  <c r="DI675" i="338"/>
  <c r="DI683" i="338" s="1"/>
  <c r="DI688" i="338" s="1"/>
  <c r="EA37" i="338"/>
  <c r="DJ214" i="338"/>
  <c r="BE615" i="338"/>
  <c r="BE616" i="338" s="1"/>
  <c r="BK621" i="338" s="1"/>
  <c r="BK622" i="338" s="1"/>
  <c r="BK623" i="338" s="1"/>
  <c r="BE607" i="338"/>
  <c r="CK656" i="338"/>
  <c r="BB144" i="336"/>
  <c r="BB382" i="335"/>
  <c r="BC83" i="3"/>
  <c r="BC382" i="335" s="1"/>
  <c r="DQ142" i="336"/>
  <c r="BI75" i="3"/>
  <c r="DE142" i="336"/>
  <c r="BO84" i="3"/>
  <c r="BN85" i="3"/>
  <c r="BO85" i="3" s="1"/>
  <c r="DB135" i="336"/>
  <c r="DB137" i="336"/>
  <c r="DB139" i="336"/>
  <c r="DB140" i="336" s="1"/>
  <c r="DC134" i="336"/>
  <c r="DC137" i="336" s="1"/>
  <c r="CQ201" i="335"/>
  <c r="CQ202" i="335" s="1"/>
  <c r="CQ203" i="335" s="1"/>
  <c r="CQ458" i="335"/>
  <c r="CQ114" i="3"/>
  <c r="CQ460" i="335"/>
  <c r="CQ503" i="338"/>
  <c r="CQ461" i="335"/>
  <c r="CQ375" i="335"/>
  <c r="DB214" i="335"/>
  <c r="DB182" i="335"/>
  <c r="CG296" i="335"/>
  <c r="CQ459" i="335"/>
  <c r="EQ331" i="338"/>
  <c r="EQ332" i="338"/>
  <c r="CA296" i="335"/>
  <c r="CR615" i="338"/>
  <c r="CR616" i="338" s="1"/>
  <c r="AA351" i="335"/>
  <c r="AA189" i="335"/>
  <c r="CM395" i="338"/>
  <c r="CI395" i="338"/>
  <c r="DZ119" i="336"/>
  <c r="DZ116" i="336"/>
  <c r="DZ118" i="336"/>
  <c r="DT53" i="335"/>
  <c r="DT54" i="335"/>
  <c r="DT452" i="338"/>
  <c r="FU52" i="335"/>
  <c r="FU53" i="335" s="1"/>
  <c r="DZ53" i="335"/>
  <c r="EO288" i="335"/>
  <c r="EO46" i="11"/>
  <c r="EU55" i="11" s="1"/>
  <c r="CE430" i="338"/>
  <c r="CE493" i="338" s="1"/>
  <c r="CE429" i="338"/>
  <c r="EM432" i="338"/>
  <c r="ES9" i="338"/>
  <c r="ES303" i="335"/>
  <c r="ES278" i="335"/>
  <c r="ES16" i="335"/>
  <c r="ES15" i="335"/>
  <c r="ES52" i="335"/>
  <c r="DB209" i="336"/>
  <c r="DE209" i="336" s="1"/>
  <c r="DE229" i="335"/>
  <c r="BY67" i="11"/>
  <c r="BY162" i="338" s="1"/>
  <c r="DE609" i="338"/>
  <c r="DE292" i="335"/>
  <c r="DK292" i="335"/>
  <c r="DA350" i="335"/>
  <c r="DA173" i="335"/>
  <c r="DA174" i="335" s="1"/>
  <c r="DA212" i="335"/>
  <c r="DA213" i="335" s="1"/>
  <c r="DB323" i="335"/>
  <c r="DA298" i="335"/>
  <c r="DG298" i="335"/>
  <c r="DC368" i="335"/>
  <c r="DA323" i="335"/>
  <c r="DA170" i="335"/>
  <c r="CD113" i="336"/>
  <c r="CD392" i="335"/>
  <c r="CD145" i="336"/>
  <c r="CD112" i="336"/>
  <c r="CD123" i="336"/>
  <c r="CJ123" i="336" s="1"/>
  <c r="CD111" i="336"/>
  <c r="CE111" i="336" s="1"/>
  <c r="CF111" i="336" s="1"/>
  <c r="CG111" i="336" s="1"/>
  <c r="CD369" i="335"/>
  <c r="DZ481" i="338"/>
  <c r="CP213" i="335"/>
  <c r="CP215" i="335"/>
  <c r="CW621" i="338"/>
  <c r="CW622" i="338" s="1"/>
  <c r="CW623" i="338" s="1"/>
  <c r="EU741" i="338"/>
  <c r="CX681" i="338"/>
  <c r="CX684" i="338" s="1"/>
  <c r="CX689" i="338" s="1"/>
  <c r="CR681" i="338"/>
  <c r="C185" i="335"/>
  <c r="C187" i="335"/>
  <c r="CD173" i="335"/>
  <c r="CD174" i="335" s="1"/>
  <c r="CD298" i="335"/>
  <c r="CD323" i="335"/>
  <c r="CD350" i="335"/>
  <c r="CD170" i="335"/>
  <c r="CD212" i="335"/>
  <c r="CD182" i="335"/>
  <c r="FK100" i="338"/>
  <c r="FK132" i="335"/>
  <c r="FK12" i="336" s="1"/>
  <c r="FK62" i="335"/>
  <c r="BY494" i="338"/>
  <c r="BY495" i="338" s="1"/>
  <c r="BY101" i="335"/>
  <c r="BY206" i="335"/>
  <c r="BY207" i="335" s="1"/>
  <c r="CP185" i="335"/>
  <c r="CP187" i="335"/>
  <c r="CX53" i="335"/>
  <c r="CU54" i="335"/>
  <c r="CR54" i="335"/>
  <c r="CR53" i="335"/>
  <c r="CS52" i="335"/>
  <c r="R218" i="335"/>
  <c r="R217" i="335"/>
  <c r="R184" i="335" s="1"/>
  <c r="CC369" i="335"/>
  <c r="CC392" i="335"/>
  <c r="CC112" i="336"/>
  <c r="CC113" i="336"/>
  <c r="CC111" i="336"/>
  <c r="CC123" i="336"/>
  <c r="CI123" i="336" s="1"/>
  <c r="CC145" i="336"/>
  <c r="BY144" i="335"/>
  <c r="BY169" i="335"/>
  <c r="CL395" i="338"/>
  <c r="J163" i="338"/>
  <c r="DQ57" i="338"/>
  <c r="BB368" i="335"/>
  <c r="BA170" i="335"/>
  <c r="BA350" i="335"/>
  <c r="BC169" i="335"/>
  <c r="BA212" i="335"/>
  <c r="BA182" i="335"/>
  <c r="EW224" i="338"/>
  <c r="EW225" i="338" s="1"/>
  <c r="EW229" i="338"/>
  <c r="FG138" i="335"/>
  <c r="GA138" i="335"/>
  <c r="ET636" i="338"/>
  <c r="FK25" i="335"/>
  <c r="FM23" i="335"/>
  <c r="ET317" i="338"/>
  <c r="EU316" i="338"/>
  <c r="CE91" i="335"/>
  <c r="CG87" i="335"/>
  <c r="CE88" i="335"/>
  <c r="FO87" i="335"/>
  <c r="CE96" i="335"/>
  <c r="CE311" i="335"/>
  <c r="CK286" i="335"/>
  <c r="CE89" i="335"/>
  <c r="CE286" i="335"/>
  <c r="CK88" i="335"/>
  <c r="BI292" i="335"/>
  <c r="BI343" i="335"/>
  <c r="BO292" i="335"/>
  <c r="BI609" i="338"/>
  <c r="AY54" i="335"/>
  <c r="BE53" i="335"/>
  <c r="AZ54" i="335"/>
  <c r="BC52" i="335"/>
  <c r="EA279" i="335"/>
  <c r="EA119" i="11"/>
  <c r="EC39" i="335"/>
  <c r="EA40" i="338"/>
  <c r="EA41" i="335"/>
  <c r="EA228" i="338"/>
  <c r="EA229" i="338" s="1"/>
  <c r="EG39" i="335"/>
  <c r="EB304" i="335"/>
  <c r="EB41" i="335"/>
  <c r="EA42" i="335"/>
  <c r="EA304" i="335"/>
  <c r="EA329" i="335"/>
  <c r="AO118" i="336"/>
  <c r="AO116" i="336"/>
  <c r="AO119" i="336"/>
  <c r="BX162" i="338"/>
  <c r="BX164" i="338" s="1"/>
  <c r="AD393" i="335"/>
  <c r="AE365" i="335"/>
  <c r="AD394" i="335"/>
  <c r="AD113" i="336"/>
  <c r="AE113" i="336" s="1"/>
  <c r="AD392" i="335"/>
  <c r="AD112" i="336"/>
  <c r="AE102" i="336"/>
  <c r="AD385" i="335"/>
  <c r="AE385" i="335" s="1"/>
  <c r="AE391" i="338" s="1"/>
  <c r="BS199" i="335"/>
  <c r="EI292" i="335"/>
  <c r="DT55" i="11"/>
  <c r="AE37" i="11"/>
  <c r="DQ395" i="338"/>
  <c r="G113" i="338"/>
  <c r="BI241" i="335"/>
  <c r="M298" i="335"/>
  <c r="BG220" i="335"/>
  <c r="ER247" i="338"/>
  <c r="ER246" i="338"/>
  <c r="CA241" i="335"/>
  <c r="FW39" i="335"/>
  <c r="BQ612" i="338"/>
  <c r="BQ613" i="338" s="1"/>
  <c r="BQ615" i="338"/>
  <c r="BQ616" i="338" s="1"/>
  <c r="CW96" i="335"/>
  <c r="CW88" i="335"/>
  <c r="CW91" i="335"/>
  <c r="DC88" i="335"/>
  <c r="CW286" i="335"/>
  <c r="FR87" i="335"/>
  <c r="CW89" i="335"/>
  <c r="CX89" i="335"/>
  <c r="CO311" i="335"/>
  <c r="CO91" i="335"/>
  <c r="CU286" i="335"/>
  <c r="CS87" i="335"/>
  <c r="CU88" i="335"/>
  <c r="CO286" i="335"/>
  <c r="CO89" i="335"/>
  <c r="CO88" i="335"/>
  <c r="CO96" i="335"/>
  <c r="CS96" i="335" s="1"/>
  <c r="CP311" i="335"/>
  <c r="BH413" i="338"/>
  <c r="BI413" i="338" s="1"/>
  <c r="BI103" i="336"/>
  <c r="BQ339" i="335"/>
  <c r="BQ331" i="335"/>
  <c r="BQ345" i="335"/>
  <c r="BQ325" i="338"/>
  <c r="BU325" i="338" s="1"/>
  <c r="BQ343" i="335"/>
  <c r="BQ102" i="336"/>
  <c r="BQ385" i="335" s="1"/>
  <c r="BQ348" i="335"/>
  <c r="BQ15" i="11"/>
  <c r="BQ27" i="11" s="1"/>
  <c r="BQ337" i="335"/>
  <c r="BQ336" i="335"/>
  <c r="BQ347" i="335"/>
  <c r="BQ330" i="335"/>
  <c r="BQ341" i="335"/>
  <c r="BQ342" i="335"/>
  <c r="BQ313" i="338"/>
  <c r="BU313" i="338" s="1"/>
  <c r="BQ49" i="11"/>
  <c r="BQ58" i="11" s="1"/>
  <c r="BQ151" i="335"/>
  <c r="BQ346" i="335"/>
  <c r="BQ92" i="335"/>
  <c r="BQ100" i="335" s="1"/>
  <c r="BQ328" i="335"/>
  <c r="BQ148" i="335"/>
  <c r="BR315" i="335"/>
  <c r="BU91" i="335"/>
  <c r="BT365" i="335"/>
  <c r="BQ327" i="338"/>
  <c r="BU327" i="338" s="1"/>
  <c r="BQ93" i="335"/>
  <c r="BQ101" i="335" s="1"/>
  <c r="BR365" i="335"/>
  <c r="BQ338" i="335"/>
  <c r="BQ315" i="335"/>
  <c r="BQ290" i="335"/>
  <c r="BQ163" i="336"/>
  <c r="BQ154" i="335"/>
  <c r="BQ114" i="338"/>
  <c r="BQ160" i="338" s="1"/>
  <c r="BQ163" i="338" s="1"/>
  <c r="BQ365" i="335"/>
  <c r="BQ99" i="335"/>
  <c r="BQ206" i="335" s="1"/>
  <c r="BS365" i="335"/>
  <c r="BQ329" i="335"/>
  <c r="AY116" i="336"/>
  <c r="AY118" i="336"/>
  <c r="AY119" i="336"/>
  <c r="CA738" i="338"/>
  <c r="CA735" i="338"/>
  <c r="CA729" i="338"/>
  <c r="CG729" i="338"/>
  <c r="BU296" i="335"/>
  <c r="BI755" i="338"/>
  <c r="BO755" i="338"/>
  <c r="BI763" i="338"/>
  <c r="BI756" i="338"/>
  <c r="DK64" i="335"/>
  <c r="DP64" i="335"/>
  <c r="FT64" i="335"/>
  <c r="EO167" i="338"/>
  <c r="EI167" i="338"/>
  <c r="BF144" i="11"/>
  <c r="BC139" i="11"/>
  <c r="BI144" i="11" s="1"/>
  <c r="BO266" i="338"/>
  <c r="BU266" i="338"/>
  <c r="AK367" i="335"/>
  <c r="AJ369" i="335"/>
  <c r="AJ116" i="336"/>
  <c r="AK116" i="336" s="1"/>
  <c r="AK366" i="335"/>
  <c r="AJ119" i="336"/>
  <c r="AK119" i="336" s="1"/>
  <c r="AJ118" i="336"/>
  <c r="DN229" i="335"/>
  <c r="DO228" i="335"/>
  <c r="CG240" i="335"/>
  <c r="CG241" i="335" s="1"/>
  <c r="CG254" i="336"/>
  <c r="CG248" i="335"/>
  <c r="CG249" i="335" s="1"/>
  <c r="EF465" i="338"/>
  <c r="EF464" i="338"/>
  <c r="EQ247" i="338"/>
  <c r="EK246" i="338"/>
  <c r="EK247" i="338"/>
  <c r="EL246" i="338"/>
  <c r="DB173" i="338"/>
  <c r="CV173" i="338"/>
  <c r="CX268" i="338"/>
  <c r="CX257" i="338"/>
  <c r="CX262" i="338"/>
  <c r="CX274" i="338"/>
  <c r="BU54" i="11"/>
  <c r="BR93" i="335"/>
  <c r="BR101" i="335" s="1"/>
  <c r="ET467" i="338"/>
  <c r="ER92" i="335"/>
  <c r="ER290" i="335"/>
  <c r="EL143" i="335"/>
  <c r="EL102" i="336"/>
  <c r="EL385" i="335" s="1"/>
  <c r="EL15" i="11"/>
  <c r="EL342" i="335"/>
  <c r="EL327" i="338"/>
  <c r="EL341" i="335"/>
  <c r="EL154" i="335"/>
  <c r="EL157" i="335"/>
  <c r="EL346" i="335"/>
  <c r="EL92" i="335"/>
  <c r="EL325" i="338"/>
  <c r="EL326" i="338" s="1"/>
  <c r="EL431" i="338"/>
  <c r="EM433" i="338" s="1"/>
  <c r="EL151" i="335"/>
  <c r="EL148" i="335"/>
  <c r="EL334" i="335"/>
  <c r="EL163" i="336"/>
  <c r="EL290" i="335"/>
  <c r="EL336" i="335"/>
  <c r="EL333" i="335"/>
  <c r="EL343" i="335"/>
  <c r="EL365" i="335"/>
  <c r="EL369" i="335" s="1"/>
  <c r="EL93" i="335"/>
  <c r="EL99" i="335"/>
  <c r="EL348" i="335"/>
  <c r="EO91" i="335"/>
  <c r="EL313" i="338"/>
  <c r="EO313" i="338" s="1"/>
  <c r="EL49" i="11"/>
  <c r="EL58" i="11" s="1"/>
  <c r="EL328" i="335"/>
  <c r="EL331" i="335"/>
  <c r="EL315" i="335"/>
  <c r="EL345" i="335"/>
  <c r="EL347" i="335"/>
  <c r="EL338" i="335"/>
  <c r="EN365" i="335"/>
  <c r="EL114" i="338"/>
  <c r="EL337" i="335"/>
  <c r="DW266" i="338"/>
  <c r="CU185" i="335"/>
  <c r="CU187" i="335"/>
  <c r="EI327" i="338"/>
  <c r="EI328" i="338" s="1"/>
  <c r="EF328" i="338"/>
  <c r="CA766" i="338"/>
  <c r="BU774" i="338"/>
  <c r="BU770" i="338"/>
  <c r="DY58" i="11"/>
  <c r="EE58" i="11"/>
  <c r="EB112" i="336"/>
  <c r="EC112" i="336" s="1"/>
  <c r="EI145" i="336"/>
  <c r="EC365" i="335"/>
  <c r="EB111" i="336"/>
  <c r="EC111" i="336" s="1"/>
  <c r="FS154" i="335"/>
  <c r="FS151" i="335"/>
  <c r="FS148" i="335"/>
  <c r="BR162" i="338"/>
  <c r="DW144" i="335"/>
  <c r="DW388" i="338" s="1"/>
  <c r="DC52" i="11"/>
  <c r="DI52" i="11"/>
  <c r="DH274" i="338"/>
  <c r="DH268" i="338"/>
  <c r="DG262" i="338"/>
  <c r="DG274" i="338"/>
  <c r="DH262" i="338"/>
  <c r="DG268" i="338"/>
  <c r="DI173" i="338"/>
  <c r="DG257" i="338"/>
  <c r="DC173" i="338"/>
  <c r="DH257" i="338"/>
  <c r="DE48" i="11"/>
  <c r="DE139" i="335"/>
  <c r="DE87" i="335"/>
  <c r="DE286" i="335"/>
  <c r="FP139" i="335"/>
  <c r="CA292" i="335"/>
  <c r="BU609" i="338"/>
  <c r="CS54" i="11"/>
  <c r="CM54" i="11"/>
  <c r="BI296" i="335"/>
  <c r="BI348" i="335"/>
  <c r="EN179" i="335"/>
  <c r="EM176" i="335"/>
  <c r="AW348" i="335"/>
  <c r="CA317" i="338"/>
  <c r="CG317" i="338"/>
  <c r="BU241" i="335"/>
  <c r="CJ494" i="338"/>
  <c r="CJ206" i="335"/>
  <c r="CJ207" i="335" s="1"/>
  <c r="CK101" i="335"/>
  <c r="CJ100" i="335"/>
  <c r="CJ101" i="335"/>
  <c r="CU217" i="335"/>
  <c r="CU218" i="335"/>
  <c r="CA255" i="338"/>
  <c r="CA244" i="335" s="1"/>
  <c r="CG255" i="338"/>
  <c r="CG244" i="335" s="1"/>
  <c r="EC99" i="335"/>
  <c r="EC100" i="335" s="1"/>
  <c r="DY100" i="335"/>
  <c r="DZ101" i="335"/>
  <c r="EE100" i="335"/>
  <c r="DY206" i="335"/>
  <c r="EG392" i="335"/>
  <c r="EG122" i="336"/>
  <c r="EG145" i="336"/>
  <c r="E458" i="335"/>
  <c r="E375" i="335"/>
  <c r="E461" i="335"/>
  <c r="E459" i="335"/>
  <c r="E460" i="335"/>
  <c r="EQ54" i="11"/>
  <c r="BM462" i="335"/>
  <c r="BS158" i="335"/>
  <c r="BC206" i="335"/>
  <c r="BC207" i="335" s="1"/>
  <c r="EG675" i="338"/>
  <c r="DY409" i="338"/>
  <c r="DB328" i="338"/>
  <c r="AD169" i="335"/>
  <c r="AD298" i="335" s="1"/>
  <c r="F113" i="338"/>
  <c r="DC392" i="335"/>
  <c r="EG113" i="336"/>
  <c r="EG394" i="338" s="1"/>
  <c r="ER556" i="338"/>
  <c r="ER557" i="338" s="1"/>
  <c r="BU292" i="335"/>
  <c r="CM296" i="335"/>
  <c r="AY53" i="335"/>
  <c r="DJ91" i="335"/>
  <c r="DJ96" i="335"/>
  <c r="DK96" i="335" s="1"/>
  <c r="DJ88" i="335"/>
  <c r="DJ89" i="335"/>
  <c r="CL89" i="335"/>
  <c r="CL286" i="335"/>
  <c r="CL88" i="335"/>
  <c r="CR88" i="335"/>
  <c r="CL91" i="335"/>
  <c r="FP87" i="335"/>
  <c r="FQ88" i="335" s="1"/>
  <c r="CR286" i="335"/>
  <c r="CL96" i="335"/>
  <c r="CM87" i="335"/>
  <c r="CL311" i="335"/>
  <c r="BZ413" i="338"/>
  <c r="CA413" i="338" s="1"/>
  <c r="CA103" i="336"/>
  <c r="BB257" i="338"/>
  <c r="AY173" i="338"/>
  <c r="AZ257" i="338"/>
  <c r="BA257" i="338"/>
  <c r="BE173" i="338"/>
  <c r="AY257" i="338"/>
  <c r="F368" i="335"/>
  <c r="F212" i="335"/>
  <c r="F350" i="335"/>
  <c r="F182" i="335"/>
  <c r="F170" i="335"/>
  <c r="F389" i="338" s="1"/>
  <c r="F298" i="335"/>
  <c r="DS165" i="336"/>
  <c r="DK748" i="338"/>
  <c r="DK741" i="338"/>
  <c r="BO296" i="335"/>
  <c r="BO348" i="335"/>
  <c r="AQ292" i="335"/>
  <c r="AK292" i="335"/>
  <c r="AK343" i="335"/>
  <c r="AJ413" i="338"/>
  <c r="AK413" i="338" s="1"/>
  <c r="AK103" i="336"/>
  <c r="AS118" i="336"/>
  <c r="AS119" i="336"/>
  <c r="AS116" i="336"/>
  <c r="AQ366" i="335"/>
  <c r="AP118" i="336"/>
  <c r="AP116" i="336"/>
  <c r="AQ116" i="336" s="1"/>
  <c r="AP119" i="336"/>
  <c r="AQ119" i="336" s="1"/>
  <c r="BC722" i="338"/>
  <c r="AW734" i="338"/>
  <c r="ER53" i="335"/>
  <c r="ER452" i="338"/>
  <c r="ES54" i="335"/>
  <c r="EA246" i="338"/>
  <c r="EG247" i="338"/>
  <c r="BO241" i="335"/>
  <c r="CP326" i="338"/>
  <c r="DZ432" i="338"/>
  <c r="DZ433" i="338"/>
  <c r="EF392" i="335"/>
  <c r="EF122" i="336"/>
  <c r="EF369" i="335"/>
  <c r="EF111" i="336"/>
  <c r="EF145" i="336"/>
  <c r="EF113" i="336"/>
  <c r="EF112" i="336"/>
  <c r="DZ113" i="336"/>
  <c r="DZ111" i="336"/>
  <c r="DZ392" i="335"/>
  <c r="DZ369" i="335"/>
  <c r="DZ122" i="336"/>
  <c r="DZ112" i="336"/>
  <c r="DZ145" i="336"/>
  <c r="EA112" i="336"/>
  <c r="EA369" i="335"/>
  <c r="EA122" i="336"/>
  <c r="EA113" i="336"/>
  <c r="EA392" i="335"/>
  <c r="EA145" i="336"/>
  <c r="G213" i="335"/>
  <c r="G215" i="335"/>
  <c r="AI217" i="335"/>
  <c r="AI218" i="335"/>
  <c r="E225" i="336"/>
  <c r="E351" i="335"/>
  <c r="E223" i="336"/>
  <c r="E371" i="335"/>
  <c r="E189" i="335"/>
  <c r="E372" i="335" s="1"/>
  <c r="EO748" i="338"/>
  <c r="EQ312" i="335"/>
  <c r="EN45" i="11"/>
  <c r="EN337" i="335"/>
  <c r="EN287" i="335"/>
  <c r="EO761" i="338"/>
  <c r="DU88" i="335"/>
  <c r="DO88" i="335"/>
  <c r="EK64" i="335"/>
  <c r="CO214" i="335"/>
  <c r="CS214" i="335" s="1"/>
  <c r="FP176" i="335"/>
  <c r="CS176" i="335"/>
  <c r="CF96" i="335"/>
  <c r="CF286" i="335"/>
  <c r="CF91" i="335"/>
  <c r="CI311" i="335"/>
  <c r="CF88" i="335"/>
  <c r="CF311" i="335"/>
  <c r="CF89" i="335"/>
  <c r="CI89" i="335"/>
  <c r="EB245" i="338"/>
  <c r="EH243" i="338"/>
  <c r="EC241" i="338"/>
  <c r="EB240" i="338"/>
  <c r="EE242" i="338"/>
  <c r="EB242" i="338"/>
  <c r="AB113" i="336"/>
  <c r="AB145" i="336"/>
  <c r="AB392" i="335"/>
  <c r="AB112" i="336"/>
  <c r="AB394" i="335"/>
  <c r="AB393" i="335"/>
  <c r="EI118" i="336"/>
  <c r="EI395" i="338" s="1"/>
  <c r="EH395" i="338"/>
  <c r="M368" i="335"/>
  <c r="M350" i="335"/>
  <c r="M182" i="335"/>
  <c r="CD433" i="338"/>
  <c r="CD432" i="338"/>
  <c r="EC325" i="338"/>
  <c r="EE326" i="338"/>
  <c r="DW757" i="338"/>
  <c r="DW762" i="338"/>
  <c r="EC719" i="338"/>
  <c r="BI218" i="335"/>
  <c r="EO556" i="338"/>
  <c r="EO557" i="338" s="1"/>
  <c r="EU629" i="338" s="1"/>
  <c r="BA208" i="335"/>
  <c r="DP395" i="338"/>
  <c r="BG207" i="336"/>
  <c r="BG210" i="336" s="1"/>
  <c r="BG211" i="336" s="1"/>
  <c r="BZ326" i="338"/>
  <c r="EG369" i="335"/>
  <c r="ER100" i="335"/>
  <c r="BX118" i="336"/>
  <c r="BX119" i="336"/>
  <c r="BX116" i="336"/>
  <c r="H368" i="335"/>
  <c r="H350" i="335"/>
  <c r="H170" i="335"/>
  <c r="H389" i="338" s="1"/>
  <c r="H182" i="335"/>
  <c r="H298" i="335"/>
  <c r="H212" i="335"/>
  <c r="DI331" i="338"/>
  <c r="DC332" i="338"/>
  <c r="DC333" i="338" s="1"/>
  <c r="DD96" i="335"/>
  <c r="DG89" i="335"/>
  <c r="DD89" i="335"/>
  <c r="DD91" i="335"/>
  <c r="DD88" i="335"/>
  <c r="CY286" i="335"/>
  <c r="CY48" i="11"/>
  <c r="CY87" i="335"/>
  <c r="CY139" i="335"/>
  <c r="BO96" i="335"/>
  <c r="BU286" i="335"/>
  <c r="BU88" i="335"/>
  <c r="BO88" i="335"/>
  <c r="BO286" i="335"/>
  <c r="CS56" i="11"/>
  <c r="CM56" i="11"/>
  <c r="BN611" i="338"/>
  <c r="BN612" i="338" s="1"/>
  <c r="BN613" i="338" s="1"/>
  <c r="BO612" i="338"/>
  <c r="BO613" i="338" s="1"/>
  <c r="BO615" i="338"/>
  <c r="BO616" i="338" s="1"/>
  <c r="CA778" i="338"/>
  <c r="BU778" i="338"/>
  <c r="BH610" i="338"/>
  <c r="BI615" i="338"/>
  <c r="BI616" i="338" s="1"/>
  <c r="BI621" i="338" s="1"/>
  <c r="BI622" i="338" s="1"/>
  <c r="BI623" i="338" s="1"/>
  <c r="DK65" i="335"/>
  <c r="DP65" i="335"/>
  <c r="FT65" i="335"/>
  <c r="EG467" i="338"/>
  <c r="EG468" i="338"/>
  <c r="BI765" i="338"/>
  <c r="BI254" i="338"/>
  <c r="BO765" i="338"/>
  <c r="BO254" i="338"/>
  <c r="AN118" i="336"/>
  <c r="AN119" i="336"/>
  <c r="AN116" i="336"/>
  <c r="BI721" i="338"/>
  <c r="BO726" i="338"/>
  <c r="BI726" i="338"/>
  <c r="EN240" i="338"/>
  <c r="EN243" i="338"/>
  <c r="EN245" i="338"/>
  <c r="EQ242" i="338"/>
  <c r="EO241" i="338"/>
  <c r="EN242" i="338"/>
  <c r="BC316" i="338"/>
  <c r="BI317" i="338" s="1"/>
  <c r="BC726" i="338"/>
  <c r="BY621" i="338"/>
  <c r="BY622" i="338" s="1"/>
  <c r="BY623" i="338" s="1"/>
  <c r="DK756" i="338"/>
  <c r="EL430" i="338"/>
  <c r="EG433" i="338"/>
  <c r="EF432" i="338"/>
  <c r="EL429" i="338"/>
  <c r="EF144" i="335"/>
  <c r="EF169" i="335"/>
  <c r="EF206" i="335"/>
  <c r="FW99" i="335"/>
  <c r="EF100" i="335"/>
  <c r="EF101" i="335"/>
  <c r="ES89" i="11"/>
  <c r="EO89" i="11"/>
  <c r="EO93" i="11" s="1"/>
  <c r="EO97" i="11" s="1"/>
  <c r="EM93" i="11"/>
  <c r="EM97" i="11" s="1"/>
  <c r="EK112" i="336"/>
  <c r="EK394" i="338" s="1"/>
  <c r="EK122" i="336"/>
  <c r="EK145" i="336"/>
  <c r="EK113" i="336"/>
  <c r="EK111" i="336"/>
  <c r="EK392" i="335"/>
  <c r="EI99" i="335"/>
  <c r="EG101" i="335"/>
  <c r="EG100" i="335"/>
  <c r="EH101" i="335"/>
  <c r="EG206" i="335"/>
  <c r="EG207" i="335" s="1"/>
  <c r="EH394" i="335"/>
  <c r="EH111" i="336"/>
  <c r="EI111" i="336" s="1"/>
  <c r="EH122" i="336"/>
  <c r="EH145" i="336"/>
  <c r="EH113" i="336"/>
  <c r="EI113" i="336" s="1"/>
  <c r="EH392" i="335"/>
  <c r="EI365" i="335"/>
  <c r="EH112" i="336"/>
  <c r="GB17" i="335"/>
  <c r="AD14" i="11"/>
  <c r="AD358" i="335" s="1"/>
  <c r="AD356" i="335" s="1"/>
  <c r="DB113" i="338"/>
  <c r="DZ19" i="338"/>
  <c r="DZ13" i="338"/>
  <c r="EB113" i="338"/>
  <c r="AA8" i="338"/>
  <c r="AG8" i="338"/>
  <c r="DY13" i="338"/>
  <c r="DY15" i="338" s="1"/>
  <c r="DY12" i="338"/>
  <c r="DY17" i="338" s="1"/>
  <c r="DY108" i="11"/>
  <c r="DY112" i="11" s="1"/>
  <c r="DI235" i="338"/>
  <c r="DO233" i="338"/>
  <c r="DH235" i="338"/>
  <c r="DN236" i="338" s="1"/>
  <c r="DN233" i="338"/>
  <c r="DK232" i="338"/>
  <c r="DM233" i="338"/>
  <c r="DG235" i="338"/>
  <c r="EA233" i="338"/>
  <c r="EA235" i="338"/>
  <c r="EA236" i="338" s="1"/>
  <c r="FL172" i="338"/>
  <c r="FL173" i="338" s="1"/>
  <c r="EB163" i="338"/>
  <c r="EE8" i="338"/>
  <c r="DY8" i="338"/>
  <c r="Y113" i="338"/>
  <c r="DT12" i="338"/>
  <c r="DT17" i="338" s="1"/>
  <c r="AJ27" i="11"/>
  <c r="DY95" i="338"/>
  <c r="DZ8" i="338"/>
  <c r="CV160" i="338"/>
  <c r="AD37" i="11"/>
  <c r="DT13" i="338"/>
  <c r="DT15" i="338" s="1"/>
  <c r="AD27" i="11"/>
  <c r="GA18" i="335"/>
  <c r="DZ17" i="338"/>
  <c r="DZ18" i="338" s="1"/>
  <c r="BW8" i="338"/>
  <c r="AP26" i="11"/>
  <c r="FG18" i="335"/>
  <c r="FI172" i="338"/>
  <c r="FI173" i="338" s="1"/>
  <c r="FI19" i="335"/>
  <c r="FJ19" i="335"/>
  <c r="BI38" i="11"/>
  <c r="E27" i="11"/>
  <c r="BQ13" i="338"/>
  <c r="BQ8" i="338"/>
  <c r="EQ52" i="335"/>
  <c r="EQ303" i="335"/>
  <c r="EQ160" i="336"/>
  <c r="EQ16" i="335"/>
  <c r="EQ42" i="335"/>
  <c r="EQ278" i="335"/>
  <c r="EQ364" i="335"/>
  <c r="FY14" i="335"/>
  <c r="ES364" i="335"/>
  <c r="EQ9" i="338"/>
  <c r="EQ15" i="335"/>
  <c r="ER34" i="338"/>
  <c r="EQ334" i="338"/>
  <c r="EQ22" i="338"/>
  <c r="ER22" i="338"/>
  <c r="ER364" i="335"/>
  <c r="CX215" i="335"/>
  <c r="CY214" i="335"/>
  <c r="GG428" i="338"/>
  <c r="GI428" i="338" s="1"/>
  <c r="GG437" i="338"/>
  <c r="EN317" i="338"/>
  <c r="BZ328" i="338"/>
  <c r="DV116" i="336"/>
  <c r="DW116" i="336" s="1"/>
  <c r="DV118" i="336"/>
  <c r="DW366" i="335"/>
  <c r="DV119" i="336"/>
  <c r="DW119" i="336" s="1"/>
  <c r="EK165" i="336"/>
  <c r="BB220" i="335"/>
  <c r="BH221" i="335" s="1"/>
  <c r="BB219" i="335"/>
  <c r="EU173" i="338"/>
  <c r="EO173" i="338"/>
  <c r="CA88" i="335"/>
  <c r="CG88" i="335"/>
  <c r="CA286" i="335"/>
  <c r="CG286" i="335"/>
  <c r="CW262" i="338"/>
  <c r="CU262" i="338"/>
  <c r="CV262" i="338"/>
  <c r="CR173" i="338"/>
  <c r="CX173" i="338"/>
  <c r="CU268" i="338"/>
  <c r="CU274" i="338"/>
  <c r="CR268" i="338"/>
  <c r="CV274" i="338"/>
  <c r="CR257" i="338"/>
  <c r="CW274" i="338"/>
  <c r="CU257" i="338"/>
  <c r="CR262" i="338"/>
  <c r="CV257" i="338"/>
  <c r="CV268" i="338"/>
  <c r="CR274" i="338"/>
  <c r="CW257" i="338"/>
  <c r="CW268" i="338"/>
  <c r="DT331" i="338"/>
  <c r="DZ331" i="338"/>
  <c r="CF611" i="338"/>
  <c r="CG612" i="338"/>
  <c r="CG613" i="338" s="1"/>
  <c r="BC287" i="335"/>
  <c r="AW253" i="338"/>
  <c r="CY769" i="338"/>
  <c r="CY775" i="338"/>
  <c r="DE769" i="338"/>
  <c r="CY770" i="338"/>
  <c r="DW612" i="338"/>
  <c r="DW613" i="338" s="1"/>
  <c r="DN271" i="338"/>
  <c r="DT289" i="335"/>
  <c r="AU323" i="335"/>
  <c r="AU350" i="335"/>
  <c r="AV323" i="335"/>
  <c r="AU212" i="335"/>
  <c r="AW169" i="335"/>
  <c r="AU170" i="335"/>
  <c r="AU182" i="335"/>
  <c r="AJ218" i="335"/>
  <c r="AJ217" i="335"/>
  <c r="AJ184" i="335" s="1"/>
  <c r="EO17" i="338"/>
  <c r="K217" i="335"/>
  <c r="K184" i="335" s="1"/>
  <c r="K218" i="335"/>
  <c r="CL479" i="338"/>
  <c r="CL478" i="338"/>
  <c r="CI482" i="338"/>
  <c r="CF481" i="338"/>
  <c r="CS172" i="338"/>
  <c r="CY15" i="335"/>
  <c r="CS43" i="11"/>
  <c r="CY52" i="11" s="1"/>
  <c r="CY278" i="335"/>
  <c r="CS278" i="335"/>
  <c r="CS9" i="338"/>
  <c r="CS15" i="335"/>
  <c r="CS105" i="335"/>
  <c r="S296" i="335"/>
  <c r="S366" i="335"/>
  <c r="S348" i="335"/>
  <c r="S367" i="335"/>
  <c r="S369" i="335" s="1"/>
  <c r="Y296" i="335"/>
  <c r="CC52" i="11"/>
  <c r="CC16" i="338" s="1"/>
  <c r="CC18" i="338" s="1"/>
  <c r="BW52" i="11"/>
  <c r="BW16" i="338" s="1"/>
  <c r="CG229" i="338"/>
  <c r="CG230" i="338"/>
  <c r="CS609" i="338"/>
  <c r="CS612" i="338" s="1"/>
  <c r="CS613" i="338" s="1"/>
  <c r="CY292" i="335"/>
  <c r="CS292" i="335"/>
  <c r="CP612" i="338"/>
  <c r="CP613" i="338" s="1"/>
  <c r="CP615" i="338"/>
  <c r="CP616" i="338" s="1"/>
  <c r="EN630" i="338"/>
  <c r="EN559" i="338"/>
  <c r="CG615" i="338"/>
  <c r="CG616" i="338" s="1"/>
  <c r="CV493" i="338"/>
  <c r="CV492" i="338"/>
  <c r="DZ333" i="338"/>
  <c r="DY313" i="335"/>
  <c r="DV338" i="335"/>
  <c r="DV313" i="335"/>
  <c r="DV288" i="335"/>
  <c r="DV46" i="11"/>
  <c r="EN37" i="338"/>
  <c r="FJ53" i="338"/>
  <c r="FJ39" i="338"/>
  <c r="CC257" i="338"/>
  <c r="CC274" i="338"/>
  <c r="CC268" i="338"/>
  <c r="CF173" i="338"/>
  <c r="BZ173" i="338"/>
  <c r="CD257" i="338"/>
  <c r="CE274" i="338"/>
  <c r="CE268" i="338"/>
  <c r="CE262" i="338"/>
  <c r="CD262" i="338"/>
  <c r="CC262" i="338"/>
  <c r="CD268" i="338"/>
  <c r="CD274" i="338"/>
  <c r="CE257" i="338"/>
  <c r="DT245" i="338"/>
  <c r="DT242" i="338"/>
  <c r="DZ243" i="338"/>
  <c r="EC168" i="335"/>
  <c r="EC296" i="335"/>
  <c r="DW296" i="335"/>
  <c r="DW168" i="335"/>
  <c r="DW348" i="335"/>
  <c r="CP317" i="338"/>
  <c r="CV317" i="338"/>
  <c r="EO8" i="338"/>
  <c r="EI12" i="338"/>
  <c r="EI17" i="338" s="1"/>
  <c r="DY52" i="11"/>
  <c r="EE52" i="11"/>
  <c r="EE61" i="11" s="1"/>
  <c r="EE16" i="338" s="1"/>
  <c r="EE96" i="338" s="1"/>
  <c r="EE97" i="338" s="1"/>
  <c r="AM187" i="335"/>
  <c r="ES398" i="335"/>
  <c r="CP173" i="338"/>
  <c r="CL262" i="338"/>
  <c r="CK268" i="338"/>
  <c r="CO257" i="338"/>
  <c r="CL268" i="338"/>
  <c r="CO268" i="338"/>
  <c r="CK262" i="338"/>
  <c r="CL257" i="338"/>
  <c r="CK274" i="338"/>
  <c r="CJ274" i="338"/>
  <c r="CJ257" i="338"/>
  <c r="CL274" i="338"/>
  <c r="CK257" i="338"/>
  <c r="CJ268" i="338"/>
  <c r="CO274" i="338"/>
  <c r="CO262" i="338"/>
  <c r="CJ173" i="338"/>
  <c r="CJ262" i="338"/>
  <c r="CS783" i="338"/>
  <c r="CS778" i="338"/>
  <c r="CY778" i="338"/>
  <c r="FU105" i="335"/>
  <c r="FU15" i="335"/>
  <c r="DW621" i="338"/>
  <c r="DW622" i="338" s="1"/>
  <c r="DW623" i="338" s="1"/>
  <c r="EC621" i="338"/>
  <c r="EC622" i="338" s="1"/>
  <c r="EC623" i="338" s="1"/>
  <c r="DZ52" i="11"/>
  <c r="AW296" i="335"/>
  <c r="AQ296" i="335"/>
  <c r="CQ268" i="338"/>
  <c r="CQ262" i="338"/>
  <c r="CQ274" i="338"/>
  <c r="CW173" i="338"/>
  <c r="CQ173" i="338"/>
  <c r="CQ257" i="338"/>
  <c r="DY452" i="338"/>
  <c r="DY54" i="335"/>
  <c r="DY53" i="335"/>
  <c r="DZ54" i="335"/>
  <c r="EE53" i="335"/>
  <c r="EC52" i="335"/>
  <c r="EI53" i="335" s="1"/>
  <c r="BQ169" i="335"/>
  <c r="BR323" i="335" s="1"/>
  <c r="BQ144" i="335"/>
  <c r="EM453" i="338"/>
  <c r="EM454" i="338"/>
  <c r="BR212" i="335"/>
  <c r="BX298" i="335"/>
  <c r="BR182" i="335"/>
  <c r="BR350" i="335"/>
  <c r="BS323" i="335"/>
  <c r="BR173" i="335"/>
  <c r="BR174" i="335" s="1"/>
  <c r="BR170" i="335"/>
  <c r="EB27" i="11"/>
  <c r="EB33" i="11" s="1"/>
  <c r="EB67" i="11" s="1"/>
  <c r="AC17" i="338"/>
  <c r="AC18" i="338" s="1"/>
  <c r="BG163" i="338"/>
  <c r="BG164" i="338" s="1"/>
  <c r="BA113" i="338"/>
  <c r="BG113" i="338"/>
  <c r="BZ26" i="11"/>
  <c r="DV37" i="11"/>
  <c r="DV39" i="11" s="1"/>
  <c r="BZ12" i="335"/>
  <c r="BK38" i="11"/>
  <c r="BK14" i="11"/>
  <c r="BK358" i="335" s="1"/>
  <c r="BK356" i="335" s="1"/>
  <c r="BK27" i="11"/>
  <c r="BQ17" i="338"/>
  <c r="BQ18" i="338" s="1"/>
  <c r="CJ12" i="335"/>
  <c r="BK161" i="338"/>
  <c r="BK113" i="338"/>
  <c r="BI394" i="338"/>
  <c r="BW108" i="11"/>
  <c r="BI37" i="11"/>
  <c r="Y163" i="338"/>
  <c r="AV12" i="335"/>
  <c r="S160" i="338"/>
  <c r="S163" i="338" s="1"/>
  <c r="BH394" i="338"/>
  <c r="DO169" i="335"/>
  <c r="DU224" i="338"/>
  <c r="DU230" i="338" s="1"/>
  <c r="EA214" i="338"/>
  <c r="EQ119" i="336"/>
  <c r="EQ118" i="336"/>
  <c r="EN101" i="335"/>
  <c r="EM206" i="335"/>
  <c r="CC207" i="335"/>
  <c r="EI72" i="335"/>
  <c r="EI45" i="11" s="1"/>
  <c r="EM287" i="335"/>
  <c r="EB215" i="335"/>
  <c r="EB213" i="335"/>
  <c r="EH338" i="338"/>
  <c r="EG338" i="338"/>
  <c r="Q182" i="335"/>
  <c r="Q212" i="335"/>
  <c r="S212" i="335" s="1"/>
  <c r="S213" i="335" s="1"/>
  <c r="R323" i="335"/>
  <c r="FV170" i="335"/>
  <c r="CC208" i="335"/>
  <c r="CC209" i="335" s="1"/>
  <c r="CU684" i="338"/>
  <c r="CU689" i="338" s="1"/>
  <c r="ET553" i="338"/>
  <c r="ET556" i="338" s="1"/>
  <c r="ET557" i="338" s="1"/>
  <c r="ET91" i="335"/>
  <c r="ET15" i="335"/>
  <c r="ET278" i="335"/>
  <c r="ET9" i="338"/>
  <c r="EU14" i="335"/>
  <c r="EQ337" i="338"/>
  <c r="EQ36" i="338"/>
  <c r="EY119" i="336"/>
  <c r="EZ119" i="336" s="1"/>
  <c r="EY118" i="336"/>
  <c r="EY116" i="336"/>
  <c r="FE116" i="336" s="1"/>
  <c r="FK116" i="336" s="1"/>
  <c r="DS120" i="11"/>
  <c r="DS280" i="335"/>
  <c r="DS305" i="335"/>
  <c r="FU42" i="335"/>
  <c r="DS58" i="338"/>
  <c r="DS43" i="335"/>
  <c r="DS75" i="11" s="1"/>
  <c r="DS44" i="335"/>
  <c r="DT305" i="335"/>
  <c r="DT44" i="335"/>
  <c r="DY43" i="335"/>
  <c r="DY280" i="335"/>
  <c r="DS330" i="335"/>
  <c r="BN144" i="335"/>
  <c r="BN169" i="335"/>
  <c r="BT298" i="335" s="1"/>
  <c r="Y367" i="335"/>
  <c r="Y369" i="335" s="1"/>
  <c r="X369" i="335"/>
  <c r="BW148" i="335"/>
  <c r="BW313" i="338"/>
  <c r="CA313" i="338" s="1"/>
  <c r="BW163" i="336"/>
  <c r="BW348" i="335"/>
  <c r="BW338" i="335"/>
  <c r="BW49" i="11"/>
  <c r="BW315" i="335"/>
  <c r="CA91" i="335"/>
  <c r="BW347" i="335"/>
  <c r="BW143" i="335"/>
  <c r="BW329" i="335"/>
  <c r="BW328" i="335"/>
  <c r="BW93" i="335"/>
  <c r="BW151" i="335"/>
  <c r="BW337" i="335"/>
  <c r="BW345" i="335"/>
  <c r="BW346" i="335"/>
  <c r="BW99" i="335"/>
  <c r="BW154" i="335"/>
  <c r="BW327" i="338"/>
  <c r="BW342" i="335"/>
  <c r="BW102" i="336"/>
  <c r="BW385" i="335" s="1"/>
  <c r="BW330" i="335"/>
  <c r="BW114" i="338"/>
  <c r="BW365" i="335"/>
  <c r="BW331" i="335"/>
  <c r="BW325" i="338"/>
  <c r="BW339" i="335"/>
  <c r="BW290" i="335"/>
  <c r="BX315" i="335"/>
  <c r="BW343" i="335"/>
  <c r="BW92" i="335"/>
  <c r="BW341" i="335"/>
  <c r="BY365" i="335"/>
  <c r="BW336" i="335"/>
  <c r="BZ365" i="335"/>
  <c r="CC290" i="335"/>
  <c r="CC92" i="335"/>
  <c r="BX365" i="335"/>
  <c r="BW431" i="338"/>
  <c r="BW15" i="11"/>
  <c r="BX93" i="335"/>
  <c r="CD482" i="338"/>
  <c r="CD481" i="338"/>
  <c r="CD162" i="338"/>
  <c r="CD507" i="338" s="1"/>
  <c r="L215" i="335"/>
  <c r="L213" i="335"/>
  <c r="EB100" i="335"/>
  <c r="FV99" i="335"/>
  <c r="FW100" i="335" s="1"/>
  <c r="DY101" i="335"/>
  <c r="DV101" i="335"/>
  <c r="DA101" i="335"/>
  <c r="CX494" i="338"/>
  <c r="CX206" i="335"/>
  <c r="CX207" i="335" s="1"/>
  <c r="CX100" i="335"/>
  <c r="DB326" i="338"/>
  <c r="CV326" i="338"/>
  <c r="EL280" i="335"/>
  <c r="EL120" i="11"/>
  <c r="EL43" i="335"/>
  <c r="EL75" i="11" s="1"/>
  <c r="EL330" i="335"/>
  <c r="EL58" i="338"/>
  <c r="ER43" i="335"/>
  <c r="EL305" i="335"/>
  <c r="EL44" i="335"/>
  <c r="EH451" i="338"/>
  <c r="EH450" i="338"/>
  <c r="EM653" i="338"/>
  <c r="EM659" i="338"/>
  <c r="EM629" i="338"/>
  <c r="EM627" i="338" s="1"/>
  <c r="EM626" i="338" s="1"/>
  <c r="EM647" i="338"/>
  <c r="EM671" i="338"/>
  <c r="EM641" i="338"/>
  <c r="EM665" i="338"/>
  <c r="EM635" i="338"/>
  <c r="ER609" i="338"/>
  <c r="ER612" i="338" s="1"/>
  <c r="ER613" i="338" s="1"/>
  <c r="EU141" i="335"/>
  <c r="BS681" i="338"/>
  <c r="BS684" i="338" s="1"/>
  <c r="BY681" i="338"/>
  <c r="BY684" i="338" s="1"/>
  <c r="BZ58" i="11"/>
  <c r="BK144" i="335"/>
  <c r="BK169" i="335"/>
  <c r="W12" i="338"/>
  <c r="W17" i="338" s="1"/>
  <c r="W8" i="338"/>
  <c r="AE367" i="335"/>
  <c r="AE369" i="335" s="1"/>
  <c r="AD369" i="335"/>
  <c r="BZ268" i="338"/>
  <c r="BZ274" i="338"/>
  <c r="BY262" i="338"/>
  <c r="BY274" i="338"/>
  <c r="BY257" i="338"/>
  <c r="BZ257" i="338"/>
  <c r="CC173" i="338"/>
  <c r="BZ262" i="338"/>
  <c r="BW173" i="338"/>
  <c r="BY268" i="338"/>
  <c r="CA239" i="338"/>
  <c r="CA396" i="335" s="1"/>
  <c r="BI762" i="338"/>
  <c r="BO719" i="338"/>
  <c r="BI757" i="338"/>
  <c r="AI392" i="335"/>
  <c r="AI113" i="336"/>
  <c r="AI112" i="336"/>
  <c r="AI394" i="335"/>
  <c r="AI393" i="335"/>
  <c r="AI145" i="336"/>
  <c r="AI369" i="335"/>
  <c r="DB58" i="11"/>
  <c r="CV58" i="11"/>
  <c r="CV169" i="335"/>
  <c r="CV144" i="335"/>
  <c r="BY39" i="11"/>
  <c r="BI315" i="338"/>
  <c r="BI393" i="335"/>
  <c r="BI369" i="335"/>
  <c r="BI392" i="335"/>
  <c r="BI314" i="338"/>
  <c r="EL53" i="338"/>
  <c r="EL39" i="338"/>
  <c r="ER39" i="338"/>
  <c r="CJ170" i="335"/>
  <c r="CJ212" i="335"/>
  <c r="CJ350" i="335"/>
  <c r="CK323" i="335"/>
  <c r="CJ298" i="335"/>
  <c r="CJ182" i="335"/>
  <c r="CJ173" i="335"/>
  <c r="CJ174" i="335" s="1"/>
  <c r="CJ323" i="335"/>
  <c r="CP298" i="335"/>
  <c r="BA112" i="336"/>
  <c r="BA392" i="335"/>
  <c r="BA123" i="336"/>
  <c r="BA113" i="336"/>
  <c r="BA145" i="336"/>
  <c r="BA111" i="336"/>
  <c r="BA369" i="335"/>
  <c r="BE145" i="336"/>
  <c r="BE123" i="336"/>
  <c r="BE111" i="336"/>
  <c r="BE369" i="335"/>
  <c r="BE392" i="335"/>
  <c r="BE113" i="336"/>
  <c r="BE112" i="336"/>
  <c r="BB393" i="335"/>
  <c r="BB111" i="336"/>
  <c r="BC111" i="336" s="1"/>
  <c r="BC342" i="335"/>
  <c r="BC148" i="335"/>
  <c r="BC345" i="335"/>
  <c r="BC329" i="335"/>
  <c r="BC718" i="338"/>
  <c r="BI290" i="335"/>
  <c r="BB123" i="336"/>
  <c r="BC123" i="336" s="1"/>
  <c r="BC343" i="335"/>
  <c r="BC348" i="335"/>
  <c r="BC99" i="335"/>
  <c r="BC114" i="338"/>
  <c r="BC113" i="338" s="1"/>
  <c r="BC339" i="335"/>
  <c r="BC154" i="335"/>
  <c r="BC151" i="335"/>
  <c r="BC337" i="335"/>
  <c r="BC330" i="335"/>
  <c r="BC328" i="335"/>
  <c r="BC331" i="335"/>
  <c r="BC15" i="11"/>
  <c r="BC27" i="11" s="1"/>
  <c r="BC346" i="335"/>
  <c r="BC92" i="335"/>
  <c r="BC100" i="335" s="1"/>
  <c r="BC347" i="335"/>
  <c r="BC336" i="335"/>
  <c r="BI92" i="335"/>
  <c r="BI100" i="335" s="1"/>
  <c r="BC338" i="335"/>
  <c r="BS234" i="335"/>
  <c r="BS220" i="335"/>
  <c r="BS221" i="335" s="1"/>
  <c r="BS230" i="336"/>
  <c r="BS219" i="335"/>
  <c r="BS207" i="336"/>
  <c r="BS184" i="336" s="1"/>
  <c r="DD176" i="335"/>
  <c r="DE176" i="335" s="1"/>
  <c r="EZ287" i="335"/>
  <c r="ES52" i="11"/>
  <c r="EY52" i="11"/>
  <c r="DV56" i="11"/>
  <c r="EZ458" i="338"/>
  <c r="EZ457" i="338"/>
  <c r="EY229" i="335"/>
  <c r="EY209" i="336" s="1"/>
  <c r="EZ228" i="335"/>
  <c r="FC228" i="335" s="1"/>
  <c r="FD228" i="335" s="1"/>
  <c r="FE228" i="335" s="1"/>
  <c r="FF228" i="335" s="1"/>
  <c r="FI228" i="335" s="1"/>
  <c r="EY176" i="335"/>
  <c r="BN58" i="11"/>
  <c r="BT58" i="11"/>
  <c r="U144" i="335"/>
  <c r="U169" i="335"/>
  <c r="Y143" i="335"/>
  <c r="Y144" i="335" s="1"/>
  <c r="Y388" i="338" s="1"/>
  <c r="BZ206" i="335"/>
  <c r="BZ207" i="335" s="1"/>
  <c r="BZ100" i="335"/>
  <c r="BZ494" i="338"/>
  <c r="BZ101" i="335"/>
  <c r="BC729" i="338"/>
  <c r="BC738" i="338"/>
  <c r="BC735" i="338"/>
  <c r="BO729" i="338"/>
  <c r="BI738" i="338"/>
  <c r="BI729" i="338"/>
  <c r="EY78" i="11"/>
  <c r="EY82" i="11" s="1"/>
  <c r="FE74" i="11"/>
  <c r="AO350" i="335"/>
  <c r="AO212" i="335"/>
  <c r="AO182" i="335"/>
  <c r="AO170" i="335"/>
  <c r="AO298" i="335"/>
  <c r="AO323" i="335"/>
  <c r="AU298" i="335"/>
  <c r="BT182" i="335"/>
  <c r="BT173" i="335"/>
  <c r="BT174" i="335" s="1"/>
  <c r="BT170" i="335"/>
  <c r="BT212" i="335"/>
  <c r="BT350" i="335"/>
  <c r="BT323" i="335"/>
  <c r="EU108" i="338"/>
  <c r="EU110" i="338" s="1"/>
  <c r="EU99" i="338"/>
  <c r="FA99" i="338"/>
  <c r="CV101" i="335"/>
  <c r="DB100" i="335"/>
  <c r="CV206" i="335"/>
  <c r="CV494" i="338"/>
  <c r="CV100" i="335"/>
  <c r="BF145" i="336"/>
  <c r="BF392" i="335"/>
  <c r="BF112" i="336"/>
  <c r="BF123" i="336"/>
  <c r="BF369" i="335"/>
  <c r="BF113" i="336"/>
  <c r="BF111" i="336"/>
  <c r="DG180" i="335"/>
  <c r="FA72" i="335"/>
  <c r="EX53" i="335"/>
  <c r="EY54" i="335"/>
  <c r="EY309" i="335"/>
  <c r="EY69" i="335"/>
  <c r="EX284" i="335"/>
  <c r="EX70" i="335"/>
  <c r="BK207" i="335"/>
  <c r="BO206" i="335"/>
  <c r="BO207" i="335" s="1"/>
  <c r="FW40" i="335"/>
  <c r="W173" i="338"/>
  <c r="AA257" i="338"/>
  <c r="AC173" i="338"/>
  <c r="AB257" i="338"/>
  <c r="BZ144" i="335"/>
  <c r="BZ169" i="335"/>
  <c r="DQ72" i="335"/>
  <c r="DW287" i="335" s="1"/>
  <c r="DM287" i="335"/>
  <c r="DM312" i="335"/>
  <c r="DM74" i="335"/>
  <c r="FT72" i="335"/>
  <c r="DU337" i="335"/>
  <c r="DU45" i="11"/>
  <c r="DU312" i="335"/>
  <c r="DV312" i="335"/>
  <c r="EA287" i="335"/>
  <c r="DU287" i="335"/>
  <c r="DA433" i="338"/>
  <c r="DD430" i="338"/>
  <c r="CX432" i="338"/>
  <c r="GE438" i="338" s="1"/>
  <c r="DD429" i="338"/>
  <c r="DC123" i="336"/>
  <c r="DC145" i="336"/>
  <c r="DD145" i="336"/>
  <c r="DC113" i="336"/>
  <c r="DP145" i="336"/>
  <c r="DJ145" i="336"/>
  <c r="DC369" i="335"/>
  <c r="DC111" i="336"/>
  <c r="DC112" i="336"/>
  <c r="DB430" i="338"/>
  <c r="DB429" i="338"/>
  <c r="CV432" i="338"/>
  <c r="DU254" i="338"/>
  <c r="DM288" i="335"/>
  <c r="DN313" i="335"/>
  <c r="DM46" i="11"/>
  <c r="DQ73" i="335"/>
  <c r="DW288" i="335" s="1"/>
  <c r="FT73" i="335"/>
  <c r="DM313" i="335"/>
  <c r="DS288" i="335"/>
  <c r="EK58" i="338"/>
  <c r="EK120" i="11"/>
  <c r="EK43" i="335"/>
  <c r="EK280" i="335"/>
  <c r="EK330" i="335"/>
  <c r="EQ43" i="335"/>
  <c r="EQ280" i="335"/>
  <c r="BZ612" i="338"/>
  <c r="BZ613" i="338" s="1"/>
  <c r="ER229" i="338"/>
  <c r="DA299" i="335"/>
  <c r="DA351" i="335"/>
  <c r="DA189" i="335"/>
  <c r="DA324" i="335"/>
  <c r="P358" i="335"/>
  <c r="P356" i="335" s="1"/>
  <c r="EZ21" i="335"/>
  <c r="EZ23" i="338"/>
  <c r="BF26" i="11"/>
  <c r="EC113" i="336"/>
  <c r="EC394" i="338" s="1"/>
  <c r="BY95" i="338"/>
  <c r="BY97" i="338" s="1"/>
  <c r="EA161" i="338"/>
  <c r="BE39" i="11"/>
  <c r="EN173" i="335"/>
  <c r="EN174" i="335" s="1"/>
  <c r="EN350" i="335"/>
  <c r="EE187" i="335"/>
  <c r="EE185" i="335"/>
  <c r="EH169" i="335"/>
  <c r="EH144" i="335"/>
  <c r="EI103" i="336"/>
  <c r="EH413" i="338"/>
  <c r="EI413" i="338" s="1"/>
  <c r="EH369" i="335"/>
  <c r="EI367" i="335"/>
  <c r="EI143" i="335"/>
  <c r="EI343" i="335"/>
  <c r="AJ39" i="11"/>
  <c r="BM163" i="338"/>
  <c r="BM164" i="338" s="1"/>
  <c r="DG39" i="338"/>
  <c r="BF12" i="335"/>
  <c r="BT161" i="338"/>
  <c r="AY12" i="335"/>
  <c r="CQ97" i="338"/>
  <c r="BF39" i="11"/>
  <c r="BY13" i="338"/>
  <c r="AO39" i="11"/>
  <c r="AB163" i="338"/>
  <c r="AB164" i="338" s="1"/>
  <c r="CE57" i="338"/>
  <c r="DU163" i="338"/>
  <c r="DU164" i="338" s="1"/>
  <c r="DN15" i="338"/>
  <c r="AS39" i="11"/>
  <c r="DB57" i="338"/>
  <c r="DI8" i="338"/>
  <c r="DA53" i="338"/>
  <c r="CK95" i="338"/>
  <c r="AG12" i="335"/>
  <c r="FE68" i="335"/>
  <c r="FE69" i="335"/>
  <c r="FE56" i="335"/>
  <c r="FE135" i="335"/>
  <c r="FE129" i="335" s="1"/>
  <c r="FE130" i="335" s="1"/>
  <c r="FD56" i="335"/>
  <c r="FD135" i="335"/>
  <c r="FD68" i="335"/>
  <c r="FI108" i="338"/>
  <c r="FI110" i="338" s="1"/>
  <c r="FI99" i="338"/>
  <c r="FG100" i="338"/>
  <c r="FC108" i="338"/>
  <c r="FC110" i="338" s="1"/>
  <c r="FC99" i="338"/>
  <c r="GA61" i="335"/>
  <c r="EZ459" i="338"/>
  <c r="EZ9" i="338"/>
  <c r="EZ15" i="335"/>
  <c r="EZ43" i="11"/>
  <c r="EZ52" i="11" s="1"/>
  <c r="EZ278" i="335"/>
  <c r="CE97" i="338"/>
  <c r="BW106" i="11"/>
  <c r="BW121" i="11" s="1"/>
  <c r="AP161" i="338"/>
  <c r="DD109" i="11"/>
  <c r="DD113" i="11" s="1"/>
  <c r="BS164" i="338"/>
  <c r="AV358" i="335"/>
  <c r="AV356" i="335" s="1"/>
  <c r="DD106" i="11"/>
  <c r="DD110" i="11" s="1"/>
  <c r="DD114" i="11" s="1"/>
  <c r="M12" i="335"/>
  <c r="CQ358" i="335"/>
  <c r="CQ356" i="335" s="1"/>
  <c r="CR57" i="338"/>
  <c r="CK57" i="338"/>
  <c r="CK161" i="338"/>
  <c r="CQ12" i="335"/>
  <c r="CW26" i="11"/>
  <c r="CW32" i="11" s="1"/>
  <c r="CL57" i="338"/>
  <c r="AE106" i="11"/>
  <c r="AE112" i="11"/>
  <c r="AE119" i="11"/>
  <c r="BY106" i="11"/>
  <c r="BY121" i="11" s="1"/>
  <c r="BY109" i="11"/>
  <c r="EE162" i="338"/>
  <c r="BF161" i="338"/>
  <c r="P39" i="11"/>
  <c r="DE626" i="338"/>
  <c r="DE675" i="338"/>
  <c r="DA656" i="338"/>
  <c r="DA675" i="338"/>
  <c r="EU632" i="338"/>
  <c r="EY311" i="335"/>
  <c r="EY89" i="335"/>
  <c r="EH660" i="338"/>
  <c r="EH676" i="338" s="1"/>
  <c r="EH659" i="338"/>
  <c r="EB660" i="338"/>
  <c r="EB676" i="338" s="1"/>
  <c r="FL138" i="335"/>
  <c r="FL728" i="338" s="1"/>
  <c r="EF287" i="335"/>
  <c r="FV72" i="335"/>
  <c r="DZ45" i="11"/>
  <c r="EC72" i="335"/>
  <c r="EC287" i="335" s="1"/>
  <c r="DZ312" i="335"/>
  <c r="DD218" i="338"/>
  <c r="DD224" i="338"/>
  <c r="DE217" i="338"/>
  <c r="DE218" i="338" s="1"/>
  <c r="EB312" i="335"/>
  <c r="EE312" i="335"/>
  <c r="EB287" i="335"/>
  <c r="FW72" i="335"/>
  <c r="EH287" i="335"/>
  <c r="EB45" i="11"/>
  <c r="EB337" i="335"/>
  <c r="ES343" i="335"/>
  <c r="EY290" i="335"/>
  <c r="EY92" i="335"/>
  <c r="BY675" i="338"/>
  <c r="BY656" i="338"/>
  <c r="FL48" i="11"/>
  <c r="DZ679" i="338"/>
  <c r="EY391" i="335"/>
  <c r="EB656" i="338"/>
  <c r="CJ626" i="338"/>
  <c r="CJ675" i="338"/>
  <c r="CJ683" i="338" s="1"/>
  <c r="CJ688" i="338" s="1"/>
  <c r="DY323" i="335"/>
  <c r="DY368" i="335"/>
  <c r="DZ368" i="335"/>
  <c r="DV173" i="335"/>
  <c r="DV174" i="335" s="1"/>
  <c r="DV323" i="335"/>
  <c r="BM683" i="338"/>
  <c r="BM685" i="338" s="1"/>
  <c r="BM674" i="338"/>
  <c r="DP221" i="338"/>
  <c r="DK221" i="338"/>
  <c r="DK222" i="338" s="1"/>
  <c r="DJ217" i="338"/>
  <c r="DV656" i="338"/>
  <c r="DV676" i="338"/>
  <c r="DV674" i="338" s="1"/>
  <c r="ES212" i="335"/>
  <c r="ES213" i="335" s="1"/>
  <c r="EY298" i="335"/>
  <c r="EY171" i="335"/>
  <c r="CJ674" i="338"/>
  <c r="EY288" i="335"/>
  <c r="EY313" i="335"/>
  <c r="EY338" i="335"/>
  <c r="CQ668" i="338"/>
  <c r="DE316" i="338"/>
  <c r="DC317" i="338"/>
  <c r="DI317" i="338"/>
  <c r="CV668" i="338"/>
  <c r="EC266" i="338"/>
  <c r="EI266" i="338"/>
  <c r="EA34" i="11"/>
  <c r="DH161" i="338"/>
  <c r="AO12" i="335"/>
  <c r="AS358" i="335"/>
  <c r="AS356" i="335" s="1"/>
  <c r="AT26" i="11"/>
  <c r="BE358" i="335"/>
  <c r="BE356" i="335" s="1"/>
  <c r="AO26" i="11"/>
  <c r="DB34" i="11"/>
  <c r="AT39" i="11"/>
  <c r="AT358" i="335"/>
  <c r="AT356" i="335" s="1"/>
  <c r="CW87" i="3"/>
  <c r="CY87" i="3" s="1"/>
  <c r="DA373" i="335"/>
  <c r="CW383" i="335"/>
  <c r="DB373" i="335"/>
  <c r="CW99" i="3"/>
  <c r="CW105" i="3"/>
  <c r="CW373" i="335"/>
  <c r="CX373" i="335"/>
  <c r="CY373" i="335" s="1"/>
  <c r="BW139" i="336"/>
  <c r="BW140" i="336" s="1"/>
  <c r="BW137" i="336"/>
  <c r="BW135" i="336"/>
  <c r="BR99" i="3"/>
  <c r="AO87" i="3"/>
  <c r="AO105" i="3"/>
  <c r="AO383" i="335"/>
  <c r="AO397" i="335" s="1"/>
  <c r="BM148" i="336"/>
  <c r="AQ418" i="338"/>
  <c r="AQ400" i="338"/>
  <c r="ER108" i="3"/>
  <c r="ER109" i="3"/>
  <c r="ER110" i="3" s="1"/>
  <c r="EC186" i="336"/>
  <c r="EA174" i="336"/>
  <c r="EC174" i="336" s="1"/>
  <c r="Q87" i="3"/>
  <c r="Q105" i="3"/>
  <c r="Q109" i="3" s="1"/>
  <c r="CV137" i="336"/>
  <c r="CW134" i="336"/>
  <c r="CW139" i="336" s="1"/>
  <c r="CW140" i="336" s="1"/>
  <c r="CV135" i="336"/>
  <c r="Y73" i="3"/>
  <c r="CD57" i="338"/>
  <c r="ET99" i="3"/>
  <c r="EU95" i="3"/>
  <c r="EU99" i="3" s="1"/>
  <c r="ER106" i="3"/>
  <c r="DQ95" i="3"/>
  <c r="DQ99" i="3" s="1"/>
  <c r="DN99" i="3"/>
  <c r="CE139" i="336"/>
  <c r="CE140" i="336" s="1"/>
  <c r="CF139" i="336"/>
  <c r="CF140" i="336" s="1"/>
  <c r="CE135" i="336"/>
  <c r="CF137" i="336"/>
  <c r="CG137" i="336" s="1"/>
  <c r="CE137" i="336"/>
  <c r="BN147" i="336"/>
  <c r="BN148" i="336" s="1"/>
  <c r="BN14" i="3"/>
  <c r="BO14" i="3" s="1"/>
  <c r="FM15" i="3"/>
  <c r="FL66" i="3"/>
  <c r="FM66" i="3" s="1"/>
  <c r="BU85" i="3"/>
  <c r="R97" i="3"/>
  <c r="S97" i="3" s="1"/>
  <c r="Q99" i="3"/>
  <c r="Q103" i="3" s="1"/>
  <c r="R101" i="3" s="1"/>
  <c r="Q43" i="3"/>
  <c r="AP9" i="3"/>
  <c r="AQ9" i="3" s="1"/>
  <c r="AK416" i="338"/>
  <c r="AK400" i="338"/>
  <c r="BO65" i="3"/>
  <c r="BY108" i="11"/>
  <c r="BX108" i="11"/>
  <c r="CJ161" i="338"/>
  <c r="EC162" i="338"/>
  <c r="EC164" i="338" s="1"/>
  <c r="CP17" i="338"/>
  <c r="CP18" i="338" s="1"/>
  <c r="AJ12" i="335"/>
  <c r="CD39" i="11"/>
  <c r="AC358" i="335"/>
  <c r="AC356" i="335" s="1"/>
  <c r="AM17" i="338"/>
  <c r="AM18" i="338" s="1"/>
  <c r="BH13" i="338"/>
  <c r="CE108" i="11"/>
  <c r="CV97" i="338"/>
  <c r="AQ14" i="11"/>
  <c r="AQ358" i="335" s="1"/>
  <c r="AQ356" i="335" s="1"/>
  <c r="AQ323" i="338" s="1"/>
  <c r="ET66" i="336"/>
  <c r="ES427" i="335"/>
  <c r="DT418" i="335"/>
  <c r="DU57" i="336"/>
  <c r="DU418" i="335" s="1"/>
  <c r="ET68" i="336"/>
  <c r="ES429" i="335"/>
  <c r="CV57" i="338"/>
  <c r="BL161" i="338"/>
  <c r="EY213" i="335"/>
  <c r="DZ163" i="338"/>
  <c r="ES426" i="335"/>
  <c r="ET65" i="336"/>
  <c r="AC39" i="11"/>
  <c r="AV26" i="11"/>
  <c r="DP15" i="338"/>
  <c r="AW38" i="11"/>
  <c r="CL39" i="338"/>
  <c r="CX39" i="11"/>
  <c r="DB15" i="338"/>
  <c r="CQ161" i="338"/>
  <c r="CK53" i="338"/>
  <c r="CK56" i="338" s="1"/>
  <c r="CF97" i="338"/>
  <c r="BZ106" i="11"/>
  <c r="BZ121" i="11" s="1"/>
  <c r="CF125" i="11" s="1"/>
  <c r="CF130" i="11" s="1"/>
  <c r="BK395" i="338"/>
  <c r="CD26" i="11"/>
  <c r="BY17" i="338"/>
  <c r="BY18" i="338" s="1"/>
  <c r="BK17" i="338"/>
  <c r="BK18" i="338" s="1"/>
  <c r="AY161" i="338"/>
  <c r="CD97" i="338"/>
  <c r="BA12" i="335"/>
  <c r="BL39" i="11"/>
  <c r="AY163" i="338"/>
  <c r="AY164" i="338" s="1"/>
  <c r="CI57" i="338"/>
  <c r="V12" i="335"/>
  <c r="K39" i="11"/>
  <c r="CF55" i="338"/>
  <c r="CC97" i="338"/>
  <c r="BZ161" i="338"/>
  <c r="CF108" i="11"/>
  <c r="EE34" i="11"/>
  <c r="BE26" i="11"/>
  <c r="BZ163" i="338"/>
  <c r="CL55" i="338"/>
  <c r="CA104" i="11"/>
  <c r="CA119" i="11" s="1"/>
  <c r="DU113" i="338"/>
  <c r="X17" i="338"/>
  <c r="BL12" i="335"/>
  <c r="AC161" i="338"/>
  <c r="BL26" i="11"/>
  <c r="AA13" i="338"/>
  <c r="AY39" i="11"/>
  <c r="L39" i="11"/>
  <c r="CC57" i="338"/>
  <c r="DI17" i="338"/>
  <c r="CL56" i="338"/>
  <c r="CO97" i="338"/>
  <c r="DY34" i="11"/>
  <c r="AD161" i="338"/>
  <c r="DQ8" i="338"/>
  <c r="AY26" i="11"/>
  <c r="CJ39" i="338"/>
  <c r="CW53" i="338"/>
  <c r="CW55" i="338" s="1"/>
  <c r="CF39" i="338"/>
  <c r="DJ106" i="11"/>
  <c r="DJ121" i="11" s="1"/>
  <c r="DO160" i="338"/>
  <c r="DO163" i="338" s="1"/>
  <c r="EB161" i="338"/>
  <c r="DJ109" i="11"/>
  <c r="DJ113" i="11" s="1"/>
  <c r="BX106" i="11"/>
  <c r="BX110" i="11" s="1"/>
  <c r="BZ97" i="338"/>
  <c r="CL97" i="338"/>
  <c r="BT13" i="338"/>
  <c r="AT12" i="335"/>
  <c r="CO57" i="338"/>
  <c r="CK39" i="11"/>
  <c r="EG34" i="11"/>
  <c r="M26" i="11"/>
  <c r="BW95" i="338"/>
  <c r="BW97" i="338" s="1"/>
  <c r="M39" i="11"/>
  <c r="CR161" i="338"/>
  <c r="CC55" i="338"/>
  <c r="EC34" i="11"/>
  <c r="AJ13" i="338"/>
  <c r="AM13" i="338"/>
  <c r="DI39" i="11"/>
  <c r="DO15" i="338"/>
  <c r="V17" i="338"/>
  <c r="CF109" i="11"/>
  <c r="BZ109" i="11"/>
  <c r="CP39" i="11"/>
  <c r="BQ161" i="338"/>
  <c r="L26" i="11"/>
  <c r="CV162" i="338"/>
  <c r="BR26" i="11"/>
  <c r="DU13" i="338"/>
  <c r="DU15" i="338" s="1"/>
  <c r="K12" i="335"/>
  <c r="CI95" i="338"/>
  <c r="CI97" i="338" s="1"/>
  <c r="BX26" i="11"/>
  <c r="DY39" i="11"/>
  <c r="CJ53" i="338"/>
  <c r="CJ55" i="338" s="1"/>
  <c r="U12" i="335"/>
  <c r="BA39" i="11"/>
  <c r="BR12" i="335"/>
  <c r="BK13" i="338"/>
  <c r="DC39" i="338"/>
  <c r="V26" i="11"/>
  <c r="AG358" i="335"/>
  <c r="AG356" i="335" s="1"/>
  <c r="BX358" i="335"/>
  <c r="BX356" i="335" s="1"/>
  <c r="CX34" i="11"/>
  <c r="CQ55" i="338"/>
  <c r="CX162" i="338"/>
  <c r="EA39" i="11"/>
  <c r="DI161" i="338"/>
  <c r="CU17" i="338"/>
  <c r="BR358" i="335"/>
  <c r="BR356" i="335" s="1"/>
  <c r="BE163" i="338"/>
  <c r="BE164" i="338" s="1"/>
  <c r="V358" i="335"/>
  <c r="V356" i="335" s="1"/>
  <c r="AJ161" i="338"/>
  <c r="CX61" i="11"/>
  <c r="CX16" i="338" s="1"/>
  <c r="BA26" i="11"/>
  <c r="CC109" i="11"/>
  <c r="BW109" i="11"/>
  <c r="CD12" i="335"/>
  <c r="CJ26" i="11"/>
  <c r="CD358" i="335"/>
  <c r="CD356" i="335" s="1"/>
  <c r="BZ39" i="338"/>
  <c r="BZ53" i="338"/>
  <c r="BZ55" i="338" s="1"/>
  <c r="BF17" i="338"/>
  <c r="BF18" i="338" s="1"/>
  <c r="BG13" i="338"/>
  <c r="CP56" i="338"/>
  <c r="EZ312" i="335"/>
  <c r="AG26" i="11"/>
  <c r="CR95" i="338"/>
  <c r="CX57" i="338"/>
  <c r="DI121" i="11"/>
  <c r="DI125" i="11" s="1"/>
  <c r="DI129" i="11" s="1"/>
  <c r="DI362" i="335"/>
  <c r="DI360" i="335" s="1"/>
  <c r="EG39" i="11"/>
  <c r="DY162" i="338"/>
  <c r="DY164" i="338" s="1"/>
  <c r="EZ22" i="335"/>
  <c r="EZ34" i="335"/>
  <c r="FA32" i="335"/>
  <c r="FA33" i="335" s="1"/>
  <c r="L358" i="335"/>
  <c r="L356" i="335" s="1"/>
  <c r="L323" i="338" s="1"/>
  <c r="EO141" i="335"/>
  <c r="ET334" i="338"/>
  <c r="ET336" i="338" s="1"/>
  <c r="ET21" i="338"/>
  <c r="ET33" i="338"/>
  <c r="EU52" i="335"/>
  <c r="EU53" i="335" s="1"/>
  <c r="ET452" i="338"/>
  <c r="ET453" i="338" s="1"/>
  <c r="ET53" i="335"/>
  <c r="FL50" i="335"/>
  <c r="EZ46" i="335"/>
  <c r="ET54" i="335"/>
  <c r="EW53" i="338"/>
  <c r="EW39" i="338"/>
  <c r="FA139" i="335"/>
  <c r="EA17" i="338"/>
  <c r="EA8" i="338"/>
  <c r="BM161" i="338"/>
  <c r="EC171" i="335"/>
  <c r="FC228" i="338"/>
  <c r="FC229" i="338" s="1"/>
  <c r="EM143" i="335"/>
  <c r="FS179" i="335"/>
  <c r="EM609" i="338"/>
  <c r="EM612" i="338" s="1"/>
  <c r="EM613" i="338" s="1"/>
  <c r="FJ25" i="335"/>
  <c r="CI54" i="338"/>
  <c r="DP108" i="11"/>
  <c r="DP112" i="11" s="1"/>
  <c r="EQ367" i="335"/>
  <c r="GA30" i="335"/>
  <c r="ER21" i="11"/>
  <c r="ER37" i="11"/>
  <c r="ER38" i="11"/>
  <c r="ES119" i="336"/>
  <c r="ES118" i="336"/>
  <c r="BN17" i="338"/>
  <c r="BN18" i="338" s="1"/>
  <c r="BN13" i="338"/>
  <c r="AT17" i="338"/>
  <c r="AT18" i="338" s="1"/>
  <c r="AT13" i="338"/>
  <c r="AU13" i="338"/>
  <c r="CW15" i="338"/>
  <c r="DS15" i="338"/>
  <c r="DC99" i="3"/>
  <c r="DE95" i="3"/>
  <c r="DE99" i="3" s="1"/>
  <c r="EE99" i="3"/>
  <c r="EI95" i="3"/>
  <c r="EI99" i="3" s="1"/>
  <c r="BA33" i="3"/>
  <c r="AW82" i="3"/>
  <c r="AV85" i="3"/>
  <c r="AW85" i="3" s="1"/>
  <c r="AV30" i="3"/>
  <c r="AW30" i="3" s="1"/>
  <c r="Q45" i="3"/>
  <c r="BO73" i="3"/>
  <c r="CY108" i="3"/>
  <c r="CY109" i="3"/>
  <c r="DE110" i="3" s="1"/>
  <c r="S12" i="3"/>
  <c r="S416" i="338" s="1"/>
  <c r="R142" i="336"/>
  <c r="S142" i="336" s="1"/>
  <c r="S137" i="336" s="1"/>
  <c r="X23" i="3"/>
  <c r="Y23" i="3" s="1"/>
  <c r="Y417" i="338" s="1"/>
  <c r="X147" i="336"/>
  <c r="X148" i="336" s="1"/>
  <c r="X14" i="3"/>
  <c r="Y14" i="3" s="1"/>
  <c r="BB29" i="3"/>
  <c r="EM163" i="335"/>
  <c r="EO147" i="336"/>
  <c r="EO148" i="336" s="1"/>
  <c r="EM148" i="336"/>
  <c r="BU95" i="3"/>
  <c r="BN36" i="3"/>
  <c r="BM41" i="3"/>
  <c r="X144" i="336"/>
  <c r="X145" i="336" s="1"/>
  <c r="X382" i="335"/>
  <c r="X31" i="3"/>
  <c r="Y31" i="3" s="1"/>
  <c r="FF84" i="3"/>
  <c r="FG32" i="3"/>
  <c r="W148" i="336"/>
  <c r="Y72" i="3"/>
  <c r="BO74" i="3"/>
  <c r="AE417" i="338"/>
  <c r="BU145" i="336"/>
  <c r="BU139" i="336"/>
  <c r="BU140" i="336" s="1"/>
  <c r="CP139" i="336"/>
  <c r="CP140" i="336" s="1"/>
  <c r="CP137" i="336"/>
  <c r="CQ134" i="336"/>
  <c r="CQ137" i="336" s="1"/>
  <c r="CP135" i="336"/>
  <c r="Y74" i="3"/>
  <c r="CY99" i="3"/>
  <c r="W145" i="336"/>
  <c r="R22" i="3"/>
  <c r="S22" i="3" s="1"/>
  <c r="S73" i="3"/>
  <c r="R76" i="3"/>
  <c r="FG84" i="3"/>
  <c r="BB9" i="3"/>
  <c r="BC9" i="3" s="1"/>
  <c r="DE77" i="3"/>
  <c r="EO382" i="335"/>
  <c r="EO397" i="335" s="1"/>
  <c r="EO85" i="3"/>
  <c r="EW99" i="3"/>
  <c r="DY61" i="11"/>
  <c r="DY16" i="338" s="1"/>
  <c r="DY54" i="338" s="1"/>
  <c r="AP358" i="335"/>
  <c r="AP356" i="335" s="1"/>
  <c r="AP12" i="335"/>
  <c r="AP39" i="11"/>
  <c r="BM183" i="336"/>
  <c r="BN184" i="336"/>
  <c r="BN208" i="336" s="1"/>
  <c r="BM208" i="336"/>
  <c r="BM210" i="336" s="1"/>
  <c r="BM211" i="336" s="1"/>
  <c r="BR135" i="336"/>
  <c r="BR139" i="336"/>
  <c r="BR140" i="336" s="1"/>
  <c r="BR137" i="336"/>
  <c r="CC12" i="335"/>
  <c r="CC358" i="335"/>
  <c r="CC356" i="335" s="1"/>
  <c r="DC39" i="11"/>
  <c r="DP35" i="336"/>
  <c r="DQ30" i="336"/>
  <c r="DB39" i="11"/>
  <c r="CM240" i="335"/>
  <c r="CM241" i="335" s="1"/>
  <c r="CM247" i="335"/>
  <c r="EE419" i="335"/>
  <c r="EF58" i="336"/>
  <c r="ES81" i="336"/>
  <c r="ER442" i="335"/>
  <c r="DV447" i="335"/>
  <c r="DW447" i="335" s="1"/>
  <c r="DY86" i="336"/>
  <c r="BH163" i="338"/>
  <c r="BH164" i="338" s="1"/>
  <c r="BH161" i="338"/>
  <c r="EC332" i="338"/>
  <c r="FK29" i="336"/>
  <c r="FE398" i="338"/>
  <c r="FE376" i="335"/>
  <c r="FE107" i="336"/>
  <c r="DA415" i="335"/>
  <c r="DA48" i="336"/>
  <c r="DB56" i="336"/>
  <c r="DB48" i="336" s="1"/>
  <c r="FL29" i="336"/>
  <c r="FF107" i="336"/>
  <c r="FI23" i="3"/>
  <c r="FG29" i="336"/>
  <c r="FG398" i="338" s="1"/>
  <c r="FF398" i="338"/>
  <c r="FF376" i="335"/>
  <c r="FG376" i="335" s="1"/>
  <c r="FI107" i="336"/>
  <c r="CU39" i="11"/>
  <c r="BS39" i="11"/>
  <c r="ES247" i="338"/>
  <c r="EM246" i="338"/>
  <c r="EM247" i="338"/>
  <c r="EN246" i="338"/>
  <c r="EY458" i="338"/>
  <c r="EY457" i="338"/>
  <c r="EG612" i="338"/>
  <c r="EG613" i="338" s="1"/>
  <c r="EG681" i="338" s="1"/>
  <c r="EG684" i="338" s="1"/>
  <c r="EG689" i="338" s="1"/>
  <c r="EG615" i="338"/>
  <c r="EG616" i="338" s="1"/>
  <c r="EG621" i="338" s="1"/>
  <c r="EG622" i="338" s="1"/>
  <c r="EG623" i="338" s="1"/>
  <c r="DZ224" i="338"/>
  <c r="EF214" i="338"/>
  <c r="AV219" i="335"/>
  <c r="AV220" i="335"/>
  <c r="BB221" i="335" s="1"/>
  <c r="FZ139" i="335"/>
  <c r="AB462" i="335"/>
  <c r="DW399" i="335"/>
  <c r="EX35" i="335"/>
  <c r="EY37" i="335" s="1"/>
  <c r="FD26" i="335"/>
  <c r="EX27" i="335"/>
  <c r="FE26" i="335"/>
  <c r="FF28" i="335" s="1"/>
  <c r="EX91" i="335"/>
  <c r="EX88" i="335"/>
  <c r="EX96" i="335"/>
  <c r="ES334" i="338"/>
  <c r="ES22" i="338"/>
  <c r="ES21" i="338"/>
  <c r="ES33" i="338"/>
  <c r="EU23" i="338"/>
  <c r="EU33" i="338" s="1"/>
  <c r="EU337" i="338" s="1"/>
  <c r="EU339" i="338" s="1"/>
  <c r="ET34" i="338"/>
  <c r="ET22" i="338"/>
  <c r="EU57" i="335"/>
  <c r="FA57" i="335"/>
  <c r="EZ36" i="335"/>
  <c r="EZ79" i="335"/>
  <c r="FJ29" i="335"/>
  <c r="FD166" i="338"/>
  <c r="FD167" i="338" s="1"/>
  <c r="FD31" i="335"/>
  <c r="FD116" i="335"/>
  <c r="ES630" i="338"/>
  <c r="ES625" i="338" s="1"/>
  <c r="ES559" i="338"/>
  <c r="CG734" i="338"/>
  <c r="CG722" i="338"/>
  <c r="CQ300" i="335"/>
  <c r="CQ487" i="338"/>
  <c r="CQ190" i="335"/>
  <c r="EU114" i="335"/>
  <c r="ES334" i="335"/>
  <c r="ES333" i="335"/>
  <c r="ES15" i="11"/>
  <c r="EY27" i="11" s="1"/>
  <c r="ES151" i="335"/>
  <c r="ES154" i="335"/>
  <c r="ES99" i="335"/>
  <c r="EY100" i="335" s="1"/>
  <c r="ES337" i="335"/>
  <c r="ES336" i="335"/>
  <c r="ES325" i="338"/>
  <c r="ES326" i="338" s="1"/>
  <c r="ES93" i="335"/>
  <c r="ES328" i="335"/>
  <c r="ES92" i="335"/>
  <c r="ES49" i="11"/>
  <c r="EY58" i="11" s="1"/>
  <c r="ES102" i="336"/>
  <c r="ES148" i="335"/>
  <c r="ES114" i="338"/>
  <c r="ES160" i="338" s="1"/>
  <c r="ES163" i="338" s="1"/>
  <c r="ES313" i="338"/>
  <c r="ES331" i="335"/>
  <c r="ES339" i="335"/>
  <c r="ES290" i="335"/>
  <c r="ES341" i="335"/>
  <c r="ES347" i="335"/>
  <c r="ES348" i="335"/>
  <c r="ES157" i="335"/>
  <c r="ES346" i="335"/>
  <c r="ES345" i="335"/>
  <c r="ES327" i="338"/>
  <c r="ES328" i="338" s="1"/>
  <c r="ES315" i="335"/>
  <c r="ES431" i="338"/>
  <c r="ES342" i="335"/>
  <c r="ES338" i="335"/>
  <c r="I182" i="335"/>
  <c r="J298" i="335"/>
  <c r="I170" i="335"/>
  <c r="I389" i="338" s="1"/>
  <c r="I350" i="335"/>
  <c r="I368" i="335"/>
  <c r="I212" i="335"/>
  <c r="I298" i="335"/>
  <c r="EZ124" i="335"/>
  <c r="EM676" i="338"/>
  <c r="EM625" i="338"/>
  <c r="EM343" i="335"/>
  <c r="EN317" i="335"/>
  <c r="ET214" i="335"/>
  <c r="EU214" i="335" s="1"/>
  <c r="FZ176" i="335"/>
  <c r="EU27" i="335"/>
  <c r="ER169" i="335"/>
  <c r="ES323" i="335" s="1"/>
  <c r="ER144" i="335"/>
  <c r="DC12" i="338"/>
  <c r="DC17" i="338" s="1"/>
  <c r="DC13" i="338"/>
  <c r="DC8" i="338"/>
  <c r="EW413" i="338"/>
  <c r="FC103" i="336"/>
  <c r="EX84" i="335"/>
  <c r="EG144" i="335"/>
  <c r="EG169" i="335"/>
  <c r="FX143" i="335"/>
  <c r="FX144" i="335" s="1"/>
  <c r="CM722" i="338"/>
  <c r="EO763" i="338"/>
  <c r="EO756" i="338"/>
  <c r="EO755" i="338"/>
  <c r="ER367" i="335"/>
  <c r="CE55" i="338"/>
  <c r="DW278" i="335"/>
  <c r="DW15" i="335"/>
  <c r="DV241" i="338"/>
  <c r="DW241" i="338" s="1"/>
  <c r="DW43" i="11"/>
  <c r="DW9" i="338"/>
  <c r="EC15" i="335"/>
  <c r="EC278" i="335"/>
  <c r="DW105" i="335"/>
  <c r="DW328" i="335"/>
  <c r="DW724" i="338"/>
  <c r="D169" i="335"/>
  <c r="D348" i="335"/>
  <c r="E296" i="335"/>
  <c r="D367" i="335"/>
  <c r="D369" i="335" s="1"/>
  <c r="D366" i="335"/>
  <c r="D296" i="335"/>
  <c r="AK12" i="338"/>
  <c r="AK17" i="338" s="1"/>
  <c r="AK18" i="338" s="1"/>
  <c r="AQ8" i="338"/>
  <c r="FM18" i="335"/>
  <c r="ER93" i="11"/>
  <c r="ER97" i="11" s="1"/>
  <c r="EX89" i="11"/>
  <c r="ER104" i="11"/>
  <c r="ER108" i="11" s="1"/>
  <c r="ER112" i="11" s="1"/>
  <c r="BM189" i="335"/>
  <c r="BM351" i="335"/>
  <c r="BM229" i="336"/>
  <c r="DW368" i="335"/>
  <c r="DW173" i="335"/>
  <c r="DW170" i="335"/>
  <c r="DW350" i="335"/>
  <c r="FI93" i="11"/>
  <c r="FI97" i="11" s="1"/>
  <c r="AV187" i="335"/>
  <c r="EO292" i="335"/>
  <c r="U39" i="11"/>
  <c r="EY23" i="338"/>
  <c r="DE53" i="338"/>
  <c r="EB621" i="338"/>
  <c r="EB622" i="338" s="1"/>
  <c r="FL26" i="335"/>
  <c r="FL35" i="335" s="1"/>
  <c r="FL36" i="335" s="1"/>
  <c r="EC170" i="335"/>
  <c r="AW14" i="11"/>
  <c r="DB54" i="335"/>
  <c r="DH53" i="335"/>
  <c r="DC54" i="335"/>
  <c r="DE52" i="335"/>
  <c r="FG24" i="335"/>
  <c r="CR230" i="338"/>
  <c r="CS224" i="338"/>
  <c r="CR225" i="338"/>
  <c r="CX226" i="338"/>
  <c r="CX225" i="338"/>
  <c r="CR226" i="338"/>
  <c r="DB53" i="335"/>
  <c r="DV13" i="338"/>
  <c r="DU8" i="338"/>
  <c r="BN482" i="338"/>
  <c r="AQ173" i="338"/>
  <c r="AK173" i="338"/>
  <c r="FC259" i="338"/>
  <c r="FD271" i="338"/>
  <c r="FE259" i="338"/>
  <c r="FF271" i="338"/>
  <c r="FE271" i="338"/>
  <c r="FC265" i="338"/>
  <c r="FC173" i="338"/>
  <c r="FF259" i="338"/>
  <c r="FF257" i="338"/>
  <c r="FC271" i="338"/>
  <c r="FD265" i="338"/>
  <c r="FE265" i="338"/>
  <c r="FF265" i="338"/>
  <c r="FC257" i="338"/>
  <c r="FD257" i="338"/>
  <c r="FE257" i="338"/>
  <c r="FD259" i="338"/>
  <c r="DG207" i="335"/>
  <c r="CI39" i="11"/>
  <c r="EM111" i="336"/>
  <c r="EM112" i="336"/>
  <c r="EM113" i="336"/>
  <c r="EM392" i="335"/>
  <c r="EM122" i="336"/>
  <c r="EM21" i="11"/>
  <c r="EM38" i="11"/>
  <c r="EM37" i="11"/>
  <c r="EM27" i="11"/>
  <c r="P220" i="335"/>
  <c r="P219" i="335"/>
  <c r="DT286" i="335"/>
  <c r="DN87" i="335"/>
  <c r="DN139" i="335"/>
  <c r="DN48" i="11"/>
  <c r="DO77" i="335"/>
  <c r="DN286" i="335"/>
  <c r="DT76" i="335"/>
  <c r="DN76" i="335"/>
  <c r="FC123" i="11"/>
  <c r="FC127" i="11" s="1"/>
  <c r="DO230" i="338"/>
  <c r="FU87" i="335"/>
  <c r="FU139" i="335"/>
  <c r="O462" i="335"/>
  <c r="EM145" i="336"/>
  <c r="DJ333" i="338"/>
  <c r="DK332" i="338"/>
  <c r="DU58" i="338"/>
  <c r="DU43" i="335"/>
  <c r="DU75" i="11" s="1"/>
  <c r="DU305" i="335"/>
  <c r="DV305" i="335"/>
  <c r="DU44" i="335"/>
  <c r="DU120" i="11"/>
  <c r="DV44" i="335"/>
  <c r="DW42" i="335"/>
  <c r="FV42" i="335"/>
  <c r="DU280" i="335"/>
  <c r="DU330" i="335"/>
  <c r="BX262" i="338"/>
  <c r="BX268" i="338"/>
  <c r="BX274" i="338"/>
  <c r="BX257" i="338"/>
  <c r="BY173" i="338"/>
  <c r="CI358" i="335"/>
  <c r="CI356" i="335" s="1"/>
  <c r="AV208" i="335"/>
  <c r="AV209" i="335" s="1"/>
  <c r="AV460" i="335"/>
  <c r="AV461" i="335"/>
  <c r="AV459" i="335"/>
  <c r="C219" i="335"/>
  <c r="C220" i="335"/>
  <c r="FL25" i="335"/>
  <c r="BY164" i="338"/>
  <c r="EQ116" i="336"/>
  <c r="EZ288" i="335"/>
  <c r="FF113" i="335"/>
  <c r="FF122" i="335" s="1"/>
  <c r="FF124" i="335" s="1"/>
  <c r="CI26" i="11"/>
  <c r="EE163" i="338"/>
  <c r="CP55" i="338"/>
  <c r="EW135" i="335"/>
  <c r="EW68" i="335"/>
  <c r="EW87" i="335"/>
  <c r="EX69" i="335"/>
  <c r="EX309" i="335"/>
  <c r="EW70" i="335"/>
  <c r="FC70" i="335" s="1"/>
  <c r="FC67" i="335" s="1"/>
  <c r="FI68" i="335" s="1"/>
  <c r="EW83" i="335"/>
  <c r="EW69" i="335"/>
  <c r="FZ67" i="335"/>
  <c r="FA67" i="335"/>
  <c r="DU52" i="11"/>
  <c r="EA52" i="11"/>
  <c r="DU243" i="338"/>
  <c r="DU242" i="338"/>
  <c r="EA243" i="338"/>
  <c r="DU245" i="338"/>
  <c r="EH432" i="338"/>
  <c r="EH433" i="338"/>
  <c r="BO162" i="338"/>
  <c r="DB207" i="335"/>
  <c r="DM492" i="338"/>
  <c r="DM493" i="338"/>
  <c r="DG495" i="338"/>
  <c r="EM100" i="335"/>
  <c r="ES100" i="335"/>
  <c r="EM328" i="338"/>
  <c r="EO327" i="338"/>
  <c r="EO328" i="338" s="1"/>
  <c r="DO492" i="338"/>
  <c r="DO493" i="338"/>
  <c r="BC112" i="336"/>
  <c r="BC394" i="338" s="1"/>
  <c r="BB394" i="338"/>
  <c r="EG56" i="11"/>
  <c r="EM56" i="11"/>
  <c r="P187" i="335"/>
  <c r="P185" i="335"/>
  <c r="M213" i="335"/>
  <c r="M215" i="335"/>
  <c r="DW45" i="11"/>
  <c r="DW337" i="335"/>
  <c r="AI184" i="335"/>
  <c r="DV88" i="335"/>
  <c r="DP88" i="335"/>
  <c r="DP89" i="335"/>
  <c r="DP91" i="335"/>
  <c r="DP96" i="335"/>
  <c r="FU96" i="335" s="1"/>
  <c r="DS89" i="335"/>
  <c r="CR201" i="335"/>
  <c r="CR375" i="335"/>
  <c r="CR114" i="3"/>
  <c r="CX115" i="3" s="1"/>
  <c r="CR459" i="335"/>
  <c r="CR503" i="338"/>
  <c r="CR460" i="335"/>
  <c r="CR458" i="335"/>
  <c r="CR461" i="335"/>
  <c r="BI389" i="338"/>
  <c r="EB458" i="335"/>
  <c r="EB114" i="3"/>
  <c r="EB460" i="335"/>
  <c r="EB459" i="335"/>
  <c r="EB375" i="335"/>
  <c r="EB461" i="335"/>
  <c r="EB503" i="338"/>
  <c r="EQ604" i="338"/>
  <c r="EQ556" i="338"/>
  <c r="EQ557" i="338" s="1"/>
  <c r="FK110" i="335"/>
  <c r="EY459" i="338"/>
  <c r="EM160" i="338"/>
  <c r="EM113" i="338"/>
  <c r="ES113" i="338"/>
  <c r="CI493" i="338"/>
  <c r="CI492" i="338"/>
  <c r="AQ17" i="338"/>
  <c r="AQ18" i="338" s="1"/>
  <c r="EC173" i="335"/>
  <c r="EC350" i="335"/>
  <c r="EC368" i="335"/>
  <c r="U358" i="335"/>
  <c r="U356" i="335" s="1"/>
  <c r="EW56" i="11"/>
  <c r="FM172" i="338"/>
  <c r="FM173" i="338" s="1"/>
  <c r="AW163" i="338"/>
  <c r="AW164" i="338" s="1"/>
  <c r="AV375" i="335"/>
  <c r="CI12" i="335"/>
  <c r="AD12" i="335"/>
  <c r="ES628" i="338"/>
  <c r="ES634" i="338"/>
  <c r="ES658" i="338"/>
  <c r="ES652" i="338"/>
  <c r="ES640" i="338"/>
  <c r="ES664" i="338"/>
  <c r="EM606" i="338"/>
  <c r="EM607" i="338" s="1"/>
  <c r="ES653" i="338" s="1"/>
  <c r="EM640" i="338"/>
  <c r="EM639" i="338" s="1"/>
  <c r="EM638" i="338" s="1"/>
  <c r="ES646" i="338"/>
  <c r="ES670" i="338"/>
  <c r="EM658" i="338"/>
  <c r="EM657" i="338" s="1"/>
  <c r="EM656" i="338" s="1"/>
  <c r="EM646" i="338"/>
  <c r="EM645" i="338" s="1"/>
  <c r="EM644" i="338" s="1"/>
  <c r="EM652" i="338"/>
  <c r="EM651" i="338" s="1"/>
  <c r="EM678" i="338" s="1"/>
  <c r="EM687" i="338" s="1"/>
  <c r="EM634" i="338"/>
  <c r="EM633" i="338" s="1"/>
  <c r="EM632" i="338" s="1"/>
  <c r="EM664" i="338"/>
  <c r="EM670" i="338"/>
  <c r="DU452" i="338"/>
  <c r="DU53" i="335"/>
  <c r="DU54" i="335"/>
  <c r="DV54" i="335"/>
  <c r="FV52" i="335"/>
  <c r="EA53" i="335"/>
  <c r="DW52" i="335"/>
  <c r="W298" i="335"/>
  <c r="Q170" i="335"/>
  <c r="V368" i="335"/>
  <c r="Q323" i="335"/>
  <c r="U368" i="335"/>
  <c r="S169" i="335"/>
  <c r="CA118" i="336"/>
  <c r="CA395" i="338" s="1"/>
  <c r="BZ395" i="338"/>
  <c r="BL162" i="338"/>
  <c r="BL164" i="338" s="1"/>
  <c r="DB163" i="338"/>
  <c r="DC161" i="338"/>
  <c r="BC392" i="335"/>
  <c r="BC315" i="338"/>
  <c r="BC393" i="335"/>
  <c r="BC401" i="338"/>
  <c r="BC394" i="335"/>
  <c r="BC369" i="335"/>
  <c r="BC314" i="338"/>
  <c r="BE368" i="335"/>
  <c r="BB323" i="335"/>
  <c r="BA298" i="335"/>
  <c r="BG298" i="335"/>
  <c r="BA368" i="335"/>
  <c r="BA375" i="335"/>
  <c r="BF368" i="335"/>
  <c r="AK8" i="338"/>
  <c r="BB351" i="335"/>
  <c r="BB189" i="335"/>
  <c r="BE325" i="335" s="1"/>
  <c r="BE324" i="335"/>
  <c r="DN56" i="11"/>
  <c r="DT56" i="11"/>
  <c r="DU225" i="338"/>
  <c r="CR189" i="335"/>
  <c r="CU371" i="335"/>
  <c r="CU324" i="335"/>
  <c r="CX299" i="335"/>
  <c r="CR351" i="335"/>
  <c r="CR324" i="335"/>
  <c r="EE161" i="338"/>
  <c r="DZ39" i="11"/>
  <c r="CU358" i="335"/>
  <c r="CU356" i="335" s="1"/>
  <c r="CU12" i="335"/>
  <c r="CY14" i="11"/>
  <c r="CA105" i="11"/>
  <c r="CD109" i="11"/>
  <c r="BX109" i="11"/>
  <c r="AG161" i="338"/>
  <c r="AU12" i="335"/>
  <c r="AU358" i="335"/>
  <c r="AU356" i="335" s="1"/>
  <c r="AU39" i="11"/>
  <c r="AU26" i="11"/>
  <c r="DJ55" i="338"/>
  <c r="DD53" i="338"/>
  <c r="DJ39" i="338"/>
  <c r="DD39" i="338"/>
  <c r="CU57" i="338"/>
  <c r="CU95" i="338"/>
  <c r="DA57" i="338"/>
  <c r="CW57" i="338"/>
  <c r="CW95" i="338"/>
  <c r="CW97" i="338" s="1"/>
  <c r="DC57" i="338"/>
  <c r="Q12" i="335"/>
  <c r="Q39" i="11"/>
  <c r="Q358" i="335"/>
  <c r="Q356" i="335" s="1"/>
  <c r="DT108" i="11"/>
  <c r="DT112" i="11" s="1"/>
  <c r="DW104" i="11"/>
  <c r="DW119" i="11" s="1"/>
  <c r="H12" i="335"/>
  <c r="H358" i="335"/>
  <c r="H356" i="335" s="1"/>
  <c r="H39" i="11"/>
  <c r="CJ57" i="338"/>
  <c r="CJ95" i="338"/>
  <c r="CJ97" i="338" s="1"/>
  <c r="CY105" i="11"/>
  <c r="CY106" i="11" s="1"/>
  <c r="DC109" i="11"/>
  <c r="DC113" i="11" s="1"/>
  <c r="CW109" i="11"/>
  <c r="CW106" i="11"/>
  <c r="W163" i="338"/>
  <c r="X161" i="338"/>
  <c r="W161" i="338"/>
  <c r="BA13" i="338"/>
  <c r="BA17" i="338"/>
  <c r="BA18" i="338" s="1"/>
  <c r="AO13" i="338"/>
  <c r="AP13" i="338"/>
  <c r="CV12" i="335"/>
  <c r="DB26" i="11"/>
  <c r="DB32" i="11" s="1"/>
  <c r="AB358" i="335"/>
  <c r="AB356" i="335" s="1"/>
  <c r="AB12" i="335"/>
  <c r="AB39" i="11"/>
  <c r="AB26" i="11"/>
  <c r="CK39" i="338"/>
  <c r="DI33" i="11"/>
  <c r="DI67" i="11" s="1"/>
  <c r="DA34" i="11"/>
  <c r="CP97" i="338"/>
  <c r="BX57" i="338"/>
  <c r="BX95" i="338"/>
  <c r="BX97" i="338" s="1"/>
  <c r="CP57" i="338"/>
  <c r="W39" i="11"/>
  <c r="W26" i="11"/>
  <c r="W12" i="335"/>
  <c r="W358" i="335"/>
  <c r="W356" i="335" s="1"/>
  <c r="AC26" i="11"/>
  <c r="DH106" i="11"/>
  <c r="DH108" i="11"/>
  <c r="DH112" i="11" s="1"/>
  <c r="CE213" i="336"/>
  <c r="BI175" i="336"/>
  <c r="BI176" i="336"/>
  <c r="DH418" i="335"/>
  <c r="DI57" i="336"/>
  <c r="AV17" i="338"/>
  <c r="AV18" i="338" s="1"/>
  <c r="AY13" i="338"/>
  <c r="AV13" i="338"/>
  <c r="EE414" i="335"/>
  <c r="EF53" i="336"/>
  <c r="EH432" i="335"/>
  <c r="EI432" i="335" s="1"/>
  <c r="EK71" i="336"/>
  <c r="EK422" i="335"/>
  <c r="EL61" i="336"/>
  <c r="EZ16" i="3"/>
  <c r="EZ67" i="3" s="1"/>
  <c r="FA67" i="3" s="1"/>
  <c r="DK419" i="335"/>
  <c r="CD245" i="336"/>
  <c r="CD252" i="336" s="1"/>
  <c r="CE269" i="336"/>
  <c r="DW331" i="338"/>
  <c r="EC331" i="338"/>
  <c r="EH43" i="336"/>
  <c r="EI43" i="336" s="1"/>
  <c r="EI35" i="336"/>
  <c r="EO331" i="338"/>
  <c r="EE39" i="11"/>
  <c r="AS26" i="11"/>
  <c r="BN39" i="11"/>
  <c r="BN358" i="335"/>
  <c r="BN356" i="335" s="1"/>
  <c r="BT26" i="11"/>
  <c r="BN12" i="335"/>
  <c r="DH15" i="338"/>
  <c r="DQ105" i="11"/>
  <c r="DQ120" i="11" s="1"/>
  <c r="DO109" i="11"/>
  <c r="DO106" i="11"/>
  <c r="AI13" i="338"/>
  <c r="AH17" i="338"/>
  <c r="AH18" i="338" s="1"/>
  <c r="DE120" i="11"/>
  <c r="DE106" i="11"/>
  <c r="DA163" i="338"/>
  <c r="DB161" i="338"/>
  <c r="DH39" i="11"/>
  <c r="BW17" i="338"/>
  <c r="BW18" i="338" s="1"/>
  <c r="BX13" i="338"/>
  <c r="BW13" i="338"/>
  <c r="O12" i="335"/>
  <c r="O39" i="11"/>
  <c r="O358" i="335"/>
  <c r="O356" i="335" s="1"/>
  <c r="S14" i="11"/>
  <c r="DA15" i="338"/>
  <c r="AT161" i="338"/>
  <c r="AS161" i="338"/>
  <c r="AS163" i="338"/>
  <c r="AS164" i="338" s="1"/>
  <c r="U26" i="11"/>
  <c r="BY53" i="338"/>
  <c r="BY55" i="338" s="1"/>
  <c r="BY39" i="338"/>
  <c r="CE39" i="338"/>
  <c r="DG15" i="338"/>
  <c r="DD15" i="338"/>
  <c r="DK104" i="11"/>
  <c r="DQ108" i="11" s="1"/>
  <c r="DQ112" i="11" s="1"/>
  <c r="DH33" i="11"/>
  <c r="DH67" i="11" s="1"/>
  <c r="DZ33" i="11"/>
  <c r="DZ67" i="11" s="1"/>
  <c r="CX15" i="338"/>
  <c r="DI15" i="338"/>
  <c r="J39" i="11"/>
  <c r="J12" i="335"/>
  <c r="J358" i="335"/>
  <c r="J356" i="335" s="1"/>
  <c r="J323" i="338" s="1"/>
  <c r="K26" i="11"/>
  <c r="BU675" i="338"/>
  <c r="BU683" i="338" s="1"/>
  <c r="BU632" i="338"/>
  <c r="DI689" i="338"/>
  <c r="DI685" i="338"/>
  <c r="DI690" i="338" s="1"/>
  <c r="BS662" i="338"/>
  <c r="BS675" i="338"/>
  <c r="CD662" i="338"/>
  <c r="CJ668" i="338"/>
  <c r="CK632" i="338"/>
  <c r="CK675" i="338"/>
  <c r="CG676" i="338"/>
  <c r="CW632" i="338"/>
  <c r="CW675" i="338"/>
  <c r="CW683" i="338" s="1"/>
  <c r="DN679" i="338"/>
  <c r="DN684" i="338" s="1"/>
  <c r="DN689" i="338" s="1"/>
  <c r="DQ644" i="338"/>
  <c r="DI668" i="338"/>
  <c r="EA644" i="338"/>
  <c r="DU632" i="338"/>
  <c r="DI674" i="338"/>
  <c r="DZ684" i="338"/>
  <c r="BI632" i="338"/>
  <c r="DO638" i="338"/>
  <c r="DO678" i="338"/>
  <c r="DO687" i="338" s="1"/>
  <c r="CA632" i="338"/>
  <c r="BX656" i="338"/>
  <c r="CW668" i="338"/>
  <c r="BR676" i="338"/>
  <c r="DM638" i="338"/>
  <c r="DM678" i="338"/>
  <c r="CS676" i="338"/>
  <c r="CS632" i="338"/>
  <c r="DM676" i="338"/>
  <c r="DM674" i="338" s="1"/>
  <c r="DU679" i="338"/>
  <c r="DU684" i="338" s="1"/>
  <c r="DU644" i="338"/>
  <c r="DW644" i="338"/>
  <c r="CE626" i="338"/>
  <c r="CE675" i="338"/>
  <c r="CE683" i="338" s="1"/>
  <c r="CE685" i="338" s="1"/>
  <c r="EB679" i="338"/>
  <c r="EB638" i="338"/>
  <c r="CG662" i="338"/>
  <c r="EA638" i="338"/>
  <c r="EA678" i="338"/>
  <c r="EA687" i="338" s="1"/>
  <c r="CR632" i="338"/>
  <c r="CR676" i="338"/>
  <c r="CR684" i="338" s="1"/>
  <c r="CR689" i="338" s="1"/>
  <c r="DO668" i="338"/>
  <c r="DO626" i="338"/>
  <c r="DO675" i="338"/>
  <c r="CF676" i="338"/>
  <c r="CA656" i="338"/>
  <c r="CX683" i="338"/>
  <c r="CX674" i="338"/>
  <c r="DD674" i="338"/>
  <c r="DD683" i="338"/>
  <c r="DD688" i="338" s="1"/>
  <c r="DT632" i="338"/>
  <c r="DM684" i="338"/>
  <c r="CJ684" i="338"/>
  <c r="CJ689" i="338" s="1"/>
  <c r="EW654" i="338"/>
  <c r="EW679" i="338" s="1"/>
  <c r="EQ654" i="338"/>
  <c r="EQ679" i="338" s="1"/>
  <c r="DH648" i="338"/>
  <c r="DH679" i="338" s="1"/>
  <c r="DH684" i="338" s="1"/>
  <c r="DH689" i="338" s="1"/>
  <c r="DH647" i="338"/>
  <c r="DH645" i="338" s="1"/>
  <c r="DH578" i="338"/>
  <c r="CK676" i="338"/>
  <c r="CK684" i="338" s="1"/>
  <c r="CK689" i="338" s="1"/>
  <c r="DV679" i="338"/>
  <c r="DV684" i="338" s="1"/>
  <c r="DV638" i="338"/>
  <c r="BL668" i="338"/>
  <c r="EA675" i="338"/>
  <c r="EA626" i="338"/>
  <c r="DJ676" i="338"/>
  <c r="DQ676" i="338"/>
  <c r="DQ684" i="338" s="1"/>
  <c r="DQ689" i="338" s="1"/>
  <c r="DA632" i="338"/>
  <c r="DE668" i="338"/>
  <c r="CM632" i="338"/>
  <c r="BI668" i="338"/>
  <c r="BI626" i="338"/>
  <c r="BI675" i="338"/>
  <c r="DO644" i="338"/>
  <c r="CA626" i="338"/>
  <c r="CA675" i="338"/>
  <c r="CA683" i="338" s="1"/>
  <c r="DZ632" i="338"/>
  <c r="CR683" i="338"/>
  <c r="CD684" i="338"/>
  <c r="CD685" i="338" s="1"/>
  <c r="BU674" i="338"/>
  <c r="CP786" i="338"/>
  <c r="CI656" i="338"/>
  <c r="CI675" i="338"/>
  <c r="CI683" i="338" s="1"/>
  <c r="CI688" i="338" s="1"/>
  <c r="EM654" i="338"/>
  <c r="BO676" i="338"/>
  <c r="BO674" i="338" s="1"/>
  <c r="CC684" i="338"/>
  <c r="CC685" i="338" s="1"/>
  <c r="DG642" i="338"/>
  <c r="DG679" i="338" s="1"/>
  <c r="DG641" i="338"/>
  <c r="DG639" i="338" s="1"/>
  <c r="BR656" i="338"/>
  <c r="EA632" i="338"/>
  <c r="CC668" i="338"/>
  <c r="DD662" i="338"/>
  <c r="CM656" i="338"/>
  <c r="BI656" i="338"/>
  <c r="BZ626" i="338"/>
  <c r="BZ675" i="338"/>
  <c r="CL676" i="338"/>
  <c r="DJ662" i="338"/>
  <c r="BX683" i="338"/>
  <c r="BX685" i="338" s="1"/>
  <c r="BX674" i="338"/>
  <c r="DO33" i="11"/>
  <c r="DO67" i="11" s="1"/>
  <c r="BF163" i="338"/>
  <c r="BF164" i="338" s="1"/>
  <c r="BT39" i="11"/>
  <c r="X26" i="11"/>
  <c r="Y14" i="11"/>
  <c r="X358" i="335"/>
  <c r="X356" i="335" s="1"/>
  <c r="X12" i="335"/>
  <c r="X39" i="11"/>
  <c r="BW39" i="338"/>
  <c r="BW53" i="338"/>
  <c r="BW55" i="338" s="1"/>
  <c r="DK105" i="11"/>
  <c r="DG106" i="11"/>
  <c r="DG109" i="11"/>
  <c r="DG113" i="11" s="1"/>
  <c r="DM109" i="11"/>
  <c r="DM113" i="11" s="1"/>
  <c r="BX53" i="338"/>
  <c r="BX55" i="338" s="1"/>
  <c r="CD39" i="338"/>
  <c r="BX39" i="338"/>
  <c r="CD55" i="338"/>
  <c r="CO56" i="338"/>
  <c r="CO55" i="338"/>
  <c r="CO39" i="338"/>
  <c r="CI39" i="338"/>
  <c r="CI53" i="338"/>
  <c r="AG17" i="338"/>
  <c r="AG18" i="338" s="1"/>
  <c r="AH13" i="338"/>
  <c r="BG161" i="338"/>
  <c r="DM15" i="338"/>
  <c r="EC180" i="338"/>
  <c r="ES679" i="338"/>
  <c r="EU679" i="338" s="1"/>
  <c r="CP674" i="338"/>
  <c r="DE678" i="338"/>
  <c r="CI689" i="338"/>
  <c r="CI685" i="338"/>
  <c r="CI690" i="338" s="1"/>
  <c r="BU780" i="338"/>
  <c r="BU300" i="338"/>
  <c r="DB674" i="338"/>
  <c r="DB684" i="338"/>
  <c r="CM668" i="338"/>
  <c r="CM675" i="338"/>
  <c r="CU668" i="338"/>
  <c r="DD689" i="338"/>
  <c r="DD685" i="338"/>
  <c r="BQ632" i="338"/>
  <c r="CP626" i="338"/>
  <c r="BN674" i="338"/>
  <c r="BN683" i="338"/>
  <c r="BT683" i="338"/>
  <c r="BT674" i="338"/>
  <c r="DS683" i="338"/>
  <c r="DS674" i="338"/>
  <c r="CG683" i="338"/>
  <c r="CG674" i="338"/>
  <c r="DA683" i="338"/>
  <c r="DA674" i="338"/>
  <c r="DW683" i="338"/>
  <c r="DW674" i="338"/>
  <c r="EM218" i="338"/>
  <c r="CL683" i="338"/>
  <c r="CL674" i="338"/>
  <c r="EY300" i="338"/>
  <c r="EY301" i="338" s="1"/>
  <c r="EY282" i="338"/>
  <c r="EY387" i="335" s="1"/>
  <c r="ES218" i="338"/>
  <c r="FA48" i="11"/>
  <c r="FA76" i="335"/>
  <c r="FM765" i="338"/>
  <c r="FM254" i="338"/>
  <c r="BW676" i="338"/>
  <c r="CO676" i="338"/>
  <c r="CO668" i="338"/>
  <c r="CS662" i="338"/>
  <c r="CS675" i="338"/>
  <c r="DC684" i="338"/>
  <c r="CE668" i="338"/>
  <c r="BU668" i="338"/>
  <c r="EB37" i="338"/>
  <c r="DB668" i="338"/>
  <c r="CI674" i="338"/>
  <c r="DJ688" i="338"/>
  <c r="DO326" i="338"/>
  <c r="DU326" i="338"/>
  <c r="DU27" i="11"/>
  <c r="DU33" i="11" s="1"/>
  <c r="DU67" i="11" s="1"/>
  <c r="DO37" i="11"/>
  <c r="DO38" i="11"/>
  <c r="BL674" i="338"/>
  <c r="BL683" i="338"/>
  <c r="BL685" i="338" s="1"/>
  <c r="DQ277" i="338"/>
  <c r="DP388" i="335"/>
  <c r="ER217" i="338"/>
  <c r="EX219" i="338"/>
  <c r="EU219" i="338"/>
  <c r="EU220" i="338" s="1"/>
  <c r="DN674" i="338"/>
  <c r="DN683" i="338"/>
  <c r="EI55" i="11"/>
  <c r="EO55" i="11"/>
  <c r="DW278" i="338"/>
  <c r="DV277" i="338"/>
  <c r="EB278" i="338"/>
  <c r="DO58" i="11"/>
  <c r="DU58" i="11"/>
  <c r="EB683" i="338"/>
  <c r="EB688" i="338" s="1"/>
  <c r="EB674" i="338"/>
  <c r="DG676" i="338"/>
  <c r="DG632" i="338"/>
  <c r="AW780" i="338"/>
  <c r="AW300" i="338"/>
  <c r="DK676" i="338"/>
  <c r="DK632" i="338"/>
  <c r="DQ662" i="338"/>
  <c r="DQ675" i="338"/>
  <c r="DP675" i="338"/>
  <c r="DP626" i="338"/>
  <c r="CR388" i="335"/>
  <c r="CS277" i="338"/>
  <c r="CE674" i="338"/>
  <c r="CV674" i="338"/>
  <c r="CV683" i="338"/>
  <c r="EB487" i="338"/>
  <c r="DT674" i="338"/>
  <c r="DT683" i="338"/>
  <c r="BW626" i="338"/>
  <c r="DE674" i="338"/>
  <c r="EC683" i="338"/>
  <c r="EC688" i="338" s="1"/>
  <c r="EC674" i="338"/>
  <c r="DU429" i="338"/>
  <c r="DU430" i="338"/>
  <c r="DO432" i="338"/>
  <c r="FC218" i="338"/>
  <c r="FG76" i="335"/>
  <c r="EY217" i="338"/>
  <c r="EY218" i="338" s="1"/>
  <c r="FE221" i="338"/>
  <c r="EN660" i="338"/>
  <c r="FI48" i="11"/>
  <c r="FJ77" i="335"/>
  <c r="FM75" i="335"/>
  <c r="FI76" i="335"/>
  <c r="FI77" i="335"/>
  <c r="EC197" i="338"/>
  <c r="DY644" i="338"/>
  <c r="DY678" i="338"/>
  <c r="DE648" i="338"/>
  <c r="DE679" i="338" s="1"/>
  <c r="FI138" i="335"/>
  <c r="CU632" i="338"/>
  <c r="CU675" i="338"/>
  <c r="DH668" i="338"/>
  <c r="DH675" i="338"/>
  <c r="CA662" i="338"/>
  <c r="DK644" i="338"/>
  <c r="DC668" i="338"/>
  <c r="CI662" i="338"/>
  <c r="DO206" i="335"/>
  <c r="DO207" i="335" s="1"/>
  <c r="DO494" i="338"/>
  <c r="DO495" i="338" s="1"/>
  <c r="DO100" i="335"/>
  <c r="BW683" i="338"/>
  <c r="BW674" i="338"/>
  <c r="CF683" i="338"/>
  <c r="CF674" i="338"/>
  <c r="FI218" i="338"/>
  <c r="DS39" i="11"/>
  <c r="BH14" i="3"/>
  <c r="BI14" i="3" s="1"/>
  <c r="BH147" i="336"/>
  <c r="BH148" i="336" s="1"/>
  <c r="BH76" i="3"/>
  <c r="AJ92" i="3"/>
  <c r="AI38" i="3"/>
  <c r="AI41" i="3" s="1"/>
  <c r="AI95" i="3"/>
  <c r="BO95" i="3"/>
  <c r="CA25" i="3"/>
  <c r="BZ51" i="3"/>
  <c r="CA51" i="3" s="1"/>
  <c r="DZ198" i="336"/>
  <c r="DZ187" i="336"/>
  <c r="EC185" i="336"/>
  <c r="EC187" i="336" s="1"/>
  <c r="BZ45" i="3"/>
  <c r="EF108" i="11"/>
  <c r="EF112" i="11" s="1"/>
  <c r="AE31" i="3"/>
  <c r="AD33" i="3"/>
  <c r="AE33" i="3" s="1"/>
  <c r="DZ201" i="336"/>
  <c r="EA201" i="336" s="1"/>
  <c r="EB201" i="336" s="1"/>
  <c r="EE201" i="336" s="1"/>
  <c r="EF201" i="336" s="1"/>
  <c r="EG201" i="336" s="1"/>
  <c r="EH201" i="336" s="1"/>
  <c r="EK201" i="336" s="1"/>
  <c r="EL201" i="336" s="1"/>
  <c r="EM201" i="336" s="1"/>
  <c r="EN201" i="336" s="1"/>
  <c r="EQ201" i="336" s="1"/>
  <c r="ER201" i="336" s="1"/>
  <c r="ES201" i="336" s="1"/>
  <c r="ET201" i="336" s="1"/>
  <c r="EW201" i="336" s="1"/>
  <c r="EX201" i="336" s="1"/>
  <c r="S401" i="338"/>
  <c r="S418" i="338"/>
  <c r="S400" i="338"/>
  <c r="DI47" i="3"/>
  <c r="DH49" i="3"/>
  <c r="DT39" i="11"/>
  <c r="AC45" i="3"/>
  <c r="AC87" i="3"/>
  <c r="AC99" i="3"/>
  <c r="AC105" i="3"/>
  <c r="AC383" i="335"/>
  <c r="AK14" i="3"/>
  <c r="AU142" i="336"/>
  <c r="AU25" i="3"/>
  <c r="AU51" i="3" s="1"/>
  <c r="X30" i="3"/>
  <c r="Y30" i="3" s="1"/>
  <c r="X85" i="3"/>
  <c r="AW9" i="3"/>
  <c r="AP383" i="335"/>
  <c r="AP397" i="335" s="1"/>
  <c r="AP105" i="3"/>
  <c r="AU373" i="335"/>
  <c r="AS373" i="335"/>
  <c r="AP87" i="3"/>
  <c r="AQ87" i="3" s="1"/>
  <c r="AP373" i="335"/>
  <c r="AQ373" i="335" s="1"/>
  <c r="AT373" i="335"/>
  <c r="AQ76" i="3"/>
  <c r="AQ105" i="3" s="1"/>
  <c r="EM99" i="3"/>
  <c r="EO95" i="3"/>
  <c r="BF51" i="3"/>
  <c r="BF45" i="3"/>
  <c r="AV21" i="3"/>
  <c r="AW21" i="3" s="1"/>
  <c r="AW417" i="338" s="1"/>
  <c r="AW72" i="3"/>
  <c r="AV76" i="3"/>
  <c r="BI65" i="3"/>
  <c r="BG148" i="336"/>
  <c r="BI147" i="336"/>
  <c r="BI148" i="336" s="1"/>
  <c r="FM32" i="3"/>
  <c r="FL84" i="3"/>
  <c r="FM84" i="3" s="1"/>
  <c r="FM43" i="3"/>
  <c r="FL97" i="3"/>
  <c r="AJ70" i="3"/>
  <c r="AK70" i="3" s="1"/>
  <c r="AI19" i="3"/>
  <c r="AI25" i="3" s="1"/>
  <c r="AI51" i="3" s="1"/>
  <c r="AI76" i="3"/>
  <c r="AM109" i="3"/>
  <c r="AM110" i="3" s="1"/>
  <c r="AM106" i="3"/>
  <c r="AS106" i="3"/>
  <c r="AS109" i="3"/>
  <c r="AY106" i="3"/>
  <c r="S29" i="3"/>
  <c r="R33" i="3"/>
  <c r="V87" i="3"/>
  <c r="V105" i="3"/>
  <c r="V99" i="3"/>
  <c r="V373" i="335"/>
  <c r="BX134" i="336"/>
  <c r="EC109" i="3"/>
  <c r="EC108" i="3"/>
  <c r="ET397" i="335"/>
  <c r="EW398" i="335" s="1"/>
  <c r="EU383" i="335"/>
  <c r="EU397" i="335" s="1"/>
  <c r="S85" i="3"/>
  <c r="R99" i="3"/>
  <c r="ET112" i="3"/>
  <c r="ES108" i="3"/>
  <c r="ES112" i="3"/>
  <c r="ES109" i="3"/>
  <c r="ES106" i="3"/>
  <c r="Y12" i="3"/>
  <c r="X142" i="336"/>
  <c r="Y142" i="336" s="1"/>
  <c r="Y137" i="336" s="1"/>
  <c r="EA110" i="3"/>
  <c r="DU110" i="3"/>
  <c r="V45" i="3"/>
  <c r="Y29" i="3"/>
  <c r="DG33" i="11"/>
  <c r="DG67" i="11" s="1"/>
  <c r="BH95" i="3"/>
  <c r="BI95" i="3" s="1"/>
  <c r="BH38" i="3"/>
  <c r="Y38" i="3"/>
  <c r="Y41" i="3" s="1"/>
  <c r="X41" i="3"/>
  <c r="AP41" i="3"/>
  <c r="AQ36" i="3"/>
  <c r="AQ41" i="3" s="1"/>
  <c r="BI417" i="338"/>
  <c r="DD110" i="3"/>
  <c r="EE110" i="3"/>
  <c r="EK110" i="3"/>
  <c r="AJ33" i="3"/>
  <c r="AK33" i="3" s="1"/>
  <c r="AQ16" i="3"/>
  <c r="AP25" i="3"/>
  <c r="BN75" i="3"/>
  <c r="BM24" i="3"/>
  <c r="BM25" i="3" s="1"/>
  <c r="BM51" i="3" s="1"/>
  <c r="BM76" i="3"/>
  <c r="BA14" i="3"/>
  <c r="AZ25" i="3"/>
  <c r="BO75" i="3"/>
  <c r="CA64" i="3"/>
  <c r="CA76" i="3" s="1"/>
  <c r="BY180" i="336"/>
  <c r="BY76" i="3"/>
  <c r="FM97" i="3"/>
  <c r="CJ134" i="336"/>
  <c r="CM144" i="336"/>
  <c r="AM397" i="335"/>
  <c r="DZ383" i="335"/>
  <c r="DZ87" i="3"/>
  <c r="EC87" i="3" s="1"/>
  <c r="DZ77" i="3"/>
  <c r="DZ105" i="3"/>
  <c r="EA373" i="335"/>
  <c r="EF77" i="3"/>
  <c r="DZ373" i="335"/>
  <c r="EE373" i="335"/>
  <c r="DZ99" i="3"/>
  <c r="EB373" i="335"/>
  <c r="EC373" i="335" s="1"/>
  <c r="BN12" i="3"/>
  <c r="BO63" i="3"/>
  <c r="BO384" i="335" s="1"/>
  <c r="BN384" i="335"/>
  <c r="BN173" i="335"/>
  <c r="BN174" i="335" s="1"/>
  <c r="BN76" i="3"/>
  <c r="J106" i="3"/>
  <c r="ET109" i="3"/>
  <c r="ET110" i="3" s="1"/>
  <c r="ET108" i="3"/>
  <c r="ET106" i="3"/>
  <c r="AW29" i="3"/>
  <c r="AV33" i="3"/>
  <c r="AW33" i="3" s="1"/>
  <c r="AM39" i="11"/>
  <c r="AM12" i="335"/>
  <c r="AM358" i="335"/>
  <c r="AM356" i="335" s="1"/>
  <c r="AM26" i="11"/>
  <c r="BB358" i="335"/>
  <c r="BB356" i="335" s="1"/>
  <c r="BB39" i="11"/>
  <c r="BB12" i="335"/>
  <c r="BB26" i="11"/>
  <c r="DQ176" i="336"/>
  <c r="DQ193" i="336"/>
  <c r="S144" i="336"/>
  <c r="S382" i="335"/>
  <c r="DS398" i="335"/>
  <c r="DT398" i="335"/>
  <c r="CE398" i="335"/>
  <c r="CV26" i="11"/>
  <c r="CV32" i="11" s="1"/>
  <c r="CP12" i="335"/>
  <c r="CP26" i="11"/>
  <c r="CP32" i="11" s="1"/>
  <c r="CP358" i="335"/>
  <c r="CP356" i="335" s="1"/>
  <c r="AK36" i="3"/>
  <c r="DG358" i="335"/>
  <c r="DG356" i="335" s="1"/>
  <c r="DM26" i="11"/>
  <c r="DM32" i="11" s="1"/>
  <c r="DG12" i="335"/>
  <c r="DK12" i="335" s="1"/>
  <c r="DG26" i="11"/>
  <c r="DG32" i="11" s="1"/>
  <c r="DK14" i="11"/>
  <c r="AD16" i="3"/>
  <c r="AD76" i="3"/>
  <c r="BR106" i="3"/>
  <c r="BR109" i="3"/>
  <c r="BX106" i="3"/>
  <c r="Y95" i="3"/>
  <c r="AO25" i="3"/>
  <c r="AO51" i="3" s="1"/>
  <c r="Y85" i="3"/>
  <c r="BW110" i="3"/>
  <c r="CC110" i="3"/>
  <c r="DV398" i="335"/>
  <c r="BC14" i="11"/>
  <c r="BA163" i="338"/>
  <c r="BA164" i="338" s="1"/>
  <c r="BA161" i="338"/>
  <c r="EU109" i="3"/>
  <c r="EU108" i="3"/>
  <c r="BG144" i="336"/>
  <c r="BG31" i="3"/>
  <c r="BG33" i="3" s="1"/>
  <c r="BG382" i="335"/>
  <c r="BG397" i="335" s="1"/>
  <c r="BG85" i="3"/>
  <c r="BH83" i="3"/>
  <c r="BG105" i="3"/>
  <c r="BG87" i="3"/>
  <c r="BB21" i="3"/>
  <c r="BC21" i="3" s="1"/>
  <c r="BC417" i="338" s="1"/>
  <c r="BC72" i="3"/>
  <c r="BG9" i="3"/>
  <c r="AV90" i="3"/>
  <c r="AW90" i="3" s="1"/>
  <c r="AU36" i="3"/>
  <c r="AU41" i="3" s="1"/>
  <c r="AU45" i="3" s="1"/>
  <c r="AU95" i="3"/>
  <c r="AU109" i="3"/>
  <c r="AP84" i="3"/>
  <c r="AO85" i="3"/>
  <c r="AO32" i="3"/>
  <c r="AO33" i="3" s="1"/>
  <c r="BB384" i="335"/>
  <c r="BC63" i="3"/>
  <c r="BC384" i="335" s="1"/>
  <c r="BB12" i="3"/>
  <c r="BB76" i="3"/>
  <c r="AS397" i="335"/>
  <c r="BN31" i="3"/>
  <c r="BM33" i="3"/>
  <c r="X67" i="3"/>
  <c r="W16" i="3"/>
  <c r="W25" i="3" s="1"/>
  <c r="W51" i="3" s="1"/>
  <c r="W76" i="3"/>
  <c r="S23" i="3"/>
  <c r="S417" i="338" s="1"/>
  <c r="R25" i="3"/>
  <c r="Q47" i="3"/>
  <c r="P49" i="3"/>
  <c r="AE144" i="336"/>
  <c r="AD145" i="336"/>
  <c r="AI39" i="11"/>
  <c r="AI12" i="335"/>
  <c r="AI358" i="335"/>
  <c r="AI356" i="335" s="1"/>
  <c r="AI26" i="11"/>
  <c r="EL108" i="11"/>
  <c r="EL112" i="11" s="1"/>
  <c r="AE36" i="3"/>
  <c r="AE41" i="3" s="1"/>
  <c r="AD41" i="3"/>
  <c r="DG37" i="11"/>
  <c r="DG39" i="11" s="1"/>
  <c r="DG10" i="335"/>
  <c r="DK10" i="335" s="1"/>
  <c r="DG355" i="335"/>
  <c r="DG24" i="11"/>
  <c r="DG30" i="11" s="1"/>
  <c r="DK12" i="11"/>
  <c r="DM24" i="11"/>
  <c r="DM30" i="11" s="1"/>
  <c r="AE67" i="3"/>
  <c r="BR397" i="335"/>
  <c r="BU383" i="335"/>
  <c r="BU397" i="335" s="1"/>
  <c r="BU385" i="338" s="1"/>
  <c r="AJ148" i="336"/>
  <c r="AK147" i="336"/>
  <c r="DA161" i="338"/>
  <c r="CX163" i="338"/>
  <c r="AV12" i="3"/>
  <c r="DK25" i="11"/>
  <c r="DK31" i="11" s="1"/>
  <c r="DQ25" i="11"/>
  <c r="DQ31" i="11" s="1"/>
  <c r="DK357" i="335"/>
  <c r="EO76" i="3"/>
  <c r="EO384" i="335"/>
  <c r="DA12" i="335"/>
  <c r="DA358" i="335"/>
  <c r="DA356" i="335" s="1"/>
  <c r="DA26" i="11"/>
  <c r="DA32" i="11" s="1"/>
  <c r="DE14" i="11"/>
  <c r="EW109" i="3"/>
  <c r="EW110" i="3" s="1"/>
  <c r="EX112" i="3"/>
  <c r="EW106" i="3"/>
  <c r="EW108" i="3"/>
  <c r="DQ447" i="335"/>
  <c r="CM266" i="336"/>
  <c r="CM271" i="336" s="1"/>
  <c r="CI266" i="336"/>
  <c r="CI271" i="336" s="1"/>
  <c r="BS135" i="336"/>
  <c r="BT139" i="336"/>
  <c r="BT140" i="336" s="1"/>
  <c r="BS137" i="336"/>
  <c r="BT137" i="336"/>
  <c r="BU137" i="336" s="1"/>
  <c r="BS139" i="336"/>
  <c r="BS140" i="336" s="1"/>
  <c r="EO35" i="336"/>
  <c r="EN43" i="336"/>
  <c r="EO43" i="336" s="1"/>
  <c r="DA395" i="338"/>
  <c r="DA162" i="338"/>
  <c r="DA61" i="11"/>
  <c r="DA16" i="338" s="1"/>
  <c r="DG331" i="338"/>
  <c r="ES332" i="338"/>
  <c r="ES331" i="338"/>
  <c r="ET332" i="338"/>
  <c r="EW63" i="336"/>
  <c r="ET424" i="335"/>
  <c r="EU424" i="335" s="1"/>
  <c r="EU330" i="338"/>
  <c r="EU331" i="338" s="1"/>
  <c r="ET331" i="338"/>
  <c r="DS21" i="336"/>
  <c r="DT19" i="336"/>
  <c r="DS98" i="336"/>
  <c r="BG178" i="336"/>
  <c r="BG185" i="336"/>
  <c r="BG173" i="336"/>
  <c r="BG187" i="336"/>
  <c r="BH183" i="336"/>
  <c r="EW436" i="335"/>
  <c r="EX75" i="336"/>
  <c r="EF34" i="11"/>
  <c r="ER449" i="335"/>
  <c r="ES88" i="336"/>
  <c r="CR358" i="335"/>
  <c r="CR356" i="335" s="1"/>
  <c r="CX26" i="11"/>
  <c r="CX32" i="11" s="1"/>
  <c r="CR12" i="335"/>
  <c r="DC414" i="335"/>
  <c r="DD55" i="336"/>
  <c r="BR163" i="338"/>
  <c r="BR164" i="338" s="1"/>
  <c r="BS161" i="338"/>
  <c r="FD19" i="336"/>
  <c r="FC29" i="3"/>
  <c r="FC81" i="3" s="1"/>
  <c r="ES437" i="335"/>
  <c r="ET76" i="336"/>
  <c r="EF61" i="11"/>
  <c r="EF16" i="338" s="1"/>
  <c r="EF162" i="338"/>
  <c r="EF164" i="338" s="1"/>
  <c r="EH59" i="336"/>
  <c r="EG420" i="335"/>
  <c r="FE23" i="3"/>
  <c r="FD74" i="3"/>
  <c r="EQ441" i="335"/>
  <c r="ER80" i="336"/>
  <c r="EW82" i="336"/>
  <c r="ET443" i="335"/>
  <c r="EU443" i="335" s="1"/>
  <c r="AS139" i="336"/>
  <c r="AS140" i="336" s="1"/>
  <c r="AS137" i="336"/>
  <c r="EC385" i="335"/>
  <c r="DC60" i="336"/>
  <c r="DB419" i="335"/>
  <c r="DG84" i="336"/>
  <c r="DD436" i="335"/>
  <c r="FA30" i="3"/>
  <c r="EZ82" i="3"/>
  <c r="FA82" i="3" s="1"/>
  <c r="EI437" i="335"/>
  <c r="EM434" i="335"/>
  <c r="EN73" i="336"/>
  <c r="EY91" i="336"/>
  <c r="EX452" i="335"/>
  <c r="EW67" i="336"/>
  <c r="ET428" i="335"/>
  <c r="EU428" i="335" s="1"/>
  <c r="DH425" i="335"/>
  <c r="DI64" i="336"/>
  <c r="EQ333" i="338"/>
  <c r="AT134" i="336"/>
  <c r="AT137" i="336" s="1"/>
  <c r="AU135" i="336"/>
  <c r="AU134" i="336" s="1"/>
  <c r="EW440" i="335"/>
  <c r="EX79" i="336"/>
  <c r="EC326" i="338"/>
  <c r="FF57" i="335"/>
  <c r="FF58" i="335"/>
  <c r="X96" i="335"/>
  <c r="AD88" i="335"/>
  <c r="X89" i="335"/>
  <c r="X311" i="335"/>
  <c r="AA89" i="335"/>
  <c r="AA311" i="335"/>
  <c r="X88" i="335"/>
  <c r="AD286" i="335"/>
  <c r="X286" i="335"/>
  <c r="Y87" i="335"/>
  <c r="ET413" i="338"/>
  <c r="EU413" i="338" s="1"/>
  <c r="EZ103" i="336"/>
  <c r="EU103" i="336"/>
  <c r="AB116" i="336"/>
  <c r="AB118" i="336"/>
  <c r="AB119" i="336"/>
  <c r="BU12" i="338"/>
  <c r="BU17" i="338" s="1"/>
  <c r="BU18" i="338" s="1"/>
  <c r="BU8" i="338"/>
  <c r="EL317" i="338"/>
  <c r="EF317" i="338"/>
  <c r="EI316" i="338"/>
  <c r="EI317" i="338" s="1"/>
  <c r="DM689" i="338"/>
  <c r="CP432" i="338"/>
  <c r="EA213" i="335"/>
  <c r="EA215" i="335"/>
  <c r="EC212" i="335"/>
  <c r="EC213" i="335" s="1"/>
  <c r="DH173" i="335"/>
  <c r="DH174" i="335" s="1"/>
  <c r="DH212" i="335"/>
  <c r="DI323" i="335"/>
  <c r="DH323" i="335"/>
  <c r="DH170" i="335"/>
  <c r="DH350" i="335"/>
  <c r="DH298" i="335"/>
  <c r="DH195" i="335"/>
  <c r="AQ401" i="338"/>
  <c r="AQ315" i="338"/>
  <c r="AQ394" i="335"/>
  <c r="AQ392" i="335"/>
  <c r="AQ393" i="335"/>
  <c r="AQ316" i="338"/>
  <c r="AQ314" i="338"/>
  <c r="AQ369" i="335"/>
  <c r="EH110" i="3"/>
  <c r="EN110" i="3"/>
  <c r="EI612" i="338"/>
  <c r="EI613" i="338" s="1"/>
  <c r="EI615" i="338"/>
  <c r="EI616" i="338" s="1"/>
  <c r="EI621" i="338" s="1"/>
  <c r="EI622" i="338" s="1"/>
  <c r="EI623" i="338" s="1"/>
  <c r="BL213" i="335"/>
  <c r="BL215" i="335"/>
  <c r="BC368" i="335"/>
  <c r="BI298" i="335"/>
  <c r="BC170" i="335"/>
  <c r="BC389" i="338" s="1"/>
  <c r="BC298" i="335"/>
  <c r="BC350" i="335"/>
  <c r="DW46" i="11"/>
  <c r="EC288" i="335"/>
  <c r="DW338" i="335"/>
  <c r="BM238" i="336"/>
  <c r="BM221" i="335"/>
  <c r="EB681" i="338"/>
  <c r="EB684" i="338" s="1"/>
  <c r="EY413" i="338"/>
  <c r="BB12" i="338"/>
  <c r="BH8" i="338"/>
  <c r="BH17" i="338"/>
  <c r="BH18" i="338" s="1"/>
  <c r="BB8" i="338"/>
  <c r="FG110" i="335"/>
  <c r="FG111" i="335" s="1"/>
  <c r="AH54" i="335"/>
  <c r="AN53" i="335"/>
  <c r="AI54" i="335"/>
  <c r="AK52" i="335"/>
  <c r="V119" i="336"/>
  <c r="V116" i="336"/>
  <c r="V118" i="336"/>
  <c r="AH53" i="335"/>
  <c r="EF612" i="338"/>
  <c r="EF613" i="338" s="1"/>
  <c r="EF681" i="338" s="1"/>
  <c r="GD437" i="338"/>
  <c r="ET78" i="11"/>
  <c r="ET82" i="11" s="1"/>
  <c r="EZ74" i="11"/>
  <c r="EU74" i="11"/>
  <c r="EU78" i="11" s="1"/>
  <c r="EA185" i="335"/>
  <c r="EA187" i="335"/>
  <c r="FW92" i="335"/>
  <c r="FV151" i="335"/>
  <c r="FV154" i="335"/>
  <c r="FV148" i="335"/>
  <c r="FV144" i="335"/>
  <c r="DB213" i="335"/>
  <c r="DB215" i="335"/>
  <c r="AP212" i="335"/>
  <c r="AQ212" i="335" s="1"/>
  <c r="AQ213" i="335" s="1"/>
  <c r="AP170" i="335"/>
  <c r="AP323" i="335"/>
  <c r="AP350" i="335"/>
  <c r="AP182" i="335"/>
  <c r="AV298" i="335"/>
  <c r="AP368" i="335"/>
  <c r="AU368" i="335"/>
  <c r="AP298" i="335"/>
  <c r="AT368" i="335"/>
  <c r="AS368" i="335"/>
  <c r="AS323" i="335"/>
  <c r="CQ685" i="338"/>
  <c r="CQ690" i="338" s="1"/>
  <c r="CQ689" i="338"/>
  <c r="CU623" i="338"/>
  <c r="DS54" i="11"/>
  <c r="DY54" i="11"/>
  <c r="CS317" i="338"/>
  <c r="CY317" i="338"/>
  <c r="AN215" i="335"/>
  <c r="AN213" i="335"/>
  <c r="EO325" i="338"/>
  <c r="EN326" i="338"/>
  <c r="ET429" i="338"/>
  <c r="ET430" i="338"/>
  <c r="BC212" i="335"/>
  <c r="BC213" i="335" s="1"/>
  <c r="AY213" i="335"/>
  <c r="AY215" i="335"/>
  <c r="FK56" i="335"/>
  <c r="FK135" i="335"/>
  <c r="FK129" i="335" s="1"/>
  <c r="FK130" i="335" s="1"/>
  <c r="FK68" i="335"/>
  <c r="FK69" i="335"/>
  <c r="BC182" i="335"/>
  <c r="AY184" i="335"/>
  <c r="EF56" i="11"/>
  <c r="DZ56" i="11"/>
  <c r="FF108" i="338"/>
  <c r="FF110" i="338" s="1"/>
  <c r="FF99" i="338"/>
  <c r="FI69" i="335"/>
  <c r="FI56" i="335"/>
  <c r="FI135" i="335"/>
  <c r="EN56" i="11"/>
  <c r="AB189" i="335"/>
  <c r="AB324" i="335"/>
  <c r="AB351" i="335"/>
  <c r="ES612" i="338"/>
  <c r="ES613" i="338" s="1"/>
  <c r="ES615" i="338"/>
  <c r="ES616" i="338" s="1"/>
  <c r="EU168" i="335"/>
  <c r="EO348" i="335"/>
  <c r="EU296" i="335"/>
  <c r="EU729" i="338"/>
  <c r="EO735" i="338"/>
  <c r="EO729" i="338"/>
  <c r="R116" i="336"/>
  <c r="S116" i="336" s="1"/>
  <c r="R118" i="336"/>
  <c r="R119" i="336"/>
  <c r="S119" i="336" s="1"/>
  <c r="FF36" i="335"/>
  <c r="EB229" i="335"/>
  <c r="EE228" i="335"/>
  <c r="ER658" i="338"/>
  <c r="ER634" i="338"/>
  <c r="ER670" i="338"/>
  <c r="ER628" i="338"/>
  <c r="ER664" i="338"/>
  <c r="ER646" i="338"/>
  <c r="ER652" i="338"/>
  <c r="ER640" i="338"/>
  <c r="EL606" i="338"/>
  <c r="EL607" i="338" s="1"/>
  <c r="ER629" i="338" s="1"/>
  <c r="EL634" i="338"/>
  <c r="EL658" i="338"/>
  <c r="EL628" i="338"/>
  <c r="EL640" i="338"/>
  <c r="EL652" i="338"/>
  <c r="EL664" i="338"/>
  <c r="EL670" i="338"/>
  <c r="AT111" i="336"/>
  <c r="AT112" i="336"/>
  <c r="AT393" i="335"/>
  <c r="AT145" i="336"/>
  <c r="AT369" i="335"/>
  <c r="AT113" i="336"/>
  <c r="AT394" i="335"/>
  <c r="AT392" i="335"/>
  <c r="BA184" i="335"/>
  <c r="BA187" i="335" s="1"/>
  <c r="BA215" i="335"/>
  <c r="BA213" i="335"/>
  <c r="FX151" i="335"/>
  <c r="FX148" i="335"/>
  <c r="FX92" i="335"/>
  <c r="FX154" i="335"/>
  <c r="CA8" i="338"/>
  <c r="DO623" i="338"/>
  <c r="EI287" i="335"/>
  <c r="EU266" i="338"/>
  <c r="EO266" i="338"/>
  <c r="AS184" i="335"/>
  <c r="AS187" i="335" s="1"/>
  <c r="AS189" i="335" s="1"/>
  <c r="EG37" i="338"/>
  <c r="GB67" i="335"/>
  <c r="FF69" i="335"/>
  <c r="FF68" i="335"/>
  <c r="FF135" i="335"/>
  <c r="FJ56" i="335"/>
  <c r="FJ68" i="335"/>
  <c r="FJ135" i="335"/>
  <c r="FJ69" i="335"/>
  <c r="GB61" i="335"/>
  <c r="X459" i="335"/>
  <c r="X460" i="335"/>
  <c r="X461" i="335"/>
  <c r="X375" i="335"/>
  <c r="X458" i="335"/>
  <c r="EO367" i="335"/>
  <c r="EN369" i="335"/>
  <c r="DZ55" i="11"/>
  <c r="FA287" i="335"/>
  <c r="FA45" i="11"/>
  <c r="FA54" i="11" s="1"/>
  <c r="EO630" i="338"/>
  <c r="CP13" i="338"/>
  <c r="CO13" i="338"/>
  <c r="CO8" i="338"/>
  <c r="CO12" i="338"/>
  <c r="CO17" i="338" s="1"/>
  <c r="CO18" i="338" s="1"/>
  <c r="CU8" i="338"/>
  <c r="EC228" i="335"/>
  <c r="EL630" i="338"/>
  <c r="EL559" i="338"/>
  <c r="EL646" i="338"/>
  <c r="BL394" i="338"/>
  <c r="DG432" i="338"/>
  <c r="CJ493" i="338"/>
  <c r="CJ492" i="338"/>
  <c r="CA17" i="338"/>
  <c r="CA18" i="338" s="1"/>
  <c r="DI623" i="338"/>
  <c r="CV394" i="338"/>
  <c r="EG674" i="338"/>
  <c r="EG683" i="338"/>
  <c r="EG337" i="335"/>
  <c r="EH312" i="335"/>
  <c r="EG45" i="11"/>
  <c r="EG54" i="11" s="1"/>
  <c r="EG287" i="335"/>
  <c r="EG312" i="335"/>
  <c r="FX72" i="335"/>
  <c r="AP394" i="338"/>
  <c r="AQ112" i="336"/>
  <c r="AQ394" i="338" s="1"/>
  <c r="AQ160" i="338"/>
  <c r="AW113" i="338"/>
  <c r="AQ38" i="11"/>
  <c r="AQ37" i="11"/>
  <c r="AW27" i="11"/>
  <c r="AQ169" i="335"/>
  <c r="AC212" i="335"/>
  <c r="AC323" i="335"/>
  <c r="AG368" i="335"/>
  <c r="AC298" i="335"/>
  <c r="AI298" i="335"/>
  <c r="AC350" i="335"/>
  <c r="AC368" i="335"/>
  <c r="AC182" i="335"/>
  <c r="AC170" i="335"/>
  <c r="AG394" i="338"/>
  <c r="DA458" i="335"/>
  <c r="DA459" i="335"/>
  <c r="DA114" i="3"/>
  <c r="DA460" i="335"/>
  <c r="DA375" i="335"/>
  <c r="DA503" i="338"/>
  <c r="DA461" i="335"/>
  <c r="DA199" i="335"/>
  <c r="CK217" i="335"/>
  <c r="CK218" i="335"/>
  <c r="FD64" i="335"/>
  <c r="EW313" i="335"/>
  <c r="EW46" i="11"/>
  <c r="FA73" i="335"/>
  <c r="EW288" i="335"/>
  <c r="FF460" i="335"/>
  <c r="FG460" i="335" s="1"/>
  <c r="FI185" i="335"/>
  <c r="FF458" i="335"/>
  <c r="FG458" i="335" s="1"/>
  <c r="FL132" i="335"/>
  <c r="FL100" i="338"/>
  <c r="FM60" i="335"/>
  <c r="FL62" i="335"/>
  <c r="FL67" i="335"/>
  <c r="AS218" i="335"/>
  <c r="AS217" i="335"/>
  <c r="BS189" i="335"/>
  <c r="BS351" i="335"/>
  <c r="BS229" i="336"/>
  <c r="BS299" i="335"/>
  <c r="DC185" i="335"/>
  <c r="DC187" i="335"/>
  <c r="ER118" i="336"/>
  <c r="ER119" i="336"/>
  <c r="ER116" i="336"/>
  <c r="BM233" i="336"/>
  <c r="BM234" i="336"/>
  <c r="GB24" i="335"/>
  <c r="GA24" i="335"/>
  <c r="FL29" i="335"/>
  <c r="FF32" i="335"/>
  <c r="FF166" i="338"/>
  <c r="FF167" i="338" s="1"/>
  <c r="FF31" i="335"/>
  <c r="FF79" i="335"/>
  <c r="FF116" i="335"/>
  <c r="W215" i="335"/>
  <c r="W213" i="335"/>
  <c r="BH351" i="335"/>
  <c r="BH299" i="335"/>
  <c r="BH324" i="335"/>
  <c r="BH371" i="335"/>
  <c r="BI371" i="335" s="1"/>
  <c r="BH189" i="335"/>
  <c r="BI187" i="335"/>
  <c r="EB623" i="338"/>
  <c r="AM462" i="335"/>
  <c r="DH180" i="335"/>
  <c r="DG176" i="335"/>
  <c r="DO195" i="335"/>
  <c r="FU195" i="335" s="1"/>
  <c r="DU298" i="335"/>
  <c r="DO298" i="335"/>
  <c r="DO212" i="335"/>
  <c r="DO170" i="335"/>
  <c r="DO173" i="335"/>
  <c r="DO174" i="335" s="1"/>
  <c r="DO350" i="335"/>
  <c r="DN179" i="335"/>
  <c r="FY96" i="335"/>
  <c r="EU96" i="335"/>
  <c r="BN257" i="338"/>
  <c r="BQ268" i="338"/>
  <c r="BO239" i="338"/>
  <c r="BO396" i="335" s="1"/>
  <c r="BS173" i="338"/>
  <c r="BM173" i="338"/>
  <c r="BN274" i="338"/>
  <c r="BN268" i="338"/>
  <c r="BN262" i="338"/>
  <c r="BM268" i="338"/>
  <c r="BM274" i="338"/>
  <c r="BQ257" i="338"/>
  <c r="BM257" i="338"/>
  <c r="BM262" i="338"/>
  <c r="BQ274" i="338"/>
  <c r="BQ262" i="338"/>
  <c r="BC173" i="338"/>
  <c r="AW173" i="338"/>
  <c r="Q213" i="335"/>
  <c r="AT209" i="335"/>
  <c r="EK646" i="338"/>
  <c r="EK613" i="338"/>
  <c r="EK658" i="338"/>
  <c r="EQ640" i="338"/>
  <c r="EQ670" i="338"/>
  <c r="EK664" i="338"/>
  <c r="EK652" i="338"/>
  <c r="EK670" i="338"/>
  <c r="EK628" i="338"/>
  <c r="EQ646" i="338"/>
  <c r="EQ658" i="338"/>
  <c r="EQ628" i="338"/>
  <c r="EK634" i="338"/>
  <c r="EK606" i="338"/>
  <c r="EQ652" i="338"/>
  <c r="EN604" i="338"/>
  <c r="EQ664" i="338"/>
  <c r="EK640" i="338"/>
  <c r="EQ634" i="338"/>
  <c r="GB18" i="335"/>
  <c r="BG189" i="335"/>
  <c r="BG371" i="335"/>
  <c r="BG351" i="335"/>
  <c r="BG324" i="335"/>
  <c r="BM299" i="335"/>
  <c r="BI459" i="335"/>
  <c r="BI462" i="335" s="1"/>
  <c r="BH462" i="335"/>
  <c r="AG462" i="335"/>
  <c r="FJ228" i="335"/>
  <c r="FK228" i="335" s="1"/>
  <c r="FL228" i="335" s="1"/>
  <c r="EO337" i="335"/>
  <c r="EO287" i="335"/>
  <c r="EO45" i="11"/>
  <c r="EU287" i="335"/>
  <c r="FG228" i="335"/>
  <c r="AA325" i="335"/>
  <c r="CI209" i="335"/>
  <c r="CX488" i="338"/>
  <c r="DA489" i="338"/>
  <c r="DC218" i="335"/>
  <c r="DC217" i="335"/>
  <c r="EM207" i="335"/>
  <c r="EW167" i="338"/>
  <c r="FA166" i="338"/>
  <c r="FA167" i="338" s="1"/>
  <c r="EM317" i="338"/>
  <c r="EO316" i="338"/>
  <c r="FA113" i="335"/>
  <c r="EW114" i="335"/>
  <c r="EW122" i="335"/>
  <c r="FC167" i="338"/>
  <c r="EZ56" i="11"/>
  <c r="CM229" i="338"/>
  <c r="CS229" i="338"/>
  <c r="CM230" i="338"/>
  <c r="EC56" i="11"/>
  <c r="EI56" i="11"/>
  <c r="EX122" i="335"/>
  <c r="EX114" i="335"/>
  <c r="FJ133" i="335"/>
  <c r="FJ132" i="335" s="1"/>
  <c r="FD132" i="335"/>
  <c r="ER615" i="338"/>
  <c r="ER616" i="338" s="1"/>
  <c r="ER607" i="338"/>
  <c r="EQ333" i="335"/>
  <c r="EQ343" i="335"/>
  <c r="EQ348" i="335"/>
  <c r="EQ327" i="338"/>
  <c r="EQ154" i="335"/>
  <c r="EQ15" i="11"/>
  <c r="EQ102" i="336"/>
  <c r="EQ385" i="335" s="1"/>
  <c r="EQ345" i="335"/>
  <c r="EQ49" i="11"/>
  <c r="EQ58" i="11" s="1"/>
  <c r="EQ331" i="335"/>
  <c r="EQ99" i="335"/>
  <c r="EQ334" i="335"/>
  <c r="EQ151" i="335"/>
  <c r="EQ346" i="335"/>
  <c r="EQ328" i="335"/>
  <c r="ET365" i="335"/>
  <c r="EQ157" i="335"/>
  <c r="EQ342" i="335"/>
  <c r="EQ143" i="335"/>
  <c r="EQ347" i="335"/>
  <c r="ER93" i="335"/>
  <c r="EQ336" i="335"/>
  <c r="EQ148" i="335"/>
  <c r="ER315" i="335"/>
  <c r="EQ325" i="338"/>
  <c r="EQ341" i="335"/>
  <c r="EQ163" i="336"/>
  <c r="EQ315" i="335"/>
  <c r="EQ290" i="335"/>
  <c r="EQ365" i="335"/>
  <c r="EQ92" i="335"/>
  <c r="ER365" i="335"/>
  <c r="EQ329" i="335"/>
  <c r="EQ338" i="335"/>
  <c r="EQ339" i="335"/>
  <c r="EQ330" i="335"/>
  <c r="EQ93" i="335"/>
  <c r="EQ114" i="338"/>
  <c r="EQ313" i="338"/>
  <c r="ES365" i="335"/>
  <c r="EU91" i="335"/>
  <c r="EQ431" i="338"/>
  <c r="DH52" i="11"/>
  <c r="DN52" i="11"/>
  <c r="FM24" i="335"/>
  <c r="BT478" i="338"/>
  <c r="BT479" i="338"/>
  <c r="BN481" i="338"/>
  <c r="CJ12" i="338"/>
  <c r="CJ17" i="338" s="1"/>
  <c r="CJ18" i="338" s="1"/>
  <c r="CP8" i="338"/>
  <c r="CK13" i="338"/>
  <c r="CJ13" i="338"/>
  <c r="CJ8" i="338"/>
  <c r="EL612" i="338"/>
  <c r="EL613" i="338" s="1"/>
  <c r="CY53" i="11"/>
  <c r="CS53" i="11"/>
  <c r="BS54" i="335"/>
  <c r="BX53" i="335"/>
  <c r="BU52" i="335"/>
  <c r="BR53" i="335"/>
  <c r="BR54" i="335"/>
  <c r="S182" i="335"/>
  <c r="S185" i="335" s="1"/>
  <c r="S375" i="335" s="1"/>
  <c r="EQ559" i="338"/>
  <c r="EQ630" i="338"/>
  <c r="EK630" i="338"/>
  <c r="EK559" i="338"/>
  <c r="FK259" i="338"/>
  <c r="FJ265" i="338"/>
  <c r="FJ259" i="338"/>
  <c r="FJ173" i="338"/>
  <c r="FL271" i="338"/>
  <c r="FK257" i="338"/>
  <c r="FJ271" i="338"/>
  <c r="FL259" i="338"/>
  <c r="EB201" i="335"/>
  <c r="EB202" i="335" s="1"/>
  <c r="EB200" i="335"/>
  <c r="EM55" i="11"/>
  <c r="ES55" i="11"/>
  <c r="BM209" i="335"/>
  <c r="BI230" i="336"/>
  <c r="BI207" i="336"/>
  <c r="BI210" i="336" s="1"/>
  <c r="BI211" i="336" s="1"/>
  <c r="BI220" i="335"/>
  <c r="BI219" i="335"/>
  <c r="BI234" i="335"/>
  <c r="CC234" i="335"/>
  <c r="CC219" i="335"/>
  <c r="CC220" i="335"/>
  <c r="CC207" i="336"/>
  <c r="CC184" i="336" s="1"/>
  <c r="CC230" i="336"/>
  <c r="ER56" i="11"/>
  <c r="EL56" i="11"/>
  <c r="CQ220" i="335"/>
  <c r="CQ219" i="335"/>
  <c r="CQ207" i="336"/>
  <c r="AA462" i="335"/>
  <c r="BS200" i="335"/>
  <c r="BS201" i="335"/>
  <c r="BS202" i="335" s="1"/>
  <c r="BS203" i="335" s="1"/>
  <c r="EW35" i="335"/>
  <c r="EW27" i="335"/>
  <c r="EW28" i="335"/>
  <c r="FA26" i="335"/>
  <c r="FA27" i="335" s="1"/>
  <c r="FC26" i="335"/>
  <c r="EX28" i="335"/>
  <c r="CX462" i="335"/>
  <c r="ES350" i="335"/>
  <c r="ES182" i="335"/>
  <c r="ES173" i="335"/>
  <c r="ES174" i="335" s="1"/>
  <c r="ES170" i="335"/>
  <c r="EU116" i="336"/>
  <c r="EZ116" i="336"/>
  <c r="EZ54" i="11"/>
  <c r="DB262" i="338"/>
  <c r="DD274" i="338"/>
  <c r="DB274" i="338"/>
  <c r="DA262" i="338"/>
  <c r="DG173" i="338"/>
  <c r="DD268" i="338"/>
  <c r="DD262" i="338"/>
  <c r="DC274" i="338"/>
  <c r="DA257" i="338"/>
  <c r="DB268" i="338"/>
  <c r="DA268" i="338"/>
  <c r="DC268" i="338"/>
  <c r="DC257" i="338"/>
  <c r="DC262" i="338"/>
  <c r="DA274" i="338"/>
  <c r="DB257" i="338"/>
  <c r="DD257" i="338"/>
  <c r="DA173" i="338"/>
  <c r="AA118" i="336"/>
  <c r="AA116" i="336"/>
  <c r="AA119" i="336"/>
  <c r="CS52" i="11"/>
  <c r="CM52" i="11"/>
  <c r="CM16" i="338" s="1"/>
  <c r="CM18" i="338" s="1"/>
  <c r="FC39" i="338"/>
  <c r="FC53" i="338"/>
  <c r="ES54" i="11"/>
  <c r="FD180" i="335"/>
  <c r="FE180" i="335" s="1"/>
  <c r="EY34" i="338"/>
  <c r="FK29" i="335"/>
  <c r="FE31" i="335"/>
  <c r="FE166" i="338"/>
  <c r="FE116" i="335"/>
  <c r="GB29" i="335"/>
  <c r="GB30" i="335" s="1"/>
  <c r="FG29" i="335"/>
  <c r="DK87" i="335"/>
  <c r="DK48" i="11"/>
  <c r="DK139" i="335"/>
  <c r="DK286" i="335"/>
  <c r="DA332" i="338"/>
  <c r="DA331" i="338"/>
  <c r="DE330" i="338"/>
  <c r="Q96" i="335"/>
  <c r="W286" i="335"/>
  <c r="W88" i="335"/>
  <c r="R89" i="335"/>
  <c r="Q89" i="335"/>
  <c r="S87" i="335"/>
  <c r="R311" i="335"/>
  <c r="Q311" i="335"/>
  <c r="BR52" i="11"/>
  <c r="BR16" i="338" s="1"/>
  <c r="BR18" i="338" s="1"/>
  <c r="BX52" i="11"/>
  <c r="BX16" i="338" s="1"/>
  <c r="BX18" i="338" s="1"/>
  <c r="BX173" i="338"/>
  <c r="BR274" i="338"/>
  <c r="BU239" i="338"/>
  <c r="BU396" i="335" s="1"/>
  <c r="BR173" i="338"/>
  <c r="BT274" i="338"/>
  <c r="BS257" i="338"/>
  <c r="BR268" i="338"/>
  <c r="BS274" i="338"/>
  <c r="BW268" i="338"/>
  <c r="BR257" i="338"/>
  <c r="BR262" i="338"/>
  <c r="BT268" i="338"/>
  <c r="BW274" i="338"/>
  <c r="BT262" i="338"/>
  <c r="BS268" i="338"/>
  <c r="BW257" i="338"/>
  <c r="BS262" i="338"/>
  <c r="BW262" i="338"/>
  <c r="BT257" i="338"/>
  <c r="BI184" i="335"/>
  <c r="BI185" i="335" s="1"/>
  <c r="EB218" i="335"/>
  <c r="EB217" i="335"/>
  <c r="AS351" i="335"/>
  <c r="EK55" i="11"/>
  <c r="EQ55" i="11"/>
  <c r="FI119" i="11"/>
  <c r="FI40" i="338"/>
  <c r="FJ41" i="335"/>
  <c r="FJ304" i="335"/>
  <c r="FI279" i="335"/>
  <c r="FI228" i="338"/>
  <c r="EO289" i="335"/>
  <c r="EU289" i="335"/>
  <c r="EO339" i="335"/>
  <c r="EO47" i="11"/>
  <c r="CC202" i="335"/>
  <c r="DD214" i="335"/>
  <c r="FF179" i="335"/>
  <c r="FJ31" i="335"/>
  <c r="FI31" i="335"/>
  <c r="FI116" i="335"/>
  <c r="FI166" i="338"/>
  <c r="EZ118" i="336"/>
  <c r="EU118" i="336"/>
  <c r="ET395" i="338"/>
  <c r="EN207" i="335"/>
  <c r="EQ395" i="338"/>
  <c r="FA289" i="335"/>
  <c r="FA47" i="11"/>
  <c r="FA56" i="11" s="1"/>
  <c r="EM118" i="336"/>
  <c r="EM119" i="336"/>
  <c r="EM116" i="336"/>
  <c r="CX200" i="335"/>
  <c r="CX201" i="335"/>
  <c r="EO749" i="338"/>
  <c r="EO744" i="338"/>
  <c r="EU119" i="336"/>
  <c r="EW395" i="338"/>
  <c r="EN213" i="335"/>
  <c r="EN395" i="338"/>
  <c r="EO118" i="336"/>
  <c r="EO395" i="338" s="1"/>
  <c r="EX395" i="338"/>
  <c r="FD118" i="336"/>
  <c r="EZ55" i="11"/>
  <c r="EW54" i="11"/>
  <c r="CU15" i="338"/>
  <c r="AD17" i="338"/>
  <c r="AD18" i="338" s="1"/>
  <c r="AG13" i="338"/>
  <c r="AD13" i="338"/>
  <c r="EA15" i="338"/>
  <c r="EG162" i="338"/>
  <c r="EG164" i="338" s="1"/>
  <c r="EG61" i="11"/>
  <c r="EG16" i="338" s="1"/>
  <c r="BM26" i="11"/>
  <c r="BG26" i="11"/>
  <c r="BG358" i="335"/>
  <c r="BG356" i="335" s="1"/>
  <c r="BI14" i="11"/>
  <c r="BG39" i="11"/>
  <c r="BG12" i="335"/>
  <c r="CV15" i="338"/>
  <c r="BH358" i="335"/>
  <c r="BH356" i="335" s="1"/>
  <c r="BH26" i="11"/>
  <c r="BH12" i="335"/>
  <c r="BH39" i="11"/>
  <c r="BN26" i="11"/>
  <c r="AB17" i="338"/>
  <c r="AB18" i="338" s="1"/>
  <c r="AB13" i="338"/>
  <c r="AC13" i="338"/>
  <c r="J26" i="11"/>
  <c r="I39" i="11"/>
  <c r="I358" i="335"/>
  <c r="I356" i="335" s="1"/>
  <c r="I26" i="11"/>
  <c r="I12" i="335"/>
  <c r="DT333" i="338"/>
  <c r="DW332" i="338"/>
  <c r="FJ9" i="336"/>
  <c r="FD13" i="336"/>
  <c r="FC16" i="3"/>
  <c r="FC67" i="3" s="1"/>
  <c r="FJ90" i="3"/>
  <c r="FK36" i="3"/>
  <c r="FK414" i="335"/>
  <c r="DH423" i="335"/>
  <c r="DI62" i="336"/>
  <c r="CE270" i="336"/>
  <c r="EB15" i="338"/>
  <c r="BL134" i="336"/>
  <c r="BM135" i="336"/>
  <c r="BM134" i="336" s="1"/>
  <c r="FJ26" i="336"/>
  <c r="FA20" i="3"/>
  <c r="EZ71" i="3"/>
  <c r="FA71" i="3" s="1"/>
  <c r="FG176" i="336"/>
  <c r="CD271" i="336"/>
  <c r="FK103" i="336"/>
  <c r="FE413" i="338"/>
  <c r="EX89" i="336"/>
  <c r="EW450" i="335"/>
  <c r="EE65" i="336"/>
  <c r="EB426" i="335"/>
  <c r="EC426" i="335" s="1"/>
  <c r="FC435" i="335"/>
  <c r="FD74" i="336"/>
  <c r="BE139" i="336"/>
  <c r="BE140" i="336" s="1"/>
  <c r="BE137" i="336"/>
  <c r="BY244" i="336"/>
  <c r="BY251" i="336" s="1"/>
  <c r="BY262" i="336"/>
  <c r="BZ267" i="336"/>
  <c r="BY243" i="336"/>
  <c r="BY250" i="336" s="1"/>
  <c r="BY271" i="336"/>
  <c r="EK69" i="336"/>
  <c r="EH430" i="335"/>
  <c r="EI430" i="335" s="1"/>
  <c r="DB162" i="338"/>
  <c r="DB61" i="11"/>
  <c r="DB16" i="338" s="1"/>
  <c r="FI145" i="336"/>
  <c r="ET438" i="335"/>
  <c r="EW77" i="336"/>
  <c r="EW72" i="336"/>
  <c r="ET433" i="335"/>
  <c r="EU433" i="335" s="1"/>
  <c r="EU438" i="335"/>
  <c r="FF36" i="3"/>
  <c r="FE90" i="3"/>
  <c r="EX171" i="336"/>
  <c r="CM142" i="336"/>
  <c r="FG33" i="336"/>
  <c r="FI33" i="336"/>
  <c r="FJ33" i="336" s="1"/>
  <c r="FK33" i="336" s="1"/>
  <c r="FL33" i="336" s="1"/>
  <c r="FM33" i="336" s="1"/>
  <c r="BG135" i="336"/>
  <c r="BG134" i="336" s="1"/>
  <c r="BF134" i="336"/>
  <c r="DH446" i="335"/>
  <c r="DI85" i="336"/>
  <c r="EA162" i="338"/>
  <c r="EA164" i="338" s="1"/>
  <c r="EA61" i="11"/>
  <c r="EA16" i="338" s="1"/>
  <c r="FJ20" i="336"/>
  <c r="EO142" i="336"/>
  <c r="FS47" i="11"/>
  <c r="CY108" i="11"/>
  <c r="CY119" i="11"/>
  <c r="DE108" i="11"/>
  <c r="DE112" i="11" s="1"/>
  <c r="DQ119" i="11"/>
  <c r="BY26" i="11" l="1"/>
  <c r="BY12" i="335"/>
  <c r="AJ164" i="338"/>
  <c r="EL450" i="338"/>
  <c r="EL453" i="338" s="1"/>
  <c r="EL451" i="338"/>
  <c r="EF453" i="338"/>
  <c r="EG454" i="338"/>
  <c r="EF630" i="338"/>
  <c r="EF676" i="338" s="1"/>
  <c r="EF559" i="338"/>
  <c r="AT375" i="335"/>
  <c r="AT182" i="335"/>
  <c r="AT184" i="335" s="1"/>
  <c r="AT187" i="335" s="1"/>
  <c r="AT212" i="335"/>
  <c r="AT350" i="335"/>
  <c r="AT170" i="335"/>
  <c r="AT298" i="335"/>
  <c r="AT323" i="335"/>
  <c r="AY368" i="335"/>
  <c r="AV368" i="335"/>
  <c r="AZ298" i="335"/>
  <c r="EH228" i="338"/>
  <c r="EH229" i="338" s="1"/>
  <c r="EH329" i="335"/>
  <c r="EN39" i="335"/>
  <c r="EH119" i="11"/>
  <c r="EK304" i="335"/>
  <c r="EH723" i="338"/>
  <c r="EK41" i="335"/>
  <c r="EH42" i="335"/>
  <c r="EH40" i="338"/>
  <c r="EH279" i="335"/>
  <c r="BX213" i="335"/>
  <c r="BX215" i="335"/>
  <c r="AC395" i="338"/>
  <c r="EH385" i="335"/>
  <c r="EI102" i="336"/>
  <c r="EN429" i="338"/>
  <c r="EN430" i="338"/>
  <c r="EK433" i="338"/>
  <c r="EH467" i="338"/>
  <c r="AH113" i="338"/>
  <c r="AN113" i="338"/>
  <c r="AN163" i="338"/>
  <c r="AN164" i="338" s="1"/>
  <c r="AH160" i="338"/>
  <c r="AK365" i="335"/>
  <c r="AJ113" i="336"/>
  <c r="AK113" i="336" s="1"/>
  <c r="AJ394" i="335"/>
  <c r="AJ111" i="336"/>
  <c r="AK111" i="336" s="1"/>
  <c r="AJ112" i="336"/>
  <c r="AJ145" i="336"/>
  <c r="AJ392" i="335"/>
  <c r="AJ393" i="335"/>
  <c r="AK145" i="336"/>
  <c r="V213" i="335"/>
  <c r="V215" i="335"/>
  <c r="EB53" i="338"/>
  <c r="EB39" i="338"/>
  <c r="EB123" i="11"/>
  <c r="EB127" i="11" s="1"/>
  <c r="EB104" i="11"/>
  <c r="EB108" i="11" s="1"/>
  <c r="EB112" i="11" s="1"/>
  <c r="J182" i="335"/>
  <c r="J350" i="335"/>
  <c r="J212" i="335"/>
  <c r="J368" i="335"/>
  <c r="J170" i="335"/>
  <c r="J389" i="338" s="1"/>
  <c r="K298" i="335"/>
  <c r="EN328" i="338"/>
  <c r="EH328" i="338"/>
  <c r="EH100" i="335"/>
  <c r="EH206" i="335"/>
  <c r="EH207" i="335" s="1"/>
  <c r="EN100" i="335"/>
  <c r="AM394" i="335"/>
  <c r="AM112" i="336"/>
  <c r="AM392" i="335"/>
  <c r="AM145" i="336"/>
  <c r="AM393" i="335"/>
  <c r="AM113" i="336"/>
  <c r="AZ255" i="338"/>
  <c r="AT255" i="338"/>
  <c r="EI676" i="338"/>
  <c r="AK369" i="335"/>
  <c r="CC523" i="338"/>
  <c r="AG395" i="338"/>
  <c r="AE118" i="336"/>
  <c r="AE395" i="338" s="1"/>
  <c r="AD395" i="338"/>
  <c r="Y118" i="336"/>
  <c r="Y395" i="338" s="1"/>
  <c r="X395" i="338"/>
  <c r="U395" i="338"/>
  <c r="EF634" i="338"/>
  <c r="EF633" i="338" s="1"/>
  <c r="EF632" i="338" s="1"/>
  <c r="EF664" i="338"/>
  <c r="EF663" i="338" s="1"/>
  <c r="EF662" i="338" s="1"/>
  <c r="EF652" i="338"/>
  <c r="EF651" i="338" s="1"/>
  <c r="EF658" i="338"/>
  <c r="EF657" i="338" s="1"/>
  <c r="EF656" i="338" s="1"/>
  <c r="EF606" i="338"/>
  <c r="EF670" i="338"/>
  <c r="EF669" i="338" s="1"/>
  <c r="EF668" i="338" s="1"/>
  <c r="EF646" i="338"/>
  <c r="EF645" i="338" s="1"/>
  <c r="EF644" i="338" s="1"/>
  <c r="EF640" i="338"/>
  <c r="EF639" i="338" s="1"/>
  <c r="EF638" i="338" s="1"/>
  <c r="EH604" i="338"/>
  <c r="AW144" i="335"/>
  <c r="AW388" i="338" s="1"/>
  <c r="EI114" i="338"/>
  <c r="EI331" i="335"/>
  <c r="EI346" i="335"/>
  <c r="EI328" i="335"/>
  <c r="EI347" i="335"/>
  <c r="EI148" i="335"/>
  <c r="EI348" i="335"/>
  <c r="EI154" i="335"/>
  <c r="EI341" i="335"/>
  <c r="EI151" i="335"/>
  <c r="EI339" i="335"/>
  <c r="EI336" i="335"/>
  <c r="EI290" i="335"/>
  <c r="EI92" i="335"/>
  <c r="EI333" i="335"/>
  <c r="EI157" i="335"/>
  <c r="EI334" i="335"/>
  <c r="EI345" i="335"/>
  <c r="EI718" i="338"/>
  <c r="EI49" i="11"/>
  <c r="EI58" i="11" s="1"/>
  <c r="EI15" i="11"/>
  <c r="EI342" i="335"/>
  <c r="EN58" i="11"/>
  <c r="EH58" i="11"/>
  <c r="EI325" i="338"/>
  <c r="EH326" i="338"/>
  <c r="EN27" i="11"/>
  <c r="EH38" i="11"/>
  <c r="EH37" i="11"/>
  <c r="EH27" i="11"/>
  <c r="EH33" i="11" s="1"/>
  <c r="EH67" i="11" s="1"/>
  <c r="EH61" i="11" s="1"/>
  <c r="EH16" i="338" s="1"/>
  <c r="AH38" i="11"/>
  <c r="AH14" i="11"/>
  <c r="AH27" i="11"/>
  <c r="AH37" i="11"/>
  <c r="AN27" i="11"/>
  <c r="AH169" i="335"/>
  <c r="AH144" i="335"/>
  <c r="AK143" i="335"/>
  <c r="AK144" i="335" s="1"/>
  <c r="AK388" i="338" s="1"/>
  <c r="DA495" i="338"/>
  <c r="EH333" i="338"/>
  <c r="EI332" i="338"/>
  <c r="EF626" i="338"/>
  <c r="EN451" i="338"/>
  <c r="EN450" i="338"/>
  <c r="EK454" i="338"/>
  <c r="W395" i="338"/>
  <c r="EB330" i="335"/>
  <c r="EB725" i="338"/>
  <c r="EB721" i="338" s="1"/>
  <c r="EB734" i="338" s="1"/>
  <c r="EB43" i="335"/>
  <c r="EE305" i="335"/>
  <c r="EE44" i="335"/>
  <c r="EB58" i="338"/>
  <c r="EB120" i="11"/>
  <c r="EB124" i="11" s="1"/>
  <c r="EB128" i="11" s="1"/>
  <c r="EB280" i="335"/>
  <c r="EH160" i="338"/>
  <c r="EH113" i="338"/>
  <c r="EN163" i="338"/>
  <c r="EN113" i="338"/>
  <c r="AW54" i="335"/>
  <c r="AW53" i="335"/>
  <c r="CI230" i="336"/>
  <c r="CI220" i="335"/>
  <c r="CI9" i="3"/>
  <c r="CI207" i="336"/>
  <c r="CI184" i="336" s="1"/>
  <c r="CI219" i="335"/>
  <c r="AQ290" i="335"/>
  <c r="AJ123" i="336"/>
  <c r="AK123" i="336" s="1"/>
  <c r="AK15" i="11"/>
  <c r="AK328" i="335"/>
  <c r="AK114" i="338"/>
  <c r="AK346" i="335"/>
  <c r="AK347" i="335"/>
  <c r="AK148" i="335"/>
  <c r="AK99" i="335"/>
  <c r="AK336" i="335"/>
  <c r="AK154" i="335"/>
  <c r="AK342" i="335"/>
  <c r="AK151" i="335"/>
  <c r="AK345" i="335"/>
  <c r="AK348" i="335"/>
  <c r="AK92" i="335"/>
  <c r="AK100" i="335" s="1"/>
  <c r="AQ92" i="335"/>
  <c r="AQ100" i="335" s="1"/>
  <c r="AK290" i="335"/>
  <c r="AH112" i="336"/>
  <c r="AH394" i="338" s="1"/>
  <c r="AH145" i="336"/>
  <c r="AH392" i="335"/>
  <c r="AH394" i="335"/>
  <c r="AH393" i="335"/>
  <c r="AH113" i="336"/>
  <c r="FA16" i="3"/>
  <c r="ES651" i="338"/>
  <c r="ES678" i="338" s="1"/>
  <c r="ES687" i="338" s="1"/>
  <c r="BT368" i="335"/>
  <c r="BO37" i="11"/>
  <c r="BO38" i="11"/>
  <c r="ER337" i="338"/>
  <c r="ER339" i="338" s="1"/>
  <c r="ER36" i="338"/>
  <c r="EQ78" i="11"/>
  <c r="EQ82" i="11" s="1"/>
  <c r="EW74" i="11"/>
  <c r="EQ104" i="11"/>
  <c r="EQ108" i="11" s="1"/>
  <c r="EQ112" i="11" s="1"/>
  <c r="CY774" i="338"/>
  <c r="DE766" i="338"/>
  <c r="CY766" i="338"/>
  <c r="EK333" i="338"/>
  <c r="EO332" i="338"/>
  <c r="EC744" i="338"/>
  <c r="EC749" i="338"/>
  <c r="EI744" i="338"/>
  <c r="EI630" i="338"/>
  <c r="EI626" i="338" s="1"/>
  <c r="EO629" i="338"/>
  <c r="EO627" i="338" s="1"/>
  <c r="EO626" i="338" s="1"/>
  <c r="BO762" i="338"/>
  <c r="BO757" i="338"/>
  <c r="BO160" i="338"/>
  <c r="BO163" i="338" s="1"/>
  <c r="BO164" i="338" s="1"/>
  <c r="BO113" i="338"/>
  <c r="EK113" i="338"/>
  <c r="EK160" i="338"/>
  <c r="CS774" i="338"/>
  <c r="CS766" i="338"/>
  <c r="CS770" i="338"/>
  <c r="ER336" i="338"/>
  <c r="EX339" i="338"/>
  <c r="EX336" i="338"/>
  <c r="EQ451" i="338"/>
  <c r="EQ450" i="338"/>
  <c r="EK453" i="338"/>
  <c r="EL454" i="338"/>
  <c r="BU169" i="335"/>
  <c r="EK38" i="11"/>
  <c r="EK37" i="11"/>
  <c r="EK27" i="11"/>
  <c r="CA770" i="338"/>
  <c r="CA774" i="338"/>
  <c r="CG766" i="338"/>
  <c r="BO144" i="335"/>
  <c r="BO388" i="338" s="1"/>
  <c r="EK169" i="335"/>
  <c r="EK144" i="335"/>
  <c r="EK101" i="335"/>
  <c r="EK206" i="335"/>
  <c r="EK207" i="335" s="1"/>
  <c r="EK100" i="335"/>
  <c r="EQ430" i="338"/>
  <c r="EQ429" i="338"/>
  <c r="EK432" i="338"/>
  <c r="CX493" i="338"/>
  <c r="CX492" i="338"/>
  <c r="DQ232" i="338"/>
  <c r="DP235" i="338"/>
  <c r="DP233" i="338"/>
  <c r="DV233" i="338"/>
  <c r="DO235" i="338"/>
  <c r="DO236" i="338" s="1"/>
  <c r="DU233" i="338"/>
  <c r="DT233" i="338"/>
  <c r="DT235" i="338"/>
  <c r="DT236" i="338" s="1"/>
  <c r="DQ233" i="338"/>
  <c r="EE678" i="338"/>
  <c r="EE687" i="338" s="1"/>
  <c r="EE650" i="338"/>
  <c r="ER120" i="11"/>
  <c r="EX124" i="11" s="1"/>
  <c r="ER330" i="335"/>
  <c r="EX43" i="335"/>
  <c r="EX280" i="335"/>
  <c r="ER58" i="338"/>
  <c r="EE626" i="338"/>
  <c r="EE675" i="338"/>
  <c r="EW165" i="336"/>
  <c r="EX430" i="338"/>
  <c r="ES433" i="338"/>
  <c r="EX429" i="338"/>
  <c r="ER12" i="338"/>
  <c r="ER17" i="338" s="1"/>
  <c r="ER8" i="338"/>
  <c r="EX8" i="338"/>
  <c r="FC119" i="336"/>
  <c r="EE607" i="338"/>
  <c r="EE615" i="338"/>
  <c r="EE616" i="338" s="1"/>
  <c r="EE621" i="338" s="1"/>
  <c r="EE622" i="338" s="1"/>
  <c r="EE623" i="338" s="1"/>
  <c r="ER331" i="338"/>
  <c r="ER332" i="338"/>
  <c r="DC139" i="336"/>
  <c r="DC140" i="336" s="1"/>
  <c r="DZ15" i="338"/>
  <c r="BR161" i="338"/>
  <c r="BQ113" i="338"/>
  <c r="CC394" i="338"/>
  <c r="AO395" i="338"/>
  <c r="DP214" i="338"/>
  <c r="DK214" i="338"/>
  <c r="DK215" i="338" s="1"/>
  <c r="CD674" i="338"/>
  <c r="BC783" i="338"/>
  <c r="BI781" i="338"/>
  <c r="CR674" i="338"/>
  <c r="BK659" i="338"/>
  <c r="BK657" i="338" s="1"/>
  <c r="BK656" i="338" s="1"/>
  <c r="BK665" i="338"/>
  <c r="BK663" i="338" s="1"/>
  <c r="BK662" i="338" s="1"/>
  <c r="BK629" i="338"/>
  <c r="BK627" i="338" s="1"/>
  <c r="BK671" i="338"/>
  <c r="BK669" i="338" s="1"/>
  <c r="BK668" i="338" s="1"/>
  <c r="BK635" i="338"/>
  <c r="BK633" i="338" s="1"/>
  <c r="BK632" i="338" s="1"/>
  <c r="EA317" i="338"/>
  <c r="DU317" i="338"/>
  <c r="DW316" i="338"/>
  <c r="DU674" i="338"/>
  <c r="AS395" i="338"/>
  <c r="ES110" i="3"/>
  <c r="EY110" i="3"/>
  <c r="BU99" i="3"/>
  <c r="DC135" i="336"/>
  <c r="DD134" i="336"/>
  <c r="DD137" i="336" s="1"/>
  <c r="DE137" i="336" s="1"/>
  <c r="DD139" i="336"/>
  <c r="DD140" i="336" s="1"/>
  <c r="BB139" i="336"/>
  <c r="BB140" i="336" s="1"/>
  <c r="BC144" i="336"/>
  <c r="BB145" i="336"/>
  <c r="BN615" i="338"/>
  <c r="BN616" i="338" s="1"/>
  <c r="CQ462" i="335"/>
  <c r="CQ208" i="335" s="1"/>
  <c r="CQ209" i="335" s="1"/>
  <c r="DB185" i="335"/>
  <c r="DB187" i="335"/>
  <c r="AG300" i="335"/>
  <c r="AG190" i="335"/>
  <c r="FP88" i="335"/>
  <c r="EW230" i="338"/>
  <c r="CR621" i="338"/>
  <c r="CR622" i="338" s="1"/>
  <c r="CR623" i="338" s="1"/>
  <c r="CX621" i="338"/>
  <c r="CX622" i="338" s="1"/>
  <c r="CX623" i="338" s="1"/>
  <c r="EB394" i="338"/>
  <c r="EA394" i="338"/>
  <c r="EF394" i="338"/>
  <c r="AT324" i="335"/>
  <c r="DI686" i="338"/>
  <c r="DZ394" i="338"/>
  <c r="ER326" i="338"/>
  <c r="R185" i="335"/>
  <c r="R187" i="335"/>
  <c r="CP189" i="335"/>
  <c r="CP351" i="335"/>
  <c r="CQ324" i="335"/>
  <c r="C458" i="335"/>
  <c r="C460" i="335"/>
  <c r="C375" i="335"/>
  <c r="C459" i="335"/>
  <c r="C461" i="335"/>
  <c r="CP218" i="335"/>
  <c r="CP217" i="335"/>
  <c r="CD394" i="338"/>
  <c r="DA215" i="335"/>
  <c r="AS299" i="335"/>
  <c r="R219" i="335"/>
  <c r="R220" i="335"/>
  <c r="X221" i="335" s="1"/>
  <c r="CP461" i="335"/>
  <c r="CP503" i="338"/>
  <c r="CP459" i="335"/>
  <c r="CP458" i="335"/>
  <c r="CP375" i="335"/>
  <c r="CP201" i="335"/>
  <c r="CP202" i="335" s="1"/>
  <c r="CP460" i="335"/>
  <c r="FK108" i="338"/>
  <c r="FK110" i="338" s="1"/>
  <c r="FK99" i="338"/>
  <c r="CD185" i="335"/>
  <c r="CD187" i="335"/>
  <c r="DE612" i="338"/>
  <c r="DE613" i="338" s="1"/>
  <c r="DE615" i="338"/>
  <c r="DE616" i="338" s="1"/>
  <c r="EY53" i="335"/>
  <c r="ES452" i="338"/>
  <c r="ES53" i="335"/>
  <c r="CE492" i="338"/>
  <c r="CE433" i="338"/>
  <c r="CE428" i="338"/>
  <c r="CS54" i="335"/>
  <c r="CS53" i="335"/>
  <c r="CY53" i="335"/>
  <c r="CD215" i="335"/>
  <c r="CD213" i="335"/>
  <c r="ES12" i="338"/>
  <c r="ES17" i="338" s="1"/>
  <c r="ES8" i="338"/>
  <c r="ES13" i="338"/>
  <c r="ES15" i="338" s="1"/>
  <c r="EL615" i="338"/>
  <c r="EL616" i="338" s="1"/>
  <c r="EI369" i="335"/>
  <c r="BY212" i="335"/>
  <c r="BY170" i="335"/>
  <c r="BY350" i="335"/>
  <c r="BY182" i="335"/>
  <c r="BY298" i="335"/>
  <c r="BY323" i="335"/>
  <c r="BY173" i="335"/>
  <c r="BY174" i="335" s="1"/>
  <c r="C371" i="335"/>
  <c r="C351" i="335"/>
  <c r="C189" i="335"/>
  <c r="C372" i="335" s="1"/>
  <c r="DZ395" i="338"/>
  <c r="AY395" i="338"/>
  <c r="DJ331" i="335"/>
  <c r="DJ334" i="335"/>
  <c r="DJ329" i="335"/>
  <c r="DJ347" i="335"/>
  <c r="DJ341" i="335"/>
  <c r="DJ102" i="336"/>
  <c r="DO236" i="335"/>
  <c r="DO237" i="335" s="1"/>
  <c r="DJ337" i="335"/>
  <c r="DJ148" i="335"/>
  <c r="DJ338" i="335"/>
  <c r="DJ328" i="335"/>
  <c r="DJ151" i="335"/>
  <c r="DJ154" i="335"/>
  <c r="DJ330" i="335"/>
  <c r="DJ15" i="11"/>
  <c r="DJ345" i="335"/>
  <c r="DJ99" i="335"/>
  <c r="DJ333" i="335"/>
  <c r="DJ49" i="11"/>
  <c r="DJ313" i="338"/>
  <c r="DK313" i="338" s="1"/>
  <c r="DJ157" i="335"/>
  <c r="DJ163" i="336"/>
  <c r="DJ343" i="335"/>
  <c r="DJ325" i="338"/>
  <c r="DK325" i="338" s="1"/>
  <c r="DJ114" i="338"/>
  <c r="DJ194" i="335"/>
  <c r="DJ348" i="335"/>
  <c r="DJ342" i="335"/>
  <c r="DJ431" i="338"/>
  <c r="DJ346" i="335"/>
  <c r="DJ339" i="335"/>
  <c r="DJ327" i="338"/>
  <c r="DJ336" i="335"/>
  <c r="DJ93" i="335"/>
  <c r="DJ92" i="335"/>
  <c r="DJ315" i="335"/>
  <c r="DK91" i="335"/>
  <c r="DJ365" i="335"/>
  <c r="DJ143" i="335"/>
  <c r="DJ290" i="335"/>
  <c r="EB44" i="335"/>
  <c r="EA58" i="338"/>
  <c r="EA95" i="338" s="1"/>
  <c r="EA305" i="335"/>
  <c r="EB305" i="335"/>
  <c r="EC42" i="335"/>
  <c r="EA44" i="335"/>
  <c r="FW42" i="335"/>
  <c r="EA120" i="11"/>
  <c r="EA124" i="11" s="1"/>
  <c r="EA128" i="11" s="1"/>
  <c r="EA330" i="335"/>
  <c r="EA43" i="335"/>
  <c r="EA75" i="11" s="1"/>
  <c r="AE169" i="335"/>
  <c r="AH368" i="335"/>
  <c r="AD323" i="335"/>
  <c r="ER630" i="338"/>
  <c r="ER676" i="338" s="1"/>
  <c r="EA280" i="335"/>
  <c r="EZ33" i="338"/>
  <c r="EZ36" i="338" s="1"/>
  <c r="EZ37" i="338" s="1"/>
  <c r="EZ21" i="338"/>
  <c r="CM681" i="338"/>
  <c r="CM684" i="338" s="1"/>
  <c r="CG681" i="338"/>
  <c r="ER58" i="11"/>
  <c r="FG728" i="338"/>
  <c r="FG729" i="338" s="1"/>
  <c r="FG139" i="335"/>
  <c r="EO179" i="335"/>
  <c r="EN176" i="335"/>
  <c r="FY176" i="335" s="1"/>
  <c r="FY179" i="335"/>
  <c r="EL113" i="338"/>
  <c r="EL160" i="338"/>
  <c r="ER113" i="338"/>
  <c r="ER163" i="338"/>
  <c r="EL100" i="335"/>
  <c r="EL206" i="335"/>
  <c r="EL101" i="335"/>
  <c r="EM101" i="335"/>
  <c r="FX99" i="335"/>
  <c r="FX100" i="335" s="1"/>
  <c r="EO99" i="335"/>
  <c r="EO100" i="335" s="1"/>
  <c r="EL37" i="11"/>
  <c r="EL38" i="11"/>
  <c r="EL21" i="11"/>
  <c r="EL27" i="11"/>
  <c r="ER27" i="11"/>
  <c r="ER33" i="11" s="1"/>
  <c r="ER67" i="11" s="1"/>
  <c r="DN209" i="336"/>
  <c r="BQ207" i="335"/>
  <c r="BU206" i="335"/>
  <c r="BU207" i="335" s="1"/>
  <c r="BR123" i="336"/>
  <c r="BR112" i="336"/>
  <c r="BR111" i="336"/>
  <c r="BR113" i="336"/>
  <c r="BR369" i="335"/>
  <c r="BR392" i="335"/>
  <c r="BR145" i="336"/>
  <c r="FS88" i="335"/>
  <c r="FR88" i="335"/>
  <c r="BQ681" i="338"/>
  <c r="BQ684" i="338" s="1"/>
  <c r="BQ685" i="338" s="1"/>
  <c r="BW681" i="338"/>
  <c r="BW684" i="338" s="1"/>
  <c r="BW685" i="338" s="1"/>
  <c r="ET328" i="335"/>
  <c r="ET315" i="335"/>
  <c r="ET93" i="335"/>
  <c r="AM299" i="335"/>
  <c r="AM189" i="335"/>
  <c r="AM300" i="335" s="1"/>
  <c r="AM351" i="335"/>
  <c r="EN54" i="11"/>
  <c r="ET54" i="11"/>
  <c r="AI219" i="335"/>
  <c r="AI220" i="335"/>
  <c r="ER453" i="338"/>
  <c r="ES454" i="338"/>
  <c r="AD350" i="335"/>
  <c r="AD170" i="335"/>
  <c r="AI368" i="335"/>
  <c r="AD212" i="335"/>
  <c r="AD215" i="335" s="1"/>
  <c r="AD182" i="335"/>
  <c r="AJ298" i="335"/>
  <c r="EA104" i="11"/>
  <c r="EA123" i="11"/>
  <c r="EA127" i="11" s="1"/>
  <c r="CE148" i="335"/>
  <c r="CE337" i="335"/>
  <c r="CE99" i="335"/>
  <c r="CE431" i="338"/>
  <c r="CE329" i="335"/>
  <c r="CE346" i="335"/>
  <c r="CE348" i="335"/>
  <c r="CE151" i="335"/>
  <c r="CE365" i="335"/>
  <c r="CE102" i="336"/>
  <c r="CE385" i="335" s="1"/>
  <c r="CE345" i="335"/>
  <c r="CE143" i="335"/>
  <c r="CK290" i="335"/>
  <c r="CE341" i="335"/>
  <c r="CE49" i="11"/>
  <c r="CE328" i="335"/>
  <c r="CE114" i="338"/>
  <c r="CE93" i="335"/>
  <c r="CE336" i="335"/>
  <c r="CE330" i="335"/>
  <c r="CE92" i="335"/>
  <c r="CE15" i="11"/>
  <c r="CE313" i="338"/>
  <c r="CE154" i="335"/>
  <c r="CE342" i="335"/>
  <c r="CE325" i="338"/>
  <c r="CE339" i="335"/>
  <c r="CE290" i="335"/>
  <c r="CE331" i="335"/>
  <c r="CE327" i="338"/>
  <c r="CE343" i="335"/>
  <c r="CE163" i="336"/>
  <c r="CG91" i="335"/>
  <c r="CG290" i="335" s="1"/>
  <c r="CE315" i="335"/>
  <c r="CK92" i="335"/>
  <c r="CE338" i="335"/>
  <c r="CE347" i="335"/>
  <c r="FO91" i="335"/>
  <c r="AD368" i="335"/>
  <c r="ER559" i="338"/>
  <c r="AG323" i="335"/>
  <c r="EK124" i="336"/>
  <c r="EK409" i="338"/>
  <c r="EK125" i="336"/>
  <c r="EY89" i="11"/>
  <c r="FA89" i="11" s="1"/>
  <c r="ES93" i="11"/>
  <c r="ES97" i="11" s="1"/>
  <c r="EU89" i="11"/>
  <c r="EU93" i="11" s="1"/>
  <c r="EF207" i="335"/>
  <c r="EI206" i="335"/>
  <c r="EI207" i="335" s="1"/>
  <c r="BI722" i="338"/>
  <c r="BO722" i="338"/>
  <c r="BI734" i="338"/>
  <c r="BO255" i="338"/>
  <c r="BO244" i="335" s="1"/>
  <c r="BU255" i="338"/>
  <c r="BU244" i="335" s="1"/>
  <c r="DD329" i="335"/>
  <c r="DD336" i="335"/>
  <c r="DD341" i="335"/>
  <c r="DD339" i="335"/>
  <c r="DD348" i="335"/>
  <c r="DD114" i="338"/>
  <c r="DD347" i="335"/>
  <c r="DD99" i="335"/>
  <c r="DD143" i="335"/>
  <c r="DD345" i="335"/>
  <c r="DD15" i="11"/>
  <c r="DD327" i="338"/>
  <c r="DD151" i="335"/>
  <c r="DD157" i="335"/>
  <c r="DD148" i="335"/>
  <c r="DE91" i="335"/>
  <c r="DG365" i="335"/>
  <c r="DD290" i="335"/>
  <c r="DD338" i="335"/>
  <c r="DD315" i="335"/>
  <c r="DH365" i="335"/>
  <c r="DD325" i="338"/>
  <c r="DG315" i="335"/>
  <c r="DD365" i="335"/>
  <c r="DD92" i="335"/>
  <c r="DD93" i="335"/>
  <c r="DI365" i="335"/>
  <c r="DG93" i="335"/>
  <c r="DD343" i="335"/>
  <c r="DD330" i="335"/>
  <c r="DD431" i="338"/>
  <c r="DD313" i="338"/>
  <c r="DE313" i="338" s="1"/>
  <c r="DD49" i="11"/>
  <c r="DD337" i="335"/>
  <c r="DD102" i="336"/>
  <c r="DD328" i="335"/>
  <c r="DD342" i="335"/>
  <c r="DD333" i="335"/>
  <c r="DD331" i="335"/>
  <c r="DD334" i="335"/>
  <c r="DD346" i="335"/>
  <c r="DD163" i="336"/>
  <c r="DD154" i="335"/>
  <c r="FS96" i="335"/>
  <c r="DE96" i="335"/>
  <c r="BA209" i="335"/>
  <c r="BC208" i="335"/>
  <c r="BC209" i="335" s="1"/>
  <c r="EE246" i="338"/>
  <c r="EH247" i="338"/>
  <c r="EB246" i="338"/>
  <c r="E462" i="335"/>
  <c r="DY207" i="335"/>
  <c r="EC206" i="335"/>
  <c r="EC207" i="335" s="1"/>
  <c r="EM669" i="338"/>
  <c r="EM668" i="338" s="1"/>
  <c r="ES58" i="11"/>
  <c r="EU292" i="335"/>
  <c r="EZ460" i="338"/>
  <c r="EF182" i="335"/>
  <c r="EF173" i="335"/>
  <c r="EF174" i="335" s="1"/>
  <c r="EF298" i="335"/>
  <c r="EF170" i="335"/>
  <c r="EF350" i="335"/>
  <c r="EF171" i="335"/>
  <c r="FW169" i="335"/>
  <c r="FW170" i="335" s="1"/>
  <c r="EF368" i="335"/>
  <c r="EF323" i="335"/>
  <c r="EF212" i="335"/>
  <c r="ER242" i="338"/>
  <c r="EO245" i="338"/>
  <c r="EO247" i="338" s="1"/>
  <c r="EO240" i="338"/>
  <c r="EO243" i="338"/>
  <c r="BO774" i="338"/>
  <c r="BO770" i="338"/>
  <c r="BO766" i="338"/>
  <c r="BO621" i="338"/>
  <c r="BO622" i="338" s="1"/>
  <c r="BO623" i="338" s="1"/>
  <c r="H215" i="335"/>
  <c r="H213" i="335"/>
  <c r="BX395" i="338"/>
  <c r="EI326" i="338"/>
  <c r="EF125" i="336"/>
  <c r="EF409" i="338"/>
  <c r="EF124" i="336"/>
  <c r="F215" i="335"/>
  <c r="F213" i="335"/>
  <c r="DE88" i="335"/>
  <c r="EC392" i="335"/>
  <c r="EC369" i="335"/>
  <c r="EC394" i="335"/>
  <c r="BU766" i="338"/>
  <c r="EN112" i="336"/>
  <c r="EN394" i="335"/>
  <c r="EN111" i="336"/>
  <c r="EO111" i="336" s="1"/>
  <c r="EN145" i="336"/>
  <c r="EO365" i="335"/>
  <c r="EN392" i="335"/>
  <c r="EN113" i="336"/>
  <c r="EO113" i="336" s="1"/>
  <c r="EN122" i="336"/>
  <c r="ER430" i="338"/>
  <c r="ER429" i="338"/>
  <c r="EL432" i="338"/>
  <c r="AK118" i="336"/>
  <c r="AK395" i="338" s="1"/>
  <c r="AJ395" i="338"/>
  <c r="BQ145" i="336"/>
  <c r="BQ111" i="336"/>
  <c r="BQ123" i="336"/>
  <c r="BQ392" i="335"/>
  <c r="BQ112" i="336"/>
  <c r="BQ369" i="335"/>
  <c r="BQ113" i="336"/>
  <c r="BT112" i="336"/>
  <c r="BT111" i="336"/>
  <c r="BU111" i="336" s="1"/>
  <c r="BT113" i="336"/>
  <c r="BU113" i="336" s="1"/>
  <c r="BT145" i="336"/>
  <c r="BT369" i="335"/>
  <c r="BT123" i="336"/>
  <c r="BU123" i="336" s="1"/>
  <c r="BT394" i="335"/>
  <c r="BU365" i="335"/>
  <c r="BT393" i="335"/>
  <c r="BT392" i="335"/>
  <c r="BQ38" i="11"/>
  <c r="BQ14" i="11"/>
  <c r="BQ26" i="11" s="1"/>
  <c r="BQ37" i="11"/>
  <c r="CS88" i="335"/>
  <c r="CS286" i="335"/>
  <c r="BI53" i="335"/>
  <c r="BC53" i="335"/>
  <c r="BC54" i="335"/>
  <c r="BH609" i="338"/>
  <c r="BH612" i="338" s="1"/>
  <c r="BH613" i="338" s="1"/>
  <c r="BN681" i="338" s="1"/>
  <c r="BN684" i="338" s="1"/>
  <c r="BN685" i="338" s="1"/>
  <c r="BI612" i="338"/>
  <c r="BI613" i="338" s="1"/>
  <c r="EI112" i="336"/>
  <c r="EI394" i="338" s="1"/>
  <c r="EH394" i="338"/>
  <c r="CY88" i="335"/>
  <c r="EC240" i="338"/>
  <c r="EC245" i="338"/>
  <c r="EI247" i="338" s="1"/>
  <c r="EI243" i="338"/>
  <c r="CF15" i="11"/>
  <c r="CF99" i="335"/>
  <c r="CF327" i="338"/>
  <c r="CF328" i="338" s="1"/>
  <c r="CF331" i="335"/>
  <c r="CF114" i="338"/>
  <c r="CF330" i="335"/>
  <c r="CF93" i="335"/>
  <c r="CF163" i="336"/>
  <c r="CF338" i="335"/>
  <c r="CF431" i="338"/>
  <c r="CF347" i="335"/>
  <c r="CF341" i="335"/>
  <c r="CF348" i="335"/>
  <c r="CF151" i="335"/>
  <c r="CF290" i="335"/>
  <c r="CF325" i="338"/>
  <c r="CF326" i="338" s="1"/>
  <c r="CF339" i="335"/>
  <c r="CF329" i="335"/>
  <c r="CF342" i="335"/>
  <c r="CF143" i="335"/>
  <c r="CF154" i="335"/>
  <c r="CF49" i="11"/>
  <c r="CF58" i="11" s="1"/>
  <c r="CF92" i="335"/>
  <c r="CF328" i="335"/>
  <c r="CF345" i="335"/>
  <c r="CF365" i="335"/>
  <c r="CJ365" i="335"/>
  <c r="CF102" i="336"/>
  <c r="CI365" i="335"/>
  <c r="CK365" i="335"/>
  <c r="CF346" i="335"/>
  <c r="CF313" i="338"/>
  <c r="CF148" i="335"/>
  <c r="CF343" i="335"/>
  <c r="CF336" i="335"/>
  <c r="CF337" i="335"/>
  <c r="CI93" i="335"/>
  <c r="CI315" i="335"/>
  <c r="CF315" i="335"/>
  <c r="G217" i="335"/>
  <c r="G184" i="335" s="1"/>
  <c r="G218" i="335"/>
  <c r="EA409" i="338"/>
  <c r="EA125" i="336"/>
  <c r="EA124" i="336"/>
  <c r="AP395" i="338"/>
  <c r="AQ118" i="336"/>
  <c r="AQ395" i="338" s="1"/>
  <c r="CM88" i="335"/>
  <c r="CM286" i="335"/>
  <c r="CO315" i="335"/>
  <c r="CL313" i="338"/>
  <c r="CM313" i="338" s="1"/>
  <c r="CL330" i="335"/>
  <c r="CL49" i="11"/>
  <c r="CL143" i="335"/>
  <c r="CL148" i="335"/>
  <c r="CL338" i="335"/>
  <c r="CL325" i="338"/>
  <c r="CL339" i="335"/>
  <c r="CL315" i="335"/>
  <c r="CL102" i="336"/>
  <c r="CL163" i="336"/>
  <c r="CL92" i="335"/>
  <c r="CL290" i="335"/>
  <c r="CL347" i="335"/>
  <c r="CL93" i="335"/>
  <c r="CL114" i="338"/>
  <c r="CL329" i="335"/>
  <c r="CL365" i="335"/>
  <c r="FP91" i="335"/>
  <c r="CL342" i="335"/>
  <c r="CL157" i="335"/>
  <c r="CL151" i="335"/>
  <c r="CL327" i="338"/>
  <c r="CL331" i="335"/>
  <c r="CL345" i="335"/>
  <c r="CL348" i="335"/>
  <c r="CM91" i="335"/>
  <c r="CL341" i="335"/>
  <c r="CL154" i="335"/>
  <c r="CL343" i="335"/>
  <c r="CL328" i="335"/>
  <c r="CL431" i="338"/>
  <c r="CL15" i="11"/>
  <c r="CL346" i="335"/>
  <c r="CR290" i="335"/>
  <c r="CR92" i="335"/>
  <c r="CL99" i="335"/>
  <c r="CL337" i="335"/>
  <c r="CL336" i="335"/>
  <c r="EG124" i="336"/>
  <c r="EG125" i="336"/>
  <c r="EG409" i="338"/>
  <c r="CP492" i="338"/>
  <c r="CP493" i="338"/>
  <c r="BU612" i="338"/>
  <c r="BU613" i="338" s="1"/>
  <c r="CA681" i="338" s="1"/>
  <c r="CA684" i="338" s="1"/>
  <c r="CA685" i="338" s="1"/>
  <c r="BT609" i="338"/>
  <c r="BU615" i="338"/>
  <c r="BU616" i="338" s="1"/>
  <c r="CU351" i="335"/>
  <c r="CU189" i="335"/>
  <c r="EO15" i="11"/>
  <c r="EO49" i="11"/>
  <c r="EO58" i="11" s="1"/>
  <c r="EO338" i="335"/>
  <c r="EO114" i="338"/>
  <c r="EO328" i="335"/>
  <c r="EO290" i="335"/>
  <c r="EO718" i="338"/>
  <c r="EO92" i="335"/>
  <c r="EO336" i="335"/>
  <c r="EO342" i="335"/>
  <c r="EO331" i="335"/>
  <c r="EO346" i="335"/>
  <c r="EO148" i="335"/>
  <c r="EO345" i="335"/>
  <c r="EO341" i="335"/>
  <c r="EO154" i="335"/>
  <c r="EO347" i="335"/>
  <c r="EO151" i="335"/>
  <c r="EO157" i="335"/>
  <c r="EL111" i="336"/>
  <c r="EL392" i="335"/>
  <c r="EL122" i="336"/>
  <c r="EL112" i="336"/>
  <c r="EL113" i="336"/>
  <c r="EL145" i="336"/>
  <c r="EL328" i="338"/>
  <c r="ER328" i="338"/>
  <c r="EL144" i="335"/>
  <c r="EL169" i="335"/>
  <c r="EF467" i="338"/>
  <c r="EF468" i="338"/>
  <c r="DV64" i="335"/>
  <c r="DQ64" i="335"/>
  <c r="FU64" i="335"/>
  <c r="BU348" i="335"/>
  <c r="BU339" i="335"/>
  <c r="BU336" i="335"/>
  <c r="BU290" i="335"/>
  <c r="BU151" i="335"/>
  <c r="BU718" i="338"/>
  <c r="BU330" i="335"/>
  <c r="BU338" i="335"/>
  <c r="BU49" i="11"/>
  <c r="BU58" i="11" s="1"/>
  <c r="BU342" i="335"/>
  <c r="BU345" i="335"/>
  <c r="BU114" i="338"/>
  <c r="BU92" i="335"/>
  <c r="BU100" i="335" s="1"/>
  <c r="BU341" i="335"/>
  <c r="BU148" i="335"/>
  <c r="BU154" i="335"/>
  <c r="BU328" i="335"/>
  <c r="BU331" i="335"/>
  <c r="BU143" i="335"/>
  <c r="BU347" i="335"/>
  <c r="BU99" i="335"/>
  <c r="BU343" i="335"/>
  <c r="BU337" i="335"/>
  <c r="BU15" i="11"/>
  <c r="BU329" i="335"/>
  <c r="BU346" i="335"/>
  <c r="BQ162" i="338"/>
  <c r="BQ164" i="338" s="1"/>
  <c r="CY96" i="335"/>
  <c r="FR96" i="335"/>
  <c r="EA53" i="338"/>
  <c r="EA39" i="338"/>
  <c r="EZ34" i="338"/>
  <c r="EI394" i="335"/>
  <c r="EI392" i="335"/>
  <c r="EH409" i="338"/>
  <c r="EI409" i="338" s="1"/>
  <c r="EH124" i="336"/>
  <c r="EH125" i="336"/>
  <c r="EI122" i="336"/>
  <c r="EI100" i="335"/>
  <c r="EL433" i="338"/>
  <c r="EN247" i="338"/>
  <c r="EQ246" i="338"/>
  <c r="AN395" i="338"/>
  <c r="BI774" i="338"/>
  <c r="BI770" i="338"/>
  <c r="BI766" i="338"/>
  <c r="DV65" i="335"/>
  <c r="FU65" i="335"/>
  <c r="DQ65" i="335"/>
  <c r="AB394" i="338"/>
  <c r="EQ64" i="335"/>
  <c r="DZ124" i="336"/>
  <c r="DZ409" i="338"/>
  <c r="DZ125" i="336"/>
  <c r="CM96" i="335"/>
  <c r="FP96" i="335"/>
  <c r="CU220" i="335"/>
  <c r="CU219" i="335"/>
  <c r="CU207" i="336"/>
  <c r="CU184" i="336" s="1"/>
  <c r="EM214" i="335"/>
  <c r="CU114" i="3"/>
  <c r="DA115" i="3" s="1"/>
  <c r="CU460" i="335"/>
  <c r="CU458" i="335"/>
  <c r="CU461" i="335"/>
  <c r="CU459" i="335"/>
  <c r="CU375" i="335"/>
  <c r="CU503" i="338"/>
  <c r="CU199" i="335"/>
  <c r="DO229" i="335"/>
  <c r="DO209" i="336" s="1"/>
  <c r="DP228" i="335"/>
  <c r="BS111" i="336"/>
  <c r="BS123" i="336"/>
  <c r="BS145" i="336"/>
  <c r="BS112" i="336"/>
  <c r="BS369" i="335"/>
  <c r="BS392" i="335"/>
  <c r="BS113" i="336"/>
  <c r="CO151" i="335"/>
  <c r="CO336" i="335"/>
  <c r="CO431" i="338"/>
  <c r="CO330" i="335"/>
  <c r="CO331" i="335"/>
  <c r="CU290" i="335"/>
  <c r="CO15" i="11"/>
  <c r="CO348" i="335"/>
  <c r="CO157" i="335"/>
  <c r="CO325" i="338"/>
  <c r="CO102" i="336"/>
  <c r="CO385" i="335" s="1"/>
  <c r="CO329" i="335"/>
  <c r="CO347" i="335"/>
  <c r="CO338" i="335"/>
  <c r="CO328" i="335"/>
  <c r="CO143" i="335"/>
  <c r="CO327" i="338"/>
  <c r="CO339" i="335"/>
  <c r="CO342" i="335"/>
  <c r="CO114" i="338"/>
  <c r="CO93" i="335"/>
  <c r="CO313" i="338"/>
  <c r="CS313" i="338" s="1"/>
  <c r="CR365" i="335"/>
  <c r="CO92" i="335"/>
  <c r="CO99" i="335"/>
  <c r="CO49" i="11"/>
  <c r="CO341" i="335"/>
  <c r="CU92" i="335"/>
  <c r="CO346" i="335"/>
  <c r="CQ365" i="335"/>
  <c r="CO148" i="335"/>
  <c r="CO337" i="335"/>
  <c r="CO343" i="335"/>
  <c r="CO290" i="335"/>
  <c r="CS91" i="335"/>
  <c r="CO154" i="335"/>
  <c r="CO163" i="336"/>
  <c r="CO345" i="335"/>
  <c r="CO365" i="335"/>
  <c r="CP315" i="335"/>
  <c r="CP365" i="335"/>
  <c r="CP93" i="335"/>
  <c r="CW337" i="335"/>
  <c r="CW325" i="338"/>
  <c r="CW336" i="335"/>
  <c r="CW148" i="335"/>
  <c r="CW329" i="335"/>
  <c r="CW431" i="338"/>
  <c r="CW331" i="335"/>
  <c r="CW114" i="338"/>
  <c r="CW328" i="335"/>
  <c r="CW99" i="335"/>
  <c r="CW102" i="336"/>
  <c r="CW385" i="335" s="1"/>
  <c r="CW343" i="335"/>
  <c r="CW157" i="335"/>
  <c r="CW341" i="335"/>
  <c r="CW154" i="335"/>
  <c r="CW342" i="335"/>
  <c r="CW346" i="335"/>
  <c r="CW15" i="11"/>
  <c r="CW313" i="338"/>
  <c r="CY313" i="338" s="1"/>
  <c r="CW49" i="11"/>
  <c r="CW339" i="335"/>
  <c r="CW347" i="335"/>
  <c r="CW151" i="335"/>
  <c r="CW338" i="335"/>
  <c r="CW327" i="338"/>
  <c r="CW330" i="335"/>
  <c r="CW143" i="335"/>
  <c r="CW92" i="335"/>
  <c r="DC92" i="335"/>
  <c r="CX93" i="335"/>
  <c r="CW315" i="335"/>
  <c r="CY91" i="335"/>
  <c r="CX315" i="335"/>
  <c r="CW348" i="335"/>
  <c r="DA365" i="335"/>
  <c r="DC290" i="335"/>
  <c r="CW365" i="335"/>
  <c r="CW290" i="335"/>
  <c r="CX365" i="335"/>
  <c r="CW93" i="335"/>
  <c r="DB365" i="335"/>
  <c r="CW345" i="335"/>
  <c r="CW163" i="336"/>
  <c r="FR91" i="335"/>
  <c r="BQ621" i="338"/>
  <c r="BQ622" i="338" s="1"/>
  <c r="BQ623" i="338" s="1"/>
  <c r="BW621" i="338"/>
  <c r="BW622" i="338" s="1"/>
  <c r="BW623" i="338" s="1"/>
  <c r="AE112" i="336"/>
  <c r="AE394" i="338" s="1"/>
  <c r="AD394" i="338"/>
  <c r="AE315" i="338"/>
  <c r="AE393" i="335"/>
  <c r="AE394" i="335"/>
  <c r="AE392" i="335"/>
  <c r="AE316" i="338"/>
  <c r="AE314" i="338"/>
  <c r="EG279" i="335"/>
  <c r="EG42" i="335"/>
  <c r="EM39" i="335"/>
  <c r="EG40" i="338"/>
  <c r="FX39" i="335"/>
  <c r="EG329" i="335"/>
  <c r="EG304" i="335"/>
  <c r="EG228" i="338"/>
  <c r="EG229" i="338" s="1"/>
  <c r="EG119" i="11"/>
  <c r="EI39" i="335"/>
  <c r="EH41" i="335"/>
  <c r="EG41" i="335"/>
  <c r="EH304" i="335"/>
  <c r="EC279" i="335"/>
  <c r="EC40" i="338"/>
  <c r="EC723" i="338"/>
  <c r="EC40" i="335"/>
  <c r="EC228" i="338"/>
  <c r="EC229" i="338" s="1"/>
  <c r="EC329" i="335"/>
  <c r="FO96" i="335"/>
  <c r="CG96" i="335"/>
  <c r="AE14" i="11"/>
  <c r="FK265" i="338"/>
  <c r="FK266" i="338" s="1"/>
  <c r="FL265" i="338"/>
  <c r="FL73" i="335" s="1"/>
  <c r="FK271" i="338"/>
  <c r="FK272" i="338" s="1"/>
  <c r="FL257" i="338"/>
  <c r="FJ257" i="338"/>
  <c r="AD26" i="11"/>
  <c r="AD39" i="11"/>
  <c r="AJ26" i="11"/>
  <c r="FL79" i="335"/>
  <c r="FG67" i="335"/>
  <c r="FC224" i="338"/>
  <c r="FC225" i="338" s="1"/>
  <c r="DW232" i="338"/>
  <c r="DW233" i="338" s="1"/>
  <c r="DY233" i="338"/>
  <c r="DS233" i="338"/>
  <c r="DS235" i="338"/>
  <c r="DZ233" i="338"/>
  <c r="DZ235" i="338"/>
  <c r="EC232" i="338"/>
  <c r="DM236" i="338"/>
  <c r="DK235" i="338"/>
  <c r="EB235" i="338"/>
  <c r="EB236" i="338" s="1"/>
  <c r="EB233" i="338"/>
  <c r="CV163" i="338"/>
  <c r="CV164" i="338" s="1"/>
  <c r="CV161" i="338"/>
  <c r="BK12" i="335"/>
  <c r="BO12" i="335" s="1"/>
  <c r="FI271" i="338"/>
  <c r="FI74" i="335" s="1"/>
  <c r="FI47" i="11" s="1"/>
  <c r="FI265" i="338"/>
  <c r="FI73" i="335" s="1"/>
  <c r="FI46" i="11" s="1"/>
  <c r="FI257" i="338"/>
  <c r="FI259" i="338"/>
  <c r="FI72" i="335" s="1"/>
  <c r="FI45" i="11" s="1"/>
  <c r="DD432" i="338"/>
  <c r="EQ12" i="338"/>
  <c r="EQ17" i="338" s="1"/>
  <c r="EQ13" i="338"/>
  <c r="EQ15" i="338" s="1"/>
  <c r="ER13" i="338"/>
  <c r="ER15" i="338" s="1"/>
  <c r="EQ8" i="338"/>
  <c r="CX218" i="335"/>
  <c r="CX217" i="335"/>
  <c r="ER335" i="338"/>
  <c r="EQ335" i="338"/>
  <c r="EQ336" i="338"/>
  <c r="ER305" i="335"/>
  <c r="ER44" i="335"/>
  <c r="EQ120" i="11"/>
  <c r="EQ58" i="338"/>
  <c r="EQ95" i="338" s="1"/>
  <c r="ER54" i="335"/>
  <c r="EQ54" i="335"/>
  <c r="EQ452" i="338"/>
  <c r="FY52" i="335"/>
  <c r="FY53" i="335" s="1"/>
  <c r="EQ53" i="335"/>
  <c r="FY15" i="335"/>
  <c r="FY91" i="335"/>
  <c r="FY105" i="335"/>
  <c r="DW118" i="336"/>
  <c r="DW395" i="338" s="1"/>
  <c r="DV395" i="338"/>
  <c r="ES215" i="335"/>
  <c r="Q215" i="335"/>
  <c r="ES681" i="338"/>
  <c r="EM663" i="338"/>
  <c r="EM662" i="338" s="1"/>
  <c r="EE450" i="338"/>
  <c r="EE451" i="338"/>
  <c r="CP681" i="338"/>
  <c r="CP684" i="338" s="1"/>
  <c r="CP689" i="338" s="1"/>
  <c r="CV681" i="338"/>
  <c r="CV684" i="338" s="1"/>
  <c r="CV689" i="338" s="1"/>
  <c r="CY8" i="338"/>
  <c r="CY17" i="338"/>
  <c r="CS8" i="338"/>
  <c r="CS12" i="338"/>
  <c r="CS17" i="338" s="1"/>
  <c r="CL481" i="338"/>
  <c r="CL484" i="338"/>
  <c r="CL482" i="338"/>
  <c r="K220" i="335"/>
  <c r="K219" i="335"/>
  <c r="AJ220" i="335"/>
  <c r="AJ219" i="335"/>
  <c r="AU213" i="335"/>
  <c r="AW212" i="335"/>
  <c r="AW213" i="335" s="1"/>
  <c r="AU215" i="335"/>
  <c r="CS173" i="338"/>
  <c r="CY173" i="338"/>
  <c r="K187" i="335"/>
  <c r="K185" i="335"/>
  <c r="DW681" i="338"/>
  <c r="DW684" i="338" s="1"/>
  <c r="DW689" i="338" s="1"/>
  <c r="EC681" i="338"/>
  <c r="EC684" i="338" s="1"/>
  <c r="AW254" i="338"/>
  <c r="AW255" i="338" s="1"/>
  <c r="AW765" i="338"/>
  <c r="BC254" i="338"/>
  <c r="EI337" i="335"/>
  <c r="EN676" i="338"/>
  <c r="CV61" i="11"/>
  <c r="CG684" i="338"/>
  <c r="BR215" i="335"/>
  <c r="BR213" i="335"/>
  <c r="BQ170" i="335"/>
  <c r="BQ350" i="335"/>
  <c r="BQ212" i="335"/>
  <c r="BU212" i="335" s="1"/>
  <c r="BU213" i="335" s="1"/>
  <c r="BQ182" i="335"/>
  <c r="BU182" i="335" s="1"/>
  <c r="BQ173" i="335"/>
  <c r="BQ174" i="335" s="1"/>
  <c r="DT247" i="338"/>
  <c r="DT246" i="338"/>
  <c r="DZ247" i="338"/>
  <c r="CY681" i="338"/>
  <c r="CY684" i="338" s="1"/>
  <c r="CY685" i="338" s="1"/>
  <c r="CS681" i="338"/>
  <c r="CS684" i="338" s="1"/>
  <c r="GB437" i="338"/>
  <c r="CS615" i="338"/>
  <c r="CS616" i="338" s="1"/>
  <c r="DN272" i="338"/>
  <c r="DN253" i="338"/>
  <c r="DT272" i="338"/>
  <c r="DV55" i="11"/>
  <c r="EB55" i="11"/>
  <c r="DW108" i="11"/>
  <c r="DW112" i="11" s="1"/>
  <c r="CX208" i="335"/>
  <c r="CX209" i="335" s="1"/>
  <c r="FA228" i="335"/>
  <c r="CG621" i="338"/>
  <c r="CG622" i="338" s="1"/>
  <c r="CG623" i="338" s="1"/>
  <c r="CM621" i="338"/>
  <c r="CM622" i="338" s="1"/>
  <c r="CM623" i="338" s="1"/>
  <c r="CV621" i="338"/>
  <c r="CV622" i="338" s="1"/>
  <c r="CV623" i="338" s="1"/>
  <c r="CP621" i="338"/>
  <c r="CP622" i="338" s="1"/>
  <c r="CP623" i="338" s="1"/>
  <c r="AJ185" i="335"/>
  <c r="AJ187" i="335"/>
  <c r="AW350" i="335"/>
  <c r="AW170" i="335"/>
  <c r="AW389" i="338" s="1"/>
  <c r="AW368" i="335"/>
  <c r="CF612" i="338"/>
  <c r="CF613" i="338" s="1"/>
  <c r="CL681" i="338" s="1"/>
  <c r="CL684" i="338" s="1"/>
  <c r="CF615" i="338"/>
  <c r="CF616" i="338" s="1"/>
  <c r="BK39" i="11"/>
  <c r="BO14" i="11"/>
  <c r="BK26" i="11"/>
  <c r="CK97" i="338"/>
  <c r="DY109" i="338"/>
  <c r="DY110" i="338" s="1"/>
  <c r="CC110" i="11"/>
  <c r="CC115" i="11" s="1"/>
  <c r="FL113" i="335"/>
  <c r="FL122" i="335" s="1"/>
  <c r="FL124" i="335" s="1"/>
  <c r="BW362" i="335"/>
  <c r="BW360" i="335" s="1"/>
  <c r="DC394" i="338"/>
  <c r="DY19" i="338"/>
  <c r="BW110" i="11"/>
  <c r="BF394" i="338"/>
  <c r="BY362" i="335"/>
  <c r="BY360" i="335" s="1"/>
  <c r="X13" i="338"/>
  <c r="BA394" i="338"/>
  <c r="EY460" i="338"/>
  <c r="EZ461" i="338"/>
  <c r="DA190" i="335"/>
  <c r="DA300" i="335"/>
  <c r="DA325" i="335"/>
  <c r="DA487" i="338"/>
  <c r="DB432" i="338"/>
  <c r="GA429" i="338" s="1"/>
  <c r="DB433" i="338"/>
  <c r="DM75" i="335"/>
  <c r="FT74" i="335"/>
  <c r="DN314" i="335"/>
  <c r="DM314" i="335"/>
  <c r="DQ74" i="335"/>
  <c r="DM47" i="11"/>
  <c r="DM289" i="335"/>
  <c r="DM271" i="338"/>
  <c r="DS289" i="335"/>
  <c r="BZ170" i="335"/>
  <c r="BZ182" i="335"/>
  <c r="BZ298" i="335"/>
  <c r="BZ173" i="335"/>
  <c r="BZ174" i="335" s="1"/>
  <c r="BZ212" i="335"/>
  <c r="BZ323" i="335"/>
  <c r="BZ350" i="335"/>
  <c r="CC368" i="335"/>
  <c r="CD368" i="335"/>
  <c r="CC323" i="335"/>
  <c r="BT213" i="335"/>
  <c r="BT215" i="335"/>
  <c r="FK74" i="11"/>
  <c r="FK78" i="11" s="1"/>
  <c r="FK82" i="11" s="1"/>
  <c r="FE78" i="11"/>
  <c r="FE82" i="11" s="1"/>
  <c r="BS183" i="336"/>
  <c r="BS208" i="336"/>
  <c r="BS235" i="335"/>
  <c r="BS231" i="336"/>
  <c r="BS232" i="336" s="1"/>
  <c r="BS236" i="335"/>
  <c r="BS239" i="336" s="1"/>
  <c r="L217" i="335"/>
  <c r="L184" i="335" s="1"/>
  <c r="L218" i="335"/>
  <c r="BW37" i="11"/>
  <c r="BW27" i="11"/>
  <c r="CC27" i="11"/>
  <c r="CC34" i="11" s="1"/>
  <c r="BW14" i="11"/>
  <c r="BW38" i="11"/>
  <c r="BW39" i="11" s="1"/>
  <c r="BW392" i="335"/>
  <c r="BW112" i="336"/>
  <c r="BW113" i="336"/>
  <c r="BW145" i="336"/>
  <c r="BW369" i="335"/>
  <c r="BW111" i="336"/>
  <c r="BW123" i="336"/>
  <c r="DY57" i="338"/>
  <c r="DS57" i="338"/>
  <c r="DS95" i="338"/>
  <c r="ET12" i="338"/>
  <c r="ET17" i="338" s="1"/>
  <c r="ET13" i="338"/>
  <c r="ET15" i="338" s="1"/>
  <c r="ET8" i="338"/>
  <c r="EU36" i="338"/>
  <c r="EM615" i="338"/>
  <c r="EM616" i="338" s="1"/>
  <c r="EM621" i="338" s="1"/>
  <c r="EM622" i="338" s="1"/>
  <c r="EM623" i="338" s="1"/>
  <c r="EY21" i="338"/>
  <c r="EY334" i="338"/>
  <c r="EO609" i="338"/>
  <c r="EY33" i="11"/>
  <c r="EY67" i="11" s="1"/>
  <c r="EY61" i="11" s="1"/>
  <c r="W13" i="338"/>
  <c r="EK57" i="338"/>
  <c r="EK95" i="338"/>
  <c r="DQ46" i="11"/>
  <c r="DQ55" i="11" s="1"/>
  <c r="DQ288" i="335"/>
  <c r="DD433" i="338"/>
  <c r="DU54" i="11"/>
  <c r="EA54" i="11"/>
  <c r="BU368" i="335"/>
  <c r="BU173" i="335"/>
  <c r="BU350" i="335"/>
  <c r="BU170" i="335"/>
  <c r="BT162" i="338"/>
  <c r="BT164" i="338" s="1"/>
  <c r="BC160" i="338"/>
  <c r="BC163" i="338" s="1"/>
  <c r="BC164" i="338" s="1"/>
  <c r="BI113" i="338"/>
  <c r="BI163" i="338"/>
  <c r="BI164" i="338" s="1"/>
  <c r="CJ187" i="335"/>
  <c r="CJ185" i="335"/>
  <c r="CF162" i="338"/>
  <c r="CF507" i="338" s="1"/>
  <c r="CF61" i="11"/>
  <c r="CF16" i="338" s="1"/>
  <c r="CF18" i="338" s="1"/>
  <c r="EU609" i="338"/>
  <c r="ER75" i="11"/>
  <c r="EL79" i="11"/>
  <c r="EL83" i="11" s="1"/>
  <c r="EL76" i="11"/>
  <c r="CC430" i="338"/>
  <c r="BX433" i="338"/>
  <c r="CC429" i="338"/>
  <c r="BZ112" i="336"/>
  <c r="BZ145" i="336"/>
  <c r="CA365" i="335"/>
  <c r="BZ113" i="336"/>
  <c r="CA113" i="336" s="1"/>
  <c r="BZ392" i="335"/>
  <c r="CA145" i="336"/>
  <c r="BZ393" i="335"/>
  <c r="BZ369" i="335"/>
  <c r="BZ123" i="336"/>
  <c r="CA123" i="336" s="1"/>
  <c r="BZ394" i="335"/>
  <c r="BZ111" i="336"/>
  <c r="CA111" i="336" s="1"/>
  <c r="BW160" i="338"/>
  <c r="BW113" i="338"/>
  <c r="CC163" i="338"/>
  <c r="CC113" i="338"/>
  <c r="BW494" i="338"/>
  <c r="BX101" i="335"/>
  <c r="CA99" i="335"/>
  <c r="CC100" i="335"/>
  <c r="BW101" i="335"/>
  <c r="BW206" i="335"/>
  <c r="BW100" i="335"/>
  <c r="CA345" i="335"/>
  <c r="CA342" i="335"/>
  <c r="CA49" i="11"/>
  <c r="CA330" i="335"/>
  <c r="CA15" i="11"/>
  <c r="CA328" i="335"/>
  <c r="CA718" i="338"/>
  <c r="CA331" i="335"/>
  <c r="BW517" i="338"/>
  <c r="CA343" i="335"/>
  <c r="CA336" i="335"/>
  <c r="CA154" i="335"/>
  <c r="CA338" i="335"/>
  <c r="CA348" i="335"/>
  <c r="CA339" i="335"/>
  <c r="CA329" i="335"/>
  <c r="CA337" i="335"/>
  <c r="BX517" i="338"/>
  <c r="CA143" i="335"/>
  <c r="CA114" i="338"/>
  <c r="CA151" i="335"/>
  <c r="CA346" i="335"/>
  <c r="CA347" i="335"/>
  <c r="CA148" i="335"/>
  <c r="BZ517" i="338"/>
  <c r="CA341" i="335"/>
  <c r="BY517" i="338"/>
  <c r="CG92" i="335"/>
  <c r="CA92" i="335"/>
  <c r="CA290" i="335"/>
  <c r="BN182" i="335"/>
  <c r="BQ323" i="335"/>
  <c r="BN170" i="335"/>
  <c r="BN350" i="335"/>
  <c r="BR368" i="335"/>
  <c r="BS368" i="335"/>
  <c r="BN298" i="335"/>
  <c r="BN212" i="335"/>
  <c r="BN323" i="335"/>
  <c r="BQ368" i="335"/>
  <c r="BN368" i="335"/>
  <c r="FU43" i="335"/>
  <c r="DY124" i="11"/>
  <c r="DY128" i="11" s="1"/>
  <c r="DS124" i="11"/>
  <c r="DS128" i="11" s="1"/>
  <c r="ET334" i="335"/>
  <c r="ET346" i="335"/>
  <c r="ET102" i="336"/>
  <c r="ET15" i="11"/>
  <c r="ET157" i="335"/>
  <c r="ET337" i="335"/>
  <c r="ET92" i="335"/>
  <c r="ET431" i="338"/>
  <c r="ET114" i="338"/>
  <c r="ET327" i="338"/>
  <c r="ET328" i="338" s="1"/>
  <c r="ET325" i="338"/>
  <c r="ET326" i="338" s="1"/>
  <c r="ET148" i="335"/>
  <c r="ET345" i="335"/>
  <c r="ET336" i="335"/>
  <c r="ET342" i="335"/>
  <c r="ET338" i="335"/>
  <c r="ET313" i="338"/>
  <c r="EU313" i="338" s="1"/>
  <c r="ET163" i="336"/>
  <c r="ET331" i="335"/>
  <c r="ET154" i="335"/>
  <c r="ET290" i="335"/>
  <c r="ET348" i="335"/>
  <c r="ET347" i="335"/>
  <c r="ET99" i="335"/>
  <c r="ET49" i="11"/>
  <c r="ET58" i="11" s="1"/>
  <c r="ET333" i="335"/>
  <c r="ET339" i="335"/>
  <c r="ET151" i="335"/>
  <c r="ET343" i="335"/>
  <c r="ET341" i="335"/>
  <c r="ET143" i="335"/>
  <c r="AW26" i="11"/>
  <c r="EO143" i="335"/>
  <c r="EO343" i="335"/>
  <c r="DS55" i="11"/>
  <c r="DM55" i="11"/>
  <c r="DB492" i="338"/>
  <c r="DB493" i="338"/>
  <c r="CV495" i="338"/>
  <c r="AO215" i="335"/>
  <c r="AO213" i="335"/>
  <c r="BN162" i="338"/>
  <c r="BN164" i="338" s="1"/>
  <c r="BE394" i="338"/>
  <c r="CJ215" i="335"/>
  <c r="CJ213" i="335"/>
  <c r="AI394" i="338"/>
  <c r="BZ162" i="338"/>
  <c r="BZ164" i="338" s="1"/>
  <c r="BZ61" i="11"/>
  <c r="BZ16" i="338" s="1"/>
  <c r="BZ18" i="338" s="1"/>
  <c r="EH453" i="338"/>
  <c r="EH454" i="338"/>
  <c r="BX123" i="336"/>
  <c r="BX145" i="336"/>
  <c r="BX369" i="335"/>
  <c r="BX392" i="335"/>
  <c r="BX113" i="336"/>
  <c r="BX112" i="336"/>
  <c r="BX111" i="336"/>
  <c r="BW326" i="338"/>
  <c r="CC326" i="338"/>
  <c r="CA325" i="338"/>
  <c r="BW144" i="335"/>
  <c r="BW169" i="335"/>
  <c r="EQ338" i="338"/>
  <c r="ER338" i="338"/>
  <c r="EQ339" i="338"/>
  <c r="ET559" i="338"/>
  <c r="ET630" i="338"/>
  <c r="ET676" i="338" s="1"/>
  <c r="CD164" i="338"/>
  <c r="EG214" i="338"/>
  <c r="EA224" i="338"/>
  <c r="EQ124" i="11"/>
  <c r="EK124" i="11"/>
  <c r="EK128" i="11" s="1"/>
  <c r="DQ287" i="335"/>
  <c r="DQ45" i="11"/>
  <c r="DQ54" i="11" s="1"/>
  <c r="CV207" i="335"/>
  <c r="CF492" i="338"/>
  <c r="BZ495" i="338"/>
  <c r="CF493" i="338"/>
  <c r="U212" i="335"/>
  <c r="U350" i="335"/>
  <c r="U170" i="335"/>
  <c r="U323" i="335"/>
  <c r="U182" i="335"/>
  <c r="Y169" i="335"/>
  <c r="U298" i="335"/>
  <c r="X368" i="335"/>
  <c r="AA298" i="335"/>
  <c r="V323" i="335"/>
  <c r="W368" i="335"/>
  <c r="EY214" i="335"/>
  <c r="EY215" i="335" s="1"/>
  <c r="EY218" i="335" s="1"/>
  <c r="EY207" i="336" s="1"/>
  <c r="EY182" i="335"/>
  <c r="BS238" i="336"/>
  <c r="BC38" i="11"/>
  <c r="BC37" i="11"/>
  <c r="BI27" i="11"/>
  <c r="BC719" i="338"/>
  <c r="BC757" i="338"/>
  <c r="BC762" i="338"/>
  <c r="BI719" i="338"/>
  <c r="CV350" i="335"/>
  <c r="CV170" i="335"/>
  <c r="CV173" i="335"/>
  <c r="CV174" i="335" s="1"/>
  <c r="CV298" i="335"/>
  <c r="CV323" i="335"/>
  <c r="CV212" i="335"/>
  <c r="DB298" i="335"/>
  <c r="CV182" i="335"/>
  <c r="CV368" i="335"/>
  <c r="FQ169" i="335"/>
  <c r="FQ170" i="335" s="1"/>
  <c r="BK350" i="335"/>
  <c r="BK170" i="335"/>
  <c r="BK182" i="335"/>
  <c r="BK212" i="335"/>
  <c r="BK323" i="335"/>
  <c r="BK298" i="335"/>
  <c r="BQ298" i="335"/>
  <c r="BK173" i="335"/>
  <c r="BK174" i="335" s="1"/>
  <c r="BK368" i="335"/>
  <c r="BL368" i="335"/>
  <c r="BL323" i="335"/>
  <c r="BO169" i="335"/>
  <c r="BM368" i="335"/>
  <c r="EL95" i="338"/>
  <c r="EL57" i="338"/>
  <c r="EL124" i="11"/>
  <c r="EL128" i="11" s="1"/>
  <c r="DD493" i="338"/>
  <c r="DD492" i="338"/>
  <c r="CX495" i="338"/>
  <c r="BY111" i="336"/>
  <c r="BY369" i="335"/>
  <c r="BY112" i="336"/>
  <c r="BY145" i="336"/>
  <c r="BY392" i="335"/>
  <c r="BY113" i="336"/>
  <c r="BY123" i="336"/>
  <c r="CA327" i="338"/>
  <c r="CC328" i="338"/>
  <c r="BW328" i="338"/>
  <c r="BW58" i="11"/>
  <c r="CC58" i="11"/>
  <c r="DS79" i="11"/>
  <c r="DS83" i="11" s="1"/>
  <c r="DY75" i="11"/>
  <c r="EU553" i="338"/>
  <c r="EU9" i="338"/>
  <c r="ET162" i="336"/>
  <c r="EU278" i="335"/>
  <c r="EU15" i="335"/>
  <c r="EU43" i="11"/>
  <c r="EU52" i="11" s="1"/>
  <c r="EU105" i="335"/>
  <c r="EE351" i="335"/>
  <c r="EE189" i="335"/>
  <c r="EE324" i="335"/>
  <c r="EH212" i="335"/>
  <c r="EH350" i="335"/>
  <c r="EH298" i="335"/>
  <c r="EH182" i="335"/>
  <c r="EH173" i="335"/>
  <c r="EH174" i="335" s="1"/>
  <c r="EH170" i="335"/>
  <c r="EN298" i="335"/>
  <c r="EK323" i="335"/>
  <c r="EH171" i="335"/>
  <c r="EN171" i="335"/>
  <c r="EI144" i="335"/>
  <c r="EE458" i="335"/>
  <c r="EE459" i="335"/>
  <c r="EE461" i="335"/>
  <c r="EE375" i="335"/>
  <c r="EE460" i="335"/>
  <c r="EE199" i="335"/>
  <c r="EE114" i="3"/>
  <c r="EE164" i="338"/>
  <c r="CI55" i="338"/>
  <c r="DD121" i="11"/>
  <c r="DD125" i="11" s="1"/>
  <c r="DD129" i="11" s="1"/>
  <c r="DJ110" i="11"/>
  <c r="DJ114" i="11" s="1"/>
  <c r="DD362" i="335"/>
  <c r="DD360" i="335" s="1"/>
  <c r="BX121" i="11"/>
  <c r="CD125" i="11" s="1"/>
  <c r="CD130" i="11" s="1"/>
  <c r="CG108" i="11"/>
  <c r="FP54" i="11" s="1"/>
  <c r="FE57" i="335"/>
  <c r="FE58" i="335"/>
  <c r="FD57" i="335"/>
  <c r="FG108" i="338"/>
  <c r="FG110" i="338" s="1"/>
  <c r="FG99" i="338"/>
  <c r="CE110" i="11"/>
  <c r="CE115" i="11" s="1"/>
  <c r="BY110" i="11"/>
  <c r="AQ39" i="11"/>
  <c r="EZ12" i="338"/>
  <c r="EZ17" i="338" s="1"/>
  <c r="EZ8" i="338"/>
  <c r="EE54" i="338"/>
  <c r="BZ362" i="335"/>
  <c r="BZ360" i="335" s="1"/>
  <c r="EE19" i="338"/>
  <c r="AE362" i="335"/>
  <c r="AE360" i="335" s="1"/>
  <c r="AE121" i="11"/>
  <c r="AK125" i="11" s="1"/>
  <c r="AE123" i="11"/>
  <c r="AK123" i="11"/>
  <c r="AE127" i="11"/>
  <c r="DE683" i="338"/>
  <c r="EY315" i="335"/>
  <c r="EY93" i="335"/>
  <c r="DV221" i="338"/>
  <c r="DP217" i="338"/>
  <c r="DQ221" i="338"/>
  <c r="DQ222" i="338" s="1"/>
  <c r="EC337" i="335"/>
  <c r="EC45" i="11"/>
  <c r="EI54" i="11" s="1"/>
  <c r="EH54" i="11"/>
  <c r="EB54" i="11"/>
  <c r="DE224" i="338"/>
  <c r="DD230" i="338"/>
  <c r="DD225" i="338"/>
  <c r="EF54" i="11"/>
  <c r="DZ54" i="11"/>
  <c r="DE317" i="338"/>
  <c r="DK317" i="338"/>
  <c r="DJ224" i="338"/>
  <c r="DK217" i="338"/>
  <c r="DJ218" i="338"/>
  <c r="DJ230" i="338"/>
  <c r="FA320" i="338"/>
  <c r="FC320" i="338"/>
  <c r="EZ391" i="335"/>
  <c r="BY683" i="338"/>
  <c r="BY685" i="338" s="1"/>
  <c r="BY674" i="338"/>
  <c r="CK55" i="338"/>
  <c r="CA106" i="11"/>
  <c r="CA362" i="335" s="1"/>
  <c r="CA360" i="335" s="1"/>
  <c r="EX110" i="3"/>
  <c r="R43" i="3"/>
  <c r="S43" i="3" s="1"/>
  <c r="CW137" i="336"/>
  <c r="CW135" i="336"/>
  <c r="CX137" i="336"/>
  <c r="CY137" i="336" s="1"/>
  <c r="CX139" i="336"/>
  <c r="CX140" i="336" s="1"/>
  <c r="EC193" i="336"/>
  <c r="EC176" i="336"/>
  <c r="CW397" i="335"/>
  <c r="CY383" i="335"/>
  <c r="CY397" i="335" s="1"/>
  <c r="BM45" i="3"/>
  <c r="AO109" i="3"/>
  <c r="AU106" i="3"/>
  <c r="CW109" i="3"/>
  <c r="CW108" i="3"/>
  <c r="DC106" i="3"/>
  <c r="CW106" i="3"/>
  <c r="AQ383" i="335"/>
  <c r="AQ397" i="335" s="1"/>
  <c r="AQ385" i="338" s="1"/>
  <c r="BO147" i="336"/>
  <c r="BO148" i="336" s="1"/>
  <c r="CV507" i="338"/>
  <c r="BX362" i="335"/>
  <c r="BX360" i="335" s="1"/>
  <c r="BZ110" i="11"/>
  <c r="CF110" i="11"/>
  <c r="CF115" i="11" s="1"/>
  <c r="CV112" i="338"/>
  <c r="CD110" i="11"/>
  <c r="CD115" i="11" s="1"/>
  <c r="EE55" i="338"/>
  <c r="EE18" i="338"/>
  <c r="DJ362" i="335"/>
  <c r="DJ360" i="335" s="1"/>
  <c r="CA108" i="11"/>
  <c r="DP110" i="11"/>
  <c r="DP114" i="11" s="1"/>
  <c r="BZ125" i="11"/>
  <c r="BC12" i="335"/>
  <c r="AW12" i="335"/>
  <c r="EW68" i="336"/>
  <c r="ET429" i="335"/>
  <c r="EU429" i="335" s="1"/>
  <c r="DW418" i="335"/>
  <c r="EW65" i="336"/>
  <c r="ET426" i="335"/>
  <c r="EU426" i="335" s="1"/>
  <c r="ET427" i="335"/>
  <c r="EU427" i="335" s="1"/>
  <c r="EW66" i="336"/>
  <c r="DY507" i="338"/>
  <c r="DY18" i="338"/>
  <c r="DY55" i="338"/>
  <c r="DY96" i="338"/>
  <c r="DY97" i="338" s="1"/>
  <c r="EY33" i="338"/>
  <c r="EZ22" i="338"/>
  <c r="EY22" i="338"/>
  <c r="AW358" i="335"/>
  <c r="AW356" i="335" s="1"/>
  <c r="AW323" i="338" s="1"/>
  <c r="FE32" i="335"/>
  <c r="FE33" i="335" s="1"/>
  <c r="CX96" i="338"/>
  <c r="CX54" i="338"/>
  <c r="CX18" i="338"/>
  <c r="CX507" i="338"/>
  <c r="CX112" i="338"/>
  <c r="AQ12" i="335"/>
  <c r="CX164" i="338"/>
  <c r="EM681" i="338"/>
  <c r="ES395" i="338"/>
  <c r="DO162" i="338"/>
  <c r="DO507" i="338" s="1"/>
  <c r="AE12" i="335"/>
  <c r="ER39" i="11"/>
  <c r="EW108" i="336"/>
  <c r="EZ83" i="335"/>
  <c r="FA83" i="335" s="1"/>
  <c r="FA84" i="335" s="1"/>
  <c r="ET169" i="336"/>
  <c r="EZ52" i="335"/>
  <c r="EZ53" i="335" s="1"/>
  <c r="FC46" i="335"/>
  <c r="FC87" i="335" s="1"/>
  <c r="EZ126" i="335"/>
  <c r="FA46" i="335"/>
  <c r="EZ281" i="335"/>
  <c r="EZ306" i="335"/>
  <c r="EZ44" i="11"/>
  <c r="EZ53" i="11" s="1"/>
  <c r="EZ47" i="335"/>
  <c r="ET164" i="336"/>
  <c r="ET168" i="336"/>
  <c r="EZ98" i="335"/>
  <c r="FA98" i="335" s="1"/>
  <c r="EZ48" i="335"/>
  <c r="EZ87" i="335"/>
  <c r="EX108" i="336"/>
  <c r="ER35" i="338"/>
  <c r="ER37" i="338" s="1"/>
  <c r="ER127" i="11"/>
  <c r="EM144" i="335"/>
  <c r="EM169" i="335"/>
  <c r="ET337" i="338"/>
  <c r="ET339" i="338" s="1"/>
  <c r="ET36" i="338"/>
  <c r="AW39" i="11"/>
  <c r="BC26" i="11"/>
  <c r="DO61" i="11"/>
  <c r="DO16" i="338" s="1"/>
  <c r="DO18" i="338" s="1"/>
  <c r="EO385" i="338"/>
  <c r="EO399" i="335"/>
  <c r="Y144" i="336"/>
  <c r="AO45" i="3"/>
  <c r="S76" i="3"/>
  <c r="R87" i="3"/>
  <c r="S87" i="3" s="1"/>
  <c r="R105" i="3"/>
  <c r="R109" i="3" s="1"/>
  <c r="R373" i="335"/>
  <c r="U373" i="335"/>
  <c r="CR137" i="336"/>
  <c r="CS137" i="336" s="1"/>
  <c r="CR139" i="336"/>
  <c r="CR140" i="336" s="1"/>
  <c r="CQ135" i="336"/>
  <c r="EO163" i="335"/>
  <c r="EM160" i="335"/>
  <c r="CQ139" i="336"/>
  <c r="CQ140" i="336" s="1"/>
  <c r="Y147" i="336"/>
  <c r="Y418" i="338"/>
  <c r="Y401" i="338"/>
  <c r="BN41" i="3"/>
  <c r="BO36" i="3"/>
  <c r="BO41" i="3" s="1"/>
  <c r="BC29" i="3"/>
  <c r="BB33" i="3"/>
  <c r="BC33" i="3" s="1"/>
  <c r="FD16" i="3"/>
  <c r="FD67" i="3" s="1"/>
  <c r="FK107" i="336"/>
  <c r="FK376" i="335"/>
  <c r="FK398" i="338"/>
  <c r="FL107" i="336"/>
  <c r="FL376" i="335"/>
  <c r="FM376" i="335" s="1"/>
  <c r="FM29" i="336"/>
  <c r="FM398" i="338" s="1"/>
  <c r="FL398" i="338"/>
  <c r="DC56" i="336"/>
  <c r="DB415" i="335"/>
  <c r="EF419" i="335"/>
  <c r="EG58" i="336"/>
  <c r="EC333" i="338"/>
  <c r="BM173" i="336"/>
  <c r="BM185" i="336"/>
  <c r="BM178" i="336"/>
  <c r="BN183" i="336"/>
  <c r="BM187" i="336"/>
  <c r="ES442" i="335"/>
  <c r="ET81" i="336"/>
  <c r="DQ35" i="336"/>
  <c r="DP43" i="336"/>
  <c r="DQ43" i="336" s="1"/>
  <c r="FI74" i="3"/>
  <c r="FJ23" i="3"/>
  <c r="DY447" i="335"/>
  <c r="DZ86" i="336"/>
  <c r="CS248" i="335"/>
  <c r="CS240" i="335" s="1"/>
  <c r="CS241" i="335" s="1"/>
  <c r="CS251" i="335"/>
  <c r="I215" i="335"/>
  <c r="I213" i="335"/>
  <c r="ES161" i="338"/>
  <c r="CR489" i="338"/>
  <c r="CQ488" i="338"/>
  <c r="FJ166" i="338"/>
  <c r="FJ167" i="338" s="1"/>
  <c r="FJ116" i="335"/>
  <c r="EX330" i="335"/>
  <c r="EX329" i="335"/>
  <c r="EX431" i="338"/>
  <c r="EX337" i="335"/>
  <c r="EX325" i="338"/>
  <c r="EX326" i="338" s="1"/>
  <c r="EX114" i="338"/>
  <c r="EX327" i="338"/>
  <c r="EX328" i="338" s="1"/>
  <c r="EX313" i="338"/>
  <c r="EX338" i="335"/>
  <c r="EX331" i="335"/>
  <c r="EX328" i="335"/>
  <c r="EX99" i="335"/>
  <c r="EX345" i="335"/>
  <c r="EX333" i="335"/>
  <c r="EX290" i="335"/>
  <c r="EX102" i="336"/>
  <c r="EX92" i="335"/>
  <c r="EX148" i="335"/>
  <c r="EX151" i="335"/>
  <c r="EX339" i="335"/>
  <c r="EX157" i="335"/>
  <c r="EX154" i="335"/>
  <c r="EX336" i="335"/>
  <c r="EX347" i="335"/>
  <c r="EX348" i="335"/>
  <c r="EX346" i="335"/>
  <c r="EX334" i="335"/>
  <c r="EX49" i="11"/>
  <c r="EX58" i="11" s="1"/>
  <c r="EX15" i="11"/>
  <c r="EX342" i="335"/>
  <c r="EL214" i="338"/>
  <c r="EF224" i="338"/>
  <c r="EY461" i="338"/>
  <c r="ES676" i="338"/>
  <c r="CJ685" i="338"/>
  <c r="CJ690" i="338" s="1"/>
  <c r="ER173" i="335"/>
  <c r="ER174" i="335" s="1"/>
  <c r="ER171" i="335"/>
  <c r="ER182" i="335"/>
  <c r="ER298" i="335"/>
  <c r="ER170" i="335"/>
  <c r="ER350" i="335"/>
  <c r="EU334" i="338"/>
  <c r="EU336" i="338" s="1"/>
  <c r="EU21" i="338"/>
  <c r="ES336" i="338"/>
  <c r="ES335" i="338"/>
  <c r="ET335" i="338"/>
  <c r="DZ230" i="338"/>
  <c r="DZ225" i="338"/>
  <c r="S12" i="335"/>
  <c r="EB462" i="335"/>
  <c r="EB208" i="335" s="1"/>
  <c r="EB209" i="335" s="1"/>
  <c r="AV462" i="335"/>
  <c r="EM33" i="11"/>
  <c r="EG298" i="335"/>
  <c r="EG323" i="335"/>
  <c r="EG350" i="335"/>
  <c r="EH323" i="335"/>
  <c r="EG368" i="335"/>
  <c r="EG170" i="335"/>
  <c r="EG212" i="335"/>
  <c r="EG173" i="335"/>
  <c r="EG174" i="335" s="1"/>
  <c r="FX169" i="335"/>
  <c r="FX170" i="335" s="1"/>
  <c r="EG182" i="335"/>
  <c r="EH368" i="335"/>
  <c r="EI169" i="335"/>
  <c r="EL368" i="335"/>
  <c r="EK368" i="335"/>
  <c r="EG171" i="335"/>
  <c r="DC15" i="338"/>
  <c r="ER212" i="335"/>
  <c r="ES432" i="338"/>
  <c r="EY430" i="338"/>
  <c r="EY429" i="338"/>
  <c r="EY385" i="335"/>
  <c r="ES385" i="335"/>
  <c r="ES38" i="11"/>
  <c r="FE38" i="11" s="1"/>
  <c r="FK38" i="11" s="1"/>
  <c r="ES21" i="11"/>
  <c r="ES37" i="11"/>
  <c r="ES27" i="11"/>
  <c r="EZ80" i="335"/>
  <c r="EZ81" i="335"/>
  <c r="ES337" i="338"/>
  <c r="ES36" i="338"/>
  <c r="FD35" i="335"/>
  <c r="FJ26" i="335"/>
  <c r="FD32" i="335"/>
  <c r="FD113" i="335"/>
  <c r="EM54" i="11"/>
  <c r="FC413" i="338"/>
  <c r="FI103" i="336"/>
  <c r="FI413" i="338" s="1"/>
  <c r="ET101" i="335"/>
  <c r="ES206" i="335"/>
  <c r="ES207" i="335" s="1"/>
  <c r="ES101" i="335"/>
  <c r="EZ37" i="335"/>
  <c r="FE113" i="335"/>
  <c r="FE122" i="335" s="1"/>
  <c r="FK26" i="335"/>
  <c r="FK32" i="335" s="1"/>
  <c r="FE35" i="335"/>
  <c r="FE28" i="335"/>
  <c r="EX36" i="335"/>
  <c r="EX79" i="335"/>
  <c r="EX466" i="338"/>
  <c r="EX467" i="338" s="1"/>
  <c r="S368" i="335"/>
  <c r="Y298" i="335"/>
  <c r="S298" i="335"/>
  <c r="S350" i="335"/>
  <c r="S170" i="335"/>
  <c r="S389" i="338" s="1"/>
  <c r="FW53" i="335"/>
  <c r="FV53" i="335"/>
  <c r="EM163" i="338"/>
  <c r="EM161" i="338"/>
  <c r="EN161" i="338"/>
  <c r="FA68" i="335"/>
  <c r="FA130" i="335"/>
  <c r="FC69" i="335"/>
  <c r="FC56" i="335"/>
  <c r="GA67" i="335"/>
  <c r="FC68" i="335"/>
  <c r="FC135" i="335"/>
  <c r="GA135" i="335" s="1"/>
  <c r="FD69" i="335"/>
  <c r="FV43" i="335"/>
  <c r="FW43" i="335"/>
  <c r="DU124" i="11"/>
  <c r="DU128" i="11" s="1"/>
  <c r="DN91" i="335"/>
  <c r="DS365" i="335" s="1"/>
  <c r="DT88" i="335"/>
  <c r="DN96" i="335"/>
  <c r="DN88" i="335"/>
  <c r="DO89" i="335"/>
  <c r="EM409" i="338"/>
  <c r="EM125" i="336"/>
  <c r="EM124" i="336"/>
  <c r="FD73" i="335"/>
  <c r="FD266" i="338"/>
  <c r="FF72" i="335"/>
  <c r="FF260" i="338"/>
  <c r="FF74" i="335"/>
  <c r="FF272" i="338"/>
  <c r="DW174" i="335"/>
  <c r="EX93" i="11"/>
  <c r="EX97" i="11" s="1"/>
  <c r="EX104" i="11"/>
  <c r="EX108" i="11" s="1"/>
  <c r="EX112" i="11" s="1"/>
  <c r="FD89" i="11"/>
  <c r="D170" i="335"/>
  <c r="D389" i="338" s="1"/>
  <c r="D368" i="335"/>
  <c r="D350" i="335"/>
  <c r="D182" i="335"/>
  <c r="D298" i="335"/>
  <c r="D212" i="335"/>
  <c r="E298" i="335"/>
  <c r="DW12" i="338"/>
  <c r="DW17" i="338" s="1"/>
  <c r="DW8" i="338"/>
  <c r="EC8" i="338"/>
  <c r="EC17" i="338"/>
  <c r="X462" i="335"/>
  <c r="ES635" i="338"/>
  <c r="ES633" i="338" s="1"/>
  <c r="ES632" i="338" s="1"/>
  <c r="ES659" i="338"/>
  <c r="ES657" i="338" s="1"/>
  <c r="ES656" i="338" s="1"/>
  <c r="ES647" i="338"/>
  <c r="ES645" i="338" s="1"/>
  <c r="ES644" i="338" s="1"/>
  <c r="ES665" i="338"/>
  <c r="ES663" i="338" s="1"/>
  <c r="ES662" i="338" s="1"/>
  <c r="ES629" i="338"/>
  <c r="ES627" i="338" s="1"/>
  <c r="ES671" i="338"/>
  <c r="ES669" i="338" s="1"/>
  <c r="ES668" i="338" s="1"/>
  <c r="ES641" i="338"/>
  <c r="ES639" i="338" s="1"/>
  <c r="ES638" i="338" s="1"/>
  <c r="EY9" i="338"/>
  <c r="EZ16" i="335"/>
  <c r="EZ303" i="335"/>
  <c r="DW54" i="11"/>
  <c r="EC54" i="11"/>
  <c r="DW243" i="338"/>
  <c r="DW240" i="338"/>
  <c r="FZ87" i="335"/>
  <c r="FA135" i="335"/>
  <c r="FA136" i="335" s="1"/>
  <c r="FZ135" i="335"/>
  <c r="FZ136" i="335" s="1"/>
  <c r="EW132" i="335"/>
  <c r="FM110" i="335"/>
  <c r="FM111" i="335" s="1"/>
  <c r="DW43" i="335"/>
  <c r="DW58" i="338"/>
  <c r="DW280" i="335"/>
  <c r="DW725" i="338"/>
  <c r="DW330" i="335"/>
  <c r="EC43" i="335"/>
  <c r="EC280" i="335"/>
  <c r="EM39" i="11"/>
  <c r="FE72" i="335"/>
  <c r="FE260" i="338"/>
  <c r="DE53" i="335"/>
  <c r="DK53" i="335"/>
  <c r="AV351" i="335"/>
  <c r="AV189" i="335"/>
  <c r="BB299" i="335"/>
  <c r="BM237" i="336"/>
  <c r="BM240" i="336" s="1"/>
  <c r="DW52" i="11"/>
  <c r="EC52" i="11"/>
  <c r="EC61" i="11" s="1"/>
  <c r="EC16" i="338" s="1"/>
  <c r="EM675" i="338"/>
  <c r="CR487" i="338"/>
  <c r="CU325" i="335"/>
  <c r="CX190" i="335"/>
  <c r="CR325" i="335"/>
  <c r="CX300" i="335"/>
  <c r="CU372" i="335"/>
  <c r="DW53" i="335"/>
  <c r="EC53" i="335"/>
  <c r="EC174" i="335"/>
  <c r="EQ606" i="338"/>
  <c r="ET604" i="338"/>
  <c r="CR202" i="335"/>
  <c r="DP114" i="338"/>
  <c r="DP339" i="335"/>
  <c r="DP348" i="335"/>
  <c r="DP338" i="335"/>
  <c r="DP99" i="335"/>
  <c r="DP334" i="335"/>
  <c r="DP327" i="338"/>
  <c r="DP92" i="335"/>
  <c r="DP329" i="335"/>
  <c r="DP163" i="336"/>
  <c r="DV290" i="335"/>
  <c r="DV92" i="335"/>
  <c r="DP431" i="338"/>
  <c r="DP143" i="335"/>
  <c r="DP313" i="338"/>
  <c r="DP330" i="335"/>
  <c r="DU365" i="335"/>
  <c r="DP336" i="335"/>
  <c r="DS93" i="335"/>
  <c r="DP102" i="336"/>
  <c r="DP345" i="335"/>
  <c r="DP15" i="11"/>
  <c r="DP337" i="335"/>
  <c r="DP49" i="11"/>
  <c r="DP151" i="335"/>
  <c r="DS315" i="335"/>
  <c r="DP315" i="335"/>
  <c r="DP325" i="338"/>
  <c r="DP343" i="335"/>
  <c r="DP148" i="335"/>
  <c r="DP157" i="335"/>
  <c r="DP290" i="335"/>
  <c r="DT365" i="335"/>
  <c r="DP333" i="335"/>
  <c r="DP328" i="335"/>
  <c r="DP331" i="335"/>
  <c r="DP342" i="335"/>
  <c r="DP346" i="335"/>
  <c r="DP347" i="335"/>
  <c r="DP341" i="335"/>
  <c r="DP93" i="335"/>
  <c r="DP154" i="335"/>
  <c r="M217" i="335"/>
  <c r="M184" i="335" s="1"/>
  <c r="M218" i="335"/>
  <c r="P458" i="335"/>
  <c r="P460" i="335"/>
  <c r="P461" i="335"/>
  <c r="P375" i="335"/>
  <c r="P459" i="335"/>
  <c r="DU247" i="338"/>
  <c r="EA247" i="338"/>
  <c r="DU246" i="338"/>
  <c r="EQ613" i="338"/>
  <c r="EQ681" i="338" s="1"/>
  <c r="DW75" i="11"/>
  <c r="DU79" i="11"/>
  <c r="DU83" i="11" s="1"/>
  <c r="FU91" i="335"/>
  <c r="FV88" i="335"/>
  <c r="FD72" i="335"/>
  <c r="FD260" i="338"/>
  <c r="FF73" i="335"/>
  <c r="FF266" i="338"/>
  <c r="FC74" i="335"/>
  <c r="FG271" i="338"/>
  <c r="FG272" i="338" s="1"/>
  <c r="FC272" i="338"/>
  <c r="FC266" i="338"/>
  <c r="FC73" i="335"/>
  <c r="FI266" i="338"/>
  <c r="FG265" i="338"/>
  <c r="FG266" i="338" s="1"/>
  <c r="FD74" i="335"/>
  <c r="FD272" i="338"/>
  <c r="AE39" i="11"/>
  <c r="AE358" i="335"/>
  <c r="AE356" i="335" s="1"/>
  <c r="AE323" i="338" s="1"/>
  <c r="DW245" i="338"/>
  <c r="DV245" i="338"/>
  <c r="DV243" i="338"/>
  <c r="DY242" i="338"/>
  <c r="EB243" i="338"/>
  <c r="DV242" i="338"/>
  <c r="DV240" i="338"/>
  <c r="ER627" i="338"/>
  <c r="ES650" i="338"/>
  <c r="CR462" i="335"/>
  <c r="CR208" i="335" s="1"/>
  <c r="AI187" i="335"/>
  <c r="AI185" i="335"/>
  <c r="P351" i="335"/>
  <c r="P324" i="335"/>
  <c r="P189" i="335"/>
  <c r="EX85" i="335"/>
  <c r="EW85" i="335"/>
  <c r="EW84" i="335"/>
  <c r="EW96" i="335"/>
  <c r="FZ96" i="335" s="1"/>
  <c r="EW88" i="335"/>
  <c r="EX89" i="335"/>
  <c r="EW311" i="335"/>
  <c r="EW286" i="335"/>
  <c r="EW89" i="335"/>
  <c r="DU95" i="338"/>
  <c r="DU57" i="338"/>
  <c r="EO21" i="11"/>
  <c r="EM35" i="338"/>
  <c r="EM37" i="338" s="1"/>
  <c r="EM394" i="338"/>
  <c r="FE266" i="338"/>
  <c r="FE73" i="335"/>
  <c r="FE74" i="335"/>
  <c r="FE272" i="338"/>
  <c r="FC72" i="335"/>
  <c r="FC260" i="338"/>
  <c r="FG259" i="338"/>
  <c r="FG260" i="338" s="1"/>
  <c r="GF438" i="338"/>
  <c r="GC429" i="338"/>
  <c r="DV15" i="338"/>
  <c r="CS225" i="338"/>
  <c r="CS226" i="338"/>
  <c r="CS230" i="338"/>
  <c r="CY225" i="338"/>
  <c r="CY226" i="338"/>
  <c r="EC389" i="338"/>
  <c r="EI389" i="338"/>
  <c r="DW389" i="338"/>
  <c r="DI34" i="11"/>
  <c r="CY120" i="11"/>
  <c r="DE124" i="11" s="1"/>
  <c r="DE128" i="11" s="1"/>
  <c r="CY109" i="11"/>
  <c r="CY113" i="11" s="1"/>
  <c r="CA109" i="11"/>
  <c r="CA120" i="11"/>
  <c r="CG109" i="11"/>
  <c r="DI61" i="11"/>
  <c r="DI16" i="338" s="1"/>
  <c r="DI162" i="338"/>
  <c r="CW121" i="11"/>
  <c r="DC110" i="11"/>
  <c r="DC114" i="11" s="1"/>
  <c r="CW362" i="335"/>
  <c r="CW360" i="335" s="1"/>
  <c r="CW110" i="11"/>
  <c r="CW115" i="11" s="1"/>
  <c r="FS14" i="11"/>
  <c r="CY358" i="335"/>
  <c r="CY356" i="335" s="1"/>
  <c r="CY323" i="338" s="1"/>
  <c r="CQ56" i="338"/>
  <c r="DE109" i="11"/>
  <c r="DE113" i="11" s="1"/>
  <c r="DH110" i="11"/>
  <c r="DH114" i="11" s="1"/>
  <c r="DH362" i="335"/>
  <c r="DH360" i="335" s="1"/>
  <c r="DH121" i="11"/>
  <c r="DN110" i="11"/>
  <c r="DN114" i="11" s="1"/>
  <c r="CY12" i="335"/>
  <c r="Y12" i="335"/>
  <c r="EM61" i="336"/>
  <c r="EL422" i="335"/>
  <c r="EF414" i="335"/>
  <c r="EG53" i="336"/>
  <c r="CF215" i="336"/>
  <c r="CG215" i="336" s="1"/>
  <c r="CE245" i="336"/>
  <c r="CE252" i="336" s="1"/>
  <c r="CF269" i="336"/>
  <c r="CF245" i="336" s="1"/>
  <c r="CF252" i="336" s="1"/>
  <c r="EK432" i="335"/>
  <c r="EL71" i="336"/>
  <c r="DI418" i="335"/>
  <c r="DJ57" i="336"/>
  <c r="DJ418" i="335" s="1"/>
  <c r="DG34" i="11"/>
  <c r="DQ106" i="11"/>
  <c r="DZ34" i="11"/>
  <c r="DH162" i="338"/>
  <c r="DO362" i="335"/>
  <c r="DO360" i="335" s="1"/>
  <c r="DO121" i="11"/>
  <c r="DU110" i="11"/>
  <c r="DU114" i="11" s="1"/>
  <c r="DO110" i="11"/>
  <c r="DK119" i="11"/>
  <c r="DK123" i="11" s="1"/>
  <c r="DK127" i="11" s="1"/>
  <c r="DK108" i="11"/>
  <c r="DK112" i="11" s="1"/>
  <c r="DE362" i="335"/>
  <c r="DE360" i="335" s="1"/>
  <c r="DE121" i="11"/>
  <c r="CE125" i="11"/>
  <c r="CE130" i="11" s="1"/>
  <c r="BY125" i="11"/>
  <c r="DU34" i="11"/>
  <c r="DZ162" i="338"/>
  <c r="DZ164" i="338" s="1"/>
  <c r="DZ61" i="11"/>
  <c r="DO34" i="11"/>
  <c r="DH34" i="11"/>
  <c r="S26" i="11"/>
  <c r="S39" i="11"/>
  <c r="S358" i="335"/>
  <c r="S356" i="335" s="1"/>
  <c r="S323" i="338" s="1"/>
  <c r="DE58" i="338"/>
  <c r="DU689" i="338"/>
  <c r="DU685" i="338"/>
  <c r="EM679" i="338"/>
  <c r="EM650" i="338"/>
  <c r="BI683" i="338"/>
  <c r="BI674" i="338"/>
  <c r="DJ684" i="338"/>
  <c r="DJ674" i="338"/>
  <c r="DH644" i="338"/>
  <c r="DH678" i="338"/>
  <c r="DH687" i="338" s="1"/>
  <c r="CX685" i="338"/>
  <c r="CX688" i="338"/>
  <c r="DO683" i="338"/>
  <c r="DO674" i="338"/>
  <c r="BR674" i="338"/>
  <c r="BR684" i="338"/>
  <c r="BR685" i="338" s="1"/>
  <c r="DZ689" i="338"/>
  <c r="DZ685" i="338"/>
  <c r="CR688" i="338"/>
  <c r="CR685" i="338"/>
  <c r="CR690" i="338" s="1"/>
  <c r="DV689" i="338"/>
  <c r="DV685" i="338"/>
  <c r="CA674" i="338"/>
  <c r="BS674" i="338"/>
  <c r="BS683" i="338"/>
  <c r="BS685" i="338" s="1"/>
  <c r="BZ683" i="338"/>
  <c r="BZ674" i="338"/>
  <c r="DG638" i="338"/>
  <c r="DG678" i="338"/>
  <c r="EA674" i="338"/>
  <c r="EA683" i="338"/>
  <c r="DM687" i="338"/>
  <c r="DM683" i="338"/>
  <c r="CK674" i="338"/>
  <c r="CK683" i="338"/>
  <c r="CW674" i="338"/>
  <c r="CY689" i="338"/>
  <c r="CW688" i="338"/>
  <c r="CW685" i="338"/>
  <c r="DG110" i="11"/>
  <c r="DG114" i="11" s="1"/>
  <c r="DG362" i="335"/>
  <c r="DG360" i="335" s="1"/>
  <c r="DM110" i="11"/>
  <c r="DM114" i="11" s="1"/>
  <c r="DG121" i="11"/>
  <c r="Y358" i="335"/>
  <c r="Y356" i="335" s="1"/>
  <c r="Y323" i="338" s="1"/>
  <c r="Y26" i="11"/>
  <c r="Y39" i="11"/>
  <c r="DO39" i="11"/>
  <c r="DQ109" i="11"/>
  <c r="DQ113" i="11" s="1"/>
  <c r="DK106" i="11"/>
  <c r="DK109" i="11"/>
  <c r="DK113" i="11" s="1"/>
  <c r="DK120" i="11"/>
  <c r="AE26" i="11"/>
  <c r="FM48" i="11"/>
  <c r="FM76" i="335"/>
  <c r="DU432" i="338"/>
  <c r="DU433" i="338"/>
  <c r="DE688" i="338"/>
  <c r="CV685" i="338"/>
  <c r="CV688" i="338"/>
  <c r="EC278" i="338"/>
  <c r="EH278" i="338"/>
  <c r="EB277" i="338"/>
  <c r="DN685" i="338"/>
  <c r="DN688" i="338"/>
  <c r="ER218" i="338"/>
  <c r="DD690" i="338"/>
  <c r="DD686" i="338"/>
  <c r="BU781" i="338"/>
  <c r="BU783" i="338"/>
  <c r="CA781" i="338"/>
  <c r="DE644" i="338"/>
  <c r="EH34" i="11"/>
  <c r="DH674" i="338"/>
  <c r="FM138" i="335"/>
  <c r="GB138" i="335"/>
  <c r="EC198" i="338"/>
  <c r="EI199" i="338" s="1"/>
  <c r="EI197" i="338"/>
  <c r="FE217" i="338"/>
  <c r="FE218" i="338" s="1"/>
  <c r="FK221" i="338"/>
  <c r="CS285" i="338"/>
  <c r="CS388" i="335"/>
  <c r="CY285" i="338"/>
  <c r="AW783" i="338"/>
  <c r="BC781" i="338"/>
  <c r="DV388" i="335"/>
  <c r="DV393" i="335" s="1"/>
  <c r="DW277" i="338"/>
  <c r="CL688" i="338"/>
  <c r="DA685" i="338"/>
  <c r="DA688" i="338"/>
  <c r="DS685" i="338"/>
  <c r="DS688" i="338"/>
  <c r="DB689" i="338"/>
  <c r="DB685" i="338"/>
  <c r="DT685" i="338"/>
  <c r="DT688" i="338"/>
  <c r="DP683" i="338"/>
  <c r="DP674" i="338"/>
  <c r="DQ388" i="335"/>
  <c r="DQ285" i="338"/>
  <c r="DC689" i="338"/>
  <c r="DC685" i="338"/>
  <c r="CO684" i="338"/>
  <c r="CO674" i="338"/>
  <c r="EZ390" i="335"/>
  <c r="FC319" i="338"/>
  <c r="FA319" i="338"/>
  <c r="CU683" i="338"/>
  <c r="CU674" i="338"/>
  <c r="DY687" i="338"/>
  <c r="DY683" i="338"/>
  <c r="EB488" i="338"/>
  <c r="EE489" i="338"/>
  <c r="DQ683" i="338"/>
  <c r="DQ674" i="338"/>
  <c r="DK674" i="338"/>
  <c r="DG684" i="338"/>
  <c r="DG674" i="338"/>
  <c r="EX217" i="338"/>
  <c r="FD219" i="338"/>
  <c r="FA219" i="338"/>
  <c r="FA220" i="338" s="1"/>
  <c r="DU61" i="11"/>
  <c r="DU16" i="338" s="1"/>
  <c r="CS683" i="338"/>
  <c r="CS674" i="338"/>
  <c r="FM766" i="338"/>
  <c r="EY283" i="338"/>
  <c r="DW688" i="338"/>
  <c r="DW685" i="338"/>
  <c r="CI715" i="338"/>
  <c r="CG685" i="338"/>
  <c r="CM683" i="338"/>
  <c r="CM674" i="338"/>
  <c r="BU273" i="336"/>
  <c r="CA301" i="338"/>
  <c r="BU301" i="338"/>
  <c r="EC181" i="338"/>
  <c r="EI182" i="338" s="1"/>
  <c r="EI180" i="338"/>
  <c r="EI181" i="338" s="1"/>
  <c r="DE12" i="335"/>
  <c r="R47" i="3"/>
  <c r="S47" i="3" s="1"/>
  <c r="Q49" i="3"/>
  <c r="X16" i="3"/>
  <c r="X76" i="3"/>
  <c r="AT398" i="335"/>
  <c r="AS398" i="335"/>
  <c r="AP85" i="3"/>
  <c r="AP99" i="3" s="1"/>
  <c r="AP32" i="3"/>
  <c r="BH382" i="335"/>
  <c r="BH144" i="336"/>
  <c r="BH145" i="336" s="1"/>
  <c r="BH31" i="3"/>
  <c r="BH85" i="3"/>
  <c r="BG145" i="336"/>
  <c r="DK26" i="11"/>
  <c r="DK32" i="11" s="1"/>
  <c r="DK358" i="335"/>
  <c r="DK356" i="335" s="1"/>
  <c r="DK323" i="338" s="1"/>
  <c r="DQ26" i="11"/>
  <c r="DQ32" i="11" s="1"/>
  <c r="S145" i="336"/>
  <c r="S139" i="336"/>
  <c r="S140" i="336" s="1"/>
  <c r="BN383" i="335"/>
  <c r="BN397" i="335" s="1"/>
  <c r="BS398" i="335" s="1"/>
  <c r="BN99" i="3"/>
  <c r="BN87" i="3"/>
  <c r="BS373" i="335"/>
  <c r="BN373" i="335"/>
  <c r="BO373" i="335" s="1"/>
  <c r="BQ373" i="335"/>
  <c r="BR373" i="335"/>
  <c r="BN105" i="3"/>
  <c r="BO12" i="3"/>
  <c r="BN142" i="336"/>
  <c r="BO142" i="336" s="1"/>
  <c r="BO137" i="336" s="1"/>
  <c r="AP398" i="335"/>
  <c r="CJ139" i="336"/>
  <c r="CJ140" i="336" s="1"/>
  <c r="CJ135" i="336"/>
  <c r="CK134" i="336"/>
  <c r="CK137" i="336" s="1"/>
  <c r="CJ137" i="336"/>
  <c r="CA105" i="3"/>
  <c r="CA99" i="3"/>
  <c r="BO76" i="3"/>
  <c r="BO105" i="3" s="1"/>
  <c r="BM87" i="3"/>
  <c r="BO87" i="3" s="1"/>
  <c r="BM373" i="335"/>
  <c r="BM383" i="335"/>
  <c r="BM105" i="3"/>
  <c r="BH99" i="3"/>
  <c r="EX398" i="335"/>
  <c r="ET398" i="335"/>
  <c r="AS110" i="3"/>
  <c r="AY110" i="3"/>
  <c r="AI105" i="3"/>
  <c r="AI373" i="335"/>
  <c r="AI87" i="3"/>
  <c r="AI383" i="335"/>
  <c r="AI45" i="3"/>
  <c r="BH105" i="3"/>
  <c r="BI76" i="3"/>
  <c r="BL373" i="335"/>
  <c r="BH87" i="3"/>
  <c r="BH373" i="335"/>
  <c r="BI373" i="335" s="1"/>
  <c r="BK373" i="335"/>
  <c r="BH383" i="335"/>
  <c r="DE358" i="335"/>
  <c r="DE356" i="335" s="1"/>
  <c r="DE323" i="338" s="1"/>
  <c r="DE26" i="11"/>
  <c r="DE32" i="11" s="1"/>
  <c r="AV142" i="336"/>
  <c r="AW142" i="336" s="1"/>
  <c r="AW137" i="336" s="1"/>
  <c r="AW12" i="3"/>
  <c r="DK24" i="11"/>
  <c r="DK30" i="11" s="1"/>
  <c r="DK355" i="335"/>
  <c r="DK322" i="338" s="1"/>
  <c r="DQ24" i="11"/>
  <c r="DQ30" i="11" s="1"/>
  <c r="W105" i="3"/>
  <c r="W87" i="3"/>
  <c r="W373" i="335"/>
  <c r="BB373" i="335"/>
  <c r="BC373" i="335" s="1"/>
  <c r="BE373" i="335"/>
  <c r="BB87" i="3"/>
  <c r="BC87" i="3" s="1"/>
  <c r="BB383" i="335"/>
  <c r="BB99" i="3"/>
  <c r="BC76" i="3"/>
  <c r="BC105" i="3" s="1"/>
  <c r="BB105" i="3"/>
  <c r="BF373" i="335"/>
  <c r="BG373" i="335"/>
  <c r="AQ84" i="3"/>
  <c r="AU110" i="3"/>
  <c r="BA110" i="3"/>
  <c r="AV36" i="3"/>
  <c r="AV95" i="3"/>
  <c r="AV99" i="3" s="1"/>
  <c r="BI87" i="3"/>
  <c r="BI85" i="3"/>
  <c r="BC358" i="335"/>
  <c r="BC356" i="335" s="1"/>
  <c r="BC323" i="338" s="1"/>
  <c r="BC39" i="11"/>
  <c r="W99" i="3"/>
  <c r="BG99" i="3"/>
  <c r="AP51" i="3"/>
  <c r="AQ51" i="3" s="1"/>
  <c r="AQ25" i="3"/>
  <c r="Y416" i="338"/>
  <c r="Y400" i="338"/>
  <c r="R103" i="3"/>
  <c r="U101" i="3" s="1"/>
  <c r="S99" i="3"/>
  <c r="S103" i="3" s="1"/>
  <c r="S33" i="3"/>
  <c r="R45" i="3"/>
  <c r="EO99" i="3"/>
  <c r="AP109" i="3"/>
  <c r="AC397" i="335"/>
  <c r="W45" i="3"/>
  <c r="AJ38" i="3"/>
  <c r="AJ95" i="3"/>
  <c r="EO77" i="3"/>
  <c r="EO105" i="3"/>
  <c r="EU77" i="3"/>
  <c r="BW398" i="335"/>
  <c r="BT398" i="335"/>
  <c r="AE139" i="336"/>
  <c r="AE140" i="336" s="1"/>
  <c r="AE145" i="336"/>
  <c r="Y67" i="3"/>
  <c r="BO31" i="3"/>
  <c r="BN33" i="3"/>
  <c r="BC12" i="3"/>
  <c r="BB142" i="336"/>
  <c r="AW95" i="3"/>
  <c r="AU99" i="3"/>
  <c r="BH9" i="3"/>
  <c r="BG25" i="3"/>
  <c r="BG51" i="3" s="1"/>
  <c r="BG114" i="3"/>
  <c r="BG115" i="3" s="1"/>
  <c r="BG106" i="3"/>
  <c r="BG109" i="3"/>
  <c r="BG110" i="3" s="1"/>
  <c r="BX110" i="3"/>
  <c r="BR110" i="3"/>
  <c r="AD105" i="3"/>
  <c r="AD373" i="335"/>
  <c r="AE373" i="335" s="1"/>
  <c r="AG373" i="335"/>
  <c r="AD99" i="3"/>
  <c r="AE99" i="3" s="1"/>
  <c r="AD383" i="335"/>
  <c r="AD397" i="335" s="1"/>
  <c r="AD87" i="3"/>
  <c r="AE87" i="3" s="1"/>
  <c r="AH373" i="335"/>
  <c r="DZ397" i="335"/>
  <c r="EC383" i="335"/>
  <c r="EC397" i="335" s="1"/>
  <c r="BY87" i="3"/>
  <c r="CA87" i="3" s="1"/>
  <c r="CD373" i="335"/>
  <c r="BZ373" i="335"/>
  <c r="CA373" i="335" s="1"/>
  <c r="BY373" i="335"/>
  <c r="BY383" i="335"/>
  <c r="BY99" i="3"/>
  <c r="CC373" i="335"/>
  <c r="BY105" i="3"/>
  <c r="AZ51" i="3"/>
  <c r="AZ45" i="3"/>
  <c r="BN24" i="3"/>
  <c r="BO24" i="3" s="1"/>
  <c r="BO417" i="338" s="1"/>
  <c r="DG61" i="11"/>
  <c r="DG16" i="338" s="1"/>
  <c r="DG162" i="338"/>
  <c r="X33" i="3"/>
  <c r="Y33" i="3" s="1"/>
  <c r="EC110" i="3"/>
  <c r="EI110" i="3"/>
  <c r="V109" i="3"/>
  <c r="V106" i="3"/>
  <c r="AB106" i="3"/>
  <c r="AJ19" i="3"/>
  <c r="AJ76" i="3"/>
  <c r="AW76" i="3"/>
  <c r="AW105" i="3" s="1"/>
  <c r="BA373" i="335"/>
  <c r="AV105" i="3"/>
  <c r="AV383" i="335"/>
  <c r="AZ373" i="335"/>
  <c r="AV373" i="335"/>
  <c r="AW373" i="335" s="1"/>
  <c r="AY373" i="335"/>
  <c r="AV87" i="3"/>
  <c r="AW87" i="3" s="1"/>
  <c r="AU398" i="335"/>
  <c r="AV25" i="3"/>
  <c r="AC109" i="3"/>
  <c r="AC106" i="3"/>
  <c r="AE418" i="338"/>
  <c r="AE400" i="338"/>
  <c r="AE401" i="338"/>
  <c r="AK148" i="336"/>
  <c r="R51" i="3"/>
  <c r="S51" i="3" s="1"/>
  <c r="S25" i="3"/>
  <c r="AQ85" i="3"/>
  <c r="AO99" i="3"/>
  <c r="BI83" i="3"/>
  <c r="BI382" i="335" s="1"/>
  <c r="BG45" i="3"/>
  <c r="AE16" i="3"/>
  <c r="AD25" i="3"/>
  <c r="DZ109" i="3"/>
  <c r="DZ106" i="3"/>
  <c r="DZ112" i="3"/>
  <c r="EF106" i="3"/>
  <c r="EC112" i="3"/>
  <c r="EB112" i="3"/>
  <c r="DZ108" i="3"/>
  <c r="EA112" i="3"/>
  <c r="EE112" i="3"/>
  <c r="CM139" i="336"/>
  <c r="CM140" i="336" s="1"/>
  <c r="CM145" i="336"/>
  <c r="BB14" i="3"/>
  <c r="BC14" i="3" s="1"/>
  <c r="BA25" i="3"/>
  <c r="BI38" i="3"/>
  <c r="BI41" i="3" s="1"/>
  <c r="BH41" i="3"/>
  <c r="EU385" i="338"/>
  <c r="EU399" i="335"/>
  <c r="BY134" i="336"/>
  <c r="BX137" i="336"/>
  <c r="BX135" i="336"/>
  <c r="BX139" i="336"/>
  <c r="BX140" i="336" s="1"/>
  <c r="BY137" i="336"/>
  <c r="Y76" i="3"/>
  <c r="Y105" i="3" s="1"/>
  <c r="AQ109" i="3"/>
  <c r="AE76" i="3"/>
  <c r="AE105" i="3" s="1"/>
  <c r="DI49" i="3"/>
  <c r="DJ47" i="3"/>
  <c r="DK47" i="3" s="1"/>
  <c r="CA45" i="3"/>
  <c r="AK92" i="3"/>
  <c r="BM99" i="3"/>
  <c r="AK95" i="3"/>
  <c r="AI99" i="3"/>
  <c r="EB34" i="11"/>
  <c r="DA18" i="338"/>
  <c r="DA96" i="338"/>
  <c r="DA97" i="338" s="1"/>
  <c r="DA55" i="338"/>
  <c r="DA54" i="338"/>
  <c r="CS266" i="336"/>
  <c r="CS271" i="336" s="1"/>
  <c r="CO266" i="336"/>
  <c r="CO271" i="336" s="1"/>
  <c r="CP266" i="336" s="1"/>
  <c r="CP271" i="336" s="1"/>
  <c r="CQ266" i="336" s="1"/>
  <c r="CQ271" i="336" s="1"/>
  <c r="CR266" i="336" s="1"/>
  <c r="CR271" i="336" s="1"/>
  <c r="AA395" i="338"/>
  <c r="DA164" i="338"/>
  <c r="DA507" i="338"/>
  <c r="CJ266" i="336"/>
  <c r="CJ271" i="336" s="1"/>
  <c r="CI246" i="336"/>
  <c r="CI253" i="336" s="1"/>
  <c r="CI285" i="336"/>
  <c r="CM281" i="336"/>
  <c r="CS276" i="336" s="1"/>
  <c r="AB395" i="338"/>
  <c r="EN434" i="335"/>
  <c r="EO434" i="335" s="1"/>
  <c r="EQ73" i="336"/>
  <c r="DG445" i="335"/>
  <c r="DH84" i="336"/>
  <c r="DD60" i="336"/>
  <c r="DC419" i="335"/>
  <c r="DC48" i="336"/>
  <c r="AT139" i="336"/>
  <c r="AT140" i="336" s="1"/>
  <c r="EH420" i="335"/>
  <c r="EI420" i="335" s="1"/>
  <c r="EK59" i="336"/>
  <c r="EF54" i="338"/>
  <c r="EF96" i="338"/>
  <c r="EF97" i="338" s="1"/>
  <c r="EF18" i="338"/>
  <c r="EF55" i="338"/>
  <c r="EF19" i="338"/>
  <c r="DG55" i="336"/>
  <c r="DD414" i="335"/>
  <c r="BG192" i="336"/>
  <c r="BG196" i="336" s="1"/>
  <c r="BG175" i="336"/>
  <c r="DT98" i="336"/>
  <c r="DU19" i="336"/>
  <c r="DT21" i="336"/>
  <c r="DJ64" i="336"/>
  <c r="DI425" i="335"/>
  <c r="EW428" i="335"/>
  <c r="EX67" i="336"/>
  <c r="EB162" i="338"/>
  <c r="EB61" i="11"/>
  <c r="EB16" i="338" s="1"/>
  <c r="EX82" i="336"/>
  <c r="EW443" i="335"/>
  <c r="AV139" i="336"/>
  <c r="AV140" i="336" s="1"/>
  <c r="FF23" i="3"/>
  <c r="FE74" i="3"/>
  <c r="ET437" i="335"/>
  <c r="EU437" i="335" s="1"/>
  <c r="EW76" i="336"/>
  <c r="ES449" i="335"/>
  <c r="ET88" i="336"/>
  <c r="BH185" i="336"/>
  <c r="BH173" i="336"/>
  <c r="BH187" i="336"/>
  <c r="BH178" i="336"/>
  <c r="EW424" i="335"/>
  <c r="EX63" i="336"/>
  <c r="ET333" i="338"/>
  <c r="EX440" i="335"/>
  <c r="EY79" i="336"/>
  <c r="AU139" i="336"/>
  <c r="AU140" i="336" s="1"/>
  <c r="AU137" i="336"/>
  <c r="EY452" i="335"/>
  <c r="EZ91" i="336"/>
  <c r="EC391" i="338"/>
  <c r="EI391" i="338"/>
  <c r="ER441" i="335"/>
  <c r="ES80" i="336"/>
  <c r="FE19" i="336"/>
  <c r="FD29" i="3"/>
  <c r="FD81" i="3" s="1"/>
  <c r="FD30" i="3"/>
  <c r="FD82" i="3" s="1"/>
  <c r="EX436" i="335"/>
  <c r="EY75" i="336"/>
  <c r="DS99" i="336"/>
  <c r="EU332" i="338"/>
  <c r="EU333" i="338" s="1"/>
  <c r="ES333" i="338"/>
  <c r="BA351" i="335"/>
  <c r="BA189" i="335"/>
  <c r="BA324" i="335"/>
  <c r="BE371" i="335"/>
  <c r="BB324" i="335"/>
  <c r="BF371" i="335"/>
  <c r="BG299" i="335"/>
  <c r="DC371" i="335"/>
  <c r="DC189" i="335"/>
  <c r="DC351" i="335"/>
  <c r="DC324" i="335"/>
  <c r="AS219" i="335"/>
  <c r="AS220" i="335"/>
  <c r="AS221" i="335" s="1"/>
  <c r="FL68" i="335"/>
  <c r="FL69" i="335"/>
  <c r="FL135" i="335"/>
  <c r="FM135" i="335" s="1"/>
  <c r="FI458" i="335"/>
  <c r="FI460" i="335"/>
  <c r="FJ185" i="335"/>
  <c r="FA288" i="335"/>
  <c r="FA46" i="11"/>
  <c r="FA55" i="11" s="1"/>
  <c r="FJ64" i="335"/>
  <c r="AQ368" i="335"/>
  <c r="AQ170" i="335"/>
  <c r="AQ389" i="338" s="1"/>
  <c r="AQ350" i="335"/>
  <c r="AW298" i="335"/>
  <c r="GD429" i="338"/>
  <c r="GF480" i="338"/>
  <c r="ER625" i="338"/>
  <c r="FI57" i="335"/>
  <c r="FI58" i="335"/>
  <c r="BC184" i="335"/>
  <c r="BC185" i="335" s="1"/>
  <c r="AY187" i="335"/>
  <c r="BA371" i="335" s="1"/>
  <c r="ET432" i="338"/>
  <c r="ET433" i="338"/>
  <c r="AN218" i="335"/>
  <c r="AN217" i="335"/>
  <c r="AN184" i="335" s="1"/>
  <c r="EA351" i="335"/>
  <c r="EA189" i="335"/>
  <c r="EB324" i="335"/>
  <c r="V395" i="338"/>
  <c r="DW55" i="11"/>
  <c r="EC55" i="11"/>
  <c r="DH213" i="335"/>
  <c r="EA217" i="335"/>
  <c r="EA218" i="335"/>
  <c r="EM395" i="338"/>
  <c r="ER621" i="338"/>
  <c r="ER622" i="338" s="1"/>
  <c r="ER623" i="338" s="1"/>
  <c r="ER395" i="338"/>
  <c r="DC375" i="335"/>
  <c r="DC458" i="335"/>
  <c r="DC199" i="335"/>
  <c r="DC461" i="335"/>
  <c r="DC503" i="338"/>
  <c r="DC459" i="335"/>
  <c r="DC460" i="335"/>
  <c r="DC114" i="3"/>
  <c r="FL56" i="335"/>
  <c r="FL108" i="338"/>
  <c r="FL110" i="338" s="1"/>
  <c r="FL99" i="338"/>
  <c r="EW55" i="11"/>
  <c r="CK219" i="335"/>
  <c r="CK9" i="3"/>
  <c r="CK230" i="336"/>
  <c r="CK207" i="336"/>
  <c r="CK184" i="336" s="1"/>
  <c r="CK220" i="335"/>
  <c r="DA201" i="335"/>
  <c r="DA202" i="335" s="1"/>
  <c r="DA200" i="335"/>
  <c r="DA462" i="335"/>
  <c r="DA208" i="335" s="1"/>
  <c r="DA209" i="335" s="1"/>
  <c r="AE182" i="335"/>
  <c r="EG688" i="338"/>
  <c r="EG685" i="338"/>
  <c r="FG68" i="335"/>
  <c r="EH96" i="338"/>
  <c r="EH54" i="338"/>
  <c r="EH19" i="338"/>
  <c r="EH18" i="338"/>
  <c r="ER653" i="338"/>
  <c r="ER651" i="338" s="1"/>
  <c r="ER671" i="338"/>
  <c r="ER669" i="338" s="1"/>
  <c r="ER668" i="338" s="1"/>
  <c r="ER641" i="338"/>
  <c r="ER639" i="338" s="1"/>
  <c r="ER638" i="338" s="1"/>
  <c r="ER647" i="338"/>
  <c r="ER645" i="338" s="1"/>
  <c r="ER644" i="338" s="1"/>
  <c r="ER665" i="338"/>
  <c r="ER663" i="338" s="1"/>
  <c r="ER662" i="338" s="1"/>
  <c r="ER635" i="338"/>
  <c r="ER633" i="338" s="1"/>
  <c r="ER632" i="338" s="1"/>
  <c r="ER659" i="338"/>
  <c r="ER657" i="338" s="1"/>
  <c r="ER656" i="338" s="1"/>
  <c r="FM67" i="335"/>
  <c r="EO326" i="338"/>
  <c r="DB217" i="335"/>
  <c r="DB218" i="335"/>
  <c r="EA459" i="335"/>
  <c r="EA375" i="335"/>
  <c r="EA114" i="3"/>
  <c r="EA199" i="335"/>
  <c r="EA460" i="335"/>
  <c r="EA461" i="335"/>
  <c r="EA458" i="335"/>
  <c r="EF684" i="338"/>
  <c r="AK54" i="335"/>
  <c r="AQ53" i="335"/>
  <c r="AK53" i="335"/>
  <c r="BE13" i="338"/>
  <c r="BB17" i="338"/>
  <c r="BB18" i="338" s="1"/>
  <c r="BB13" i="338"/>
  <c r="EB689" i="338"/>
  <c r="EB685" i="338"/>
  <c r="EH162" i="338"/>
  <c r="FF103" i="336"/>
  <c r="FA103" i="336"/>
  <c r="EZ413" i="338"/>
  <c r="FA413" i="338" s="1"/>
  <c r="GA180" i="335"/>
  <c r="BS190" i="335"/>
  <c r="BS237" i="336"/>
  <c r="BS300" i="335"/>
  <c r="FL12" i="336"/>
  <c r="FM12" i="336" s="1"/>
  <c r="AC215" i="335"/>
  <c r="AC213" i="335"/>
  <c r="EL676" i="338"/>
  <c r="EL625" i="338"/>
  <c r="GB135" i="335"/>
  <c r="GB136" i="335" s="1"/>
  <c r="FF129" i="335"/>
  <c r="FF130" i="335" s="1"/>
  <c r="BA217" i="335"/>
  <c r="BA218" i="335"/>
  <c r="AT394" i="338"/>
  <c r="EE229" i="335"/>
  <c r="EF228" i="335"/>
  <c r="S118" i="336"/>
  <c r="S395" i="338" s="1"/>
  <c r="R395" i="338"/>
  <c r="FK57" i="335"/>
  <c r="FK58" i="335"/>
  <c r="BU162" i="338"/>
  <c r="FM100" i="338"/>
  <c r="FM61" i="335"/>
  <c r="AE368" i="335"/>
  <c r="AE298" i="335"/>
  <c r="AE170" i="335"/>
  <c r="AE389" i="338" s="1"/>
  <c r="AE350" i="335"/>
  <c r="ER626" i="338"/>
  <c r="FJ58" i="335"/>
  <c r="FJ57" i="335"/>
  <c r="EB209" i="336"/>
  <c r="EC209" i="336" s="1"/>
  <c r="EC229" i="335"/>
  <c r="AB325" i="335"/>
  <c r="BC215" i="335"/>
  <c r="AY217" i="335"/>
  <c r="AY218" i="335"/>
  <c r="AQ182" i="335"/>
  <c r="AP215" i="335"/>
  <c r="AP213" i="335"/>
  <c r="FF74" i="11"/>
  <c r="FA74" i="11"/>
  <c r="FA78" i="11" s="1"/>
  <c r="EZ78" i="11"/>
  <c r="EZ82" i="11" s="1"/>
  <c r="BL217" i="335"/>
  <c r="BL185" i="335" s="1"/>
  <c r="BL218" i="335"/>
  <c r="Y96" i="335"/>
  <c r="AE286" i="335"/>
  <c r="AE88" i="335"/>
  <c r="BU54" i="335"/>
  <c r="BU53" i="335"/>
  <c r="CA53" i="335"/>
  <c r="ER681" i="338"/>
  <c r="EL681" i="338"/>
  <c r="CX202" i="335"/>
  <c r="CX203" i="335" s="1"/>
  <c r="EU395" i="338"/>
  <c r="FI179" i="335"/>
  <c r="FG179" i="335"/>
  <c r="EB219" i="335"/>
  <c r="EB220" i="335"/>
  <c r="EB207" i="336"/>
  <c r="DK331" i="338"/>
  <c r="DE331" i="338"/>
  <c r="DK333" i="338"/>
  <c r="DA333" i="338"/>
  <c r="DE332" i="338"/>
  <c r="DE333" i="338" s="1"/>
  <c r="FK31" i="335"/>
  <c r="FK116" i="335"/>
  <c r="FK166" i="338"/>
  <c r="FK167" i="338" s="1"/>
  <c r="FC28" i="335"/>
  <c r="FI26" i="335"/>
  <c r="FC35" i="335"/>
  <c r="FC32" i="335"/>
  <c r="FD28" i="335"/>
  <c r="FC113" i="335"/>
  <c r="FG26" i="335"/>
  <c r="FG27" i="335" s="1"/>
  <c r="EW466" i="338"/>
  <c r="EX468" i="338" s="1"/>
  <c r="EW79" i="335"/>
  <c r="EW20" i="335"/>
  <c r="EW37" i="335"/>
  <c r="EW36" i="335"/>
  <c r="FA35" i="335"/>
  <c r="FZ35" i="335"/>
  <c r="FZ36" i="335" s="1"/>
  <c r="EX37" i="335"/>
  <c r="CC499" i="338"/>
  <c r="CC238" i="336"/>
  <c r="CI221" i="335"/>
  <c r="BI238" i="336"/>
  <c r="FK73" i="335"/>
  <c r="FL266" i="338"/>
  <c r="BT482" i="338"/>
  <c r="BT481" i="338"/>
  <c r="EQ432" i="338"/>
  <c r="ER433" i="338"/>
  <c r="EQ160" i="338"/>
  <c r="EQ113" i="338"/>
  <c r="EQ113" i="336"/>
  <c r="EQ122" i="336"/>
  <c r="EQ392" i="335"/>
  <c r="EQ111" i="336"/>
  <c r="EQ112" i="336"/>
  <c r="EQ394" i="338" s="1"/>
  <c r="EQ369" i="335"/>
  <c r="EQ145" i="336"/>
  <c r="EQ21" i="11"/>
  <c r="EQ38" i="11"/>
  <c r="EQ37" i="11"/>
  <c r="EQ27" i="11"/>
  <c r="FD12" i="336"/>
  <c r="FD129" i="335"/>
  <c r="FD130" i="335" s="1"/>
  <c r="FA114" i="335"/>
  <c r="EO54" i="11"/>
  <c r="EU54" i="11"/>
  <c r="FM228" i="335"/>
  <c r="EK607" i="338"/>
  <c r="EK615" i="338"/>
  <c r="EK616" i="338" s="1"/>
  <c r="EK621" i="338" s="1"/>
  <c r="EK622" i="338" s="1"/>
  <c r="EK623" i="338" s="1"/>
  <c r="EK681" i="338"/>
  <c r="BI351" i="335"/>
  <c r="BI223" i="336"/>
  <c r="BI229" i="336"/>
  <c r="BH300" i="335"/>
  <c r="BH325" i="335"/>
  <c r="BH190" i="335"/>
  <c r="BH372" i="335"/>
  <c r="BI372" i="335" s="1"/>
  <c r="FA119" i="336"/>
  <c r="DE214" i="335"/>
  <c r="AS300" i="335"/>
  <c r="S96" i="335"/>
  <c r="Y286" i="335"/>
  <c r="S286" i="335"/>
  <c r="S88" i="335"/>
  <c r="Y88" i="335"/>
  <c r="FF180" i="335"/>
  <c r="ES187" i="335"/>
  <c r="ES185" i="335"/>
  <c r="BI236" i="335"/>
  <c r="BI239" i="336" s="1"/>
  <c r="BI231" i="336"/>
  <c r="BI232" i="336" s="1"/>
  <c r="BI235" i="335"/>
  <c r="FL260" i="338"/>
  <c r="FL72" i="335"/>
  <c r="FJ72" i="335"/>
  <c r="FJ260" i="338"/>
  <c r="FK260" i="338"/>
  <c r="FK72" i="335"/>
  <c r="EK676" i="338"/>
  <c r="EK625" i="338"/>
  <c r="ES111" i="336"/>
  <c r="ES122" i="336"/>
  <c r="ES113" i="336"/>
  <c r="ES392" i="335"/>
  <c r="ES112" i="336"/>
  <c r="ES145" i="336"/>
  <c r="ES369" i="335"/>
  <c r="ER111" i="336"/>
  <c r="ER113" i="336"/>
  <c r="ER112" i="336"/>
  <c r="ER392" i="335"/>
  <c r="ER122" i="336"/>
  <c r="ER145" i="336"/>
  <c r="ER369" i="335"/>
  <c r="ET111" i="336"/>
  <c r="EU111" i="336" s="1"/>
  <c r="ET122" i="336"/>
  <c r="ET112" i="336"/>
  <c r="ET113" i="336"/>
  <c r="EU113" i="336" s="1"/>
  <c r="ET392" i="335"/>
  <c r="ET394" i="335"/>
  <c r="ET145" i="336"/>
  <c r="EU365" i="335"/>
  <c r="ET369" i="335"/>
  <c r="EQ328" i="338"/>
  <c r="EU327" i="338"/>
  <c r="EU328" i="338" s="1"/>
  <c r="EW124" i="335"/>
  <c r="FA122" i="335"/>
  <c r="EW107" i="335"/>
  <c r="DC207" i="336"/>
  <c r="DC184" i="336" s="1"/>
  <c r="DC220" i="335"/>
  <c r="DC219" i="335"/>
  <c r="EN613" i="338"/>
  <c r="EN652" i="338"/>
  <c r="EN646" i="338"/>
  <c r="EN658" i="338"/>
  <c r="EN606" i="338"/>
  <c r="EN664" i="338"/>
  <c r="EN634" i="338"/>
  <c r="EN670" i="338"/>
  <c r="EN640" i="338"/>
  <c r="EN628" i="338"/>
  <c r="CI203" i="335"/>
  <c r="DH176" i="335"/>
  <c r="FS176" i="335" s="1"/>
  <c r="DI180" i="335"/>
  <c r="FF119" i="335"/>
  <c r="FF120" i="335" s="1"/>
  <c r="FF107" i="335"/>
  <c r="FF20" i="335"/>
  <c r="FF33" i="335"/>
  <c r="FA118" i="336"/>
  <c r="FF118" i="336"/>
  <c r="EZ395" i="338"/>
  <c r="FI167" i="338"/>
  <c r="EO56" i="11"/>
  <c r="EU56" i="11"/>
  <c r="FI53" i="338"/>
  <c r="FI39" i="338"/>
  <c r="BI375" i="335"/>
  <c r="FG30" i="335"/>
  <c r="FE167" i="338"/>
  <c r="FG166" i="338"/>
  <c r="FG167" i="338" s="1"/>
  <c r="CQ184" i="336"/>
  <c r="EU49" i="11"/>
  <c r="EU58" i="11" s="1"/>
  <c r="EU337" i="335"/>
  <c r="EU328" i="335"/>
  <c r="EU346" i="335"/>
  <c r="EU92" i="335"/>
  <c r="EU342" i="335"/>
  <c r="EU339" i="335"/>
  <c r="EU15" i="11"/>
  <c r="EU143" i="335"/>
  <c r="EU343" i="335"/>
  <c r="EU154" i="335"/>
  <c r="EU331" i="335"/>
  <c r="EU338" i="335"/>
  <c r="EU151" i="335"/>
  <c r="EU114" i="338"/>
  <c r="EU718" i="338"/>
  <c r="EU336" i="335"/>
  <c r="EU290" i="335"/>
  <c r="EU341" i="335"/>
  <c r="EU348" i="335"/>
  <c r="EU157" i="335"/>
  <c r="EU347" i="335"/>
  <c r="EU345" i="335"/>
  <c r="EQ326" i="338"/>
  <c r="FJ129" i="335"/>
  <c r="FJ130" i="335" s="1"/>
  <c r="FJ12" i="336"/>
  <c r="EO317" i="338"/>
  <c r="EU317" i="338"/>
  <c r="Q217" i="335"/>
  <c r="Q184" i="335" s="1"/>
  <c r="S215" i="335"/>
  <c r="S217" i="335" s="1"/>
  <c r="Q218" i="335"/>
  <c r="FL80" i="335"/>
  <c r="DO179" i="335"/>
  <c r="DO213" i="335"/>
  <c r="DG182" i="335"/>
  <c r="DG214" i="335"/>
  <c r="FJ118" i="336"/>
  <c r="FM29" i="335"/>
  <c r="FM30" i="335" s="1"/>
  <c r="FI229" i="338"/>
  <c r="FI224" i="338"/>
  <c r="FI230" i="338" s="1"/>
  <c r="FI123" i="11"/>
  <c r="FI127" i="11" s="1"/>
  <c r="DK88" i="335"/>
  <c r="FG116" i="335"/>
  <c r="FG117" i="335" s="1"/>
  <c r="FA116" i="336"/>
  <c r="FF116" i="336"/>
  <c r="CQ499" i="338"/>
  <c r="CQ221" i="335"/>
  <c r="CC208" i="336"/>
  <c r="CC210" i="336" s="1"/>
  <c r="CC211" i="336" s="1"/>
  <c r="CC183" i="336"/>
  <c r="CC235" i="335"/>
  <c r="CC236" i="335"/>
  <c r="CC231" i="336"/>
  <c r="CC232" i="336" s="1"/>
  <c r="FJ74" i="335"/>
  <c r="FJ272" i="338"/>
  <c r="FL74" i="335"/>
  <c r="FL272" i="338"/>
  <c r="FJ266" i="338"/>
  <c r="FJ73" i="335"/>
  <c r="EQ676" i="338"/>
  <c r="EQ625" i="338"/>
  <c r="DH61" i="11"/>
  <c r="DH16" i="338" s="1"/>
  <c r="EQ169" i="335"/>
  <c r="EQ144" i="335"/>
  <c r="FY143" i="335"/>
  <c r="FY144" i="335" s="1"/>
  <c r="ER101" i="335"/>
  <c r="EQ206" i="335"/>
  <c r="EQ100" i="335"/>
  <c r="EQ101" i="335"/>
  <c r="FY99" i="335"/>
  <c r="EU99" i="335"/>
  <c r="EU100" i="335" s="1"/>
  <c r="EX104" i="335"/>
  <c r="EX124" i="335"/>
  <c r="EX107" i="335"/>
  <c r="EX108" i="335" s="1"/>
  <c r="BG325" i="335"/>
  <c r="BG300" i="335"/>
  <c r="BG190" i="335"/>
  <c r="BM190" i="335"/>
  <c r="BG372" i="335"/>
  <c r="BM300" i="335"/>
  <c r="BI189" i="335"/>
  <c r="FT179" i="335"/>
  <c r="FS180" i="335"/>
  <c r="W217" i="335"/>
  <c r="W184" i="335" s="1"/>
  <c r="W218" i="335"/>
  <c r="FF80" i="335"/>
  <c r="FL32" i="335"/>
  <c r="FL166" i="338"/>
  <c r="FL167" i="338" s="1"/>
  <c r="FL31" i="335"/>
  <c r="FL116" i="335"/>
  <c r="BI12" i="335"/>
  <c r="BW125" i="11"/>
  <c r="CC125" i="11"/>
  <c r="CC130" i="11" s="1"/>
  <c r="EG54" i="338"/>
  <c r="EG18" i="338"/>
  <c r="EG96" i="338"/>
  <c r="EG19" i="338"/>
  <c r="BI39" i="11"/>
  <c r="BI358" i="335"/>
  <c r="BI356" i="335" s="1"/>
  <c r="BI323" i="338" s="1"/>
  <c r="BI26" i="11"/>
  <c r="CA40" i="338"/>
  <c r="CA123" i="11"/>
  <c r="CA127" i="11"/>
  <c r="CG123" i="11"/>
  <c r="ES218" i="335"/>
  <c r="ES217" i="335"/>
  <c r="BG139" i="336"/>
  <c r="BG140" i="336" s="1"/>
  <c r="BG137" i="336"/>
  <c r="FG36" i="3"/>
  <c r="FF90" i="3"/>
  <c r="EX72" i="336"/>
  <c r="EW433" i="335"/>
  <c r="FJ145" i="336"/>
  <c r="BZ266" i="336"/>
  <c r="BZ271" i="336" s="1"/>
  <c r="BZ246" i="336" s="1"/>
  <c r="BZ253" i="336" s="1"/>
  <c r="BY246" i="336"/>
  <c r="BY253" i="336" s="1"/>
  <c r="FK413" i="338"/>
  <c r="BL137" i="336"/>
  <c r="BL139" i="336"/>
  <c r="BL140" i="336" s="1"/>
  <c r="BM139" i="336"/>
  <c r="BM140" i="336" s="1"/>
  <c r="BM137" i="336"/>
  <c r="FK9" i="336"/>
  <c r="BH139" i="336"/>
  <c r="BH140" i="336" s="1"/>
  <c r="BH137" i="336"/>
  <c r="EW438" i="335"/>
  <c r="EX77" i="336"/>
  <c r="DB18" i="338"/>
  <c r="DB54" i="338"/>
  <c r="DB96" i="338"/>
  <c r="DB55" i="338"/>
  <c r="EF65" i="336"/>
  <c r="EE426" i="335"/>
  <c r="EY89" i="336"/>
  <c r="EX450" i="335"/>
  <c r="DJ62" i="336"/>
  <c r="DI423" i="335"/>
  <c r="DW333" i="338"/>
  <c r="EA55" i="338"/>
  <c r="EA109" i="338"/>
  <c r="EA110" i="338" s="1"/>
  <c r="EA18" i="338"/>
  <c r="EA19" i="338"/>
  <c r="EA96" i="338"/>
  <c r="EA54" i="338"/>
  <c r="DI446" i="335"/>
  <c r="DJ85" i="336"/>
  <c r="DB164" i="338"/>
  <c r="DB507" i="338"/>
  <c r="EK430" i="335"/>
  <c r="EL69" i="336"/>
  <c r="BZ244" i="336"/>
  <c r="BZ251" i="336" s="1"/>
  <c r="BZ243" i="336"/>
  <c r="BZ250" i="336" s="1"/>
  <c r="BF137" i="336"/>
  <c r="FE74" i="336"/>
  <c r="FD435" i="335"/>
  <c r="CD246" i="336"/>
  <c r="CD253" i="336" s="1"/>
  <c r="CE266" i="336"/>
  <c r="CE271" i="336" s="1"/>
  <c r="FM176" i="336"/>
  <c r="FK26" i="336"/>
  <c r="FK20" i="336"/>
  <c r="DP125" i="11"/>
  <c r="DP129" i="11" s="1"/>
  <c r="BF139" i="336"/>
  <c r="BF140" i="336" s="1"/>
  <c r="BN137" i="336"/>
  <c r="BN139" i="336"/>
  <c r="BN140" i="336" s="1"/>
  <c r="CF270" i="336"/>
  <c r="CF244" i="336" s="1"/>
  <c r="CF251" i="336" s="1"/>
  <c r="CE244" i="336"/>
  <c r="CE251" i="336" s="1"/>
  <c r="FK90" i="3"/>
  <c r="FL36" i="3"/>
  <c r="FE13" i="336"/>
  <c r="FM414" i="335"/>
  <c r="DW123" i="11"/>
  <c r="DW127" i="11" s="1"/>
  <c r="CY362" i="335"/>
  <c r="CY360" i="335" s="1"/>
  <c r="CY121" i="11"/>
  <c r="CY110" i="11"/>
  <c r="CY114" i="11" s="1"/>
  <c r="DE110" i="11"/>
  <c r="DE114" i="11" s="1"/>
  <c r="CY40" i="338"/>
  <c r="CY123" i="11"/>
  <c r="FS48" i="11"/>
  <c r="FS66" i="11" s="1"/>
  <c r="DE123" i="11"/>
  <c r="DE127" i="11" s="1"/>
  <c r="CY112" i="11"/>
  <c r="FS60" i="11" s="1"/>
  <c r="FS54" i="11"/>
  <c r="EH39" i="11" l="1"/>
  <c r="CI60" i="3"/>
  <c r="CI76" i="3" s="1"/>
  <c r="CJ60" i="3"/>
  <c r="CJ76" i="3" s="1"/>
  <c r="CI25" i="3"/>
  <c r="EB95" i="338"/>
  <c r="EB57" i="338"/>
  <c r="EF675" i="338"/>
  <c r="AW182" i="335"/>
  <c r="EN33" i="11"/>
  <c r="EN67" i="11" s="1"/>
  <c r="EN61" i="11" s="1"/>
  <c r="EN16" i="338" s="1"/>
  <c r="EN162" i="338"/>
  <c r="EN164" i="338" s="1"/>
  <c r="EI762" i="338"/>
  <c r="EI757" i="338"/>
  <c r="EI719" i="338"/>
  <c r="EH628" i="338"/>
  <c r="EH627" i="338" s="1"/>
  <c r="EH658" i="338"/>
  <c r="EH657" i="338" s="1"/>
  <c r="EH656" i="338" s="1"/>
  <c r="EH646" i="338"/>
  <c r="EH645" i="338" s="1"/>
  <c r="EH644" i="338" s="1"/>
  <c r="EH670" i="338"/>
  <c r="EH669" i="338" s="1"/>
  <c r="EH668" i="338" s="1"/>
  <c r="EH634" i="338"/>
  <c r="EH633" i="338" s="1"/>
  <c r="EH632" i="338" s="1"/>
  <c r="EH613" i="338"/>
  <c r="EH681" i="338" s="1"/>
  <c r="EH606" i="338"/>
  <c r="EH652" i="338"/>
  <c r="EH651" i="338" s="1"/>
  <c r="EH640" i="338"/>
  <c r="EH639" i="338" s="1"/>
  <c r="EH638" i="338" s="1"/>
  <c r="EH664" i="338"/>
  <c r="EH663" i="338" s="1"/>
  <c r="EH662" i="338" s="1"/>
  <c r="EF607" i="338"/>
  <c r="EF615" i="338"/>
  <c r="EF616" i="338" s="1"/>
  <c r="EF621" i="338" s="1"/>
  <c r="EF622" i="338" s="1"/>
  <c r="EF623" i="338" s="1"/>
  <c r="V218" i="335"/>
  <c r="V217" i="335"/>
  <c r="V184" i="335" s="1"/>
  <c r="AK112" i="336"/>
  <c r="AJ394" i="338"/>
  <c r="AK314" i="338"/>
  <c r="AK401" i="338"/>
  <c r="AK392" i="335"/>
  <c r="AK394" i="335"/>
  <c r="AK315" i="338"/>
  <c r="AK393" i="335"/>
  <c r="AK316" i="338"/>
  <c r="EH53" i="338"/>
  <c r="EH55" i="338" s="1"/>
  <c r="EH39" i="338"/>
  <c r="AT213" i="335"/>
  <c r="AT215" i="335"/>
  <c r="EQ433" i="338"/>
  <c r="AK160" i="338"/>
  <c r="AK163" i="338" s="1"/>
  <c r="AK164" i="338" s="1"/>
  <c r="AK113" i="338"/>
  <c r="AQ113" i="338"/>
  <c r="CI512" i="338"/>
  <c r="CI499" i="338"/>
  <c r="GB481" i="338" s="1"/>
  <c r="EI333" i="338"/>
  <c r="AM394" i="338"/>
  <c r="J215" i="335"/>
  <c r="J213" i="335"/>
  <c r="AH163" i="338"/>
  <c r="AH164" i="338" s="1"/>
  <c r="AH161" i="338"/>
  <c r="AI161" i="338"/>
  <c r="EN433" i="338"/>
  <c r="EN432" i="338"/>
  <c r="BX218" i="335"/>
  <c r="BX217" i="335"/>
  <c r="BX185" i="335" s="1"/>
  <c r="EH43" i="335"/>
  <c r="EH330" i="335"/>
  <c r="EH120" i="11"/>
  <c r="EH124" i="11" s="1"/>
  <c r="EH128" i="11" s="1"/>
  <c r="EH58" i="338"/>
  <c r="EH280" i="335"/>
  <c r="EK305" i="335"/>
  <c r="EH725" i="338"/>
  <c r="EH721" i="338" s="1"/>
  <c r="EH734" i="338" s="1"/>
  <c r="EK44" i="335"/>
  <c r="EH104" i="11"/>
  <c r="EH108" i="11" s="1"/>
  <c r="EH112" i="11" s="1"/>
  <c r="EH123" i="11"/>
  <c r="EH127" i="11" s="1"/>
  <c r="AZ299" i="335"/>
  <c r="AT189" i="335"/>
  <c r="AT351" i="335"/>
  <c r="EH163" i="338"/>
  <c r="EH164" i="338" s="1"/>
  <c r="EH161" i="338"/>
  <c r="EN453" i="338"/>
  <c r="EN454" i="338"/>
  <c r="EI37" i="11"/>
  <c r="EI38" i="11"/>
  <c r="EI27" i="11"/>
  <c r="EI160" i="338"/>
  <c r="EI163" i="338" s="1"/>
  <c r="EI113" i="338"/>
  <c r="EF678" i="338"/>
  <c r="EF687" i="338" s="1"/>
  <c r="EF650" i="338"/>
  <c r="AQ163" i="338"/>
  <c r="AQ164" i="338" s="1"/>
  <c r="EN119" i="11"/>
  <c r="EQ41" i="335"/>
  <c r="EN40" i="338"/>
  <c r="EN228" i="338"/>
  <c r="EN229" i="338" s="1"/>
  <c r="EQ304" i="335"/>
  <c r="EN329" i="335"/>
  <c r="EN279" i="335"/>
  <c r="ET39" i="335"/>
  <c r="EN723" i="338"/>
  <c r="EN42" i="335"/>
  <c r="FA93" i="11"/>
  <c r="AK38" i="11"/>
  <c r="AK37" i="11"/>
  <c r="AQ27" i="11"/>
  <c r="AK27" i="11"/>
  <c r="CI208" i="336"/>
  <c r="CI183" i="336"/>
  <c r="EB75" i="11"/>
  <c r="EB351" i="338"/>
  <c r="AH350" i="335"/>
  <c r="AH182" i="335"/>
  <c r="AH170" i="335"/>
  <c r="AN298" i="335"/>
  <c r="AH212" i="335"/>
  <c r="AH298" i="335"/>
  <c r="AM368" i="335"/>
  <c r="AI323" i="335"/>
  <c r="AK169" i="335"/>
  <c r="AH323" i="335"/>
  <c r="AJ368" i="335"/>
  <c r="AH39" i="11"/>
  <c r="AN26" i="11"/>
  <c r="AH26" i="11"/>
  <c r="AK14" i="11"/>
  <c r="AH358" i="335"/>
  <c r="AH356" i="335" s="1"/>
  <c r="AH12" i="335"/>
  <c r="AK12" i="335" s="1"/>
  <c r="AK394" i="338"/>
  <c r="EI385" i="335"/>
  <c r="EQ454" i="338"/>
  <c r="EK39" i="11"/>
  <c r="EY217" i="335"/>
  <c r="AD213" i="335"/>
  <c r="ER124" i="11"/>
  <c r="ER128" i="11" s="1"/>
  <c r="EO176" i="335"/>
  <c r="AS190" i="335"/>
  <c r="BS240" i="336"/>
  <c r="CP685" i="338"/>
  <c r="CP690" i="338" s="1"/>
  <c r="AM190" i="335"/>
  <c r="FC230" i="338"/>
  <c r="ES684" i="338"/>
  <c r="ES689" i="338" s="1"/>
  <c r="EX432" i="338"/>
  <c r="EK33" i="11"/>
  <c r="EK67" i="11" s="1"/>
  <c r="EK163" i="338"/>
  <c r="EK161" i="338"/>
  <c r="EO333" i="338"/>
  <c r="FC74" i="11"/>
  <c r="EW78" i="11"/>
  <c r="EW82" i="11" s="1"/>
  <c r="EW104" i="11"/>
  <c r="EW108" i="11" s="1"/>
  <c r="EW112" i="11" s="1"/>
  <c r="FY100" i="335"/>
  <c r="EU325" i="338"/>
  <c r="ER684" i="338"/>
  <c r="AE212" i="335"/>
  <c r="AE213" i="335" s="1"/>
  <c r="EK182" i="335"/>
  <c r="EK350" i="335"/>
  <c r="EK171" i="335"/>
  <c r="EK212" i="335"/>
  <c r="EK173" i="335"/>
  <c r="EK174" i="335" s="1"/>
  <c r="EK170" i="335"/>
  <c r="EK298" i="335"/>
  <c r="DP236" i="338"/>
  <c r="DV236" i="338"/>
  <c r="DQ235" i="338"/>
  <c r="DQ236" i="338" s="1"/>
  <c r="DU236" i="338"/>
  <c r="BS233" i="336"/>
  <c r="BS234" i="336"/>
  <c r="EE674" i="338"/>
  <c r="EE683" i="338"/>
  <c r="ER95" i="338"/>
  <c r="ER57" i="338"/>
  <c r="EX57" i="338"/>
  <c r="ER333" i="338"/>
  <c r="EK641" i="338"/>
  <c r="EK639" i="338" s="1"/>
  <c r="EK638" i="338" s="1"/>
  <c r="EK653" i="338"/>
  <c r="EK651" i="338" s="1"/>
  <c r="EK659" i="338"/>
  <c r="EK657" i="338" s="1"/>
  <c r="EK656" i="338" s="1"/>
  <c r="EK671" i="338"/>
  <c r="EK669" i="338" s="1"/>
  <c r="EK668" i="338" s="1"/>
  <c r="EK647" i="338"/>
  <c r="EK645" i="338" s="1"/>
  <c r="EK644" i="338" s="1"/>
  <c r="EK629" i="338"/>
  <c r="EK627" i="338" s="1"/>
  <c r="EK635" i="338"/>
  <c r="EK633" i="338" s="1"/>
  <c r="EK632" i="338" s="1"/>
  <c r="EK665" i="338"/>
  <c r="EK663" i="338" s="1"/>
  <c r="EK662" i="338" s="1"/>
  <c r="FD119" i="336"/>
  <c r="FC395" i="338"/>
  <c r="ER675" i="338"/>
  <c r="DW317" i="338"/>
  <c r="EC317" i="338"/>
  <c r="BK626" i="338"/>
  <c r="BK675" i="338"/>
  <c r="DV214" i="338"/>
  <c r="DQ214" i="338"/>
  <c r="DQ215" i="338" s="1"/>
  <c r="EC233" i="338"/>
  <c r="BC139" i="336"/>
  <c r="BC140" i="336" s="1"/>
  <c r="BC145" i="336"/>
  <c r="DD135" i="336"/>
  <c r="DE135" i="336" s="1"/>
  <c r="DG134" i="336"/>
  <c r="DG139" i="336" s="1"/>
  <c r="DG140" i="336" s="1"/>
  <c r="DE134" i="336"/>
  <c r="DE139" i="336" s="1"/>
  <c r="DE140" i="336" s="1"/>
  <c r="AV137" i="336"/>
  <c r="DK418" i="335"/>
  <c r="DB189" i="335"/>
  <c r="DB324" i="335"/>
  <c r="DB351" i="335"/>
  <c r="DB375" i="335"/>
  <c r="DB199" i="335"/>
  <c r="DB461" i="335"/>
  <c r="DB503" i="338"/>
  <c r="DB459" i="335"/>
  <c r="DB458" i="335"/>
  <c r="DB114" i="3"/>
  <c r="DB460" i="335"/>
  <c r="EL39" i="11"/>
  <c r="EQ57" i="338"/>
  <c r="BY213" i="335"/>
  <c r="BY215" i="335"/>
  <c r="DK621" i="338"/>
  <c r="DK622" i="338" s="1"/>
  <c r="DK623" i="338" s="1"/>
  <c r="DE621" i="338"/>
  <c r="DE622" i="338" s="1"/>
  <c r="DE623" i="338" s="1"/>
  <c r="R461" i="335"/>
  <c r="R460" i="335"/>
  <c r="R458" i="335"/>
  <c r="R375" i="335"/>
  <c r="R459" i="335"/>
  <c r="BY185" i="335"/>
  <c r="BY187" i="335"/>
  <c r="CD218" i="335"/>
  <c r="CD217" i="335"/>
  <c r="DE681" i="338"/>
  <c r="DE684" i="338" s="1"/>
  <c r="DK681" i="338"/>
  <c r="DK684" i="338" s="1"/>
  <c r="DA217" i="335"/>
  <c r="DA218" i="335"/>
  <c r="CP219" i="335"/>
  <c r="CP220" i="335"/>
  <c r="CP499" i="338" s="1"/>
  <c r="CP207" i="336"/>
  <c r="CP184" i="336" s="1"/>
  <c r="ES453" i="338"/>
  <c r="ET454" i="338"/>
  <c r="CD189" i="335"/>
  <c r="CD324" i="335"/>
  <c r="CD351" i="335"/>
  <c r="CD229" i="336"/>
  <c r="CP462" i="335"/>
  <c r="CP208" i="335" s="1"/>
  <c r="CP209" i="335" s="1"/>
  <c r="C462" i="335"/>
  <c r="CP487" i="338"/>
  <c r="CQ325" i="335"/>
  <c r="BQ394" i="338"/>
  <c r="CD503" i="338"/>
  <c r="CD114" i="3"/>
  <c r="CD461" i="335"/>
  <c r="CD459" i="335"/>
  <c r="CD458" i="335"/>
  <c r="CD239" i="335"/>
  <c r="CD156" i="335" s="1"/>
  <c r="CD460" i="335"/>
  <c r="CD375" i="335"/>
  <c r="R189" i="335"/>
  <c r="R351" i="335"/>
  <c r="X299" i="335"/>
  <c r="EA57" i="338"/>
  <c r="BS394" i="338"/>
  <c r="BR394" i="338"/>
  <c r="DB495" i="338"/>
  <c r="EG123" i="11"/>
  <c r="EG127" i="11" s="1"/>
  <c r="EG104" i="11"/>
  <c r="FX40" i="335"/>
  <c r="FR92" i="335"/>
  <c r="FR154" i="335"/>
  <c r="FS92" i="335"/>
  <c r="FR151" i="335"/>
  <c r="FR143" i="335"/>
  <c r="FR144" i="335" s="1"/>
  <c r="FR148" i="335"/>
  <c r="CY145" i="336"/>
  <c r="CX123" i="336"/>
  <c r="CY123" i="336" s="1"/>
  <c r="CX112" i="336"/>
  <c r="CY365" i="335"/>
  <c r="CX111" i="336"/>
  <c r="CY111" i="336" s="1"/>
  <c r="CX393" i="335"/>
  <c r="CX394" i="335"/>
  <c r="CX369" i="335"/>
  <c r="CX113" i="336"/>
  <c r="CY113" i="336" s="1"/>
  <c r="CX392" i="335"/>
  <c r="DC326" i="338"/>
  <c r="CW326" i="338"/>
  <c r="CY325" i="338"/>
  <c r="CP392" i="335"/>
  <c r="CP113" i="336"/>
  <c r="CP123" i="336"/>
  <c r="CP145" i="336"/>
  <c r="CP112" i="336"/>
  <c r="CP369" i="335"/>
  <c r="CP111" i="336"/>
  <c r="CU58" i="11"/>
  <c r="CO58" i="11"/>
  <c r="CO160" i="338"/>
  <c r="CO113" i="338"/>
  <c r="CU163" i="338"/>
  <c r="CU113" i="338"/>
  <c r="CO169" i="335"/>
  <c r="CO144" i="335"/>
  <c r="CO38" i="11"/>
  <c r="CO37" i="11"/>
  <c r="CO27" i="11"/>
  <c r="CO33" i="11" s="1"/>
  <c r="CO14" i="11"/>
  <c r="CU27" i="11"/>
  <c r="CU33" i="11" s="1"/>
  <c r="CU67" i="11" s="1"/>
  <c r="CU61" i="11" s="1"/>
  <c r="CU16" i="338" s="1"/>
  <c r="CU429" i="338"/>
  <c r="CU430" i="338"/>
  <c r="CO432" i="338"/>
  <c r="GC480" i="338" s="1"/>
  <c r="CP433" i="338"/>
  <c r="CU462" i="335"/>
  <c r="CU208" i="335" s="1"/>
  <c r="CU209" i="335" s="1"/>
  <c r="CU499" i="338"/>
  <c r="GD481" i="338" s="1"/>
  <c r="BU144" i="335"/>
  <c r="BU388" i="338" s="1"/>
  <c r="EB64" i="335"/>
  <c r="DW64" i="335"/>
  <c r="FV64" i="335"/>
  <c r="EL394" i="338"/>
  <c r="CR430" i="338"/>
  <c r="CR429" i="338"/>
  <c r="CR428" i="338"/>
  <c r="CL428" i="338"/>
  <c r="CO433" i="338"/>
  <c r="FP148" i="335"/>
  <c r="FP154" i="335"/>
  <c r="FP92" i="335"/>
  <c r="FP151" i="335"/>
  <c r="FQ92" i="335"/>
  <c r="FP143" i="335"/>
  <c r="FP144" i="335" s="1"/>
  <c r="CL160" i="338"/>
  <c r="CL113" i="338"/>
  <c r="CR113" i="338"/>
  <c r="CR163" i="338"/>
  <c r="CL385" i="335"/>
  <c r="CM385" i="335" s="1"/>
  <c r="CM391" i="338" s="1"/>
  <c r="CM102" i="336"/>
  <c r="CL326" i="338"/>
  <c r="CR326" i="338"/>
  <c r="CM325" i="338"/>
  <c r="CF385" i="335"/>
  <c r="CG385" i="335" s="1"/>
  <c r="CG391" i="338" s="1"/>
  <c r="CG102" i="336"/>
  <c r="BO681" i="338"/>
  <c r="BO684" i="338" s="1"/>
  <c r="BI681" i="338"/>
  <c r="BI684" i="338" s="1"/>
  <c r="ER432" i="338"/>
  <c r="F218" i="335"/>
  <c r="F217" i="335"/>
  <c r="F184" i="335" s="1"/>
  <c r="H218" i="335"/>
  <c r="H217" i="335"/>
  <c r="H184" i="335" s="1"/>
  <c r="DJ429" i="338"/>
  <c r="DJ430" i="338"/>
  <c r="DG433" i="338"/>
  <c r="DI111" i="336"/>
  <c r="DI145" i="336"/>
  <c r="DO123" i="336"/>
  <c r="DI123" i="336"/>
  <c r="DU123" i="336"/>
  <c r="DI112" i="336"/>
  <c r="DI392" i="335"/>
  <c r="DI369" i="335"/>
  <c r="DI113" i="336"/>
  <c r="DO145" i="336"/>
  <c r="DE148" i="335"/>
  <c r="DE114" i="338"/>
  <c r="DE333" i="335"/>
  <c r="DE341" i="335"/>
  <c r="DE49" i="11"/>
  <c r="DE328" i="335"/>
  <c r="DE157" i="335"/>
  <c r="DE334" i="335"/>
  <c r="DE342" i="335"/>
  <c r="DE338" i="335"/>
  <c r="DE330" i="335"/>
  <c r="DE347" i="335"/>
  <c r="DE343" i="335"/>
  <c r="DE143" i="335"/>
  <c r="DE331" i="335"/>
  <c r="DE15" i="11"/>
  <c r="DE329" i="335"/>
  <c r="DE346" i="335"/>
  <c r="DE345" i="335"/>
  <c r="DE154" i="335"/>
  <c r="DE339" i="335"/>
  <c r="DE718" i="338"/>
  <c r="DE151" i="335"/>
  <c r="DE337" i="335"/>
  <c r="DE290" i="335"/>
  <c r="DE348" i="335"/>
  <c r="DE92" i="335"/>
  <c r="DE336" i="335"/>
  <c r="DE327" i="338"/>
  <c r="DD328" i="338"/>
  <c r="DD206" i="335"/>
  <c r="DD494" i="338"/>
  <c r="DD495" i="338" s="1"/>
  <c r="DD101" i="335"/>
  <c r="FS99" i="335"/>
  <c r="DE99" i="335"/>
  <c r="DG101" i="335"/>
  <c r="DD100" i="335"/>
  <c r="CE169" i="335"/>
  <c r="CE144" i="335"/>
  <c r="CK100" i="335"/>
  <c r="CE100" i="335"/>
  <c r="CE494" i="338"/>
  <c r="CE206" i="335"/>
  <c r="FO99" i="335"/>
  <c r="CE101" i="335"/>
  <c r="CG99" i="335"/>
  <c r="CG100" i="335" s="1"/>
  <c r="EC104" i="11"/>
  <c r="EA108" i="11"/>
  <c r="EA112" i="11" s="1"/>
  <c r="EL207" i="335"/>
  <c r="EO206" i="335"/>
  <c r="EO207" i="335" s="1"/>
  <c r="EN214" i="335"/>
  <c r="EN182" i="335"/>
  <c r="EC58" i="338"/>
  <c r="EC95" i="338" s="1"/>
  <c r="EC330" i="335"/>
  <c r="EC725" i="338"/>
  <c r="EC726" i="338" s="1"/>
  <c r="DK290" i="335"/>
  <c r="DK347" i="335"/>
  <c r="DK338" i="335"/>
  <c r="DK334" i="335"/>
  <c r="DK49" i="11"/>
  <c r="DK341" i="335"/>
  <c r="DK331" i="335"/>
  <c r="DK151" i="335"/>
  <c r="DK342" i="335"/>
  <c r="DK346" i="335"/>
  <c r="DK345" i="335"/>
  <c r="DK92" i="335"/>
  <c r="DK15" i="11"/>
  <c r="DK718" i="338"/>
  <c r="DK330" i="335"/>
  <c r="DK157" i="335"/>
  <c r="DK148" i="335"/>
  <c r="DK328" i="335"/>
  <c r="DK154" i="335"/>
  <c r="DK337" i="335"/>
  <c r="DK329" i="335"/>
  <c r="DK339" i="335"/>
  <c r="DK348" i="335"/>
  <c r="DK143" i="335"/>
  <c r="DK333" i="335"/>
  <c r="DK114" i="338"/>
  <c r="DK343" i="335"/>
  <c r="DK336" i="335"/>
  <c r="DP429" i="338"/>
  <c r="DP430" i="338"/>
  <c r="DM433" i="338"/>
  <c r="DJ160" i="338"/>
  <c r="DJ113" i="338"/>
  <c r="CF681" i="338"/>
  <c r="CF684" i="338" s="1"/>
  <c r="CF685" i="338" s="1"/>
  <c r="EC721" i="338"/>
  <c r="EC734" i="338" s="1"/>
  <c r="EC724" i="338"/>
  <c r="EG53" i="338"/>
  <c r="EG55" i="338" s="1"/>
  <c r="EG39" i="338"/>
  <c r="DB369" i="335"/>
  <c r="DB112" i="336"/>
  <c r="DB123" i="336"/>
  <c r="DB111" i="336"/>
  <c r="DB113" i="336"/>
  <c r="DB145" i="336"/>
  <c r="DB392" i="335"/>
  <c r="CY333" i="335"/>
  <c r="CY330" i="335"/>
  <c r="CY345" i="335"/>
  <c r="CY339" i="335"/>
  <c r="CY148" i="335"/>
  <c r="CY331" i="335"/>
  <c r="CY151" i="335"/>
  <c r="CY343" i="335"/>
  <c r="CY348" i="335"/>
  <c r="CY346" i="335"/>
  <c r="CY329" i="335"/>
  <c r="CY338" i="335"/>
  <c r="CY334" i="335"/>
  <c r="CY337" i="335"/>
  <c r="CY342" i="335"/>
  <c r="CY154" i="335"/>
  <c r="CY15" i="11"/>
  <c r="CY114" i="338"/>
  <c r="CY336" i="335"/>
  <c r="CY328" i="335"/>
  <c r="CY290" i="335"/>
  <c r="CY157" i="335"/>
  <c r="CY49" i="11"/>
  <c r="CY92" i="335"/>
  <c r="CY341" i="335"/>
  <c r="CY718" i="338"/>
  <c r="CY143" i="335"/>
  <c r="CY347" i="335"/>
  <c r="DC328" i="338"/>
  <c r="CW328" i="338"/>
  <c r="CY327" i="338"/>
  <c r="CW37" i="11"/>
  <c r="CW38" i="11"/>
  <c r="DC27" i="11"/>
  <c r="CW27" i="11"/>
  <c r="CW160" i="338"/>
  <c r="CW113" i="338"/>
  <c r="DC163" i="338"/>
  <c r="DC113" i="338"/>
  <c r="CO112" i="336"/>
  <c r="CO113" i="336"/>
  <c r="CO123" i="336"/>
  <c r="CO392" i="335"/>
  <c r="CO145" i="336"/>
  <c r="CO111" i="336"/>
  <c r="CO369" i="335"/>
  <c r="CS347" i="335"/>
  <c r="CS15" i="11"/>
  <c r="CS151" i="335"/>
  <c r="CS49" i="11"/>
  <c r="CS154" i="335"/>
  <c r="CS337" i="335"/>
  <c r="CS338" i="335"/>
  <c r="CS342" i="335"/>
  <c r="CS329" i="335"/>
  <c r="CS339" i="335"/>
  <c r="CS331" i="335"/>
  <c r="CS346" i="335"/>
  <c r="CS290" i="335"/>
  <c r="CS157" i="335"/>
  <c r="CS330" i="335"/>
  <c r="CS92" i="335"/>
  <c r="CS341" i="335"/>
  <c r="CS114" i="338"/>
  <c r="CS148" i="335"/>
  <c r="CS718" i="338"/>
  <c r="CS345" i="335"/>
  <c r="CS348" i="335"/>
  <c r="CS336" i="335"/>
  <c r="CS143" i="335"/>
  <c r="CS343" i="335"/>
  <c r="CS328" i="335"/>
  <c r="CR113" i="336"/>
  <c r="CS113" i="336" s="1"/>
  <c r="CR392" i="335"/>
  <c r="CR123" i="336"/>
  <c r="CS123" i="336" s="1"/>
  <c r="CR369" i="335"/>
  <c r="CR394" i="335"/>
  <c r="CR112" i="336"/>
  <c r="CR111" i="336"/>
  <c r="CS111" i="336" s="1"/>
  <c r="CS365" i="335"/>
  <c r="CS145" i="336"/>
  <c r="CU326" i="338"/>
  <c r="CO326" i="338"/>
  <c r="CS325" i="338"/>
  <c r="EW64" i="335"/>
  <c r="BU27" i="11"/>
  <c r="BU37" i="11"/>
  <c r="BU38" i="11"/>
  <c r="EO113" i="338"/>
  <c r="EO160" i="338"/>
  <c r="EO163" i="338" s="1"/>
  <c r="CU487" i="338"/>
  <c r="CL392" i="335"/>
  <c r="CL394" i="335"/>
  <c r="CM365" i="335"/>
  <c r="CL113" i="336"/>
  <c r="CM113" i="336" s="1"/>
  <c r="CL123" i="336"/>
  <c r="CM123" i="336" s="1"/>
  <c r="CL112" i="336"/>
  <c r="CL111" i="336"/>
  <c r="CM111" i="336" s="1"/>
  <c r="CL145" i="336"/>
  <c r="CL369" i="335"/>
  <c r="CL393" i="335"/>
  <c r="CL169" i="335"/>
  <c r="CL144" i="335"/>
  <c r="CK369" i="335"/>
  <c r="CK145" i="336"/>
  <c r="CK392" i="335"/>
  <c r="CK112" i="336"/>
  <c r="CK111" i="336"/>
  <c r="CK113" i="336"/>
  <c r="CK123" i="336"/>
  <c r="CJ113" i="336"/>
  <c r="CJ112" i="336"/>
  <c r="CJ392" i="335"/>
  <c r="CJ122" i="336"/>
  <c r="CJ111" i="336"/>
  <c r="CJ369" i="335"/>
  <c r="CJ145" i="336"/>
  <c r="BU681" i="338"/>
  <c r="BU684" i="338" s="1"/>
  <c r="BT394" i="338"/>
  <c r="BU112" i="336"/>
  <c r="BU394" i="338" s="1"/>
  <c r="EO394" i="335"/>
  <c r="EO392" i="335"/>
  <c r="EO112" i="336"/>
  <c r="EO394" i="338" s="1"/>
  <c r="EN394" i="338"/>
  <c r="DJ326" i="338"/>
  <c r="DE325" i="338"/>
  <c r="DK326" i="338" s="1"/>
  <c r="DD326" i="338"/>
  <c r="DD37" i="11"/>
  <c r="DD27" i="11"/>
  <c r="DD38" i="11"/>
  <c r="CG313" i="338"/>
  <c r="CK58" i="11"/>
  <c r="CE58" i="11"/>
  <c r="CE113" i="336"/>
  <c r="CE392" i="335"/>
  <c r="CE369" i="335"/>
  <c r="CE112" i="336"/>
  <c r="CE123" i="336"/>
  <c r="CE145" i="336"/>
  <c r="CR393" i="335"/>
  <c r="DJ328" i="338"/>
  <c r="DK327" i="338"/>
  <c r="DK328" i="338" s="1"/>
  <c r="DJ494" i="338"/>
  <c r="DJ100" i="335"/>
  <c r="DJ206" i="335"/>
  <c r="DK99" i="335"/>
  <c r="DJ101" i="335"/>
  <c r="DJ385" i="335"/>
  <c r="DK385" i="335" s="1"/>
  <c r="DK391" i="338" s="1"/>
  <c r="DK102" i="336"/>
  <c r="CS393" i="335"/>
  <c r="EC53" i="338"/>
  <c r="EC39" i="338"/>
  <c r="EM304" i="335"/>
  <c r="EM329" i="335"/>
  <c r="EM279" i="335"/>
  <c r="EN304" i="335"/>
  <c r="EM119" i="11"/>
  <c r="EM104" i="11" s="1"/>
  <c r="ES39" i="335"/>
  <c r="EM41" i="335"/>
  <c r="EM40" i="338"/>
  <c r="EM228" i="338"/>
  <c r="EM229" i="338" s="1"/>
  <c r="EN41" i="335"/>
  <c r="EO39" i="335"/>
  <c r="EM42" i="335"/>
  <c r="FY39" i="335"/>
  <c r="CW123" i="336"/>
  <c r="CW392" i="335"/>
  <c r="CW111" i="336"/>
  <c r="CW113" i="336"/>
  <c r="CW369" i="335"/>
  <c r="CX145" i="336"/>
  <c r="CW112" i="336"/>
  <c r="CW145" i="336"/>
  <c r="DA145" i="336"/>
  <c r="DA113" i="336"/>
  <c r="DA369" i="335"/>
  <c r="DA123" i="336"/>
  <c r="DA111" i="336"/>
  <c r="DA392" i="335"/>
  <c r="DA112" i="336"/>
  <c r="DC58" i="11"/>
  <c r="CW58" i="11"/>
  <c r="CW494" i="338"/>
  <c r="DC100" i="335"/>
  <c r="CW100" i="335"/>
  <c r="CW206" i="335"/>
  <c r="FR99" i="335"/>
  <c r="CW101" i="335"/>
  <c r="CX101" i="335"/>
  <c r="CY99" i="335"/>
  <c r="DP229" i="335"/>
  <c r="DP209" i="336" s="1"/>
  <c r="DQ209" i="336" s="1"/>
  <c r="DQ228" i="335"/>
  <c r="DS228" i="335"/>
  <c r="CU201" i="335"/>
  <c r="CU202" i="335" s="1"/>
  <c r="DA203" i="335" s="1"/>
  <c r="CU200" i="335"/>
  <c r="CU183" i="336"/>
  <c r="CU208" i="336"/>
  <c r="CU210" i="336" s="1"/>
  <c r="CU211" i="336" s="1"/>
  <c r="FV65" i="335"/>
  <c r="DW65" i="335"/>
  <c r="EB65" i="335"/>
  <c r="BU160" i="338"/>
  <c r="BU163" i="338" s="1"/>
  <c r="BU164" i="338" s="1"/>
  <c r="BU113" i="338"/>
  <c r="BU719" i="338"/>
  <c r="BU757" i="338"/>
  <c r="BU762" i="338"/>
  <c r="EL124" i="336"/>
  <c r="EL125" i="336"/>
  <c r="EL409" i="338"/>
  <c r="EO27" i="11"/>
  <c r="EO38" i="11"/>
  <c r="EO37" i="11"/>
  <c r="CA621" i="338"/>
  <c r="CA622" i="338" s="1"/>
  <c r="CA623" i="338" s="1"/>
  <c r="BU621" i="338"/>
  <c r="BU622" i="338" s="1"/>
  <c r="BU623" i="338" s="1"/>
  <c r="CL101" i="335"/>
  <c r="CL494" i="338"/>
  <c r="CR100" i="335"/>
  <c r="CL100" i="335"/>
  <c r="FP99" i="335"/>
  <c r="CL206" i="335"/>
  <c r="CM99" i="335"/>
  <c r="CM49" i="11"/>
  <c r="CM718" i="338"/>
  <c r="CM348" i="335"/>
  <c r="CM15" i="11"/>
  <c r="CM331" i="335"/>
  <c r="CM341" i="335"/>
  <c r="CM114" i="338"/>
  <c r="CM342" i="335"/>
  <c r="CM347" i="335"/>
  <c r="CM328" i="335"/>
  <c r="CM148" i="335"/>
  <c r="CM151" i="335"/>
  <c r="CM336" i="335"/>
  <c r="CM154" i="335"/>
  <c r="CM339" i="335"/>
  <c r="CM338" i="335"/>
  <c r="CM329" i="335"/>
  <c r="CM143" i="335"/>
  <c r="CM346" i="335"/>
  <c r="CM343" i="335"/>
  <c r="CM330" i="335"/>
  <c r="CM337" i="335"/>
  <c r="CM345" i="335"/>
  <c r="CM157" i="335"/>
  <c r="CM290" i="335"/>
  <c r="CM92" i="335"/>
  <c r="CR58" i="11"/>
  <c r="CL58" i="11"/>
  <c r="G220" i="335"/>
  <c r="G219" i="335"/>
  <c r="CI111" i="336"/>
  <c r="CI392" i="335"/>
  <c r="CI113" i="336"/>
  <c r="CI145" i="336"/>
  <c r="CI369" i="335"/>
  <c r="CI112" i="336"/>
  <c r="CI122" i="336"/>
  <c r="CG365" i="335"/>
  <c r="CF145" i="336"/>
  <c r="CF394" i="335"/>
  <c r="CF392" i="335"/>
  <c r="CF112" i="336"/>
  <c r="CF113" i="336"/>
  <c r="CG113" i="336" s="1"/>
  <c r="CF369" i="335"/>
  <c r="CG145" i="336"/>
  <c r="CF393" i="335"/>
  <c r="CF123" i="336"/>
  <c r="CG123" i="336" s="1"/>
  <c r="CF169" i="335"/>
  <c r="CF144" i="335"/>
  <c r="CL430" i="338"/>
  <c r="CL429" i="338"/>
  <c r="CF432" i="338"/>
  <c r="GB438" i="338" s="1"/>
  <c r="CI433" i="338"/>
  <c r="CF206" i="335"/>
  <c r="CF207" i="335" s="1"/>
  <c r="CF494" i="338"/>
  <c r="CF101" i="335"/>
  <c r="CI101" i="335"/>
  <c r="CF100" i="335"/>
  <c r="BH615" i="338"/>
  <c r="BH616" i="338" s="1"/>
  <c r="BN621" i="338" s="1"/>
  <c r="BN622" i="338" s="1"/>
  <c r="BN623" i="338" s="1"/>
  <c r="BQ39" i="11"/>
  <c r="BQ358" i="335"/>
  <c r="BQ356" i="335" s="1"/>
  <c r="BU14" i="11"/>
  <c r="BQ12" i="335"/>
  <c r="BU369" i="335"/>
  <c r="BU315" i="338"/>
  <c r="BU314" i="338"/>
  <c r="BU394" i="335"/>
  <c r="BU393" i="335"/>
  <c r="BU392" i="335"/>
  <c r="BU401" i="338"/>
  <c r="EN124" i="336"/>
  <c r="EO122" i="336"/>
  <c r="EN125" i="336"/>
  <c r="EN409" i="338"/>
  <c r="EO409" i="338" s="1"/>
  <c r="EF213" i="335"/>
  <c r="EF215" i="335"/>
  <c r="DJ58" i="11"/>
  <c r="DD58" i="11"/>
  <c r="DH369" i="335"/>
  <c r="DH392" i="335"/>
  <c r="DH123" i="336"/>
  <c r="DH145" i="336"/>
  <c r="DH111" i="336"/>
  <c r="DH113" i="336"/>
  <c r="DH112" i="336"/>
  <c r="DD160" i="338"/>
  <c r="DD113" i="338"/>
  <c r="FO151" i="335"/>
  <c r="FO148" i="335"/>
  <c r="FO143" i="335"/>
  <c r="FO144" i="335" s="1"/>
  <c r="FO154" i="335"/>
  <c r="CE328" i="338"/>
  <c r="CK328" i="338"/>
  <c r="CG327" i="338"/>
  <c r="CG328" i="338" s="1"/>
  <c r="CE326" i="338"/>
  <c r="CK326" i="338"/>
  <c r="CG325" i="338"/>
  <c r="CE38" i="11"/>
  <c r="CE14" i="11"/>
  <c r="CK27" i="11"/>
  <c r="CK34" i="11" s="1"/>
  <c r="CE27" i="11"/>
  <c r="CE34" i="11" s="1"/>
  <c r="CE37" i="11"/>
  <c r="CE39" i="11" s="1"/>
  <c r="EL33" i="11"/>
  <c r="EL67" i="11" s="1"/>
  <c r="EL163" i="338"/>
  <c r="EL161" i="338"/>
  <c r="DJ169" i="335"/>
  <c r="DJ144" i="335"/>
  <c r="EI329" i="335"/>
  <c r="EI279" i="335"/>
  <c r="EI723" i="338"/>
  <c r="EI228" i="338"/>
  <c r="EI229" i="338" s="1"/>
  <c r="EI40" i="338"/>
  <c r="EI40" i="335"/>
  <c r="EG280" i="335"/>
  <c r="EG120" i="11"/>
  <c r="EG124" i="11" s="1"/>
  <c r="EG128" i="11" s="1"/>
  <c r="EG330" i="335"/>
  <c r="EI42" i="335"/>
  <c r="EG58" i="338"/>
  <c r="EG44" i="335"/>
  <c r="EG305" i="335"/>
  <c r="EH44" i="335"/>
  <c r="EG43" i="335"/>
  <c r="EH305" i="335"/>
  <c r="FX42" i="335"/>
  <c r="CW169" i="335"/>
  <c r="CW144" i="335"/>
  <c r="DC429" i="338"/>
  <c r="DC430" i="338"/>
  <c r="CX433" i="338"/>
  <c r="CW432" i="338"/>
  <c r="CQ123" i="336"/>
  <c r="CQ145" i="336"/>
  <c r="CR145" i="336"/>
  <c r="CQ112" i="336"/>
  <c r="CQ111" i="336"/>
  <c r="CQ392" i="335"/>
  <c r="CQ113" i="336"/>
  <c r="CQ369" i="335"/>
  <c r="CO206" i="335"/>
  <c r="CO494" i="338"/>
  <c r="CU100" i="335"/>
  <c r="CO101" i="335"/>
  <c r="CO100" i="335"/>
  <c r="CP101" i="335"/>
  <c r="CS99" i="335"/>
  <c r="CU328" i="338"/>
  <c r="CO328" i="338"/>
  <c r="CS327" i="338"/>
  <c r="EI127" i="336"/>
  <c r="EI124" i="336"/>
  <c r="EL182" i="335"/>
  <c r="FX182" i="335" s="1"/>
  <c r="FX185" i="335" s="1"/>
  <c r="EL350" i="335"/>
  <c r="EL170" i="335"/>
  <c r="EL298" i="335"/>
  <c r="EL173" i="335"/>
  <c r="EL174" i="335" s="1"/>
  <c r="EL212" i="335"/>
  <c r="EL323" i="335"/>
  <c r="EL171" i="335"/>
  <c r="EO757" i="338"/>
  <c r="EO762" i="338"/>
  <c r="EO719" i="338"/>
  <c r="BT615" i="338"/>
  <c r="BT616" i="338" s="1"/>
  <c r="BT612" i="338"/>
  <c r="BT613" i="338" s="1"/>
  <c r="CL37" i="11"/>
  <c r="CL27" i="11"/>
  <c r="CL34" i="11" s="1"/>
  <c r="CR27" i="11"/>
  <c r="CR33" i="11" s="1"/>
  <c r="CR67" i="11" s="1"/>
  <c r="CL38" i="11"/>
  <c r="CL14" i="11"/>
  <c r="CL328" i="338"/>
  <c r="CM327" i="338"/>
  <c r="CR328" i="338"/>
  <c r="G187" i="335"/>
  <c r="G185" i="335"/>
  <c r="CF160" i="338"/>
  <c r="CF113" i="338"/>
  <c r="CF38" i="11"/>
  <c r="CF27" i="11"/>
  <c r="CF34" i="11" s="1"/>
  <c r="CF14" i="11"/>
  <c r="CF37" i="11"/>
  <c r="EF187" i="335"/>
  <c r="EF185" i="335"/>
  <c r="FW182" i="335"/>
  <c r="FW185" i="335" s="1"/>
  <c r="DD385" i="335"/>
  <c r="DE385" i="335" s="1"/>
  <c r="DE391" i="338" s="1"/>
  <c r="DE102" i="336"/>
  <c r="DE145" i="336"/>
  <c r="DD369" i="335"/>
  <c r="DD394" i="335"/>
  <c r="DD113" i="336"/>
  <c r="DE113" i="336" s="1"/>
  <c r="DD392" i="335"/>
  <c r="DD123" i="336"/>
  <c r="DE123" i="336" s="1"/>
  <c r="DD112" i="336"/>
  <c r="DE365" i="335"/>
  <c r="DD111" i="336"/>
  <c r="DE111" i="336" s="1"/>
  <c r="DD393" i="335"/>
  <c r="DG392" i="335"/>
  <c r="DG113" i="336"/>
  <c r="DG145" i="336"/>
  <c r="DG111" i="336"/>
  <c r="DG123" i="336"/>
  <c r="DG112" i="336"/>
  <c r="DG394" i="338" s="1"/>
  <c r="DG369" i="335"/>
  <c r="DD169" i="335"/>
  <c r="DD144" i="335"/>
  <c r="FS143" i="335"/>
  <c r="EY93" i="11"/>
  <c r="EY97" i="11" s="1"/>
  <c r="FE89" i="11"/>
  <c r="FG89" i="11" s="1"/>
  <c r="FG93" i="11" s="1"/>
  <c r="FG97" i="11" s="1"/>
  <c r="CG329" i="335"/>
  <c r="CG347" i="335"/>
  <c r="CG331" i="335"/>
  <c r="CG148" i="335"/>
  <c r="CF517" i="338"/>
  <c r="CG330" i="335"/>
  <c r="CG345" i="335"/>
  <c r="CG346" i="335"/>
  <c r="CG114" i="338"/>
  <c r="CG160" i="338" s="1"/>
  <c r="CG163" i="338" s="1"/>
  <c r="CG49" i="11"/>
  <c r="CE517" i="338"/>
  <c r="CG15" i="11"/>
  <c r="CG27" i="11" s="1"/>
  <c r="CG143" i="335"/>
  <c r="CG336" i="335"/>
  <c r="CG154" i="335"/>
  <c r="CG342" i="335"/>
  <c r="CG337" i="335"/>
  <c r="CG718" i="338"/>
  <c r="CG719" i="338" s="1"/>
  <c r="CG343" i="335"/>
  <c r="CC517" i="338"/>
  <c r="CG328" i="335"/>
  <c r="CG338" i="335"/>
  <c r="CG151" i="335"/>
  <c r="CG339" i="335"/>
  <c r="CD517" i="338"/>
  <c r="CG341" i="335"/>
  <c r="CG348" i="335"/>
  <c r="CE113" i="338"/>
  <c r="CK163" i="338"/>
  <c r="CK113" i="338"/>
  <c r="CE160" i="338"/>
  <c r="CK430" i="338"/>
  <c r="CF516" i="338"/>
  <c r="CK429" i="338"/>
  <c r="CF433" i="338"/>
  <c r="CF515" i="338"/>
  <c r="CE432" i="338"/>
  <c r="EL35" i="338"/>
  <c r="EL37" i="338" s="1"/>
  <c r="EL127" i="11"/>
  <c r="DJ369" i="335"/>
  <c r="DJ111" i="336"/>
  <c r="DK111" i="336" s="1"/>
  <c r="DJ392" i="335"/>
  <c r="DJ113" i="336"/>
  <c r="DK113" i="336" s="1"/>
  <c r="DJ112" i="336"/>
  <c r="DJ393" i="335"/>
  <c r="DK365" i="335"/>
  <c r="DJ123" i="336"/>
  <c r="DK123" i="336" s="1"/>
  <c r="DJ394" i="335"/>
  <c r="DK145" i="336"/>
  <c r="DJ38" i="11"/>
  <c r="DJ37" i="11"/>
  <c r="DJ27" i="11"/>
  <c r="EO369" i="335"/>
  <c r="FK74" i="335"/>
  <c r="FM74" i="335" s="1"/>
  <c r="FI260" i="338"/>
  <c r="FM259" i="338"/>
  <c r="FM260" i="338" s="1"/>
  <c r="BO26" i="11"/>
  <c r="DZ236" i="338"/>
  <c r="EC235" i="338"/>
  <c r="DW235" i="338"/>
  <c r="DY236" i="338"/>
  <c r="DS236" i="338"/>
  <c r="FM265" i="338"/>
  <c r="FM266" i="338" s="1"/>
  <c r="FM271" i="338"/>
  <c r="FM272" i="338" s="1"/>
  <c r="FI272" i="338"/>
  <c r="EW169" i="336"/>
  <c r="CL689" i="338"/>
  <c r="CL685" i="338"/>
  <c r="CL690" i="338" s="1"/>
  <c r="EY34" i="11"/>
  <c r="CX207" i="336"/>
  <c r="CX184" i="336" s="1"/>
  <c r="CX220" i="335"/>
  <c r="CX219" i="335"/>
  <c r="FY151" i="335"/>
  <c r="FY154" i="335"/>
  <c r="FY148" i="335"/>
  <c r="FY92" i="335"/>
  <c r="ER454" i="338"/>
  <c r="EQ453" i="338"/>
  <c r="AJ459" i="335"/>
  <c r="AJ458" i="335"/>
  <c r="AJ375" i="335"/>
  <c r="AJ461" i="335"/>
  <c r="AJ460" i="335"/>
  <c r="BQ215" i="335"/>
  <c r="BQ213" i="335"/>
  <c r="AW774" i="338"/>
  <c r="BC766" i="338"/>
  <c r="K461" i="335"/>
  <c r="K460" i="335"/>
  <c r="K458" i="335"/>
  <c r="K375" i="335"/>
  <c r="K459" i="335"/>
  <c r="BR218" i="335"/>
  <c r="BR217" i="335"/>
  <c r="BR185" i="335" s="1"/>
  <c r="K351" i="335"/>
  <c r="K189" i="335"/>
  <c r="K372" i="335" s="1"/>
  <c r="K223" i="336"/>
  <c r="K371" i="335"/>
  <c r="K386" i="338"/>
  <c r="K225" i="336"/>
  <c r="AU217" i="335"/>
  <c r="AU184" i="335" s="1"/>
  <c r="AW215" i="335"/>
  <c r="AW217" i="335" s="1"/>
  <c r="AU218" i="335"/>
  <c r="EC685" i="338"/>
  <c r="EC689" i="338"/>
  <c r="CF621" i="338"/>
  <c r="CF622" i="338" s="1"/>
  <c r="CF623" i="338" s="1"/>
  <c r="CL621" i="338"/>
  <c r="CL622" i="338" s="1"/>
  <c r="CL623" i="338" s="1"/>
  <c r="AM324" i="335"/>
  <c r="AJ351" i="335"/>
  <c r="AJ189" i="335"/>
  <c r="AM325" i="335" s="1"/>
  <c r="DN254" i="338"/>
  <c r="DN257" i="338"/>
  <c r="DT254" i="338"/>
  <c r="DO255" i="338"/>
  <c r="CS621" i="338"/>
  <c r="CS622" i="338" s="1"/>
  <c r="CS623" i="338" s="1"/>
  <c r="CY621" i="338"/>
  <c r="CY622" i="338" s="1"/>
  <c r="CY623" i="338" s="1"/>
  <c r="BC255" i="338"/>
  <c r="BI255" i="338"/>
  <c r="BI244" i="335" s="1"/>
  <c r="GC437" i="338"/>
  <c r="EE454" i="338"/>
  <c r="EE453" i="338"/>
  <c r="BO39" i="11"/>
  <c r="BO358" i="335"/>
  <c r="BO356" i="335" s="1"/>
  <c r="BO323" i="338" s="1"/>
  <c r="FE107" i="335"/>
  <c r="FE119" i="335"/>
  <c r="FE120" i="335" s="1"/>
  <c r="FE34" i="335"/>
  <c r="FF34" i="335"/>
  <c r="FE20" i="335"/>
  <c r="FF22" i="335" s="1"/>
  <c r="BW394" i="338"/>
  <c r="BX394" i="338"/>
  <c r="EX80" i="335"/>
  <c r="EY81" i="335"/>
  <c r="EU556" i="338"/>
  <c r="EU557" i="338" s="1"/>
  <c r="EU630" i="338" s="1"/>
  <c r="EU628" i="338"/>
  <c r="EU627" i="338" s="1"/>
  <c r="CA328" i="338"/>
  <c r="BY394" i="338"/>
  <c r="CV215" i="335"/>
  <c r="CV213" i="335"/>
  <c r="Y182" i="335"/>
  <c r="Y185" i="335" s="1"/>
  <c r="Y375" i="335" s="1"/>
  <c r="U215" i="335"/>
  <c r="U213" i="335"/>
  <c r="Y212" i="335"/>
  <c r="Y213" i="335" s="1"/>
  <c r="AO217" i="335"/>
  <c r="AO184" i="335" s="1"/>
  <c r="AO218" i="335"/>
  <c r="ET385" i="335"/>
  <c r="EU385" i="335" s="1"/>
  <c r="EU391" i="338" s="1"/>
  <c r="EZ102" i="336"/>
  <c r="EU102" i="336"/>
  <c r="BN215" i="335"/>
  <c r="BN213" i="335"/>
  <c r="CA100" i="335"/>
  <c r="ER76" i="11"/>
  <c r="EX75" i="11"/>
  <c r="ER79" i="11"/>
  <c r="ER83" i="11" s="1"/>
  <c r="DS56" i="11"/>
  <c r="DM56" i="11"/>
  <c r="EB184" i="336"/>
  <c r="EB208" i="336" s="1"/>
  <c r="EB210" i="336" s="1"/>
  <c r="EB211" i="336" s="1"/>
  <c r="EY36" i="338"/>
  <c r="EY37" i="338" s="1"/>
  <c r="EY337" i="338"/>
  <c r="CC162" i="338"/>
  <c r="CC507" i="338" s="1"/>
  <c r="BK213" i="335"/>
  <c r="BK215" i="335"/>
  <c r="BO212" i="335"/>
  <c r="BO213" i="335" s="1"/>
  <c r="BW182" i="335"/>
  <c r="BW212" i="335"/>
  <c r="BW350" i="335"/>
  <c r="BW173" i="335"/>
  <c r="BW174" i="335" s="1"/>
  <c r="BW170" i="335"/>
  <c r="BW298" i="335"/>
  <c r="BW323" i="335"/>
  <c r="BX323" i="335"/>
  <c r="CA169" i="335"/>
  <c r="BY368" i="335"/>
  <c r="CC298" i="335"/>
  <c r="BX368" i="335"/>
  <c r="BW368" i="335"/>
  <c r="ET160" i="338"/>
  <c r="ET113" i="338"/>
  <c r="CA160" i="338"/>
  <c r="CA163" i="338" s="1"/>
  <c r="CA113" i="338"/>
  <c r="CA762" i="338"/>
  <c r="CA757" i="338"/>
  <c r="CA719" i="338"/>
  <c r="CG58" i="11"/>
  <c r="CA58" i="11"/>
  <c r="CA206" i="335"/>
  <c r="CA207" i="335" s="1"/>
  <c r="BW207" i="335"/>
  <c r="CA112" i="336"/>
  <c r="CA394" i="338" s="1"/>
  <c r="BZ394" i="338"/>
  <c r="CJ461" i="335"/>
  <c r="CJ503" i="338"/>
  <c r="CJ459" i="335"/>
  <c r="CJ460" i="335"/>
  <c r="CJ458" i="335"/>
  <c r="CJ375" i="335"/>
  <c r="CJ199" i="335"/>
  <c r="BU174" i="335"/>
  <c r="EO615" i="338"/>
  <c r="EO616" i="338" s="1"/>
  <c r="EO621" i="338" s="1"/>
  <c r="EO622" i="338" s="1"/>
  <c r="EO623" i="338" s="1"/>
  <c r="EO612" i="338"/>
  <c r="EO613" i="338" s="1"/>
  <c r="BZ368" i="335"/>
  <c r="DW289" i="335"/>
  <c r="DQ47" i="11"/>
  <c r="DQ289" i="335"/>
  <c r="DS76" i="335"/>
  <c r="DM139" i="335"/>
  <c r="DS286" i="335"/>
  <c r="DM87" i="335"/>
  <c r="DM286" i="335"/>
  <c r="DM76" i="335"/>
  <c r="DM48" i="11"/>
  <c r="DM77" i="335"/>
  <c r="DM311" i="335"/>
  <c r="DN77" i="335"/>
  <c r="DQ75" i="335"/>
  <c r="DN311" i="335"/>
  <c r="FT75" i="335"/>
  <c r="ES621" i="338"/>
  <c r="ES622" i="338" s="1"/>
  <c r="ES623" i="338" s="1"/>
  <c r="BW162" i="338"/>
  <c r="BO182" i="335"/>
  <c r="FQ182" i="335"/>
  <c r="FQ185" i="335" s="1"/>
  <c r="CV187" i="335"/>
  <c r="CV185" i="335"/>
  <c r="EA230" i="338"/>
  <c r="EA225" i="338"/>
  <c r="CA326" i="338"/>
  <c r="CG326" i="338"/>
  <c r="CJ218" i="335"/>
  <c r="CJ217" i="335"/>
  <c r="ET100" i="335"/>
  <c r="ET206" i="335"/>
  <c r="ET207" i="335" s="1"/>
  <c r="EZ430" i="338"/>
  <c r="EZ429" i="338"/>
  <c r="CA38" i="11"/>
  <c r="CA37" i="11"/>
  <c r="CA27" i="11"/>
  <c r="BW163" i="338"/>
  <c r="BX161" i="338"/>
  <c r="BW161" i="338"/>
  <c r="CC432" i="338"/>
  <c r="CC433" i="338"/>
  <c r="EL359" i="335"/>
  <c r="EL80" i="11"/>
  <c r="EL84" i="11" s="1"/>
  <c r="CJ189" i="335"/>
  <c r="CJ229" i="336"/>
  <c r="CJ263" i="336" s="1"/>
  <c r="CJ324" i="335"/>
  <c r="CP299" i="335"/>
  <c r="CK324" i="335"/>
  <c r="CJ351" i="335"/>
  <c r="CJ299" i="335"/>
  <c r="BU389" i="338"/>
  <c r="EY336" i="338"/>
  <c r="EY335" i="338"/>
  <c r="BW26" i="11"/>
  <c r="CA14" i="11"/>
  <c r="BW12" i="335"/>
  <c r="CC26" i="11"/>
  <c r="BW358" i="335"/>
  <c r="BW356" i="335" s="1"/>
  <c r="L219" i="335"/>
  <c r="L220" i="335"/>
  <c r="L221" i="335" s="1"/>
  <c r="BS210" i="336"/>
  <c r="BS211" i="336" s="1"/>
  <c r="BZ187" i="335"/>
  <c r="BZ185" i="335"/>
  <c r="DQ271" i="338"/>
  <c r="DM253" i="338"/>
  <c r="DM272" i="338"/>
  <c r="DS272" i="338"/>
  <c r="EU12" i="338"/>
  <c r="EU17" i="338" s="1"/>
  <c r="EU8" i="338"/>
  <c r="DY79" i="11"/>
  <c r="DY83" i="11" s="1"/>
  <c r="EE75" i="11"/>
  <c r="BO298" i="335"/>
  <c r="BO170" i="335"/>
  <c r="BO350" i="335"/>
  <c r="BO173" i="335"/>
  <c r="BU298" i="335"/>
  <c r="BO368" i="335"/>
  <c r="EY185" i="335"/>
  <c r="EY187" i="335"/>
  <c r="Y350" i="335"/>
  <c r="Y170" i="335"/>
  <c r="Y389" i="338" s="1"/>
  <c r="Y368" i="335"/>
  <c r="EG224" i="338"/>
  <c r="EM214" i="338"/>
  <c r="EO144" i="335"/>
  <c r="EO388" i="338" s="1"/>
  <c r="ET169" i="335"/>
  <c r="EU169" i="335" s="1"/>
  <c r="ET144" i="335"/>
  <c r="ET14" i="11"/>
  <c r="ET13" i="11"/>
  <c r="ET27" i="11"/>
  <c r="ET12" i="11"/>
  <c r="CA144" i="335"/>
  <c r="CA388" i="338" s="1"/>
  <c r="CC516" i="338"/>
  <c r="CC515" i="338"/>
  <c r="CA401" i="338"/>
  <c r="CA392" i="335"/>
  <c r="CA315" i="338"/>
  <c r="CA314" i="338"/>
  <c r="CA393" i="335"/>
  <c r="CA369" i="335"/>
  <c r="CA394" i="335"/>
  <c r="EU612" i="338"/>
  <c r="EU613" i="338" s="1"/>
  <c r="EU615" i="338"/>
  <c r="EU616" i="338" s="1"/>
  <c r="L187" i="335"/>
  <c r="L185" i="335"/>
  <c r="BS178" i="336"/>
  <c r="BS173" i="336"/>
  <c r="BS187" i="336"/>
  <c r="BT217" i="335"/>
  <c r="BT185" i="335" s="1"/>
  <c r="BT218" i="335"/>
  <c r="BU215" i="335"/>
  <c r="BZ213" i="335"/>
  <c r="BZ215" i="335"/>
  <c r="DB489" i="338"/>
  <c r="DA488" i="338"/>
  <c r="CG110" i="11"/>
  <c r="CG115" i="11" s="1"/>
  <c r="EE487" i="338"/>
  <c r="EE325" i="335"/>
  <c r="EE200" i="335"/>
  <c r="EE201" i="335"/>
  <c r="EE202" i="335" s="1"/>
  <c r="EH185" i="335"/>
  <c r="EH187" i="335"/>
  <c r="EE462" i="335"/>
  <c r="EE208" i="335" s="1"/>
  <c r="EE209" i="335" s="1"/>
  <c r="EH213" i="335"/>
  <c r="EH215" i="335"/>
  <c r="DJ125" i="11"/>
  <c r="DJ129" i="11" s="1"/>
  <c r="BX125" i="11"/>
  <c r="EW168" i="336"/>
  <c r="CA110" i="11"/>
  <c r="CA121" i="11"/>
  <c r="CA125" i="11" s="1"/>
  <c r="DK224" i="338"/>
  <c r="DK225" i="338" s="1"/>
  <c r="DJ225" i="338"/>
  <c r="DE230" i="338"/>
  <c r="DE225" i="338"/>
  <c r="EB221" i="338"/>
  <c r="DV217" i="338"/>
  <c r="DW221" i="338"/>
  <c r="DW222" i="338" s="1"/>
  <c r="EI198" i="338"/>
  <c r="EO199" i="338" s="1"/>
  <c r="FC391" i="335"/>
  <c r="FD320" i="338"/>
  <c r="DH683" i="338"/>
  <c r="EX100" i="335"/>
  <c r="EY101" i="335"/>
  <c r="FA323" i="338"/>
  <c r="FA391" i="335"/>
  <c r="DK218" i="338"/>
  <c r="DP218" i="338"/>
  <c r="DQ217" i="338"/>
  <c r="DQ218" i="338" s="1"/>
  <c r="DP224" i="338"/>
  <c r="AE383" i="335"/>
  <c r="AE397" i="335" s="1"/>
  <c r="AE385" i="338" s="1"/>
  <c r="CW110" i="3"/>
  <c r="DC110" i="3"/>
  <c r="CY385" i="338"/>
  <c r="DE399" i="335"/>
  <c r="CW398" i="335"/>
  <c r="DA398" i="335"/>
  <c r="CX398" i="335"/>
  <c r="DB398" i="335"/>
  <c r="DO109" i="338"/>
  <c r="DO110" i="338" s="1"/>
  <c r="CF213" i="336"/>
  <c r="EY220" i="335"/>
  <c r="EY219" i="335"/>
  <c r="CS247" i="335"/>
  <c r="CY248" i="335" s="1"/>
  <c r="CY240" i="335" s="1"/>
  <c r="CY241" i="335" s="1"/>
  <c r="EW426" i="335"/>
  <c r="EX65" i="336"/>
  <c r="EX68" i="336"/>
  <c r="EW429" i="335"/>
  <c r="EX66" i="336"/>
  <c r="EW427" i="335"/>
  <c r="DQ123" i="11"/>
  <c r="DQ127" i="11" s="1"/>
  <c r="DO164" i="338"/>
  <c r="DO54" i="338"/>
  <c r="DO96" i="338"/>
  <c r="DO97" i="338" s="1"/>
  <c r="DO19" i="338"/>
  <c r="DO55" i="338"/>
  <c r="CX55" i="338"/>
  <c r="CX97" i="338"/>
  <c r="EZ286" i="335"/>
  <c r="EZ91" i="335"/>
  <c r="EZ431" i="338" s="1"/>
  <c r="EZ88" i="335"/>
  <c r="EZ89" i="335"/>
  <c r="EZ311" i="335"/>
  <c r="EZ96" i="335"/>
  <c r="FA96" i="335" s="1"/>
  <c r="ER34" i="11"/>
  <c r="FA740" i="338"/>
  <c r="FA741" i="338" s="1"/>
  <c r="FA281" i="335"/>
  <c r="FA44" i="11"/>
  <c r="FA53" i="11" s="1"/>
  <c r="FA50" i="335"/>
  <c r="FA47" i="335"/>
  <c r="ER61" i="11"/>
  <c r="ER16" i="338" s="1"/>
  <c r="ER162" i="338"/>
  <c r="ER164" i="338" s="1"/>
  <c r="BI234" i="336"/>
  <c r="ES171" i="335"/>
  <c r="EM298" i="335"/>
  <c r="EM350" i="335"/>
  <c r="EN368" i="335"/>
  <c r="EM368" i="335"/>
  <c r="EM170" i="335"/>
  <c r="EM323" i="335"/>
  <c r="ES298" i="335"/>
  <c r="EN323" i="335"/>
  <c r="EO169" i="335"/>
  <c r="EM173" i="335"/>
  <c r="EM174" i="335" s="1"/>
  <c r="EM171" i="335"/>
  <c r="EM182" i="335"/>
  <c r="FA126" i="335"/>
  <c r="FA104" i="335" s="1"/>
  <c r="EZ104" i="335"/>
  <c r="FG135" i="335"/>
  <c r="FG136" i="335" s="1"/>
  <c r="FA87" i="335"/>
  <c r="FA286" i="335" s="1"/>
  <c r="FE124" i="335"/>
  <c r="ES33" i="11"/>
  <c r="ES34" i="11" s="1"/>
  <c r="FC48" i="335"/>
  <c r="FC44" i="11"/>
  <c r="FC53" i="11" s="1"/>
  <c r="FC281" i="335"/>
  <c r="FC126" i="335"/>
  <c r="FC47" i="335"/>
  <c r="FC98" i="335"/>
  <c r="FC306" i="335"/>
  <c r="FD46" i="335"/>
  <c r="GA46" i="335" s="1"/>
  <c r="EW164" i="336"/>
  <c r="EZ85" i="335"/>
  <c r="EZ84" i="335"/>
  <c r="EY395" i="338"/>
  <c r="FE118" i="336"/>
  <c r="Y220" i="336"/>
  <c r="Y148" i="336"/>
  <c r="Y139" i="336"/>
  <c r="Y140" i="336" s="1"/>
  <c r="Y145" i="336"/>
  <c r="CK139" i="336"/>
  <c r="CK140" i="336" s="1"/>
  <c r="FY160" i="335"/>
  <c r="EM212" i="335"/>
  <c r="EO160" i="335"/>
  <c r="S373" i="335"/>
  <c r="S105" i="3"/>
  <c r="S109" i="3" s="1"/>
  <c r="DZ447" i="335"/>
  <c r="EA86" i="336"/>
  <c r="BM175" i="336"/>
  <c r="BM192" i="336"/>
  <c r="BM196" i="336" s="1"/>
  <c r="BN187" i="336"/>
  <c r="BN173" i="336"/>
  <c r="BN178" i="336"/>
  <c r="BN185" i="336"/>
  <c r="DD56" i="336"/>
  <c r="DC415" i="335"/>
  <c r="FJ74" i="3"/>
  <c r="FK23" i="3"/>
  <c r="EW81" i="336"/>
  <c r="ET442" i="335"/>
  <c r="EU442" i="335" s="1"/>
  <c r="EG419" i="335"/>
  <c r="EH58" i="336"/>
  <c r="FE36" i="335"/>
  <c r="FE37" i="335"/>
  <c r="FF37" i="335"/>
  <c r="FE79" i="335"/>
  <c r="FD20" i="335"/>
  <c r="FD33" i="335"/>
  <c r="FA119" i="335"/>
  <c r="FA120" i="335" s="1"/>
  <c r="ES35" i="338"/>
  <c r="ES37" i="338" s="1"/>
  <c r="EY433" i="338"/>
  <c r="EG213" i="335"/>
  <c r="EG215" i="335"/>
  <c r="EI212" i="335"/>
  <c r="EI213" i="335" s="1"/>
  <c r="EM67" i="11"/>
  <c r="EM34" i="11"/>
  <c r="ER187" i="335"/>
  <c r="ES324" i="335" s="1"/>
  <c r="ER185" i="335"/>
  <c r="EX27" i="11"/>
  <c r="EX13" i="11"/>
  <c r="EX14" i="11"/>
  <c r="EX12" i="11"/>
  <c r="I218" i="335"/>
  <c r="I217" i="335"/>
  <c r="I184" i="335" s="1"/>
  <c r="FK113" i="335"/>
  <c r="FK122" i="335" s="1"/>
  <c r="FK28" i="335"/>
  <c r="FL28" i="335"/>
  <c r="FK35" i="335"/>
  <c r="FJ32" i="335"/>
  <c r="FK34" i="335" s="1"/>
  <c r="FJ113" i="335"/>
  <c r="FJ119" i="335" s="1"/>
  <c r="FJ35" i="335"/>
  <c r="EG185" i="335"/>
  <c r="EG187" i="335"/>
  <c r="EI182" i="335"/>
  <c r="EF225" i="338"/>
  <c r="EF230" i="338"/>
  <c r="EX385" i="335"/>
  <c r="FD102" i="336"/>
  <c r="P462" i="335"/>
  <c r="FD79" i="335"/>
  <c r="FD80" i="335" s="1"/>
  <c r="FD36" i="335"/>
  <c r="ER214" i="338"/>
  <c r="EL224" i="338"/>
  <c r="FM136" i="335"/>
  <c r="FD122" i="335"/>
  <c r="FD124" i="335" s="1"/>
  <c r="FD107" i="335"/>
  <c r="FD119" i="335"/>
  <c r="FD120" i="335" s="1"/>
  <c r="ES339" i="338"/>
  <c r="ES338" i="338"/>
  <c r="ET338" i="338"/>
  <c r="ES39" i="11"/>
  <c r="FE102" i="336"/>
  <c r="ER213" i="335"/>
  <c r="ER215" i="335"/>
  <c r="EI170" i="335"/>
  <c r="EI350" i="335"/>
  <c r="EI173" i="335"/>
  <c r="EI368" i="335"/>
  <c r="EI298" i="335"/>
  <c r="EI171" i="335"/>
  <c r="EX160" i="338"/>
  <c r="EX163" i="338" s="1"/>
  <c r="EX113" i="338"/>
  <c r="FC46" i="11"/>
  <c r="FC313" i="335"/>
  <c r="FI288" i="335"/>
  <c r="FG73" i="335"/>
  <c r="GA73" i="335"/>
  <c r="FC288" i="335"/>
  <c r="M220" i="335"/>
  <c r="M219" i="335"/>
  <c r="DP27" i="11"/>
  <c r="DP38" i="11"/>
  <c r="DP37" i="11"/>
  <c r="DV27" i="11"/>
  <c r="DP113" i="338"/>
  <c r="DP160" i="338"/>
  <c r="DV113" i="338"/>
  <c r="DV163" i="338"/>
  <c r="ET628" i="338"/>
  <c r="ET634" i="338"/>
  <c r="ET652" i="338"/>
  <c r="ET606" i="338"/>
  <c r="ET670" i="338"/>
  <c r="ET658" i="338"/>
  <c r="ET613" i="338"/>
  <c r="ET681" i="338" s="1"/>
  <c r="ET684" i="338" s="1"/>
  <c r="ET689" i="338" s="1"/>
  <c r="FE45" i="11"/>
  <c r="FE54" i="11" s="1"/>
  <c r="FE287" i="335"/>
  <c r="FE312" i="335"/>
  <c r="EL684" i="338"/>
  <c r="EL689" i="338" s="1"/>
  <c r="EA462" i="335"/>
  <c r="EA208" i="335" s="1"/>
  <c r="EA209" i="335" s="1"/>
  <c r="DC462" i="335"/>
  <c r="DC208" i="335" s="1"/>
  <c r="DC209" i="335" s="1"/>
  <c r="EO33" i="11"/>
  <c r="P325" i="335"/>
  <c r="AI459" i="335"/>
  <c r="AI458" i="335"/>
  <c r="AI461" i="335"/>
  <c r="AI460" i="335"/>
  <c r="AI375" i="335"/>
  <c r="EC247" i="338"/>
  <c r="DW247" i="338"/>
  <c r="FD289" i="335"/>
  <c r="FD314" i="335"/>
  <c r="FD47" i="11"/>
  <c r="FD56" i="11" s="1"/>
  <c r="FC289" i="335"/>
  <c r="FI289" i="335"/>
  <c r="FC314" i="335"/>
  <c r="GA74" i="335"/>
  <c r="FG74" i="335"/>
  <c r="FC47" i="11"/>
  <c r="FD312" i="335"/>
  <c r="FD287" i="335"/>
  <c r="FD45" i="11"/>
  <c r="FD54" i="11" s="1"/>
  <c r="FU154" i="335"/>
  <c r="FU148" i="335"/>
  <c r="FU151" i="335"/>
  <c r="FV92" i="335"/>
  <c r="M185" i="335"/>
  <c r="M187" i="335"/>
  <c r="DP326" i="338"/>
  <c r="DV326" i="338"/>
  <c r="DV58" i="11"/>
  <c r="DP58" i="11"/>
  <c r="FU143" i="335"/>
  <c r="DP144" i="335"/>
  <c r="DP169" i="335"/>
  <c r="EQ607" i="338"/>
  <c r="EQ615" i="338"/>
  <c r="EQ616" i="338" s="1"/>
  <c r="EQ621" i="338" s="1"/>
  <c r="EQ622" i="338" s="1"/>
  <c r="EQ623" i="338" s="1"/>
  <c r="EM674" i="338"/>
  <c r="EM683" i="338"/>
  <c r="EM688" i="338" s="1"/>
  <c r="DW95" i="338"/>
  <c r="DW57" i="338"/>
  <c r="FZ88" i="335"/>
  <c r="EY327" i="338"/>
  <c r="EY328" i="338" s="1"/>
  <c r="EY325" i="338"/>
  <c r="EY326" i="338" s="1"/>
  <c r="EY431" i="338"/>
  <c r="EY114" i="338"/>
  <c r="EY377" i="335"/>
  <c r="EY313" i="338"/>
  <c r="EC18" i="338"/>
  <c r="D185" i="335"/>
  <c r="D187" i="335"/>
  <c r="FF45" i="11"/>
  <c r="FF54" i="11" s="1"/>
  <c r="FF287" i="335"/>
  <c r="FI312" i="335"/>
  <c r="FF312" i="335"/>
  <c r="FC286" i="335"/>
  <c r="FC89" i="335"/>
  <c r="FC88" i="335"/>
  <c r="FC96" i="335"/>
  <c r="FC311" i="335"/>
  <c r="FC312" i="335"/>
  <c r="GA72" i="335"/>
  <c r="FI287" i="335"/>
  <c r="FC45" i="11"/>
  <c r="FG72" i="335"/>
  <c r="FC287" i="335"/>
  <c r="DY246" i="338"/>
  <c r="DV247" i="338"/>
  <c r="EB247" i="338"/>
  <c r="DV246" i="338"/>
  <c r="DW76" i="11"/>
  <c r="DW79" i="11"/>
  <c r="DW83" i="11" s="1"/>
  <c r="DS145" i="336"/>
  <c r="DS392" i="335"/>
  <c r="DS369" i="335"/>
  <c r="DT369" i="335"/>
  <c r="DT392" i="335"/>
  <c r="DT122" i="336"/>
  <c r="DT145" i="336"/>
  <c r="DV100" i="335"/>
  <c r="DS101" i="335"/>
  <c r="DP101" i="335"/>
  <c r="DP494" i="338"/>
  <c r="DP206" i="335"/>
  <c r="DP207" i="335" s="1"/>
  <c r="DP100" i="335"/>
  <c r="FU99" i="335"/>
  <c r="FV100" i="335" s="1"/>
  <c r="ES626" i="338"/>
  <c r="ES675" i="338"/>
  <c r="FL129" i="335"/>
  <c r="FL130" i="335" s="1"/>
  <c r="FE47" i="11"/>
  <c r="FE56" i="11" s="1"/>
  <c r="FE289" i="335"/>
  <c r="FE314" i="335"/>
  <c r="AI189" i="335"/>
  <c r="AI351" i="335"/>
  <c r="AJ324" i="335"/>
  <c r="EA76" i="11"/>
  <c r="EC75" i="11"/>
  <c r="EA79" i="11"/>
  <c r="EA83" i="11" s="1"/>
  <c r="EG75" i="11"/>
  <c r="DU11" i="336"/>
  <c r="DU15" i="336" s="1"/>
  <c r="DU21" i="336" s="1"/>
  <c r="DU145" i="336"/>
  <c r="DU113" i="336"/>
  <c r="DU369" i="335"/>
  <c r="DU112" i="336"/>
  <c r="DU392" i="335"/>
  <c r="DV430" i="338"/>
  <c r="DV429" i="338"/>
  <c r="DP328" i="338"/>
  <c r="DV328" i="338"/>
  <c r="CR488" i="338"/>
  <c r="CU489" i="338"/>
  <c r="EC19" i="338"/>
  <c r="EC109" i="338"/>
  <c r="EC110" i="338" s="1"/>
  <c r="EC54" i="338"/>
  <c r="EC96" i="338"/>
  <c r="EC55" i="338"/>
  <c r="DW726" i="338"/>
  <c r="DW721" i="338"/>
  <c r="EW131" i="336"/>
  <c r="FC131" i="336" s="1"/>
  <c r="FI131" i="336" s="1"/>
  <c r="FZ132" i="335"/>
  <c r="FZ133" i="335" s="1"/>
  <c r="FA132" i="335"/>
  <c r="FA133" i="335" s="1"/>
  <c r="EW133" i="335"/>
  <c r="FC133" i="335" s="1"/>
  <c r="FC57" i="335"/>
  <c r="FD58" i="335"/>
  <c r="FC58" i="335"/>
  <c r="FC83" i="335"/>
  <c r="FG56" i="335"/>
  <c r="FE46" i="11"/>
  <c r="FE55" i="11" s="1"/>
  <c r="FE288" i="335"/>
  <c r="FE313" i="335"/>
  <c r="CR209" i="335"/>
  <c r="AD218" i="335"/>
  <c r="AD217" i="335"/>
  <c r="AD184" i="335" s="1"/>
  <c r="FF313" i="335"/>
  <c r="FF288" i="335"/>
  <c r="FF46" i="11"/>
  <c r="FF55" i="11" s="1"/>
  <c r="FI313" i="335"/>
  <c r="DQ102" i="336"/>
  <c r="DP385" i="335"/>
  <c r="DQ385" i="335" s="1"/>
  <c r="DQ391" i="338" s="1"/>
  <c r="BB300" i="335"/>
  <c r="BB190" i="335"/>
  <c r="EZ54" i="335"/>
  <c r="EY13" i="338"/>
  <c r="EY15" i="338" s="1"/>
  <c r="EY12" i="338"/>
  <c r="EY17" i="338" s="1"/>
  <c r="EY8" i="338"/>
  <c r="EZ13" i="338"/>
  <c r="EZ15" i="338" s="1"/>
  <c r="D215" i="335"/>
  <c r="D213" i="335"/>
  <c r="FD93" i="11"/>
  <c r="FD97" i="11" s="1"/>
  <c r="FJ89" i="11"/>
  <c r="FD104" i="11"/>
  <c r="FD108" i="11" s="1"/>
  <c r="FD112" i="11" s="1"/>
  <c r="FF314" i="335"/>
  <c r="FF289" i="335"/>
  <c r="FI314" i="335"/>
  <c r="FF47" i="11"/>
  <c r="FF56" i="11" s="1"/>
  <c r="FD288" i="335"/>
  <c r="FD313" i="335"/>
  <c r="FD46" i="11"/>
  <c r="FD55" i="11" s="1"/>
  <c r="DN114" i="338"/>
  <c r="DT290" i="335"/>
  <c r="DN143" i="335"/>
  <c r="DN157" i="335"/>
  <c r="DN347" i="335"/>
  <c r="DT92" i="335"/>
  <c r="DN15" i="11"/>
  <c r="DN151" i="335"/>
  <c r="DN313" i="338"/>
  <c r="DN154" i="335"/>
  <c r="DN348" i="335"/>
  <c r="DN339" i="335"/>
  <c r="DN343" i="335"/>
  <c r="DN346" i="335"/>
  <c r="DN342" i="335"/>
  <c r="DN331" i="335"/>
  <c r="DN163" i="336"/>
  <c r="DN334" i="335"/>
  <c r="DN328" i="335"/>
  <c r="DN290" i="335"/>
  <c r="DO315" i="335"/>
  <c r="DN345" i="335"/>
  <c r="DN325" i="338"/>
  <c r="DN338" i="335"/>
  <c r="DN333" i="335"/>
  <c r="DN330" i="335"/>
  <c r="DN99" i="335"/>
  <c r="DO93" i="335"/>
  <c r="DN194" i="335"/>
  <c r="DN329" i="335"/>
  <c r="DN341" i="335"/>
  <c r="DN148" i="335"/>
  <c r="DN327" i="338"/>
  <c r="DN49" i="11"/>
  <c r="DN431" i="338"/>
  <c r="DN102" i="336"/>
  <c r="DN385" i="335" s="1"/>
  <c r="DN337" i="335"/>
  <c r="DN92" i="335"/>
  <c r="DN336" i="335"/>
  <c r="GA136" i="335"/>
  <c r="DQ110" i="11"/>
  <c r="DQ114" i="11" s="1"/>
  <c r="DI55" i="338"/>
  <c r="DI18" i="338"/>
  <c r="DI54" i="338"/>
  <c r="CW125" i="11"/>
  <c r="CW130" i="11" s="1"/>
  <c r="DC125" i="11"/>
  <c r="DC129" i="11" s="1"/>
  <c r="CY58" i="338"/>
  <c r="DE57" i="338" s="1"/>
  <c r="CY124" i="11"/>
  <c r="CY128" i="11" s="1"/>
  <c r="DN125" i="11"/>
  <c r="DN129" i="11" s="1"/>
  <c r="DH125" i="11"/>
  <c r="DH129" i="11" s="1"/>
  <c r="DI164" i="338"/>
  <c r="DI507" i="338"/>
  <c r="CA124" i="11"/>
  <c r="CA96" i="338" s="1"/>
  <c r="CA58" i="338"/>
  <c r="CG124" i="11"/>
  <c r="CG96" i="338" s="1"/>
  <c r="EM71" i="336"/>
  <c r="EL432" i="335"/>
  <c r="EG414" i="335"/>
  <c r="EH53" i="336"/>
  <c r="DQ362" i="335"/>
  <c r="DQ360" i="335" s="1"/>
  <c r="DQ121" i="11"/>
  <c r="EM422" i="335"/>
  <c r="EN61" i="336"/>
  <c r="CG213" i="336"/>
  <c r="CG214" i="336" s="1"/>
  <c r="CI215" i="336"/>
  <c r="CI213" i="336" s="1"/>
  <c r="DU125" i="11"/>
  <c r="DU129" i="11" s="1"/>
  <c r="DO125" i="11"/>
  <c r="DO129" i="11" s="1"/>
  <c r="DK57" i="338"/>
  <c r="DE95" i="338"/>
  <c r="DH507" i="338"/>
  <c r="DH164" i="338"/>
  <c r="EA688" i="338"/>
  <c r="EA685" i="338"/>
  <c r="CY690" i="338"/>
  <c r="DM688" i="338"/>
  <c r="DM685" i="338"/>
  <c r="CX690" i="338"/>
  <c r="CX686" i="338"/>
  <c r="DJ689" i="338"/>
  <c r="DJ685" i="338"/>
  <c r="EO679" i="338"/>
  <c r="EM684" i="338"/>
  <c r="DG687" i="338"/>
  <c r="DG683" i="338"/>
  <c r="DG688" i="338" s="1"/>
  <c r="DV690" i="338"/>
  <c r="DV686" i="338"/>
  <c r="DZ686" i="338"/>
  <c r="DZ690" i="338"/>
  <c r="DU686" i="338"/>
  <c r="DU690" i="338"/>
  <c r="CW686" i="338"/>
  <c r="CW690" i="338"/>
  <c r="CK688" i="338"/>
  <c r="CK685" i="338"/>
  <c r="CK690" i="338" s="1"/>
  <c r="BO685" i="338"/>
  <c r="DO688" i="338"/>
  <c r="DO685" i="338"/>
  <c r="DK124" i="11"/>
  <c r="DK128" i="11" s="1"/>
  <c r="DQ124" i="11"/>
  <c r="DQ128" i="11" s="1"/>
  <c r="DK121" i="11"/>
  <c r="DK125" i="11" s="1"/>
  <c r="DK129" i="11" s="1"/>
  <c r="DK362" i="335"/>
  <c r="DK360" i="335" s="1"/>
  <c r="DK110" i="11"/>
  <c r="DK114" i="11" s="1"/>
  <c r="DG125" i="11"/>
  <c r="DM125" i="11"/>
  <c r="DM129" i="11" s="1"/>
  <c r="FD217" i="338"/>
  <c r="FG219" i="338"/>
  <c r="FG220" i="338" s="1"/>
  <c r="FJ219" i="338"/>
  <c r="CU688" i="338"/>
  <c r="CU685" i="338"/>
  <c r="DT690" i="338"/>
  <c r="DT686" i="338"/>
  <c r="DS686" i="338"/>
  <c r="DS690" i="338"/>
  <c r="FK217" i="338"/>
  <c r="FK218" i="338" s="1"/>
  <c r="DH685" i="338"/>
  <c r="DH688" i="338"/>
  <c r="DN686" i="338"/>
  <c r="DN690" i="338"/>
  <c r="CS685" i="338"/>
  <c r="EX218" i="338"/>
  <c r="DY685" i="338"/>
  <c r="DY688" i="338"/>
  <c r="EZ291" i="338"/>
  <c r="EZ292" i="338"/>
  <c r="FA292" i="338" s="1"/>
  <c r="FA746" i="338" s="1"/>
  <c r="EZ298" i="338"/>
  <c r="EZ299" i="338"/>
  <c r="EZ301" i="338"/>
  <c r="EZ297" i="338"/>
  <c r="FA297" i="338" s="1"/>
  <c r="FA772" i="338" s="1"/>
  <c r="DB690" i="338"/>
  <c r="DB686" i="338"/>
  <c r="DW285" i="338"/>
  <c r="DW315" i="338"/>
  <c r="DW388" i="335"/>
  <c r="DW393" i="335" s="1"/>
  <c r="EB388" i="335"/>
  <c r="EB393" i="335" s="1"/>
  <c r="EC277" i="338"/>
  <c r="CV690" i="338"/>
  <c r="CV686" i="338"/>
  <c r="EO182" i="338"/>
  <c r="DU96" i="338"/>
  <c r="DU19" i="338"/>
  <c r="DU90" i="11"/>
  <c r="DU54" i="338"/>
  <c r="DU55" i="338"/>
  <c r="DU18" i="338"/>
  <c r="FA322" i="338"/>
  <c r="FA390" i="335"/>
  <c r="CP785" i="338"/>
  <c r="CQ786" i="338" s="1"/>
  <c r="CO689" i="338"/>
  <c r="CO685" i="338"/>
  <c r="CO690" i="338" s="1"/>
  <c r="DP685" i="338"/>
  <c r="DP688" i="338"/>
  <c r="DA690" i="338"/>
  <c r="DA686" i="338"/>
  <c r="FM728" i="338"/>
  <c r="FM139" i="335"/>
  <c r="EI278" i="338"/>
  <c r="EH277" i="338"/>
  <c r="EN278" i="338"/>
  <c r="CM685" i="338"/>
  <c r="DW690" i="338"/>
  <c r="DW686" i="338"/>
  <c r="DG689" i="338"/>
  <c r="DG685" i="338"/>
  <c r="DQ688" i="338"/>
  <c r="DQ685" i="338"/>
  <c r="FC390" i="335"/>
  <c r="FD319" i="338"/>
  <c r="FC282" i="338"/>
  <c r="FC300" i="338"/>
  <c r="FC301" i="338" s="1"/>
  <c r="DC690" i="338"/>
  <c r="DC686" i="338"/>
  <c r="EI176" i="338"/>
  <c r="AD51" i="3"/>
  <c r="AE51" i="3" s="1"/>
  <c r="AE25" i="3"/>
  <c r="AW106" i="3"/>
  <c r="AW109" i="3"/>
  <c r="AW110" i="3" s="1"/>
  <c r="DG507" i="338"/>
  <c r="DG164" i="338"/>
  <c r="EB398" i="335"/>
  <c r="DZ398" i="335"/>
  <c r="EA398" i="335"/>
  <c r="EE398" i="335"/>
  <c r="AD109" i="3"/>
  <c r="BB25" i="3"/>
  <c r="BO418" i="338"/>
  <c r="BO400" i="338"/>
  <c r="BO401" i="338"/>
  <c r="AD45" i="3"/>
  <c r="AK38" i="3"/>
  <c r="AK41" i="3" s="1"/>
  <c r="AJ41" i="3"/>
  <c r="AG398" i="335"/>
  <c r="AH398" i="335"/>
  <c r="AD398" i="335"/>
  <c r="BI99" i="3"/>
  <c r="BB397" i="335"/>
  <c r="BC383" i="335"/>
  <c r="BC397" i="335" s="1"/>
  <c r="BC385" i="338" s="1"/>
  <c r="AW416" i="338"/>
  <c r="AW400" i="338"/>
  <c r="BH397" i="335"/>
  <c r="BI383" i="335"/>
  <c r="BI397" i="335" s="1"/>
  <c r="BI385" i="338" s="1"/>
  <c r="BI386" i="338" s="1"/>
  <c r="BO99" i="3"/>
  <c r="BO416" i="338"/>
  <c r="AQ32" i="3"/>
  <c r="AP33" i="3"/>
  <c r="Y109" i="3"/>
  <c r="Y110" i="3" s="1"/>
  <c r="Y106" i="3"/>
  <c r="AV397" i="335"/>
  <c r="AW383" i="335"/>
  <c r="AW397" i="335" s="1"/>
  <c r="AW385" i="338" s="1"/>
  <c r="AJ105" i="3"/>
  <c r="AJ383" i="335"/>
  <c r="AJ397" i="335" s="1"/>
  <c r="AO398" i="335" s="1"/>
  <c r="AJ373" i="335"/>
  <c r="AK373" i="335" s="1"/>
  <c r="AN373" i="335"/>
  <c r="AM373" i="335"/>
  <c r="AJ87" i="3"/>
  <c r="AO373" i="335"/>
  <c r="V110" i="3"/>
  <c r="AB110" i="3"/>
  <c r="DG18" i="338"/>
  <c r="DG55" i="338"/>
  <c r="DG96" i="338"/>
  <c r="DG97" i="338" s="1"/>
  <c r="DG54" i="338"/>
  <c r="BI9" i="3"/>
  <c r="BH25" i="3"/>
  <c r="BB137" i="336"/>
  <c r="BC142" i="336"/>
  <c r="BC137" i="336" s="1"/>
  <c r="EO109" i="3"/>
  <c r="EO106" i="3"/>
  <c r="EO108" i="3"/>
  <c r="EU106" i="3"/>
  <c r="R49" i="3"/>
  <c r="S49" i="3" s="1"/>
  <c r="U47" i="3" s="1"/>
  <c r="S45" i="3"/>
  <c r="BB114" i="3"/>
  <c r="BB106" i="3"/>
  <c r="BB109" i="3"/>
  <c r="BI105" i="3"/>
  <c r="AK76" i="3"/>
  <c r="AK105" i="3" s="1"/>
  <c r="AI109" i="3"/>
  <c r="AO106" i="3"/>
  <c r="AI106" i="3"/>
  <c r="BM106" i="3"/>
  <c r="BS106" i="3"/>
  <c r="BM109" i="3"/>
  <c r="BM114" i="3"/>
  <c r="BO109" i="3"/>
  <c r="BO106" i="3"/>
  <c r="BU106" i="3"/>
  <c r="BN106" i="3"/>
  <c r="BT106" i="3"/>
  <c r="BN109" i="3"/>
  <c r="BI31" i="3"/>
  <c r="BH33" i="3"/>
  <c r="BI33" i="3" s="1"/>
  <c r="AA373" i="335"/>
  <c r="X87" i="3"/>
  <c r="Y87" i="3" s="1"/>
  <c r="AB373" i="335"/>
  <c r="X373" i="335"/>
  <c r="Y373" i="335" s="1"/>
  <c r="X105" i="3"/>
  <c r="X99" i="3"/>
  <c r="AC373" i="335"/>
  <c r="AE109" i="3"/>
  <c r="AE106" i="3"/>
  <c r="BY139" i="336"/>
  <c r="BY140" i="336" s="1"/>
  <c r="BZ137" i="336"/>
  <c r="CA137" i="336" s="1"/>
  <c r="BZ139" i="336"/>
  <c r="BZ140" i="336" s="1"/>
  <c r="BY135" i="336"/>
  <c r="AQ99" i="3"/>
  <c r="AV106" i="3"/>
  <c r="AV109" i="3"/>
  <c r="AV110" i="3" s="1"/>
  <c r="AK19" i="3"/>
  <c r="AK417" i="338" s="1"/>
  <c r="AJ25" i="3"/>
  <c r="BY397" i="335"/>
  <c r="CA383" i="335"/>
  <c r="CA397" i="335" s="1"/>
  <c r="CA385" i="338" s="1"/>
  <c r="AW99" i="3"/>
  <c r="BC416" i="338"/>
  <c r="BC400" i="338"/>
  <c r="Y101" i="3"/>
  <c r="U103" i="3"/>
  <c r="V101" i="3" s="1"/>
  <c r="V103" i="3" s="1"/>
  <c r="W101" i="3" s="1"/>
  <c r="W103" i="3" s="1"/>
  <c r="X101" i="3" s="1"/>
  <c r="BC109" i="3"/>
  <c r="BC110" i="3" s="1"/>
  <c r="BC106" i="3"/>
  <c r="BH114" i="3"/>
  <c r="BH106" i="3"/>
  <c r="BH109" i="3"/>
  <c r="BH110" i="3" s="1"/>
  <c r="AI397" i="335"/>
  <c r="BM397" i="335"/>
  <c r="BO383" i="335"/>
  <c r="BO397" i="335" s="1"/>
  <c r="BO385" i="338" s="1"/>
  <c r="BN25" i="3"/>
  <c r="BN45" i="3" s="1"/>
  <c r="Y16" i="3"/>
  <c r="X25" i="3"/>
  <c r="X45" i="3" s="1"/>
  <c r="BA51" i="3"/>
  <c r="BA45" i="3"/>
  <c r="DZ110" i="3"/>
  <c r="EF110" i="3"/>
  <c r="AV51" i="3"/>
  <c r="AW51" i="3" s="1"/>
  <c r="AW25" i="3"/>
  <c r="BY109" i="3"/>
  <c r="BY106" i="3"/>
  <c r="CE106" i="3"/>
  <c r="BY114" i="3"/>
  <c r="BY115" i="3" s="1"/>
  <c r="EI385" i="338"/>
  <c r="EC385" i="338"/>
  <c r="EC399" i="335"/>
  <c r="EI399" i="335"/>
  <c r="BO33" i="3"/>
  <c r="AJ99" i="3"/>
  <c r="AK99" i="3" s="1"/>
  <c r="AW36" i="3"/>
  <c r="AW41" i="3" s="1"/>
  <c r="AV41" i="3"/>
  <c r="AV45" i="3" s="1"/>
  <c r="BC99" i="3"/>
  <c r="W109" i="3"/>
  <c r="W110" i="3" s="1"/>
  <c r="W106" i="3"/>
  <c r="AK87" i="3"/>
  <c r="CG106" i="3"/>
  <c r="CA109" i="3"/>
  <c r="CA106" i="3"/>
  <c r="CL139" i="336"/>
  <c r="CL140" i="336" s="1"/>
  <c r="CK135" i="336"/>
  <c r="CL137" i="336"/>
  <c r="CM137" i="336" s="1"/>
  <c r="BI144" i="336"/>
  <c r="ES394" i="338"/>
  <c r="CS281" i="336"/>
  <c r="CY276" i="336" s="1"/>
  <c r="CU266" i="336"/>
  <c r="CU271" i="336" s="1"/>
  <c r="CV266" i="336" s="1"/>
  <c r="CV271" i="336" s="1"/>
  <c r="CW266" i="336" s="1"/>
  <c r="CW271" i="336" s="1"/>
  <c r="CX266" i="336" s="1"/>
  <c r="CX271" i="336" s="1"/>
  <c r="CY266" i="336"/>
  <c r="CY271" i="336" s="1"/>
  <c r="CJ285" i="336"/>
  <c r="CJ246" i="336"/>
  <c r="CJ253" i="336" s="1"/>
  <c r="CK266" i="336"/>
  <c r="CK271" i="336" s="1"/>
  <c r="EY436" i="335"/>
  <c r="EZ75" i="336"/>
  <c r="FF19" i="336"/>
  <c r="FE29" i="3"/>
  <c r="FE81" i="3" s="1"/>
  <c r="FE30" i="3"/>
  <c r="FE82" i="3" s="1"/>
  <c r="EZ79" i="336"/>
  <c r="EY440" i="335"/>
  <c r="EY63" i="336"/>
  <c r="EX424" i="335"/>
  <c r="BH175" i="336"/>
  <c r="BH192" i="336"/>
  <c r="BH196" i="336" s="1"/>
  <c r="EB55" i="338"/>
  <c r="EB18" i="338"/>
  <c r="EB54" i="338"/>
  <c r="EB19" i="338"/>
  <c r="EB96" i="338"/>
  <c r="EB109" i="338"/>
  <c r="EB110" i="338" s="1"/>
  <c r="EY67" i="336"/>
  <c r="EX428" i="335"/>
  <c r="FG23" i="3"/>
  <c r="FF74" i="3"/>
  <c r="FG74" i="3" s="1"/>
  <c r="DV19" i="336"/>
  <c r="DU98" i="336"/>
  <c r="DG416" i="335"/>
  <c r="DH55" i="336"/>
  <c r="DD419" i="335"/>
  <c r="DG60" i="336"/>
  <c r="ET80" i="336"/>
  <c r="ES441" i="335"/>
  <c r="FC91" i="336"/>
  <c r="EZ452" i="335"/>
  <c r="FA452" i="335" s="1"/>
  <c r="EW437" i="335"/>
  <c r="EX76" i="336"/>
  <c r="EB507" i="338"/>
  <c r="EB164" i="338"/>
  <c r="DT99" i="336"/>
  <c r="DH445" i="335"/>
  <c r="DI84" i="336"/>
  <c r="EQ434" i="335"/>
  <c r="ER73" i="336"/>
  <c r="ET449" i="335"/>
  <c r="EU449" i="335" s="1"/>
  <c r="EW88" i="336"/>
  <c r="EY82" i="336"/>
  <c r="EX443" i="335"/>
  <c r="DM64" i="336"/>
  <c r="DJ425" i="335"/>
  <c r="DK425" i="335" s="1"/>
  <c r="DD48" i="336"/>
  <c r="EK420" i="335"/>
  <c r="EL59" i="336"/>
  <c r="AY220" i="335"/>
  <c r="AY219" i="335"/>
  <c r="ER674" i="338"/>
  <c r="EG228" i="335"/>
  <c r="EG229" i="335" s="1"/>
  <c r="EG209" i="336" s="1"/>
  <c r="EF229" i="335"/>
  <c r="EF209" i="336" s="1"/>
  <c r="BA219" i="335"/>
  <c r="BA220" i="335"/>
  <c r="BG221" i="335" s="1"/>
  <c r="EF689" i="338"/>
  <c r="EA201" i="335"/>
  <c r="EA202" i="335" s="1"/>
  <c r="EA200" i="335"/>
  <c r="CK183" i="336"/>
  <c r="CK208" i="336"/>
  <c r="BL230" i="336"/>
  <c r="BL220" i="335"/>
  <c r="BL234" i="335"/>
  <c r="BL207" i="336"/>
  <c r="BL210" i="336" s="1"/>
  <c r="BL211" i="336" s="1"/>
  <c r="BL219" i="335"/>
  <c r="AP217" i="335"/>
  <c r="AP184" i="335" s="1"/>
  <c r="AP218" i="335"/>
  <c r="AQ218" i="335" s="1"/>
  <c r="EE209" i="336"/>
  <c r="DB219" i="335"/>
  <c r="DB207" i="336"/>
  <c r="DB184" i="336" s="1"/>
  <c r="DB220" i="335"/>
  <c r="EG686" i="338"/>
  <c r="EG690" i="338"/>
  <c r="DC200" i="335"/>
  <c r="DC201" i="335"/>
  <c r="DC202" i="335" s="1"/>
  <c r="EA487" i="338"/>
  <c r="EB325" i="335"/>
  <c r="AN185" i="335"/>
  <c r="AN187" i="335"/>
  <c r="AY351" i="335"/>
  <c r="AY324" i="335"/>
  <c r="AZ324" i="335"/>
  <c r="AY299" i="335"/>
  <c r="BC187" i="335"/>
  <c r="AY189" i="335"/>
  <c r="BE299" i="335"/>
  <c r="BF372" i="335"/>
  <c r="BE372" i="335"/>
  <c r="BB325" i="335"/>
  <c r="BA325" i="335"/>
  <c r="BL459" i="335"/>
  <c r="BL460" i="335"/>
  <c r="BL208" i="335"/>
  <c r="BL461" i="335"/>
  <c r="BL375" i="335"/>
  <c r="BL184" i="335"/>
  <c r="BL458" i="335"/>
  <c r="BL114" i="3"/>
  <c r="BL239" i="335"/>
  <c r="BC217" i="335"/>
  <c r="BC218" i="335"/>
  <c r="FM99" i="338"/>
  <c r="FM108" i="338"/>
  <c r="FM110" i="338" s="1"/>
  <c r="AC217" i="335"/>
  <c r="AC184" i="335" s="1"/>
  <c r="AC218" i="335"/>
  <c r="AE215" i="335"/>
  <c r="AE217" i="335" s="1"/>
  <c r="AE184" i="335" s="1"/>
  <c r="AE185" i="335" s="1"/>
  <c r="AE375" i="335" s="1"/>
  <c r="FL103" i="336"/>
  <c r="FG103" i="336"/>
  <c r="FF413" i="338"/>
  <c r="FG413" i="338" s="1"/>
  <c r="CK60" i="3"/>
  <c r="CK25" i="3"/>
  <c r="CL60" i="3"/>
  <c r="CL76" i="3" s="1"/>
  <c r="FL58" i="335"/>
  <c r="FL57" i="335"/>
  <c r="EA219" i="335"/>
  <c r="EA220" i="335"/>
  <c r="EA207" i="336"/>
  <c r="EA184" i="336" s="1"/>
  <c r="AQ215" i="335"/>
  <c r="AQ217" i="335" s="1"/>
  <c r="AQ184" i="335" s="1"/>
  <c r="AQ185" i="335" s="1"/>
  <c r="AQ375" i="335" s="1"/>
  <c r="BC375" i="335"/>
  <c r="BC114" i="3"/>
  <c r="FM56" i="335"/>
  <c r="FK185" i="335"/>
  <c r="FJ458" i="335"/>
  <c r="FJ460" i="335"/>
  <c r="FL74" i="11"/>
  <c r="FF78" i="11"/>
  <c r="FF82" i="11" s="1"/>
  <c r="ER650" i="338"/>
  <c r="ER678" i="338"/>
  <c r="ER687" i="338" s="1"/>
  <c r="EB690" i="338"/>
  <c r="EB686" i="338"/>
  <c r="FM68" i="335"/>
  <c r="CK499" i="338"/>
  <c r="AN220" i="335"/>
  <c r="AN219" i="335"/>
  <c r="DC487" i="338"/>
  <c r="DC372" i="335"/>
  <c r="DC325" i="335"/>
  <c r="BB371" i="335"/>
  <c r="BC371" i="335" s="1"/>
  <c r="CC233" i="336"/>
  <c r="CC234" i="336"/>
  <c r="DH96" i="338"/>
  <c r="DH54" i="338"/>
  <c r="DH55" i="338"/>
  <c r="DH18" i="338"/>
  <c r="FJ314" i="335"/>
  <c r="FJ47" i="11"/>
  <c r="FJ289" i="335"/>
  <c r="GB74" i="335"/>
  <c r="FL118" i="336"/>
  <c r="FG118" i="336"/>
  <c r="FK47" i="11"/>
  <c r="FK20" i="335"/>
  <c r="FK33" i="335"/>
  <c r="EX141" i="335"/>
  <c r="EX105" i="335"/>
  <c r="EX341" i="335"/>
  <c r="FZ104" i="335"/>
  <c r="CC512" i="338"/>
  <c r="CC239" i="336"/>
  <c r="CC240" i="336" s="1"/>
  <c r="DG187" i="335"/>
  <c r="DG185" i="335"/>
  <c r="DP179" i="335"/>
  <c r="DQ179" i="335" s="1"/>
  <c r="EU719" i="338"/>
  <c r="EU762" i="338"/>
  <c r="FA719" i="338"/>
  <c r="EU757" i="338"/>
  <c r="EU144" i="335"/>
  <c r="EU388" i="338" s="1"/>
  <c r="FM166" i="338"/>
  <c r="FM167" i="338" s="1"/>
  <c r="DI176" i="335"/>
  <c r="DJ180" i="335"/>
  <c r="DK180" i="335" s="1"/>
  <c r="EU112" i="336"/>
  <c r="EU394" i="338" s="1"/>
  <c r="ET394" i="338"/>
  <c r="ES459" i="335"/>
  <c r="ES460" i="335"/>
  <c r="ES461" i="335"/>
  <c r="ES458" i="335"/>
  <c r="ES114" i="3"/>
  <c r="ES375" i="335"/>
  <c r="ES199" i="335"/>
  <c r="EQ635" i="338"/>
  <c r="EQ633" i="338" s="1"/>
  <c r="EQ632" i="338" s="1"/>
  <c r="EQ653" i="338"/>
  <c r="EQ651" i="338" s="1"/>
  <c r="EQ641" i="338"/>
  <c r="EQ639" i="338" s="1"/>
  <c r="EQ638" i="338" s="1"/>
  <c r="EQ647" i="338"/>
  <c r="EQ645" i="338" s="1"/>
  <c r="EQ644" i="338" s="1"/>
  <c r="EQ659" i="338"/>
  <c r="EQ657" i="338" s="1"/>
  <c r="EQ656" i="338" s="1"/>
  <c r="EQ665" i="338"/>
  <c r="EQ663" i="338" s="1"/>
  <c r="EQ662" i="338" s="1"/>
  <c r="EQ671" i="338"/>
  <c r="EQ669" i="338" s="1"/>
  <c r="EQ668" i="338" s="1"/>
  <c r="EQ629" i="338"/>
  <c r="EQ627" i="338" s="1"/>
  <c r="EQ39" i="11"/>
  <c r="EQ409" i="338"/>
  <c r="EQ124" i="336"/>
  <c r="EQ125" i="336"/>
  <c r="EW80" i="335"/>
  <c r="FA79" i="335"/>
  <c r="FA80" i="335" s="1"/>
  <c r="EW81" i="335"/>
  <c r="EX81" i="335"/>
  <c r="FL116" i="336"/>
  <c r="FG116" i="336"/>
  <c r="Q185" i="335"/>
  <c r="Q187" i="335"/>
  <c r="FF21" i="335"/>
  <c r="FF23" i="338"/>
  <c r="FF14" i="335"/>
  <c r="DH214" i="335"/>
  <c r="DH215" i="335" s="1"/>
  <c r="DH182" i="335"/>
  <c r="FL20" i="335"/>
  <c r="FL33" i="335"/>
  <c r="FL34" i="335"/>
  <c r="EQ170" i="335"/>
  <c r="EQ350" i="335"/>
  <c r="ER323" i="335"/>
  <c r="EQ212" i="335"/>
  <c r="EQ182" i="335"/>
  <c r="EQ298" i="335"/>
  <c r="EQ171" i="335"/>
  <c r="EQ323" i="335"/>
  <c r="ER368" i="335"/>
  <c r="EQ368" i="335"/>
  <c r="EQ173" i="335"/>
  <c r="EQ174" i="335" s="1"/>
  <c r="FY169" i="335"/>
  <c r="FY170" i="335" s="1"/>
  <c r="ES368" i="335"/>
  <c r="FJ288" i="335"/>
  <c r="FJ46" i="11"/>
  <c r="FJ313" i="335"/>
  <c r="FM73" i="335"/>
  <c r="GB73" i="335"/>
  <c r="CC187" i="336"/>
  <c r="CC178" i="336"/>
  <c r="CC173" i="336"/>
  <c r="EU160" i="338"/>
  <c r="EU163" i="338" s="1"/>
  <c r="EU113" i="338"/>
  <c r="CQ208" i="336"/>
  <c r="CQ210" i="336" s="1"/>
  <c r="CQ211" i="336" s="1"/>
  <c r="CQ183" i="336"/>
  <c r="FF108" i="335"/>
  <c r="DC499" i="338"/>
  <c r="FA124" i="335"/>
  <c r="EU392" i="335"/>
  <c r="EU369" i="335"/>
  <c r="EU394" i="335"/>
  <c r="FK287" i="335"/>
  <c r="FK312" i="335"/>
  <c r="FK45" i="11"/>
  <c r="FJ287" i="335"/>
  <c r="FJ312" i="335"/>
  <c r="FJ45" i="11"/>
  <c r="FM72" i="335"/>
  <c r="GB72" i="335"/>
  <c r="ES189" i="335"/>
  <c r="ES351" i="335"/>
  <c r="BI263" i="336"/>
  <c r="BI233" i="336"/>
  <c r="EQ35" i="338"/>
  <c r="EQ37" i="338" s="1"/>
  <c r="EQ127" i="11"/>
  <c r="EQ128" i="11"/>
  <c r="FK46" i="11"/>
  <c r="FK288" i="335"/>
  <c r="FK313" i="335"/>
  <c r="FC79" i="335"/>
  <c r="FC36" i="335"/>
  <c r="FC37" i="335"/>
  <c r="GA35" i="335"/>
  <c r="GA36" i="335" s="1"/>
  <c r="FG35" i="335"/>
  <c r="FD37" i="335"/>
  <c r="FJ179" i="335"/>
  <c r="ER689" i="338"/>
  <c r="EQ684" i="338"/>
  <c r="EU676" i="338"/>
  <c r="FI225" i="338"/>
  <c r="EU27" i="11"/>
  <c r="FA107" i="335"/>
  <c r="EW108" i="335"/>
  <c r="ET124" i="336"/>
  <c r="ET125" i="336"/>
  <c r="EU122" i="336"/>
  <c r="ET409" i="338"/>
  <c r="EU409" i="338" s="1"/>
  <c r="ER125" i="336"/>
  <c r="ER124" i="336"/>
  <c r="ER409" i="338"/>
  <c r="EO676" i="338"/>
  <c r="EK684" i="338"/>
  <c r="FC33" i="335"/>
  <c r="FC34" i="335"/>
  <c r="FD34" i="335"/>
  <c r="FG32" i="335"/>
  <c r="FC20" i="335"/>
  <c r="GA32" i="335"/>
  <c r="W220" i="335"/>
  <c r="W219" i="335"/>
  <c r="BI237" i="336"/>
  <c r="BI240" i="336" s="1"/>
  <c r="EQ207" i="335"/>
  <c r="EU206" i="335"/>
  <c r="EU207" i="335" s="1"/>
  <c r="FL289" i="335"/>
  <c r="FL314" i="335"/>
  <c r="FL47" i="11"/>
  <c r="FL119" i="335"/>
  <c r="FL120" i="335" s="1"/>
  <c r="FL107" i="335"/>
  <c r="W185" i="335"/>
  <c r="W187" i="335"/>
  <c r="FE21" i="335"/>
  <c r="DG215" i="335"/>
  <c r="Q220" i="335"/>
  <c r="Q219" i="335"/>
  <c r="S218" i="335"/>
  <c r="EN607" i="338"/>
  <c r="EN615" i="338"/>
  <c r="EN616" i="338" s="1"/>
  <c r="EN681" i="338"/>
  <c r="EN684" i="338" s="1"/>
  <c r="EN689" i="338" s="1"/>
  <c r="DC208" i="336"/>
  <c r="DC210" i="336" s="1"/>
  <c r="DC211" i="336" s="1"/>
  <c r="DC183" i="336"/>
  <c r="ER394" i="338"/>
  <c r="ES125" i="336"/>
  <c r="ES409" i="338"/>
  <c r="ES124" i="336"/>
  <c r="FL287" i="335"/>
  <c r="FL312" i="335"/>
  <c r="FL45" i="11"/>
  <c r="FI180" i="335"/>
  <c r="FG180" i="335"/>
  <c r="FM116" i="335"/>
  <c r="FM117" i="335" s="1"/>
  <c r="FA395" i="338"/>
  <c r="EQ33" i="11"/>
  <c r="EQ67" i="11" s="1"/>
  <c r="EQ163" i="338"/>
  <c r="EQ161" i="338"/>
  <c r="ER161" i="338"/>
  <c r="FL313" i="335"/>
  <c r="FL288" i="335"/>
  <c r="FL46" i="11"/>
  <c r="FA36" i="335"/>
  <c r="EW459" i="338"/>
  <c r="EX461" i="338" s="1"/>
  <c r="EW22" i="335"/>
  <c r="EW21" i="335"/>
  <c r="FA20" i="335"/>
  <c r="EW23" i="338"/>
  <c r="EW14" i="335"/>
  <c r="EX22" i="335"/>
  <c r="FC122" i="335"/>
  <c r="FG113" i="335"/>
  <c r="FG114" i="335" s="1"/>
  <c r="FC107" i="335"/>
  <c r="FC119" i="335"/>
  <c r="FI32" i="335"/>
  <c r="FI28" i="335"/>
  <c r="FI113" i="335"/>
  <c r="FI35" i="335"/>
  <c r="FJ28" i="335"/>
  <c r="FM26" i="335"/>
  <c r="FM27" i="335" s="1"/>
  <c r="CA54" i="338"/>
  <c r="CG39" i="338"/>
  <c r="CA39" i="338"/>
  <c r="CA53" i="338"/>
  <c r="FP55" i="11"/>
  <c r="CG54" i="338"/>
  <c r="CG55" i="338" s="1"/>
  <c r="FF13" i="336"/>
  <c r="CF266" i="336"/>
  <c r="CF271" i="336" s="1"/>
  <c r="CF246" i="336" s="1"/>
  <c r="CF253" i="336" s="1"/>
  <c r="CE246" i="336"/>
  <c r="CE253" i="336" s="1"/>
  <c r="FF74" i="336"/>
  <c r="FE435" i="335"/>
  <c r="EM69" i="336"/>
  <c r="EL430" i="335"/>
  <c r="EA97" i="338"/>
  <c r="EG65" i="336"/>
  <c r="EF426" i="335"/>
  <c r="DB97" i="338"/>
  <c r="FL9" i="336"/>
  <c r="ES219" i="335"/>
  <c r="ES220" i="335"/>
  <c r="ES207" i="336"/>
  <c r="FM36" i="3"/>
  <c r="FL90" i="3"/>
  <c r="FM90" i="3" s="1"/>
  <c r="FL20" i="336"/>
  <c r="FL26" i="336"/>
  <c r="DJ446" i="335"/>
  <c r="DK446" i="335" s="1"/>
  <c r="DM85" i="336"/>
  <c r="DM62" i="336"/>
  <c r="DJ423" i="335"/>
  <c r="DK423" i="335" s="1"/>
  <c r="EY77" i="336"/>
  <c r="EX438" i="335"/>
  <c r="FK145" i="336"/>
  <c r="FE16" i="3"/>
  <c r="FE67" i="3" s="1"/>
  <c r="EY450" i="335"/>
  <c r="EZ89" i="336"/>
  <c r="EY72" i="336"/>
  <c r="EX433" i="335"/>
  <c r="FG90" i="3"/>
  <c r="CY127" i="11"/>
  <c r="FS61" i="11" s="1"/>
  <c r="FS55" i="11"/>
  <c r="CY39" i="338"/>
  <c r="CY53" i="338"/>
  <c r="DE39" i="338"/>
  <c r="FS64" i="11"/>
  <c r="FS65" i="11"/>
  <c r="CY125" i="11"/>
  <c r="CY129" i="11" s="1"/>
  <c r="DE125" i="11"/>
  <c r="DE129" i="11" s="1"/>
  <c r="AK39" i="11" l="1"/>
  <c r="AK26" i="11"/>
  <c r="AK358" i="335"/>
  <c r="AK356" i="335" s="1"/>
  <c r="AK323" i="338" s="1"/>
  <c r="AQ26" i="11"/>
  <c r="EN104" i="11"/>
  <c r="EN108" i="11" s="1"/>
  <c r="EN112" i="11" s="1"/>
  <c r="EN123" i="11"/>
  <c r="EN127" i="11" s="1"/>
  <c r="EI39" i="11"/>
  <c r="BX239" i="335"/>
  <c r="BX156" i="335" s="1"/>
  <c r="BX503" i="338"/>
  <c r="BX458" i="335"/>
  <c r="BX461" i="335"/>
  <c r="BX114" i="3"/>
  <c r="BX460" i="335"/>
  <c r="BX459" i="335"/>
  <c r="BX184" i="335"/>
  <c r="BX187" i="335" s="1"/>
  <c r="BX375" i="335"/>
  <c r="J218" i="335"/>
  <c r="J217" i="335"/>
  <c r="J184" i="335" s="1"/>
  <c r="EL653" i="338"/>
  <c r="EL651" i="338" s="1"/>
  <c r="EL647" i="338"/>
  <c r="EL645" i="338" s="1"/>
  <c r="EL644" i="338" s="1"/>
  <c r="EL671" i="338"/>
  <c r="EL669" i="338" s="1"/>
  <c r="EL668" i="338" s="1"/>
  <c r="EL665" i="338"/>
  <c r="EL663" i="338" s="1"/>
  <c r="EL662" i="338" s="1"/>
  <c r="EL641" i="338"/>
  <c r="EL639" i="338" s="1"/>
  <c r="EL638" i="338" s="1"/>
  <c r="EL635" i="338"/>
  <c r="EL633" i="338" s="1"/>
  <c r="EL632" i="338" s="1"/>
  <c r="EL659" i="338"/>
  <c r="EL657" i="338" s="1"/>
  <c r="EL656" i="338" s="1"/>
  <c r="EL629" i="338"/>
  <c r="EL627" i="338" s="1"/>
  <c r="EH607" i="338"/>
  <c r="EH615" i="338"/>
  <c r="EH616" i="338" s="1"/>
  <c r="EH621" i="338" s="1"/>
  <c r="EH622" i="338" s="1"/>
  <c r="EH623" i="338" s="1"/>
  <c r="EF674" i="338"/>
  <c r="EF683" i="338"/>
  <c r="CJ99" i="3"/>
  <c r="CJ373" i="335"/>
  <c r="CJ87" i="3"/>
  <c r="CJ105" i="3"/>
  <c r="CJ383" i="335"/>
  <c r="CJ397" i="335" s="1"/>
  <c r="CD115" i="3"/>
  <c r="EB79" i="11"/>
  <c r="EB83" i="11" s="1"/>
  <c r="EB76" i="11"/>
  <c r="EH75" i="11"/>
  <c r="EW304" i="335"/>
  <c r="EW41" i="335"/>
  <c r="EZ39" i="335"/>
  <c r="ET119" i="11"/>
  <c r="ET723" i="338"/>
  <c r="ET42" i="335"/>
  <c r="ET279" i="335"/>
  <c r="ET228" i="338"/>
  <c r="ET229" i="338" s="1"/>
  <c r="ET40" i="338"/>
  <c r="ET329" i="335"/>
  <c r="AZ300" i="335"/>
  <c r="AZ190" i="335"/>
  <c r="AT325" i="335"/>
  <c r="BX234" i="335"/>
  <c r="BX207" i="336"/>
  <c r="BX184" i="336" s="1"/>
  <c r="BX220" i="335"/>
  <c r="BX230" i="336"/>
  <c r="BX219" i="335"/>
  <c r="V185" i="335"/>
  <c r="V187" i="335"/>
  <c r="EH684" i="338"/>
  <c r="EI681" i="338"/>
  <c r="EN34" i="11"/>
  <c r="CI373" i="335"/>
  <c r="CI105" i="3"/>
  <c r="CI383" i="335"/>
  <c r="CI397" i="335" s="1"/>
  <c r="CI398" i="335" s="1"/>
  <c r="CI99" i="3"/>
  <c r="AK182" i="335"/>
  <c r="CI173" i="336"/>
  <c r="CI187" i="336"/>
  <c r="CI178" i="336"/>
  <c r="EN53" i="338"/>
  <c r="EN55" i="338" s="1"/>
  <c r="EN39" i="338"/>
  <c r="EI33" i="11"/>
  <c r="EI67" i="11" s="1"/>
  <c r="V220" i="335"/>
  <c r="V219" i="335"/>
  <c r="EH626" i="338"/>
  <c r="EH675" i="338"/>
  <c r="EN18" i="338"/>
  <c r="EN54" i="338"/>
  <c r="EN19" i="338"/>
  <c r="EN96" i="338"/>
  <c r="EL621" i="338"/>
  <c r="EL622" i="338" s="1"/>
  <c r="EL623" i="338" s="1"/>
  <c r="EN621" i="338"/>
  <c r="EN622" i="338" s="1"/>
  <c r="EN623" i="338" s="1"/>
  <c r="AK350" i="335"/>
  <c r="AK170" i="335"/>
  <c r="AK389" i="338" s="1"/>
  <c r="AK368" i="335"/>
  <c r="AQ298" i="335"/>
  <c r="AK298" i="335"/>
  <c r="AH213" i="335"/>
  <c r="AH215" i="335"/>
  <c r="AK212" i="335"/>
  <c r="AK213" i="335" s="1"/>
  <c r="EN725" i="338"/>
  <c r="EN721" i="338" s="1"/>
  <c r="EN734" i="338" s="1"/>
  <c r="EN280" i="335"/>
  <c r="EN43" i="335"/>
  <c r="EN330" i="335"/>
  <c r="EN58" i="338"/>
  <c r="EN120" i="11"/>
  <c r="EN124" i="11" s="1"/>
  <c r="EN128" i="11" s="1"/>
  <c r="EQ44" i="335"/>
  <c r="EQ305" i="335"/>
  <c r="EH57" i="338"/>
  <c r="EH95" i="338"/>
  <c r="EH97" i="338" s="1"/>
  <c r="AT218" i="335"/>
  <c r="AT217" i="335"/>
  <c r="EH650" i="338"/>
  <c r="EH678" i="338"/>
  <c r="CI51" i="3"/>
  <c r="CI87" i="3" s="1"/>
  <c r="CI45" i="3"/>
  <c r="CM328" i="338"/>
  <c r="FE22" i="335"/>
  <c r="DP432" i="338"/>
  <c r="DB462" i="335"/>
  <c r="DB208" i="335" s="1"/>
  <c r="DB209" i="335" s="1"/>
  <c r="EK213" i="335"/>
  <c r="EK215" i="335"/>
  <c r="FI74" i="11"/>
  <c r="FC78" i="11"/>
  <c r="FC82" i="11" s="1"/>
  <c r="FC104" i="11"/>
  <c r="FC108" i="11" s="1"/>
  <c r="FC112" i="11" s="1"/>
  <c r="EU326" i="338"/>
  <c r="FG74" i="11"/>
  <c r="FG78" i="11" s="1"/>
  <c r="FG82" i="11" s="1"/>
  <c r="EK34" i="11"/>
  <c r="DK689" i="338"/>
  <c r="CM100" i="335"/>
  <c r="EK187" i="335"/>
  <c r="EK185" i="335"/>
  <c r="EK61" i="11"/>
  <c r="EK16" i="338" s="1"/>
  <c r="EK162" i="338"/>
  <c r="EK164" i="338" s="1"/>
  <c r="EK626" i="338"/>
  <c r="EK675" i="338"/>
  <c r="EK678" i="338"/>
  <c r="EK687" i="338" s="1"/>
  <c r="EK650" i="338"/>
  <c r="FK314" i="335"/>
  <c r="DK100" i="335"/>
  <c r="FE119" i="336"/>
  <c r="FF119" i="336" s="1"/>
  <c r="FD395" i="338"/>
  <c r="EE688" i="338"/>
  <c r="EE685" i="338"/>
  <c r="FK289" i="335"/>
  <c r="CK394" i="338"/>
  <c r="BK674" i="338"/>
  <c r="BK683" i="338"/>
  <c r="BK685" i="338" s="1"/>
  <c r="EB214" i="338"/>
  <c r="DW214" i="338"/>
  <c r="DW215" i="338" s="1"/>
  <c r="DG137" i="336"/>
  <c r="DH134" i="336"/>
  <c r="DH139" i="336" s="1"/>
  <c r="DH140" i="336" s="1"/>
  <c r="DG135" i="336"/>
  <c r="DK58" i="11"/>
  <c r="DB200" i="335"/>
  <c r="DB201" i="335"/>
  <c r="DB202" i="335" s="1"/>
  <c r="DB487" i="338"/>
  <c r="DB325" i="335"/>
  <c r="CY58" i="11"/>
  <c r="CD462" i="335"/>
  <c r="CD208" i="335" s="1"/>
  <c r="CD209" i="335" s="1"/>
  <c r="BI685" i="338"/>
  <c r="DQ229" i="335"/>
  <c r="CL432" i="338"/>
  <c r="GC438" i="338" s="1"/>
  <c r="X190" i="335"/>
  <c r="X300" i="335"/>
  <c r="CP183" i="336"/>
  <c r="CP208" i="336"/>
  <c r="CP210" i="336" s="1"/>
  <c r="CP211" i="336" s="1"/>
  <c r="CD234" i="335"/>
  <c r="CD220" i="335"/>
  <c r="CD230" i="336"/>
  <c r="CD207" i="336"/>
  <c r="CD184" i="336" s="1"/>
  <c r="CD219" i="335"/>
  <c r="R462" i="335"/>
  <c r="DK685" i="338"/>
  <c r="CI784" i="338"/>
  <c r="EC57" i="338"/>
  <c r="CG113" i="338"/>
  <c r="EO39" i="11"/>
  <c r="CD263" i="336"/>
  <c r="DE685" i="338"/>
  <c r="DE689" i="338"/>
  <c r="BY458" i="335"/>
  <c r="BY461" i="335"/>
  <c r="BY239" i="335"/>
  <c r="BY156" i="335" s="1"/>
  <c r="BY459" i="335"/>
  <c r="BY503" i="338"/>
  <c r="BY460" i="335"/>
  <c r="BY375" i="335"/>
  <c r="CD237" i="336"/>
  <c r="CD487" i="338"/>
  <c r="CD325" i="335"/>
  <c r="BY351" i="335"/>
  <c r="BY189" i="335"/>
  <c r="BY229" i="336"/>
  <c r="BY299" i="335"/>
  <c r="CD159" i="335"/>
  <c r="CD157" i="335"/>
  <c r="CD199" i="335"/>
  <c r="CJ158" i="335"/>
  <c r="CQ489" i="338"/>
  <c r="CP488" i="338"/>
  <c r="DA207" i="336"/>
  <c r="DA184" i="336" s="1"/>
  <c r="DA220" i="335"/>
  <c r="DA219" i="335"/>
  <c r="BY217" i="335"/>
  <c r="BY218" i="335"/>
  <c r="CF39" i="11"/>
  <c r="CQ394" i="338"/>
  <c r="BU39" i="11"/>
  <c r="CP394" i="338"/>
  <c r="DH394" i="338"/>
  <c r="DA394" i="338"/>
  <c r="CE394" i="338"/>
  <c r="CJ394" i="338"/>
  <c r="CO394" i="338"/>
  <c r="CW39" i="11"/>
  <c r="DJ33" i="11"/>
  <c r="DJ67" i="11" s="1"/>
  <c r="DJ61" i="11" s="1"/>
  <c r="DK112" i="336"/>
  <c r="DK394" i="338" s="1"/>
  <c r="DJ394" i="338"/>
  <c r="CK432" i="338"/>
  <c r="CK433" i="338"/>
  <c r="CK428" i="338"/>
  <c r="FP15" i="11"/>
  <c r="CG38" i="11"/>
  <c r="CG37" i="11"/>
  <c r="CF518" i="338"/>
  <c r="FS144" i="335"/>
  <c r="DE392" i="335"/>
  <c r="DE401" i="338"/>
  <c r="DE314" i="338"/>
  <c r="DE394" i="335"/>
  <c r="DE369" i="335"/>
  <c r="DE315" i="338"/>
  <c r="DE393" i="335"/>
  <c r="EF189" i="335"/>
  <c r="EF351" i="335"/>
  <c r="EF324" i="335"/>
  <c r="FW187" i="335"/>
  <c r="EF371" i="335"/>
  <c r="G459" i="335"/>
  <c r="G458" i="335"/>
  <c r="G460" i="335"/>
  <c r="G375" i="335"/>
  <c r="G461" i="335"/>
  <c r="CL12" i="335"/>
  <c r="CL358" i="335"/>
  <c r="CL356" i="335" s="1"/>
  <c r="CR26" i="11"/>
  <c r="CR32" i="11" s="1"/>
  <c r="CM14" i="11"/>
  <c r="CL26" i="11"/>
  <c r="EL185" i="335"/>
  <c r="EL187" i="335"/>
  <c r="ER299" i="335" s="1"/>
  <c r="CU492" i="338"/>
  <c r="CU493" i="338"/>
  <c r="FX43" i="335"/>
  <c r="DJ195" i="335"/>
  <c r="DJ350" i="335"/>
  <c r="DJ170" i="335"/>
  <c r="DJ173" i="335"/>
  <c r="DJ174" i="335" s="1"/>
  <c r="DJ212" i="335"/>
  <c r="DJ298" i="335"/>
  <c r="DJ270" i="335"/>
  <c r="DJ323" i="335"/>
  <c r="DJ368" i="335"/>
  <c r="DK169" i="335"/>
  <c r="EL61" i="11"/>
  <c r="EL16" i="338" s="1"/>
  <c r="EL162" i="338"/>
  <c r="EL164" i="338" s="1"/>
  <c r="CE358" i="335"/>
  <c r="CE356" i="335" s="1"/>
  <c r="CE26" i="11"/>
  <c r="CG14" i="11"/>
  <c r="CG26" i="11" s="1"/>
  <c r="FP26" i="11" s="1"/>
  <c r="CE12" i="335"/>
  <c r="CK26" i="11"/>
  <c r="DD161" i="338"/>
  <c r="DD163" i="338"/>
  <c r="DG161" i="338"/>
  <c r="EO124" i="336"/>
  <c r="EO127" i="336"/>
  <c r="CI125" i="336"/>
  <c r="CI124" i="336"/>
  <c r="CI409" i="338"/>
  <c r="CM144" i="335"/>
  <c r="CM388" i="338" s="1"/>
  <c r="CM160" i="338"/>
  <c r="CM163" i="338" s="1"/>
  <c r="CM113" i="338"/>
  <c r="CL207" i="335"/>
  <c r="CM206" i="335"/>
  <c r="CM207" i="335" s="1"/>
  <c r="CR492" i="338"/>
  <c r="CR493" i="338"/>
  <c r="FY40" i="335"/>
  <c r="EO104" i="11"/>
  <c r="EM108" i="11"/>
  <c r="EM112" i="11" s="1"/>
  <c r="DJ207" i="335"/>
  <c r="DK206" i="335"/>
  <c r="DK207" i="335" s="1"/>
  <c r="CK162" i="338"/>
  <c r="CK507" i="338" s="1"/>
  <c r="CM112" i="336"/>
  <c r="CM394" i="338" s="1"/>
  <c r="CL394" i="338"/>
  <c r="CV489" i="338"/>
  <c r="CU488" i="338"/>
  <c r="FC64" i="335"/>
  <c r="CS112" i="336"/>
  <c r="CS394" i="338" s="1"/>
  <c r="CR394" i="338"/>
  <c r="CS144" i="335"/>
  <c r="CS388" i="338" s="1"/>
  <c r="CW33" i="11"/>
  <c r="CW67" i="11" s="1"/>
  <c r="CY328" i="338"/>
  <c r="FS15" i="11"/>
  <c r="CY37" i="11"/>
  <c r="CY27" i="11"/>
  <c r="CY38" i="11"/>
  <c r="DK144" i="335"/>
  <c r="DK388" i="338" s="1"/>
  <c r="DK757" i="338"/>
  <c r="DK762" i="338"/>
  <c r="DK719" i="338"/>
  <c r="DJ493" i="338"/>
  <c r="DJ492" i="338"/>
  <c r="DJ495" i="338" s="1"/>
  <c r="DE113" i="338"/>
  <c r="DE160" i="338"/>
  <c r="DE163" i="338" s="1"/>
  <c r="F219" i="335"/>
  <c r="F220" i="335"/>
  <c r="EH64" i="335"/>
  <c r="EC64" i="335"/>
  <c r="FW64" i="335"/>
  <c r="CU433" i="338"/>
  <c r="CU432" i="338"/>
  <c r="GD480" i="338" s="1"/>
  <c r="CO39" i="11"/>
  <c r="CO162" i="338"/>
  <c r="CX394" i="338"/>
  <c r="CY112" i="336"/>
  <c r="CY394" i="338" s="1"/>
  <c r="DJ39" i="11"/>
  <c r="CK164" i="338"/>
  <c r="DD394" i="338"/>
  <c r="DE112" i="336"/>
  <c r="DE394" i="338" s="1"/>
  <c r="G371" i="335"/>
  <c r="G189" i="335"/>
  <c r="G372" i="335" s="1"/>
  <c r="G386" i="338"/>
  <c r="G223" i="336"/>
  <c r="G351" i="335"/>
  <c r="G225" i="336"/>
  <c r="G404" i="338"/>
  <c r="CL39" i="11"/>
  <c r="BT681" i="338"/>
  <c r="BT684" i="338" s="1"/>
  <c r="BT685" i="338" s="1"/>
  <c r="BZ681" i="338"/>
  <c r="BZ684" i="338" s="1"/>
  <c r="BZ685" i="338" s="1"/>
  <c r="CS328" i="338"/>
  <c r="CS100" i="335"/>
  <c r="CO207" i="335"/>
  <c r="CS206" i="335"/>
  <c r="CS207" i="335" s="1"/>
  <c r="EI724" i="338"/>
  <c r="BU12" i="335"/>
  <c r="CF170" i="335"/>
  <c r="CF212" i="335"/>
  <c r="CF173" i="335"/>
  <c r="CF174" i="335" s="1"/>
  <c r="CF350" i="335"/>
  <c r="CF270" i="335"/>
  <c r="CI368" i="335"/>
  <c r="CF182" i="335"/>
  <c r="CF187" i="335" s="1"/>
  <c r="CI323" i="335"/>
  <c r="CF368" i="335"/>
  <c r="CI270" i="335"/>
  <c r="CF323" i="335"/>
  <c r="CK368" i="335"/>
  <c r="CJ368" i="335"/>
  <c r="CF298" i="335"/>
  <c r="CI394" i="338"/>
  <c r="CL162" i="338"/>
  <c r="CL507" i="338" s="1"/>
  <c r="CM762" i="338"/>
  <c r="CM757" i="338"/>
  <c r="CM719" i="338"/>
  <c r="FP100" i="335"/>
  <c r="FQ100" i="335"/>
  <c r="EC65" i="335"/>
  <c r="FW65" i="335"/>
  <c r="EH65" i="335"/>
  <c r="CU173" i="336"/>
  <c r="CU187" i="336"/>
  <c r="CU178" i="336"/>
  <c r="FS100" i="335"/>
  <c r="FR100" i="335"/>
  <c r="CW394" i="338"/>
  <c r="EM120" i="11"/>
  <c r="EM124" i="11" s="1"/>
  <c r="EM128" i="11" s="1"/>
  <c r="EN305" i="335"/>
  <c r="EM58" i="338"/>
  <c r="EM280" i="335"/>
  <c r="EN44" i="335"/>
  <c r="EM43" i="335"/>
  <c r="EM75" i="11" s="1"/>
  <c r="EM330" i="335"/>
  <c r="EO42" i="335"/>
  <c r="EM305" i="335"/>
  <c r="EM44" i="335"/>
  <c r="FY42" i="335"/>
  <c r="EM39" i="338"/>
  <c r="EM53" i="338"/>
  <c r="DE326" i="338"/>
  <c r="BU685" i="338"/>
  <c r="CS160" i="338"/>
  <c r="CS163" i="338" s="1"/>
  <c r="CS113" i="338"/>
  <c r="DC33" i="11"/>
  <c r="DC67" i="11" s="1"/>
  <c r="DC162" i="338" s="1"/>
  <c r="CY144" i="335"/>
  <c r="CY388" i="338" s="1"/>
  <c r="DK160" i="338"/>
  <c r="DK163" i="338" s="1"/>
  <c r="DK113" i="338"/>
  <c r="DK27" i="11"/>
  <c r="DK38" i="11"/>
  <c r="DK37" i="11"/>
  <c r="EC119" i="11"/>
  <c r="EC123" i="11" s="1"/>
  <c r="EC127" i="11" s="1"/>
  <c r="EC108" i="11"/>
  <c r="EC112" i="11" s="1"/>
  <c r="CE207" i="335"/>
  <c r="CG206" i="335"/>
  <c r="CG207" i="335" s="1"/>
  <c r="DE100" i="335"/>
  <c r="DD207" i="335"/>
  <c r="DE206" i="335"/>
  <c r="DE207" i="335" s="1"/>
  <c r="DE762" i="338"/>
  <c r="DE757" i="338"/>
  <c r="DE719" i="338"/>
  <c r="DE144" i="335"/>
  <c r="DE388" i="338" s="1"/>
  <c r="DE58" i="11"/>
  <c r="H185" i="335"/>
  <c r="H187" i="335"/>
  <c r="H299" i="335" s="1"/>
  <c r="CR433" i="338"/>
  <c r="CR432" i="338"/>
  <c r="GD438" i="338" s="1"/>
  <c r="CU18" i="338"/>
  <c r="CU54" i="338"/>
  <c r="CU96" i="338"/>
  <c r="CU162" i="338"/>
  <c r="CU164" i="338" s="1"/>
  <c r="EM123" i="11"/>
  <c r="EM127" i="11" s="1"/>
  <c r="DK369" i="335"/>
  <c r="DK394" i="335"/>
  <c r="DK392" i="335"/>
  <c r="DK393" i="335"/>
  <c r="DK401" i="338"/>
  <c r="DK315" i="338"/>
  <c r="DK314" i="338"/>
  <c r="FK89" i="11"/>
  <c r="FK93" i="11" s="1"/>
  <c r="FK97" i="11" s="1"/>
  <c r="FE93" i="11"/>
  <c r="FE97" i="11" s="1"/>
  <c r="DD170" i="335"/>
  <c r="DD212" i="335"/>
  <c r="DD173" i="335"/>
  <c r="DD174" i="335" s="1"/>
  <c r="DD350" i="335"/>
  <c r="DG270" i="335"/>
  <c r="DD368" i="335"/>
  <c r="DD298" i="335"/>
  <c r="DD323" i="335"/>
  <c r="DD270" i="335"/>
  <c r="DE169" i="335"/>
  <c r="DG323" i="335"/>
  <c r="DG368" i="335"/>
  <c r="DI368" i="335"/>
  <c r="FS169" i="335"/>
  <c r="DH368" i="335"/>
  <c r="DD182" i="335"/>
  <c r="FS182" i="335" s="1"/>
  <c r="FS185" i="335" s="1"/>
  <c r="CR162" i="338"/>
  <c r="CR164" i="338" s="1"/>
  <c r="CR61" i="11"/>
  <c r="CR16" i="338" s="1"/>
  <c r="BZ621" i="338"/>
  <c r="BZ622" i="338" s="1"/>
  <c r="BZ623" i="338" s="1"/>
  <c r="BT621" i="338"/>
  <c r="BT622" i="338" s="1"/>
  <c r="BT623" i="338" s="1"/>
  <c r="EL213" i="335"/>
  <c r="EL215" i="335"/>
  <c r="DC432" i="338"/>
  <c r="GB429" i="338" s="1"/>
  <c r="DC433" i="338"/>
  <c r="EG57" i="338"/>
  <c r="EG95" i="338"/>
  <c r="EG97" i="338" s="1"/>
  <c r="EF218" i="335"/>
  <c r="EF217" i="335"/>
  <c r="BU358" i="335"/>
  <c r="BU356" i="335" s="1"/>
  <c r="BU323" i="338" s="1"/>
  <c r="BU26" i="11"/>
  <c r="CL492" i="338"/>
  <c r="CL493" i="338"/>
  <c r="CL433" i="338"/>
  <c r="CM58" i="11"/>
  <c r="DS229" i="335"/>
  <c r="DT228" i="335"/>
  <c r="CY100" i="335"/>
  <c r="CW207" i="335"/>
  <c r="CY206" i="335"/>
  <c r="CY207" i="335" s="1"/>
  <c r="DC492" i="338"/>
  <c r="DC493" i="338"/>
  <c r="CW495" i="338"/>
  <c r="EO228" i="338"/>
  <c r="EO229" i="338" s="1"/>
  <c r="EO329" i="335"/>
  <c r="EO723" i="338"/>
  <c r="EO724" i="338" s="1"/>
  <c r="EO40" i="338"/>
  <c r="EO40" i="335"/>
  <c r="EO279" i="335"/>
  <c r="DP492" i="338"/>
  <c r="DP493" i="338"/>
  <c r="DD33" i="11"/>
  <c r="DD67" i="11" s="1"/>
  <c r="DD61" i="11" s="1"/>
  <c r="DD16" i="338" s="1"/>
  <c r="CS326" i="338"/>
  <c r="CS401" i="338"/>
  <c r="CS314" i="338"/>
  <c r="CS394" i="335"/>
  <c r="CS392" i="335"/>
  <c r="CS369" i="335"/>
  <c r="CS315" i="338"/>
  <c r="CS58" i="11"/>
  <c r="CS38" i="11"/>
  <c r="CS37" i="11"/>
  <c r="CS27" i="11"/>
  <c r="FR15" i="11"/>
  <c r="CY160" i="338"/>
  <c r="CY163" i="338" s="1"/>
  <c r="CY113" i="338"/>
  <c r="DB394" i="338"/>
  <c r="DP433" i="338"/>
  <c r="EN185" i="335"/>
  <c r="EN187" i="335"/>
  <c r="EN299" i="335" s="1"/>
  <c r="CK493" i="338"/>
  <c r="CK492" i="338"/>
  <c r="CE182" i="335"/>
  <c r="CE323" i="335"/>
  <c r="CE173" i="335"/>
  <c r="CE174" i="335" s="1"/>
  <c r="CG169" i="335"/>
  <c r="CE350" i="335"/>
  <c r="CE298" i="335"/>
  <c r="CE170" i="335"/>
  <c r="FO169" i="335"/>
  <c r="FO170" i="335" s="1"/>
  <c r="CK298" i="335"/>
  <c r="CE212" i="335"/>
  <c r="CE368" i="335"/>
  <c r="DI394" i="338"/>
  <c r="DJ432" i="338"/>
  <c r="DJ433" i="338"/>
  <c r="H220" i="335"/>
  <c r="H221" i="335" s="1"/>
  <c r="H219" i="335"/>
  <c r="CU26" i="11"/>
  <c r="CU32" i="11" s="1"/>
  <c r="CO358" i="335"/>
  <c r="CO356" i="335" s="1"/>
  <c r="CO26" i="11"/>
  <c r="CO32" i="11" s="1"/>
  <c r="CO12" i="335"/>
  <c r="CS14" i="11"/>
  <c r="CY326" i="338"/>
  <c r="CE163" i="338"/>
  <c r="CE161" i="338"/>
  <c r="CG762" i="338"/>
  <c r="CG757" i="338"/>
  <c r="CG144" i="335"/>
  <c r="CG388" i="338" s="1"/>
  <c r="EF114" i="3"/>
  <c r="EF461" i="335"/>
  <c r="EF458" i="335"/>
  <c r="EF460" i="335"/>
  <c r="EF459" i="335"/>
  <c r="EF199" i="335"/>
  <c r="EF375" i="335"/>
  <c r="CF12" i="335"/>
  <c r="CF358" i="335"/>
  <c r="CF356" i="335" s="1"/>
  <c r="CF26" i="11"/>
  <c r="CI161" i="338"/>
  <c r="CF161" i="338"/>
  <c r="CF163" i="338"/>
  <c r="CF164" i="338" s="1"/>
  <c r="CW170" i="335"/>
  <c r="CW173" i="335"/>
  <c r="CW174" i="335" s="1"/>
  <c r="CW350" i="335"/>
  <c r="CW212" i="335"/>
  <c r="CW298" i="335"/>
  <c r="FR169" i="335"/>
  <c r="FR170" i="335" s="1"/>
  <c r="CX323" i="335"/>
  <c r="DC298" i="335"/>
  <c r="DB368" i="335"/>
  <c r="CW182" i="335"/>
  <c r="CX270" i="335"/>
  <c r="CY169" i="335"/>
  <c r="DA368" i="335"/>
  <c r="CX368" i="335"/>
  <c r="CW323" i="335"/>
  <c r="CW368" i="335"/>
  <c r="EI330" i="335"/>
  <c r="EI725" i="338"/>
  <c r="EI726" i="338" s="1"/>
  <c r="EI58" i="338"/>
  <c r="EI280" i="335"/>
  <c r="EI43" i="335"/>
  <c r="EI53" i="338"/>
  <c r="EI39" i="338"/>
  <c r="EL34" i="11"/>
  <c r="CG112" i="336"/>
  <c r="CG394" i="338" s="1"/>
  <c r="CF394" i="338"/>
  <c r="CG392" i="335"/>
  <c r="CG314" i="338"/>
  <c r="CG315" i="338"/>
  <c r="CG401" i="338"/>
  <c r="CG393" i="335"/>
  <c r="CG369" i="335"/>
  <c r="CG394" i="335"/>
  <c r="CM38" i="11"/>
  <c r="CM37" i="11"/>
  <c r="FQ15" i="11"/>
  <c r="CM27" i="11"/>
  <c r="ET304" i="335"/>
  <c r="ES279" i="335"/>
  <c r="ES41" i="335"/>
  <c r="ET41" i="335"/>
  <c r="ES40" i="338"/>
  <c r="EU39" i="335"/>
  <c r="ES42" i="335"/>
  <c r="ES228" i="338"/>
  <c r="ES229" i="338" s="1"/>
  <c r="ES304" i="335"/>
  <c r="ES119" i="11"/>
  <c r="EY39" i="335"/>
  <c r="FZ39" i="335"/>
  <c r="ES329" i="335"/>
  <c r="CE162" i="338"/>
  <c r="CE507" i="338" s="1"/>
  <c r="CE61" i="11"/>
  <c r="CE16" i="338" s="1"/>
  <c r="CE18" i="338" s="1"/>
  <c r="DD39" i="11"/>
  <c r="CJ409" i="338"/>
  <c r="CJ124" i="336"/>
  <c r="CJ125" i="336"/>
  <c r="CL212" i="335"/>
  <c r="CL270" i="335"/>
  <c r="CL170" i="335"/>
  <c r="CL323" i="335"/>
  <c r="CR298" i="335"/>
  <c r="CL182" i="335"/>
  <c r="CL173" i="335"/>
  <c r="CL174" i="335" s="1"/>
  <c r="CL298" i="335"/>
  <c r="FP169" i="335"/>
  <c r="FP170" i="335" s="1"/>
  <c r="CL350" i="335"/>
  <c r="CL368" i="335"/>
  <c r="CM169" i="335"/>
  <c r="CM315" i="338"/>
  <c r="CM392" i="335"/>
  <c r="CM394" i="335"/>
  <c r="CM393" i="335"/>
  <c r="CM369" i="335"/>
  <c r="CM314" i="338"/>
  <c r="CM401" i="338"/>
  <c r="CS719" i="338"/>
  <c r="CS757" i="338"/>
  <c r="CS762" i="338"/>
  <c r="CW163" i="338"/>
  <c r="CX161" i="338"/>
  <c r="CW161" i="338"/>
  <c r="CY757" i="338"/>
  <c r="CY762" i="338"/>
  <c r="CY719" i="338"/>
  <c r="DJ163" i="338"/>
  <c r="DJ161" i="338"/>
  <c r="EO214" i="335"/>
  <c r="EN215" i="335"/>
  <c r="DE328" i="338"/>
  <c r="DE37" i="11"/>
  <c r="DE27" i="11"/>
  <c r="DE38" i="11"/>
  <c r="F185" i="335"/>
  <c r="F187" i="335"/>
  <c r="CM326" i="338"/>
  <c r="CL161" i="338"/>
  <c r="CL163" i="338"/>
  <c r="CU298" i="335"/>
  <c r="CO170" i="335"/>
  <c r="CO173" i="335"/>
  <c r="CO174" i="335" s="1"/>
  <c r="CO212" i="335"/>
  <c r="CO182" i="335"/>
  <c r="CO270" i="335"/>
  <c r="CO323" i="335"/>
  <c r="CP368" i="335"/>
  <c r="CQ368" i="335"/>
  <c r="CP323" i="335"/>
  <c r="CS169" i="335"/>
  <c r="CR368" i="335"/>
  <c r="CO350" i="335"/>
  <c r="CO199" i="335"/>
  <c r="CO298" i="335"/>
  <c r="CO368" i="335"/>
  <c r="CO161" i="338"/>
  <c r="CO163" i="338"/>
  <c r="CO164" i="338" s="1"/>
  <c r="CP161" i="338"/>
  <c r="CY401" i="338"/>
  <c r="CY393" i="335"/>
  <c r="CY394" i="335"/>
  <c r="CY315" i="338"/>
  <c r="CY314" i="338"/>
  <c r="CY369" i="335"/>
  <c r="CY392" i="335"/>
  <c r="EG108" i="11"/>
  <c r="EG112" i="11" s="1"/>
  <c r="EI104" i="11"/>
  <c r="EC236" i="338"/>
  <c r="DW236" i="338"/>
  <c r="FL55" i="11"/>
  <c r="K462" i="335"/>
  <c r="AJ462" i="335"/>
  <c r="CX499" i="338"/>
  <c r="GE439" i="338" s="1"/>
  <c r="CX221" i="335"/>
  <c r="CX183" i="336"/>
  <c r="CX208" i="336"/>
  <c r="CX210" i="336" s="1"/>
  <c r="CX211" i="336" s="1"/>
  <c r="FK56" i="11"/>
  <c r="DK230" i="338"/>
  <c r="FL56" i="11"/>
  <c r="ET368" i="335"/>
  <c r="M221" i="335"/>
  <c r="EC690" i="338"/>
  <c r="EC686" i="338"/>
  <c r="AU220" i="335"/>
  <c r="BA221" i="335" s="1"/>
  <c r="AW218" i="335"/>
  <c r="AU219" i="335"/>
  <c r="BW164" i="338"/>
  <c r="EU626" i="338"/>
  <c r="FL54" i="11"/>
  <c r="EB183" i="336"/>
  <c r="EB178" i="336" s="1"/>
  <c r="FK54" i="11"/>
  <c r="EU621" i="338"/>
  <c r="EU622" i="338" s="1"/>
  <c r="EU623" i="338" s="1"/>
  <c r="AU185" i="335"/>
  <c r="AW184" i="335"/>
  <c r="AW185" i="335" s="1"/>
  <c r="AU187" i="335"/>
  <c r="BR114" i="3"/>
  <c r="BX115" i="3" s="1"/>
  <c r="BR239" i="335"/>
  <c r="BR156" i="335" s="1"/>
  <c r="BX158" i="335" s="1"/>
  <c r="BR459" i="335"/>
  <c r="BR460" i="335"/>
  <c r="BR208" i="335"/>
  <c r="BR209" i="335" s="1"/>
  <c r="BR461" i="335"/>
  <c r="BR184" i="335"/>
  <c r="BR187" i="335" s="1"/>
  <c r="BX299" i="335" s="1"/>
  <c r="BR375" i="335"/>
  <c r="BR458" i="335"/>
  <c r="FJ54" i="11"/>
  <c r="CC164" i="338"/>
  <c r="BR234" i="335"/>
  <c r="BR219" i="335"/>
  <c r="BR220" i="335"/>
  <c r="BR207" i="336"/>
  <c r="BR184" i="336" s="1"/>
  <c r="BR230" i="336"/>
  <c r="BQ218" i="335"/>
  <c r="BU218" i="335" s="1"/>
  <c r="BQ217" i="335"/>
  <c r="BQ185" i="335" s="1"/>
  <c r="FE23" i="338"/>
  <c r="FE108" i="335"/>
  <c r="FE14" i="335"/>
  <c r="FK119" i="335"/>
  <c r="FK120" i="335" s="1"/>
  <c r="FK107" i="335"/>
  <c r="FK108" i="335" s="1"/>
  <c r="ES67" i="11"/>
  <c r="ES162" i="338" s="1"/>
  <c r="ES164" i="338" s="1"/>
  <c r="EZ432" i="338"/>
  <c r="BU217" i="335"/>
  <c r="BU263" i="335"/>
  <c r="BS175" i="336"/>
  <c r="BS199" i="336"/>
  <c r="BS192" i="336"/>
  <c r="BS196" i="336" s="1"/>
  <c r="L223" i="336"/>
  <c r="L371" i="335"/>
  <c r="L386" i="338"/>
  <c r="L299" i="335"/>
  <c r="L189" i="335"/>
  <c r="L225" i="336"/>
  <c r="L351" i="335"/>
  <c r="CC518" i="338"/>
  <c r="ET21" i="11"/>
  <c r="ET33" i="11" s="1"/>
  <c r="ET67" i="11" s="1"/>
  <c r="ET37" i="11"/>
  <c r="ET10" i="335"/>
  <c r="EU10" i="335" s="1"/>
  <c r="EU18" i="11"/>
  <c r="EU82" i="11" s="1"/>
  <c r="ET24" i="11"/>
  <c r="ET30" i="11" s="1"/>
  <c r="ET355" i="335"/>
  <c r="EU12" i="11"/>
  <c r="EG225" i="338"/>
  <c r="EG230" i="338"/>
  <c r="EY189" i="335"/>
  <c r="EY190" i="335" s="1"/>
  <c r="EY351" i="335"/>
  <c r="BO174" i="335"/>
  <c r="DS254" i="338"/>
  <c r="DQ253" i="338"/>
  <c r="DM254" i="338"/>
  <c r="DM257" i="338"/>
  <c r="DM255" i="338"/>
  <c r="DN255" i="338"/>
  <c r="CJ207" i="336"/>
  <c r="CJ184" i="336" s="1"/>
  <c r="CJ230" i="336"/>
  <c r="CJ220" i="335"/>
  <c r="CJ219" i="335"/>
  <c r="CV459" i="335"/>
  <c r="CV503" i="338"/>
  <c r="CV461" i="335"/>
  <c r="CV114" i="3"/>
  <c r="CV458" i="335"/>
  <c r="CV460" i="335"/>
  <c r="CV199" i="335"/>
  <c r="CV375" i="335"/>
  <c r="FT87" i="335"/>
  <c r="FT139" i="335"/>
  <c r="CA173" i="335"/>
  <c r="CA350" i="335"/>
  <c r="CA368" i="335"/>
  <c r="CA170" i="335"/>
  <c r="CA298" i="335"/>
  <c r="CG298" i="335"/>
  <c r="BW213" i="335"/>
  <c r="BW215" i="335"/>
  <c r="CA212" i="335"/>
  <c r="CA213" i="335" s="1"/>
  <c r="EY299" i="335"/>
  <c r="EW553" i="338"/>
  <c r="EW604" i="338" s="1"/>
  <c r="EY364" i="335"/>
  <c r="EW91" i="335"/>
  <c r="EY365" i="335" s="1"/>
  <c r="CY251" i="335"/>
  <c r="CY247" i="335" s="1"/>
  <c r="BT207" i="336"/>
  <c r="BT230" i="336"/>
  <c r="BT234" i="335"/>
  <c r="BT219" i="335"/>
  <c r="BT220" i="335"/>
  <c r="ET323" i="335"/>
  <c r="ET182" i="335"/>
  <c r="EU182" i="335" s="1"/>
  <c r="ET171" i="335"/>
  <c r="ET212" i="335"/>
  <c r="EU212" i="335" s="1"/>
  <c r="EU213" i="335" s="1"/>
  <c r="ET298" i="335"/>
  <c r="ET170" i="335"/>
  <c r="ET350" i="335"/>
  <c r="ET173" i="335"/>
  <c r="ET174" i="335" s="1"/>
  <c r="EY114" i="3"/>
  <c r="EY115" i="3" s="1"/>
  <c r="EY199" i="335"/>
  <c r="EY375" i="335"/>
  <c r="EY460" i="335"/>
  <c r="EY458" i="335"/>
  <c r="EY459" i="335"/>
  <c r="EE76" i="11"/>
  <c r="EE79" i="11"/>
  <c r="EE83" i="11" s="1"/>
  <c r="EK75" i="11"/>
  <c r="DQ272" i="338"/>
  <c r="DW272" i="338"/>
  <c r="FP27" i="11"/>
  <c r="CG34" i="11"/>
  <c r="CV351" i="335"/>
  <c r="CV189" i="335"/>
  <c r="CV324" i="335"/>
  <c r="CV299" i="335"/>
  <c r="FQ187" i="335"/>
  <c r="CV371" i="335"/>
  <c r="DB299" i="335"/>
  <c r="DM89" i="335"/>
  <c r="DS88" i="335"/>
  <c r="DM96" i="335"/>
  <c r="DM91" i="335"/>
  <c r="DM88" i="335"/>
  <c r="DN89" i="335"/>
  <c r="CJ462" i="335"/>
  <c r="CJ208" i="335" s="1"/>
  <c r="CA182" i="335"/>
  <c r="EX76" i="11"/>
  <c r="EX79" i="11"/>
  <c r="EX83" i="11" s="1"/>
  <c r="BN218" i="335"/>
  <c r="BN217" i="335"/>
  <c r="BN185" i="335" s="1"/>
  <c r="AO219" i="335"/>
  <c r="AO220" i="335"/>
  <c r="U217" i="335"/>
  <c r="U184" i="335" s="1"/>
  <c r="U218" i="335"/>
  <c r="Y215" i="335"/>
  <c r="Y217" i="335" s="1"/>
  <c r="EY432" i="338"/>
  <c r="EZ433" i="338"/>
  <c r="BZ217" i="335"/>
  <c r="BZ218" i="335"/>
  <c r="BT208" i="335"/>
  <c r="BT459" i="335"/>
  <c r="BT458" i="335"/>
  <c r="BT114" i="3"/>
  <c r="BT460" i="335"/>
  <c r="BT461" i="335"/>
  <c r="BT375" i="335"/>
  <c r="BT239" i="335"/>
  <c r="BT184" i="335"/>
  <c r="ET11" i="335"/>
  <c r="EU11" i="335" s="1"/>
  <c r="ET357" i="335"/>
  <c r="EU13" i="11"/>
  <c r="EU19" i="11"/>
  <c r="EU97" i="11" s="1"/>
  <c r="ET38" i="11"/>
  <c r="EZ38" i="11" s="1"/>
  <c r="FF38" i="11" s="1"/>
  <c r="FL38" i="11" s="1"/>
  <c r="ET25" i="11"/>
  <c r="ET31" i="11" s="1"/>
  <c r="BZ114" i="3"/>
  <c r="BZ458" i="335"/>
  <c r="BZ239" i="335"/>
  <c r="BZ156" i="335" s="1"/>
  <c r="BZ461" i="335"/>
  <c r="BZ459" i="335"/>
  <c r="BZ503" i="338"/>
  <c r="BZ460" i="335"/>
  <c r="BZ375" i="335"/>
  <c r="CA12" i="335"/>
  <c r="CA39" i="11"/>
  <c r="DQ76" i="335"/>
  <c r="DQ286" i="335"/>
  <c r="DQ48" i="11"/>
  <c r="DQ139" i="335"/>
  <c r="DW286" i="335"/>
  <c r="DW76" i="335"/>
  <c r="DQ87" i="335"/>
  <c r="DQ56" i="11"/>
  <c r="DW56" i="11"/>
  <c r="CJ200" i="335"/>
  <c r="CJ201" i="335"/>
  <c r="CA162" i="338"/>
  <c r="CA164" i="338" s="1"/>
  <c r="BK218" i="335"/>
  <c r="BK217" i="335"/>
  <c r="BK185" i="335" s="1"/>
  <c r="BO215" i="335"/>
  <c r="BO217" i="335" s="1"/>
  <c r="EY339" i="338"/>
  <c r="EY338" i="338"/>
  <c r="ER80" i="11"/>
  <c r="ER84" i="11" s="1"/>
  <c r="ER359" i="335"/>
  <c r="AO185" i="335"/>
  <c r="AO187" i="335"/>
  <c r="AO324" i="335" s="1"/>
  <c r="L461" i="335"/>
  <c r="L375" i="335"/>
  <c r="L459" i="335"/>
  <c r="L460" i="335"/>
  <c r="L458" i="335"/>
  <c r="EU20" i="11"/>
  <c r="ET358" i="335"/>
  <c r="EU14" i="11"/>
  <c r="ET26" i="11"/>
  <c r="ET32" i="11" s="1"/>
  <c r="ET12" i="335"/>
  <c r="EU12" i="335" s="1"/>
  <c r="EM224" i="338"/>
  <c r="ES214" i="338"/>
  <c r="BO389" i="338"/>
  <c r="BZ324" i="335"/>
  <c r="BZ189" i="335"/>
  <c r="CF299" i="335"/>
  <c r="BZ351" i="335"/>
  <c r="BZ229" i="336"/>
  <c r="CC324" i="335"/>
  <c r="CD371" i="335"/>
  <c r="CA358" i="335"/>
  <c r="CA356" i="335" s="1"/>
  <c r="CA323" i="338" s="1"/>
  <c r="CA26" i="11"/>
  <c r="CJ487" i="338"/>
  <c r="CJ325" i="335"/>
  <c r="CP190" i="335"/>
  <c r="CP300" i="335"/>
  <c r="CK325" i="335"/>
  <c r="CJ300" i="335"/>
  <c r="CJ190" i="335"/>
  <c r="CG162" i="338"/>
  <c r="CG61" i="11"/>
  <c r="CG16" i="338" s="1"/>
  <c r="CG18" i="338" s="1"/>
  <c r="ET163" i="338"/>
  <c r="ET161" i="338"/>
  <c r="FF102" i="336"/>
  <c r="EZ385" i="335"/>
  <c r="FA385" i="335" s="1"/>
  <c r="FA102" i="336"/>
  <c r="CV217" i="335"/>
  <c r="CV218" i="335"/>
  <c r="EY367" i="335"/>
  <c r="EY317" i="335"/>
  <c r="EH459" i="335"/>
  <c r="EH461" i="335"/>
  <c r="EH114" i="3"/>
  <c r="EH460" i="335"/>
  <c r="EH458" i="335"/>
  <c r="EH199" i="335"/>
  <c r="EH375" i="335"/>
  <c r="EE488" i="338"/>
  <c r="EF489" i="338"/>
  <c r="EH218" i="335"/>
  <c r="EH217" i="335"/>
  <c r="EH189" i="335"/>
  <c r="EH351" i="335"/>
  <c r="EH299" i="335"/>
  <c r="EK324" i="335"/>
  <c r="CG125" i="11"/>
  <c r="CG130" i="11" s="1"/>
  <c r="FJ56" i="11"/>
  <c r="EY108" i="336"/>
  <c r="FA88" i="335"/>
  <c r="DP225" i="338"/>
  <c r="DQ224" i="338"/>
  <c r="DW217" i="338"/>
  <c r="DV224" i="338"/>
  <c r="DV230" i="338" s="1"/>
  <c r="DV218" i="338"/>
  <c r="EH221" i="338"/>
  <c r="EC221" i="338"/>
  <c r="EC222" i="338" s="1"/>
  <c r="EB217" i="338"/>
  <c r="EY300" i="335"/>
  <c r="DP230" i="338"/>
  <c r="FD391" i="335"/>
  <c r="FE320" i="338"/>
  <c r="AK383" i="335"/>
  <c r="AK397" i="335" s="1"/>
  <c r="AK385" i="338" s="1"/>
  <c r="BH115" i="3"/>
  <c r="AE110" i="3"/>
  <c r="BB110" i="3"/>
  <c r="EY68" i="336"/>
  <c r="EX429" i="335"/>
  <c r="EX426" i="335"/>
  <c r="EY65" i="336"/>
  <c r="EY221" i="335"/>
  <c r="EX427" i="335"/>
  <c r="EY66" i="336"/>
  <c r="GA139" i="335"/>
  <c r="FJ120" i="335"/>
  <c r="FD44" i="11"/>
  <c r="FD53" i="11" s="1"/>
  <c r="FD306" i="335"/>
  <c r="FD48" i="335"/>
  <c r="FD47" i="335"/>
  <c r="FD281" i="335"/>
  <c r="FE46" i="335"/>
  <c r="FD83" i="335"/>
  <c r="FD84" i="335" s="1"/>
  <c r="FD87" i="335"/>
  <c r="FD126" i="335"/>
  <c r="FD104" i="335" s="1"/>
  <c r="FD98" i="335"/>
  <c r="GA98" i="335" s="1"/>
  <c r="EO350" i="335"/>
  <c r="EO170" i="335"/>
  <c r="EO171" i="335"/>
  <c r="EO173" i="335"/>
  <c r="EO298" i="335"/>
  <c r="EO368" i="335"/>
  <c r="EM187" i="335"/>
  <c r="EO182" i="335"/>
  <c r="EM185" i="335"/>
  <c r="EZ341" i="335"/>
  <c r="EZ150" i="335"/>
  <c r="FA150" i="335" s="1"/>
  <c r="EZ338" i="335"/>
  <c r="EZ339" i="335"/>
  <c r="EZ153" i="335"/>
  <c r="EZ92" i="335"/>
  <c r="EZ15" i="11"/>
  <c r="EZ147" i="335"/>
  <c r="EZ328" i="335"/>
  <c r="EZ49" i="11"/>
  <c r="EZ58" i="11" s="1"/>
  <c r="EZ290" i="335"/>
  <c r="EZ315" i="335"/>
  <c r="EZ10" i="336"/>
  <c r="EZ331" i="335"/>
  <c r="EZ93" i="335"/>
  <c r="EZ336" i="335"/>
  <c r="EZ342" i="335"/>
  <c r="EZ114" i="338"/>
  <c r="EZ325" i="338"/>
  <c r="EZ326" i="338" s="1"/>
  <c r="EZ337" i="335"/>
  <c r="EZ99" i="335"/>
  <c r="EZ327" i="338"/>
  <c r="EZ328" i="338" s="1"/>
  <c r="EZ329" i="335"/>
  <c r="FK118" i="336"/>
  <c r="FE395" i="338"/>
  <c r="GA87" i="335"/>
  <c r="GA88" i="335" s="1"/>
  <c r="EZ105" i="335"/>
  <c r="EZ141" i="335"/>
  <c r="EZ143" i="335" s="1"/>
  <c r="EZ144" i="335" s="1"/>
  <c r="ER55" i="338"/>
  <c r="ER54" i="338"/>
  <c r="ER96" i="338"/>
  <c r="ER97" i="338" s="1"/>
  <c r="ER18" i="338"/>
  <c r="ER19" i="338"/>
  <c r="FA127" i="335"/>
  <c r="FA768" i="338"/>
  <c r="FA775" i="338" s="1"/>
  <c r="BH45" i="3"/>
  <c r="EM213" i="335"/>
  <c r="EO212" i="335"/>
  <c r="EO213" i="335" s="1"/>
  <c r="EM215" i="335"/>
  <c r="Y224" i="336"/>
  <c r="AE220" i="336"/>
  <c r="EX81" i="336"/>
  <c r="EW442" i="335"/>
  <c r="EK58" i="336"/>
  <c r="EH419" i="335"/>
  <c r="EI419" i="335" s="1"/>
  <c r="FK74" i="3"/>
  <c r="FL23" i="3"/>
  <c r="BN192" i="336"/>
  <c r="BN196" i="336" s="1"/>
  <c r="BN175" i="336"/>
  <c r="EA447" i="335"/>
  <c r="EB86" i="336"/>
  <c r="DG56" i="336"/>
  <c r="DD415" i="335"/>
  <c r="FE37" i="11"/>
  <c r="EG461" i="335"/>
  <c r="EG460" i="335"/>
  <c r="EG114" i="3"/>
  <c r="EG115" i="3" s="1"/>
  <c r="EG458" i="335"/>
  <c r="EG459" i="335"/>
  <c r="EG375" i="335"/>
  <c r="EG199" i="335"/>
  <c r="FK37" i="335"/>
  <c r="FL37" i="335"/>
  <c r="FK79" i="335"/>
  <c r="FK36" i="335"/>
  <c r="I219" i="335"/>
  <c r="I220" i="335"/>
  <c r="ER189" i="335"/>
  <c r="ES325" i="335" s="1"/>
  <c r="ER351" i="335"/>
  <c r="EG217" i="335"/>
  <c r="EG218" i="335"/>
  <c r="EI215" i="335"/>
  <c r="EI217" i="335" s="1"/>
  <c r="FE80" i="335"/>
  <c r="FE81" i="335"/>
  <c r="FF81" i="335"/>
  <c r="DP39" i="11"/>
  <c r="FE385" i="335"/>
  <c r="FK102" i="336"/>
  <c r="FK385" i="335" s="1"/>
  <c r="EL225" i="338"/>
  <c r="EL230" i="338"/>
  <c r="EI185" i="335"/>
  <c r="FJ79" i="335"/>
  <c r="FJ80" i="335" s="1"/>
  <c r="FJ36" i="335"/>
  <c r="EX24" i="11"/>
  <c r="EX30" i="11" s="1"/>
  <c r="EX37" i="11"/>
  <c r="EX21" i="11"/>
  <c r="EX355" i="335"/>
  <c r="EI174" i="335"/>
  <c r="ER224" i="338"/>
  <c r="EX214" i="338"/>
  <c r="FJ122" i="335"/>
  <c r="FJ124" i="335" s="1"/>
  <c r="FJ107" i="335"/>
  <c r="EX26" i="11"/>
  <c r="EX32" i="11" s="1"/>
  <c r="EX358" i="335"/>
  <c r="EM61" i="11"/>
  <c r="EM16" i="338" s="1"/>
  <c r="EM162" i="338"/>
  <c r="EM164" i="338" s="1"/>
  <c r="FD23" i="338"/>
  <c r="FE34" i="338" s="1"/>
  <c r="FD21" i="335"/>
  <c r="FD14" i="335"/>
  <c r="FE303" i="335" s="1"/>
  <c r="ER217" i="335"/>
  <c r="ER218" i="335"/>
  <c r="FD108" i="335"/>
  <c r="FJ102" i="336"/>
  <c r="FJ385" i="335" s="1"/>
  <c r="FD385" i="335"/>
  <c r="EH324" i="335"/>
  <c r="EI187" i="335"/>
  <c r="EH371" i="335"/>
  <c r="EI371" i="335" s="1"/>
  <c r="EG189" i="335"/>
  <c r="EG351" i="335"/>
  <c r="EG371" i="335"/>
  <c r="EG324" i="335"/>
  <c r="EK371" i="335"/>
  <c r="EG299" i="335"/>
  <c r="FJ20" i="335"/>
  <c r="FK22" i="335" s="1"/>
  <c r="FJ33" i="335"/>
  <c r="FK124" i="335"/>
  <c r="I185" i="335"/>
  <c r="I187" i="335"/>
  <c r="EX25" i="11"/>
  <c r="EX31" i="11" s="1"/>
  <c r="EX38" i="11"/>
  <c r="FD38" i="11" s="1"/>
  <c r="FJ38" i="11" s="1"/>
  <c r="EX357" i="335"/>
  <c r="ER461" i="335"/>
  <c r="ER114" i="3"/>
  <c r="ER460" i="335"/>
  <c r="ER459" i="335"/>
  <c r="ER375" i="335"/>
  <c r="ER458" i="335"/>
  <c r="ER199" i="335"/>
  <c r="DT58" i="11"/>
  <c r="DN58" i="11"/>
  <c r="DN100" i="335"/>
  <c r="DO101" i="335"/>
  <c r="DN494" i="338"/>
  <c r="DN495" i="338" s="1"/>
  <c r="DT100" i="335"/>
  <c r="DN206" i="335"/>
  <c r="DN326" i="338"/>
  <c r="DT326" i="338"/>
  <c r="D218" i="335"/>
  <c r="D217" i="335"/>
  <c r="FC85" i="335"/>
  <c r="FC84" i="335"/>
  <c r="EA80" i="11"/>
  <c r="EA84" i="11" s="1"/>
  <c r="EA359" i="335"/>
  <c r="EY408" i="338"/>
  <c r="EY113" i="338"/>
  <c r="EY160" i="338"/>
  <c r="FI56" i="11"/>
  <c r="FC56" i="11"/>
  <c r="FJ55" i="11"/>
  <c r="EI228" i="335"/>
  <c r="EI229" i="335"/>
  <c r="DN328" i="338"/>
  <c r="DT328" i="338"/>
  <c r="DN27" i="11"/>
  <c r="DN38" i="11"/>
  <c r="DN37" i="11"/>
  <c r="DT27" i="11"/>
  <c r="DN144" i="335"/>
  <c r="DN169" i="335"/>
  <c r="DS368" i="335" s="1"/>
  <c r="FJ93" i="11"/>
  <c r="FJ97" i="11" s="1"/>
  <c r="FJ104" i="11"/>
  <c r="FJ108" i="11" s="1"/>
  <c r="FJ112" i="11" s="1"/>
  <c r="FM89" i="11"/>
  <c r="FM93" i="11" s="1"/>
  <c r="FM97" i="11" s="1"/>
  <c r="DW722" i="338"/>
  <c r="EC722" i="338"/>
  <c r="DW734" i="338"/>
  <c r="EC97" i="338"/>
  <c r="EG79" i="11"/>
  <c r="EG83" i="11" s="1"/>
  <c r="EI75" i="11"/>
  <c r="EG76" i="11"/>
  <c r="D351" i="335"/>
  <c r="D371" i="335"/>
  <c r="D225" i="336"/>
  <c r="D189" i="335"/>
  <c r="D372" i="335" s="1"/>
  <c r="D404" i="338"/>
  <c r="E299" i="335"/>
  <c r="D299" i="335"/>
  <c r="D223" i="336"/>
  <c r="FU144" i="335"/>
  <c r="FG289" i="335"/>
  <c r="FG47" i="11"/>
  <c r="FG56" i="11" s="1"/>
  <c r="DP163" i="338"/>
  <c r="DS161" i="338"/>
  <c r="DP161" i="338"/>
  <c r="FI55" i="11"/>
  <c r="FC55" i="11"/>
  <c r="DT430" i="338"/>
  <c r="DT429" i="338"/>
  <c r="DN432" i="338"/>
  <c r="DO433" i="338"/>
  <c r="AD185" i="335"/>
  <c r="AD187" i="335"/>
  <c r="FI133" i="335"/>
  <c r="FI132" i="335" s="1"/>
  <c r="FI12" i="336" s="1"/>
  <c r="FI20" i="3" s="1"/>
  <c r="FC132" i="335"/>
  <c r="DV432" i="338"/>
  <c r="DV433" i="338"/>
  <c r="DU394" i="338"/>
  <c r="AJ325" i="335"/>
  <c r="ES674" i="338"/>
  <c r="ES683" i="338"/>
  <c r="DW80" i="11"/>
  <c r="DW84" i="11" s="1"/>
  <c r="DW359" i="335"/>
  <c r="FG287" i="335"/>
  <c r="FG45" i="11"/>
  <c r="FG54" i="11" s="1"/>
  <c r="D459" i="335"/>
  <c r="D458" i="335"/>
  <c r="D461" i="335"/>
  <c r="D460" i="335"/>
  <c r="D375" i="335"/>
  <c r="EY355" i="335"/>
  <c r="EY357" i="335"/>
  <c r="EW635" i="338"/>
  <c r="EW653" i="338"/>
  <c r="EW671" i="338"/>
  <c r="EW659" i="338"/>
  <c r="EW629" i="338"/>
  <c r="M386" i="338"/>
  <c r="M351" i="335"/>
  <c r="M223" i="336"/>
  <c r="M225" i="336"/>
  <c r="M371" i="335"/>
  <c r="M299" i="335"/>
  <c r="M189" i="335"/>
  <c r="AI462" i="335"/>
  <c r="DP33" i="11"/>
  <c r="DP67" i="11" s="1"/>
  <c r="DP61" i="11" s="1"/>
  <c r="DP16" i="338" s="1"/>
  <c r="FG46" i="11"/>
  <c r="FG55" i="11" s="1"/>
  <c r="FG288" i="335"/>
  <c r="FK55" i="11"/>
  <c r="CI785" i="338"/>
  <c r="CI786" i="338" s="1"/>
  <c r="DT113" i="338"/>
  <c r="DN113" i="338"/>
  <c r="DT163" i="338"/>
  <c r="DN160" i="338"/>
  <c r="AD220" i="335"/>
  <c r="AD219" i="335"/>
  <c r="FG57" i="335"/>
  <c r="EC79" i="11"/>
  <c r="EC83" i="11" s="1"/>
  <c r="EC76" i="11"/>
  <c r="DT409" i="338"/>
  <c r="DT124" i="336"/>
  <c r="DT125" i="336"/>
  <c r="FC54" i="11"/>
  <c r="FI54" i="11"/>
  <c r="DP270" i="335"/>
  <c r="FU169" i="335"/>
  <c r="DT368" i="335"/>
  <c r="DP323" i="335"/>
  <c r="DS323" i="335"/>
  <c r="DV298" i="335"/>
  <c r="DP212" i="335"/>
  <c r="DP213" i="335" s="1"/>
  <c r="DP170" i="335"/>
  <c r="DS270" i="335"/>
  <c r="DP298" i="335"/>
  <c r="DP173" i="335"/>
  <c r="DP174" i="335" s="1"/>
  <c r="DP350" i="335"/>
  <c r="DU368" i="335"/>
  <c r="M459" i="335"/>
  <c r="M461" i="335"/>
  <c r="M375" i="335"/>
  <c r="M458" i="335"/>
  <c r="M460" i="335"/>
  <c r="EO67" i="11"/>
  <c r="EO34" i="11"/>
  <c r="ET607" i="338"/>
  <c r="ET615" i="338"/>
  <c r="ET616" i="338" s="1"/>
  <c r="ET621" i="338" s="1"/>
  <c r="ET622" i="338" s="1"/>
  <c r="ET623" i="338" s="1"/>
  <c r="DV33" i="11"/>
  <c r="DV67" i="11" s="1"/>
  <c r="DV61" i="11" s="1"/>
  <c r="DV16" i="338" s="1"/>
  <c r="CA57" i="338"/>
  <c r="CA95" i="338"/>
  <c r="CA97" i="338" s="1"/>
  <c r="CG57" i="338"/>
  <c r="CG97" i="338"/>
  <c r="CY95" i="338"/>
  <c r="CY57" i="338"/>
  <c r="EN422" i="335"/>
  <c r="EO422" i="335" s="1"/>
  <c r="EQ61" i="336"/>
  <c r="EM432" i="335"/>
  <c r="EN71" i="336"/>
  <c r="CJ215" i="336"/>
  <c r="CJ213" i="336" s="1"/>
  <c r="CK215" i="336" s="1"/>
  <c r="CK213" i="336" s="1"/>
  <c r="CL215" i="336" s="1"/>
  <c r="CL213" i="336" s="1"/>
  <c r="EH414" i="335"/>
  <c r="EI414" i="335" s="1"/>
  <c r="EK53" i="336"/>
  <c r="DJ686" i="338"/>
  <c r="DJ690" i="338"/>
  <c r="DM690" i="338"/>
  <c r="DM686" i="338"/>
  <c r="EA690" i="338"/>
  <c r="EA686" i="338"/>
  <c r="DO690" i="338"/>
  <c r="DO686" i="338"/>
  <c r="EM689" i="338"/>
  <c r="EM685" i="338"/>
  <c r="DQ125" i="11"/>
  <c r="DQ129" i="11" s="1"/>
  <c r="DG686" i="338"/>
  <c r="DG690" i="338"/>
  <c r="EO278" i="338"/>
  <c r="ET278" i="338"/>
  <c r="EN277" i="338"/>
  <c r="EZ281" i="338"/>
  <c r="FA281" i="338" s="1"/>
  <c r="FA288" i="338" s="1"/>
  <c r="FA299" i="338"/>
  <c r="FA780" i="338" s="1"/>
  <c r="FA781" i="338" s="1"/>
  <c r="EH388" i="335"/>
  <c r="EH393" i="335" s="1"/>
  <c r="EI277" i="338"/>
  <c r="FM729" i="338"/>
  <c r="DP686" i="338"/>
  <c r="DP690" i="338"/>
  <c r="DU105" i="11"/>
  <c r="DU109" i="11" s="1"/>
  <c r="DU113" i="11" s="1"/>
  <c r="EA90" i="11"/>
  <c r="DU94" i="11"/>
  <c r="DU98" i="11" s="1"/>
  <c r="EU182" i="338"/>
  <c r="EU181" i="338" s="1"/>
  <c r="EO181" i="338"/>
  <c r="FA298" i="338"/>
  <c r="FA759" i="338" s="1"/>
  <c r="EZ280" i="338"/>
  <c r="DY686" i="338"/>
  <c r="DY690" i="338"/>
  <c r="DH690" i="338"/>
  <c r="DH686" i="338"/>
  <c r="FD218" i="338"/>
  <c r="FC283" i="338"/>
  <c r="FC387" i="335"/>
  <c r="DQ690" i="338"/>
  <c r="DQ686" i="338"/>
  <c r="EC315" i="338"/>
  <c r="EC388" i="335"/>
  <c r="EC393" i="335" s="1"/>
  <c r="EC285" i="338"/>
  <c r="FA774" i="338"/>
  <c r="FA749" i="338"/>
  <c r="FA748" i="338"/>
  <c r="EO198" i="338"/>
  <c r="EO176" i="338" s="1"/>
  <c r="FE319" i="338"/>
  <c r="FD300" i="338"/>
  <c r="FD301" i="338" s="1"/>
  <c r="FD390" i="335"/>
  <c r="FD282" i="338"/>
  <c r="DU97" i="338"/>
  <c r="FA291" i="338"/>
  <c r="EZ731" i="338"/>
  <c r="EZ282" i="338"/>
  <c r="DK690" i="338"/>
  <c r="CU690" i="338"/>
  <c r="CU686" i="338"/>
  <c r="FJ217" i="338"/>
  <c r="FM219" i="338"/>
  <c r="FM220" i="338" s="1"/>
  <c r="BI45" i="3"/>
  <c r="BO45" i="3"/>
  <c r="BY398" i="335"/>
  <c r="BZ398" i="335"/>
  <c r="CD398" i="335"/>
  <c r="CC398" i="335"/>
  <c r="X103" i="3"/>
  <c r="BI418" i="338"/>
  <c r="BI401" i="338"/>
  <c r="BI400" i="338"/>
  <c r="BM115" i="3"/>
  <c r="BS115" i="3"/>
  <c r="BI109" i="3"/>
  <c r="BI110" i="3" s="1"/>
  <c r="BI106" i="3"/>
  <c r="BI114" i="3"/>
  <c r="BI115" i="3" s="1"/>
  <c r="AC110" i="3"/>
  <c r="AQ33" i="3"/>
  <c r="AP45" i="3"/>
  <c r="BB51" i="3"/>
  <c r="BC51" i="3" s="1"/>
  <c r="BC25" i="3"/>
  <c r="BB45" i="3"/>
  <c r="CG110" i="3"/>
  <c r="CA110" i="3"/>
  <c r="AW45" i="3"/>
  <c r="BY110" i="3"/>
  <c r="CE110" i="3"/>
  <c r="BN51" i="3"/>
  <c r="BO51" i="3" s="1"/>
  <c r="BO25" i="3"/>
  <c r="AJ398" i="335"/>
  <c r="AM398" i="335"/>
  <c r="AN398" i="335"/>
  <c r="AJ51" i="3"/>
  <c r="AK51" i="3" s="1"/>
  <c r="AK25" i="3"/>
  <c r="X109" i="3"/>
  <c r="X110" i="3" s="1"/>
  <c r="X106" i="3"/>
  <c r="BS110" i="3"/>
  <c r="BM110" i="3"/>
  <c r="AJ109" i="3"/>
  <c r="AJ106" i="3"/>
  <c r="AP106" i="3"/>
  <c r="AJ45" i="3"/>
  <c r="Y45" i="3"/>
  <c r="BT110" i="3"/>
  <c r="BN110" i="3"/>
  <c r="AI110" i="3"/>
  <c r="AO110" i="3"/>
  <c r="U49" i="3"/>
  <c r="V47" i="3"/>
  <c r="BI25" i="3"/>
  <c r="BH51" i="3"/>
  <c r="BI51" i="3" s="1"/>
  <c r="AD106" i="3"/>
  <c r="Y99" i="3"/>
  <c r="Y103" i="3" s="1"/>
  <c r="AA101" i="3" s="1"/>
  <c r="BI145" i="336"/>
  <c r="BI139" i="336"/>
  <c r="BI140" i="336" s="1"/>
  <c r="Y25" i="3"/>
  <c r="X51" i="3"/>
  <c r="Y51" i="3" s="1"/>
  <c r="BN398" i="335"/>
  <c r="BM398" i="335"/>
  <c r="BQ398" i="335"/>
  <c r="BR398" i="335"/>
  <c r="BU110" i="3"/>
  <c r="AK109" i="3"/>
  <c r="AK106" i="3"/>
  <c r="AQ106" i="3"/>
  <c r="EO110" i="3"/>
  <c r="EU110" i="3"/>
  <c r="AZ398" i="335"/>
  <c r="BA398" i="335"/>
  <c r="AY398" i="335"/>
  <c r="AV398" i="335"/>
  <c r="BK398" i="335"/>
  <c r="BL398" i="335"/>
  <c r="BH398" i="335"/>
  <c r="BG398" i="335"/>
  <c r="BF398" i="335"/>
  <c r="BE398" i="335"/>
  <c r="BB398" i="335"/>
  <c r="AE45" i="3"/>
  <c r="AI398" i="335"/>
  <c r="DA266" i="336"/>
  <c r="DA271" i="336" s="1"/>
  <c r="DB266" i="336" s="1"/>
  <c r="DB271" i="336" s="1"/>
  <c r="DC266" i="336" s="1"/>
  <c r="DC271" i="336" s="1"/>
  <c r="DD266" i="336" s="1"/>
  <c r="DD271" i="336" s="1"/>
  <c r="DE266" i="336"/>
  <c r="DE271" i="336" s="1"/>
  <c r="CY281" i="336"/>
  <c r="DE276" i="336" s="1"/>
  <c r="CA55" i="338"/>
  <c r="CL266" i="336"/>
  <c r="CL271" i="336" s="1"/>
  <c r="CK246" i="336"/>
  <c r="CK253" i="336" s="1"/>
  <c r="CK285" i="336"/>
  <c r="DJ84" i="336"/>
  <c r="DI445" i="335"/>
  <c r="EX437" i="335"/>
  <c r="EY76" i="336"/>
  <c r="EZ82" i="336"/>
  <c r="EY443" i="335"/>
  <c r="DU99" i="336"/>
  <c r="EY428" i="335"/>
  <c r="EZ67" i="336"/>
  <c r="EY424" i="335"/>
  <c r="EZ63" i="336"/>
  <c r="EW449" i="335"/>
  <c r="EX88" i="336"/>
  <c r="ES73" i="336"/>
  <c r="ER434" i="335"/>
  <c r="ET441" i="335"/>
  <c r="EU441" i="335" s="1"/>
  <c r="EW80" i="336"/>
  <c r="DH60" i="336"/>
  <c r="DG421" i="335"/>
  <c r="DG48" i="336"/>
  <c r="DV21" i="336"/>
  <c r="DW21" i="336" s="1"/>
  <c r="DV98" i="336"/>
  <c r="DW19" i="336"/>
  <c r="FI19" i="336"/>
  <c r="FG19" i="336"/>
  <c r="FF30" i="3"/>
  <c r="FI30" i="3"/>
  <c r="FI82" i="3" s="1"/>
  <c r="FF29" i="3"/>
  <c r="FF16" i="3"/>
  <c r="FF67" i="3" s="1"/>
  <c r="FG67" i="3" s="1"/>
  <c r="EL420" i="335"/>
  <c r="EM59" i="336"/>
  <c r="DM425" i="335"/>
  <c r="DN64" i="336"/>
  <c r="FC452" i="335"/>
  <c r="FD91" i="336"/>
  <c r="DH416" i="335"/>
  <c r="DK416" i="335" s="1"/>
  <c r="EB97" i="338"/>
  <c r="EZ440" i="335"/>
  <c r="FA440" i="335" s="1"/>
  <c r="FC79" i="336"/>
  <c r="EZ436" i="335"/>
  <c r="FA436" i="335" s="1"/>
  <c r="FC75" i="336"/>
  <c r="DC488" i="338"/>
  <c r="GB430" i="338" s="1"/>
  <c r="DD489" i="338"/>
  <c r="FL78" i="11"/>
  <c r="FL82" i="11" s="1"/>
  <c r="FL185" i="335"/>
  <c r="FK458" i="335"/>
  <c r="FK460" i="335"/>
  <c r="BY159" i="335"/>
  <c r="BX199" i="335"/>
  <c r="BX157" i="335"/>
  <c r="CD158" i="335"/>
  <c r="CK45" i="3"/>
  <c r="CK51" i="3"/>
  <c r="FM103" i="336"/>
  <c r="FL413" i="338"/>
  <c r="FM413" i="338" s="1"/>
  <c r="BL187" i="335"/>
  <c r="AN459" i="335"/>
  <c r="AN375" i="335"/>
  <c r="AN460" i="335"/>
  <c r="AN458" i="335"/>
  <c r="AN461" i="335"/>
  <c r="DB499" i="338"/>
  <c r="AP220" i="335"/>
  <c r="AP219" i="335"/>
  <c r="ER683" i="338"/>
  <c r="EA208" i="336"/>
  <c r="EA210" i="336" s="1"/>
  <c r="EA211" i="336" s="1"/>
  <c r="EA183" i="336"/>
  <c r="CK76" i="3"/>
  <c r="CL373" i="335" s="1"/>
  <c r="CM373" i="335" s="1"/>
  <c r="CM60" i="3"/>
  <c r="CM76" i="3" s="1"/>
  <c r="BL156" i="335"/>
  <c r="DB183" i="336"/>
  <c r="DB208" i="336"/>
  <c r="DB210" i="336" s="1"/>
  <c r="DB211" i="336" s="1"/>
  <c r="EI209" i="336"/>
  <c r="EE184" i="336"/>
  <c r="AP185" i="335"/>
  <c r="AP187" i="335"/>
  <c r="BL235" i="335"/>
  <c r="BL231" i="336"/>
  <c r="BL232" i="336" s="1"/>
  <c r="BL236" i="335"/>
  <c r="BL239" i="336" s="1"/>
  <c r="EQ34" i="11"/>
  <c r="AQ219" i="335"/>
  <c r="AQ220" i="335"/>
  <c r="FM57" i="335"/>
  <c r="AC219" i="335"/>
  <c r="AC220" i="335"/>
  <c r="AI221" i="335" s="1"/>
  <c r="AE218" i="335"/>
  <c r="BL115" i="3"/>
  <c r="BE300" i="335"/>
  <c r="BA372" i="335"/>
  <c r="BE190" i="335"/>
  <c r="AY190" i="335"/>
  <c r="AZ325" i="335"/>
  <c r="BC189" i="335"/>
  <c r="AY325" i="335"/>
  <c r="AY300" i="335"/>
  <c r="BB372" i="335"/>
  <c r="BC372" i="335" s="1"/>
  <c r="BR221" i="335"/>
  <c r="BL221" i="335"/>
  <c r="BL238" i="336"/>
  <c r="CC371" i="335"/>
  <c r="BY324" i="335"/>
  <c r="BX351" i="335"/>
  <c r="CD299" i="335"/>
  <c r="BX229" i="336"/>
  <c r="BX189" i="335"/>
  <c r="CL87" i="3"/>
  <c r="CL99" i="3"/>
  <c r="CL105" i="3"/>
  <c r="CL383" i="335"/>
  <c r="CL397" i="335" s="1"/>
  <c r="AC185" i="335"/>
  <c r="AC187" i="335"/>
  <c r="AC299" i="335" s="1"/>
  <c r="BC220" i="335"/>
  <c r="BC207" i="336"/>
  <c r="BC210" i="336" s="1"/>
  <c r="BC211" i="336" s="1"/>
  <c r="BC219" i="335"/>
  <c r="BC234" i="335"/>
  <c r="BC230" i="336"/>
  <c r="BL462" i="335"/>
  <c r="BL209" i="335"/>
  <c r="BC351" i="335"/>
  <c r="BC386" i="338"/>
  <c r="BI299" i="335"/>
  <c r="BC229" i="336"/>
  <c r="BC223" i="336"/>
  <c r="AT299" i="335"/>
  <c r="AN351" i="335"/>
  <c r="AN324" i="335"/>
  <c r="AN189" i="335"/>
  <c r="AN371" i="335"/>
  <c r="EB489" i="338"/>
  <c r="EA488" i="338"/>
  <c r="CK187" i="336"/>
  <c r="CK178" i="336"/>
  <c r="CK173" i="336"/>
  <c r="BE221" i="335"/>
  <c r="AY221" i="335"/>
  <c r="FC124" i="335"/>
  <c r="FG122" i="335"/>
  <c r="FE9" i="338"/>
  <c r="FE15" i="335"/>
  <c r="FE43" i="11"/>
  <c r="FE52" i="11" s="1"/>
  <c r="FE278" i="335"/>
  <c r="FE52" i="335"/>
  <c r="FK179" i="335"/>
  <c r="FL179" i="335" s="1"/>
  <c r="GB179" i="335"/>
  <c r="EX303" i="335"/>
  <c r="EW160" i="336"/>
  <c r="EW364" i="335"/>
  <c r="EW278" i="335"/>
  <c r="EW43" i="11"/>
  <c r="EW52" i="11" s="1"/>
  <c r="EX16" i="335"/>
  <c r="EW105" i="335"/>
  <c r="EW9" i="338"/>
  <c r="EZ364" i="335"/>
  <c r="FA364" i="335" s="1"/>
  <c r="EW330" i="338"/>
  <c r="FZ14" i="335"/>
  <c r="FZ105" i="335" s="1"/>
  <c r="EW16" i="335"/>
  <c r="EW303" i="335"/>
  <c r="EW42" i="335"/>
  <c r="EW161" i="336"/>
  <c r="EX364" i="335"/>
  <c r="EW15" i="335"/>
  <c r="FA14" i="335"/>
  <c r="FA105" i="335" s="1"/>
  <c r="EW52" i="335"/>
  <c r="ET659" i="338"/>
  <c r="ET657" i="338" s="1"/>
  <c r="ET656" i="338" s="1"/>
  <c r="ET629" i="338"/>
  <c r="ET627" i="338" s="1"/>
  <c r="ET671" i="338"/>
  <c r="ET669" i="338" s="1"/>
  <c r="ET668" i="338" s="1"/>
  <c r="ET653" i="338"/>
  <c r="ET651" i="338" s="1"/>
  <c r="ET635" i="338"/>
  <c r="ET633" i="338" s="1"/>
  <c r="ET632" i="338" s="1"/>
  <c r="S219" i="335"/>
  <c r="S220" i="335"/>
  <c r="S221" i="335" s="1"/>
  <c r="W458" i="335"/>
  <c r="W459" i="335"/>
  <c r="W460" i="335"/>
  <c r="W375" i="335"/>
  <c r="W461" i="335"/>
  <c r="W221" i="335"/>
  <c r="FG33" i="335"/>
  <c r="EK689" i="338"/>
  <c r="EO684" i="338"/>
  <c r="EO689" i="338" s="1"/>
  <c r="FM45" i="11"/>
  <c r="FM287" i="335"/>
  <c r="EU298" i="335"/>
  <c r="EU173" i="335"/>
  <c r="EU171" i="335"/>
  <c r="EU350" i="335"/>
  <c r="EU170" i="335"/>
  <c r="EU389" i="338" s="1"/>
  <c r="EU368" i="335"/>
  <c r="DH187" i="335"/>
  <c r="DH185" i="335"/>
  <c r="DI214" i="335"/>
  <c r="DI182" i="335"/>
  <c r="DS179" i="335"/>
  <c r="DG299" i="335"/>
  <c r="DG189" i="335"/>
  <c r="DG351" i="335"/>
  <c r="EU681" i="338"/>
  <c r="FM47" i="11"/>
  <c r="FM289" i="335"/>
  <c r="EX317" i="335"/>
  <c r="EX103" i="336"/>
  <c r="EX292" i="335"/>
  <c r="EX343" i="335"/>
  <c r="EX316" i="338"/>
  <c r="EX367" i="335"/>
  <c r="FZ141" i="335"/>
  <c r="EX143" i="335"/>
  <c r="EX206" i="335"/>
  <c r="DH97" i="338"/>
  <c r="FI79" i="335"/>
  <c r="GB35" i="335"/>
  <c r="GB36" i="335" s="1"/>
  <c r="FM35" i="335"/>
  <c r="FI36" i="335"/>
  <c r="FI37" i="335"/>
  <c r="FJ37" i="335"/>
  <c r="FA21" i="335"/>
  <c r="EQ61" i="11"/>
  <c r="EQ16" i="338" s="1"/>
  <c r="EQ162" i="338"/>
  <c r="EQ164" i="338" s="1"/>
  <c r="FJ180" i="335"/>
  <c r="FK180" i="335" s="1"/>
  <c r="FL180" i="335" s="1"/>
  <c r="DC178" i="336"/>
  <c r="DC173" i="336"/>
  <c r="DG218" i="335"/>
  <c r="DG217" i="335"/>
  <c r="FE33" i="338"/>
  <c r="FE36" i="338" s="1"/>
  <c r="FE37" i="338" s="1"/>
  <c r="FE21" i="338"/>
  <c r="GA33" i="335"/>
  <c r="EU127" i="336"/>
  <c r="EU124" i="336"/>
  <c r="FA108" i="335"/>
  <c r="FG36" i="335"/>
  <c r="CC192" i="336"/>
  <c r="CC196" i="336" s="1"/>
  <c r="CC175" i="336"/>
  <c r="CC199" i="336"/>
  <c r="EQ187" i="335"/>
  <c r="EQ185" i="335"/>
  <c r="FY182" i="335"/>
  <c r="FY185" i="335" s="1"/>
  <c r="DH217" i="335"/>
  <c r="DH218" i="335"/>
  <c r="Q351" i="335"/>
  <c r="Q189" i="335"/>
  <c r="Q324" i="335"/>
  <c r="S187" i="335"/>
  <c r="R371" i="335"/>
  <c r="R324" i="335"/>
  <c r="ES462" i="335"/>
  <c r="ES208" i="335" s="1"/>
  <c r="ES209" i="335" s="1"/>
  <c r="FI34" i="335"/>
  <c r="FI33" i="335"/>
  <c r="FM32" i="335"/>
  <c r="FI20" i="335"/>
  <c r="FJ34" i="335"/>
  <c r="GB32" i="335"/>
  <c r="EW34" i="338"/>
  <c r="EX34" i="338"/>
  <c r="EW22" i="338"/>
  <c r="EX22" i="338"/>
  <c r="EW21" i="338"/>
  <c r="EW334" i="338"/>
  <c r="EW33" i="338"/>
  <c r="FA23" i="338"/>
  <c r="FL108" i="335"/>
  <c r="FM46" i="11"/>
  <c r="FM288" i="335"/>
  <c r="FF303" i="335"/>
  <c r="FF9" i="338"/>
  <c r="FF278" i="335"/>
  <c r="FF43" i="11"/>
  <c r="FF52" i="11" s="1"/>
  <c r="FF16" i="335"/>
  <c r="FF15" i="335"/>
  <c r="EQ675" i="338"/>
  <c r="EQ626" i="338"/>
  <c r="EO681" i="338"/>
  <c r="FG119" i="335"/>
  <c r="FG120" i="335" s="1"/>
  <c r="FC120" i="335"/>
  <c r="FI107" i="335"/>
  <c r="FM113" i="335"/>
  <c r="FM114" i="335" s="1"/>
  <c r="FI122" i="335"/>
  <c r="FI119" i="335"/>
  <c r="FC108" i="335"/>
  <c r="FC104" i="335"/>
  <c r="FG107" i="335"/>
  <c r="W299" i="335"/>
  <c r="W189" i="335"/>
  <c r="W351" i="335"/>
  <c r="W324" i="335"/>
  <c r="AB371" i="335"/>
  <c r="X324" i="335"/>
  <c r="AA371" i="335"/>
  <c r="FC23" i="338"/>
  <c r="FC14" i="335"/>
  <c r="FD22" i="335"/>
  <c r="FC22" i="335"/>
  <c r="FC21" i="335"/>
  <c r="FG20" i="335"/>
  <c r="EQ689" i="338"/>
  <c r="EU684" i="338"/>
  <c r="EU689" i="338" s="1"/>
  <c r="FG79" i="335"/>
  <c r="FG80" i="335" s="1"/>
  <c r="FC80" i="335"/>
  <c r="FC81" i="335"/>
  <c r="FD81" i="335"/>
  <c r="ES487" i="338"/>
  <c r="GB139" i="335"/>
  <c r="CQ178" i="336"/>
  <c r="CQ173" i="336"/>
  <c r="EQ213" i="335"/>
  <c r="EQ215" i="335"/>
  <c r="FL22" i="335"/>
  <c r="FL23" i="338"/>
  <c r="FL21" i="335"/>
  <c r="FL14" i="335"/>
  <c r="FF22" i="338"/>
  <c r="FF33" i="338"/>
  <c r="FF36" i="338" s="1"/>
  <c r="FF37" i="338" s="1"/>
  <c r="FF34" i="338"/>
  <c r="FF21" i="338"/>
  <c r="Q460" i="335"/>
  <c r="S460" i="335" s="1"/>
  <c r="Q458" i="335"/>
  <c r="Q459" i="335"/>
  <c r="S459" i="335" s="1"/>
  <c r="Q461" i="335"/>
  <c r="S461" i="335" s="1"/>
  <c r="Q375" i="335"/>
  <c r="FM116" i="336"/>
  <c r="EQ650" i="338"/>
  <c r="EQ678" i="338"/>
  <c r="ES201" i="335"/>
  <c r="ES202" i="335" s="1"/>
  <c r="ES200" i="335"/>
  <c r="DM180" i="335"/>
  <c r="DJ176" i="335"/>
  <c r="DK176" i="335" s="1"/>
  <c r="DG458" i="335"/>
  <c r="DG503" i="338"/>
  <c r="DG461" i="335"/>
  <c r="DG199" i="335"/>
  <c r="DG459" i="335"/>
  <c r="DG460" i="335"/>
  <c r="DG375" i="335"/>
  <c r="FK21" i="335"/>
  <c r="FK23" i="338"/>
  <c r="FK14" i="335"/>
  <c r="FM118" i="336"/>
  <c r="EZ72" i="336"/>
  <c r="EY433" i="335"/>
  <c r="FC89" i="336"/>
  <c r="EZ450" i="335"/>
  <c r="FA450" i="335" s="1"/>
  <c r="EZ77" i="336"/>
  <c r="EY438" i="335"/>
  <c r="DN62" i="336"/>
  <c r="DM423" i="335"/>
  <c r="FM9" i="336"/>
  <c r="FL145" i="336"/>
  <c r="DM446" i="335"/>
  <c r="DN85" i="336"/>
  <c r="FM26" i="336"/>
  <c r="ES184" i="336"/>
  <c r="EN69" i="336"/>
  <c r="EM430" i="335"/>
  <c r="FM20" i="336"/>
  <c r="FG13" i="336"/>
  <c r="FI13" i="336"/>
  <c r="EG426" i="335"/>
  <c r="EH65" i="336"/>
  <c r="EH426" i="335" s="1"/>
  <c r="FF435" i="335"/>
  <c r="FG435" i="335" s="1"/>
  <c r="FI74" i="336"/>
  <c r="AT220" i="335" l="1"/>
  <c r="AT219" i="335"/>
  <c r="EN95" i="338"/>
  <c r="EN57" i="338"/>
  <c r="EN97" i="338"/>
  <c r="EI675" i="338"/>
  <c r="EI674" i="338" s="1"/>
  <c r="EH683" i="338"/>
  <c r="EH674" i="338"/>
  <c r="CI199" i="336"/>
  <c r="CI192" i="336"/>
  <c r="CI196" i="336" s="1"/>
  <c r="CI175" i="336"/>
  <c r="V459" i="335"/>
  <c r="V458" i="335"/>
  <c r="V461" i="335"/>
  <c r="V460" i="335"/>
  <c r="V375" i="335"/>
  <c r="BX183" i="336"/>
  <c r="BX208" i="336"/>
  <c r="BX210" i="336" s="1"/>
  <c r="BX211" i="336" s="1"/>
  <c r="FC304" i="335"/>
  <c r="EZ42" i="335"/>
  <c r="EZ40" i="338"/>
  <c r="FC41" i="335"/>
  <c r="FF39" i="335"/>
  <c r="EZ279" i="335"/>
  <c r="EZ228" i="338"/>
  <c r="EZ229" i="338" s="1"/>
  <c r="EZ723" i="338"/>
  <c r="EZ119" i="11"/>
  <c r="EB80" i="11"/>
  <c r="EB84" i="11" s="1"/>
  <c r="EB359" i="335"/>
  <c r="CJ398" i="335"/>
  <c r="EI678" i="338"/>
  <c r="EI687" i="338" s="1"/>
  <c r="EH687" i="338"/>
  <c r="AH217" i="335"/>
  <c r="AH184" i="335" s="1"/>
  <c r="AH218" i="335"/>
  <c r="AK215" i="335"/>
  <c r="AK217" i="335" s="1"/>
  <c r="BX231" i="336"/>
  <c r="BX232" i="336" s="1"/>
  <c r="BX235" i="335"/>
  <c r="BX236" i="335"/>
  <c r="ET330" i="335"/>
  <c r="ET280" i="335"/>
  <c r="ET120" i="11"/>
  <c r="ET124" i="11" s="1"/>
  <c r="ET43" i="335"/>
  <c r="ET58" i="338"/>
  <c r="ET725" i="338"/>
  <c r="ET721" i="338" s="1"/>
  <c r="ET734" i="338" s="1"/>
  <c r="CJ109" i="3"/>
  <c r="CJ110" i="3" s="1"/>
  <c r="CJ106" i="3"/>
  <c r="CJ108" i="3"/>
  <c r="CJ114" i="3"/>
  <c r="CJ115" i="3" s="1"/>
  <c r="EF688" i="338"/>
  <c r="EF685" i="338"/>
  <c r="EN671" i="338"/>
  <c r="EN669" i="338" s="1"/>
  <c r="EN668" i="338" s="1"/>
  <c r="EN635" i="338"/>
  <c r="EN633" i="338" s="1"/>
  <c r="EN632" i="338" s="1"/>
  <c r="EN653" i="338"/>
  <c r="EN651" i="338" s="1"/>
  <c r="EN629" i="338"/>
  <c r="EN627" i="338" s="1"/>
  <c r="EN647" i="338"/>
  <c r="EN645" i="338" s="1"/>
  <c r="EN644" i="338" s="1"/>
  <c r="EN659" i="338"/>
  <c r="EN657" i="338" s="1"/>
  <c r="EN656" i="338" s="1"/>
  <c r="EN665" i="338"/>
  <c r="EN663" i="338" s="1"/>
  <c r="EN662" i="338" s="1"/>
  <c r="EN641" i="338"/>
  <c r="EN639" i="338" s="1"/>
  <c r="EN638" i="338" s="1"/>
  <c r="EL650" i="338"/>
  <c r="EL678" i="338"/>
  <c r="EL687" i="338" s="1"/>
  <c r="EI34" i="11"/>
  <c r="CI108" i="3"/>
  <c r="CI114" i="3"/>
  <c r="CI115" i="3" s="1"/>
  <c r="CI109" i="3"/>
  <c r="CI110" i="3" s="1"/>
  <c r="CI106" i="3"/>
  <c r="EH689" i="338"/>
  <c r="EI684" i="338"/>
  <c r="EI689" i="338" s="1"/>
  <c r="ET53" i="338"/>
  <c r="ET39" i="338"/>
  <c r="EL675" i="338"/>
  <c r="EL626" i="338"/>
  <c r="J185" i="335"/>
  <c r="J187" i="335"/>
  <c r="BX462" i="335"/>
  <c r="BX208" i="335" s="1"/>
  <c r="BX209" i="335" s="1"/>
  <c r="FX187" i="335"/>
  <c r="AB221" i="335"/>
  <c r="V221" i="335"/>
  <c r="EI61" i="11"/>
  <c r="EI16" i="338" s="1"/>
  <c r="EI162" i="338"/>
  <c r="EI164" i="338" s="1"/>
  <c r="AB299" i="335"/>
  <c r="V299" i="335"/>
  <c r="V189" i="335"/>
  <c r="V351" i="335"/>
  <c r="BX238" i="336"/>
  <c r="BX499" i="338"/>
  <c r="ET123" i="11"/>
  <c r="ET104" i="11"/>
  <c r="ET108" i="11" s="1"/>
  <c r="ET112" i="11" s="1"/>
  <c r="EH79" i="11"/>
  <c r="EH83" i="11" s="1"/>
  <c r="EH76" i="11"/>
  <c r="EN75" i="11"/>
  <c r="J219" i="335"/>
  <c r="J220" i="335"/>
  <c r="EZ370" i="335"/>
  <c r="FA370" i="335" s="1"/>
  <c r="DK686" i="338"/>
  <c r="FI78" i="11"/>
  <c r="FI82" i="11" s="1"/>
  <c r="FI104" i="11"/>
  <c r="FI108" i="11" s="1"/>
  <c r="FI112" i="11" s="1"/>
  <c r="CL164" i="338"/>
  <c r="EK459" i="335"/>
  <c r="EK460" i="335"/>
  <c r="EK375" i="335"/>
  <c r="EK461" i="335"/>
  <c r="EK114" i="3"/>
  <c r="EK115" i="3" s="1"/>
  <c r="EK458" i="335"/>
  <c r="EK199" i="335"/>
  <c r="EK189" i="335"/>
  <c r="EK299" i="335"/>
  <c r="EK351" i="335"/>
  <c r="FM74" i="11"/>
  <c r="FM78" i="11" s="1"/>
  <c r="FM82" i="11" s="1"/>
  <c r="EK218" i="335"/>
  <c r="EK217" i="335"/>
  <c r="CW162" i="338"/>
  <c r="CW164" i="338" s="1"/>
  <c r="EK54" i="338"/>
  <c r="EK19" i="338"/>
  <c r="EK55" i="338"/>
  <c r="EK96" i="338"/>
  <c r="EK97" i="338" s="1"/>
  <c r="EK18" i="338"/>
  <c r="EK683" i="338"/>
  <c r="EK674" i="338"/>
  <c r="FI119" i="336"/>
  <c r="FG119" i="336"/>
  <c r="FG395" i="338" s="1"/>
  <c r="FF395" i="338"/>
  <c r="EE690" i="338"/>
  <c r="EE686" i="338"/>
  <c r="EH214" i="338"/>
  <c r="EC214" i="338"/>
  <c r="EC215" i="338" s="1"/>
  <c r="BO110" i="3"/>
  <c r="DJ162" i="338"/>
  <c r="DJ507" i="338" s="1"/>
  <c r="DH137" i="336"/>
  <c r="DI134" i="336"/>
  <c r="DH135" i="336"/>
  <c r="DB488" i="338"/>
  <c r="GA430" i="338" s="1"/>
  <c r="DC489" i="338"/>
  <c r="CU495" i="338"/>
  <c r="DP495" i="338"/>
  <c r="CS39" i="11"/>
  <c r="DA221" i="335"/>
  <c r="DA499" i="338"/>
  <c r="GE481" i="338" s="1"/>
  <c r="CD236" i="335"/>
  <c r="CD235" i="335"/>
  <c r="CD231" i="336"/>
  <c r="CD232" i="336" s="1"/>
  <c r="DA208" i="336"/>
  <c r="DA210" i="336" s="1"/>
  <c r="DA211" i="336" s="1"/>
  <c r="DA183" i="336"/>
  <c r="CD201" i="335"/>
  <c r="CD202" i="335" s="1"/>
  <c r="CD200" i="335"/>
  <c r="BY234" i="336"/>
  <c r="BY233" i="336"/>
  <c r="BY263" i="336"/>
  <c r="CE489" i="338"/>
  <c r="CD488" i="338"/>
  <c r="BY157" i="335"/>
  <c r="BY158" i="335"/>
  <c r="BY199" i="335"/>
  <c r="CD183" i="336"/>
  <c r="CD208" i="336"/>
  <c r="CD210" i="336" s="1"/>
  <c r="CD211" i="336" s="1"/>
  <c r="AQ187" i="335"/>
  <c r="AQ351" i="335" s="1"/>
  <c r="I221" i="335"/>
  <c r="BY237" i="336"/>
  <c r="BY487" i="338"/>
  <c r="BY190" i="335"/>
  <c r="BY300" i="335"/>
  <c r="DE690" i="338"/>
  <c r="DE686" i="338"/>
  <c r="CP178" i="336"/>
  <c r="CP173" i="336"/>
  <c r="AO371" i="335"/>
  <c r="BR115" i="3"/>
  <c r="BY230" i="336"/>
  <c r="BY220" i="335"/>
  <c r="BY234" i="335"/>
  <c r="BY219" i="335"/>
  <c r="BY207" i="336"/>
  <c r="BY184" i="336" s="1"/>
  <c r="BY462" i="335"/>
  <c r="BY208" i="335" s="1"/>
  <c r="BY209" i="335" s="1"/>
  <c r="CD499" i="338"/>
  <c r="CD238" i="336"/>
  <c r="CD221" i="335"/>
  <c r="DE39" i="11"/>
  <c r="CW34" i="11"/>
  <c r="DJ34" i="11"/>
  <c r="DC34" i="11"/>
  <c r="DC507" i="338"/>
  <c r="DC164" i="338"/>
  <c r="F225" i="336"/>
  <c r="F223" i="336"/>
  <c r="F299" i="335"/>
  <c r="F386" i="338"/>
  <c r="F351" i="335"/>
  <c r="F404" i="338"/>
  <c r="F371" i="335"/>
  <c r="F189" i="335"/>
  <c r="F372" i="335" s="1"/>
  <c r="EN65" i="335"/>
  <c r="EI65" i="335"/>
  <c r="FX65" i="335"/>
  <c r="CF229" i="336"/>
  <c r="CF189" i="335"/>
  <c r="CF190" i="335" s="1"/>
  <c r="CF351" i="335"/>
  <c r="CI324" i="335"/>
  <c r="CK371" i="335"/>
  <c r="FI64" i="335"/>
  <c r="EL96" i="338"/>
  <c r="EL97" i="338" s="1"/>
  <c r="EL19" i="338"/>
  <c r="EL54" i="338"/>
  <c r="EL55" i="338"/>
  <c r="EL18" i="338"/>
  <c r="EZ319" i="335"/>
  <c r="EI460" i="335"/>
  <c r="CS199" i="335"/>
  <c r="CS200" i="335" s="1"/>
  <c r="CO200" i="335"/>
  <c r="CO215" i="335"/>
  <c r="CO213" i="335"/>
  <c r="CS212" i="335"/>
  <c r="CS213" i="335" s="1"/>
  <c r="CL185" i="335"/>
  <c r="CL114" i="3" s="1"/>
  <c r="CL187" i="335"/>
  <c r="FP182" i="335"/>
  <c r="FP185" i="335" s="1"/>
  <c r="CM182" i="335"/>
  <c r="CM185" i="335" s="1"/>
  <c r="ES123" i="11"/>
  <c r="ES127" i="11" s="1"/>
  <c r="ES104" i="11"/>
  <c r="EU279" i="335"/>
  <c r="EU40" i="335"/>
  <c r="EU40" i="338"/>
  <c r="EU228" i="338"/>
  <c r="EU229" i="338" s="1"/>
  <c r="EU723" i="338"/>
  <c r="EU329" i="335"/>
  <c r="CM39" i="11"/>
  <c r="GG429" i="338"/>
  <c r="GG438" i="338"/>
  <c r="DD34" i="11"/>
  <c r="CR507" i="338"/>
  <c r="DD213" i="335"/>
  <c r="DE212" i="335"/>
  <c r="DE213" i="335" s="1"/>
  <c r="DD215" i="335"/>
  <c r="DK39" i="11"/>
  <c r="FY43" i="335"/>
  <c r="CU175" i="336"/>
  <c r="CU199" i="336"/>
  <c r="CU192" i="336"/>
  <c r="CU196" i="336" s="1"/>
  <c r="CO507" i="338"/>
  <c r="EN64" i="335"/>
  <c r="FX64" i="335"/>
  <c r="EI64" i="335"/>
  <c r="CY39" i="11"/>
  <c r="EO119" i="11"/>
  <c r="EO108" i="11"/>
  <c r="EO112" i="11" s="1"/>
  <c r="DD162" i="338"/>
  <c r="DD507" i="338" s="1"/>
  <c r="FQ14" i="11"/>
  <c r="CM358" i="335"/>
  <c r="CM356" i="335" s="1"/>
  <c r="CM323" i="338" s="1"/>
  <c r="CM26" i="11"/>
  <c r="FQ26" i="11" s="1"/>
  <c r="CG39" i="11"/>
  <c r="CS350" i="335"/>
  <c r="CS368" i="335"/>
  <c r="CS170" i="335"/>
  <c r="CS173" i="335"/>
  <c r="CS298" i="335"/>
  <c r="EN217" i="335"/>
  <c r="EN218" i="335"/>
  <c r="CL213" i="335"/>
  <c r="CL215" i="335"/>
  <c r="CM212" i="335"/>
  <c r="CM213" i="335" s="1"/>
  <c r="ES53" i="338"/>
  <c r="ES39" i="338"/>
  <c r="FS38" i="11"/>
  <c r="FR37" i="11"/>
  <c r="FR38" i="11"/>
  <c r="DT229" i="335"/>
  <c r="DT209" i="336" s="1"/>
  <c r="DW228" i="335"/>
  <c r="EF487" i="338"/>
  <c r="EF325" i="335"/>
  <c r="FW189" i="335"/>
  <c r="EF372" i="335"/>
  <c r="EY369" i="335"/>
  <c r="EI119" i="11"/>
  <c r="EI123" i="11" s="1"/>
  <c r="EI127" i="11" s="1"/>
  <c r="EI108" i="11"/>
  <c r="EI112" i="11" s="1"/>
  <c r="CS198" i="335"/>
  <c r="F458" i="335"/>
  <c r="F460" i="335"/>
  <c r="F461" i="335"/>
  <c r="F375" i="335"/>
  <c r="F459" i="335"/>
  <c r="DE33" i="11"/>
  <c r="DE67" i="11" s="1"/>
  <c r="DE61" i="11" s="1"/>
  <c r="DE16" i="338" s="1"/>
  <c r="CM173" i="335"/>
  <c r="CM350" i="335"/>
  <c r="CM298" i="335"/>
  <c r="CM368" i="335"/>
  <c r="CM170" i="335"/>
  <c r="FZ40" i="335"/>
  <c r="CW507" i="338"/>
  <c r="FQ27" i="11"/>
  <c r="CM34" i="11"/>
  <c r="EF462" i="335"/>
  <c r="EF208" i="335" s="1"/>
  <c r="EF209" i="335" s="1"/>
  <c r="CE164" i="338"/>
  <c r="CS12" i="335"/>
  <c r="EN351" i="335"/>
  <c r="EN189" i="335"/>
  <c r="EN190" i="335" s="1"/>
  <c r="CS33" i="11"/>
  <c r="FR27" i="11"/>
  <c r="DS209" i="336"/>
  <c r="DW209" i="336" s="1"/>
  <c r="CU507" i="338"/>
  <c r="CU55" i="338"/>
  <c r="H223" i="336"/>
  <c r="H351" i="335"/>
  <c r="H225" i="336"/>
  <c r="H404" i="338"/>
  <c r="H189" i="335"/>
  <c r="H371" i="335"/>
  <c r="H386" i="338"/>
  <c r="DK33" i="11"/>
  <c r="DK67" i="11" s="1"/>
  <c r="EM95" i="338"/>
  <c r="EM57" i="338"/>
  <c r="CF215" i="335"/>
  <c r="CF213" i="335"/>
  <c r="EI721" i="338"/>
  <c r="CU112" i="338"/>
  <c r="CG358" i="335"/>
  <c r="CG356" i="335" s="1"/>
  <c r="CG323" i="338" s="1"/>
  <c r="FP14" i="11"/>
  <c r="EL459" i="335"/>
  <c r="EL460" i="335"/>
  <c r="EL461" i="335"/>
  <c r="EL114" i="3"/>
  <c r="EL115" i="3" s="1"/>
  <c r="EL458" i="335"/>
  <c r="EL199" i="335"/>
  <c r="EL375" i="335"/>
  <c r="CW185" i="335"/>
  <c r="CW187" i="335"/>
  <c r="FR182" i="335"/>
  <c r="FR185" i="335" s="1"/>
  <c r="CY182" i="335"/>
  <c r="CY185" i="335" s="1"/>
  <c r="CS26" i="11"/>
  <c r="FR14" i="11"/>
  <c r="CY26" i="11"/>
  <c r="CS358" i="335"/>
  <c r="CS356" i="335" s="1"/>
  <c r="CS323" i="338" s="1"/>
  <c r="CE215" i="335"/>
  <c r="CG212" i="335"/>
  <c r="CG213" i="335" s="1"/>
  <c r="CE213" i="335"/>
  <c r="DD55" i="338"/>
  <c r="DD54" i="338"/>
  <c r="DD96" i="338"/>
  <c r="DD97" i="338" s="1"/>
  <c r="DD18" i="338"/>
  <c r="EO53" i="338"/>
  <c r="EO39" i="338"/>
  <c r="CM162" i="338"/>
  <c r="EF207" i="336"/>
  <c r="EF184" i="336" s="1"/>
  <c r="EF220" i="335"/>
  <c r="EF219" i="335"/>
  <c r="DD187" i="335"/>
  <c r="FS187" i="335" s="1"/>
  <c r="DE182" i="335"/>
  <c r="DE185" i="335" s="1"/>
  <c r="DE375" i="335" s="1"/>
  <c r="DD185" i="335"/>
  <c r="CU97" i="338"/>
  <c r="FS37" i="11"/>
  <c r="CG12" i="335"/>
  <c r="DJ213" i="335"/>
  <c r="DK212" i="335"/>
  <c r="DK213" i="335" s="1"/>
  <c r="EL189" i="335"/>
  <c r="FX189" i="335" s="1"/>
  <c r="FX190" i="335" s="1"/>
  <c r="EL351" i="335"/>
  <c r="EL299" i="335"/>
  <c r="EL324" i="335"/>
  <c r="EL371" i="335"/>
  <c r="CO185" i="335"/>
  <c r="CO201" i="335" s="1"/>
  <c r="CO187" i="335"/>
  <c r="CS182" i="335"/>
  <c r="CS185" i="335" s="1"/>
  <c r="FE39" i="335"/>
  <c r="EZ304" i="335"/>
  <c r="FA39" i="335"/>
  <c r="EZ41" i="335"/>
  <c r="EY228" i="338"/>
  <c r="EY229" i="338" s="1"/>
  <c r="GA39" i="335"/>
  <c r="EY40" i="338"/>
  <c r="EY41" i="335"/>
  <c r="EY42" i="335"/>
  <c r="EY119" i="11"/>
  <c r="EY329" i="335"/>
  <c r="EY279" i="335"/>
  <c r="EY304" i="335"/>
  <c r="ES120" i="11"/>
  <c r="ES124" i="11" s="1"/>
  <c r="ES128" i="11" s="1"/>
  <c r="ES305" i="335"/>
  <c r="ES44" i="335"/>
  <c r="ES280" i="335"/>
  <c r="ES43" i="335"/>
  <c r="ES75" i="11" s="1"/>
  <c r="ES58" i="338"/>
  <c r="ES330" i="335"/>
  <c r="ET305" i="335"/>
  <c r="ET44" i="335"/>
  <c r="EU42" i="335"/>
  <c r="FQ37" i="11"/>
  <c r="FQ38" i="11"/>
  <c r="EI57" i="338"/>
  <c r="EI95" i="338"/>
  <c r="CY170" i="335"/>
  <c r="CY173" i="335"/>
  <c r="CY368" i="335"/>
  <c r="CY350" i="335"/>
  <c r="CY298" i="335"/>
  <c r="CW213" i="335"/>
  <c r="CW215" i="335"/>
  <c r="CY212" i="335"/>
  <c r="CY213" i="335" s="1"/>
  <c r="EF201" i="335"/>
  <c r="EF202" i="335" s="1"/>
  <c r="EF200" i="335"/>
  <c r="CG170" i="335"/>
  <c r="CG368" i="335"/>
  <c r="CG173" i="335"/>
  <c r="CG350" i="335"/>
  <c r="CG182" i="335"/>
  <c r="FO182" i="335"/>
  <c r="EN460" i="335"/>
  <c r="EN199" i="335"/>
  <c r="EN459" i="335"/>
  <c r="EN114" i="3"/>
  <c r="EN115" i="3" s="1"/>
  <c r="EN375" i="335"/>
  <c r="EN458" i="335"/>
  <c r="EN461" i="335"/>
  <c r="DC495" i="338"/>
  <c r="EL218" i="335"/>
  <c r="EL217" i="335"/>
  <c r="CR18" i="338"/>
  <c r="CR96" i="338"/>
  <c r="CR54" i="338"/>
  <c r="FS170" i="335"/>
  <c r="DE173" i="335"/>
  <c r="DE170" i="335"/>
  <c r="DE350" i="335"/>
  <c r="DE368" i="335"/>
  <c r="DE298" i="335"/>
  <c r="H461" i="335"/>
  <c r="H459" i="335"/>
  <c r="H375" i="335"/>
  <c r="H458" i="335"/>
  <c r="H460" i="335"/>
  <c r="DC61" i="11"/>
  <c r="DC16" i="338" s="1"/>
  <c r="EO43" i="335"/>
  <c r="EO280" i="335"/>
  <c r="EO330" i="335"/>
  <c r="EO725" i="338"/>
  <c r="EO58" i="338"/>
  <c r="G299" i="335"/>
  <c r="CY33" i="11"/>
  <c r="FS27" i="11"/>
  <c r="DK298" i="335"/>
  <c r="DK350" i="335"/>
  <c r="DK170" i="335"/>
  <c r="DK368" i="335"/>
  <c r="DK173" i="335"/>
  <c r="CM12" i="335"/>
  <c r="G462" i="335"/>
  <c r="AC221" i="335"/>
  <c r="FM55" i="11"/>
  <c r="CX187" i="336"/>
  <c r="CX173" i="336"/>
  <c r="CX178" i="336"/>
  <c r="BR235" i="335"/>
  <c r="BR236" i="335"/>
  <c r="BR239" i="336" s="1"/>
  <c r="BR231" i="336"/>
  <c r="BR232" i="336" s="1"/>
  <c r="AU208" i="335"/>
  <c r="AU461" i="335"/>
  <c r="AW461" i="335" s="1"/>
  <c r="AU375" i="335"/>
  <c r="AU460" i="335"/>
  <c r="AW460" i="335" s="1"/>
  <c r="AU458" i="335"/>
  <c r="AU459" i="335"/>
  <c r="AW459" i="335" s="1"/>
  <c r="BR208" i="336"/>
  <c r="BR210" i="336" s="1"/>
  <c r="BR211" i="336" s="1"/>
  <c r="BR183" i="336"/>
  <c r="BR462" i="335"/>
  <c r="EB173" i="336"/>
  <c r="EB175" i="336" s="1"/>
  <c r="EW328" i="335"/>
  <c r="ES61" i="11"/>
  <c r="ES16" i="338" s="1"/>
  <c r="ES19" i="338" s="1"/>
  <c r="BZ115" i="3"/>
  <c r="BR238" i="336"/>
  <c r="BX221" i="335"/>
  <c r="BA299" i="335"/>
  <c r="AV371" i="335"/>
  <c r="AW371" i="335" s="1"/>
  <c r="AU324" i="335"/>
  <c r="AZ371" i="335"/>
  <c r="AU351" i="335"/>
  <c r="AY371" i="335"/>
  <c r="AV324" i="335"/>
  <c r="AW187" i="335"/>
  <c r="AU189" i="335"/>
  <c r="BQ220" i="335"/>
  <c r="BQ238" i="336" s="1"/>
  <c r="BQ207" i="336"/>
  <c r="BQ230" i="336"/>
  <c r="BQ219" i="335"/>
  <c r="BQ234" i="335"/>
  <c r="BR199" i="335"/>
  <c r="BS159" i="335"/>
  <c r="BR157" i="335"/>
  <c r="FE16" i="335"/>
  <c r="BQ184" i="335"/>
  <c r="BQ187" i="335" s="1"/>
  <c r="BQ239" i="335"/>
  <c r="BQ156" i="335" s="1"/>
  <c r="BR159" i="335" s="1"/>
  <c r="BQ208" i="335"/>
  <c r="BQ209" i="335" s="1"/>
  <c r="BQ459" i="335"/>
  <c r="BU459" i="335" s="1"/>
  <c r="BQ460" i="335"/>
  <c r="BU460" i="335" s="1"/>
  <c r="BQ458" i="335"/>
  <c r="BU458" i="335" s="1"/>
  <c r="BQ114" i="3"/>
  <c r="BQ461" i="335"/>
  <c r="BU461" i="335" s="1"/>
  <c r="BQ375" i="335"/>
  <c r="BR189" i="335"/>
  <c r="BX300" i="335" s="1"/>
  <c r="BR351" i="335"/>
  <c r="BS324" i="335"/>
  <c r="BR229" i="336"/>
  <c r="AW375" i="335"/>
  <c r="AW220" i="335"/>
  <c r="AW219" i="335"/>
  <c r="FF364" i="335"/>
  <c r="FG364" i="335" s="1"/>
  <c r="FE22" i="338"/>
  <c r="EX356" i="335"/>
  <c r="FL102" i="336"/>
  <c r="FG102" i="336"/>
  <c r="FF385" i="335"/>
  <c r="FG385" i="335" s="1"/>
  <c r="CK489" i="338"/>
  <c r="CJ488" i="338"/>
  <c r="BZ159" i="335"/>
  <c r="BZ157" i="335"/>
  <c r="CC159" i="335"/>
  <c r="BZ199" i="335"/>
  <c r="EU25" i="11"/>
  <c r="EU31" i="11" s="1"/>
  <c r="EU357" i="335"/>
  <c r="EU38" i="11"/>
  <c r="BT462" i="335"/>
  <c r="U220" i="335"/>
  <c r="U219" i="335"/>
  <c r="Y218" i="335"/>
  <c r="BN460" i="335"/>
  <c r="BN239" i="335"/>
  <c r="BN156" i="335" s="1"/>
  <c r="BN208" i="335"/>
  <c r="BN209" i="335" s="1"/>
  <c r="BN184" i="335"/>
  <c r="BN187" i="335" s="1"/>
  <c r="BN461" i="335"/>
  <c r="BN458" i="335"/>
  <c r="BN459" i="335"/>
  <c r="BN375" i="335"/>
  <c r="BN114" i="3"/>
  <c r="DM313" i="338"/>
  <c r="DQ313" i="338" s="1"/>
  <c r="DM114" i="338"/>
  <c r="DM346" i="335"/>
  <c r="DM15" i="11"/>
  <c r="DM431" i="338"/>
  <c r="DM341" i="335"/>
  <c r="DM345" i="335"/>
  <c r="DM290" i="335"/>
  <c r="DM328" i="335"/>
  <c r="DM315" i="335"/>
  <c r="DM331" i="335"/>
  <c r="DM333" i="335"/>
  <c r="DM163" i="336"/>
  <c r="DM343" i="335"/>
  <c r="DM157" i="335"/>
  <c r="DM102" i="336"/>
  <c r="DM385" i="335" s="1"/>
  <c r="DM194" i="335"/>
  <c r="FT194" i="335" s="1"/>
  <c r="DM337" i="335"/>
  <c r="DM151" i="335"/>
  <c r="DM325" i="338"/>
  <c r="DS290" i="335"/>
  <c r="DM334" i="335"/>
  <c r="DM92" i="335"/>
  <c r="DS92" i="335"/>
  <c r="DM49" i="11"/>
  <c r="DM347" i="335"/>
  <c r="DM365" i="335"/>
  <c r="DM338" i="335"/>
  <c r="DM339" i="335"/>
  <c r="DM93" i="335"/>
  <c r="DM327" i="338"/>
  <c r="DM143" i="335"/>
  <c r="DM348" i="335"/>
  <c r="DM330" i="335"/>
  <c r="DM329" i="335"/>
  <c r="DM154" i="335"/>
  <c r="DM342" i="335"/>
  <c r="DM99" i="335"/>
  <c r="DM148" i="335"/>
  <c r="DM336" i="335"/>
  <c r="DN93" i="335"/>
  <c r="DP365" i="335"/>
  <c r="DN315" i="335"/>
  <c r="DN365" i="335"/>
  <c r="DO365" i="335"/>
  <c r="DQ91" i="335"/>
  <c r="EK76" i="11"/>
  <c r="EK79" i="11"/>
  <c r="EK83" i="11" s="1"/>
  <c r="EQ75" i="11"/>
  <c r="ET185" i="335"/>
  <c r="ET187" i="335"/>
  <c r="ET371" i="335" s="1"/>
  <c r="EU371" i="335" s="1"/>
  <c r="BT238" i="336"/>
  <c r="BW217" i="335"/>
  <c r="BW185" i="335" s="1"/>
  <c r="BW218" i="335"/>
  <c r="CA215" i="335"/>
  <c r="CV200" i="335"/>
  <c r="CV201" i="335"/>
  <c r="CJ208" i="336"/>
  <c r="CJ183" i="336"/>
  <c r="DW254" i="338"/>
  <c r="DQ254" i="338"/>
  <c r="DQ765" i="338"/>
  <c r="EU24" i="11"/>
  <c r="EU30" i="11" s="1"/>
  <c r="EU355" i="335"/>
  <c r="EU37" i="11"/>
  <c r="CV207" i="336"/>
  <c r="CV184" i="336" s="1"/>
  <c r="CV219" i="335"/>
  <c r="CV220" i="335"/>
  <c r="L462" i="335"/>
  <c r="BK461" i="335"/>
  <c r="BK184" i="335"/>
  <c r="BK459" i="335"/>
  <c r="BK114" i="3"/>
  <c r="BK239" i="335"/>
  <c r="BK460" i="335"/>
  <c r="BO460" i="335" s="1"/>
  <c r="BK458" i="335"/>
  <c r="BK208" i="335"/>
  <c r="BK375" i="335"/>
  <c r="BZ462" i="335"/>
  <c r="BZ208" i="335" s="1"/>
  <c r="BZ209" i="335" s="1"/>
  <c r="ET356" i="335"/>
  <c r="U185" i="335"/>
  <c r="U187" i="335"/>
  <c r="BN230" i="336"/>
  <c r="BN219" i="335"/>
  <c r="BN234" i="335"/>
  <c r="BN207" i="336"/>
  <c r="BN210" i="336" s="1"/>
  <c r="BN211" i="336" s="1"/>
  <c r="BN220" i="335"/>
  <c r="FT96" i="335"/>
  <c r="DQ96" i="335"/>
  <c r="EY111" i="336"/>
  <c r="EY122" i="336"/>
  <c r="EY113" i="336"/>
  <c r="EY112" i="336"/>
  <c r="EY392" i="335"/>
  <c r="BX531" i="338"/>
  <c r="BW531" i="338"/>
  <c r="CA389" i="338"/>
  <c r="BZ531" i="338"/>
  <c r="BY531" i="338"/>
  <c r="CA174" i="335"/>
  <c r="DB115" i="3"/>
  <c r="EZ37" i="11"/>
  <c r="EZ12" i="11" s="1"/>
  <c r="ET39" i="11"/>
  <c r="EI459" i="335"/>
  <c r="CC325" i="335"/>
  <c r="BZ325" i="335"/>
  <c r="BZ487" i="338"/>
  <c r="BZ237" i="336"/>
  <c r="CD372" i="335"/>
  <c r="ES224" i="338"/>
  <c r="EY214" i="338"/>
  <c r="EU358" i="335"/>
  <c r="EU26" i="11"/>
  <c r="EU32" i="11" s="1"/>
  <c r="AO189" i="335"/>
  <c r="AO372" i="335" s="1"/>
  <c r="AO351" i="335"/>
  <c r="AO299" i="335"/>
  <c r="AU299" i="335"/>
  <c r="BK230" i="336"/>
  <c r="BK207" i="336"/>
  <c r="BK210" i="336" s="1"/>
  <c r="BK211" i="336" s="1"/>
  <c r="BK219" i="335"/>
  <c r="BK220" i="335"/>
  <c r="BK234" i="335"/>
  <c r="BO218" i="335"/>
  <c r="CJ202" i="335"/>
  <c r="DW88" i="335"/>
  <c r="DQ88" i="335"/>
  <c r="BT187" i="335"/>
  <c r="BT209" i="335"/>
  <c r="AO221" i="335"/>
  <c r="AU221" i="335"/>
  <c r="EE80" i="11"/>
  <c r="EE84" i="11" s="1"/>
  <c r="EE359" i="335"/>
  <c r="ET213" i="335"/>
  <c r="ET215" i="335"/>
  <c r="EU215" i="335" s="1"/>
  <c r="EU217" i="335" s="1"/>
  <c r="ET34" i="11"/>
  <c r="BT231" i="336"/>
  <c r="BT232" i="336" s="1"/>
  <c r="BT236" i="335"/>
  <c r="BT239" i="336" s="1"/>
  <c r="BT235" i="335"/>
  <c r="FU88" i="335"/>
  <c r="FT88" i="335"/>
  <c r="FT91" i="335"/>
  <c r="CV462" i="335"/>
  <c r="CV208" i="335" s="1"/>
  <c r="CJ499" i="338"/>
  <c r="CJ512" i="338"/>
  <c r="CJ221" i="335"/>
  <c r="CP221" i="335"/>
  <c r="ET127" i="11"/>
  <c r="ET35" i="338"/>
  <c r="ET37" i="338" s="1"/>
  <c r="ET128" i="11"/>
  <c r="EU21" i="11"/>
  <c r="L372" i="335"/>
  <c r="L190" i="335"/>
  <c r="L300" i="335"/>
  <c r="FA391" i="338"/>
  <c r="FG391" i="338"/>
  <c r="FM391" i="338"/>
  <c r="CG164" i="338"/>
  <c r="CF539" i="338"/>
  <c r="CC539" i="338"/>
  <c r="CE539" i="338"/>
  <c r="CD539" i="338"/>
  <c r="EM230" i="338"/>
  <c r="EM225" i="338"/>
  <c r="AO458" i="335"/>
  <c r="AO460" i="335"/>
  <c r="AO375" i="335"/>
  <c r="AO461" i="335"/>
  <c r="AO459" i="335"/>
  <c r="BT156" i="335"/>
  <c r="BZ220" i="335"/>
  <c r="BZ234" i="335"/>
  <c r="BZ230" i="336"/>
  <c r="BZ219" i="335"/>
  <c r="BZ207" i="336"/>
  <c r="EX80" i="11"/>
  <c r="EX84" i="11" s="1"/>
  <c r="EX359" i="335"/>
  <c r="CJ209" i="335"/>
  <c r="CV487" i="338"/>
  <c r="CV325" i="335"/>
  <c r="CV300" i="335"/>
  <c r="CV190" i="335"/>
  <c r="DB300" i="335"/>
  <c r="DB190" i="335"/>
  <c r="FQ189" i="335"/>
  <c r="CV372" i="335"/>
  <c r="EY200" i="335"/>
  <c r="EY201" i="335"/>
  <c r="EY202" i="335" s="1"/>
  <c r="EY203" i="335" s="1"/>
  <c r="ET61" i="11"/>
  <c r="ET16" i="338" s="1"/>
  <c r="ET162" i="338"/>
  <c r="ET164" i="338" s="1"/>
  <c r="BU230" i="336"/>
  <c r="BU219" i="335"/>
  <c r="BU207" i="336"/>
  <c r="BU234" i="335"/>
  <c r="BU220" i="335"/>
  <c r="BU238" i="336" s="1"/>
  <c r="BQ263" i="335"/>
  <c r="BR263" i="335"/>
  <c r="BS263" i="335"/>
  <c r="BT263" i="335"/>
  <c r="EH487" i="338"/>
  <c r="EH488" i="338" s="1"/>
  <c r="EH190" i="335"/>
  <c r="EH300" i="335"/>
  <c r="EK325" i="335"/>
  <c r="EH462" i="335"/>
  <c r="EH208" i="335" s="1"/>
  <c r="EH209" i="335" s="1"/>
  <c r="EI461" i="335"/>
  <c r="EH220" i="335"/>
  <c r="EH219" i="335"/>
  <c r="EH207" i="336"/>
  <c r="EH184" i="336" s="1"/>
  <c r="EH115" i="3"/>
  <c r="EH201" i="335"/>
  <c r="EH202" i="335" s="1"/>
  <c r="EH200" i="335"/>
  <c r="FA141" i="335"/>
  <c r="FD85" i="335"/>
  <c r="EN221" i="338"/>
  <c r="EI221" i="338"/>
  <c r="EI222" i="338" s="1"/>
  <c r="EH217" i="338"/>
  <c r="DW218" i="338"/>
  <c r="DQ230" i="338"/>
  <c r="DQ225" i="338"/>
  <c r="EB224" i="338"/>
  <c r="EB230" i="338" s="1"/>
  <c r="EB218" i="338"/>
  <c r="EC217" i="338"/>
  <c r="FE391" i="335"/>
  <c r="FF320" i="338"/>
  <c r="DV225" i="338"/>
  <c r="DW224" i="338"/>
  <c r="DW225" i="338" s="1"/>
  <c r="EZ65" i="336"/>
  <c r="EY426" i="335"/>
  <c r="EZ66" i="336"/>
  <c r="EY427" i="335"/>
  <c r="EZ68" i="336"/>
  <c r="EY429" i="335"/>
  <c r="FM54" i="11"/>
  <c r="EZ149" i="335"/>
  <c r="EZ167" i="335"/>
  <c r="EZ345" i="335"/>
  <c r="EZ318" i="335"/>
  <c r="EZ293" i="335"/>
  <c r="FA147" i="335"/>
  <c r="EO389" i="338"/>
  <c r="ER462" i="335"/>
  <c r="ER208" i="335" s="1"/>
  <c r="ER209" i="335" s="1"/>
  <c r="FA769" i="338"/>
  <c r="FA770" i="338"/>
  <c r="EZ160" i="338"/>
  <c r="EZ163" i="338" s="1"/>
  <c r="EZ113" i="338"/>
  <c r="EZ27" i="11"/>
  <c r="EZ13" i="11"/>
  <c r="EM460" i="335"/>
  <c r="EM199" i="335"/>
  <c r="EM114" i="3"/>
  <c r="EM458" i="335"/>
  <c r="EM461" i="335"/>
  <c r="EM459" i="335"/>
  <c r="EM375" i="335"/>
  <c r="FD311" i="335"/>
  <c r="FD286" i="335"/>
  <c r="FD88" i="335"/>
  <c r="FD96" i="335"/>
  <c r="GA96" i="335" s="1"/>
  <c r="FD89" i="335"/>
  <c r="EZ343" i="335"/>
  <c r="EZ292" i="335"/>
  <c r="EZ100" i="335"/>
  <c r="EZ101" i="335"/>
  <c r="EZ346" i="335"/>
  <c r="EZ294" i="335"/>
  <c r="EZ152" i="335"/>
  <c r="EO185" i="335"/>
  <c r="EO174" i="335"/>
  <c r="EZ408" i="338"/>
  <c r="FA408" i="338" s="1"/>
  <c r="FA10" i="336"/>
  <c r="FG128" i="336" s="1"/>
  <c r="EZ377" i="335"/>
  <c r="FA377" i="335" s="1"/>
  <c r="EZ347" i="335"/>
  <c r="EZ320" i="335"/>
  <c r="EZ155" i="335"/>
  <c r="EZ295" i="335"/>
  <c r="FA153" i="335"/>
  <c r="EM371" i="335"/>
  <c r="EM351" i="335"/>
  <c r="ES299" i="335"/>
  <c r="EN324" i="335"/>
  <c r="EN371" i="335"/>
  <c r="EO371" i="335" s="1"/>
  <c r="EM299" i="335"/>
  <c r="EO187" i="335"/>
  <c r="EM189" i="335"/>
  <c r="EM324" i="335"/>
  <c r="FE83" i="335"/>
  <c r="FE44" i="11"/>
  <c r="FE53" i="11" s="1"/>
  <c r="FE47" i="335"/>
  <c r="FE126" i="335"/>
  <c r="FE104" i="335" s="1"/>
  <c r="FE281" i="335"/>
  <c r="FE98" i="335"/>
  <c r="FE48" i="335"/>
  <c r="FE306" i="335"/>
  <c r="FE87" i="335"/>
  <c r="FF46" i="335"/>
  <c r="FG46" i="335" s="1"/>
  <c r="DN39" i="11"/>
  <c r="AD110" i="3"/>
  <c r="EM217" i="335"/>
  <c r="EO215" i="335"/>
  <c r="EO217" i="335" s="1"/>
  <c r="EM218" i="335"/>
  <c r="AE224" i="336"/>
  <c r="AK220" i="336"/>
  <c r="EK419" i="335"/>
  <c r="EL58" i="336"/>
  <c r="EL419" i="335" s="1"/>
  <c r="EB447" i="335"/>
  <c r="EC447" i="335" s="1"/>
  <c r="EE86" i="336"/>
  <c r="FL74" i="3"/>
  <c r="FM74" i="3" s="1"/>
  <c r="FM23" i="3"/>
  <c r="DE251" i="335"/>
  <c r="DE248" i="335"/>
  <c r="DE240" i="335" s="1"/>
  <c r="DE241" i="335" s="1"/>
  <c r="DG417" i="335"/>
  <c r="DH56" i="336"/>
  <c r="EY81" i="336"/>
  <c r="EX442" i="335"/>
  <c r="FM179" i="335"/>
  <c r="I223" i="336"/>
  <c r="I351" i="335"/>
  <c r="I404" i="338"/>
  <c r="I189" i="335"/>
  <c r="I225" i="336"/>
  <c r="J299" i="335"/>
  <c r="I386" i="338"/>
  <c r="I371" i="335"/>
  <c r="I299" i="335"/>
  <c r="FJ21" i="335"/>
  <c r="FJ23" i="338"/>
  <c r="FK34" i="338" s="1"/>
  <c r="FJ14" i="335"/>
  <c r="FK16" i="335" s="1"/>
  <c r="FD15" i="335"/>
  <c r="FD42" i="335"/>
  <c r="FD43" i="11"/>
  <c r="FD52" i="11" s="1"/>
  <c r="FD52" i="335"/>
  <c r="FD53" i="335" s="1"/>
  <c r="FD278" i="335"/>
  <c r="FD9" i="338"/>
  <c r="FE13" i="338" s="1"/>
  <c r="FE15" i="338" s="1"/>
  <c r="FD91" i="335"/>
  <c r="FD328" i="335" s="1"/>
  <c r="EX224" i="338"/>
  <c r="FD214" i="338"/>
  <c r="EG207" i="336"/>
  <c r="EG184" i="336" s="1"/>
  <c r="EG220" i="335"/>
  <c r="EG219" i="335"/>
  <c r="EI218" i="335"/>
  <c r="ER487" i="338"/>
  <c r="EG200" i="335"/>
  <c r="EG201" i="335"/>
  <c r="EI199" i="335"/>
  <c r="EI200" i="335" s="1"/>
  <c r="FE39" i="11"/>
  <c r="FK37" i="11"/>
  <c r="FK39" i="11" s="1"/>
  <c r="I460" i="335"/>
  <c r="I458" i="335"/>
  <c r="I461" i="335"/>
  <c r="I459" i="335"/>
  <c r="I375" i="335"/>
  <c r="EH372" i="335"/>
  <c r="EI372" i="335" s="1"/>
  <c r="EG325" i="335"/>
  <c r="EH325" i="335"/>
  <c r="EG487" i="338"/>
  <c r="EG372" i="335"/>
  <c r="EG190" i="335"/>
  <c r="EK372" i="335"/>
  <c r="EG300" i="335"/>
  <c r="ER219" i="335"/>
  <c r="ER220" i="335"/>
  <c r="ER207" i="336"/>
  <c r="ER184" i="336" s="1"/>
  <c r="ER225" i="338"/>
  <c r="ER230" i="338"/>
  <c r="FL81" i="335"/>
  <c r="FK80" i="335"/>
  <c r="FK81" i="335"/>
  <c r="DV34" i="11"/>
  <c r="ER201" i="335"/>
  <c r="ER202" i="335" s="1"/>
  <c r="ER200" i="335"/>
  <c r="FD33" i="338"/>
  <c r="FD36" i="338" s="1"/>
  <c r="FD37" i="338" s="1"/>
  <c r="FD21" i="338"/>
  <c r="FJ108" i="335"/>
  <c r="EX127" i="11"/>
  <c r="EX33" i="11"/>
  <c r="EX128" i="11"/>
  <c r="EX35" i="338"/>
  <c r="EX37" i="338" s="1"/>
  <c r="EZ317" i="335"/>
  <c r="EI189" i="335"/>
  <c r="EI351" i="335"/>
  <c r="EI223" i="336"/>
  <c r="FD141" i="335"/>
  <c r="FD105" i="335"/>
  <c r="EM19" i="338"/>
  <c r="EM18" i="338"/>
  <c r="EM96" i="338"/>
  <c r="EM54" i="338"/>
  <c r="EM55" i="338"/>
  <c r="FD37" i="11"/>
  <c r="EX39" i="11"/>
  <c r="EI114" i="3"/>
  <c r="EI375" i="335"/>
  <c r="EG462" i="335"/>
  <c r="EG208" i="335" s="1"/>
  <c r="EI458" i="335"/>
  <c r="DP19" i="338"/>
  <c r="DP55" i="338"/>
  <c r="DP18" i="338"/>
  <c r="DP96" i="338"/>
  <c r="DP54" i="338"/>
  <c r="DP109" i="338"/>
  <c r="DP110" i="338" s="1"/>
  <c r="M300" i="335"/>
  <c r="M190" i="335"/>
  <c r="M372" i="335"/>
  <c r="EO75" i="11"/>
  <c r="EM79" i="11"/>
  <c r="EM83" i="11" s="1"/>
  <c r="EM76" i="11"/>
  <c r="DN33" i="11"/>
  <c r="DN67" i="11" s="1"/>
  <c r="DN61" i="11" s="1"/>
  <c r="FU170" i="335"/>
  <c r="ES685" i="338"/>
  <c r="ES688" i="338"/>
  <c r="AD299" i="335"/>
  <c r="AD189" i="335"/>
  <c r="AD351" i="335"/>
  <c r="AJ299" i="335"/>
  <c r="AG324" i="335"/>
  <c r="EI79" i="11"/>
  <c r="EI83" i="11" s="1"/>
  <c r="EI76" i="11"/>
  <c r="DT33" i="11"/>
  <c r="DT67" i="11" s="1"/>
  <c r="DT61" i="11" s="1"/>
  <c r="DT16" i="338" s="1"/>
  <c r="FA294" i="335"/>
  <c r="FA152" i="335"/>
  <c r="AJ221" i="335"/>
  <c r="AD221" i="335"/>
  <c r="FM56" i="11"/>
  <c r="M462" i="335"/>
  <c r="EC359" i="335"/>
  <c r="EC80" i="11"/>
  <c r="EC84" i="11" s="1"/>
  <c r="EY316" i="338"/>
  <c r="EY317" i="338" s="1"/>
  <c r="D462" i="335"/>
  <c r="FC12" i="336"/>
  <c r="FC20" i="3" s="1"/>
  <c r="FG132" i="335"/>
  <c r="FG133" i="335" s="1"/>
  <c r="GA132" i="335"/>
  <c r="GA133" i="335" s="1"/>
  <c r="FC129" i="335"/>
  <c r="FC141" i="335" s="1"/>
  <c r="AD459" i="335"/>
  <c r="AD458" i="335"/>
  <c r="AD460" i="335"/>
  <c r="AD461" i="335"/>
  <c r="AD375" i="335"/>
  <c r="DN207" i="335"/>
  <c r="DO161" i="338"/>
  <c r="DN163" i="338"/>
  <c r="DN164" i="338" s="1"/>
  <c r="DT432" i="338"/>
  <c r="DT433" i="338"/>
  <c r="FI71" i="3"/>
  <c r="FJ20" i="3"/>
  <c r="DV109" i="338"/>
  <c r="DV110" i="338" s="1"/>
  <c r="DV54" i="338"/>
  <c r="DV18" i="338"/>
  <c r="DV55" i="338"/>
  <c r="DV90" i="11"/>
  <c r="DV19" i="338"/>
  <c r="DV96" i="338"/>
  <c r="EO162" i="338"/>
  <c r="EO164" i="338" s="1"/>
  <c r="EO61" i="11"/>
  <c r="EO16" i="338" s="1"/>
  <c r="DV162" i="338"/>
  <c r="DP34" i="11"/>
  <c r="DP162" i="338"/>
  <c r="DP507" i="338" s="1"/>
  <c r="EY358" i="335"/>
  <c r="EY356" i="335" s="1"/>
  <c r="FM132" i="335"/>
  <c r="FM133" i="335" s="1"/>
  <c r="FI129" i="335"/>
  <c r="GB132" i="335"/>
  <c r="GB133" i="335" s="1"/>
  <c r="EG359" i="335"/>
  <c r="EG80" i="11"/>
  <c r="EG84" i="11" s="1"/>
  <c r="DN173" i="335"/>
  <c r="DN174" i="335" s="1"/>
  <c r="DN195" i="335"/>
  <c r="DN170" i="335"/>
  <c r="DO323" i="335"/>
  <c r="DT298" i="335"/>
  <c r="DN350" i="335"/>
  <c r="DO270" i="335"/>
  <c r="DN298" i="335"/>
  <c r="DN212" i="335"/>
  <c r="EY163" i="338"/>
  <c r="EY161" i="338"/>
  <c r="EZ19" i="3"/>
  <c r="D219" i="335"/>
  <c r="D220" i="335"/>
  <c r="CO215" i="336"/>
  <c r="CO213" i="336" s="1"/>
  <c r="CP215" i="336" s="1"/>
  <c r="CM213" i="336"/>
  <c r="FG16" i="3"/>
  <c r="CM215" i="336"/>
  <c r="EK414" i="335"/>
  <c r="EL53" i="336"/>
  <c r="EN432" i="335"/>
  <c r="EO432" i="335" s="1"/>
  <c r="EQ71" i="336"/>
  <c r="EQ422" i="335"/>
  <c r="ER61" i="336"/>
  <c r="EM686" i="338"/>
  <c r="EM690" i="338"/>
  <c r="EZ387" i="335"/>
  <c r="EZ283" i="338"/>
  <c r="FA282" i="338"/>
  <c r="EZ313" i="338"/>
  <c r="EI285" i="338"/>
  <c r="EI315" i="338"/>
  <c r="EI388" i="335"/>
  <c r="EI393" i="335" s="1"/>
  <c r="FA280" i="338"/>
  <c r="EZ389" i="335"/>
  <c r="EO277" i="338"/>
  <c r="EN388" i="335"/>
  <c r="EN393" i="335" s="1"/>
  <c r="EZ735" i="338"/>
  <c r="FE282" i="338"/>
  <c r="FF319" i="338"/>
  <c r="FE300" i="338"/>
  <c r="FE301" i="338" s="1"/>
  <c r="FE390" i="335"/>
  <c r="EU199" i="338"/>
  <c r="EU198" i="338" s="1"/>
  <c r="EU176" i="338" s="1"/>
  <c r="FA762" i="338"/>
  <c r="FA761" i="338"/>
  <c r="EA91" i="11"/>
  <c r="EG90" i="11"/>
  <c r="EA105" i="11"/>
  <c r="EA94" i="11"/>
  <c r="EA98" i="11" s="1"/>
  <c r="ET277" i="338"/>
  <c r="EU278" i="338"/>
  <c r="EZ278" i="338"/>
  <c r="FJ218" i="338"/>
  <c r="FA300" i="338"/>
  <c r="FA731" i="338"/>
  <c r="FD387" i="335"/>
  <c r="FD283" i="338"/>
  <c r="AE101" i="3"/>
  <c r="AE103" i="3" s="1"/>
  <c r="AA103" i="3"/>
  <c r="AB101" i="3" s="1"/>
  <c r="AB103" i="3" s="1"/>
  <c r="AC101" i="3" s="1"/>
  <c r="AC103" i="3" s="1"/>
  <c r="AD101" i="3" s="1"/>
  <c r="AD103" i="3" s="1"/>
  <c r="AG101" i="3" s="1"/>
  <c r="W47" i="3"/>
  <c r="V49" i="3"/>
  <c r="AK45" i="3"/>
  <c r="AQ45" i="3"/>
  <c r="AJ110" i="3"/>
  <c r="AP110" i="3"/>
  <c r="AK110" i="3"/>
  <c r="AQ110" i="3"/>
  <c r="BI35" i="3"/>
  <c r="BC45" i="3"/>
  <c r="DK266" i="336"/>
  <c r="DK271" i="336" s="1"/>
  <c r="DG266" i="336"/>
  <c r="DG271" i="336" s="1"/>
  <c r="DH266" i="336" s="1"/>
  <c r="DH271" i="336" s="1"/>
  <c r="DI266" i="336" s="1"/>
  <c r="DI271" i="336" s="1"/>
  <c r="DJ266" i="336" s="1"/>
  <c r="DJ271" i="336" s="1"/>
  <c r="DE281" i="336"/>
  <c r="DK276" i="336" s="1"/>
  <c r="EM420" i="335"/>
  <c r="EN59" i="336"/>
  <c r="FF81" i="3"/>
  <c r="FG81" i="3" s="1"/>
  <c r="FG29" i="3"/>
  <c r="FJ19" i="336"/>
  <c r="FI29" i="3"/>
  <c r="FI81" i="3" s="1"/>
  <c r="EW441" i="335"/>
  <c r="EX80" i="336"/>
  <c r="EY437" i="335"/>
  <c r="EZ76" i="336"/>
  <c r="FC440" i="335"/>
  <c r="FD79" i="336"/>
  <c r="ES434" i="335"/>
  <c r="ET73" i="336"/>
  <c r="FC67" i="336"/>
  <c r="EZ428" i="335"/>
  <c r="FA428" i="335" s="1"/>
  <c r="FC436" i="335"/>
  <c r="FD75" i="336"/>
  <c r="DO64" i="336"/>
  <c r="DN425" i="335"/>
  <c r="FF82" i="3"/>
  <c r="FG82" i="3" s="1"/>
  <c r="FG30" i="3"/>
  <c r="EY88" i="336"/>
  <c r="EX449" i="335"/>
  <c r="EI426" i="335"/>
  <c r="FD452" i="335"/>
  <c r="FE91" i="336"/>
  <c r="DV99" i="336"/>
  <c r="DI60" i="336"/>
  <c r="DH421" i="335"/>
  <c r="FC63" i="336"/>
  <c r="EZ424" i="335"/>
  <c r="FA424" i="335" s="1"/>
  <c r="EZ443" i="335"/>
  <c r="FA443" i="335" s="1"/>
  <c r="FC82" i="336"/>
  <c r="DJ445" i="335"/>
  <c r="DK445" i="335" s="1"/>
  <c r="DM84" i="336"/>
  <c r="CL106" i="3"/>
  <c r="CL108" i="3"/>
  <c r="CR106" i="3"/>
  <c r="CL109" i="3"/>
  <c r="BX237" i="336"/>
  <c r="BY325" i="335"/>
  <c r="BX487" i="338"/>
  <c r="CC372" i="335"/>
  <c r="CD300" i="335"/>
  <c r="CD190" i="335"/>
  <c r="BX190" i="335"/>
  <c r="AE219" i="335"/>
  <c r="AE220" i="335"/>
  <c r="AP460" i="335"/>
  <c r="AP459" i="335"/>
  <c r="AP458" i="335"/>
  <c r="AP461" i="335"/>
  <c r="AP375" i="335"/>
  <c r="DB178" i="336"/>
  <c r="DB173" i="336"/>
  <c r="EA173" i="336"/>
  <c r="EA178" i="336"/>
  <c r="AN462" i="335"/>
  <c r="BM324" i="335"/>
  <c r="BL299" i="335"/>
  <c r="BL351" i="335"/>
  <c r="BL189" i="335"/>
  <c r="BL229" i="336"/>
  <c r="BL233" i="336" s="1"/>
  <c r="BR299" i="335"/>
  <c r="BC263" i="336"/>
  <c r="BC238" i="336"/>
  <c r="BI221" i="335"/>
  <c r="BX233" i="336"/>
  <c r="BX263" i="336"/>
  <c r="EE208" i="336"/>
  <c r="EE210" i="336" s="1"/>
  <c r="EE211" i="336" s="1"/>
  <c r="EE183" i="336"/>
  <c r="AP221" i="335"/>
  <c r="AV221" i="335"/>
  <c r="BX201" i="335"/>
  <c r="BX200" i="335"/>
  <c r="BC231" i="336"/>
  <c r="BC232" i="336" s="1"/>
  <c r="BC234" i="336" s="1"/>
  <c r="BC235" i="335"/>
  <c r="BC236" i="335"/>
  <c r="BC239" i="336" s="1"/>
  <c r="AC371" i="335"/>
  <c r="AC351" i="335"/>
  <c r="AI299" i="335"/>
  <c r="AC189" i="335"/>
  <c r="AC190" i="335" s="1"/>
  <c r="AC324" i="335"/>
  <c r="AD371" i="335"/>
  <c r="AE371" i="335" s="1"/>
  <c r="AG371" i="335"/>
  <c r="AE187" i="335"/>
  <c r="AD324" i="335"/>
  <c r="BC237" i="336"/>
  <c r="BI300" i="335"/>
  <c r="BI190" i="335"/>
  <c r="CM99" i="3"/>
  <c r="CM105" i="3"/>
  <c r="FM180" i="335"/>
  <c r="CK199" i="336"/>
  <c r="CK175" i="336"/>
  <c r="CK192" i="336"/>
  <c r="CK196" i="336" s="1"/>
  <c r="AT300" i="335"/>
  <c r="AN325" i="335"/>
  <c r="AT190" i="335"/>
  <c r="AN372" i="335"/>
  <c r="AC461" i="335"/>
  <c r="AC458" i="335"/>
  <c r="AC459" i="335"/>
  <c r="AE459" i="335" s="1"/>
  <c r="AC460" i="335"/>
  <c r="AC375" i="335"/>
  <c r="BX234" i="336"/>
  <c r="AP351" i="335"/>
  <c r="AP189" i="335"/>
  <c r="AP324" i="335"/>
  <c r="AV299" i="335"/>
  <c r="AT371" i="335"/>
  <c r="AS324" i="335"/>
  <c r="AS371" i="335"/>
  <c r="AP299" i="335"/>
  <c r="AP371" i="335"/>
  <c r="AQ371" i="335" s="1"/>
  <c r="AU371" i="335"/>
  <c r="BL199" i="335"/>
  <c r="BL157" i="335"/>
  <c r="BR158" i="335"/>
  <c r="CK99" i="3"/>
  <c r="CK87" i="3"/>
  <c r="CM87" i="3" s="1"/>
  <c r="CK383" i="335"/>
  <c r="CK373" i="335"/>
  <c r="CK105" i="3"/>
  <c r="ER688" i="338"/>
  <c r="ER685" i="338"/>
  <c r="FL460" i="335"/>
  <c r="FM460" i="335" s="1"/>
  <c r="FL458" i="335"/>
  <c r="FM458" i="335" s="1"/>
  <c r="CQ199" i="336"/>
  <c r="CQ192" i="336"/>
  <c r="CQ196" i="336" s="1"/>
  <c r="CQ175" i="336"/>
  <c r="ET489" i="338"/>
  <c r="ES488" i="338"/>
  <c r="FI120" i="335"/>
  <c r="FM119" i="335"/>
  <c r="FM120" i="335" s="1"/>
  <c r="FA21" i="338"/>
  <c r="FA33" i="338"/>
  <c r="FA36" i="338" s="1"/>
  <c r="FM33" i="335"/>
  <c r="S351" i="335"/>
  <c r="S223" i="336"/>
  <c r="S299" i="335"/>
  <c r="S225" i="336"/>
  <c r="S386" i="338"/>
  <c r="S371" i="335"/>
  <c r="EU185" i="335"/>
  <c r="EX169" i="335"/>
  <c r="EX144" i="335"/>
  <c r="DI215" i="335"/>
  <c r="EU174" i="335"/>
  <c r="FK21" i="338"/>
  <c r="FK33" i="338"/>
  <c r="FK36" i="338" s="1"/>
  <c r="FK37" i="338" s="1"/>
  <c r="DN180" i="335"/>
  <c r="DM176" i="335"/>
  <c r="DG462" i="335"/>
  <c r="DG208" i="335" s="1"/>
  <c r="FC21" i="338"/>
  <c r="FG23" i="338"/>
  <c r="FC22" i="338"/>
  <c r="FC34" i="338"/>
  <c r="FC33" i="338"/>
  <c r="FC36" i="338" s="1"/>
  <c r="FC37" i="338" s="1"/>
  <c r="FD34" i="338"/>
  <c r="FD22" i="338"/>
  <c r="W190" i="335"/>
  <c r="W325" i="335"/>
  <c r="W300" i="335"/>
  <c r="X325" i="335"/>
  <c r="AA372" i="335"/>
  <c r="AB372" i="335"/>
  <c r="FI108" i="335"/>
  <c r="FM107" i="335"/>
  <c r="FI21" i="335"/>
  <c r="FI22" i="335"/>
  <c r="FI23" i="338"/>
  <c r="FI14" i="335"/>
  <c r="FM20" i="335"/>
  <c r="FJ22" i="335"/>
  <c r="Q325" i="335"/>
  <c r="S189" i="335"/>
  <c r="R372" i="335"/>
  <c r="R325" i="335"/>
  <c r="DH207" i="336"/>
  <c r="DH184" i="336" s="1"/>
  <c r="DH220" i="335"/>
  <c r="DH219" i="335"/>
  <c r="GB180" i="335"/>
  <c r="EQ19" i="338"/>
  <c r="EQ55" i="338"/>
  <c r="EQ18" i="338"/>
  <c r="EQ96" i="338"/>
  <c r="EQ97" i="338" s="1"/>
  <c r="EQ54" i="338"/>
  <c r="EX207" i="335"/>
  <c r="DI185" i="335"/>
  <c r="DI187" i="335"/>
  <c r="DH459" i="335"/>
  <c r="DH458" i="335"/>
  <c r="DH461" i="335"/>
  <c r="DH503" i="338"/>
  <c r="DH460" i="335"/>
  <c r="DH199" i="335"/>
  <c r="DH375" i="335"/>
  <c r="W462" i="335"/>
  <c r="ET678" i="338"/>
  <c r="ET687" i="338" s="1"/>
  <c r="ET650" i="338"/>
  <c r="FA9" i="338"/>
  <c r="FA43" i="11"/>
  <c r="FA52" i="11" s="1"/>
  <c r="FA278" i="335"/>
  <c r="FA15" i="335"/>
  <c r="EX44" i="335"/>
  <c r="EW43" i="335"/>
  <c r="EW58" i="338"/>
  <c r="EW120" i="11"/>
  <c r="EW124" i="11" s="1"/>
  <c r="EW330" i="335"/>
  <c r="EW44" i="335"/>
  <c r="EW305" i="335"/>
  <c r="FZ42" i="335"/>
  <c r="FA42" i="335"/>
  <c r="EX305" i="335"/>
  <c r="EW280" i="335"/>
  <c r="EW331" i="338"/>
  <c r="EW332" i="338"/>
  <c r="FE53" i="335"/>
  <c r="DG201" i="335"/>
  <c r="DG200" i="335"/>
  <c r="EQ674" i="338"/>
  <c r="EQ683" i="338"/>
  <c r="FF13" i="338"/>
  <c r="FF15" i="338" s="1"/>
  <c r="FF12" i="338"/>
  <c r="FF17" i="338" s="1"/>
  <c r="FF8" i="338"/>
  <c r="GB33" i="335"/>
  <c r="DG207" i="336"/>
  <c r="DG9" i="3"/>
  <c r="DG219" i="335"/>
  <c r="DG220" i="335"/>
  <c r="FM79" i="335"/>
  <c r="FM80" i="335" s="1"/>
  <c r="FI81" i="335"/>
  <c r="FI80" i="335"/>
  <c r="FJ81" i="335"/>
  <c r="EX317" i="338"/>
  <c r="FD103" i="336"/>
  <c r="EX413" i="338"/>
  <c r="EW628" i="338"/>
  <c r="EW627" i="338" s="1"/>
  <c r="EW556" i="338"/>
  <c r="EW557" i="338" s="1"/>
  <c r="FK43" i="11"/>
  <c r="FK52" i="11" s="1"/>
  <c r="FK15" i="335"/>
  <c r="FK278" i="335"/>
  <c r="FK9" i="338"/>
  <c r="DJ182" i="335"/>
  <c r="DJ214" i="335"/>
  <c r="DJ215" i="335" s="1"/>
  <c r="EQ687" i="338"/>
  <c r="Q462" i="335"/>
  <c r="S458" i="335"/>
  <c r="S462" i="335" s="1"/>
  <c r="FG21" i="335"/>
  <c r="FC303" i="335"/>
  <c r="FC15" i="335"/>
  <c r="FC52" i="335"/>
  <c r="FC278" i="335"/>
  <c r="FC43" i="11"/>
  <c r="FC52" i="11" s="1"/>
  <c r="FC91" i="335"/>
  <c r="FC16" i="335"/>
  <c r="FG14" i="335"/>
  <c r="FC364" i="335"/>
  <c r="FC9" i="338"/>
  <c r="FC42" i="335"/>
  <c r="GA14" i="335"/>
  <c r="FD364" i="335"/>
  <c r="FD303" i="335"/>
  <c r="FD16" i="335"/>
  <c r="FG108" i="335"/>
  <c r="FI124" i="335"/>
  <c r="FM122" i="335"/>
  <c r="EW36" i="338"/>
  <c r="EW337" i="338"/>
  <c r="EQ458" i="335"/>
  <c r="EQ460" i="335"/>
  <c r="EQ461" i="335"/>
  <c r="EQ114" i="3"/>
  <c r="EQ115" i="3" s="1"/>
  <c r="EQ459" i="335"/>
  <c r="EQ199" i="335"/>
  <c r="EQ375" i="335"/>
  <c r="DC175" i="336"/>
  <c r="DC192" i="336"/>
  <c r="DC196" i="336" s="1"/>
  <c r="DC199" i="336"/>
  <c r="ET675" i="338"/>
  <c r="ET626" i="338"/>
  <c r="FZ52" i="335"/>
  <c r="FZ53" i="335" s="1"/>
  <c r="EW53" i="335"/>
  <c r="EX54" i="335"/>
  <c r="EW54" i="335"/>
  <c r="FA52" i="335"/>
  <c r="FA53" i="335" s="1"/>
  <c r="EW12" i="338"/>
  <c r="EW17" i="338" s="1"/>
  <c r="EW8" i="338"/>
  <c r="EX13" i="338"/>
  <c r="EX15" i="338" s="1"/>
  <c r="EW13" i="338"/>
  <c r="EW15" i="338" s="1"/>
  <c r="FG124" i="335"/>
  <c r="FL43" i="11"/>
  <c r="FL52" i="11" s="1"/>
  <c r="FL278" i="335"/>
  <c r="FL16" i="335"/>
  <c r="FL15" i="335"/>
  <c r="FL9" i="338"/>
  <c r="FL303" i="335"/>
  <c r="DH351" i="335"/>
  <c r="DH189" i="335"/>
  <c r="DH324" i="335"/>
  <c r="DH299" i="335"/>
  <c r="FL21" i="338"/>
  <c r="FL34" i="338"/>
  <c r="FL33" i="338"/>
  <c r="FL36" i="338" s="1"/>
  <c r="FL37" i="338" s="1"/>
  <c r="FL22" i="338"/>
  <c r="EQ217" i="335"/>
  <c r="EQ218" i="335"/>
  <c r="FC105" i="335"/>
  <c r="GA104" i="335"/>
  <c r="EW335" i="338"/>
  <c r="EX335" i="338"/>
  <c r="EW336" i="338"/>
  <c r="EQ189" i="335"/>
  <c r="EQ351" i="335"/>
  <c r="EQ299" i="335"/>
  <c r="EQ324" i="335"/>
  <c r="EU187" i="335"/>
  <c r="EQ371" i="335"/>
  <c r="ER324" i="335"/>
  <c r="ER371" i="335"/>
  <c r="ES371" i="335"/>
  <c r="FY187" i="335"/>
  <c r="FM36" i="335"/>
  <c r="DG196" i="335"/>
  <c r="DG487" i="338"/>
  <c r="DG190" i="335"/>
  <c r="DG300" i="335"/>
  <c r="DT179" i="335"/>
  <c r="FZ15" i="335"/>
  <c r="FZ91" i="335"/>
  <c r="EW15" i="11"/>
  <c r="EW163" i="336"/>
  <c r="EW148" i="335"/>
  <c r="EW315" i="335"/>
  <c r="EW99" i="335"/>
  <c r="EW93" i="335"/>
  <c r="EW290" i="335"/>
  <c r="EW347" i="335"/>
  <c r="EX315" i="335"/>
  <c r="EW336" i="335"/>
  <c r="EW157" i="335"/>
  <c r="EW365" i="335"/>
  <c r="EW154" i="335"/>
  <c r="EW49" i="11"/>
  <c r="EW58" i="11" s="1"/>
  <c r="EW331" i="335"/>
  <c r="EX365" i="335"/>
  <c r="EW431" i="338"/>
  <c r="EX433" i="338" s="1"/>
  <c r="EW345" i="335"/>
  <c r="EW327" i="338"/>
  <c r="FA91" i="335"/>
  <c r="FA328" i="335" s="1"/>
  <c r="EW313" i="338"/>
  <c r="EW325" i="338"/>
  <c r="EW337" i="335"/>
  <c r="EX93" i="335"/>
  <c r="EW341" i="335"/>
  <c r="EW114" i="338"/>
  <c r="EW342" i="335"/>
  <c r="EW329" i="335"/>
  <c r="EW343" i="335"/>
  <c r="EW102" i="336"/>
  <c r="EW92" i="335"/>
  <c r="EW348" i="335"/>
  <c r="EW346" i="335"/>
  <c r="EZ365" i="335"/>
  <c r="EZ144" i="336" s="1"/>
  <c r="EW151" i="335"/>
  <c r="EW143" i="335"/>
  <c r="EW338" i="335"/>
  <c r="EW339" i="335"/>
  <c r="FE364" i="335"/>
  <c r="FE12" i="338"/>
  <c r="FE17" i="338" s="1"/>
  <c r="FE8" i="338"/>
  <c r="ES183" i="336"/>
  <c r="ES208" i="336"/>
  <c r="ES210" i="336" s="1"/>
  <c r="ES211" i="336" s="1"/>
  <c r="DO85" i="336"/>
  <c r="DN446" i="335"/>
  <c r="EZ438" i="335"/>
  <c r="FA438" i="335" s="1"/>
  <c r="FC77" i="336"/>
  <c r="EZ433" i="335"/>
  <c r="FA433" i="335" s="1"/>
  <c r="FC72" i="336"/>
  <c r="FJ13" i="336"/>
  <c r="FI435" i="335"/>
  <c r="FJ74" i="336"/>
  <c r="FI16" i="3"/>
  <c r="FI67" i="3" s="1"/>
  <c r="EN430" i="335"/>
  <c r="EO430" i="335" s="1"/>
  <c r="EQ69" i="336"/>
  <c r="DO62" i="336"/>
  <c r="DN423" i="335"/>
  <c r="FC450" i="335"/>
  <c r="FD89" i="336"/>
  <c r="CW112" i="338" l="1"/>
  <c r="DJ164" i="338"/>
  <c r="BX240" i="336"/>
  <c r="EL674" i="338"/>
  <c r="EL683" i="338"/>
  <c r="EN626" i="338"/>
  <c r="EN675" i="338"/>
  <c r="EF686" i="338"/>
  <c r="EF690" i="338"/>
  <c r="ET57" i="338"/>
  <c r="ET95" i="338"/>
  <c r="AH185" i="335"/>
  <c r="AK184" i="335"/>
  <c r="AK185" i="335" s="1"/>
  <c r="AK375" i="335" s="1"/>
  <c r="AH187" i="335"/>
  <c r="EZ39" i="338"/>
  <c r="EZ53" i="338"/>
  <c r="BX173" i="336"/>
  <c r="BX178" i="336"/>
  <c r="BX187" i="336"/>
  <c r="V462" i="335"/>
  <c r="J225" i="336"/>
  <c r="J351" i="335"/>
  <c r="J223" i="336"/>
  <c r="J404" i="338"/>
  <c r="J189" i="335"/>
  <c r="J372" i="335" s="1"/>
  <c r="J371" i="335"/>
  <c r="J386" i="338"/>
  <c r="K299" i="335"/>
  <c r="EN678" i="338"/>
  <c r="EN650" i="338"/>
  <c r="ET75" i="11"/>
  <c r="BX512" i="338"/>
  <c r="BX239" i="336"/>
  <c r="EZ58" i="338"/>
  <c r="EZ725" i="338"/>
  <c r="EZ120" i="11"/>
  <c r="EZ124" i="11" s="1"/>
  <c r="EZ128" i="11" s="1"/>
  <c r="EZ43" i="335"/>
  <c r="EZ280" i="335"/>
  <c r="EZ330" i="335"/>
  <c r="EN76" i="11"/>
  <c r="EN79" i="11"/>
  <c r="EN83" i="11" s="1"/>
  <c r="AB190" i="335"/>
  <c r="AB300" i="335"/>
  <c r="V300" i="335"/>
  <c r="V190" i="335"/>
  <c r="J458" i="335"/>
  <c r="J461" i="335"/>
  <c r="J459" i="335"/>
  <c r="J460" i="335"/>
  <c r="J375" i="335"/>
  <c r="EZ123" i="11"/>
  <c r="EZ127" i="11" s="1"/>
  <c r="EZ104" i="11"/>
  <c r="EZ108" i="11" s="1"/>
  <c r="EZ112" i="11" s="1"/>
  <c r="FF40" i="338"/>
  <c r="FI304" i="335"/>
  <c r="FF723" i="338"/>
  <c r="FL39" i="335"/>
  <c r="FF228" i="338"/>
  <c r="FF229" i="338" s="1"/>
  <c r="FF279" i="335"/>
  <c r="FF119" i="11"/>
  <c r="FI41" i="335"/>
  <c r="FF42" i="335"/>
  <c r="EH685" i="338"/>
  <c r="EH688" i="338"/>
  <c r="EI683" i="338"/>
  <c r="EI688" i="338" s="1"/>
  <c r="AZ221" i="335"/>
  <c r="AT221" i="335"/>
  <c r="EH359" i="335"/>
  <c r="EH80" i="11"/>
  <c r="EH84" i="11" s="1"/>
  <c r="EI96" i="338"/>
  <c r="EI97" i="338" s="1"/>
  <c r="EI19" i="338"/>
  <c r="EI18" i="338"/>
  <c r="EI54" i="338"/>
  <c r="AH219" i="335"/>
  <c r="AH220" i="335"/>
  <c r="AK218" i="335"/>
  <c r="EZ721" i="338"/>
  <c r="EZ734" i="338" s="1"/>
  <c r="EI55" i="338"/>
  <c r="AQ461" i="335"/>
  <c r="ER190" i="335"/>
  <c r="EK200" i="335"/>
  <c r="EK201" i="335"/>
  <c r="EK202" i="335" s="1"/>
  <c r="EK203" i="335" s="1"/>
  <c r="EK220" i="335"/>
  <c r="EK221" i="335" s="1"/>
  <c r="EK219" i="335"/>
  <c r="EK207" i="336"/>
  <c r="EK184" i="336" s="1"/>
  <c r="EK300" i="335"/>
  <c r="EK190" i="335"/>
  <c r="EK487" i="338"/>
  <c r="EK462" i="335"/>
  <c r="EK208" i="335" s="1"/>
  <c r="EK209" i="335" s="1"/>
  <c r="FA754" i="338"/>
  <c r="FA756" i="338" s="1"/>
  <c r="FK364" i="335"/>
  <c r="FK22" i="338"/>
  <c r="AQ386" i="338"/>
  <c r="BU239" i="335"/>
  <c r="FA292" i="335"/>
  <c r="FK303" i="335"/>
  <c r="EK685" i="338"/>
  <c r="EK688" i="338"/>
  <c r="FJ119" i="336"/>
  <c r="FI395" i="338"/>
  <c r="CM164" i="338"/>
  <c r="EN214" i="338"/>
  <c r="EI214" i="338"/>
  <c r="EI215" i="338" s="1"/>
  <c r="DI137" i="336"/>
  <c r="DI135" i="336"/>
  <c r="DJ134" i="336"/>
  <c r="DJ139" i="336" s="1"/>
  <c r="DJ140" i="336" s="1"/>
  <c r="DI139" i="336"/>
  <c r="DI140" i="336" s="1"/>
  <c r="EO459" i="335"/>
  <c r="CM214" i="336"/>
  <c r="AO325" i="335"/>
  <c r="AQ223" i="336"/>
  <c r="AQ458" i="335"/>
  <c r="ER300" i="335"/>
  <c r="AW299" i="335"/>
  <c r="EB199" i="336"/>
  <c r="AQ459" i="335"/>
  <c r="DW229" i="335"/>
  <c r="BO461" i="335"/>
  <c r="BO459" i="335"/>
  <c r="BQ371" i="335"/>
  <c r="ER115" i="3"/>
  <c r="BY499" i="338"/>
  <c r="BY238" i="336"/>
  <c r="BY221" i="335"/>
  <c r="BZ489" i="338"/>
  <c r="BY488" i="338"/>
  <c r="DA173" i="336"/>
  <c r="DA178" i="336"/>
  <c r="BY208" i="336"/>
  <c r="BY210" i="336" s="1"/>
  <c r="BY211" i="336" s="1"/>
  <c r="BY183" i="336"/>
  <c r="CP199" i="336"/>
  <c r="CP192" i="336"/>
  <c r="CP196" i="336" s="1"/>
  <c r="CD512" i="338"/>
  <c r="CD239" i="336"/>
  <c r="CD240" i="336" s="1"/>
  <c r="ES55" i="338"/>
  <c r="CD173" i="336"/>
  <c r="CD187" i="336"/>
  <c r="CD178" i="336"/>
  <c r="BY235" i="335"/>
  <c r="BY231" i="336"/>
  <c r="BY236" i="335"/>
  <c r="BY200" i="335"/>
  <c r="BY201" i="335"/>
  <c r="BY202" i="335" s="1"/>
  <c r="BY203" i="335" s="1"/>
  <c r="CD234" i="336"/>
  <c r="CD233" i="336"/>
  <c r="DK34" i="11"/>
  <c r="FQ39" i="11"/>
  <c r="CW217" i="335"/>
  <c r="CW218" i="335"/>
  <c r="CY215" i="335"/>
  <c r="CY217" i="335" s="1"/>
  <c r="EY39" i="338"/>
  <c r="EY53" i="338"/>
  <c r="FA279" i="335"/>
  <c r="FA40" i="338"/>
  <c r="FA228" i="338"/>
  <c r="FA229" i="338" s="1"/>
  <c r="FA40" i="335"/>
  <c r="FA723" i="338"/>
  <c r="FA724" i="338" s="1"/>
  <c r="CO299" i="335"/>
  <c r="CP324" i="335"/>
  <c r="CP371" i="335"/>
  <c r="CO351" i="335"/>
  <c r="CO324" i="335"/>
  <c r="CO189" i="335"/>
  <c r="CQ371" i="335"/>
  <c r="CR371" i="335"/>
  <c r="CS371" i="335" s="1"/>
  <c r="CS187" i="335"/>
  <c r="CU198" i="335"/>
  <c r="CU299" i="335"/>
  <c r="CO371" i="335"/>
  <c r="DE114" i="3"/>
  <c r="EF208" i="336"/>
  <c r="EF210" i="336" s="1"/>
  <c r="EF211" i="336" s="1"/>
  <c r="EF183" i="336"/>
  <c r="CY114" i="3"/>
  <c r="CY375" i="335"/>
  <c r="EI722" i="338"/>
  <c r="EI734" i="338"/>
  <c r="FR33" i="11"/>
  <c r="CS67" i="11"/>
  <c r="DE96" i="338"/>
  <c r="DE97" i="338" s="1"/>
  <c r="DE54" i="338"/>
  <c r="DE18" i="338"/>
  <c r="DE55" i="338"/>
  <c r="EN220" i="335"/>
  <c r="EN219" i="335"/>
  <c r="EN207" i="336"/>
  <c r="EN184" i="336" s="1"/>
  <c r="DE162" i="338"/>
  <c r="DE164" i="338" s="1"/>
  <c r="EU53" i="338"/>
  <c r="EU39" i="338"/>
  <c r="CL460" i="335"/>
  <c r="CM460" i="335" s="1"/>
  <c r="CL459" i="335"/>
  <c r="CM459" i="335" s="1"/>
  <c r="CL503" i="338"/>
  <c r="CL461" i="335"/>
  <c r="CM461" i="335" s="1"/>
  <c r="CL458" i="335"/>
  <c r="CL375" i="335"/>
  <c r="CL199" i="335"/>
  <c r="CO202" i="335"/>
  <c r="CS201" i="335"/>
  <c r="CS202" i="335" s="1"/>
  <c r="AE460" i="335"/>
  <c r="EM97" i="338"/>
  <c r="EU39" i="11"/>
  <c r="EO95" i="338"/>
  <c r="EO57" i="338"/>
  <c r="EO461" i="335"/>
  <c r="EO460" i="335"/>
  <c r="BR324" i="335"/>
  <c r="EO721" i="338"/>
  <c r="EO726" i="338"/>
  <c r="DE174" i="335"/>
  <c r="EL220" i="335"/>
  <c r="EL207" i="336"/>
  <c r="EL184" i="336" s="1"/>
  <c r="EL219" i="335"/>
  <c r="EN462" i="335"/>
  <c r="EN208" i="335" s="1"/>
  <c r="EN209" i="335" s="1"/>
  <c r="EN200" i="335"/>
  <c r="EN201" i="335"/>
  <c r="EN202" i="335" s="1"/>
  <c r="CD531" i="338"/>
  <c r="CG389" i="338"/>
  <c r="CF531" i="338"/>
  <c r="CC531" i="338"/>
  <c r="CE531" i="338"/>
  <c r="CY389" i="338"/>
  <c r="EY43" i="335"/>
  <c r="EY75" i="11" s="1"/>
  <c r="EY330" i="335"/>
  <c r="EY44" i="335"/>
  <c r="EY305" i="335"/>
  <c r="EY120" i="11"/>
  <c r="EY124" i="11" s="1"/>
  <c r="EY128" i="11" s="1"/>
  <c r="EY280" i="335"/>
  <c r="EZ44" i="335"/>
  <c r="EY58" i="338"/>
  <c r="EZ305" i="335"/>
  <c r="FF304" i="335"/>
  <c r="FE304" i="335"/>
  <c r="FE40" i="338"/>
  <c r="FF41" i="335"/>
  <c r="FE279" i="335"/>
  <c r="FK39" i="335"/>
  <c r="FE41" i="335"/>
  <c r="FE119" i="11"/>
  <c r="GB39" i="335"/>
  <c r="FG39" i="335"/>
  <c r="FE228" i="338"/>
  <c r="FE229" i="338" s="1"/>
  <c r="FE42" i="335"/>
  <c r="FS39" i="11"/>
  <c r="FR39" i="11"/>
  <c r="CW351" i="335"/>
  <c r="CW189" i="335"/>
  <c r="CX324" i="335"/>
  <c r="CW299" i="335"/>
  <c r="FR187" i="335"/>
  <c r="DB371" i="335"/>
  <c r="DC299" i="335"/>
  <c r="DA371" i="335"/>
  <c r="CX371" i="335"/>
  <c r="CY371" i="335" s="1"/>
  <c r="CW324" i="335"/>
  <c r="CY187" i="335"/>
  <c r="CW371" i="335"/>
  <c r="EL462" i="335"/>
  <c r="EL208" i="335" s="1"/>
  <c r="EL209" i="335" s="1"/>
  <c r="CF217" i="335"/>
  <c r="CF185" i="335" s="1"/>
  <c r="CF218" i="335"/>
  <c r="DK61" i="11"/>
  <c r="DK16" i="338" s="1"/>
  <c r="DK162" i="338"/>
  <c r="DK164" i="338" s="1"/>
  <c r="H300" i="335"/>
  <c r="H372" i="335"/>
  <c r="H190" i="335"/>
  <c r="CM389" i="338"/>
  <c r="CM174" i="335"/>
  <c r="CL217" i="335"/>
  <c r="CL218" i="335"/>
  <c r="CM215" i="335"/>
  <c r="CM217" i="335" s="1"/>
  <c r="CS174" i="335"/>
  <c r="EO123" i="11"/>
  <c r="EO127" i="11" s="1"/>
  <c r="EU724" i="338"/>
  <c r="ER221" i="335"/>
  <c r="DK174" i="335"/>
  <c r="H462" i="335"/>
  <c r="DE389" i="338"/>
  <c r="CR55" i="338"/>
  <c r="CY174" i="335"/>
  <c r="EY104" i="11"/>
  <c r="EY123" i="11"/>
  <c r="EY127" i="11" s="1"/>
  <c r="GA40" i="335"/>
  <c r="CO461" i="335"/>
  <c r="CS461" i="335" s="1"/>
  <c r="CO459" i="335"/>
  <c r="CS459" i="335" s="1"/>
  <c r="CO458" i="335"/>
  <c r="CO503" i="338"/>
  <c r="CO460" i="335"/>
  <c r="CS460" i="335" s="1"/>
  <c r="CO375" i="335"/>
  <c r="EL190" i="335"/>
  <c r="EL300" i="335"/>
  <c r="EL487" i="338"/>
  <c r="EL325" i="335"/>
  <c r="DD351" i="335"/>
  <c r="DD299" i="335"/>
  <c r="DD371" i="335"/>
  <c r="DE371" i="335" s="1"/>
  <c r="DD189" i="335"/>
  <c r="DH372" i="335" s="1"/>
  <c r="DD324" i="335"/>
  <c r="DE187" i="335"/>
  <c r="DG324" i="335"/>
  <c r="DG371" i="335"/>
  <c r="FS26" i="11"/>
  <c r="CY32" i="11"/>
  <c r="FS32" i="11" s="1"/>
  <c r="EL201" i="335"/>
  <c r="EL202" i="335" s="1"/>
  <c r="EL203" i="335" s="1"/>
  <c r="EL200" i="335"/>
  <c r="EN487" i="338"/>
  <c r="EN488" i="338" s="1"/>
  <c r="F462" i="335"/>
  <c r="ET64" i="335"/>
  <c r="FY64" i="335"/>
  <c r="EO64" i="335"/>
  <c r="CF237" i="336"/>
  <c r="CF487" i="338"/>
  <c r="CI325" i="335"/>
  <c r="CK372" i="335"/>
  <c r="ET65" i="335"/>
  <c r="FY65" i="335"/>
  <c r="EO65" i="335"/>
  <c r="DH371" i="335"/>
  <c r="EW75" i="11"/>
  <c r="EB192" i="336"/>
  <c r="EB196" i="336" s="1"/>
  <c r="AQ460" i="335"/>
  <c r="EI184" i="336"/>
  <c r="EI208" i="336" s="1"/>
  <c r="EL372" i="335"/>
  <c r="EN300" i="335"/>
  <c r="BU184" i="335"/>
  <c r="BU185" i="335" s="1"/>
  <c r="CF300" i="335"/>
  <c r="DK389" i="338"/>
  <c r="DD164" i="338"/>
  <c r="CY34" i="11"/>
  <c r="FS33" i="11"/>
  <c r="CY67" i="11"/>
  <c r="DC96" i="338"/>
  <c r="DC55" i="338"/>
  <c r="DC18" i="338"/>
  <c r="DC54" i="338"/>
  <c r="CR97" i="338"/>
  <c r="CG174" i="335"/>
  <c r="EU330" i="335"/>
  <c r="EU725" i="338"/>
  <c r="EU726" i="338" s="1"/>
  <c r="EU43" i="335"/>
  <c r="EU280" i="335"/>
  <c r="EU58" i="338"/>
  <c r="ES57" i="338"/>
  <c r="ES95" i="338"/>
  <c r="DD458" i="335"/>
  <c r="DD503" i="338"/>
  <c r="DD461" i="335"/>
  <c r="DE461" i="335" s="1"/>
  <c r="DD460" i="335"/>
  <c r="DE460" i="335" s="1"/>
  <c r="DD199" i="335"/>
  <c r="DD459" i="335"/>
  <c r="DE459" i="335" s="1"/>
  <c r="DD375" i="335"/>
  <c r="DD114" i="3"/>
  <c r="DD115" i="3" s="1"/>
  <c r="EL221" i="335"/>
  <c r="FW220" i="335"/>
  <c r="CE218" i="335"/>
  <c r="CE217" i="335"/>
  <c r="CE185" i="335" s="1"/>
  <c r="CG215" i="335"/>
  <c r="CG217" i="335" s="1"/>
  <c r="FR26" i="11"/>
  <c r="CS32" i="11"/>
  <c r="FR32" i="11" s="1"/>
  <c r="CW459" i="335"/>
  <c r="CY459" i="335" s="1"/>
  <c r="CW460" i="335"/>
  <c r="CY460" i="335" s="1"/>
  <c r="CW503" i="338"/>
  <c r="CW458" i="335"/>
  <c r="CW461" i="335"/>
  <c r="CY461" i="335" s="1"/>
  <c r="CW114" i="3"/>
  <c r="CW199" i="335"/>
  <c r="CW375" i="335"/>
  <c r="CM375" i="335"/>
  <c r="DE34" i="11"/>
  <c r="EG489" i="338"/>
  <c r="EF488" i="338"/>
  <c r="CS375" i="335"/>
  <c r="CS389" i="338"/>
  <c r="DD218" i="335"/>
  <c r="DD217" i="335"/>
  <c r="DE215" i="335"/>
  <c r="DE217" i="335" s="1"/>
  <c r="ES108" i="11"/>
  <c r="ES112" i="11" s="1"/>
  <c r="EU104" i="11"/>
  <c r="CL351" i="335"/>
  <c r="CL299" i="335"/>
  <c r="CL324" i="335"/>
  <c r="CL189" i="335"/>
  <c r="FP187" i="335"/>
  <c r="CR299" i="335"/>
  <c r="CL371" i="335"/>
  <c r="CM371" i="335" s="1"/>
  <c r="CM187" i="335"/>
  <c r="CO218" i="335"/>
  <c r="CO217" i="335"/>
  <c r="CS215" i="335"/>
  <c r="CS217" i="335" s="1"/>
  <c r="DE247" i="335"/>
  <c r="BR234" i="336"/>
  <c r="FD313" i="338"/>
  <c r="FE54" i="335"/>
  <c r="ES54" i="338"/>
  <c r="BQ462" i="335"/>
  <c r="CX175" i="336"/>
  <c r="CX199" i="336"/>
  <c r="CX192" i="336"/>
  <c r="CX196" i="336" s="1"/>
  <c r="ES96" i="338"/>
  <c r="ES97" i="338" s="1"/>
  <c r="ES18" i="338"/>
  <c r="BU208" i="335"/>
  <c r="BU209" i="335" s="1"/>
  <c r="BR233" i="336"/>
  <c r="BS325" i="335"/>
  <c r="BR237" i="336"/>
  <c r="BR240" i="336" s="1"/>
  <c r="BQ189" i="335"/>
  <c r="BQ237" i="336" s="1"/>
  <c r="BQ229" i="336"/>
  <c r="BQ351" i="335"/>
  <c r="BR200" i="335"/>
  <c r="BR201" i="335"/>
  <c r="BR202" i="335" s="1"/>
  <c r="AE461" i="335"/>
  <c r="BC221" i="335"/>
  <c r="AW221" i="335"/>
  <c r="BR178" i="336"/>
  <c r="BR187" i="336"/>
  <c r="BR173" i="336"/>
  <c r="BQ184" i="336"/>
  <c r="BA190" i="335"/>
  <c r="AV325" i="335"/>
  <c r="AW189" i="335"/>
  <c r="AU325" i="335"/>
  <c r="AZ372" i="335"/>
  <c r="BA300" i="335"/>
  <c r="AV372" i="335"/>
  <c r="AW372" i="335" s="1"/>
  <c r="AY372" i="335"/>
  <c r="AU462" i="335"/>
  <c r="AW458" i="335"/>
  <c r="AW462" i="335" s="1"/>
  <c r="AW208" i="335"/>
  <c r="AW209" i="335" s="1"/>
  <c r="AU209" i="335"/>
  <c r="BU462" i="335"/>
  <c r="BQ157" i="335"/>
  <c r="BQ199" i="335"/>
  <c r="BQ236" i="335"/>
  <c r="BQ239" i="336" s="1"/>
  <c r="BQ235" i="335"/>
  <c r="BQ231" i="336"/>
  <c r="BQ232" i="336" s="1"/>
  <c r="AW386" i="338"/>
  <c r="BC299" i="335"/>
  <c r="AW351" i="335"/>
  <c r="AW223" i="336"/>
  <c r="ET55" i="338"/>
  <c r="ET54" i="338"/>
  <c r="ET19" i="338"/>
  <c r="ET18" i="338"/>
  <c r="ET96" i="338"/>
  <c r="ET97" i="338" s="1"/>
  <c r="BZ499" i="338"/>
  <c r="BZ221" i="335"/>
  <c r="BZ238" i="336"/>
  <c r="FU92" i="335"/>
  <c r="FT92" i="335"/>
  <c r="FT154" i="335"/>
  <c r="FT148" i="335"/>
  <c r="FT151" i="335"/>
  <c r="ET218" i="335"/>
  <c r="ET217" i="335"/>
  <c r="BK238" i="336"/>
  <c r="BK221" i="335"/>
  <c r="BQ221" i="335"/>
  <c r="BK209" i="335"/>
  <c r="BO208" i="335"/>
  <c r="BO209" i="335" s="1"/>
  <c r="BQ115" i="3"/>
  <c r="BK115" i="3"/>
  <c r="CV208" i="336"/>
  <c r="CV210" i="336" s="1"/>
  <c r="CV211" i="336" s="1"/>
  <c r="CV183" i="336"/>
  <c r="DQ774" i="338"/>
  <c r="DQ766" i="338"/>
  <c r="DQ770" i="338"/>
  <c r="DW766" i="338"/>
  <c r="CJ178" i="336"/>
  <c r="CJ173" i="336"/>
  <c r="CJ187" i="336"/>
  <c r="CV202" i="335"/>
  <c r="CA263" i="335"/>
  <c r="CA217" i="335"/>
  <c r="DQ346" i="335"/>
  <c r="DQ348" i="335"/>
  <c r="DQ148" i="335"/>
  <c r="DQ338" i="335"/>
  <c r="DW290" i="335"/>
  <c r="DQ143" i="335"/>
  <c r="DQ114" i="338"/>
  <c r="DQ342" i="335"/>
  <c r="DQ347" i="335"/>
  <c r="DW92" i="335"/>
  <c r="DQ15" i="11"/>
  <c r="DQ151" i="335"/>
  <c r="DQ290" i="335"/>
  <c r="DQ345" i="335"/>
  <c r="DQ330" i="335"/>
  <c r="DV122" i="336"/>
  <c r="DQ49" i="11"/>
  <c r="DQ331" i="335"/>
  <c r="DP122" i="336"/>
  <c r="DQ718" i="338"/>
  <c r="DQ329" i="335"/>
  <c r="DQ339" i="335"/>
  <c r="DQ333" i="335"/>
  <c r="DQ154" i="335"/>
  <c r="DQ334" i="335"/>
  <c r="DQ92" i="335"/>
  <c r="DQ157" i="335"/>
  <c r="DQ341" i="335"/>
  <c r="DQ343" i="335"/>
  <c r="DQ328" i="335"/>
  <c r="DQ336" i="335"/>
  <c r="DQ337" i="335"/>
  <c r="DP113" i="336"/>
  <c r="DQ113" i="336" s="1"/>
  <c r="DP112" i="336"/>
  <c r="DP393" i="335"/>
  <c r="DP392" i="335"/>
  <c r="DQ365" i="335"/>
  <c r="DP111" i="336"/>
  <c r="DQ111" i="336" s="1"/>
  <c r="DP369" i="335"/>
  <c r="DP394" i="335"/>
  <c r="DQ145" i="336"/>
  <c r="DM206" i="335"/>
  <c r="DM494" i="338"/>
  <c r="DM495" i="338" s="1"/>
  <c r="DS100" i="335"/>
  <c r="DM100" i="335"/>
  <c r="DM101" i="335"/>
  <c r="DQ99" i="335"/>
  <c r="FT99" i="335"/>
  <c r="DN101" i="335"/>
  <c r="DM123" i="336"/>
  <c r="DM369" i="335"/>
  <c r="DS112" i="336"/>
  <c r="DM392" i="335"/>
  <c r="DM112" i="336"/>
  <c r="DM145" i="336"/>
  <c r="DS111" i="336"/>
  <c r="DM113" i="336"/>
  <c r="DS113" i="336"/>
  <c r="DM111" i="336"/>
  <c r="DM37" i="11"/>
  <c r="DM27" i="11"/>
  <c r="DS27" i="11"/>
  <c r="DM38" i="11"/>
  <c r="BN462" i="335"/>
  <c r="BN199" i="335"/>
  <c r="BN157" i="335"/>
  <c r="BQ159" i="335"/>
  <c r="U221" i="335"/>
  <c r="AA221" i="335"/>
  <c r="BZ200" i="335"/>
  <c r="BZ201" i="335"/>
  <c r="BZ202" i="335" s="1"/>
  <c r="FM102" i="336"/>
  <c r="FL385" i="335"/>
  <c r="FM385" i="335" s="1"/>
  <c r="BU114" i="3"/>
  <c r="BU375" i="335"/>
  <c r="CP203" i="335"/>
  <c r="CJ203" i="335"/>
  <c r="BN221" i="335"/>
  <c r="BN238" i="336"/>
  <c r="BK462" i="335"/>
  <c r="BO458" i="335"/>
  <c r="BO462" i="335" s="1"/>
  <c r="BW220" i="335"/>
  <c r="BW207" i="336"/>
  <c r="BW184" i="336" s="1"/>
  <c r="BW234" i="335"/>
  <c r="BW230" i="336"/>
  <c r="BW219" i="335"/>
  <c r="CA218" i="335"/>
  <c r="ET324" i="335"/>
  <c r="ET189" i="335"/>
  <c r="ET351" i="335"/>
  <c r="ET299" i="335"/>
  <c r="EK359" i="335"/>
  <c r="EK80" i="11"/>
  <c r="EK84" i="11" s="1"/>
  <c r="DO392" i="335"/>
  <c r="DO113" i="336"/>
  <c r="DO112" i="336"/>
  <c r="DO369" i="335"/>
  <c r="BN115" i="3"/>
  <c r="BT115" i="3"/>
  <c r="CW489" i="338"/>
  <c r="CV488" i="338"/>
  <c r="BT157" i="335"/>
  <c r="BT199" i="335"/>
  <c r="BT158" i="335"/>
  <c r="BT159" i="335"/>
  <c r="BU156" i="335"/>
  <c r="BU157" i="335" s="1"/>
  <c r="BT229" i="336"/>
  <c r="BT233" i="336" s="1"/>
  <c r="BT351" i="335"/>
  <c r="BT324" i="335"/>
  <c r="BT299" i="335"/>
  <c r="BT189" i="335"/>
  <c r="BT371" i="335"/>
  <c r="BU371" i="335" s="1"/>
  <c r="BU187" i="335"/>
  <c r="BZ299" i="335"/>
  <c r="BO230" i="336"/>
  <c r="BO234" i="335"/>
  <c r="BO220" i="335"/>
  <c r="BO207" i="336"/>
  <c r="BO210" i="336" s="1"/>
  <c r="BO211" i="336" s="1"/>
  <c r="BO219" i="335"/>
  <c r="EY224" i="338"/>
  <c r="FE214" i="338"/>
  <c r="AA299" i="335"/>
  <c r="U299" i="335"/>
  <c r="U324" i="335"/>
  <c r="U189" i="335"/>
  <c r="U351" i="335"/>
  <c r="V324" i="335"/>
  <c r="Y187" i="335"/>
  <c r="W371" i="335"/>
  <c r="U371" i="335"/>
  <c r="V371" i="335"/>
  <c r="X371" i="335"/>
  <c r="Y371" i="335" s="1"/>
  <c r="BK187" i="335"/>
  <c r="BO184" i="335"/>
  <c r="BO185" i="335" s="1"/>
  <c r="CV499" i="338"/>
  <c r="CV221" i="335"/>
  <c r="FQ220" i="335"/>
  <c r="DB221" i="335"/>
  <c r="BW503" i="338"/>
  <c r="BW461" i="335"/>
  <c r="CA461" i="335" s="1"/>
  <c r="BW458" i="335"/>
  <c r="BW239" i="335"/>
  <c r="BW460" i="335"/>
  <c r="CA460" i="335" s="1"/>
  <c r="BW459" i="335"/>
  <c r="CA459" i="335" s="1"/>
  <c r="BW114" i="3"/>
  <c r="BW184" i="335"/>
  <c r="BW375" i="335"/>
  <c r="ET458" i="335"/>
  <c r="ET199" i="335"/>
  <c r="EU199" i="335" s="1"/>
  <c r="EU200" i="335" s="1"/>
  <c r="ET461" i="335"/>
  <c r="EU461" i="335" s="1"/>
  <c r="ET114" i="3"/>
  <c r="ET115" i="3" s="1"/>
  <c r="ET459" i="335"/>
  <c r="EU459" i="335" s="1"/>
  <c r="ET460" i="335"/>
  <c r="EU460" i="335" s="1"/>
  <c r="ET375" i="335"/>
  <c r="DN123" i="336"/>
  <c r="DN111" i="336"/>
  <c r="DN112" i="336"/>
  <c r="DN392" i="335"/>
  <c r="DN369" i="335"/>
  <c r="DN145" i="336"/>
  <c r="DT111" i="336"/>
  <c r="DN113" i="336"/>
  <c r="DT113" i="336"/>
  <c r="DT112" i="336"/>
  <c r="DM169" i="335"/>
  <c r="DM182" i="335" s="1"/>
  <c r="DM144" i="335"/>
  <c r="FT143" i="335"/>
  <c r="DM58" i="11"/>
  <c r="DS58" i="11"/>
  <c r="BN189" i="335"/>
  <c r="BN229" i="336"/>
  <c r="BQ324" i="335"/>
  <c r="BN351" i="335"/>
  <c r="BN324" i="335"/>
  <c r="BN299" i="335"/>
  <c r="BS371" i="335"/>
  <c r="BR371" i="335"/>
  <c r="Y219" i="335"/>
  <c r="Y220" i="335"/>
  <c r="Y221" i="335" s="1"/>
  <c r="BZ158" i="335"/>
  <c r="BU236" i="335"/>
  <c r="BU239" i="336" s="1"/>
  <c r="BU235" i="335"/>
  <c r="BU231" i="336"/>
  <c r="BU232" i="336" s="1"/>
  <c r="BZ231" i="336"/>
  <c r="BZ232" i="336" s="1"/>
  <c r="BZ235" i="335"/>
  <c r="BZ236" i="335"/>
  <c r="AO462" i="335"/>
  <c r="EU33" i="11"/>
  <c r="EU35" i="338"/>
  <c r="EU37" i="338" s="1"/>
  <c r="CV209" i="335"/>
  <c r="BK236" i="335"/>
  <c r="BK239" i="336" s="1"/>
  <c r="BK231" i="336"/>
  <c r="BK232" i="336" s="1"/>
  <c r="BK235" i="335"/>
  <c r="AO300" i="335"/>
  <c r="AO190" i="335"/>
  <c r="AU300" i="335"/>
  <c r="AU190" i="335"/>
  <c r="ES230" i="338"/>
  <c r="ES225" i="338"/>
  <c r="CC489" i="338"/>
  <c r="BZ488" i="338"/>
  <c r="FF37" i="11"/>
  <c r="EZ39" i="11"/>
  <c r="EY125" i="336"/>
  <c r="EY124" i="336"/>
  <c r="BN236" i="335"/>
  <c r="BN239" i="336" s="1"/>
  <c r="BN235" i="335"/>
  <c r="BN231" i="336"/>
  <c r="BN232" i="336" s="1"/>
  <c r="U461" i="335"/>
  <c r="Y461" i="335" s="1"/>
  <c r="U458" i="335"/>
  <c r="U459" i="335"/>
  <c r="Y459" i="335" s="1"/>
  <c r="U460" i="335"/>
  <c r="Y460" i="335" s="1"/>
  <c r="U375" i="335"/>
  <c r="BK156" i="335"/>
  <c r="BO239" i="335"/>
  <c r="BT221" i="335"/>
  <c r="EQ76" i="11"/>
  <c r="EQ79" i="11"/>
  <c r="EQ83" i="11" s="1"/>
  <c r="DM328" i="338"/>
  <c r="DS328" i="338"/>
  <c r="DQ327" i="338"/>
  <c r="DM326" i="338"/>
  <c r="DS326" i="338"/>
  <c r="DQ325" i="338"/>
  <c r="DS429" i="338"/>
  <c r="DM432" i="338"/>
  <c r="DN433" i="338"/>
  <c r="DS430" i="338"/>
  <c r="DS113" i="338"/>
  <c r="DM160" i="338"/>
  <c r="DM113" i="338"/>
  <c r="DS163" i="338"/>
  <c r="EU356" i="335"/>
  <c r="EH221" i="335"/>
  <c r="EN221" i="335"/>
  <c r="EI462" i="335"/>
  <c r="EH208" i="336"/>
  <c r="EH210" i="336" s="1"/>
  <c r="EH211" i="336" s="1"/>
  <c r="EH183" i="336"/>
  <c r="EH203" i="335"/>
  <c r="EN203" i="335"/>
  <c r="FD341" i="335"/>
  <c r="EZ161" i="338"/>
  <c r="EB225" i="338"/>
  <c r="EC224" i="338"/>
  <c r="EC225" i="338" s="1"/>
  <c r="EY323" i="335"/>
  <c r="EC218" i="338"/>
  <c r="EI217" i="338"/>
  <c r="EH224" i="338"/>
  <c r="EH218" i="338"/>
  <c r="FI320" i="338"/>
  <c r="FG320" i="338"/>
  <c r="FF391" i="335"/>
  <c r="DW230" i="338"/>
  <c r="ET221" i="338"/>
  <c r="EN217" i="338"/>
  <c r="EO221" i="338"/>
  <c r="EO222" i="338" s="1"/>
  <c r="FC66" i="336"/>
  <c r="EZ427" i="335"/>
  <c r="FA427" i="335" s="1"/>
  <c r="EO419" i="335"/>
  <c r="EZ429" i="335"/>
  <c r="FA429" i="335" s="1"/>
  <c r="FC68" i="336"/>
  <c r="EZ426" i="335"/>
  <c r="FA426" i="335" s="1"/>
  <c r="FC65" i="336"/>
  <c r="FA313" i="338"/>
  <c r="GA105" i="335"/>
  <c r="FF83" i="335"/>
  <c r="FG83" i="335" s="1"/>
  <c r="FG84" i="335" s="1"/>
  <c r="FF87" i="335"/>
  <c r="FF48" i="335"/>
  <c r="FF98" i="335"/>
  <c r="FG98" i="335" s="1"/>
  <c r="FF126" i="335"/>
  <c r="FF281" i="335"/>
  <c r="FF306" i="335"/>
  <c r="FF47" i="335"/>
  <c r="FI46" i="335"/>
  <c r="FI52" i="335" s="1"/>
  <c r="FF44" i="11"/>
  <c r="FF53" i="11" s="1"/>
  <c r="FF52" i="335"/>
  <c r="FG52" i="335" s="1"/>
  <c r="FG53" i="335" s="1"/>
  <c r="EO114" i="3"/>
  <c r="EO115" i="3" s="1"/>
  <c r="EO375" i="335"/>
  <c r="EM200" i="335"/>
  <c r="EM201" i="335"/>
  <c r="EO199" i="335"/>
  <c r="EO200" i="335" s="1"/>
  <c r="EZ33" i="11"/>
  <c r="EZ67" i="11" s="1"/>
  <c r="FE311" i="335"/>
  <c r="FE88" i="335"/>
  <c r="FE286" i="335"/>
  <c r="FE89" i="335"/>
  <c r="FE96" i="335"/>
  <c r="FE91" i="335"/>
  <c r="FE365" i="335" s="1"/>
  <c r="FE85" i="335"/>
  <c r="FE84" i="335"/>
  <c r="ES300" i="335"/>
  <c r="EM300" i="335"/>
  <c r="EM325" i="335"/>
  <c r="EM190" i="335"/>
  <c r="EN325" i="335"/>
  <c r="EN372" i="335"/>
  <c r="EO372" i="335" s="1"/>
  <c r="ES190" i="335"/>
  <c r="EM372" i="335"/>
  <c r="EM487" i="338"/>
  <c r="FA295" i="335"/>
  <c r="FA155" i="335"/>
  <c r="FA149" i="335"/>
  <c r="FA167" i="335"/>
  <c r="FA348" i="335" s="1"/>
  <c r="FA293" i="335"/>
  <c r="EZ296" i="335"/>
  <c r="EZ366" i="335"/>
  <c r="EZ34" i="336" s="1"/>
  <c r="EZ321" i="335"/>
  <c r="EZ24" i="336"/>
  <c r="FA24" i="336" s="1"/>
  <c r="EZ348" i="335"/>
  <c r="EZ367" i="335"/>
  <c r="FA367" i="335" s="1"/>
  <c r="EZ168" i="335"/>
  <c r="EZ169" i="335"/>
  <c r="FL364" i="335"/>
  <c r="FM364" i="335" s="1"/>
  <c r="EU678" i="338"/>
  <c r="EU687" i="338" s="1"/>
  <c r="EZ316" i="338"/>
  <c r="FE105" i="335"/>
  <c r="FE141" i="335"/>
  <c r="EO299" i="335"/>
  <c r="EO223" i="336"/>
  <c r="EO351" i="335"/>
  <c r="EO189" i="335"/>
  <c r="EO386" i="338"/>
  <c r="EM462" i="335"/>
  <c r="EM208" i="335" s="1"/>
  <c r="EO458" i="335"/>
  <c r="EO462" i="335" s="1"/>
  <c r="EZ24" i="11"/>
  <c r="EZ30" i="11" s="1"/>
  <c r="EZ14" i="11"/>
  <c r="EZ355" i="335"/>
  <c r="ES115" i="3"/>
  <c r="EM115" i="3"/>
  <c r="EZ357" i="335"/>
  <c r="EZ25" i="11"/>
  <c r="EZ31" i="11" s="1"/>
  <c r="FG281" i="335"/>
  <c r="FG47" i="335"/>
  <c r="FG87" i="335"/>
  <c r="FG50" i="335"/>
  <c r="FG740" i="338"/>
  <c r="FG741" i="338" s="1"/>
  <c r="FG44" i="11"/>
  <c r="FG53" i="11" s="1"/>
  <c r="EM207" i="336"/>
  <c r="EM184" i="336" s="1"/>
  <c r="EM183" i="336" s="1"/>
  <c r="EO218" i="335"/>
  <c r="EM219" i="335"/>
  <c r="EM220" i="335"/>
  <c r="AQ220" i="336"/>
  <c r="AK224" i="336"/>
  <c r="CP213" i="336"/>
  <c r="DK251" i="335"/>
  <c r="DK248" i="335"/>
  <c r="DK240" i="335" s="1"/>
  <c r="DK241" i="335" s="1"/>
  <c r="EY442" i="335"/>
  <c r="EZ81" i="336"/>
  <c r="EF86" i="336"/>
  <c r="EE447" i="335"/>
  <c r="DH417" i="335"/>
  <c r="DI56" i="336"/>
  <c r="DH48" i="336"/>
  <c r="EG209" i="335"/>
  <c r="EI208" i="335"/>
  <c r="EI209" i="335" s="1"/>
  <c r="FD343" i="335"/>
  <c r="FD292" i="335"/>
  <c r="EI201" i="335"/>
  <c r="EI202" i="335" s="1"/>
  <c r="EG202" i="335"/>
  <c r="EG203" i="335" s="1"/>
  <c r="ES489" i="338"/>
  <c r="ER488" i="338"/>
  <c r="EG221" i="335"/>
  <c r="FD99" i="335"/>
  <c r="FD100" i="335" s="1"/>
  <c r="FD338" i="335"/>
  <c r="FD150" i="335"/>
  <c r="FD339" i="335"/>
  <c r="FD327" i="338"/>
  <c r="FD328" i="338" s="1"/>
  <c r="FD336" i="335"/>
  <c r="FD329" i="335"/>
  <c r="FD290" i="335"/>
  <c r="FD337" i="335"/>
  <c r="FD331" i="335"/>
  <c r="FD15" i="11"/>
  <c r="FD92" i="335"/>
  <c r="FD153" i="335"/>
  <c r="FD114" i="338"/>
  <c r="FD325" i="338"/>
  <c r="FD326" i="338" s="1"/>
  <c r="FD147" i="335"/>
  <c r="FD342" i="335"/>
  <c r="FD49" i="11"/>
  <c r="FD58" i="11" s="1"/>
  <c r="FD143" i="335"/>
  <c r="FD10" i="336"/>
  <c r="FJ15" i="335"/>
  <c r="FJ9" i="338"/>
  <c r="FK13" i="338" s="1"/>
  <c r="FK15" i="338" s="1"/>
  <c r="FJ42" i="335"/>
  <c r="FJ43" i="11"/>
  <c r="FJ52" i="11" s="1"/>
  <c r="FJ278" i="335"/>
  <c r="AC300" i="335"/>
  <c r="EG488" i="338"/>
  <c r="EH489" i="338"/>
  <c r="EG183" i="336"/>
  <c r="EG208" i="336"/>
  <c r="EG210" i="336" s="1"/>
  <c r="EG211" i="336" s="1"/>
  <c r="FJ33" i="338"/>
  <c r="FJ36" i="338" s="1"/>
  <c r="FJ37" i="338" s="1"/>
  <c r="FJ21" i="338"/>
  <c r="I372" i="335"/>
  <c r="I190" i="335"/>
  <c r="I300" i="335"/>
  <c r="AD462" i="335"/>
  <c r="EX34" i="11"/>
  <c r="EX67" i="11"/>
  <c r="ER208" i="336"/>
  <c r="ER210" i="336" s="1"/>
  <c r="ER211" i="336" s="1"/>
  <c r="ER183" i="336"/>
  <c r="I462" i="335"/>
  <c r="EI219" i="335"/>
  <c r="EI207" i="336"/>
  <c r="EI210" i="336" s="1"/>
  <c r="EI220" i="335"/>
  <c r="FD224" i="338"/>
  <c r="FJ214" i="338"/>
  <c r="FJ224" i="338" s="1"/>
  <c r="FD8" i="338"/>
  <c r="FD12" i="338"/>
  <c r="FD17" i="338" s="1"/>
  <c r="FD330" i="335"/>
  <c r="FD280" i="335"/>
  <c r="FD43" i="335"/>
  <c r="FD75" i="11" s="1"/>
  <c r="FD58" i="338"/>
  <c r="FD120" i="11"/>
  <c r="FD124" i="11" s="1"/>
  <c r="FD128" i="11" s="1"/>
  <c r="FJ37" i="11"/>
  <c r="FJ39" i="11" s="1"/>
  <c r="FD39" i="11"/>
  <c r="EX225" i="338"/>
  <c r="EX230" i="338"/>
  <c r="FJ71" i="3"/>
  <c r="FK20" i="3"/>
  <c r="EO76" i="11"/>
  <c r="EO79" i="11"/>
  <c r="EO83" i="11" s="1"/>
  <c r="EY16" i="338"/>
  <c r="EY162" i="338"/>
  <c r="EY164" i="338" s="1"/>
  <c r="DV97" i="338"/>
  <c r="FC130" i="335"/>
  <c r="FG129" i="335"/>
  <c r="FG130" i="335" s="1"/>
  <c r="AD190" i="335"/>
  <c r="AJ300" i="335"/>
  <c r="AD300" i="335"/>
  <c r="AG325" i="335"/>
  <c r="AJ190" i="335"/>
  <c r="EU75" i="11"/>
  <c r="ES79" i="11"/>
  <c r="ES83" i="11" s="1"/>
  <c r="ES76" i="11"/>
  <c r="FC71" i="3"/>
  <c r="FD20" i="3"/>
  <c r="DT96" i="338"/>
  <c r="DT54" i="338"/>
  <c r="DT55" i="338"/>
  <c r="DT90" i="11"/>
  <c r="DT109" i="338"/>
  <c r="DT110" i="338" s="1"/>
  <c r="DT19" i="338"/>
  <c r="DT18" i="338"/>
  <c r="AQ462" i="335"/>
  <c r="BC240" i="336"/>
  <c r="DN213" i="335"/>
  <c r="FI130" i="335"/>
  <c r="FM129" i="335"/>
  <c r="FM130" i="335" s="1"/>
  <c r="DV507" i="338"/>
  <c r="DV164" i="338"/>
  <c r="EY397" i="338"/>
  <c r="DT162" i="338"/>
  <c r="DT164" i="338" s="1"/>
  <c r="DP164" i="338"/>
  <c r="EM80" i="11"/>
  <c r="EM84" i="11" s="1"/>
  <c r="EM359" i="335"/>
  <c r="DP97" i="338"/>
  <c r="FA19" i="3"/>
  <c r="EZ70" i="3"/>
  <c r="FA70" i="3" s="1"/>
  <c r="ES686" i="338"/>
  <c r="ES690" i="338"/>
  <c r="FC341" i="335"/>
  <c r="EO18" i="338"/>
  <c r="EO55" i="338"/>
  <c r="EO19" i="338"/>
  <c r="EO54" i="338"/>
  <c r="EO96" i="338"/>
  <c r="EO97" i="338" s="1"/>
  <c r="DV105" i="11"/>
  <c r="DV109" i="11" s="1"/>
  <c r="DV113" i="11" s="1"/>
  <c r="DV94" i="11"/>
  <c r="DV98" i="11" s="1"/>
  <c r="EB90" i="11"/>
  <c r="DT34" i="11"/>
  <c r="EI80" i="11"/>
  <c r="EI84" i="11" s="1"/>
  <c r="EI359" i="335"/>
  <c r="DN34" i="11"/>
  <c r="ER422" i="335"/>
  <c r="ES61" i="336"/>
  <c r="DK281" i="336"/>
  <c r="DQ276" i="336" s="1"/>
  <c r="EL414" i="335"/>
  <c r="EM53" i="336"/>
  <c r="EQ432" i="335"/>
  <c r="ER71" i="336"/>
  <c r="FA278" i="338"/>
  <c r="FF278" i="338"/>
  <c r="EZ277" i="338"/>
  <c r="FA732" i="338"/>
  <c r="FA735" i="338"/>
  <c r="EA109" i="11"/>
  <c r="EA113" i="11" s="1"/>
  <c r="EA106" i="11"/>
  <c r="EO285" i="338"/>
  <c r="EO388" i="335"/>
  <c r="EO393" i="335" s="1"/>
  <c r="EO315" i="338"/>
  <c r="FA287" i="338"/>
  <c r="FA389" i="335"/>
  <c r="FA289" i="338"/>
  <c r="FA387" i="335"/>
  <c r="FA314" i="338"/>
  <c r="FA283" i="338"/>
  <c r="FA174" i="336"/>
  <c r="EZ174" i="336" s="1"/>
  <c r="EZ173" i="336" s="1"/>
  <c r="FA243" i="335"/>
  <c r="FA245" i="335" s="1"/>
  <c r="FA301" i="338"/>
  <c r="ET388" i="335"/>
  <c r="ET393" i="335" s="1"/>
  <c r="EU277" i="338"/>
  <c r="EG105" i="11"/>
  <c r="EM90" i="11"/>
  <c r="EG94" i="11"/>
  <c r="EG98" i="11" s="1"/>
  <c r="EG91" i="11"/>
  <c r="FI319" i="338"/>
  <c r="FF300" i="338"/>
  <c r="FF390" i="335"/>
  <c r="FG319" i="338"/>
  <c r="EA95" i="11"/>
  <c r="EA99" i="11" s="1"/>
  <c r="EA361" i="335"/>
  <c r="FE283" i="338"/>
  <c r="FE387" i="335"/>
  <c r="X47" i="3"/>
  <c r="W49" i="3"/>
  <c r="AG103" i="3"/>
  <c r="AH101" i="3" s="1"/>
  <c r="AH103" i="3" s="1"/>
  <c r="AI101" i="3" s="1"/>
  <c r="AI103" i="3" s="1"/>
  <c r="AJ101" i="3" s="1"/>
  <c r="AJ103" i="3" s="1"/>
  <c r="AM101" i="3" s="1"/>
  <c r="AK101" i="3"/>
  <c r="AK103" i="3" s="1"/>
  <c r="DQ266" i="336"/>
  <c r="DM266" i="336"/>
  <c r="DM271" i="336" s="1"/>
  <c r="DN266" i="336" s="1"/>
  <c r="DN271" i="336" s="1"/>
  <c r="DO266" i="336" s="1"/>
  <c r="DO271" i="336" s="1"/>
  <c r="DP266" i="336" s="1"/>
  <c r="DP271" i="336" s="1"/>
  <c r="DM445" i="335"/>
  <c r="DN84" i="336"/>
  <c r="FD436" i="335"/>
  <c r="FE75" i="336"/>
  <c r="EN420" i="335"/>
  <c r="EO420" i="335" s="1"/>
  <c r="EQ59" i="336"/>
  <c r="DI421" i="335"/>
  <c r="DJ60" i="336"/>
  <c r="DI48" i="336"/>
  <c r="DP64" i="336"/>
  <c r="DO425" i="335"/>
  <c r="FC428" i="335"/>
  <c r="FD67" i="336"/>
  <c r="FK19" i="336"/>
  <c r="FJ29" i="3"/>
  <c r="FJ81" i="3" s="1"/>
  <c r="FJ30" i="3"/>
  <c r="FJ82" i="3" s="1"/>
  <c r="FD82" i="336"/>
  <c r="FC443" i="335"/>
  <c r="EZ88" i="336"/>
  <c r="EY449" i="335"/>
  <c r="FE79" i="336"/>
  <c r="FD440" i="335"/>
  <c r="FC76" i="336"/>
  <c r="EZ437" i="335"/>
  <c r="FA437" i="335" s="1"/>
  <c r="EX441" i="335"/>
  <c r="EY80" i="336"/>
  <c r="FD63" i="336"/>
  <c r="FC424" i="335"/>
  <c r="FE452" i="335"/>
  <c r="FF91" i="336"/>
  <c r="ET434" i="335"/>
  <c r="EU434" i="335" s="1"/>
  <c r="EW73" i="336"/>
  <c r="ER690" i="338"/>
  <c r="ER686" i="338"/>
  <c r="CK114" i="3"/>
  <c r="CK109" i="3"/>
  <c r="CK108" i="3"/>
  <c r="CQ106" i="3"/>
  <c r="CK106" i="3"/>
  <c r="BL201" i="335"/>
  <c r="BL200" i="335"/>
  <c r="CM106" i="3"/>
  <c r="CM109" i="3"/>
  <c r="CM108" i="3"/>
  <c r="CM114" i="3"/>
  <c r="BX202" i="335"/>
  <c r="BC233" i="336"/>
  <c r="BX488" i="338"/>
  <c r="BY489" i="338"/>
  <c r="AP325" i="335"/>
  <c r="AV300" i="335"/>
  <c r="AV190" i="335"/>
  <c r="AP372" i="335"/>
  <c r="AQ372" i="335" s="1"/>
  <c r="AS325" i="335"/>
  <c r="AT372" i="335"/>
  <c r="AP190" i="335"/>
  <c r="AS372" i="335"/>
  <c r="AP300" i="335"/>
  <c r="AU372" i="335"/>
  <c r="AQ189" i="335"/>
  <c r="EA192" i="336"/>
  <c r="EA196" i="336" s="1"/>
  <c r="EA199" i="336"/>
  <c r="EA175" i="336"/>
  <c r="CK397" i="335"/>
  <c r="CM383" i="335"/>
  <c r="CM397" i="335" s="1"/>
  <c r="CM385" i="338" s="1"/>
  <c r="CM386" i="338" s="1"/>
  <c r="BL234" i="336"/>
  <c r="BL237" i="336"/>
  <c r="BL240" i="336" s="1"/>
  <c r="BL300" i="335"/>
  <c r="BL190" i="335"/>
  <c r="BM325" i="335"/>
  <c r="BR300" i="335"/>
  <c r="BR190" i="335"/>
  <c r="AP462" i="335"/>
  <c r="FM108" i="335"/>
  <c r="AC462" i="335"/>
  <c r="AE458" i="335"/>
  <c r="AE462" i="335" s="1"/>
  <c r="AE225" i="336"/>
  <c r="AE351" i="335"/>
  <c r="AE223" i="336"/>
  <c r="AE386" i="338"/>
  <c r="AI190" i="335"/>
  <c r="AI300" i="335"/>
  <c r="AC325" i="335"/>
  <c r="AC372" i="335"/>
  <c r="AD325" i="335"/>
  <c r="AD372" i="335"/>
  <c r="AE372" i="335" s="1"/>
  <c r="AE189" i="335"/>
  <c r="AG372" i="335"/>
  <c r="EE178" i="336"/>
  <c r="EE173" i="336"/>
  <c r="DB199" i="336"/>
  <c r="DB175" i="336"/>
  <c r="DB192" i="336"/>
  <c r="DB196" i="336" s="1"/>
  <c r="CL110" i="3"/>
  <c r="CR110" i="3"/>
  <c r="CR115" i="3"/>
  <c r="ET683" i="338"/>
  <c r="EU683" i="338" s="1"/>
  <c r="EU688" i="338" s="1"/>
  <c r="ET674" i="338"/>
  <c r="EU674" i="338" s="1"/>
  <c r="FC331" i="335"/>
  <c r="FC290" i="335"/>
  <c r="FC93" i="335"/>
  <c r="FC150" i="335"/>
  <c r="FC153" i="335"/>
  <c r="FC337" i="335"/>
  <c r="FC342" i="335"/>
  <c r="FC92" i="335"/>
  <c r="FC325" i="338"/>
  <c r="FC313" i="338"/>
  <c r="FC15" i="11"/>
  <c r="FC315" i="335"/>
  <c r="FC49" i="11"/>
  <c r="FC58" i="11" s="1"/>
  <c r="FC327" i="338"/>
  <c r="FC329" i="335"/>
  <c r="FC99" i="335"/>
  <c r="FC339" i="335"/>
  <c r="FC338" i="335"/>
  <c r="FC336" i="335"/>
  <c r="FC114" i="338"/>
  <c r="FC147" i="335"/>
  <c r="FC365" i="335"/>
  <c r="FC143" i="335"/>
  <c r="FD315" i="335"/>
  <c r="FD365" i="335"/>
  <c r="FD93" i="335"/>
  <c r="DJ218" i="335"/>
  <c r="DJ217" i="335"/>
  <c r="DH60" i="3"/>
  <c r="DH76" i="3" s="1"/>
  <c r="DG25" i="3"/>
  <c r="DG60" i="3"/>
  <c r="EZ113" i="336"/>
  <c r="FA113" i="336" s="1"/>
  <c r="EZ392" i="335"/>
  <c r="FA365" i="335"/>
  <c r="EZ394" i="335"/>
  <c r="EZ122" i="336"/>
  <c r="EW385" i="335"/>
  <c r="FC102" i="336"/>
  <c r="EW113" i="338"/>
  <c r="EW160" i="338"/>
  <c r="FA325" i="338"/>
  <c r="EW326" i="338"/>
  <c r="FL13" i="338"/>
  <c r="FL15" i="338" s="1"/>
  <c r="FL8" i="338"/>
  <c r="FL12" i="338"/>
  <c r="FL17" i="338" s="1"/>
  <c r="EQ462" i="335"/>
  <c r="EQ208" i="335" s="1"/>
  <c r="EU458" i="335"/>
  <c r="FC13" i="338"/>
  <c r="FC15" i="338" s="1"/>
  <c r="FC8" i="338"/>
  <c r="FC12" i="338"/>
  <c r="FC17" i="338" s="1"/>
  <c r="FD13" i="338"/>
  <c r="FD15" i="338" s="1"/>
  <c r="FC53" i="335"/>
  <c r="FC54" i="335"/>
  <c r="GA52" i="335"/>
  <c r="GA53" i="335" s="1"/>
  <c r="FD54" i="335"/>
  <c r="DJ187" i="335"/>
  <c r="DJ185" i="335"/>
  <c r="DK182" i="335"/>
  <c r="DK185" i="335" s="1"/>
  <c r="FJ103" i="336"/>
  <c r="FD413" i="338"/>
  <c r="EQ688" i="338"/>
  <c r="EQ685" i="338"/>
  <c r="FZ43" i="335"/>
  <c r="FA8" i="338"/>
  <c r="FA12" i="338"/>
  <c r="FA17" i="338" s="1"/>
  <c r="DH201" i="335"/>
  <c r="DH202" i="335" s="1"/>
  <c r="DH203" i="335" s="1"/>
  <c r="DH200" i="335"/>
  <c r="DH221" i="335"/>
  <c r="DH499" i="338"/>
  <c r="FI15" i="335"/>
  <c r="FI43" i="11"/>
  <c r="FI52" i="11" s="1"/>
  <c r="FI42" i="335"/>
  <c r="FM14" i="335"/>
  <c r="FI303" i="335"/>
  <c r="FI278" i="335"/>
  <c r="FI9" i="338"/>
  <c r="FI364" i="335"/>
  <c r="FI16" i="335"/>
  <c r="FJ303" i="335"/>
  <c r="FJ364" i="335"/>
  <c r="FJ16" i="335"/>
  <c r="GB14" i="335"/>
  <c r="FG21" i="338"/>
  <c r="FG33" i="338"/>
  <c r="FG36" i="338" s="1"/>
  <c r="FG37" i="338" s="1"/>
  <c r="DM214" i="335"/>
  <c r="DI218" i="335"/>
  <c r="DI217" i="335"/>
  <c r="DK215" i="335"/>
  <c r="DK217" i="335" s="1"/>
  <c r="EU299" i="335"/>
  <c r="EU351" i="335"/>
  <c r="EU189" i="335"/>
  <c r="EU386" i="338"/>
  <c r="EU223" i="336"/>
  <c r="DO180" i="335"/>
  <c r="DN176" i="335"/>
  <c r="FZ143" i="335"/>
  <c r="EW144" i="335"/>
  <c r="EW169" i="335"/>
  <c r="EX323" i="335" s="1"/>
  <c r="FA92" i="335"/>
  <c r="FA338" i="335"/>
  <c r="FA114" i="338"/>
  <c r="FA290" i="335"/>
  <c r="FA331" i="335"/>
  <c r="FA143" i="335"/>
  <c r="FA329" i="335"/>
  <c r="FA49" i="11"/>
  <c r="FA58" i="11" s="1"/>
  <c r="FA336" i="335"/>
  <c r="FA15" i="11"/>
  <c r="FA27" i="11" s="1"/>
  <c r="FA342" i="335"/>
  <c r="FA337" i="335"/>
  <c r="FA151" i="335"/>
  <c r="FA346" i="335"/>
  <c r="FA339" i="335"/>
  <c r="FA154" i="335"/>
  <c r="FA345" i="335"/>
  <c r="FA347" i="335"/>
  <c r="FA341" i="335"/>
  <c r="EX122" i="336"/>
  <c r="EX112" i="336"/>
  <c r="EX369" i="335"/>
  <c r="EX111" i="336"/>
  <c r="EX392" i="335"/>
  <c r="EX113" i="336"/>
  <c r="EX145" i="336"/>
  <c r="EW111" i="336"/>
  <c r="EW113" i="336"/>
  <c r="EW369" i="335"/>
  <c r="EW112" i="336"/>
  <c r="EW145" i="336"/>
  <c r="EW122" i="336"/>
  <c r="EW392" i="335"/>
  <c r="EW100" i="335"/>
  <c r="EW101" i="335"/>
  <c r="EW206" i="335"/>
  <c r="FZ99" i="335"/>
  <c r="FZ100" i="335" s="1"/>
  <c r="FA99" i="335"/>
  <c r="FA100" i="335" s="1"/>
  <c r="EX101" i="335"/>
  <c r="EW12" i="11"/>
  <c r="EW27" i="11"/>
  <c r="EW14" i="11"/>
  <c r="EW13" i="11"/>
  <c r="FA343" i="335"/>
  <c r="FM124" i="335"/>
  <c r="GA91" i="335"/>
  <c r="GA92" i="335" s="1"/>
  <c r="GA15" i="335"/>
  <c r="FG15" i="335"/>
  <c r="FG43" i="11"/>
  <c r="FG52" i="11" s="1"/>
  <c r="FG9" i="338"/>
  <c r="FG278" i="335"/>
  <c r="EW630" i="338"/>
  <c r="EW676" i="338" s="1"/>
  <c r="EW559" i="338"/>
  <c r="DG221" i="335"/>
  <c r="DG499" i="338"/>
  <c r="GF481" i="338" s="1"/>
  <c r="DG184" i="336"/>
  <c r="EW333" i="338"/>
  <c r="EW79" i="11"/>
  <c r="EW83" i="11" s="1"/>
  <c r="EW76" i="11"/>
  <c r="S372" i="335"/>
  <c r="S300" i="335"/>
  <c r="S190" i="335"/>
  <c r="FI21" i="338"/>
  <c r="FI22" i="338"/>
  <c r="FI33" i="338"/>
  <c r="FI36" i="338" s="1"/>
  <c r="FI37" i="338" s="1"/>
  <c r="FI34" i="338"/>
  <c r="FM23" i="338"/>
  <c r="FJ34" i="338"/>
  <c r="FJ22" i="338"/>
  <c r="DG209" i="335"/>
  <c r="EX171" i="335"/>
  <c r="EX212" i="335"/>
  <c r="EX298" i="335"/>
  <c r="EX350" i="335"/>
  <c r="EX170" i="335"/>
  <c r="EX182" i="335"/>
  <c r="EX173" i="335"/>
  <c r="EX174" i="335" s="1"/>
  <c r="EU114" i="3"/>
  <c r="EU375" i="335"/>
  <c r="DH489" i="338"/>
  <c r="DG488" i="338"/>
  <c r="GD430" i="338" s="1"/>
  <c r="EQ190" i="335"/>
  <c r="EQ300" i="335"/>
  <c r="EQ372" i="335"/>
  <c r="EQ487" i="338"/>
  <c r="EQ325" i="335"/>
  <c r="ER325" i="335"/>
  <c r="ER372" i="335"/>
  <c r="ET372" i="335"/>
  <c r="EU372" i="335" s="1"/>
  <c r="ES372" i="335"/>
  <c r="FY189" i="335"/>
  <c r="FY190" i="335" s="1"/>
  <c r="DH325" i="335"/>
  <c r="DH300" i="335"/>
  <c r="DH487" i="338"/>
  <c r="DH190" i="335"/>
  <c r="DH196" i="335"/>
  <c r="EW95" i="338"/>
  <c r="EW57" i="338"/>
  <c r="DH462" i="335"/>
  <c r="DH208" i="335" s="1"/>
  <c r="DH209" i="335" s="1"/>
  <c r="DI351" i="335"/>
  <c r="DI324" i="335"/>
  <c r="DI371" i="335"/>
  <c r="DI189" i="335"/>
  <c r="DI299" i="335"/>
  <c r="DH208" i="336"/>
  <c r="DH210" i="336" s="1"/>
  <c r="DH211" i="336" s="1"/>
  <c r="DH183" i="336"/>
  <c r="EW328" i="338"/>
  <c r="FA327" i="338"/>
  <c r="FA328" i="338" s="1"/>
  <c r="FZ154" i="335"/>
  <c r="FZ151" i="335"/>
  <c r="FZ92" i="335"/>
  <c r="FZ148" i="335"/>
  <c r="DU179" i="335"/>
  <c r="FU179" i="335"/>
  <c r="FA763" i="338"/>
  <c r="FC343" i="335"/>
  <c r="FC317" i="335"/>
  <c r="FC292" i="335"/>
  <c r="GA141" i="335"/>
  <c r="FD317" i="335"/>
  <c r="EQ207" i="336"/>
  <c r="EQ220" i="335"/>
  <c r="EQ219" i="335"/>
  <c r="EU218" i="335"/>
  <c r="EQ200" i="335"/>
  <c r="EQ201" i="335"/>
  <c r="EX338" i="338"/>
  <c r="EW338" i="338"/>
  <c r="EW339" i="338"/>
  <c r="FC44" i="335"/>
  <c r="FC280" i="335"/>
  <c r="FC58" i="338"/>
  <c r="FC330" i="335"/>
  <c r="FC120" i="11"/>
  <c r="FC124" i="11" s="1"/>
  <c r="FC128" i="11" s="1"/>
  <c r="GA42" i="335"/>
  <c r="FC43" i="335"/>
  <c r="FC75" i="11" s="1"/>
  <c r="FC305" i="335"/>
  <c r="FG42" i="335"/>
  <c r="FD305" i="335"/>
  <c r="FD44" i="335"/>
  <c r="FC328" i="335"/>
  <c r="FK12" i="338"/>
  <c r="FK17" i="338" s="1"/>
  <c r="FK8" i="338"/>
  <c r="EW634" i="338"/>
  <c r="EW633" i="338" s="1"/>
  <c r="EW632" i="338" s="1"/>
  <c r="EW613" i="338"/>
  <c r="EW681" i="338" s="1"/>
  <c r="EW652" i="338"/>
  <c r="EW651" i="338" s="1"/>
  <c r="EW658" i="338"/>
  <c r="EW657" i="338" s="1"/>
  <c r="EW656" i="338" s="1"/>
  <c r="EW606" i="338"/>
  <c r="EW670" i="338"/>
  <c r="EW669" i="338" s="1"/>
  <c r="EW668" i="338" s="1"/>
  <c r="EU675" i="338"/>
  <c r="DG202" i="335"/>
  <c r="DG203" i="335" s="1"/>
  <c r="FA43" i="335"/>
  <c r="FA58" i="338"/>
  <c r="FA280" i="335"/>
  <c r="FA330" i="335"/>
  <c r="FA725" i="338"/>
  <c r="DI460" i="335"/>
  <c r="DI503" i="338"/>
  <c r="DI458" i="335"/>
  <c r="DI459" i="335"/>
  <c r="DI375" i="335"/>
  <c r="DI461" i="335"/>
  <c r="DI199" i="335"/>
  <c r="DI114" i="3"/>
  <c r="DI115" i="3" s="1"/>
  <c r="FM21" i="335"/>
  <c r="FT180" i="335"/>
  <c r="DK214" i="335"/>
  <c r="FK13" i="336"/>
  <c r="CQ215" i="336"/>
  <c r="CQ213" i="336" s="1"/>
  <c r="ES178" i="336"/>
  <c r="ES173" i="336"/>
  <c r="FE89" i="336"/>
  <c r="FD450" i="335"/>
  <c r="DP85" i="336"/>
  <c r="DO446" i="335"/>
  <c r="DP62" i="336"/>
  <c r="DO423" i="335"/>
  <c r="EQ430" i="335"/>
  <c r="ER69" i="336"/>
  <c r="FD72" i="336"/>
  <c r="FC433" i="335"/>
  <c r="FC438" i="335"/>
  <c r="FD77" i="336"/>
  <c r="FK74" i="336"/>
  <c r="FJ435" i="335"/>
  <c r="FJ16" i="3"/>
  <c r="FJ67" i="3" s="1"/>
  <c r="AH221" i="335" l="1"/>
  <c r="AN221" i="335"/>
  <c r="EI685" i="338"/>
  <c r="EH690" i="338"/>
  <c r="EH686" i="338"/>
  <c r="EN359" i="335"/>
  <c r="EN80" i="11"/>
  <c r="EN84" i="11" s="1"/>
  <c r="EN687" i="338"/>
  <c r="EO678" i="338"/>
  <c r="EO687" i="338" s="1"/>
  <c r="AH324" i="335"/>
  <c r="AH189" i="335"/>
  <c r="AH351" i="335"/>
  <c r="AH299" i="335"/>
  <c r="AK187" i="335"/>
  <c r="AM371" i="335"/>
  <c r="AI324" i="335"/>
  <c r="AJ371" i="335"/>
  <c r="AK371" i="335" s="1"/>
  <c r="AN299" i="335"/>
  <c r="AI371" i="335"/>
  <c r="AH371" i="335"/>
  <c r="EL688" i="338"/>
  <c r="EL685" i="338"/>
  <c r="FF43" i="335"/>
  <c r="FF75" i="11" s="1"/>
  <c r="FF58" i="338"/>
  <c r="FF120" i="11"/>
  <c r="FF124" i="11" s="1"/>
  <c r="FF128" i="11" s="1"/>
  <c r="FF280" i="335"/>
  <c r="FF725" i="338"/>
  <c r="FF721" i="338" s="1"/>
  <c r="FF39" i="338"/>
  <c r="FF53" i="338"/>
  <c r="BX199" i="336"/>
  <c r="BX192" i="336"/>
  <c r="BX196" i="336" s="1"/>
  <c r="BX175" i="336"/>
  <c r="FL279" i="335"/>
  <c r="FL40" i="338"/>
  <c r="FL119" i="11"/>
  <c r="FL228" i="338"/>
  <c r="FL229" i="338" s="1"/>
  <c r="FL723" i="338"/>
  <c r="FL42" i="335"/>
  <c r="J462" i="335"/>
  <c r="ET76" i="11"/>
  <c r="ET79" i="11"/>
  <c r="ET83" i="11" s="1"/>
  <c r="EZ75" i="11"/>
  <c r="AH458" i="335"/>
  <c r="AH459" i="335"/>
  <c r="AK459" i="335" s="1"/>
  <c r="AH461" i="335"/>
  <c r="AK461" i="335" s="1"/>
  <c r="AH460" i="335"/>
  <c r="AK460" i="335" s="1"/>
  <c r="AH375" i="335"/>
  <c r="EN674" i="338"/>
  <c r="EO674" i="338" s="1"/>
  <c r="EN683" i="338"/>
  <c r="EO675" i="338"/>
  <c r="AK225" i="336"/>
  <c r="AK220" i="335"/>
  <c r="AK219" i="335"/>
  <c r="FF123" i="11"/>
  <c r="FF127" i="11" s="1"/>
  <c r="FF104" i="11"/>
  <c r="FF108" i="11" s="1"/>
  <c r="FF112" i="11" s="1"/>
  <c r="EZ95" i="338"/>
  <c r="EZ57" i="338"/>
  <c r="FA755" i="338"/>
  <c r="FS189" i="335"/>
  <c r="FA757" i="338"/>
  <c r="EI183" i="336"/>
  <c r="FX220" i="335"/>
  <c r="EL489" i="338"/>
  <c r="EK488" i="338"/>
  <c r="EK183" i="336"/>
  <c r="EK208" i="336"/>
  <c r="EK210" i="336" s="1"/>
  <c r="EK211" i="336" s="1"/>
  <c r="BQ372" i="335"/>
  <c r="FK119" i="336"/>
  <c r="FJ395" i="338"/>
  <c r="EK686" i="338"/>
  <c r="EK690" i="338"/>
  <c r="ET214" i="338"/>
  <c r="EO214" i="338"/>
  <c r="EO215" i="338" s="1"/>
  <c r="DJ137" i="336"/>
  <c r="DK137" i="336" s="1"/>
  <c r="DJ135" i="336"/>
  <c r="DK135" i="336" s="1"/>
  <c r="DM134" i="336"/>
  <c r="DK134" i="336"/>
  <c r="DK139" i="336" s="1"/>
  <c r="DK140" i="336" s="1"/>
  <c r="BN234" i="336"/>
  <c r="BQ234" i="336"/>
  <c r="AE221" i="335"/>
  <c r="CD175" i="336"/>
  <c r="CD199" i="336"/>
  <c r="CD192" i="336"/>
  <c r="CD196" i="336" s="1"/>
  <c r="BY187" i="336"/>
  <c r="BY173" i="336"/>
  <c r="BY178" i="336"/>
  <c r="BY512" i="338"/>
  <c r="BY239" i="336"/>
  <c r="BY240" i="336" s="1"/>
  <c r="DA175" i="336"/>
  <c r="DA199" i="336"/>
  <c r="DA192" i="336"/>
  <c r="DA196" i="336" s="1"/>
  <c r="EY79" i="11"/>
  <c r="EY83" i="11" s="1"/>
  <c r="EY76" i="11"/>
  <c r="EY80" i="11" s="1"/>
  <c r="EY84" i="11" s="1"/>
  <c r="CM223" i="336"/>
  <c r="CM351" i="335"/>
  <c r="CM189" i="335"/>
  <c r="CL487" i="338"/>
  <c r="FP189" i="335"/>
  <c r="FQ190" i="335" s="1"/>
  <c r="CL300" i="335"/>
  <c r="CL325" i="335"/>
  <c r="CL190" i="335"/>
  <c r="CR190" i="335"/>
  <c r="CR300" i="335"/>
  <c r="CL372" i="335"/>
  <c r="CM372" i="335" s="1"/>
  <c r="EU57" i="338"/>
  <c r="EU95" i="338"/>
  <c r="DD487" i="338"/>
  <c r="DD325" i="335"/>
  <c r="DD300" i="335"/>
  <c r="DD190" i="335"/>
  <c r="DD372" i="335"/>
  <c r="DE372" i="335" s="1"/>
  <c r="DG325" i="335"/>
  <c r="DG372" i="335"/>
  <c r="CO462" i="335"/>
  <c r="CO208" i="335" s="1"/>
  <c r="CS458" i="335"/>
  <c r="CS462" i="335" s="1"/>
  <c r="CL207" i="336"/>
  <c r="CL184" i="336" s="1"/>
  <c r="CL220" i="335"/>
  <c r="CL219" i="335"/>
  <c r="CM218" i="335"/>
  <c r="CX325" i="335"/>
  <c r="CW190" i="335"/>
  <c r="DB372" i="335"/>
  <c r="CW300" i="335"/>
  <c r="CW487" i="338"/>
  <c r="FR189" i="335"/>
  <c r="FR190" i="335" s="1"/>
  <c r="DC190" i="335"/>
  <c r="DC300" i="335"/>
  <c r="CW372" i="335"/>
  <c r="CX372" i="335"/>
  <c r="CY372" i="335" s="1"/>
  <c r="DA372" i="335"/>
  <c r="CW325" i="335"/>
  <c r="FG723" i="338"/>
  <c r="FG724" i="338" s="1"/>
  <c r="FG279" i="335"/>
  <c r="FG40" i="335"/>
  <c r="FG40" i="338"/>
  <c r="FG228" i="338"/>
  <c r="FG229" i="338" s="1"/>
  <c r="FL41" i="335"/>
  <c r="FK40" i="338"/>
  <c r="FK304" i="335"/>
  <c r="FL304" i="335"/>
  <c r="FK119" i="11"/>
  <c r="FK279" i="335"/>
  <c r="FM39" i="335"/>
  <c r="FK41" i="335"/>
  <c r="FK228" i="338"/>
  <c r="FK229" i="338" s="1"/>
  <c r="FK42" i="335"/>
  <c r="EF173" i="336"/>
  <c r="EF178" i="336"/>
  <c r="ER203" i="335"/>
  <c r="EU119" i="11"/>
  <c r="EU123" i="11" s="1"/>
  <c r="EU127" i="11" s="1"/>
  <c r="EU108" i="11"/>
  <c r="EU112" i="11" s="1"/>
  <c r="DE218" i="335"/>
  <c r="DD220" i="335"/>
  <c r="DD219" i="335"/>
  <c r="DD207" i="336"/>
  <c r="DD184" i="336" s="1"/>
  <c r="CW462" i="335"/>
  <c r="CW208" i="335" s="1"/>
  <c r="CY458" i="335"/>
  <c r="CY462" i="335" s="1"/>
  <c r="CE239" i="335"/>
  <c r="CE461" i="335"/>
  <c r="CE459" i="335"/>
  <c r="CE184" i="335"/>
  <c r="CE458" i="335"/>
  <c r="CE460" i="335"/>
  <c r="CE503" i="338"/>
  <c r="CE375" i="335"/>
  <c r="CE114" i="3"/>
  <c r="CE115" i="3" s="1"/>
  <c r="DE199" i="335"/>
  <c r="DE200" i="335" s="1"/>
  <c r="DD201" i="335"/>
  <c r="DD200" i="335"/>
  <c r="DD462" i="335"/>
  <c r="DD208" i="335" s="1"/>
  <c r="DE458" i="335"/>
  <c r="DE462" i="335" s="1"/>
  <c r="CY162" i="338"/>
  <c r="CY61" i="11"/>
  <c r="CY16" i="338" s="1"/>
  <c r="EM489" i="338"/>
  <c r="EL488" i="338"/>
  <c r="EU721" i="338"/>
  <c r="CF230" i="336"/>
  <c r="CF234" i="335"/>
  <c r="CF207" i="336"/>
  <c r="CF220" i="335"/>
  <c r="CF219" i="335"/>
  <c r="GB40" i="335"/>
  <c r="EO734" i="338"/>
  <c r="EO722" i="338"/>
  <c r="CL462" i="335"/>
  <c r="CL208" i="335" s="1"/>
  <c r="CM458" i="335"/>
  <c r="CM462" i="335" s="1"/>
  <c r="DE115" i="3"/>
  <c r="CP325" i="335"/>
  <c r="CP372" i="335"/>
  <c r="CO300" i="335"/>
  <c r="CO325" i="335"/>
  <c r="CQ372" i="335"/>
  <c r="CO190" i="335"/>
  <c r="CO487" i="338"/>
  <c r="CR372" i="335"/>
  <c r="CS372" i="335" s="1"/>
  <c r="CU300" i="335"/>
  <c r="CU190" i="335"/>
  <c r="CO372" i="335"/>
  <c r="FA53" i="338"/>
  <c r="FA39" i="338"/>
  <c r="CW201" i="335"/>
  <c r="CW200" i="335"/>
  <c r="CY199" i="335"/>
  <c r="CY200" i="335" s="1"/>
  <c r="CE207" i="336"/>
  <c r="CE184" i="336" s="1"/>
  <c r="CE219" i="335"/>
  <c r="CE230" i="336"/>
  <c r="CE220" i="335"/>
  <c r="CE234" i="335"/>
  <c r="CG218" i="335"/>
  <c r="CI489" i="338"/>
  <c r="CF488" i="338"/>
  <c r="DE386" i="338"/>
  <c r="DE223" i="336"/>
  <c r="DE351" i="335"/>
  <c r="DE189" i="335"/>
  <c r="DE299" i="335"/>
  <c r="EY108" i="11"/>
  <c r="EY112" i="11" s="1"/>
  <c r="FA104" i="11"/>
  <c r="CF460" i="335"/>
  <c r="CF459" i="335"/>
  <c r="CF239" i="335"/>
  <c r="CF156" i="335" s="1"/>
  <c r="CF114" i="3"/>
  <c r="CF461" i="335"/>
  <c r="CF458" i="335"/>
  <c r="CF503" i="338"/>
  <c r="CF375" i="335"/>
  <c r="CY386" i="338"/>
  <c r="CY223" i="336"/>
  <c r="CY189" i="335"/>
  <c r="CY299" i="335"/>
  <c r="CY351" i="335"/>
  <c r="FE58" i="338"/>
  <c r="FF305" i="335"/>
  <c r="FF44" i="335"/>
  <c r="FE120" i="11"/>
  <c r="FE124" i="11" s="1"/>
  <c r="FE128" i="11" s="1"/>
  <c r="FE280" i="335"/>
  <c r="FE43" i="335"/>
  <c r="FE75" i="11" s="1"/>
  <c r="FE79" i="11" s="1"/>
  <c r="FE83" i="11" s="1"/>
  <c r="FE44" i="335"/>
  <c r="FE305" i="335"/>
  <c r="FE123" i="11"/>
  <c r="FE127" i="11" s="1"/>
  <c r="FE104" i="11"/>
  <c r="EL208" i="336"/>
  <c r="EL210" i="336" s="1"/>
  <c r="EL211" i="336" s="1"/>
  <c r="EL183" i="336"/>
  <c r="CU203" i="335"/>
  <c r="CO203" i="335"/>
  <c r="EN208" i="336"/>
  <c r="EN210" i="336" s="1"/>
  <c r="EN211" i="336" s="1"/>
  <c r="EN183" i="336"/>
  <c r="CS61" i="11"/>
  <c r="CS16" i="338" s="1"/>
  <c r="CS162" i="338"/>
  <c r="CS351" i="335"/>
  <c r="CS189" i="335"/>
  <c r="CS223" i="336"/>
  <c r="CS299" i="335"/>
  <c r="CW207" i="336"/>
  <c r="CW184" i="336" s="1"/>
  <c r="CW219" i="335"/>
  <c r="CW220" i="335"/>
  <c r="CY218" i="335"/>
  <c r="FK44" i="335"/>
  <c r="CO219" i="335"/>
  <c r="CO9" i="3"/>
  <c r="CO207" i="336"/>
  <c r="CO184" i="336" s="1"/>
  <c r="CO220" i="335"/>
  <c r="CS218" i="335"/>
  <c r="CW115" i="3"/>
  <c r="DC115" i="3"/>
  <c r="DC97" i="338"/>
  <c r="EZ65" i="335"/>
  <c r="FZ65" i="335"/>
  <c r="EU65" i="335"/>
  <c r="EZ64" i="335"/>
  <c r="FZ64" i="335"/>
  <c r="EU64" i="335"/>
  <c r="DK96" i="338"/>
  <c r="DK97" i="338" s="1"/>
  <c r="DK54" i="338"/>
  <c r="DK18" i="338"/>
  <c r="DK55" i="338"/>
  <c r="FE53" i="338"/>
  <c r="FE39" i="338"/>
  <c r="EY57" i="338"/>
  <c r="EY95" i="338"/>
  <c r="CL200" i="335"/>
  <c r="CL201" i="335"/>
  <c r="CM199" i="335"/>
  <c r="CM200" i="335" s="1"/>
  <c r="FJ230" i="338"/>
  <c r="EC230" i="338"/>
  <c r="BQ233" i="336"/>
  <c r="EO184" i="336"/>
  <c r="EO208" i="336" s="1"/>
  <c r="BC190" i="335"/>
  <c r="BC300" i="335"/>
  <c r="BQ240" i="336"/>
  <c r="BR325" i="335"/>
  <c r="BQ201" i="335"/>
  <c r="BQ202" i="335" s="1"/>
  <c r="BQ200" i="335"/>
  <c r="BR192" i="336"/>
  <c r="BR196" i="336" s="1"/>
  <c r="BR175" i="336"/>
  <c r="BR199" i="336"/>
  <c r="BQ183" i="336"/>
  <c r="BQ208" i="336"/>
  <c r="BT184" i="336"/>
  <c r="BT208" i="336" s="1"/>
  <c r="BT210" i="336" s="1"/>
  <c r="BT211" i="336" s="1"/>
  <c r="DS394" i="338"/>
  <c r="DT394" i="338"/>
  <c r="FK305" i="335"/>
  <c r="EU462" i="335"/>
  <c r="BQ158" i="335"/>
  <c r="BK157" i="335"/>
  <c r="BK199" i="335"/>
  <c r="BO156" i="335"/>
  <c r="EY368" i="335"/>
  <c r="DM161" i="338"/>
  <c r="DM163" i="338"/>
  <c r="DN161" i="338"/>
  <c r="GG480" i="338"/>
  <c r="GH429" i="338"/>
  <c r="GI429" i="338" s="1"/>
  <c r="DW328" i="338"/>
  <c r="DQ328" i="338"/>
  <c r="EQ359" i="335"/>
  <c r="EQ80" i="11"/>
  <c r="EQ84" i="11" s="1"/>
  <c r="ET462" i="335"/>
  <c r="ET208" i="335" s="1"/>
  <c r="ET209" i="335" s="1"/>
  <c r="U325" i="335"/>
  <c r="AA300" i="335"/>
  <c r="U190" i="335"/>
  <c r="U300" i="335"/>
  <c r="AA190" i="335"/>
  <c r="V325" i="335"/>
  <c r="U372" i="335"/>
  <c r="V372" i="335"/>
  <c r="W372" i="335"/>
  <c r="X372" i="335"/>
  <c r="Y372" i="335" s="1"/>
  <c r="Y189" i="335"/>
  <c r="FK214" i="338"/>
  <c r="FE224" i="338"/>
  <c r="BO238" i="336"/>
  <c r="BU221" i="335"/>
  <c r="BO221" i="335"/>
  <c r="BT200" i="335"/>
  <c r="BT201" i="335"/>
  <c r="BU199" i="335"/>
  <c r="BU200" i="335" s="1"/>
  <c r="ET325" i="335"/>
  <c r="ET190" i="335"/>
  <c r="ET300" i="335"/>
  <c r="ET487" i="338"/>
  <c r="ET488" i="338" s="1"/>
  <c r="BN200" i="335"/>
  <c r="BN201" i="335"/>
  <c r="BN202" i="335" s="1"/>
  <c r="DM33" i="11"/>
  <c r="DM67" i="11" s="1"/>
  <c r="DM61" i="11" s="1"/>
  <c r="DQ394" i="335"/>
  <c r="DQ369" i="335"/>
  <c r="DQ401" i="338"/>
  <c r="DQ392" i="335"/>
  <c r="DQ314" i="338"/>
  <c r="DQ315" i="338"/>
  <c r="DQ393" i="335"/>
  <c r="DW719" i="338"/>
  <c r="DQ719" i="338"/>
  <c r="DQ757" i="338"/>
  <c r="DQ762" i="338"/>
  <c r="DQ58" i="11"/>
  <c r="DW58" i="11"/>
  <c r="CJ199" i="336"/>
  <c r="CJ175" i="336"/>
  <c r="CJ192" i="336"/>
  <c r="CJ196" i="336" s="1"/>
  <c r="U462" i="335"/>
  <c r="Y458" i="335"/>
  <c r="Y462" i="335" s="1"/>
  <c r="DS433" i="338"/>
  <c r="DS432" i="338"/>
  <c r="DQ326" i="338"/>
  <c r="DW326" i="338"/>
  <c r="FF39" i="11"/>
  <c r="FL37" i="11"/>
  <c r="FL39" i="11" s="1"/>
  <c r="BZ512" i="338"/>
  <c r="BZ239" i="336"/>
  <c r="BZ240" i="336" s="1"/>
  <c r="BN233" i="336"/>
  <c r="FT144" i="335"/>
  <c r="Y351" i="335"/>
  <c r="Y225" i="336"/>
  <c r="Y223" i="336"/>
  <c r="Y299" i="335"/>
  <c r="Y386" i="338"/>
  <c r="EY230" i="338"/>
  <c r="EY225" i="338"/>
  <c r="BO236" i="335"/>
  <c r="BO239" i="336" s="1"/>
  <c r="BO235" i="335"/>
  <c r="BO231" i="336"/>
  <c r="BO232" i="336" s="1"/>
  <c r="BT487" i="338"/>
  <c r="BW489" i="338" s="1"/>
  <c r="BT190" i="335"/>
  <c r="BT237" i="336"/>
  <c r="BT240" i="336" s="1"/>
  <c r="BT300" i="335"/>
  <c r="BT325" i="335"/>
  <c r="BT372" i="335"/>
  <c r="BU372" i="335" s="1"/>
  <c r="BZ300" i="335"/>
  <c r="BZ190" i="335"/>
  <c r="DO394" i="338"/>
  <c r="BW235" i="335"/>
  <c r="BW231" i="336"/>
  <c r="BW232" i="336" s="1"/>
  <c r="BW236" i="335"/>
  <c r="DM39" i="11"/>
  <c r="FT100" i="335"/>
  <c r="FU100" i="335"/>
  <c r="DP124" i="336"/>
  <c r="DP409" i="338"/>
  <c r="DQ409" i="338" s="1"/>
  <c r="DQ122" i="336"/>
  <c r="DP125" i="336"/>
  <c r="DV124" i="336"/>
  <c r="DW122" i="336"/>
  <c r="DV125" i="336"/>
  <c r="DV409" i="338"/>
  <c r="DW409" i="338" s="1"/>
  <c r="CV203" i="335"/>
  <c r="DB203" i="335"/>
  <c r="BW208" i="336"/>
  <c r="BW210" i="336" s="1"/>
  <c r="BW211" i="336" s="1"/>
  <c r="BW183" i="336"/>
  <c r="BZ184" i="336"/>
  <c r="BZ208" i="336" s="1"/>
  <c r="BZ210" i="336" s="1"/>
  <c r="BZ211" i="336" s="1"/>
  <c r="DQ100" i="335"/>
  <c r="DW100" i="335"/>
  <c r="DQ37" i="11"/>
  <c r="DQ38" i="11"/>
  <c r="DW27" i="11"/>
  <c r="DQ27" i="11"/>
  <c r="DQ33" i="11" s="1"/>
  <c r="DQ67" i="11" s="1"/>
  <c r="CV187" i="336"/>
  <c r="CV173" i="336"/>
  <c r="CV178" i="336"/>
  <c r="ET207" i="336"/>
  <c r="ET184" i="336" s="1"/>
  <c r="ET219" i="335"/>
  <c r="ET220" i="335"/>
  <c r="ET221" i="335" s="1"/>
  <c r="BN237" i="336"/>
  <c r="BN240" i="336" s="1"/>
  <c r="BQ325" i="335"/>
  <c r="BN300" i="335"/>
  <c r="BN325" i="335"/>
  <c r="BN190" i="335"/>
  <c r="BS372" i="335"/>
  <c r="BR372" i="335"/>
  <c r="CA184" i="335"/>
  <c r="CA185" i="335" s="1"/>
  <c r="BW187" i="335"/>
  <c r="BW156" i="335"/>
  <c r="CA239" i="335"/>
  <c r="BO375" i="335"/>
  <c r="BO114" i="3"/>
  <c r="CA220" i="335"/>
  <c r="CA207" i="336"/>
  <c r="CA210" i="336" s="1"/>
  <c r="CA230" i="336"/>
  <c r="CA219" i="335"/>
  <c r="CA234" i="335"/>
  <c r="DW163" i="338"/>
  <c r="DQ113" i="338"/>
  <c r="DQ160" i="338"/>
  <c r="DQ163" i="338" s="1"/>
  <c r="DW113" i="338"/>
  <c r="EU67" i="11"/>
  <c r="EU34" i="11"/>
  <c r="BZ234" i="336"/>
  <c r="BZ233" i="336"/>
  <c r="DS298" i="335"/>
  <c r="DM350" i="335"/>
  <c r="DM323" i="335"/>
  <c r="DM298" i="335"/>
  <c r="DM173" i="335"/>
  <c r="DM174" i="335" s="1"/>
  <c r="DM368" i="335"/>
  <c r="DM170" i="335"/>
  <c r="DM212" i="335"/>
  <c r="DM215" i="335" s="1"/>
  <c r="DM270" i="335"/>
  <c r="DM195" i="335"/>
  <c r="FT195" i="335" s="1"/>
  <c r="FT169" i="335"/>
  <c r="DN270" i="335"/>
  <c r="DP368" i="335"/>
  <c r="DQ169" i="335"/>
  <c r="DO368" i="335"/>
  <c r="DN368" i="335"/>
  <c r="DN323" i="335"/>
  <c r="DN394" i="338"/>
  <c r="ET201" i="335"/>
  <c r="ET202" i="335" s="1"/>
  <c r="ET203" i="335" s="1"/>
  <c r="ET200" i="335"/>
  <c r="CC115" i="3"/>
  <c r="BW115" i="3"/>
  <c r="BW462" i="335"/>
  <c r="BW208" i="335" s="1"/>
  <c r="CA458" i="335"/>
  <c r="CA462" i="335" s="1"/>
  <c r="BK189" i="335"/>
  <c r="BK299" i="335"/>
  <c r="BK351" i="335"/>
  <c r="BK229" i="336"/>
  <c r="BK233" i="336" s="1"/>
  <c r="BQ299" i="335"/>
  <c r="BK324" i="335"/>
  <c r="BK371" i="335"/>
  <c r="BL371" i="335"/>
  <c r="BL324" i="335"/>
  <c r="BN371" i="335"/>
  <c r="BO371" i="335" s="1"/>
  <c r="BO187" i="335"/>
  <c r="BM371" i="335"/>
  <c r="BU223" i="336"/>
  <c r="BU229" i="336"/>
  <c r="BU386" i="338"/>
  <c r="BU351" i="335"/>
  <c r="BU189" i="335"/>
  <c r="BW238" i="336"/>
  <c r="BW499" i="338"/>
  <c r="BW221" i="335"/>
  <c r="CC221" i="335"/>
  <c r="DS33" i="11"/>
  <c r="DS67" i="11" s="1"/>
  <c r="DS61" i="11" s="1"/>
  <c r="DS16" i="338" s="1"/>
  <c r="DM394" i="338"/>
  <c r="DM207" i="335"/>
  <c r="DQ206" i="335"/>
  <c r="DQ207" i="335" s="1"/>
  <c r="DQ112" i="336"/>
  <c r="DQ394" i="338" s="1"/>
  <c r="DP394" i="338"/>
  <c r="DQ144" i="335"/>
  <c r="DQ388" i="338" s="1"/>
  <c r="BY263" i="335"/>
  <c r="BX263" i="335"/>
  <c r="BW263" i="335"/>
  <c r="BZ263" i="335"/>
  <c r="CG263" i="335"/>
  <c r="GA481" i="338"/>
  <c r="GA439" i="338"/>
  <c r="AE299" i="335"/>
  <c r="BT234" i="336"/>
  <c r="EH173" i="336"/>
  <c r="EH178" i="336"/>
  <c r="EH230" i="338"/>
  <c r="EH225" i="338"/>
  <c r="EI224" i="338"/>
  <c r="EI225" i="338" s="1"/>
  <c r="EI218" i="338"/>
  <c r="EM208" i="336"/>
  <c r="EM210" i="336" s="1"/>
  <c r="EM211" i="336" s="1"/>
  <c r="EU115" i="3"/>
  <c r="EZ221" i="338"/>
  <c r="ET217" i="338"/>
  <c r="EU221" i="338"/>
  <c r="EU222" i="338" s="1"/>
  <c r="FI391" i="335"/>
  <c r="FJ320" i="338"/>
  <c r="EN218" i="338"/>
  <c r="EN224" i="338"/>
  <c r="EN230" i="338" s="1"/>
  <c r="EO217" i="338"/>
  <c r="FG323" i="338"/>
  <c r="FG391" i="335"/>
  <c r="FC426" i="335"/>
  <c r="FD65" i="336"/>
  <c r="FC429" i="335"/>
  <c r="FD68" i="336"/>
  <c r="FD66" i="336"/>
  <c r="FC427" i="335"/>
  <c r="FA75" i="11"/>
  <c r="FA79" i="11" s="1"/>
  <c r="EZ369" i="335"/>
  <c r="EX368" i="335"/>
  <c r="DK247" i="335"/>
  <c r="DQ251" i="335" s="1"/>
  <c r="EM209" i="335"/>
  <c r="EO208" i="335"/>
  <c r="EO209" i="335" s="1"/>
  <c r="EO190" i="335"/>
  <c r="EO300" i="335"/>
  <c r="EZ317" i="338"/>
  <c r="FA316" i="338"/>
  <c r="FA317" i="338" s="1"/>
  <c r="EZ171" i="335"/>
  <c r="EZ375" i="335"/>
  <c r="EZ350" i="335"/>
  <c r="EZ298" i="335"/>
  <c r="EZ170" i="335"/>
  <c r="EZ26" i="11"/>
  <c r="EZ32" i="11" s="1"/>
  <c r="EZ358" i="335"/>
  <c r="EZ356" i="335" s="1"/>
  <c r="FE343" i="335"/>
  <c r="FE317" i="335"/>
  <c r="FE292" i="335"/>
  <c r="EM202" i="335"/>
  <c r="EO201" i="335"/>
  <c r="EO202" i="335" s="1"/>
  <c r="EO203" i="335" s="1"/>
  <c r="FF311" i="335"/>
  <c r="FF96" i="335"/>
  <c r="FG96" i="335" s="1"/>
  <c r="FF91" i="335"/>
  <c r="FF88" i="335"/>
  <c r="FF286" i="335"/>
  <c r="FF89" i="335"/>
  <c r="FG286" i="335"/>
  <c r="FG88" i="335"/>
  <c r="EZ28" i="336"/>
  <c r="FA28" i="336" s="1"/>
  <c r="FA366" i="335"/>
  <c r="EZ27" i="336"/>
  <c r="FA296" i="335"/>
  <c r="FA168" i="335"/>
  <c r="EN489" i="338"/>
  <c r="EM488" i="338"/>
  <c r="EZ34" i="11"/>
  <c r="FI98" i="335"/>
  <c r="FI126" i="335"/>
  <c r="FI104" i="335" s="1"/>
  <c r="FI281" i="335"/>
  <c r="FI48" i="335"/>
  <c r="FI83" i="335"/>
  <c r="FI47" i="335"/>
  <c r="FJ46" i="335"/>
  <c r="FI44" i="11"/>
  <c r="FI53" i="11" s="1"/>
  <c r="FI87" i="335"/>
  <c r="FI306" i="335"/>
  <c r="FG126" i="335"/>
  <c r="FF104" i="335"/>
  <c r="FF84" i="335"/>
  <c r="FF85" i="335"/>
  <c r="FE328" i="335"/>
  <c r="FE150" i="335"/>
  <c r="FE370" i="335" s="1"/>
  <c r="FE313" i="338"/>
  <c r="FE114" i="338"/>
  <c r="FE93" i="335"/>
  <c r="FE342" i="335"/>
  <c r="FE341" i="335"/>
  <c r="FE10" i="336"/>
  <c r="FE329" i="335"/>
  <c r="FE290" i="335"/>
  <c r="FE327" i="338"/>
  <c r="FE328" i="338" s="1"/>
  <c r="FE315" i="335"/>
  <c r="FE338" i="335"/>
  <c r="FE147" i="335"/>
  <c r="FE153" i="335"/>
  <c r="FE337" i="335"/>
  <c r="FE325" i="338"/>
  <c r="FE326" i="338" s="1"/>
  <c r="FE99" i="335"/>
  <c r="FE49" i="11"/>
  <c r="FE58" i="11" s="1"/>
  <c r="FE339" i="335"/>
  <c r="FE92" i="335"/>
  <c r="FE15" i="11"/>
  <c r="FE336" i="335"/>
  <c r="FE331" i="335"/>
  <c r="FE330" i="335"/>
  <c r="FE143" i="335"/>
  <c r="EZ61" i="11"/>
  <c r="EZ16" i="338" s="1"/>
  <c r="EZ162" i="338"/>
  <c r="EZ164" i="338" s="1"/>
  <c r="FF53" i="335"/>
  <c r="FF54" i="335"/>
  <c r="EM221" i="335"/>
  <c r="ES221" i="335"/>
  <c r="EO220" i="335"/>
  <c r="EO221" i="335" s="1"/>
  <c r="EO219" i="335"/>
  <c r="EO207" i="336"/>
  <c r="EO210" i="336" s="1"/>
  <c r="AQ224" i="336"/>
  <c r="AQ225" i="336" s="1"/>
  <c r="AW220" i="336"/>
  <c r="EF447" i="335"/>
  <c r="EG86" i="336"/>
  <c r="DI417" i="335"/>
  <c r="DJ56" i="336"/>
  <c r="DJ417" i="335" s="1"/>
  <c r="FC81" i="336"/>
  <c r="EZ442" i="335"/>
  <c r="FA442" i="335" s="1"/>
  <c r="FD79" i="11"/>
  <c r="FD83" i="11" s="1"/>
  <c r="FD76" i="11"/>
  <c r="EX61" i="11"/>
  <c r="EX16" i="338" s="1"/>
  <c r="EX162" i="338"/>
  <c r="EX164" i="338" s="1"/>
  <c r="FJ58" i="338"/>
  <c r="FJ43" i="335"/>
  <c r="FJ75" i="11" s="1"/>
  <c r="FJ120" i="11"/>
  <c r="FJ124" i="11" s="1"/>
  <c r="FJ128" i="11" s="1"/>
  <c r="FJ280" i="335"/>
  <c r="FD144" i="335"/>
  <c r="FD27" i="11"/>
  <c r="FD13" i="11"/>
  <c r="FD12" i="11"/>
  <c r="FD346" i="335"/>
  <c r="FD294" i="335"/>
  <c r="FD152" i="335"/>
  <c r="FJ225" i="338"/>
  <c r="EG173" i="336"/>
  <c r="EG178" i="336"/>
  <c r="FJ8" i="338"/>
  <c r="FJ12" i="338"/>
  <c r="FJ17" i="338" s="1"/>
  <c r="FD113" i="338"/>
  <c r="FD160" i="338"/>
  <c r="FD163" i="338" s="1"/>
  <c r="FD225" i="338"/>
  <c r="FD230" i="338"/>
  <c r="FD155" i="335"/>
  <c r="FD347" i="335"/>
  <c r="FD295" i="335"/>
  <c r="EZ323" i="335"/>
  <c r="FD57" i="338"/>
  <c r="FD95" i="338"/>
  <c r="ER173" i="336"/>
  <c r="ER178" i="336"/>
  <c r="FD408" i="338"/>
  <c r="FD377" i="335"/>
  <c r="FD167" i="335"/>
  <c r="FD149" i="335"/>
  <c r="FD345" i="335"/>
  <c r="FD293" i="335"/>
  <c r="EB91" i="11"/>
  <c r="EB94" i="11"/>
  <c r="EB98" i="11" s="1"/>
  <c r="EH90" i="11"/>
  <c r="EB105" i="11"/>
  <c r="FD71" i="3"/>
  <c r="FE20" i="3"/>
  <c r="FL20" i="3"/>
  <c r="FK71" i="3"/>
  <c r="EZ368" i="335"/>
  <c r="DT97" i="338"/>
  <c r="EY18" i="338"/>
  <c r="EY54" i="338"/>
  <c r="EY55" i="338"/>
  <c r="EY96" i="338"/>
  <c r="EY19" i="338"/>
  <c r="EO80" i="11"/>
  <c r="EO84" i="11" s="1"/>
  <c r="EO359" i="335"/>
  <c r="DT105" i="11"/>
  <c r="DZ90" i="11"/>
  <c r="DT94" i="11"/>
  <c r="DT98" i="11" s="1"/>
  <c r="EU79" i="11"/>
  <c r="EU83" i="11" s="1"/>
  <c r="EU76" i="11"/>
  <c r="ES80" i="11"/>
  <c r="ES84" i="11" s="1"/>
  <c r="ES359" i="335"/>
  <c r="ER432" i="335"/>
  <c r="ES71" i="336"/>
  <c r="EM414" i="335"/>
  <c r="EN53" i="336"/>
  <c r="ES422" i="335"/>
  <c r="ET61" i="336"/>
  <c r="EW626" i="338"/>
  <c r="FF297" i="338"/>
  <c r="FG297" i="338" s="1"/>
  <c r="FG772" i="338" s="1"/>
  <c r="FF301" i="338"/>
  <c r="FF299" i="338"/>
  <c r="FF292" i="338"/>
  <c r="FG292" i="338" s="1"/>
  <c r="FG746" i="338" s="1"/>
  <c r="FF298" i="338"/>
  <c r="FF291" i="338"/>
  <c r="EM94" i="11"/>
  <c r="EM98" i="11" s="1"/>
  <c r="EM91" i="11"/>
  <c r="EM105" i="11"/>
  <c r="ES90" i="11"/>
  <c r="EY90" i="11" s="1"/>
  <c r="FI390" i="335"/>
  <c r="FI282" i="338"/>
  <c r="FJ319" i="338"/>
  <c r="FI300" i="338"/>
  <c r="FI301" i="338" s="1"/>
  <c r="EG109" i="11"/>
  <c r="EG113" i="11" s="1"/>
  <c r="EG106" i="11"/>
  <c r="FA277" i="338"/>
  <c r="EZ388" i="335"/>
  <c r="EZ393" i="335" s="1"/>
  <c r="FG322" i="338"/>
  <c r="FG390" i="335"/>
  <c r="EG361" i="335"/>
  <c r="EG95" i="11"/>
  <c r="EG99" i="11" s="1"/>
  <c r="EU388" i="335"/>
  <c r="EU393" i="335" s="1"/>
  <c r="EU285" i="338"/>
  <c r="EU315" i="338"/>
  <c r="EA121" i="11"/>
  <c r="EA125" i="11" s="1"/>
  <c r="EA129" i="11" s="1"/>
  <c r="EA110" i="11"/>
  <c r="EA114" i="11" s="1"/>
  <c r="EA362" i="335"/>
  <c r="EA360" i="335" s="1"/>
  <c r="FG278" i="338"/>
  <c r="FL278" i="338"/>
  <c r="FM278" i="338" s="1"/>
  <c r="Y47" i="3"/>
  <c r="X49" i="3"/>
  <c r="Y49" i="3" s="1"/>
  <c r="AA47" i="3" s="1"/>
  <c r="AM103" i="3"/>
  <c r="AN101" i="3" s="1"/>
  <c r="AN103" i="3" s="1"/>
  <c r="AO101" i="3" s="1"/>
  <c r="AO103" i="3" s="1"/>
  <c r="AP101" i="3" s="1"/>
  <c r="AP103" i="3" s="1"/>
  <c r="AS101" i="3" s="1"/>
  <c r="AQ101" i="3"/>
  <c r="AQ103" i="3" s="1"/>
  <c r="DQ271" i="336"/>
  <c r="DQ281" i="336" s="1"/>
  <c r="DW276" i="336" s="1"/>
  <c r="FE440" i="335"/>
  <c r="FF79" i="336"/>
  <c r="FE82" i="336"/>
  <c r="FD443" i="335"/>
  <c r="FD428" i="335"/>
  <c r="FE67" i="336"/>
  <c r="DS64" i="336"/>
  <c r="DP425" i="335"/>
  <c r="DQ425" i="335" s="1"/>
  <c r="EQ420" i="335"/>
  <c r="ER59" i="336"/>
  <c r="FE63" i="336"/>
  <c r="FD424" i="335"/>
  <c r="DN445" i="335"/>
  <c r="DO84" i="336"/>
  <c r="FI91" i="336"/>
  <c r="FF452" i="335"/>
  <c r="FG452" i="335" s="1"/>
  <c r="FC437" i="335"/>
  <c r="FD76" i="336"/>
  <c r="DM60" i="336"/>
  <c r="DJ421" i="335"/>
  <c r="FE436" i="335"/>
  <c r="FF75" i="336"/>
  <c r="EX73" i="336"/>
  <c r="EW434" i="335"/>
  <c r="EY441" i="335"/>
  <c r="EZ80" i="336"/>
  <c r="FC88" i="336"/>
  <c r="EZ449" i="335"/>
  <c r="FA449" i="335" s="1"/>
  <c r="FL19" i="336"/>
  <c r="FK30" i="3"/>
  <c r="FK82" i="3" s="1"/>
  <c r="FK29" i="3"/>
  <c r="FK81" i="3" s="1"/>
  <c r="DK421" i="335"/>
  <c r="CM110" i="3"/>
  <c r="BL202" i="335"/>
  <c r="BR203" i="335" s="1"/>
  <c r="EE199" i="336"/>
  <c r="EE192" i="336"/>
  <c r="EE196" i="336" s="1"/>
  <c r="EE175" i="336"/>
  <c r="CK398" i="335"/>
  <c r="CL398" i="335"/>
  <c r="CK110" i="3"/>
  <c r="CQ110" i="3"/>
  <c r="EW394" i="338"/>
  <c r="AW300" i="335"/>
  <c r="AW190" i="335"/>
  <c r="CD203" i="335"/>
  <c r="BX203" i="335"/>
  <c r="CQ115" i="3"/>
  <c r="FC76" i="11"/>
  <c r="FC79" i="11"/>
  <c r="FC83" i="11" s="1"/>
  <c r="EW607" i="338"/>
  <c r="EW615" i="338"/>
  <c r="EW616" i="338" s="1"/>
  <c r="EW621" i="338" s="1"/>
  <c r="EW622" i="338" s="1"/>
  <c r="EW623" i="338" s="1"/>
  <c r="FG280" i="335"/>
  <c r="FG725" i="338"/>
  <c r="FG43" i="335"/>
  <c r="FG58" i="338"/>
  <c r="DH173" i="336"/>
  <c r="DH178" i="336"/>
  <c r="DI489" i="338"/>
  <c r="DH488" i="338"/>
  <c r="GE430" i="338" s="1"/>
  <c r="FA13" i="11"/>
  <c r="EW357" i="335"/>
  <c r="EW25" i="11"/>
  <c r="EW31" i="11" s="1"/>
  <c r="FA19" i="11"/>
  <c r="FA97" i="11" s="1"/>
  <c r="EW38" i="11"/>
  <c r="FC38" i="11" s="1"/>
  <c r="FI38" i="11" s="1"/>
  <c r="EW11" i="335"/>
  <c r="EZ111" i="336"/>
  <c r="FZ144" i="335"/>
  <c r="FI13" i="338"/>
  <c r="FI15" i="338" s="1"/>
  <c r="FI12" i="338"/>
  <c r="FI17" i="338" s="1"/>
  <c r="FI8" i="338"/>
  <c r="FJ13" i="338"/>
  <c r="FJ15" i="338" s="1"/>
  <c r="FM43" i="11"/>
  <c r="FM52" i="11" s="1"/>
  <c r="FM278" i="335"/>
  <c r="FM15" i="335"/>
  <c r="FM9" i="338"/>
  <c r="DJ371" i="335"/>
  <c r="DK371" i="335" s="1"/>
  <c r="DJ299" i="335"/>
  <c r="DJ351" i="335"/>
  <c r="DJ324" i="335"/>
  <c r="DJ189" i="335"/>
  <c r="FE392" i="335"/>
  <c r="FE113" i="336"/>
  <c r="FE122" i="336"/>
  <c r="FE144" i="336"/>
  <c r="FA326" i="338"/>
  <c r="FA369" i="335"/>
  <c r="FA394" i="335"/>
  <c r="FA392" i="335"/>
  <c r="DN77" i="3"/>
  <c r="DH87" i="3"/>
  <c r="DH99" i="3"/>
  <c r="DH383" i="335"/>
  <c r="DH397" i="335" s="1"/>
  <c r="DH105" i="3"/>
  <c r="DH77" i="3"/>
  <c r="FD144" i="336"/>
  <c r="FD122" i="336"/>
  <c r="FD392" i="335"/>
  <c r="FD113" i="336"/>
  <c r="FC293" i="335"/>
  <c r="FC318" i="335"/>
  <c r="FC345" i="335"/>
  <c r="FC167" i="335"/>
  <c r="FC149" i="335"/>
  <c r="GA147" i="335"/>
  <c r="FD318" i="335"/>
  <c r="FC328" i="338"/>
  <c r="DG208" i="336"/>
  <c r="DG210" i="336" s="1"/>
  <c r="DG211" i="336" s="1"/>
  <c r="DG183" i="336"/>
  <c r="EW26" i="11"/>
  <c r="EW32" i="11" s="1"/>
  <c r="FA14" i="11"/>
  <c r="EW358" i="335"/>
  <c r="EW12" i="335"/>
  <c r="FA20" i="11"/>
  <c r="DI207" i="336"/>
  <c r="DI184" i="336" s="1"/>
  <c r="DI219" i="335"/>
  <c r="DI220" i="335"/>
  <c r="DK218" i="335"/>
  <c r="FI54" i="335"/>
  <c r="FI53" i="335"/>
  <c r="EW163" i="338"/>
  <c r="EW161" i="338"/>
  <c r="EX161" i="338"/>
  <c r="EZ124" i="336"/>
  <c r="EZ125" i="336"/>
  <c r="FA122" i="336"/>
  <c r="EZ409" i="338"/>
  <c r="FA409" i="338" s="1"/>
  <c r="FC160" i="338"/>
  <c r="FC113" i="338"/>
  <c r="FC326" i="338"/>
  <c r="FC295" i="335"/>
  <c r="FC155" i="335"/>
  <c r="FC320" i="335"/>
  <c r="FC347" i="335"/>
  <c r="GA153" i="335"/>
  <c r="FD320" i="335"/>
  <c r="ET685" i="338"/>
  <c r="EU685" i="338" s="1"/>
  <c r="ET688" i="338"/>
  <c r="EQ221" i="335"/>
  <c r="FY220" i="335"/>
  <c r="ER489" i="338"/>
  <c r="EQ488" i="338"/>
  <c r="DI200" i="335"/>
  <c r="DI201" i="335"/>
  <c r="FA95" i="338"/>
  <c r="FA57" i="338"/>
  <c r="EW650" i="338"/>
  <c r="EW678" i="338"/>
  <c r="EW687" i="338" s="1"/>
  <c r="FC57" i="338"/>
  <c r="FC95" i="338"/>
  <c r="EQ202" i="335"/>
  <c r="EQ203" i="335" s="1"/>
  <c r="EQ184" i="336"/>
  <c r="EY409" i="338"/>
  <c r="EW675" i="338"/>
  <c r="FM21" i="338"/>
  <c r="FM33" i="338"/>
  <c r="FM36" i="338" s="1"/>
  <c r="FM37" i="338" s="1"/>
  <c r="EW359" i="335"/>
  <c r="EW80" i="11"/>
  <c r="EW84" i="11" s="1"/>
  <c r="FG8" i="338"/>
  <c r="FG12" i="338"/>
  <c r="FG17" i="338" s="1"/>
  <c r="EX394" i="338"/>
  <c r="FA144" i="335"/>
  <c r="FA160" i="338"/>
  <c r="FA163" i="338" s="1"/>
  <c r="FA113" i="338"/>
  <c r="EW170" i="335"/>
  <c r="EW323" i="335"/>
  <c r="EW212" i="335"/>
  <c r="EW173" i="335"/>
  <c r="EW174" i="335" s="1"/>
  <c r="EW171" i="335"/>
  <c r="EW368" i="335"/>
  <c r="FA169" i="335"/>
  <c r="EW182" i="335"/>
  <c r="EW350" i="335"/>
  <c r="EW298" i="335"/>
  <c r="FZ169" i="335"/>
  <c r="DN214" i="335"/>
  <c r="DN215" i="335" s="1"/>
  <c r="DN182" i="335"/>
  <c r="FT176" i="335"/>
  <c r="GB15" i="335"/>
  <c r="FI44" i="335"/>
  <c r="FI280" i="335"/>
  <c r="FI305" i="335"/>
  <c r="FI58" i="338"/>
  <c r="FM42" i="335"/>
  <c r="FI43" i="335"/>
  <c r="FI75" i="11" s="1"/>
  <c r="FI120" i="11"/>
  <c r="FI124" i="11" s="1"/>
  <c r="FI128" i="11" s="1"/>
  <c r="FJ44" i="335"/>
  <c r="FJ305" i="335"/>
  <c r="GB42" i="335"/>
  <c r="EQ690" i="338"/>
  <c r="EQ686" i="338"/>
  <c r="FJ413" i="338"/>
  <c r="DK375" i="335"/>
  <c r="DG76" i="3"/>
  <c r="DI373" i="335" s="1"/>
  <c r="DJ207" i="336"/>
  <c r="DJ220" i="335"/>
  <c r="DJ9" i="3"/>
  <c r="DJ219" i="335"/>
  <c r="FC144" i="335"/>
  <c r="GA143" i="335"/>
  <c r="GA144" i="335" s="1"/>
  <c r="FC100" i="335"/>
  <c r="FC101" i="335"/>
  <c r="GA99" i="335"/>
  <c r="GA100" i="335" s="1"/>
  <c r="FD101" i="335"/>
  <c r="FC294" i="335"/>
  <c r="FC370" i="335"/>
  <c r="FC152" i="335"/>
  <c r="FC319" i="335"/>
  <c r="FC346" i="335"/>
  <c r="GA150" i="335"/>
  <c r="FD319" i="335"/>
  <c r="FD370" i="335"/>
  <c r="DI462" i="335"/>
  <c r="DI208" i="335" s="1"/>
  <c r="FA726" i="338"/>
  <c r="FA721" i="338"/>
  <c r="GA43" i="335"/>
  <c r="EU220" i="335"/>
  <c r="EU219" i="335"/>
  <c r="EU207" i="336"/>
  <c r="DV179" i="335"/>
  <c r="DW179" i="335" s="1"/>
  <c r="DI196" i="335"/>
  <c r="DI300" i="335"/>
  <c r="DI372" i="335"/>
  <c r="DI325" i="335"/>
  <c r="DI487" i="338"/>
  <c r="DI190" i="335"/>
  <c r="EX185" i="335"/>
  <c r="EX187" i="335"/>
  <c r="EX213" i="335"/>
  <c r="EX215" i="335"/>
  <c r="EW684" i="338"/>
  <c r="EW689" i="338" s="1"/>
  <c r="FA12" i="11"/>
  <c r="EW21" i="11"/>
  <c r="EW10" i="335"/>
  <c r="EW37" i="11"/>
  <c r="FA18" i="11"/>
  <c r="EW24" i="11"/>
  <c r="EW30" i="11" s="1"/>
  <c r="EW355" i="335"/>
  <c r="EW207" i="335"/>
  <c r="EW125" i="336"/>
  <c r="EW124" i="336"/>
  <c r="EW409" i="338"/>
  <c r="EX409" i="338"/>
  <c r="EX125" i="336"/>
  <c r="EX124" i="336"/>
  <c r="DP180" i="335"/>
  <c r="DO176" i="335"/>
  <c r="EU300" i="335"/>
  <c r="EU190" i="335"/>
  <c r="DM185" i="335"/>
  <c r="DM187" i="335"/>
  <c r="DJ503" i="338"/>
  <c r="DJ461" i="335"/>
  <c r="DK461" i="335" s="1"/>
  <c r="DJ460" i="335"/>
  <c r="DK460" i="335" s="1"/>
  <c r="DJ375" i="335"/>
  <c r="DJ458" i="335"/>
  <c r="DJ199" i="335"/>
  <c r="DK199" i="335" s="1"/>
  <c r="DK200" i="335" s="1"/>
  <c r="DJ459" i="335"/>
  <c r="DK459" i="335" s="1"/>
  <c r="EQ209" i="335"/>
  <c r="FI102" i="336"/>
  <c r="FC385" i="335"/>
  <c r="FC10" i="336"/>
  <c r="DG51" i="3"/>
  <c r="DG87" i="3" s="1"/>
  <c r="DG45" i="3"/>
  <c r="DG49" i="3" s="1"/>
  <c r="FC392" i="335"/>
  <c r="FC122" i="336"/>
  <c r="FC113" i="336"/>
  <c r="FC144" i="336"/>
  <c r="FC27" i="11"/>
  <c r="DK187" i="335"/>
  <c r="DP423" i="335"/>
  <c r="DQ423" i="335" s="1"/>
  <c r="DS62" i="336"/>
  <c r="FE450" i="335"/>
  <c r="FF89" i="336"/>
  <c r="EM173" i="336"/>
  <c r="EM178" i="336"/>
  <c r="ES192" i="336"/>
  <c r="ES196" i="336" s="1"/>
  <c r="ES175" i="336"/>
  <c r="ES199" i="336"/>
  <c r="FK16" i="3"/>
  <c r="FK67" i="3" s="1"/>
  <c r="FL74" i="336"/>
  <c r="FL435" i="335" s="1"/>
  <c r="FK435" i="335"/>
  <c r="FD433" i="335"/>
  <c r="FE72" i="336"/>
  <c r="ER430" i="335"/>
  <c r="ES69" i="336"/>
  <c r="DS85" i="336"/>
  <c r="DP446" i="335"/>
  <c r="DQ446" i="335" s="1"/>
  <c r="FL13" i="336"/>
  <c r="FM13" i="336" s="1"/>
  <c r="FE77" i="336"/>
  <c r="FD438" i="335"/>
  <c r="CR215" i="336"/>
  <c r="CR213" i="336" s="1"/>
  <c r="EZ76" i="11" l="1"/>
  <c r="EZ79" i="11"/>
  <c r="EZ83" i="11" s="1"/>
  <c r="FL58" i="338"/>
  <c r="FL43" i="335"/>
  <c r="FL75" i="11" s="1"/>
  <c r="FL280" i="335"/>
  <c r="FL725" i="338"/>
  <c r="FL721" i="338" s="1"/>
  <c r="FL120" i="11"/>
  <c r="FL124" i="11" s="1"/>
  <c r="FL128" i="11" s="1"/>
  <c r="FL53" i="338"/>
  <c r="FL39" i="338"/>
  <c r="FF95" i="338"/>
  <c r="FF57" i="338"/>
  <c r="EN685" i="338"/>
  <c r="EN688" i="338"/>
  <c r="EO683" i="338"/>
  <c r="EO688" i="338" s="1"/>
  <c r="FF76" i="11"/>
  <c r="FF79" i="11"/>
  <c r="FF83" i="11" s="1"/>
  <c r="AH325" i="335"/>
  <c r="AH300" i="335"/>
  <c r="AH190" i="335"/>
  <c r="AI325" i="335"/>
  <c r="AJ372" i="335"/>
  <c r="AK372" i="335" s="1"/>
  <c r="AM372" i="335"/>
  <c r="AK189" i="335"/>
  <c r="AN190" i="335"/>
  <c r="AN300" i="335"/>
  <c r="AI372" i="335"/>
  <c r="AH372" i="335"/>
  <c r="EI690" i="338"/>
  <c r="EI686" i="338"/>
  <c r="AQ221" i="335"/>
  <c r="AK221" i="335"/>
  <c r="ET80" i="11"/>
  <c r="ET84" i="11" s="1"/>
  <c r="ET359" i="335"/>
  <c r="EL690" i="338"/>
  <c r="EL686" i="338"/>
  <c r="EO685" i="338"/>
  <c r="AK223" i="336"/>
  <c r="AK351" i="335"/>
  <c r="AK386" i="338"/>
  <c r="AK299" i="335"/>
  <c r="AQ299" i="335"/>
  <c r="AH462" i="335"/>
  <c r="AK458" i="335"/>
  <c r="AK462" i="335" s="1"/>
  <c r="FL123" i="11"/>
  <c r="FL127" i="11" s="1"/>
  <c r="FL104" i="11"/>
  <c r="FL108" i="11" s="1"/>
  <c r="FL112" i="11" s="1"/>
  <c r="EK178" i="336"/>
  <c r="EK173" i="336"/>
  <c r="EY97" i="338"/>
  <c r="FL119" i="336"/>
  <c r="FK395" i="338"/>
  <c r="EZ214" i="338"/>
  <c r="EU214" i="338"/>
  <c r="EU215" i="338" s="1"/>
  <c r="DM137" i="336"/>
  <c r="DM135" i="336"/>
  <c r="DN134" i="336"/>
  <c r="DN139" i="336" s="1"/>
  <c r="DN140" i="336" s="1"/>
  <c r="CK115" i="3"/>
  <c r="DM139" i="336"/>
  <c r="DM140" i="336" s="1"/>
  <c r="FS190" i="335"/>
  <c r="EY359" i="335"/>
  <c r="EU208" i="335"/>
  <c r="EU209" i="335" s="1"/>
  <c r="EU201" i="335"/>
  <c r="EU202" i="335" s="1"/>
  <c r="EU203" i="335" s="1"/>
  <c r="BY175" i="336"/>
  <c r="BY199" i="336"/>
  <c r="BY192" i="336"/>
  <c r="BY196" i="336" s="1"/>
  <c r="CS96" i="338"/>
  <c r="CS54" i="338"/>
  <c r="CS18" i="338"/>
  <c r="EL173" i="336"/>
  <c r="EL178" i="336"/>
  <c r="CL158" i="335"/>
  <c r="CI159" i="335"/>
  <c r="CF157" i="335"/>
  <c r="CF199" i="335"/>
  <c r="CF158" i="335"/>
  <c r="CO488" i="338"/>
  <c r="CP489" i="338"/>
  <c r="CF235" i="335"/>
  <c r="CF231" i="336"/>
  <c r="CF232" i="336" s="1"/>
  <c r="CF236" i="335"/>
  <c r="EU734" i="338"/>
  <c r="EU722" i="338"/>
  <c r="CY164" i="338"/>
  <c r="DE184" i="336"/>
  <c r="DE208" i="336" s="1"/>
  <c r="DD183" i="336"/>
  <c r="DD208" i="336"/>
  <c r="DD210" i="336" s="1"/>
  <c r="DD211" i="336" s="1"/>
  <c r="FK104" i="11"/>
  <c r="FK123" i="11"/>
  <c r="FK127" i="11" s="1"/>
  <c r="CO489" i="338"/>
  <c r="CL488" i="338"/>
  <c r="FG75" i="11"/>
  <c r="FG79" i="11" s="1"/>
  <c r="FG83" i="11" s="1"/>
  <c r="EI173" i="336"/>
  <c r="CP60" i="3"/>
  <c r="CP76" i="3" s="1"/>
  <c r="CO25" i="3"/>
  <c r="CO60" i="3"/>
  <c r="CW208" i="336"/>
  <c r="CW210" i="336" s="1"/>
  <c r="CW211" i="336" s="1"/>
  <c r="CW183" i="336"/>
  <c r="CY184" i="336"/>
  <c r="CY208" i="336" s="1"/>
  <c r="CS190" i="335"/>
  <c r="CS300" i="335"/>
  <c r="EN178" i="336"/>
  <c r="EN173" i="336"/>
  <c r="CF462" i="335"/>
  <c r="CF208" i="335" s="1"/>
  <c r="CF209" i="335" s="1"/>
  <c r="DE190" i="335"/>
  <c r="DE300" i="335"/>
  <c r="CG207" i="336"/>
  <c r="CG210" i="336" s="1"/>
  <c r="CG234" i="335"/>
  <c r="CG219" i="335"/>
  <c r="CG220" i="335"/>
  <c r="CG238" i="336" s="1"/>
  <c r="CG230" i="336"/>
  <c r="CW202" i="335"/>
  <c r="CY201" i="335"/>
  <c r="CY202" i="335" s="1"/>
  <c r="CY203" i="335" s="1"/>
  <c r="DD202" i="335"/>
  <c r="DD203" i="335" s="1"/>
  <c r="DE201" i="335"/>
  <c r="DE202" i="335" s="1"/>
  <c r="CG459" i="335"/>
  <c r="CW209" i="335"/>
  <c r="CY208" i="335"/>
  <c r="CY209" i="335" s="1"/>
  <c r="CL499" i="338"/>
  <c r="GC439" i="338" s="1"/>
  <c r="CR221" i="335"/>
  <c r="CL221" i="335"/>
  <c r="FP220" i="335"/>
  <c r="DD488" i="338"/>
  <c r="GC430" i="338" s="1"/>
  <c r="DG489" i="338"/>
  <c r="CO183" i="336"/>
  <c r="CO208" i="336"/>
  <c r="CO210" i="336" s="1"/>
  <c r="CO211" i="336" s="1"/>
  <c r="CS184" i="336"/>
  <c r="CS208" i="336" s="1"/>
  <c r="FA76" i="11"/>
  <c r="FA359" i="335" s="1"/>
  <c r="EU221" i="335"/>
  <c r="FE76" i="11"/>
  <c r="FE359" i="335" s="1"/>
  <c r="DQ248" i="335"/>
  <c r="DQ240" i="335" s="1"/>
  <c r="DW239" i="335" s="1"/>
  <c r="FF65" i="335"/>
  <c r="GA65" i="335"/>
  <c r="FA65" i="335"/>
  <c r="CS219" i="335"/>
  <c r="CS220" i="335"/>
  <c r="CS207" i="336"/>
  <c r="CY207" i="336"/>
  <c r="CY219" i="335"/>
  <c r="CY220" i="335"/>
  <c r="CY221" i="335" s="1"/>
  <c r="CS164" i="338"/>
  <c r="FE108" i="11"/>
  <c r="FE112" i="11" s="1"/>
  <c r="FG104" i="11"/>
  <c r="CY190" i="335"/>
  <c r="CY300" i="335"/>
  <c r="FA119" i="11"/>
  <c r="FA123" i="11" s="1"/>
  <c r="FA108" i="11"/>
  <c r="FA112" i="11" s="1"/>
  <c r="CE231" i="336"/>
  <c r="CE232" i="336" s="1"/>
  <c r="CE236" i="335"/>
  <c r="CE235" i="335"/>
  <c r="CE208" i="336"/>
  <c r="CE210" i="336" s="1"/>
  <c r="CE211" i="336" s="1"/>
  <c r="CF184" i="336"/>
  <c r="CF208" i="336" s="1"/>
  <c r="CF210" i="336" s="1"/>
  <c r="CE183" i="336"/>
  <c r="CF499" i="338"/>
  <c r="GB439" i="338" s="1"/>
  <c r="CF238" i="336"/>
  <c r="CF221" i="335"/>
  <c r="CG460" i="335"/>
  <c r="CG461" i="335"/>
  <c r="DD499" i="338"/>
  <c r="GF439" i="338" s="1"/>
  <c r="DD221" i="335"/>
  <c r="FS220" i="335"/>
  <c r="EF199" i="336"/>
  <c r="EF192" i="336"/>
  <c r="EF196" i="336" s="1"/>
  <c r="EF175" i="336"/>
  <c r="FM40" i="338"/>
  <c r="FM279" i="335"/>
  <c r="FM723" i="338"/>
  <c r="FM724" i="338" s="1"/>
  <c r="FM228" i="338"/>
  <c r="FM229" i="338" s="1"/>
  <c r="FM40" i="335"/>
  <c r="FG39" i="338"/>
  <c r="FG53" i="338"/>
  <c r="CW488" i="338"/>
  <c r="CX489" i="338"/>
  <c r="CL183" i="336"/>
  <c r="CL208" i="336"/>
  <c r="CL210" i="336" s="1"/>
  <c r="CL211" i="336" s="1"/>
  <c r="CM184" i="336"/>
  <c r="CM208" i="336" s="1"/>
  <c r="CO209" i="335"/>
  <c r="CS208" i="335"/>
  <c r="CS209" i="335" s="1"/>
  <c r="CL202" i="335"/>
  <c r="CM201" i="335"/>
  <c r="CM202" i="335" s="1"/>
  <c r="CS203" i="335" s="1"/>
  <c r="CG184" i="335"/>
  <c r="CG185" i="335" s="1"/>
  <c r="FO184" i="335"/>
  <c r="FO185" i="335" s="1"/>
  <c r="CE187" i="335"/>
  <c r="EO183" i="336"/>
  <c r="FF64" i="335"/>
  <c r="GA64" i="335"/>
  <c r="FA64" i="335"/>
  <c r="CO499" i="338"/>
  <c r="GC481" i="338" s="1"/>
  <c r="CO221" i="335"/>
  <c r="CU221" i="335"/>
  <c r="CW499" i="338"/>
  <c r="CW221" i="335"/>
  <c r="DC221" i="335"/>
  <c r="FR220" i="335"/>
  <c r="FE95" i="338"/>
  <c r="FE57" i="338"/>
  <c r="CF115" i="3"/>
  <c r="CL115" i="3"/>
  <c r="CK221" i="335"/>
  <c r="CE238" i="336"/>
  <c r="CE499" i="338"/>
  <c r="CE221" i="335"/>
  <c r="FO220" i="335"/>
  <c r="CL209" i="335"/>
  <c r="CM208" i="335"/>
  <c r="CM209" i="335" s="1"/>
  <c r="CY54" i="338"/>
  <c r="CY18" i="338"/>
  <c r="CY96" i="338"/>
  <c r="DD209" i="335"/>
  <c r="DE208" i="335"/>
  <c r="DE209" i="335" s="1"/>
  <c r="CE462" i="335"/>
  <c r="CE208" i="335" s="1"/>
  <c r="CG458" i="335"/>
  <c r="CG239" i="335"/>
  <c r="CE156" i="335"/>
  <c r="CF159" i="335" s="1"/>
  <c r="DE207" i="336"/>
  <c r="DE219" i="335"/>
  <c r="DE220" i="335"/>
  <c r="DE221" i="335" s="1"/>
  <c r="FK58" i="338"/>
  <c r="FL305" i="335"/>
  <c r="FK280" i="335"/>
  <c r="FK43" i="335"/>
  <c r="FK75" i="11" s="1"/>
  <c r="FK120" i="11"/>
  <c r="FK124" i="11" s="1"/>
  <c r="FK128" i="11" s="1"/>
  <c r="FL44" i="335"/>
  <c r="FK53" i="338"/>
  <c r="FK39" i="338"/>
  <c r="CM220" i="335"/>
  <c r="CM207" i="336"/>
  <c r="CM219" i="335"/>
  <c r="DQ39" i="11"/>
  <c r="EI178" i="336"/>
  <c r="EI192" i="336" s="1"/>
  <c r="EI196" i="336" s="1"/>
  <c r="BQ187" i="336"/>
  <c r="BQ178" i="336"/>
  <c r="BT178" i="336" s="1"/>
  <c r="BQ173" i="336"/>
  <c r="BT183" i="336"/>
  <c r="BT187" i="336" s="1"/>
  <c r="FC13" i="11"/>
  <c r="FC357" i="335" s="1"/>
  <c r="DQ61" i="11"/>
  <c r="DQ16" i="338" s="1"/>
  <c r="DQ18" i="338" s="1"/>
  <c r="BU208" i="336"/>
  <c r="BU210" i="336" s="1"/>
  <c r="BU211" i="336" s="1"/>
  <c r="BQ210" i="336"/>
  <c r="BQ211" i="336" s="1"/>
  <c r="FE80" i="11"/>
  <c r="FE84" i="11" s="1"/>
  <c r="DS162" i="338"/>
  <c r="DS34" i="11"/>
  <c r="DQ162" i="338"/>
  <c r="DQ164" i="338" s="1"/>
  <c r="DQ34" i="11"/>
  <c r="BO351" i="335"/>
  <c r="BO223" i="336"/>
  <c r="BO386" i="338"/>
  <c r="BO229" i="336"/>
  <c r="BO299" i="335"/>
  <c r="BU299" i="335"/>
  <c r="BW209" i="335"/>
  <c r="CA208" i="335"/>
  <c r="CA209" i="335" s="1"/>
  <c r="FT170" i="335"/>
  <c r="BU115" i="3"/>
  <c r="BO115" i="3"/>
  <c r="FK224" i="338"/>
  <c r="BK234" i="336"/>
  <c r="CD263" i="335"/>
  <c r="CC263" i="335"/>
  <c r="CM263" i="335"/>
  <c r="CF263" i="335"/>
  <c r="CE263" i="335"/>
  <c r="BU233" i="336"/>
  <c r="BU263" i="336"/>
  <c r="DW171" i="335"/>
  <c r="DQ298" i="335"/>
  <c r="DQ368" i="335"/>
  <c r="DQ170" i="335"/>
  <c r="DQ173" i="335"/>
  <c r="DQ350" i="335"/>
  <c r="DW298" i="335"/>
  <c r="BW157" i="335"/>
  <c r="CC158" i="335"/>
  <c r="BW158" i="335"/>
  <c r="BW159" i="335"/>
  <c r="BW199" i="335"/>
  <c r="CA156" i="335"/>
  <c r="BX159" i="335"/>
  <c r="DW33" i="11"/>
  <c r="DW67" i="11" s="1"/>
  <c r="DW61" i="11" s="1"/>
  <c r="DW16" i="338" s="1"/>
  <c r="BW512" i="338"/>
  <c r="BW239" i="336"/>
  <c r="BT202" i="335"/>
  <c r="BU201" i="335"/>
  <c r="BU202" i="335" s="1"/>
  <c r="Y300" i="335"/>
  <c r="AE190" i="335"/>
  <c r="AE300" i="335"/>
  <c r="Y190" i="335"/>
  <c r="DM162" i="338"/>
  <c r="DM164" i="338" s="1"/>
  <c r="BO157" i="335"/>
  <c r="BU158" i="335"/>
  <c r="DS18" i="338"/>
  <c r="DS54" i="338"/>
  <c r="DS109" i="338"/>
  <c r="DS110" i="338" s="1"/>
  <c r="DS90" i="11"/>
  <c r="DS19" i="338"/>
  <c r="DS55" i="338"/>
  <c r="DS96" i="338"/>
  <c r="BU237" i="336"/>
  <c r="BU240" i="336" s="1"/>
  <c r="BK237" i="336"/>
  <c r="BK240" i="336" s="1"/>
  <c r="BK300" i="335"/>
  <c r="BK190" i="335"/>
  <c r="BQ190" i="335"/>
  <c r="BQ300" i="335"/>
  <c r="BK325" i="335"/>
  <c r="BK372" i="335"/>
  <c r="BL372" i="335"/>
  <c r="BO189" i="335"/>
  <c r="BM372" i="335"/>
  <c r="BL325" i="335"/>
  <c r="BW324" i="335"/>
  <c r="CC299" i="335"/>
  <c r="BW351" i="335"/>
  <c r="BW299" i="335"/>
  <c r="BW189" i="335"/>
  <c r="BW371" i="335"/>
  <c r="BW229" i="336"/>
  <c r="BW234" i="336" s="1"/>
  <c r="BY371" i="335"/>
  <c r="CA187" i="335"/>
  <c r="BZ371" i="335"/>
  <c r="CA371" i="335" s="1"/>
  <c r="BX324" i="335"/>
  <c r="BX371" i="335"/>
  <c r="CV199" i="336"/>
  <c r="CV192" i="336"/>
  <c r="CV196" i="336" s="1"/>
  <c r="CV175" i="336"/>
  <c r="BW187" i="336"/>
  <c r="BW178" i="336"/>
  <c r="BZ178" i="336" s="1"/>
  <c r="BW173" i="336"/>
  <c r="BZ183" i="336"/>
  <c r="BZ187" i="336" s="1"/>
  <c r="DQ124" i="336"/>
  <c r="DQ127" i="336"/>
  <c r="DM34" i="11"/>
  <c r="BK200" i="335"/>
  <c r="BK201" i="335"/>
  <c r="BO199" i="335"/>
  <c r="BO200" i="335" s="1"/>
  <c r="BU234" i="336"/>
  <c r="DM213" i="335"/>
  <c r="DQ212" i="335"/>
  <c r="DQ213" i="335" s="1"/>
  <c r="EU61" i="11"/>
  <c r="EU16" i="338" s="1"/>
  <c r="EU162" i="338"/>
  <c r="EU164" i="338" s="1"/>
  <c r="CA235" i="335"/>
  <c r="CA231" i="336"/>
  <c r="CA232" i="336" s="1"/>
  <c r="CA236" i="335"/>
  <c r="CA239" i="336" s="1"/>
  <c r="CA238" i="336"/>
  <c r="CA221" i="335"/>
  <c r="CA114" i="3"/>
  <c r="BW535" i="338"/>
  <c r="BZ535" i="338"/>
  <c r="CA375" i="335"/>
  <c r="BY535" i="338"/>
  <c r="BX535" i="338"/>
  <c r="ET208" i="336"/>
  <c r="ET210" i="336" s="1"/>
  <c r="ET211" i="336" s="1"/>
  <c r="ET183" i="336"/>
  <c r="DW127" i="336"/>
  <c r="EC127" i="336"/>
  <c r="DW124" i="336"/>
  <c r="FE230" i="338"/>
  <c r="FE225" i="338"/>
  <c r="BN372" i="335"/>
  <c r="BO372" i="335" s="1"/>
  <c r="EH175" i="336"/>
  <c r="EH192" i="336"/>
  <c r="EH196" i="336" s="1"/>
  <c r="EH199" i="336"/>
  <c r="EY91" i="11"/>
  <c r="EY94" i="11"/>
  <c r="EY98" i="11" s="1"/>
  <c r="EY105" i="11"/>
  <c r="EY324" i="335"/>
  <c r="EN225" i="338"/>
  <c r="EO224" i="338"/>
  <c r="EO225" i="338" s="1"/>
  <c r="ET218" i="338"/>
  <c r="ET224" i="338"/>
  <c r="ET230" i="338" s="1"/>
  <c r="EU217" i="338"/>
  <c r="EI230" i="338"/>
  <c r="EO218" i="338"/>
  <c r="FK320" i="338"/>
  <c r="FJ391" i="335"/>
  <c r="FF221" i="338"/>
  <c r="EZ217" i="338"/>
  <c r="FA221" i="338"/>
  <c r="FA222" i="338" s="1"/>
  <c r="FE68" i="336"/>
  <c r="FD429" i="335"/>
  <c r="DJ48" i="336"/>
  <c r="FE65" i="336"/>
  <c r="FD426" i="335"/>
  <c r="FD427" i="335"/>
  <c r="FE66" i="336"/>
  <c r="EZ22" i="3"/>
  <c r="FA22" i="3" s="1"/>
  <c r="FD14" i="11"/>
  <c r="FD358" i="335" s="1"/>
  <c r="EZ55" i="338"/>
  <c r="EZ19" i="338"/>
  <c r="EZ54" i="338"/>
  <c r="EZ96" i="338"/>
  <c r="EZ97" i="338" s="1"/>
  <c r="EZ18" i="338"/>
  <c r="FE347" i="335"/>
  <c r="FE295" i="335"/>
  <c r="FE155" i="335"/>
  <c r="FE320" i="335"/>
  <c r="FG768" i="338"/>
  <c r="FG775" i="338" s="1"/>
  <c r="FG127" i="335"/>
  <c r="FG104" i="335"/>
  <c r="FG105" i="335" s="1"/>
  <c r="FJ47" i="335"/>
  <c r="FJ48" i="335"/>
  <c r="FJ52" i="335"/>
  <c r="FJ306" i="335"/>
  <c r="FJ83" i="335"/>
  <c r="FJ281" i="335"/>
  <c r="FJ126" i="335"/>
  <c r="FJ104" i="335" s="1"/>
  <c r="GB104" i="335" s="1"/>
  <c r="FK46" i="335"/>
  <c r="FJ87" i="335"/>
  <c r="FJ98" i="335"/>
  <c r="GB98" i="335" s="1"/>
  <c r="FJ44" i="11"/>
  <c r="FJ53" i="11" s="1"/>
  <c r="GB46" i="335"/>
  <c r="FF328" i="335"/>
  <c r="FF336" i="335"/>
  <c r="FF150" i="335"/>
  <c r="FF290" i="335"/>
  <c r="FF15" i="11"/>
  <c r="FF339" i="335"/>
  <c r="FF325" i="338"/>
  <c r="FF49" i="11"/>
  <c r="FF58" i="11" s="1"/>
  <c r="FF99" i="335"/>
  <c r="FF93" i="335"/>
  <c r="FF338" i="335"/>
  <c r="FF315" i="335"/>
  <c r="FF147" i="335"/>
  <c r="FF92" i="335"/>
  <c r="FF337" i="335"/>
  <c r="FF342" i="335"/>
  <c r="FF331" i="335"/>
  <c r="FF330" i="335"/>
  <c r="FF114" i="338"/>
  <c r="FF153" i="335"/>
  <c r="FF329" i="335"/>
  <c r="FF327" i="338"/>
  <c r="FF10" i="336"/>
  <c r="FF365" i="335"/>
  <c r="FG91" i="335"/>
  <c r="FE144" i="335"/>
  <c r="FE12" i="11"/>
  <c r="FE13" i="11"/>
  <c r="FE27" i="11"/>
  <c r="FE33" i="11" s="1"/>
  <c r="FE67" i="11" s="1"/>
  <c r="FE61" i="11" s="1"/>
  <c r="FE16" i="338" s="1"/>
  <c r="FE101" i="335"/>
  <c r="FE100" i="335"/>
  <c r="FE345" i="335"/>
  <c r="FE318" i="335"/>
  <c r="FE167" i="335"/>
  <c r="FE366" i="335" s="1"/>
  <c r="FE149" i="335"/>
  <c r="FE293" i="335"/>
  <c r="FE152" i="335"/>
  <c r="FE346" i="335"/>
  <c r="FE294" i="335"/>
  <c r="FE319" i="335"/>
  <c r="FI88" i="335"/>
  <c r="FI96" i="335"/>
  <c r="FI89" i="335"/>
  <c r="FI311" i="335"/>
  <c r="FI286" i="335"/>
  <c r="FI91" i="335"/>
  <c r="FI10" i="336" s="1"/>
  <c r="FI105" i="335"/>
  <c r="FI141" i="335"/>
  <c r="EZ30" i="336"/>
  <c r="FA30" i="336" s="1"/>
  <c r="FA27" i="336"/>
  <c r="FA397" i="338" s="1"/>
  <c r="EZ397" i="338"/>
  <c r="EM203" i="335"/>
  <c r="ES203" i="335"/>
  <c r="FE377" i="335"/>
  <c r="FE408" i="338"/>
  <c r="FE160" i="338"/>
  <c r="FE113" i="338"/>
  <c r="FF105" i="335"/>
  <c r="FF141" i="335"/>
  <c r="FF143" i="335" s="1"/>
  <c r="FF341" i="335"/>
  <c r="FI85" i="335"/>
  <c r="FI84" i="335"/>
  <c r="FA34" i="336"/>
  <c r="EZ24" i="3"/>
  <c r="AW224" i="336"/>
  <c r="AW225" i="336" s="1"/>
  <c r="BC220" i="336"/>
  <c r="EH86" i="336"/>
  <c r="EG447" i="335"/>
  <c r="FC442" i="335"/>
  <c r="FD81" i="336"/>
  <c r="DK417" i="335"/>
  <c r="FD348" i="335"/>
  <c r="FD168" i="335"/>
  <c r="FD296" i="335"/>
  <c r="FD316" i="338"/>
  <c r="FD317" i="338" s="1"/>
  <c r="FD24" i="336"/>
  <c r="FD169" i="335"/>
  <c r="FJ76" i="11"/>
  <c r="FJ79" i="11"/>
  <c r="FJ83" i="11" s="1"/>
  <c r="FD359" i="335"/>
  <c r="FD80" i="11"/>
  <c r="FD84" i="11" s="1"/>
  <c r="FD24" i="11"/>
  <c r="FD30" i="11" s="1"/>
  <c r="FD355" i="335"/>
  <c r="FJ95" i="338"/>
  <c r="FJ57" i="338"/>
  <c r="ER192" i="336"/>
  <c r="ER196" i="336" s="1"/>
  <c r="ER175" i="336"/>
  <c r="ER199" i="336"/>
  <c r="EG192" i="336"/>
  <c r="EG196" i="336" s="1"/>
  <c r="EG175" i="336"/>
  <c r="EG199" i="336"/>
  <c r="FD357" i="335"/>
  <c r="FD25" i="11"/>
  <c r="FD31" i="11" s="1"/>
  <c r="FD33" i="11"/>
  <c r="FD67" i="11" s="1"/>
  <c r="EX55" i="338"/>
  <c r="EX54" i="338"/>
  <c r="EX18" i="338"/>
  <c r="EX96" i="338"/>
  <c r="EX97" i="338" s="1"/>
  <c r="EX19" i="338"/>
  <c r="EU359" i="335"/>
  <c r="EU80" i="11"/>
  <c r="EU84" i="11" s="1"/>
  <c r="EF90" i="11"/>
  <c r="DZ105" i="11"/>
  <c r="DZ94" i="11"/>
  <c r="DZ98" i="11" s="1"/>
  <c r="FF20" i="3"/>
  <c r="FE71" i="3"/>
  <c r="EN90" i="11"/>
  <c r="EH105" i="11"/>
  <c r="EH94" i="11"/>
  <c r="EH98" i="11" s="1"/>
  <c r="EH91" i="11"/>
  <c r="DT109" i="11"/>
  <c r="DT113" i="11" s="1"/>
  <c r="FC169" i="335"/>
  <c r="FC323" i="335" s="1"/>
  <c r="EB95" i="11"/>
  <c r="EB99" i="11" s="1"/>
  <c r="EB361" i="335"/>
  <c r="FL71" i="3"/>
  <c r="FM71" i="3" s="1"/>
  <c r="FM20" i="3"/>
  <c r="EB109" i="11"/>
  <c r="EB113" i="11" s="1"/>
  <c r="EB106" i="11"/>
  <c r="EQ53" i="336"/>
  <c r="EN414" i="335"/>
  <c r="EO414" i="335" s="1"/>
  <c r="CS215" i="336"/>
  <c r="EW61" i="336"/>
  <c r="ET422" i="335"/>
  <c r="EU422" i="335" s="1"/>
  <c r="ET71" i="336"/>
  <c r="ES432" i="335"/>
  <c r="ES91" i="11"/>
  <c r="ES94" i="11"/>
  <c r="ES98" i="11" s="1"/>
  <c r="ES105" i="11"/>
  <c r="FF277" i="338"/>
  <c r="FG291" i="338"/>
  <c r="FF282" i="338"/>
  <c r="FF731" i="338"/>
  <c r="FA315" i="338"/>
  <c r="FA388" i="335"/>
  <c r="FA393" i="335" s="1"/>
  <c r="FA285" i="338"/>
  <c r="FK319" i="338"/>
  <c r="FJ390" i="335"/>
  <c r="FJ282" i="338"/>
  <c r="FJ300" i="338"/>
  <c r="FJ301" i="338" s="1"/>
  <c r="EM109" i="11"/>
  <c r="EM113" i="11" s="1"/>
  <c r="EM106" i="11"/>
  <c r="FG298" i="338"/>
  <c r="FG759" i="338" s="1"/>
  <c r="FF280" i="338"/>
  <c r="FG774" i="338"/>
  <c r="EG110" i="11"/>
  <c r="EG114" i="11" s="1"/>
  <c r="EG121" i="11"/>
  <c r="EG125" i="11" s="1"/>
  <c r="EG129" i="11" s="1"/>
  <c r="EG362" i="335"/>
  <c r="EG360" i="335" s="1"/>
  <c r="FI283" i="338"/>
  <c r="FI387" i="335"/>
  <c r="EM95" i="11"/>
  <c r="EM99" i="11" s="1"/>
  <c r="EM361" i="335"/>
  <c r="FG749" i="338"/>
  <c r="FG748" i="338"/>
  <c r="FF281" i="338"/>
  <c r="FG281" i="338" s="1"/>
  <c r="FG288" i="338" s="1"/>
  <c r="FG299" i="338"/>
  <c r="FG780" i="338" s="1"/>
  <c r="FG781" i="338" s="1"/>
  <c r="AB47" i="3"/>
  <c r="AA49" i="3"/>
  <c r="AS103" i="3"/>
  <c r="AT101" i="3" s="1"/>
  <c r="AT103" i="3" s="1"/>
  <c r="AU101" i="3" s="1"/>
  <c r="AU103" i="3" s="1"/>
  <c r="AV101" i="3" s="1"/>
  <c r="AV103" i="3" s="1"/>
  <c r="AW101" i="3"/>
  <c r="AW103" i="3" s="1"/>
  <c r="AY101" i="3" s="1"/>
  <c r="FM435" i="335"/>
  <c r="DS266" i="336"/>
  <c r="DS271" i="336" s="1"/>
  <c r="DT266" i="336" s="1"/>
  <c r="DT271" i="336" s="1"/>
  <c r="DU266" i="336" s="1"/>
  <c r="DU271" i="336" s="1"/>
  <c r="DV266" i="336" s="1"/>
  <c r="DV271" i="336" s="1"/>
  <c r="DW266" i="336"/>
  <c r="EZ441" i="335"/>
  <c r="FA441" i="335" s="1"/>
  <c r="FC80" i="336"/>
  <c r="FF436" i="335"/>
  <c r="FG436" i="335" s="1"/>
  <c r="FI75" i="336"/>
  <c r="FJ91" i="336"/>
  <c r="FI452" i="335"/>
  <c r="DS425" i="335"/>
  <c r="DT64" i="336"/>
  <c r="FE443" i="335"/>
  <c r="FF82" i="336"/>
  <c r="FM19" i="336"/>
  <c r="FL29" i="3"/>
  <c r="FL30" i="3"/>
  <c r="DP84" i="336"/>
  <c r="DO445" i="335"/>
  <c r="ES59" i="336"/>
  <c r="ER420" i="335"/>
  <c r="FE428" i="335"/>
  <c r="FF67" i="336"/>
  <c r="FF63" i="336"/>
  <c r="FE424" i="335"/>
  <c r="FC449" i="335"/>
  <c r="FD88" i="336"/>
  <c r="EY73" i="336"/>
  <c r="EX434" i="335"/>
  <c r="DN60" i="336"/>
  <c r="DM421" i="335"/>
  <c r="DM48" i="336"/>
  <c r="FD437" i="335"/>
  <c r="FE76" i="336"/>
  <c r="FI79" i="336"/>
  <c r="FF440" i="335"/>
  <c r="FG440" i="335" s="1"/>
  <c r="EI175" i="336"/>
  <c r="FI76" i="11"/>
  <c r="FI79" i="11"/>
  <c r="FI83" i="11" s="1"/>
  <c r="FC377" i="335"/>
  <c r="FC408" i="338"/>
  <c r="FC19" i="3"/>
  <c r="FC70" i="3" s="1"/>
  <c r="DJ462" i="335"/>
  <c r="DJ208" i="335" s="1"/>
  <c r="DJ209" i="335" s="1"/>
  <c r="DK458" i="335"/>
  <c r="DK462" i="335" s="1"/>
  <c r="DM371" i="335"/>
  <c r="DM189" i="335"/>
  <c r="DM324" i="335"/>
  <c r="DM351" i="335"/>
  <c r="DM299" i="335"/>
  <c r="DO214" i="335"/>
  <c r="DO215" i="335" s="1"/>
  <c r="DO182" i="335"/>
  <c r="EW35" i="338"/>
  <c r="EW37" i="338" s="1"/>
  <c r="EW127" i="11"/>
  <c r="EW128" i="11"/>
  <c r="EX299" i="335"/>
  <c r="EX351" i="335"/>
  <c r="EX189" i="335"/>
  <c r="GA152" i="335"/>
  <c r="GA151" i="335"/>
  <c r="DJ25" i="3"/>
  <c r="DK9" i="3"/>
  <c r="DJ60" i="3"/>
  <c r="FI57" i="338"/>
  <c r="FI95" i="338"/>
  <c r="DN185" i="335"/>
  <c r="DN187" i="335"/>
  <c r="FT182" i="335"/>
  <c r="FT185" i="335" s="1"/>
  <c r="EW185" i="335"/>
  <c r="EW187" i="335"/>
  <c r="EY371" i="335" s="1"/>
  <c r="FZ182" i="335"/>
  <c r="FZ185" i="335" s="1"/>
  <c r="EZ112" i="336"/>
  <c r="EY394" i="338"/>
  <c r="EW674" i="338"/>
  <c r="EW683" i="338"/>
  <c r="DI183" i="336"/>
  <c r="DI208" i="336"/>
  <c r="DI210" i="336" s="1"/>
  <c r="DI211" i="336" s="1"/>
  <c r="FA26" i="11"/>
  <c r="FA32" i="11" s="1"/>
  <c r="FA358" i="335"/>
  <c r="FD409" i="338"/>
  <c r="FD124" i="336"/>
  <c r="FD125" i="336"/>
  <c r="DN106" i="3"/>
  <c r="DH114" i="3"/>
  <c r="DH115" i="3" s="1"/>
  <c r="DH106" i="3"/>
  <c r="DH108" i="3"/>
  <c r="DH109" i="3"/>
  <c r="FM8" i="338"/>
  <c r="FM12" i="338"/>
  <c r="FM17" i="338" s="1"/>
  <c r="DM217" i="335"/>
  <c r="DM218" i="335"/>
  <c r="EW356" i="335"/>
  <c r="DH199" i="336"/>
  <c r="DH192" i="336"/>
  <c r="DH196" i="336" s="1"/>
  <c r="DH175" i="336"/>
  <c r="FG721" i="338"/>
  <c r="FG726" i="338"/>
  <c r="FC25" i="11"/>
  <c r="FC31" i="11" s="1"/>
  <c r="FC31" i="3"/>
  <c r="FD31" i="3" s="1"/>
  <c r="FE31" i="3" s="1"/>
  <c r="DS180" i="335"/>
  <c r="DP176" i="335"/>
  <c r="DQ176" i="335" s="1"/>
  <c r="DQ180" i="335"/>
  <c r="FA82" i="11"/>
  <c r="FA21" i="11"/>
  <c r="FA355" i="335"/>
  <c r="FA24" i="11"/>
  <c r="FA30" i="11" s="1"/>
  <c r="FA37" i="11"/>
  <c r="EX114" i="3"/>
  <c r="EX115" i="3" s="1"/>
  <c r="EX458" i="335"/>
  <c r="EX459" i="335"/>
  <c r="EX461" i="335"/>
  <c r="EX460" i="335"/>
  <c r="EX199" i="335"/>
  <c r="EX375" i="335"/>
  <c r="DJ221" i="335"/>
  <c r="DJ499" i="338"/>
  <c r="GG439" i="338" s="1"/>
  <c r="GB43" i="335"/>
  <c r="DN218" i="335"/>
  <c r="DN217" i="335"/>
  <c r="FA171" i="335"/>
  <c r="FA350" i="335"/>
  <c r="FA298" i="335"/>
  <c r="FA170" i="335"/>
  <c r="FA368" i="335"/>
  <c r="EW215" i="335"/>
  <c r="EW213" i="335"/>
  <c r="EW33" i="11"/>
  <c r="ET690" i="338"/>
  <c r="ET686" i="338"/>
  <c r="FC163" i="338"/>
  <c r="FC161" i="338"/>
  <c r="FD161" i="338"/>
  <c r="DK219" i="335"/>
  <c r="DK220" i="335"/>
  <c r="DK207" i="336"/>
  <c r="FC168" i="335"/>
  <c r="FC366" i="335"/>
  <c r="FC321" i="335"/>
  <c r="FC348" i="335"/>
  <c r="FC296" i="335"/>
  <c r="FC367" i="335"/>
  <c r="FC369" i="335" s="1"/>
  <c r="GA167" i="335"/>
  <c r="FD367" i="335"/>
  <c r="FD369" i="335" s="1"/>
  <c r="FD366" i="335"/>
  <c r="FD321" i="335"/>
  <c r="FC316" i="338"/>
  <c r="FC24" i="336"/>
  <c r="FE409" i="338"/>
  <c r="FE124" i="336"/>
  <c r="FE125" i="336"/>
  <c r="FA357" i="335"/>
  <c r="FA38" i="11"/>
  <c r="FA25" i="11"/>
  <c r="FA31" i="11" s="1"/>
  <c r="FC359" i="335"/>
  <c r="FC80" i="11"/>
  <c r="FC84" i="11" s="1"/>
  <c r="FI385" i="335"/>
  <c r="DM375" i="335"/>
  <c r="DM458" i="335"/>
  <c r="DM459" i="335"/>
  <c r="DM461" i="335"/>
  <c r="DM199" i="335"/>
  <c r="DM503" i="338"/>
  <c r="DM460" i="335"/>
  <c r="DM114" i="3"/>
  <c r="FC37" i="11"/>
  <c r="EW39" i="11"/>
  <c r="FA83" i="11"/>
  <c r="EX218" i="335"/>
  <c r="EX217" i="335"/>
  <c r="FC217" i="335" s="1"/>
  <c r="FD217" i="335" s="1"/>
  <c r="FE217" i="335" s="1"/>
  <c r="FF217" i="335" s="1"/>
  <c r="FI217" i="335" s="1"/>
  <c r="FJ217" i="335" s="1"/>
  <c r="FK217" i="335" s="1"/>
  <c r="FL217" i="335" s="1"/>
  <c r="DY179" i="335"/>
  <c r="DI209" i="335"/>
  <c r="DK208" i="335"/>
  <c r="DK209" i="335" s="1"/>
  <c r="DJ184" i="336"/>
  <c r="EU690" i="338"/>
  <c r="EU686" i="338"/>
  <c r="DI499" i="338"/>
  <c r="DI221" i="335"/>
  <c r="DG173" i="336"/>
  <c r="DG178" i="336"/>
  <c r="GA148" i="335"/>
  <c r="GA149" i="335"/>
  <c r="FG57" i="338"/>
  <c r="FG95" i="338"/>
  <c r="DK223" i="336"/>
  <c r="DK351" i="335"/>
  <c r="DK189" i="335"/>
  <c r="DK299" i="335"/>
  <c r="FC33" i="11"/>
  <c r="FC67" i="11" s="1"/>
  <c r="FC409" i="338"/>
  <c r="FC125" i="336"/>
  <c r="FC124" i="336"/>
  <c r="DJ201" i="335"/>
  <c r="DJ202" i="335" s="1"/>
  <c r="DJ203" i="335" s="1"/>
  <c r="DJ200" i="335"/>
  <c r="DJ489" i="338"/>
  <c r="DI488" i="338"/>
  <c r="GF430" i="338" s="1"/>
  <c r="FA722" i="338"/>
  <c r="FA734" i="338"/>
  <c r="DG105" i="3"/>
  <c r="DM77" i="3"/>
  <c r="DG77" i="3"/>
  <c r="DG383" i="335"/>
  <c r="DG99" i="3"/>
  <c r="DG373" i="335"/>
  <c r="FM725" i="338"/>
  <c r="FM43" i="335"/>
  <c r="FM280" i="335"/>
  <c r="FM58" i="338"/>
  <c r="FZ170" i="335"/>
  <c r="FG388" i="338"/>
  <c r="FA388" i="338"/>
  <c r="FM388" i="338"/>
  <c r="FA777" i="338"/>
  <c r="EQ208" i="336"/>
  <c r="EQ210" i="336" s="1"/>
  <c r="EQ211" i="336" s="1"/>
  <c r="EQ183" i="336"/>
  <c r="EU184" i="336"/>
  <c r="EU208" i="336" s="1"/>
  <c r="EU210" i="336" s="1"/>
  <c r="DI202" i="335"/>
  <c r="DI203" i="335" s="1"/>
  <c r="GA155" i="335"/>
  <c r="GA154" i="335"/>
  <c r="FA127" i="336"/>
  <c r="FA124" i="336"/>
  <c r="DH373" i="335"/>
  <c r="DJ300" i="335"/>
  <c r="DJ190" i="335"/>
  <c r="DJ196" i="335"/>
  <c r="DJ487" i="338"/>
  <c r="DJ372" i="335"/>
  <c r="DK372" i="335" s="1"/>
  <c r="DJ325" i="335"/>
  <c r="FC111" i="336"/>
  <c r="EZ11" i="336"/>
  <c r="FA11" i="336" s="1"/>
  <c r="FA111" i="336"/>
  <c r="FF77" i="336"/>
  <c r="FE438" i="335"/>
  <c r="FI89" i="336"/>
  <c r="FF450" i="335"/>
  <c r="FG450" i="335" s="1"/>
  <c r="CU215" i="336"/>
  <c r="CU213" i="336" s="1"/>
  <c r="CS213" i="336"/>
  <c r="FL16" i="3"/>
  <c r="ES430" i="335"/>
  <c r="ET69" i="336"/>
  <c r="DT62" i="336"/>
  <c r="DS423" i="335"/>
  <c r="DT85" i="336"/>
  <c r="DS446" i="335"/>
  <c r="FF72" i="336"/>
  <c r="FE433" i="335"/>
  <c r="EM199" i="336"/>
  <c r="EM175" i="336"/>
  <c r="EM192" i="336"/>
  <c r="EM196" i="336" s="1"/>
  <c r="EN690" i="338" l="1"/>
  <c r="EN686" i="338"/>
  <c r="FL76" i="11"/>
  <c r="FL79" i="11"/>
  <c r="FL83" i="11" s="1"/>
  <c r="AK300" i="335"/>
  <c r="AK190" i="335"/>
  <c r="AQ300" i="335"/>
  <c r="AQ190" i="335"/>
  <c r="FF80" i="11"/>
  <c r="FF84" i="11" s="1"/>
  <c r="FF359" i="335"/>
  <c r="FL95" i="338"/>
  <c r="FL57" i="338"/>
  <c r="EO690" i="338"/>
  <c r="EO686" i="338"/>
  <c r="EZ80" i="11"/>
  <c r="EZ84" i="11" s="1"/>
  <c r="EZ359" i="335"/>
  <c r="EK199" i="336"/>
  <c r="EK175" i="336"/>
  <c r="EK192" i="336"/>
  <c r="EK196" i="336" s="1"/>
  <c r="DK221" i="335"/>
  <c r="FM119" i="336"/>
  <c r="FM395" i="338" s="1"/>
  <c r="FL395" i="338"/>
  <c r="EO173" i="336"/>
  <c r="EO175" i="336" s="1"/>
  <c r="EU175" i="336" s="1"/>
  <c r="DQ241" i="335"/>
  <c r="DQ247" i="335"/>
  <c r="DW251" i="335" s="1"/>
  <c r="FF214" i="338"/>
  <c r="FA214" i="338"/>
  <c r="FA215" i="338" s="1"/>
  <c r="DN137" i="336"/>
  <c r="DO134" i="336"/>
  <c r="DO139" i="336" s="1"/>
  <c r="DO140" i="336" s="1"/>
  <c r="DN135" i="336"/>
  <c r="CY210" i="336"/>
  <c r="DE203" i="335"/>
  <c r="CG462" i="335"/>
  <c r="EO178" i="336"/>
  <c r="FG76" i="11"/>
  <c r="FG80" i="11" s="1"/>
  <c r="FG84" i="11" s="1"/>
  <c r="FK76" i="11"/>
  <c r="FM75" i="11"/>
  <c r="FK79" i="11"/>
  <c r="FK83" i="11" s="1"/>
  <c r="FK95" i="338"/>
  <c r="FK57" i="338"/>
  <c r="CR203" i="335"/>
  <c r="CL187" i="336"/>
  <c r="CL178" i="336"/>
  <c r="CM178" i="336" s="1"/>
  <c r="CL173" i="336"/>
  <c r="CM183" i="336"/>
  <c r="CM187" i="336" s="1"/>
  <c r="CS97" i="338"/>
  <c r="FA80" i="11"/>
  <c r="FA84" i="11" s="1"/>
  <c r="CG221" i="335"/>
  <c r="FL64" i="335"/>
  <c r="FM64" i="335" s="1"/>
  <c r="GB64" i="335"/>
  <c r="FG64" i="335"/>
  <c r="CE371" i="335"/>
  <c r="CI371" i="335"/>
  <c r="CJ371" i="335"/>
  <c r="CE189" i="335"/>
  <c r="FO187" i="335"/>
  <c r="CE229" i="336"/>
  <c r="CE234" i="336" s="1"/>
  <c r="CE299" i="335"/>
  <c r="CK299" i="335"/>
  <c r="CE324" i="335"/>
  <c r="CG187" i="335"/>
  <c r="CE351" i="335"/>
  <c r="CF324" i="335"/>
  <c r="CF371" i="335"/>
  <c r="CG371" i="335" s="1"/>
  <c r="FM53" i="338"/>
  <c r="FM39" i="338"/>
  <c r="CF211" i="336"/>
  <c r="CI206" i="336"/>
  <c r="CI210" i="336" s="1"/>
  <c r="FL65" i="335"/>
  <c r="FM65" i="335" s="1"/>
  <c r="GB65" i="335"/>
  <c r="FG65" i="335"/>
  <c r="CO178" i="336"/>
  <c r="CS178" i="336" s="1"/>
  <c r="CO187" i="336"/>
  <c r="CP187" i="336" s="1"/>
  <c r="CP186" i="336" s="1"/>
  <c r="CO173" i="336"/>
  <c r="CS183" i="336"/>
  <c r="CF239" i="336"/>
  <c r="CF240" i="336" s="1"/>
  <c r="CF512" i="338"/>
  <c r="CS55" i="338"/>
  <c r="CY97" i="338"/>
  <c r="CS60" i="3"/>
  <c r="CS76" i="3" s="1"/>
  <c r="CO76" i="3"/>
  <c r="CP373" i="335" s="1"/>
  <c r="CF201" i="335"/>
  <c r="CF202" i="335" s="1"/>
  <c r="CF203" i="335" s="1"/>
  <c r="CF200" i="335"/>
  <c r="CM210" i="336"/>
  <c r="CG208" i="335"/>
  <c r="CG209" i="335" s="1"/>
  <c r="CE209" i="335"/>
  <c r="CG114" i="3"/>
  <c r="CM115" i="3" s="1"/>
  <c r="CD535" i="338"/>
  <c r="CE535" i="338"/>
  <c r="CC535" i="338"/>
  <c r="CG375" i="335"/>
  <c r="CS210" i="336"/>
  <c r="CO45" i="3"/>
  <c r="CO51" i="3"/>
  <c r="CO87" i="3" s="1"/>
  <c r="FK108" i="11"/>
  <c r="FK112" i="11" s="1"/>
  <c r="FM104" i="11"/>
  <c r="DE183" i="336"/>
  <c r="DD178" i="336"/>
  <c r="DE178" i="336" s="1"/>
  <c r="DD173" i="336"/>
  <c r="EL192" i="336"/>
  <c r="EL196" i="336" s="1"/>
  <c r="EL175" i="336"/>
  <c r="EL199" i="336"/>
  <c r="CF234" i="336"/>
  <c r="CF233" i="336"/>
  <c r="CS221" i="335"/>
  <c r="CM221" i="335"/>
  <c r="CG156" i="335"/>
  <c r="CK158" i="335"/>
  <c r="CE199" i="335"/>
  <c r="CE157" i="335"/>
  <c r="FO156" i="335"/>
  <c r="CE158" i="335"/>
  <c r="CE159" i="335"/>
  <c r="CY55" i="338"/>
  <c r="CE187" i="336"/>
  <c r="CE173" i="336"/>
  <c r="CF183" i="336"/>
  <c r="CE178" i="336"/>
  <c r="CF178" i="336" s="1"/>
  <c r="CE239" i="336"/>
  <c r="CE512" i="338"/>
  <c r="FG119" i="11"/>
  <c r="FG123" i="11" s="1"/>
  <c r="FG127" i="11" s="1"/>
  <c r="FG108" i="11"/>
  <c r="FG112" i="11" s="1"/>
  <c r="CW203" i="335"/>
  <c r="DC203" i="335"/>
  <c r="CG235" i="335"/>
  <c r="CG231" i="336"/>
  <c r="CG232" i="336" s="1"/>
  <c r="CG236" i="335"/>
  <c r="CG239" i="336" s="1"/>
  <c r="EN199" i="336"/>
  <c r="EN175" i="336"/>
  <c r="EN192" i="336"/>
  <c r="EN196" i="336" s="1"/>
  <c r="CW178" i="336"/>
  <c r="CY178" i="336" s="1"/>
  <c r="CW173" i="336"/>
  <c r="CW187" i="336"/>
  <c r="CY183" i="336"/>
  <c r="CY187" i="336" s="1"/>
  <c r="CP383" i="335"/>
  <c r="CP397" i="335" s="1"/>
  <c r="CU398" i="335" s="1"/>
  <c r="CU373" i="335"/>
  <c r="CP87" i="3"/>
  <c r="CP105" i="3"/>
  <c r="CP99" i="3"/>
  <c r="DE210" i="336"/>
  <c r="FC298" i="335"/>
  <c r="DQ19" i="338"/>
  <c r="DQ54" i="338"/>
  <c r="DW248" i="335"/>
  <c r="DW240" i="335" s="1"/>
  <c r="DW241" i="335" s="1"/>
  <c r="DQ96" i="338"/>
  <c r="BQ199" i="336"/>
  <c r="BQ192" i="336"/>
  <c r="BQ196" i="336" s="1"/>
  <c r="BQ175" i="336"/>
  <c r="BT173" i="336"/>
  <c r="DQ55" i="338"/>
  <c r="DW34" i="11"/>
  <c r="DW162" i="338"/>
  <c r="DW164" i="338" s="1"/>
  <c r="DS507" i="338"/>
  <c r="DS164" i="338"/>
  <c r="BO300" i="335"/>
  <c r="BO190" i="335"/>
  <c r="BU190" i="335"/>
  <c r="BO237" i="336"/>
  <c r="BO240" i="336" s="1"/>
  <c r="BU300" i="335"/>
  <c r="DY90" i="11"/>
  <c r="DS94" i="11"/>
  <c r="DS98" i="11" s="1"/>
  <c r="DS105" i="11"/>
  <c r="DW90" i="11"/>
  <c r="DW54" i="338"/>
  <c r="DW109" i="338"/>
  <c r="DW110" i="338" s="1"/>
  <c r="DW55" i="338"/>
  <c r="DW18" i="338"/>
  <c r="DW19" i="338"/>
  <c r="DW96" i="338"/>
  <c r="CS263" i="335"/>
  <c r="CI263" i="335"/>
  <c r="CL263" i="335"/>
  <c r="CK263" i="335"/>
  <c r="CJ263" i="335"/>
  <c r="CA115" i="3"/>
  <c r="BK202" i="335"/>
  <c r="BQ203" i="335" s="1"/>
  <c r="BO201" i="335"/>
  <c r="BO202" i="335" s="1"/>
  <c r="BU203" i="335" s="1"/>
  <c r="BW175" i="336"/>
  <c r="BW192" i="336"/>
  <c r="BW196" i="336" s="1"/>
  <c r="BW199" i="336"/>
  <c r="BZ173" i="336"/>
  <c r="CA386" i="338"/>
  <c r="CA229" i="336"/>
  <c r="CA234" i="336" s="1"/>
  <c r="CA223" i="336"/>
  <c r="CA351" i="335"/>
  <c r="CA189" i="335"/>
  <c r="CA299" i="335"/>
  <c r="CG299" i="335"/>
  <c r="BW237" i="336"/>
  <c r="BW240" i="336" s="1"/>
  <c r="BW325" i="335"/>
  <c r="BW487" i="338"/>
  <c r="BW190" i="335"/>
  <c r="CC300" i="335"/>
  <c r="CC190" i="335"/>
  <c r="BW300" i="335"/>
  <c r="BW372" i="335"/>
  <c r="BY372" i="335"/>
  <c r="BX372" i="335"/>
  <c r="BX325" i="335"/>
  <c r="BZ372" i="335"/>
  <c r="CA372" i="335" s="1"/>
  <c r="DS97" i="338"/>
  <c r="BT203" i="335"/>
  <c r="BZ203" i="335"/>
  <c r="EU18" i="338"/>
  <c r="EU96" i="338"/>
  <c r="EU97" i="338" s="1"/>
  <c r="EU54" i="338"/>
  <c r="EU55" i="338"/>
  <c r="EU19" i="338"/>
  <c r="CA157" i="335"/>
  <c r="CA158" i="335"/>
  <c r="CG158" i="335"/>
  <c r="DQ174" i="335"/>
  <c r="FK230" i="338"/>
  <c r="FK225" i="338"/>
  <c r="EO230" i="338"/>
  <c r="ET173" i="336"/>
  <c r="ET178" i="336"/>
  <c r="BW263" i="336"/>
  <c r="BW233" i="336"/>
  <c r="DM507" i="338"/>
  <c r="BW200" i="335"/>
  <c r="BW201" i="335"/>
  <c r="CA199" i="335"/>
  <c r="CA200" i="335" s="1"/>
  <c r="DQ389" i="338"/>
  <c r="BO263" i="336"/>
  <c r="BO233" i="336"/>
  <c r="BO234" i="336"/>
  <c r="FC170" i="335"/>
  <c r="FC375" i="335"/>
  <c r="FD323" i="335"/>
  <c r="EY109" i="11"/>
  <c r="EY113" i="11" s="1"/>
  <c r="EY106" i="11"/>
  <c r="EY121" i="11" s="1"/>
  <c r="EY95" i="11"/>
  <c r="EY99" i="11" s="1"/>
  <c r="EZ73" i="3"/>
  <c r="FA73" i="3" s="1"/>
  <c r="FL320" i="338"/>
  <c r="FK391" i="335"/>
  <c r="EU218" i="338"/>
  <c r="EZ224" i="338"/>
  <c r="EZ230" i="338" s="1"/>
  <c r="EZ218" i="338"/>
  <c r="FA217" i="338"/>
  <c r="EY325" i="335"/>
  <c r="FL221" i="338"/>
  <c r="FF217" i="338"/>
  <c r="FG221" i="338"/>
  <c r="FG222" i="338" s="1"/>
  <c r="ET225" i="338"/>
  <c r="EU224" i="338"/>
  <c r="EU225" i="338" s="1"/>
  <c r="FF65" i="336"/>
  <c r="FE426" i="335"/>
  <c r="FE427" i="335"/>
  <c r="FF66" i="336"/>
  <c r="FF68" i="336"/>
  <c r="FE429" i="335"/>
  <c r="FC350" i="335"/>
  <c r="FD368" i="335"/>
  <c r="FC368" i="335"/>
  <c r="FE162" i="338"/>
  <c r="FE34" i="11"/>
  <c r="FA356" i="335"/>
  <c r="FE367" i="335"/>
  <c r="FE369" i="335" s="1"/>
  <c r="FE28" i="336"/>
  <c r="FE34" i="336"/>
  <c r="FE27" i="336"/>
  <c r="FE397" i="338" s="1"/>
  <c r="GA169" i="335"/>
  <c r="GA170" i="335" s="1"/>
  <c r="FC171" i="335"/>
  <c r="FD26" i="11"/>
  <c r="FD32" i="11" s="1"/>
  <c r="FF144" i="335"/>
  <c r="EZ75" i="3"/>
  <c r="FA75" i="3" s="1"/>
  <c r="FA24" i="3"/>
  <c r="GB105" i="335"/>
  <c r="FF122" i="336"/>
  <c r="FF144" i="336"/>
  <c r="FG144" i="336" s="1"/>
  <c r="FG145" i="336" s="1"/>
  <c r="FF113" i="336"/>
  <c r="FG113" i="336" s="1"/>
  <c r="FG365" i="335"/>
  <c r="FF347" i="335"/>
  <c r="FF155" i="335"/>
  <c r="FF320" i="335"/>
  <c r="FF295" i="335"/>
  <c r="FG153" i="335"/>
  <c r="FF318" i="335"/>
  <c r="FF345" i="335"/>
  <c r="FF293" i="335"/>
  <c r="FF167" i="335"/>
  <c r="FF169" i="335" s="1"/>
  <c r="FF149" i="335"/>
  <c r="FG147" i="335"/>
  <c r="FF100" i="335"/>
  <c r="FF101" i="335"/>
  <c r="FG99" i="335"/>
  <c r="FG100" i="335" s="1"/>
  <c r="FF27" i="11"/>
  <c r="FF12" i="11"/>
  <c r="FF13" i="11"/>
  <c r="FJ105" i="335"/>
  <c r="FJ141" i="335"/>
  <c r="GB141" i="335" s="1"/>
  <c r="FJ53" i="335"/>
  <c r="GB52" i="335"/>
  <c r="GB53" i="335" s="1"/>
  <c r="FJ54" i="335"/>
  <c r="FE163" i="338"/>
  <c r="FE161" i="338"/>
  <c r="FI292" i="335"/>
  <c r="FI317" i="335"/>
  <c r="FI343" i="335"/>
  <c r="FE25" i="11"/>
  <c r="FE31" i="11" s="1"/>
  <c r="FE357" i="335"/>
  <c r="FG10" i="336"/>
  <c r="FM128" i="336" s="1"/>
  <c r="FF408" i="338"/>
  <c r="FG408" i="338" s="1"/>
  <c r="FF377" i="335"/>
  <c r="FG377" i="335" s="1"/>
  <c r="FF160" i="338"/>
  <c r="FF113" i="338"/>
  <c r="FG770" i="338"/>
  <c r="FG769" i="338"/>
  <c r="FF317" i="335"/>
  <c r="FF292" i="335"/>
  <c r="FF343" i="335"/>
  <c r="FG141" i="335"/>
  <c r="FG143" i="335" s="1"/>
  <c r="FG144" i="335" s="1"/>
  <c r="FE14" i="11"/>
  <c r="FE355" i="335"/>
  <c r="FE24" i="11"/>
  <c r="FE30" i="11" s="1"/>
  <c r="FF328" i="338"/>
  <c r="FG327" i="338"/>
  <c r="FG328" i="338" s="1"/>
  <c r="FF326" i="338"/>
  <c r="FG325" i="338"/>
  <c r="FG326" i="338" s="1"/>
  <c r="FF319" i="335"/>
  <c r="FF346" i="335"/>
  <c r="FF152" i="335"/>
  <c r="FF294" i="335"/>
  <c r="FF370" i="335"/>
  <c r="FG370" i="335" s="1"/>
  <c r="FG150" i="335"/>
  <c r="GB87" i="335"/>
  <c r="FJ88" i="335"/>
  <c r="FJ96" i="335"/>
  <c r="GB96" i="335" s="1"/>
  <c r="FJ91" i="335"/>
  <c r="FJ313" i="338" s="1"/>
  <c r="FJ311" i="335"/>
  <c r="FJ286" i="335"/>
  <c r="FJ89" i="335"/>
  <c r="FJ85" i="335"/>
  <c r="FJ84" i="335"/>
  <c r="FI328" i="335"/>
  <c r="FI341" i="335"/>
  <c r="FI327" i="338"/>
  <c r="FI328" i="338" s="1"/>
  <c r="FI325" i="338"/>
  <c r="FI326" i="338" s="1"/>
  <c r="FI290" i="335"/>
  <c r="FI336" i="335"/>
  <c r="FI365" i="335"/>
  <c r="FI331" i="335"/>
  <c r="FI330" i="335"/>
  <c r="FI99" i="335"/>
  <c r="FI49" i="11"/>
  <c r="FI58" i="11" s="1"/>
  <c r="FI93" i="335"/>
  <c r="FI150" i="335"/>
  <c r="FI337" i="335"/>
  <c r="FI92" i="335"/>
  <c r="FI143" i="335"/>
  <c r="FI147" i="335"/>
  <c r="FI114" i="338"/>
  <c r="FI15" i="11"/>
  <c r="FI339" i="335"/>
  <c r="FI153" i="335"/>
  <c r="FI315" i="335"/>
  <c r="FI338" i="335"/>
  <c r="FI342" i="335"/>
  <c r="FI313" i="338"/>
  <c r="FI329" i="335"/>
  <c r="FE296" i="335"/>
  <c r="FE321" i="335"/>
  <c r="FE348" i="335"/>
  <c r="FE316" i="338"/>
  <c r="FE317" i="338" s="1"/>
  <c r="FE168" i="335"/>
  <c r="FE24" i="336"/>
  <c r="FE169" i="335"/>
  <c r="FE323" i="335" s="1"/>
  <c r="FG341" i="335"/>
  <c r="FG328" i="335"/>
  <c r="FG114" i="338"/>
  <c r="FG342" i="335"/>
  <c r="FG336" i="335"/>
  <c r="FG330" i="335"/>
  <c r="FG15" i="11"/>
  <c r="FG27" i="11" s="1"/>
  <c r="FG33" i="11" s="1"/>
  <c r="FG67" i="11" s="1"/>
  <c r="FG339" i="335"/>
  <c r="FG49" i="11"/>
  <c r="FG58" i="11" s="1"/>
  <c r="FG290" i="335"/>
  <c r="FG329" i="335"/>
  <c r="FG331" i="335"/>
  <c r="FG92" i="335"/>
  <c r="FG338" i="335"/>
  <c r="FG337" i="335"/>
  <c r="FK98" i="335"/>
  <c r="FK47" i="335"/>
  <c r="FK52" i="335"/>
  <c r="FK44" i="11"/>
  <c r="FK53" i="11" s="1"/>
  <c r="FK83" i="335"/>
  <c r="FL46" i="335"/>
  <c r="FK126" i="335"/>
  <c r="FK281" i="335"/>
  <c r="FK48" i="335"/>
  <c r="FK306" i="335"/>
  <c r="FK87" i="335"/>
  <c r="BC224" i="336"/>
  <c r="BC225" i="336" s="1"/>
  <c r="BI220" i="336"/>
  <c r="FE81" i="336"/>
  <c r="FD442" i="335"/>
  <c r="DV239" i="335"/>
  <c r="DV165" i="335" s="1"/>
  <c r="EH447" i="335"/>
  <c r="EI447" i="335" s="1"/>
  <c r="EK86" i="336"/>
  <c r="FD298" i="335"/>
  <c r="FD350" i="335"/>
  <c r="FD171" i="335"/>
  <c r="FD375" i="335"/>
  <c r="FD170" i="335"/>
  <c r="FD34" i="11"/>
  <c r="FD61" i="11"/>
  <c r="FD16" i="338" s="1"/>
  <c r="FD162" i="338"/>
  <c r="FD164" i="338" s="1"/>
  <c r="FJ359" i="335"/>
  <c r="FJ80" i="11"/>
  <c r="FJ84" i="11" s="1"/>
  <c r="FD356" i="335"/>
  <c r="EN94" i="11"/>
  <c r="EN98" i="11" s="1"/>
  <c r="EN105" i="11"/>
  <c r="EN91" i="11"/>
  <c r="ET90" i="11"/>
  <c r="DZ109" i="11"/>
  <c r="DZ113" i="11" s="1"/>
  <c r="EH95" i="11"/>
  <c r="EH99" i="11" s="1"/>
  <c r="EH361" i="335"/>
  <c r="EF94" i="11"/>
  <c r="EF98" i="11" s="1"/>
  <c r="EF105" i="11"/>
  <c r="EF91" i="11"/>
  <c r="EL90" i="11"/>
  <c r="FG20" i="3"/>
  <c r="FF71" i="3"/>
  <c r="FG71" i="3" s="1"/>
  <c r="EB121" i="11"/>
  <c r="EB125" i="11" s="1"/>
  <c r="EB129" i="11" s="1"/>
  <c r="EB362" i="335"/>
  <c r="EB360" i="335" s="1"/>
  <c r="EB110" i="11"/>
  <c r="EB114" i="11" s="1"/>
  <c r="EH109" i="11"/>
  <c r="EH113" i="11" s="1"/>
  <c r="EH106" i="11"/>
  <c r="EW422" i="335"/>
  <c r="EX61" i="336"/>
  <c r="ET432" i="335"/>
  <c r="EU432" i="335" s="1"/>
  <c r="EW71" i="336"/>
  <c r="CS214" i="336"/>
  <c r="ER53" i="336"/>
  <c r="EQ414" i="335"/>
  <c r="EW688" i="338"/>
  <c r="FF389" i="335"/>
  <c r="FF394" i="335" s="1"/>
  <c r="FG280" i="338"/>
  <c r="FG300" i="338"/>
  <c r="FG731" i="338"/>
  <c r="EY361" i="335"/>
  <c r="FG762" i="338"/>
  <c r="FG761" i="338"/>
  <c r="FK390" i="335"/>
  <c r="FL319" i="338"/>
  <c r="FK282" i="338"/>
  <c r="FK300" i="338"/>
  <c r="FK301" i="338" s="1"/>
  <c r="FF388" i="335"/>
  <c r="FF393" i="335" s="1"/>
  <c r="FG277" i="338"/>
  <c r="ES361" i="335"/>
  <c r="ES95" i="11"/>
  <c r="ES99" i="11" s="1"/>
  <c r="EM110" i="11"/>
  <c r="EM114" i="11" s="1"/>
  <c r="EM362" i="335"/>
  <c r="EM360" i="335" s="1"/>
  <c r="EM121" i="11"/>
  <c r="EM125" i="11" s="1"/>
  <c r="EM129" i="11" s="1"/>
  <c r="FF735" i="338"/>
  <c r="FF734" i="338"/>
  <c r="ES106" i="11"/>
  <c r="ES109" i="11"/>
  <c r="ES113" i="11" s="1"/>
  <c r="FJ387" i="335"/>
  <c r="FJ283" i="338"/>
  <c r="FF387" i="335"/>
  <c r="FF392" i="335" s="1"/>
  <c r="FF283" i="338"/>
  <c r="FG282" i="338"/>
  <c r="FF313" i="338"/>
  <c r="FG313" i="338" s="1"/>
  <c r="AC47" i="3"/>
  <c r="AB49" i="3"/>
  <c r="AY103" i="3"/>
  <c r="AZ101" i="3" s="1"/>
  <c r="AZ103" i="3" s="1"/>
  <c r="BA101" i="3" s="1"/>
  <c r="BA103" i="3" s="1"/>
  <c r="BB101" i="3" s="1"/>
  <c r="BB103" i="3" s="1"/>
  <c r="BE101" i="3" s="1"/>
  <c r="BC101" i="3"/>
  <c r="BC103" i="3" s="1"/>
  <c r="DW271" i="336"/>
  <c r="DW281" i="336" s="1"/>
  <c r="EC276" i="336" s="1"/>
  <c r="FJ79" i="336"/>
  <c r="FI440" i="335"/>
  <c r="FD449" i="335"/>
  <c r="FE88" i="336"/>
  <c r="DS84" i="336"/>
  <c r="DP445" i="335"/>
  <c r="DQ445" i="335" s="1"/>
  <c r="FM29" i="3"/>
  <c r="FL81" i="3"/>
  <c r="FM81" i="3" s="1"/>
  <c r="DT425" i="335"/>
  <c r="DU64" i="336"/>
  <c r="FJ75" i="336"/>
  <c r="FI436" i="335"/>
  <c r="FF76" i="336"/>
  <c r="FE437" i="335"/>
  <c r="DN421" i="335"/>
  <c r="DO60" i="336"/>
  <c r="DN48" i="336"/>
  <c r="FI63" i="336"/>
  <c r="FF424" i="335"/>
  <c r="FG424" i="335" s="1"/>
  <c r="FJ452" i="335"/>
  <c r="FK91" i="336"/>
  <c r="ES420" i="335"/>
  <c r="ET59" i="336"/>
  <c r="FI82" i="336"/>
  <c r="FF443" i="335"/>
  <c r="FG443" i="335" s="1"/>
  <c r="FD80" i="336"/>
  <c r="FC441" i="335"/>
  <c r="EZ73" i="336"/>
  <c r="EY434" i="335"/>
  <c r="FI67" i="336"/>
  <c r="FF428" i="335"/>
  <c r="FG428" i="335" s="1"/>
  <c r="FM30" i="3"/>
  <c r="FL82" i="3"/>
  <c r="FM82" i="3" s="1"/>
  <c r="DK201" i="335"/>
  <c r="DK202" i="335" s="1"/>
  <c r="DK203" i="335" s="1"/>
  <c r="FD19" i="3"/>
  <c r="FE19" i="3" s="1"/>
  <c r="DJ488" i="338"/>
  <c r="GG430" i="338" s="1"/>
  <c r="DM489" i="338"/>
  <c r="FE33" i="3"/>
  <c r="FE83" i="3"/>
  <c r="FA783" i="338"/>
  <c r="FA778" i="338"/>
  <c r="FM57" i="338"/>
  <c r="FM95" i="338"/>
  <c r="DG106" i="3"/>
  <c r="DG114" i="3"/>
  <c r="DG115" i="3" s="1"/>
  <c r="DM106" i="3"/>
  <c r="DG108" i="3"/>
  <c r="DG109" i="3"/>
  <c r="DJ208" i="336"/>
  <c r="DJ210" i="336" s="1"/>
  <c r="DJ211" i="336" s="1"/>
  <c r="DJ183" i="336"/>
  <c r="EX207" i="336"/>
  <c r="EX184" i="336" s="1"/>
  <c r="EX219" i="335"/>
  <c r="EX220" i="335"/>
  <c r="EX221" i="335" s="1"/>
  <c r="DM200" i="335"/>
  <c r="DM201" i="335"/>
  <c r="EX201" i="335"/>
  <c r="EX202" i="335" s="1"/>
  <c r="EX203" i="335" s="1"/>
  <c r="EX200" i="335"/>
  <c r="EX462" i="335"/>
  <c r="EX208" i="335" s="1"/>
  <c r="EX209" i="335" s="1"/>
  <c r="FA39" i="11"/>
  <c r="DT180" i="335"/>
  <c r="DS176" i="335"/>
  <c r="FG734" i="338"/>
  <c r="FG722" i="338"/>
  <c r="DM219" i="335"/>
  <c r="DM207" i="336"/>
  <c r="DM220" i="335"/>
  <c r="DN110" i="3"/>
  <c r="DH110" i="3"/>
  <c r="DN189" i="335"/>
  <c r="FT189" i="335" s="1"/>
  <c r="DN371" i="335"/>
  <c r="DN324" i="335"/>
  <c r="DN351" i="335"/>
  <c r="DN299" i="335"/>
  <c r="DJ76" i="3"/>
  <c r="DK60" i="3"/>
  <c r="DK76" i="3" s="1"/>
  <c r="EX190" i="335"/>
  <c r="EX300" i="335"/>
  <c r="EX487" i="338"/>
  <c r="FI359" i="335"/>
  <c r="FI80" i="11"/>
  <c r="FI84" i="11" s="1"/>
  <c r="FD111" i="336"/>
  <c r="FC11" i="336"/>
  <c r="DG397" i="335"/>
  <c r="FC61" i="11"/>
  <c r="FC16" i="338" s="1"/>
  <c r="FC162" i="338"/>
  <c r="FC164" i="338" s="1"/>
  <c r="DK300" i="335"/>
  <c r="DK190" i="335"/>
  <c r="FI377" i="335"/>
  <c r="FI408" i="338"/>
  <c r="FI19" i="3"/>
  <c r="FI70" i="3" s="1"/>
  <c r="FC317" i="338"/>
  <c r="EW67" i="11"/>
  <c r="EW34" i="11"/>
  <c r="FG359" i="335"/>
  <c r="DI173" i="336"/>
  <c r="DI178" i="336"/>
  <c r="EW371" i="335"/>
  <c r="EW351" i="335"/>
  <c r="EW324" i="335"/>
  <c r="EW299" i="335"/>
  <c r="EW189" i="335"/>
  <c r="EX325" i="335" s="1"/>
  <c r="FZ187" i="335"/>
  <c r="DN458" i="335"/>
  <c r="DN503" i="338"/>
  <c r="DN460" i="335"/>
  <c r="DN461" i="335"/>
  <c r="DN459" i="335"/>
  <c r="DN199" i="335"/>
  <c r="DN375" i="335"/>
  <c r="DN114" i="3"/>
  <c r="DN115" i="3" s="1"/>
  <c r="DO185" i="335"/>
  <c r="DO187" i="335"/>
  <c r="DO217" i="335"/>
  <c r="DO218" i="335"/>
  <c r="EQ173" i="336"/>
  <c r="EQ178" i="336"/>
  <c r="EU183" i="336"/>
  <c r="FC34" i="11"/>
  <c r="FE55" i="338"/>
  <c r="FE54" i="338"/>
  <c r="FE96" i="338"/>
  <c r="FE97" i="338" s="1"/>
  <c r="FE19" i="338"/>
  <c r="FE18" i="338"/>
  <c r="FE90" i="11"/>
  <c r="DG199" i="336"/>
  <c r="DG192" i="336"/>
  <c r="DG196" i="336" s="1"/>
  <c r="DG175" i="336"/>
  <c r="DZ179" i="335"/>
  <c r="FC27" i="336"/>
  <c r="FC397" i="338" s="1"/>
  <c r="FC34" i="336"/>
  <c r="FC24" i="3" s="1"/>
  <c r="FC75" i="3" s="1"/>
  <c r="FC28" i="336"/>
  <c r="DK184" i="336"/>
  <c r="DK208" i="336" s="1"/>
  <c r="DK210" i="336" s="1"/>
  <c r="DN219" i="335"/>
  <c r="DN220" i="335"/>
  <c r="DN207" i="336"/>
  <c r="DN184" i="336" s="1"/>
  <c r="FC83" i="3"/>
  <c r="FC33" i="3"/>
  <c r="EW685" i="338"/>
  <c r="EW458" i="335"/>
  <c r="EW460" i="335"/>
  <c r="FA460" i="335" s="1"/>
  <c r="EW461" i="335"/>
  <c r="EW459" i="335"/>
  <c r="EW114" i="3"/>
  <c r="EW115" i="3" s="1"/>
  <c r="EW199" i="335"/>
  <c r="EW375" i="335"/>
  <c r="DJ45" i="3"/>
  <c r="DK25" i="3"/>
  <c r="DJ51" i="3"/>
  <c r="DK51" i="3" s="1"/>
  <c r="EX324" i="335"/>
  <c r="FT187" i="335"/>
  <c r="DM325" i="335"/>
  <c r="DM372" i="335"/>
  <c r="DM190" i="335"/>
  <c r="DM487" i="338"/>
  <c r="DM196" i="335"/>
  <c r="DM300" i="335"/>
  <c r="FM79" i="11"/>
  <c r="FM83" i="11" s="1"/>
  <c r="FM76" i="11"/>
  <c r="FM726" i="338"/>
  <c r="FM721" i="338"/>
  <c r="FC39" i="11"/>
  <c r="FI37" i="11"/>
  <c r="FC12" i="11"/>
  <c r="DM462" i="335"/>
  <c r="DM208" i="335" s="1"/>
  <c r="FD83" i="3"/>
  <c r="FD33" i="3"/>
  <c r="FD27" i="336"/>
  <c r="FD34" i="336"/>
  <c r="FD28" i="336"/>
  <c r="EW217" i="335"/>
  <c r="EW218" i="335"/>
  <c r="FA389" i="338"/>
  <c r="FM389" i="338"/>
  <c r="FG389" i="338"/>
  <c r="FA35" i="338"/>
  <c r="FA37" i="338" s="1"/>
  <c r="FA127" i="11"/>
  <c r="FA33" i="11"/>
  <c r="DP182" i="335"/>
  <c r="DP214" i="335"/>
  <c r="FA112" i="336"/>
  <c r="FA394" i="338" s="1"/>
  <c r="EZ14" i="336"/>
  <c r="EZ394" i="338"/>
  <c r="FC112" i="336"/>
  <c r="EX371" i="335"/>
  <c r="CV215" i="336"/>
  <c r="CV213" i="336" s="1"/>
  <c r="ET430" i="335"/>
  <c r="EU430" i="335" s="1"/>
  <c r="EW69" i="336"/>
  <c r="FF433" i="335"/>
  <c r="FG433" i="335" s="1"/>
  <c r="FI72" i="336"/>
  <c r="FF438" i="335"/>
  <c r="FG438" i="335" s="1"/>
  <c r="FI77" i="336"/>
  <c r="DU85" i="336"/>
  <c r="DT446" i="335"/>
  <c r="DU62" i="336"/>
  <c r="DT423" i="335"/>
  <c r="FL67" i="3"/>
  <c r="FM67" i="3" s="1"/>
  <c r="FM16" i="3"/>
  <c r="FJ89" i="336"/>
  <c r="FI450" i="335"/>
  <c r="FL359" i="335" l="1"/>
  <c r="FL80" i="11"/>
  <c r="FL84" i="11" s="1"/>
  <c r="CS87" i="3"/>
  <c r="EO192" i="336"/>
  <c r="EO196" i="336" s="1"/>
  <c r="FL214" i="338"/>
  <c r="FM214" i="338" s="1"/>
  <c r="FG214" i="338"/>
  <c r="FG215" i="338" s="1"/>
  <c r="DO137" i="336"/>
  <c r="DP134" i="336"/>
  <c r="DO135" i="336"/>
  <c r="CG115" i="3"/>
  <c r="CP108" i="3"/>
  <c r="CV106" i="3"/>
  <c r="CP114" i="3"/>
  <c r="CP109" i="3"/>
  <c r="CP106" i="3"/>
  <c r="FM119" i="11"/>
  <c r="FM123" i="11" s="1"/>
  <c r="FM127" i="11" s="1"/>
  <c r="FM108" i="11"/>
  <c r="FM112" i="11" s="1"/>
  <c r="CO99" i="3"/>
  <c r="CO383" i="335"/>
  <c r="CO105" i="3"/>
  <c r="CO373" i="335"/>
  <c r="CQ373" i="335"/>
  <c r="CE200" i="335"/>
  <c r="CE201" i="335"/>
  <c r="CG199" i="335"/>
  <c r="CG200" i="335" s="1"/>
  <c r="CS105" i="3"/>
  <c r="CS99" i="3"/>
  <c r="CJ206" i="336"/>
  <c r="CJ210" i="336" s="1"/>
  <c r="CI211" i="336"/>
  <c r="CG386" i="338"/>
  <c r="CG229" i="336"/>
  <c r="CG189" i="335"/>
  <c r="CG300" i="335" s="1"/>
  <c r="CG223" i="336"/>
  <c r="CM299" i="335"/>
  <c r="CG351" i="335"/>
  <c r="CE263" i="336"/>
  <c r="CE233" i="336"/>
  <c r="CL203" i="335"/>
  <c r="DW247" i="335"/>
  <c r="EC251" i="335" s="1"/>
  <c r="CR373" i="335"/>
  <c r="CS373" i="335" s="1"/>
  <c r="CW199" i="336"/>
  <c r="CW175" i="336"/>
  <c r="CW192" i="336"/>
  <c r="CW196" i="336" s="1"/>
  <c r="CY173" i="336"/>
  <c r="CO199" i="336"/>
  <c r="CO192" i="336"/>
  <c r="CO196" i="336" s="1"/>
  <c r="CO175" i="336"/>
  <c r="CS173" i="336"/>
  <c r="CL192" i="336"/>
  <c r="CL196" i="336" s="1"/>
  <c r="CL175" i="336"/>
  <c r="CL199" i="336"/>
  <c r="CM173" i="336"/>
  <c r="CE199" i="336"/>
  <c r="CE192" i="336"/>
  <c r="CE196" i="336" s="1"/>
  <c r="CF173" i="336"/>
  <c r="CE175" i="336"/>
  <c r="CM158" i="335"/>
  <c r="CG157" i="335"/>
  <c r="DD199" i="336"/>
  <c r="DD175" i="336"/>
  <c r="DD192" i="336"/>
  <c r="DD196" i="336" s="1"/>
  <c r="DE173" i="336"/>
  <c r="CS186" i="336"/>
  <c r="CS187" i="336" s="1"/>
  <c r="CP174" i="336"/>
  <c r="CJ372" i="335"/>
  <c r="CF372" i="335"/>
  <c r="CG372" i="335" s="1"/>
  <c r="CE372" i="335"/>
  <c r="FO189" i="335"/>
  <c r="FP190" i="335" s="1"/>
  <c r="CE487" i="338"/>
  <c r="CK190" i="335"/>
  <c r="CK300" i="335"/>
  <c r="CE325" i="335"/>
  <c r="CF325" i="335"/>
  <c r="CI372" i="335"/>
  <c r="CE190" i="335"/>
  <c r="CE237" i="336"/>
  <c r="CE240" i="336" s="1"/>
  <c r="CE300" i="335"/>
  <c r="FK359" i="335"/>
  <c r="FK80" i="11"/>
  <c r="FK84" i="11" s="1"/>
  <c r="BT175" i="336"/>
  <c r="BT192" i="336"/>
  <c r="BT196" i="336" s="1"/>
  <c r="BT199" i="336"/>
  <c r="DQ97" i="338"/>
  <c r="BZ192" i="336"/>
  <c r="BZ196" i="336" s="1"/>
  <c r="BZ199" i="336"/>
  <c r="BZ175" i="336"/>
  <c r="DW94" i="11"/>
  <c r="DW98" i="11" s="1"/>
  <c r="DW91" i="11"/>
  <c r="BW202" i="335"/>
  <c r="CA201" i="335"/>
  <c r="CA202" i="335" s="1"/>
  <c r="DW97" i="338"/>
  <c r="ET192" i="336"/>
  <c r="ET196" i="336" s="1"/>
  <c r="ET175" i="336"/>
  <c r="ET199" i="336"/>
  <c r="BX489" i="338"/>
  <c r="BW488" i="338"/>
  <c r="CY263" i="335"/>
  <c r="CQ263" i="335"/>
  <c r="CP263" i="335"/>
  <c r="CR263" i="335"/>
  <c r="CO263" i="335"/>
  <c r="DS109" i="11"/>
  <c r="DS113" i="11" s="1"/>
  <c r="DW105" i="11"/>
  <c r="CA300" i="335"/>
  <c r="BZ527" i="338"/>
  <c r="CA190" i="335"/>
  <c r="BX527" i="338"/>
  <c r="BY527" i="338"/>
  <c r="BW527" i="338"/>
  <c r="CA237" i="336"/>
  <c r="CA240" i="336" s="1"/>
  <c r="CA233" i="336"/>
  <c r="CA263" i="336"/>
  <c r="BZ263" i="336" s="1"/>
  <c r="DY105" i="11"/>
  <c r="DY94" i="11"/>
  <c r="DY98" i="11" s="1"/>
  <c r="EE90" i="11"/>
  <c r="EC90" i="11"/>
  <c r="FF316" i="338"/>
  <c r="FF317" i="338" s="1"/>
  <c r="EY110" i="11"/>
  <c r="EY114" i="11" s="1"/>
  <c r="FF224" i="338"/>
  <c r="FF230" i="338" s="1"/>
  <c r="FF218" i="338"/>
  <c r="FG217" i="338"/>
  <c r="FA218" i="338"/>
  <c r="EU230" i="338"/>
  <c r="FL217" i="338"/>
  <c r="FM221" i="338"/>
  <c r="FM222" i="338" s="1"/>
  <c r="EY372" i="335"/>
  <c r="EZ225" i="338"/>
  <c r="FA224" i="338"/>
  <c r="FA225" i="338" s="1"/>
  <c r="FM320" i="338"/>
  <c r="FL391" i="335"/>
  <c r="DM115" i="3"/>
  <c r="FF427" i="335"/>
  <c r="FG427" i="335" s="1"/>
  <c r="FI66" i="336"/>
  <c r="FF429" i="335"/>
  <c r="FG429" i="335" s="1"/>
  <c r="FI68" i="336"/>
  <c r="FI65" i="336"/>
  <c r="FF426" i="335"/>
  <c r="FG426" i="335" s="1"/>
  <c r="FF24" i="336"/>
  <c r="FG24" i="336" s="1"/>
  <c r="FE30" i="336"/>
  <c r="FF31" i="3"/>
  <c r="FF83" i="3" s="1"/>
  <c r="FG83" i="3" s="1"/>
  <c r="FE164" i="338"/>
  <c r="FG162" i="338"/>
  <c r="FG777" i="338"/>
  <c r="FG783" i="338" s="1"/>
  <c r="FG34" i="11"/>
  <c r="FK96" i="335"/>
  <c r="FK311" i="335"/>
  <c r="FK286" i="335"/>
  <c r="FK89" i="335"/>
  <c r="FK88" i="335"/>
  <c r="FK91" i="335"/>
  <c r="FK313" i="338" s="1"/>
  <c r="FG61" i="11"/>
  <c r="FG16" i="338" s="1"/>
  <c r="FE350" i="335"/>
  <c r="FE375" i="335"/>
  <c r="FE298" i="335"/>
  <c r="FE171" i="335"/>
  <c r="FE170" i="335"/>
  <c r="FG169" i="335"/>
  <c r="FI13" i="11"/>
  <c r="FI27" i="11"/>
  <c r="FI33" i="11" s="1"/>
  <c r="FI67" i="11" s="1"/>
  <c r="FI61" i="11" s="1"/>
  <c r="FI16" i="338" s="1"/>
  <c r="FI113" i="336"/>
  <c r="FI122" i="336"/>
  <c r="FI144" i="336"/>
  <c r="FI31" i="3" s="1"/>
  <c r="FI33" i="3" s="1"/>
  <c r="FF14" i="11"/>
  <c r="FF355" i="335"/>
  <c r="FF24" i="11"/>
  <c r="FF30" i="11" s="1"/>
  <c r="FK104" i="335"/>
  <c r="FK54" i="335"/>
  <c r="FK53" i="335"/>
  <c r="FG160" i="338"/>
  <c r="FG163" i="338" s="1"/>
  <c r="FG113" i="338"/>
  <c r="FI160" i="338"/>
  <c r="FI113" i="338"/>
  <c r="FI101" i="335"/>
  <c r="FI100" i="335"/>
  <c r="FJ341" i="335"/>
  <c r="FJ153" i="335"/>
  <c r="GB153" i="335" s="1"/>
  <c r="FJ147" i="335"/>
  <c r="GB147" i="335" s="1"/>
  <c r="FJ114" i="338"/>
  <c r="FJ150" i="335"/>
  <c r="GB150" i="335" s="1"/>
  <c r="FJ143" i="335"/>
  <c r="FJ144" i="335" s="1"/>
  <c r="FJ330" i="335"/>
  <c r="FJ331" i="335"/>
  <c r="FJ342" i="335"/>
  <c r="FJ325" i="338"/>
  <c r="FJ326" i="338" s="1"/>
  <c r="FJ337" i="335"/>
  <c r="FJ336" i="335"/>
  <c r="FJ49" i="11"/>
  <c r="FJ58" i="11" s="1"/>
  <c r="FJ15" i="11"/>
  <c r="FJ315" i="335"/>
  <c r="FJ92" i="335"/>
  <c r="FJ99" i="335"/>
  <c r="GB99" i="335" s="1"/>
  <c r="GB100" i="335" s="1"/>
  <c r="FJ328" i="335"/>
  <c r="FJ338" i="335"/>
  <c r="FJ365" i="335"/>
  <c r="FJ392" i="335" s="1"/>
  <c r="FJ93" i="335"/>
  <c r="FJ329" i="335"/>
  <c r="FJ327" i="338"/>
  <c r="FJ328" i="338" s="1"/>
  <c r="FJ339" i="335"/>
  <c r="FJ10" i="336"/>
  <c r="FJ19" i="3" s="1"/>
  <c r="FJ290" i="335"/>
  <c r="GB88" i="335"/>
  <c r="GB91" i="335"/>
  <c r="GB92" i="335" s="1"/>
  <c r="FG343" i="335"/>
  <c r="FG754" i="338"/>
  <c r="FG292" i="335"/>
  <c r="FF161" i="338"/>
  <c r="FF163" i="338"/>
  <c r="FE368" i="335"/>
  <c r="FF33" i="11"/>
  <c r="FF67" i="11" s="1"/>
  <c r="FG167" i="335"/>
  <c r="FG345" i="335"/>
  <c r="FG149" i="335"/>
  <c r="FG293" i="335"/>
  <c r="FF323" i="335"/>
  <c r="FF171" i="335"/>
  <c r="FF298" i="335"/>
  <c r="FF375" i="335"/>
  <c r="FF170" i="335"/>
  <c r="FF350" i="335"/>
  <c r="FF368" i="335"/>
  <c r="FL98" i="335"/>
  <c r="FM98" i="335" s="1"/>
  <c r="FL48" i="335"/>
  <c r="FL87" i="335"/>
  <c r="FL126" i="335"/>
  <c r="FL104" i="335" s="1"/>
  <c r="FL44" i="11"/>
  <c r="FL53" i="11" s="1"/>
  <c r="FL281" i="335"/>
  <c r="FL306" i="335"/>
  <c r="FL47" i="335"/>
  <c r="FL83" i="335"/>
  <c r="FL52" i="335"/>
  <c r="FI347" i="335"/>
  <c r="FI155" i="335"/>
  <c r="FI320" i="335"/>
  <c r="FI295" i="335"/>
  <c r="FI293" i="335"/>
  <c r="FI318" i="335"/>
  <c r="FI149" i="335"/>
  <c r="FI345" i="335"/>
  <c r="FI167" i="335"/>
  <c r="FI169" i="335" s="1"/>
  <c r="FI319" i="335"/>
  <c r="FI346" i="335"/>
  <c r="FI294" i="335"/>
  <c r="FI370" i="335"/>
  <c r="FI152" i="335"/>
  <c r="FK85" i="335"/>
  <c r="FK84" i="335"/>
  <c r="FI144" i="335"/>
  <c r="FG346" i="335"/>
  <c r="FG152" i="335"/>
  <c r="FG151" i="335"/>
  <c r="FG294" i="335"/>
  <c r="FE26" i="11"/>
  <c r="FE32" i="11" s="1"/>
  <c r="FE358" i="335"/>
  <c r="FE356" i="335" s="1"/>
  <c r="FJ317" i="335"/>
  <c r="FJ292" i="335"/>
  <c r="FJ343" i="335"/>
  <c r="FF357" i="335"/>
  <c r="FF25" i="11"/>
  <c r="FF31" i="11" s="1"/>
  <c r="FG13" i="11"/>
  <c r="FF348" i="335"/>
  <c r="FF168" i="335"/>
  <c r="FF296" i="335"/>
  <c r="FF321" i="335"/>
  <c r="FF366" i="335"/>
  <c r="FF34" i="336" s="1"/>
  <c r="FF367" i="335"/>
  <c r="FG347" i="335"/>
  <c r="FG154" i="335"/>
  <c r="FG295" i="335"/>
  <c r="FG155" i="335"/>
  <c r="FG122" i="336"/>
  <c r="FF124" i="336"/>
  <c r="FF409" i="338"/>
  <c r="FG409" i="338" s="1"/>
  <c r="FF125" i="336"/>
  <c r="FI392" i="335"/>
  <c r="FM46" i="335"/>
  <c r="BI224" i="336"/>
  <c r="BI225" i="336" s="1"/>
  <c r="BO220" i="336"/>
  <c r="EL86" i="336"/>
  <c r="EK447" i="335"/>
  <c r="EC239" i="335"/>
  <c r="DV160" i="335"/>
  <c r="DV206" i="335"/>
  <c r="DV464" i="335"/>
  <c r="DW165" i="335"/>
  <c r="DW464" i="335" s="1"/>
  <c r="FE442" i="335"/>
  <c r="FF81" i="336"/>
  <c r="FD96" i="338"/>
  <c r="FD97" i="338" s="1"/>
  <c r="FD19" i="338"/>
  <c r="FD54" i="338"/>
  <c r="FD18" i="338"/>
  <c r="FD55" i="338"/>
  <c r="ET94" i="11"/>
  <c r="ET98" i="11" s="1"/>
  <c r="EZ90" i="11"/>
  <c r="ET91" i="11"/>
  <c r="ET105" i="11"/>
  <c r="EF106" i="11"/>
  <c r="EF109" i="11"/>
  <c r="EF113" i="11" s="1"/>
  <c r="EN95" i="11"/>
  <c r="EN99" i="11" s="1"/>
  <c r="EN361" i="335"/>
  <c r="EF95" i="11"/>
  <c r="EF99" i="11" s="1"/>
  <c r="EF361" i="335"/>
  <c r="EN109" i="11"/>
  <c r="EN113" i="11" s="1"/>
  <c r="EN106" i="11"/>
  <c r="EH362" i="335"/>
  <c r="EH360" i="335" s="1"/>
  <c r="EH121" i="11"/>
  <c r="EH125" i="11" s="1"/>
  <c r="EH129" i="11" s="1"/>
  <c r="EH110" i="11"/>
  <c r="EH114" i="11" s="1"/>
  <c r="ER90" i="11"/>
  <c r="EL91" i="11"/>
  <c r="EL105" i="11"/>
  <c r="EL94" i="11"/>
  <c r="EL98" i="11" s="1"/>
  <c r="ES53" i="336"/>
  <c r="ER414" i="335"/>
  <c r="EX422" i="335"/>
  <c r="EY61" i="336"/>
  <c r="EW432" i="335"/>
  <c r="EX71" i="336"/>
  <c r="FG387" i="335"/>
  <c r="FG392" i="335" s="1"/>
  <c r="FG314" i="338"/>
  <c r="FG289" i="338"/>
  <c r="FG283" i="338"/>
  <c r="FG174" i="336"/>
  <c r="FK283" i="338"/>
  <c r="FK387" i="335"/>
  <c r="FG732" i="338"/>
  <c r="FG735" i="338"/>
  <c r="FG389" i="335"/>
  <c r="FG394" i="335" s="1"/>
  <c r="FG287" i="338"/>
  <c r="ES121" i="11"/>
  <c r="ES125" i="11" s="1"/>
  <c r="ES129" i="11" s="1"/>
  <c r="ES110" i="11"/>
  <c r="ES114" i="11" s="1"/>
  <c r="ES362" i="335"/>
  <c r="ES360" i="335" s="1"/>
  <c r="FG315" i="338"/>
  <c r="FG285" i="338"/>
  <c r="FG388" i="335"/>
  <c r="FG393" i="335" s="1"/>
  <c r="FM319" i="338"/>
  <c r="FL390" i="335"/>
  <c r="FL300" i="338"/>
  <c r="FG301" i="338"/>
  <c r="FG243" i="335"/>
  <c r="EY362" i="335"/>
  <c r="EY360" i="335" s="1"/>
  <c r="BE103" i="3"/>
  <c r="BF101" i="3" s="1"/>
  <c r="BF103" i="3" s="1"/>
  <c r="BG101" i="3" s="1"/>
  <c r="BG103" i="3" s="1"/>
  <c r="BH101" i="3" s="1"/>
  <c r="BH103" i="3" s="1"/>
  <c r="BI101" i="3"/>
  <c r="BI103" i="3" s="1"/>
  <c r="BK101" i="3" s="1"/>
  <c r="FD70" i="3"/>
  <c r="AD47" i="3"/>
  <c r="AC49" i="3"/>
  <c r="EC266" i="336"/>
  <c r="DY266" i="336"/>
  <c r="DY271" i="336" s="1"/>
  <c r="DZ266" i="336" s="1"/>
  <c r="DZ271" i="336" s="1"/>
  <c r="EA266" i="336" s="1"/>
  <c r="EA271" i="336" s="1"/>
  <c r="EB266" i="336" s="1"/>
  <c r="EB271" i="336" s="1"/>
  <c r="FJ67" i="336"/>
  <c r="FI428" i="335"/>
  <c r="FF88" i="336"/>
  <c r="FE449" i="335"/>
  <c r="FJ440" i="335"/>
  <c r="FK79" i="336"/>
  <c r="FI76" i="336"/>
  <c r="FF437" i="335"/>
  <c r="FG437" i="335" s="1"/>
  <c r="DV64" i="336"/>
  <c r="DU425" i="335"/>
  <c r="FC73" i="336"/>
  <c r="EZ434" i="335"/>
  <c r="FA434" i="335" s="1"/>
  <c r="FD441" i="335"/>
  <c r="FE80" i="336"/>
  <c r="FJ82" i="336"/>
  <c r="FI443" i="335"/>
  <c r="FK452" i="335"/>
  <c r="FL91" i="336"/>
  <c r="FL452" i="335" s="1"/>
  <c r="DP60" i="336"/>
  <c r="DO421" i="335"/>
  <c r="DO48" i="336"/>
  <c r="DS445" i="335"/>
  <c r="DT84" i="336"/>
  <c r="FD30" i="336"/>
  <c r="ET420" i="335"/>
  <c r="EU420" i="335" s="1"/>
  <c r="EW59" i="336"/>
  <c r="FJ63" i="336"/>
  <c r="FJ424" i="335" s="1"/>
  <c r="FI424" i="335"/>
  <c r="FK75" i="336"/>
  <c r="FJ436" i="335"/>
  <c r="FD24" i="3"/>
  <c r="FD75" i="3" s="1"/>
  <c r="DP187" i="335"/>
  <c r="DP185" i="335"/>
  <c r="FM722" i="338"/>
  <c r="FT190" i="335"/>
  <c r="DO207" i="336"/>
  <c r="DO184" i="336" s="1"/>
  <c r="DO220" i="335"/>
  <c r="DO219" i="335"/>
  <c r="DN462" i="335"/>
  <c r="DN208" i="335" s="1"/>
  <c r="DN209" i="335" s="1"/>
  <c r="DI199" i="336"/>
  <c r="DI175" i="336"/>
  <c r="DI192" i="336"/>
  <c r="DI196" i="336" s="1"/>
  <c r="EW61" i="11"/>
  <c r="EW16" i="338" s="1"/>
  <c r="EW162" i="338"/>
  <c r="EW164" i="338" s="1"/>
  <c r="FC96" i="338"/>
  <c r="FC97" i="338" s="1"/>
  <c r="FC54" i="338"/>
  <c r="FC55" i="338"/>
  <c r="FC19" i="338"/>
  <c r="FC18" i="338"/>
  <c r="FD11" i="336"/>
  <c r="FE111" i="336"/>
  <c r="DJ373" i="335"/>
  <c r="DK373" i="335" s="1"/>
  <c r="DP77" i="3"/>
  <c r="DJ99" i="3"/>
  <c r="DO373" i="335"/>
  <c r="DJ77" i="3"/>
  <c r="DM373" i="335"/>
  <c r="DJ87" i="3"/>
  <c r="DK87" i="3" s="1"/>
  <c r="DN373" i="335"/>
  <c r="DJ105" i="3"/>
  <c r="DJ383" i="335"/>
  <c r="DJ173" i="336"/>
  <c r="DK173" i="336" s="1"/>
  <c r="DJ178" i="336"/>
  <c r="DK178" i="336" s="1"/>
  <c r="DK183" i="336"/>
  <c r="DM209" i="335"/>
  <c r="EW686" i="338"/>
  <c r="EW690" i="338"/>
  <c r="FC382" i="335"/>
  <c r="FC85" i="3"/>
  <c r="DN183" i="336"/>
  <c r="DN208" i="336"/>
  <c r="DN210" i="336" s="1"/>
  <c r="DN211" i="336" s="1"/>
  <c r="DO461" i="335"/>
  <c r="DO458" i="335"/>
  <c r="DO503" i="338"/>
  <c r="DO459" i="335"/>
  <c r="DO460" i="335"/>
  <c r="DO199" i="335"/>
  <c r="DO375" i="335"/>
  <c r="DO114" i="3"/>
  <c r="DO115" i="3" s="1"/>
  <c r="DN196" i="335"/>
  <c r="FT196" i="335" s="1"/>
  <c r="DN372" i="335"/>
  <c r="DN300" i="335"/>
  <c r="DN190" i="335"/>
  <c r="DN487" i="338"/>
  <c r="DN325" i="335"/>
  <c r="DM184" i="336"/>
  <c r="FC22" i="3"/>
  <c r="FC73" i="3" s="1"/>
  <c r="DM202" i="335"/>
  <c r="DM203" i="335" s="1"/>
  <c r="EX208" i="336"/>
  <c r="EX210" i="336" s="1"/>
  <c r="EX211" i="336" s="1"/>
  <c r="EX183" i="336"/>
  <c r="FE382" i="335"/>
  <c r="FE85" i="3"/>
  <c r="EW219" i="335"/>
  <c r="EW220" i="335"/>
  <c r="EW207" i="336"/>
  <c r="EW184" i="336" s="1"/>
  <c r="FI39" i="11"/>
  <c r="FI12" i="11"/>
  <c r="FA14" i="336"/>
  <c r="FA67" i="11"/>
  <c r="FA34" i="11"/>
  <c r="FD397" i="338"/>
  <c r="FM80" i="11"/>
  <c r="FM84" i="11" s="1"/>
  <c r="FM359" i="335"/>
  <c r="DK45" i="3"/>
  <c r="DJ49" i="3"/>
  <c r="DK49" i="3" s="1"/>
  <c r="DM47" i="3" s="1"/>
  <c r="EW200" i="335"/>
  <c r="EW201" i="335"/>
  <c r="EW202" i="335" s="1"/>
  <c r="EW203" i="335" s="1"/>
  <c r="DN499" i="338"/>
  <c r="DN221" i="335"/>
  <c r="EC179" i="335"/>
  <c r="EQ199" i="336"/>
  <c r="EU178" i="336"/>
  <c r="FE70" i="3"/>
  <c r="FF19" i="3"/>
  <c r="DQ182" i="335"/>
  <c r="DQ185" i="335" s="1"/>
  <c r="EW372" i="335"/>
  <c r="EW487" i="338"/>
  <c r="EX489" i="338" s="1"/>
  <c r="EW325" i="335"/>
  <c r="EW300" i="335"/>
  <c r="EW190" i="335"/>
  <c r="FZ189" i="335"/>
  <c r="EX372" i="335"/>
  <c r="DS214" i="335"/>
  <c r="DS182" i="335"/>
  <c r="FC30" i="336"/>
  <c r="FC14" i="336"/>
  <c r="FD112" i="336"/>
  <c r="FC394" i="338"/>
  <c r="DP215" i="335"/>
  <c r="DQ214" i="335"/>
  <c r="FD85" i="3"/>
  <c r="FD382" i="335"/>
  <c r="FC24" i="11"/>
  <c r="FC30" i="11" s="1"/>
  <c r="FC355" i="335"/>
  <c r="FG12" i="11"/>
  <c r="FC14" i="11"/>
  <c r="DN489" i="338"/>
  <c r="DM488" i="338"/>
  <c r="GH430" i="338" s="1"/>
  <c r="GI430" i="338" s="1"/>
  <c r="EW462" i="335"/>
  <c r="EW208" i="335" s="1"/>
  <c r="EW209" i="335" s="1"/>
  <c r="FA458" i="335"/>
  <c r="FV179" i="335"/>
  <c r="FE91" i="11"/>
  <c r="FE105" i="11"/>
  <c r="FE94" i="11"/>
  <c r="FE98" i="11" s="1"/>
  <c r="EQ175" i="336"/>
  <c r="EQ192" i="336"/>
  <c r="EQ196" i="336" s="1"/>
  <c r="EU173" i="336"/>
  <c r="DO324" i="335"/>
  <c r="DO371" i="335"/>
  <c r="DO351" i="335"/>
  <c r="DO189" i="335"/>
  <c r="DO299" i="335"/>
  <c r="DN200" i="335"/>
  <c r="DN201" i="335"/>
  <c r="DN202" i="335" s="1"/>
  <c r="DN203" i="335" s="1"/>
  <c r="EZ21" i="3"/>
  <c r="DI398" i="335"/>
  <c r="DG398" i="335"/>
  <c r="DH398" i="335"/>
  <c r="EX488" i="338"/>
  <c r="EY489" i="338"/>
  <c r="DK99" i="3"/>
  <c r="DK77" i="3"/>
  <c r="DK105" i="3"/>
  <c r="DQ77" i="3"/>
  <c r="DM221" i="335"/>
  <c r="DM499" i="338"/>
  <c r="GG481" i="338" s="1"/>
  <c r="FT220" i="335"/>
  <c r="DU180" i="335"/>
  <c r="DT176" i="335"/>
  <c r="FU180" i="335"/>
  <c r="DG110" i="3"/>
  <c r="DM110" i="3"/>
  <c r="CW215" i="336"/>
  <c r="CW213" i="336" s="1"/>
  <c r="DU446" i="335"/>
  <c r="DV85" i="336"/>
  <c r="FK89" i="336"/>
  <c r="FJ450" i="335"/>
  <c r="FJ77" i="336"/>
  <c r="FI438" i="335"/>
  <c r="EX69" i="336"/>
  <c r="EW430" i="335"/>
  <c r="DV62" i="336"/>
  <c r="DU423" i="335"/>
  <c r="FJ72" i="336"/>
  <c r="FI433" i="335"/>
  <c r="EC248" i="335" l="1"/>
  <c r="EC240" i="335" s="1"/>
  <c r="EC241" i="335" s="1"/>
  <c r="CG190" i="335"/>
  <c r="FM215" i="338"/>
  <c r="DP137" i="336"/>
  <c r="DQ137" i="336" s="1"/>
  <c r="DS134" i="336"/>
  <c r="DS137" i="336" s="1"/>
  <c r="DQ134" i="336"/>
  <c r="DQ139" i="336" s="1"/>
  <c r="DQ140" i="336" s="1"/>
  <c r="DP135" i="336"/>
  <c r="DQ135" i="336" s="1"/>
  <c r="DP139" i="336"/>
  <c r="DP140" i="336" s="1"/>
  <c r="FM424" i="335"/>
  <c r="CM175" i="336"/>
  <c r="CM192" i="336"/>
  <c r="CM196" i="336" s="1"/>
  <c r="CS192" i="336"/>
  <c r="CS196" i="336" s="1"/>
  <c r="CE202" i="335"/>
  <c r="CG201" i="335"/>
  <c r="CG202" i="335" s="1"/>
  <c r="CM203" i="335" s="1"/>
  <c r="CF526" i="338"/>
  <c r="CF525" i="338"/>
  <c r="CE488" i="338"/>
  <c r="CF489" i="338"/>
  <c r="CM190" i="335"/>
  <c r="CG237" i="336"/>
  <c r="CG240" i="336" s="1"/>
  <c r="CM300" i="335"/>
  <c r="CC527" i="338"/>
  <c r="CC528" i="338" s="1"/>
  <c r="CF527" i="338"/>
  <c r="CD527" i="338"/>
  <c r="CD528" i="338" s="1"/>
  <c r="CE527" i="338"/>
  <c r="CO109" i="3"/>
  <c r="CO114" i="3"/>
  <c r="CO108" i="3"/>
  <c r="CO106" i="3"/>
  <c r="CU106" i="3"/>
  <c r="CS174" i="336"/>
  <c r="CS176" i="336" s="1"/>
  <c r="CP175" i="336"/>
  <c r="CF192" i="336"/>
  <c r="CF196" i="336" s="1"/>
  <c r="CF199" i="336"/>
  <c r="CG234" i="336"/>
  <c r="CG263" i="336"/>
  <c r="CF263" i="336" s="1"/>
  <c r="CG233" i="336"/>
  <c r="CJ211" i="336"/>
  <c r="CK206" i="336"/>
  <c r="CK210" i="336" s="1"/>
  <c r="CK211" i="336" s="1"/>
  <c r="CO397" i="335"/>
  <c r="CS383" i="335"/>
  <c r="CS397" i="335" s="1"/>
  <c r="CV110" i="3"/>
  <c r="CP110" i="3"/>
  <c r="DE192" i="336"/>
  <c r="DE196" i="336" s="1"/>
  <c r="DE175" i="336"/>
  <c r="CY175" i="336"/>
  <c r="CY192" i="336"/>
  <c r="CY196" i="336" s="1"/>
  <c r="CS114" i="3"/>
  <c r="CY106" i="3"/>
  <c r="CS109" i="3"/>
  <c r="CS108" i="3"/>
  <c r="CS106" i="3"/>
  <c r="CP115" i="3"/>
  <c r="CV115" i="3"/>
  <c r="FA230" i="338"/>
  <c r="FI162" i="338"/>
  <c r="FI34" i="11"/>
  <c r="EE94" i="11"/>
  <c r="EE98" i="11" s="1"/>
  <c r="EK90" i="11"/>
  <c r="EE105" i="11"/>
  <c r="EE91" i="11"/>
  <c r="EI90" i="11"/>
  <c r="CV263" i="335"/>
  <c r="CX263" i="335"/>
  <c r="CW263" i="335"/>
  <c r="DE263" i="335"/>
  <c r="CU263" i="335"/>
  <c r="DW361" i="335"/>
  <c r="DW95" i="11"/>
  <c r="DW99" i="11" s="1"/>
  <c r="DY109" i="11"/>
  <c r="DY113" i="11" s="1"/>
  <c r="EC105" i="11"/>
  <c r="DW109" i="11"/>
  <c r="DW113" i="11" s="1"/>
  <c r="DW106" i="11"/>
  <c r="DW120" i="11"/>
  <c r="DW124" i="11" s="1"/>
  <c r="DW128" i="11" s="1"/>
  <c r="CA203" i="335"/>
  <c r="EC91" i="11"/>
  <c r="EC94" i="11"/>
  <c r="EC98" i="11" s="1"/>
  <c r="BW203" i="335"/>
  <c r="CC203" i="335"/>
  <c r="FG316" i="338"/>
  <c r="FG317" i="338" s="1"/>
  <c r="FG778" i="338"/>
  <c r="FG31" i="3"/>
  <c r="FG418" i="338" s="1"/>
  <c r="EY125" i="11"/>
  <c r="EY129" i="11" s="1"/>
  <c r="FL218" i="338"/>
  <c r="FL224" i="338"/>
  <c r="FL230" i="338" s="1"/>
  <c r="FM217" i="338"/>
  <c r="FG218" i="338"/>
  <c r="EI239" i="335"/>
  <c r="FM391" i="335"/>
  <c r="FM323" i="338"/>
  <c r="FF225" i="338"/>
  <c r="FG224" i="338"/>
  <c r="FG225" i="338" s="1"/>
  <c r="FF33" i="3"/>
  <c r="FG33" i="3" s="1"/>
  <c r="FI429" i="335"/>
  <c r="FJ68" i="336"/>
  <c r="FI427" i="335"/>
  <c r="FJ66" i="336"/>
  <c r="FJ65" i="336"/>
  <c r="FI426" i="335"/>
  <c r="FG164" i="338"/>
  <c r="FI83" i="3"/>
  <c r="FI382" i="335" s="1"/>
  <c r="FF369" i="335"/>
  <c r="FG367" i="335"/>
  <c r="FG369" i="335" s="1"/>
  <c r="FM52" i="335"/>
  <c r="FM53" i="335" s="1"/>
  <c r="FL54" i="335"/>
  <c r="FL53" i="335"/>
  <c r="FL311" i="335"/>
  <c r="FL286" i="335"/>
  <c r="FL88" i="335"/>
  <c r="FL96" i="335"/>
  <c r="FM96" i="335" s="1"/>
  <c r="FL89" i="335"/>
  <c r="FL91" i="335"/>
  <c r="FM91" i="335" s="1"/>
  <c r="FF34" i="11"/>
  <c r="FJ144" i="336"/>
  <c r="FJ113" i="336"/>
  <c r="FJ122" i="336"/>
  <c r="FJ113" i="338"/>
  <c r="FJ160" i="338"/>
  <c r="FK141" i="335"/>
  <c r="FK143" i="335" s="1"/>
  <c r="FK341" i="335"/>
  <c r="FK105" i="335"/>
  <c r="FF28" i="336"/>
  <c r="FG28" i="336" s="1"/>
  <c r="FG366" i="335"/>
  <c r="FG34" i="336"/>
  <c r="FF27" i="336"/>
  <c r="GB152" i="335"/>
  <c r="GB151" i="335"/>
  <c r="GB148" i="335"/>
  <c r="GB149" i="335"/>
  <c r="FM83" i="335"/>
  <c r="FM84" i="335" s="1"/>
  <c r="FL84" i="335"/>
  <c r="FL85" i="335"/>
  <c r="FF61" i="11"/>
  <c r="FF16" i="338" s="1"/>
  <c r="FF90" i="11" s="1"/>
  <c r="FF162" i="338"/>
  <c r="FF164" i="338" s="1"/>
  <c r="FJ345" i="335"/>
  <c r="FJ318" i="335"/>
  <c r="FJ149" i="335"/>
  <c r="FJ167" i="335"/>
  <c r="GB167" i="335" s="1"/>
  <c r="FJ293" i="335"/>
  <c r="FM47" i="335"/>
  <c r="FM50" i="335"/>
  <c r="FM44" i="11"/>
  <c r="FM53" i="11" s="1"/>
  <c r="FM281" i="335"/>
  <c r="FM87" i="335"/>
  <c r="FM740" i="338"/>
  <c r="FM741" i="338" s="1"/>
  <c r="FG38" i="11"/>
  <c r="FG357" i="335"/>
  <c r="FG25" i="11"/>
  <c r="FG31" i="11" s="1"/>
  <c r="FI323" i="335"/>
  <c r="FI350" i="335"/>
  <c r="FI368" i="335"/>
  <c r="FI375" i="335"/>
  <c r="FI170" i="335"/>
  <c r="FI171" i="335"/>
  <c r="FI298" i="335"/>
  <c r="FI366" i="335"/>
  <c r="FI316" i="338"/>
  <c r="FI317" i="338" s="1"/>
  <c r="FI367" i="335"/>
  <c r="FI369" i="335" s="1"/>
  <c r="FI296" i="335"/>
  <c r="FI321" i="335"/>
  <c r="FI24" i="336"/>
  <c r="FI168" i="335"/>
  <c r="FI348" i="335"/>
  <c r="GB155" i="335"/>
  <c r="GB154" i="335"/>
  <c r="FJ27" i="11"/>
  <c r="FJ13" i="11"/>
  <c r="FJ12" i="11"/>
  <c r="FJ347" i="335"/>
  <c r="FJ155" i="335"/>
  <c r="FJ320" i="335"/>
  <c r="FJ295" i="335"/>
  <c r="FI161" i="338"/>
  <c r="FI163" i="338"/>
  <c r="FI357" i="335"/>
  <c r="FI25" i="11"/>
  <c r="FI31" i="11" s="1"/>
  <c r="FG18" i="338"/>
  <c r="FG19" i="338"/>
  <c r="FG55" i="338"/>
  <c r="FG96" i="338"/>
  <c r="FG97" i="338" s="1"/>
  <c r="FG54" i="338"/>
  <c r="FG124" i="336"/>
  <c r="FG127" i="336"/>
  <c r="FL105" i="335"/>
  <c r="FL141" i="335"/>
  <c r="FG296" i="335"/>
  <c r="FG348" i="335"/>
  <c r="FG168" i="335"/>
  <c r="FG757" i="338"/>
  <c r="FG755" i="338"/>
  <c r="FG756" i="338"/>
  <c r="FG763" i="338"/>
  <c r="FJ408" i="338"/>
  <c r="FJ377" i="335"/>
  <c r="FJ101" i="335"/>
  <c r="FJ100" i="335"/>
  <c r="FJ370" i="335"/>
  <c r="FJ319" i="335"/>
  <c r="FJ346" i="335"/>
  <c r="FJ294" i="335"/>
  <c r="FJ152" i="335"/>
  <c r="FM126" i="335"/>
  <c r="FF358" i="335"/>
  <c r="FF356" i="335" s="1"/>
  <c r="FF26" i="11"/>
  <c r="FF32" i="11" s="1"/>
  <c r="FI125" i="336"/>
  <c r="FI409" i="338"/>
  <c r="FI124" i="336"/>
  <c r="FG171" i="335"/>
  <c r="FG298" i="335"/>
  <c r="FG350" i="335"/>
  <c r="FG368" i="335"/>
  <c r="FG170" i="335"/>
  <c r="FK342" i="335"/>
  <c r="FK336" i="335"/>
  <c r="FK290" i="335"/>
  <c r="FK329" i="335"/>
  <c r="FK92" i="335"/>
  <c r="FK315" i="335"/>
  <c r="FK328" i="335"/>
  <c r="FK327" i="338"/>
  <c r="FK93" i="335"/>
  <c r="FK331" i="335"/>
  <c r="FK49" i="11"/>
  <c r="FK58" i="11" s="1"/>
  <c r="FK15" i="11"/>
  <c r="FK365" i="335"/>
  <c r="FK338" i="335"/>
  <c r="FK153" i="335"/>
  <c r="FK99" i="335"/>
  <c r="FK147" i="335"/>
  <c r="FK325" i="338"/>
  <c r="FK326" i="338" s="1"/>
  <c r="FK337" i="335"/>
  <c r="FK330" i="335"/>
  <c r="FK150" i="335"/>
  <c r="FK114" i="338"/>
  <c r="FK339" i="335"/>
  <c r="FK10" i="336"/>
  <c r="FK19" i="3" s="1"/>
  <c r="GB143" i="335"/>
  <c r="GB144" i="335" s="1"/>
  <c r="BU220" i="336"/>
  <c r="BO224" i="336"/>
  <c r="BO225" i="336" s="1"/>
  <c r="FV160" i="335"/>
  <c r="DW160" i="335"/>
  <c r="DV212" i="335"/>
  <c r="EC247" i="335"/>
  <c r="FF442" i="335"/>
  <c r="FG442" i="335" s="1"/>
  <c r="FI81" i="336"/>
  <c r="DV207" i="335"/>
  <c r="DW206" i="335"/>
  <c r="DW207" i="335" s="1"/>
  <c r="EL447" i="335"/>
  <c r="EM86" i="336"/>
  <c r="EU192" i="336"/>
  <c r="EU196" i="336" s="1"/>
  <c r="EL106" i="11"/>
  <c r="EL109" i="11"/>
  <c r="EL113" i="11" s="1"/>
  <c r="ET361" i="335"/>
  <c r="ET95" i="11"/>
  <c r="ET99" i="11" s="1"/>
  <c r="EL361" i="335"/>
  <c r="EL95" i="11"/>
  <c r="EL99" i="11" s="1"/>
  <c r="EF121" i="11"/>
  <c r="EF125" i="11" s="1"/>
  <c r="EF129" i="11" s="1"/>
  <c r="EF110" i="11"/>
  <c r="EF114" i="11" s="1"/>
  <c r="EF362" i="335"/>
  <c r="EF360" i="335" s="1"/>
  <c r="EZ105" i="11"/>
  <c r="EZ94" i="11"/>
  <c r="EZ98" i="11" s="1"/>
  <c r="EZ91" i="11"/>
  <c r="ET109" i="11"/>
  <c r="ET113" i="11" s="1"/>
  <c r="ET106" i="11"/>
  <c r="ER105" i="11"/>
  <c r="ER94" i="11"/>
  <c r="ER98" i="11" s="1"/>
  <c r="ER91" i="11"/>
  <c r="EX90" i="11"/>
  <c r="EN121" i="11"/>
  <c r="EN125" i="11" s="1"/>
  <c r="EN129" i="11" s="1"/>
  <c r="EN362" i="335"/>
  <c r="EN360" i="335" s="1"/>
  <c r="EN110" i="11"/>
  <c r="EN114" i="11" s="1"/>
  <c r="FE24" i="3"/>
  <c r="EX432" i="335"/>
  <c r="EY71" i="336"/>
  <c r="ET53" i="336"/>
  <c r="ES414" i="335"/>
  <c r="EY422" i="335"/>
  <c r="EZ61" i="336"/>
  <c r="FM390" i="335"/>
  <c r="FM322" i="338"/>
  <c r="FL292" i="338"/>
  <c r="FM292" i="338" s="1"/>
  <c r="FM746" i="338" s="1"/>
  <c r="FL299" i="338"/>
  <c r="FL297" i="338"/>
  <c r="FM297" i="338" s="1"/>
  <c r="FM772" i="338" s="1"/>
  <c r="FL301" i="338"/>
  <c r="FL291" i="338"/>
  <c r="FL298" i="338"/>
  <c r="FC174" i="336"/>
  <c r="FD174" i="336" s="1"/>
  <c r="AE47" i="3"/>
  <c r="AD49" i="3"/>
  <c r="AE49" i="3" s="1"/>
  <c r="AG47" i="3" s="1"/>
  <c r="BO101" i="3"/>
  <c r="BO103" i="3" s="1"/>
  <c r="BQ101" i="3" s="1"/>
  <c r="BQ103" i="3" s="1"/>
  <c r="BR101" i="3" s="1"/>
  <c r="BR103" i="3" s="1"/>
  <c r="BS101" i="3" s="1"/>
  <c r="BS103" i="3" s="1"/>
  <c r="BT101" i="3" s="1"/>
  <c r="BK103" i="3"/>
  <c r="BL101" i="3" s="1"/>
  <c r="BL103" i="3" s="1"/>
  <c r="BM101" i="3" s="1"/>
  <c r="BM103" i="3" s="1"/>
  <c r="BN101" i="3" s="1"/>
  <c r="BN103" i="3" s="1"/>
  <c r="EC271" i="336"/>
  <c r="EC281" i="336" s="1"/>
  <c r="EI276" i="336" s="1"/>
  <c r="FM452" i="335"/>
  <c r="EW420" i="335"/>
  <c r="EX59" i="336"/>
  <c r="EX420" i="335" s="1"/>
  <c r="DS60" i="336"/>
  <c r="DP421" i="335"/>
  <c r="DQ421" i="335" s="1"/>
  <c r="DP48" i="336"/>
  <c r="FK67" i="336"/>
  <c r="FJ428" i="335"/>
  <c r="FL75" i="336"/>
  <c r="FL436" i="335" s="1"/>
  <c r="FK436" i="335"/>
  <c r="DY64" i="336"/>
  <c r="DV425" i="335"/>
  <c r="DW425" i="335" s="1"/>
  <c r="FK82" i="336"/>
  <c r="FJ443" i="335"/>
  <c r="FC434" i="335"/>
  <c r="FD73" i="336"/>
  <c r="FI88" i="336"/>
  <c r="FF449" i="335"/>
  <c r="FG449" i="335" s="1"/>
  <c r="DT445" i="335"/>
  <c r="DU84" i="336"/>
  <c r="FE441" i="335"/>
  <c r="FF80" i="336"/>
  <c r="FJ76" i="336"/>
  <c r="FI437" i="335"/>
  <c r="FL79" i="336"/>
  <c r="FL440" i="335" s="1"/>
  <c r="FK440" i="335"/>
  <c r="FD22" i="3"/>
  <c r="FD73" i="3" s="1"/>
  <c r="FG382" i="335"/>
  <c r="FG85" i="3"/>
  <c r="FG14" i="11"/>
  <c r="FC26" i="11"/>
  <c r="FC32" i="11" s="1"/>
  <c r="FC358" i="335"/>
  <c r="FC356" i="335" s="1"/>
  <c r="FE112" i="336"/>
  <c r="FD394" i="338"/>
  <c r="FD14" i="336"/>
  <c r="FF70" i="3"/>
  <c r="FG70" i="3" s="1"/>
  <c r="FG19" i="3"/>
  <c r="FJ70" i="3"/>
  <c r="DO487" i="338"/>
  <c r="DO325" i="335"/>
  <c r="DO300" i="335"/>
  <c r="DO190" i="335"/>
  <c r="DO196" i="335"/>
  <c r="FU196" i="335" s="1"/>
  <c r="DO372" i="335"/>
  <c r="FE361" i="335"/>
  <c r="FE95" i="11"/>
  <c r="FE99" i="11" s="1"/>
  <c r="FG37" i="11"/>
  <c r="FG24" i="11"/>
  <c r="FG30" i="11" s="1"/>
  <c r="FG355" i="335"/>
  <c r="DP217" i="335"/>
  <c r="DP218" i="335"/>
  <c r="DQ215" i="335"/>
  <c r="DQ217" i="335" s="1"/>
  <c r="FU176" i="335"/>
  <c r="FC21" i="3"/>
  <c r="FC72" i="3" s="1"/>
  <c r="FI24" i="11"/>
  <c r="FI30" i="11" s="1"/>
  <c r="FI355" i="335"/>
  <c r="FI14" i="11"/>
  <c r="DM183" i="336"/>
  <c r="DM208" i="336"/>
  <c r="DM210" i="336" s="1"/>
  <c r="DM211" i="336" s="1"/>
  <c r="DJ397" i="335"/>
  <c r="DK383" i="335"/>
  <c r="DK397" i="335" s="1"/>
  <c r="EW55" i="338"/>
  <c r="EW96" i="338"/>
  <c r="EW97" i="338" s="1"/>
  <c r="EW54" i="338"/>
  <c r="EW19" i="338"/>
  <c r="EW18" i="338"/>
  <c r="DO183" i="336"/>
  <c r="DO208" i="336"/>
  <c r="DO210" i="336" s="1"/>
  <c r="DO211" i="336" s="1"/>
  <c r="DP199" i="335"/>
  <c r="DQ199" i="335" s="1"/>
  <c r="DQ200" i="335" s="1"/>
  <c r="DP461" i="335"/>
  <c r="DQ461" i="335" s="1"/>
  <c r="DP503" i="338"/>
  <c r="DP458" i="335"/>
  <c r="DP460" i="335"/>
  <c r="DQ460" i="335" s="1"/>
  <c r="DP375" i="335"/>
  <c r="DP459" i="335"/>
  <c r="DQ459" i="335" s="1"/>
  <c r="DP114" i="3"/>
  <c r="DT214" i="335"/>
  <c r="DT215" i="335" s="1"/>
  <c r="DT182" i="335"/>
  <c r="FU182" i="335" s="1"/>
  <c r="FU185" i="335" s="1"/>
  <c r="DK192" i="336"/>
  <c r="DK196" i="336" s="1"/>
  <c r="DK175" i="336"/>
  <c r="DS187" i="335"/>
  <c r="DS185" i="335"/>
  <c r="DS215" i="335"/>
  <c r="DO200" i="335"/>
  <c r="DO201" i="335"/>
  <c r="DO202" i="335" s="1"/>
  <c r="DO203" i="335" s="1"/>
  <c r="DO462" i="335"/>
  <c r="DO208" i="335" s="1"/>
  <c r="DN178" i="336"/>
  <c r="DN173" i="336"/>
  <c r="DJ192" i="336"/>
  <c r="DJ196" i="336" s="1"/>
  <c r="DJ199" i="336"/>
  <c r="DJ175" i="336"/>
  <c r="DO112" i="3"/>
  <c r="DJ106" i="3"/>
  <c r="DP106" i="3"/>
  <c r="DJ109" i="3"/>
  <c r="DJ114" i="3"/>
  <c r="DJ115" i="3" s="1"/>
  <c r="DJ108" i="3"/>
  <c r="DN112" i="3"/>
  <c r="DM112" i="3"/>
  <c r="FF111" i="336"/>
  <c r="FE11" i="336"/>
  <c r="DP189" i="335"/>
  <c r="DP324" i="335"/>
  <c r="DP371" i="335"/>
  <c r="DQ371" i="335" s="1"/>
  <c r="DP351" i="335"/>
  <c r="DP299" i="335"/>
  <c r="DQ187" i="335"/>
  <c r="FI54" i="338"/>
  <c r="FI96" i="338"/>
  <c r="FI97" i="338" s="1"/>
  <c r="FI55" i="338"/>
  <c r="FI19" i="338"/>
  <c r="FI18" i="338"/>
  <c r="DV180" i="335"/>
  <c r="DW180" i="335" s="1"/>
  <c r="DU176" i="335"/>
  <c r="DQ106" i="3"/>
  <c r="DK106" i="3"/>
  <c r="DK114" i="3"/>
  <c r="DK115" i="3" s="1"/>
  <c r="DK108" i="3"/>
  <c r="DK109" i="3"/>
  <c r="FA21" i="3"/>
  <c r="FA417" i="338" s="1"/>
  <c r="EZ72" i="3"/>
  <c r="FA72" i="3" s="1"/>
  <c r="FZ190" i="335"/>
  <c r="DQ375" i="335"/>
  <c r="DQ114" i="3"/>
  <c r="FA61" i="11"/>
  <c r="FA16" i="338" s="1"/>
  <c r="FA162" i="338"/>
  <c r="FA164" i="338" s="1"/>
  <c r="EW183" i="336"/>
  <c r="EW208" i="336"/>
  <c r="EW210" i="336" s="1"/>
  <c r="EW211" i="336" s="1"/>
  <c r="EX173" i="336"/>
  <c r="EX178" i="336"/>
  <c r="DN488" i="338"/>
  <c r="DO489" i="338"/>
  <c r="FE109" i="11"/>
  <c r="FE113" i="11" s="1"/>
  <c r="FE106" i="11"/>
  <c r="DM49" i="3"/>
  <c r="DN47" i="3"/>
  <c r="EW221" i="335"/>
  <c r="FZ220" i="335"/>
  <c r="FF382" i="335"/>
  <c r="FF85" i="3"/>
  <c r="DO499" i="338"/>
  <c r="DO221" i="335"/>
  <c r="CX215" i="336"/>
  <c r="CX213" i="336" s="1"/>
  <c r="DV423" i="335"/>
  <c r="DW423" i="335" s="1"/>
  <c r="DY62" i="336"/>
  <c r="EY69" i="336"/>
  <c r="EX430" i="335"/>
  <c r="DY85" i="336"/>
  <c r="DV446" i="335"/>
  <c r="DW446" i="335" s="1"/>
  <c r="FK72" i="336"/>
  <c r="FJ433" i="335"/>
  <c r="FK77" i="336"/>
  <c r="FJ438" i="335"/>
  <c r="FL89" i="336"/>
  <c r="FL450" i="335" s="1"/>
  <c r="FK450" i="335"/>
  <c r="DS139" i="336" l="1"/>
  <c r="DS140" i="336" s="1"/>
  <c r="DT134" i="336"/>
  <c r="DT137" i="336" s="1"/>
  <c r="DS135" i="336"/>
  <c r="CG203" i="335"/>
  <c r="CY110" i="3"/>
  <c r="CS110" i="3"/>
  <c r="CR398" i="335"/>
  <c r="CQ398" i="335"/>
  <c r="CO398" i="335"/>
  <c r="CP398" i="335"/>
  <c r="CU115" i="3"/>
  <c r="CO115" i="3"/>
  <c r="CS115" i="3"/>
  <c r="CY115" i="3"/>
  <c r="CU110" i="3"/>
  <c r="CO110" i="3"/>
  <c r="CS175" i="336"/>
  <c r="CS385" i="338"/>
  <c r="CS386" i="338" s="1"/>
  <c r="CY399" i="335"/>
  <c r="CE203" i="335"/>
  <c r="CK203" i="335"/>
  <c r="FI164" i="338"/>
  <c r="FI85" i="3"/>
  <c r="EE361" i="335"/>
  <c r="EE95" i="11"/>
  <c r="EE99" i="11" s="1"/>
  <c r="DK263" i="335"/>
  <c r="DB263" i="335"/>
  <c r="DD263" i="335"/>
  <c r="DC263" i="335"/>
  <c r="DA263" i="335"/>
  <c r="EC109" i="11"/>
  <c r="EC113" i="11" s="1"/>
  <c r="EC120" i="11"/>
  <c r="EC124" i="11" s="1"/>
  <c r="EC128" i="11" s="1"/>
  <c r="EC106" i="11"/>
  <c r="EK94" i="11"/>
  <c r="EK98" i="11" s="1"/>
  <c r="EK91" i="11"/>
  <c r="EQ90" i="11"/>
  <c r="EK105" i="11"/>
  <c r="EO90" i="11"/>
  <c r="EE109" i="11"/>
  <c r="EE113" i="11" s="1"/>
  <c r="EE106" i="11"/>
  <c r="EI105" i="11"/>
  <c r="EC361" i="335"/>
  <c r="EC95" i="11"/>
  <c r="EC99" i="11" s="1"/>
  <c r="DW110" i="11"/>
  <c r="DW114" i="11" s="1"/>
  <c r="DW121" i="11"/>
  <c r="DW125" i="11" s="1"/>
  <c r="DW129" i="11" s="1"/>
  <c r="DW362" i="335"/>
  <c r="DW360" i="335" s="1"/>
  <c r="EI94" i="11"/>
  <c r="EI98" i="11" s="1"/>
  <c r="EI91" i="11"/>
  <c r="FG401" i="338"/>
  <c r="FL341" i="335"/>
  <c r="FM218" i="338"/>
  <c r="FG230" i="338"/>
  <c r="FL225" i="338"/>
  <c r="FM224" i="338"/>
  <c r="FM225" i="338" s="1"/>
  <c r="FJ427" i="335"/>
  <c r="FK66" i="336"/>
  <c r="FJ429" i="335"/>
  <c r="FK68" i="336"/>
  <c r="FK65" i="336"/>
  <c r="FJ426" i="335"/>
  <c r="FJ14" i="11"/>
  <c r="FJ26" i="11" s="1"/>
  <c r="FJ32" i="11" s="1"/>
  <c r="FG39" i="11"/>
  <c r="FF24" i="3"/>
  <c r="FG24" i="3" s="1"/>
  <c r="FE75" i="3"/>
  <c r="FK144" i="335"/>
  <c r="FK346" i="335"/>
  <c r="FK370" i="335"/>
  <c r="FK152" i="335"/>
  <c r="FK294" i="335"/>
  <c r="FK319" i="335"/>
  <c r="FK167" i="335"/>
  <c r="FK316" i="338" s="1"/>
  <c r="FK317" i="338" s="1"/>
  <c r="FK318" i="335"/>
  <c r="FK345" i="335"/>
  <c r="FK293" i="335"/>
  <c r="FK149" i="335"/>
  <c r="FK113" i="336"/>
  <c r="FK144" i="336"/>
  <c r="FK122" i="336"/>
  <c r="FM127" i="335"/>
  <c r="FM768" i="338"/>
  <c r="FM775" i="338" s="1"/>
  <c r="FM104" i="335"/>
  <c r="FL292" i="335"/>
  <c r="FL343" i="335"/>
  <c r="FL317" i="335"/>
  <c r="FJ33" i="11"/>
  <c r="FJ67" i="11" s="1"/>
  <c r="FI34" i="336"/>
  <c r="FI24" i="3" s="1"/>
  <c r="FI75" i="3" s="1"/>
  <c r="FI28" i="336"/>
  <c r="FI27" i="336"/>
  <c r="FF54" i="338"/>
  <c r="FF19" i="338"/>
  <c r="FF96" i="338"/>
  <c r="FF97" i="338" s="1"/>
  <c r="FF18" i="338"/>
  <c r="FF55" i="338"/>
  <c r="FF397" i="338"/>
  <c r="FG27" i="336"/>
  <c r="FG397" i="338" s="1"/>
  <c r="FF30" i="336"/>
  <c r="FG30" i="336" s="1"/>
  <c r="FK392" i="335"/>
  <c r="FK343" i="335"/>
  <c r="FK317" i="335"/>
  <c r="FK292" i="335"/>
  <c r="FM141" i="335"/>
  <c r="FM143" i="335" s="1"/>
  <c r="FM144" i="335" s="1"/>
  <c r="FM777" i="338" s="1"/>
  <c r="FM778" i="338" s="1"/>
  <c r="FK377" i="335"/>
  <c r="FK408" i="338"/>
  <c r="FK101" i="335"/>
  <c r="FK100" i="335"/>
  <c r="FK13" i="11"/>
  <c r="FK27" i="11"/>
  <c r="FK12" i="11"/>
  <c r="FK328" i="338"/>
  <c r="FJ169" i="335"/>
  <c r="FJ366" i="335"/>
  <c r="FJ316" i="338"/>
  <c r="FJ317" i="338" s="1"/>
  <c r="FJ321" i="335"/>
  <c r="FJ367" i="335"/>
  <c r="FJ369" i="335" s="1"/>
  <c r="FJ296" i="335"/>
  <c r="FJ348" i="335"/>
  <c r="FJ168" i="335"/>
  <c r="FJ24" i="336"/>
  <c r="FJ161" i="338"/>
  <c r="FJ163" i="338"/>
  <c r="FJ31" i="3"/>
  <c r="FL114" i="338"/>
  <c r="FL15" i="11"/>
  <c r="FL150" i="335"/>
  <c r="FL315" i="335"/>
  <c r="FL92" i="335"/>
  <c r="FL337" i="335"/>
  <c r="FL331" i="335"/>
  <c r="FL329" i="335"/>
  <c r="FL365" i="335"/>
  <c r="FL338" i="335"/>
  <c r="FL153" i="335"/>
  <c r="FM153" i="335" s="1"/>
  <c r="FL99" i="335"/>
  <c r="FL49" i="11"/>
  <c r="FL58" i="11" s="1"/>
  <c r="FL93" i="335"/>
  <c r="FL327" i="338"/>
  <c r="FL328" i="338" s="1"/>
  <c r="FL290" i="335"/>
  <c r="FL342" i="335"/>
  <c r="FL10" i="336"/>
  <c r="FL19" i="3" s="1"/>
  <c r="FL328" i="335"/>
  <c r="FL143" i="335"/>
  <c r="FL144" i="335" s="1"/>
  <c r="FL147" i="335"/>
  <c r="FM147" i="335" s="1"/>
  <c r="FL325" i="338"/>
  <c r="FL326" i="338" s="1"/>
  <c r="FL336" i="335"/>
  <c r="FL339" i="335"/>
  <c r="FL330" i="335"/>
  <c r="FK320" i="335"/>
  <c r="FK347" i="335"/>
  <c r="FK155" i="335"/>
  <c r="FK295" i="335"/>
  <c r="FJ355" i="335"/>
  <c r="FJ24" i="11"/>
  <c r="FJ30" i="11" s="1"/>
  <c r="FM88" i="335"/>
  <c r="FM286" i="335"/>
  <c r="FM330" i="335"/>
  <c r="FM338" i="335"/>
  <c r="FM15" i="11"/>
  <c r="FM27" i="11" s="1"/>
  <c r="FM33" i="11" s="1"/>
  <c r="FM67" i="11" s="1"/>
  <c r="FM336" i="335"/>
  <c r="FM329" i="335"/>
  <c r="FM328" i="335"/>
  <c r="FM92" i="335"/>
  <c r="FM49" i="11"/>
  <c r="FM58" i="11" s="1"/>
  <c r="FM339" i="335"/>
  <c r="FM331" i="335"/>
  <c r="FM290" i="335"/>
  <c r="FM337" i="335"/>
  <c r="FM114" i="338"/>
  <c r="FM342" i="335"/>
  <c r="FK160" i="338"/>
  <c r="FK113" i="338"/>
  <c r="FJ25" i="11"/>
  <c r="FJ31" i="11" s="1"/>
  <c r="FJ357" i="335"/>
  <c r="FJ409" i="338"/>
  <c r="FJ125" i="336"/>
  <c r="FJ124" i="336"/>
  <c r="BU224" i="336"/>
  <c r="BU225" i="336" s="1"/>
  <c r="CA220" i="336"/>
  <c r="EI251" i="335"/>
  <c r="EI248" i="335"/>
  <c r="EI240" i="335" s="1"/>
  <c r="EI241" i="335" s="1"/>
  <c r="DV213" i="335"/>
  <c r="DW212" i="335"/>
  <c r="DW213" i="335" s="1"/>
  <c r="FM436" i="335"/>
  <c r="EN86" i="336"/>
  <c r="EM447" i="335"/>
  <c r="FI442" i="335"/>
  <c r="FJ81" i="336"/>
  <c r="ER109" i="11"/>
  <c r="ER113" i="11" s="1"/>
  <c r="ER106" i="11"/>
  <c r="ET121" i="11"/>
  <c r="ET125" i="11" s="1"/>
  <c r="ET129" i="11" s="1"/>
  <c r="ET362" i="335"/>
  <c r="ET360" i="335" s="1"/>
  <c r="ET110" i="11"/>
  <c r="ET114" i="11" s="1"/>
  <c r="EZ106" i="11"/>
  <c r="EZ109" i="11"/>
  <c r="EZ113" i="11" s="1"/>
  <c r="EX105" i="11"/>
  <c r="EX94" i="11"/>
  <c r="EX98" i="11" s="1"/>
  <c r="EX91" i="11"/>
  <c r="FD90" i="11"/>
  <c r="FF105" i="11"/>
  <c r="FF94" i="11"/>
  <c r="FF98" i="11" s="1"/>
  <c r="FF91" i="11"/>
  <c r="FE22" i="3"/>
  <c r="FE73" i="3" s="1"/>
  <c r="ER95" i="11"/>
  <c r="ER99" i="11" s="1"/>
  <c r="ER361" i="335"/>
  <c r="EZ95" i="11"/>
  <c r="EZ99" i="11" s="1"/>
  <c r="EZ361" i="335"/>
  <c r="EL362" i="335"/>
  <c r="EL360" i="335" s="1"/>
  <c r="EL121" i="11"/>
  <c r="EL125" i="11" s="1"/>
  <c r="EL129" i="11" s="1"/>
  <c r="EL110" i="11"/>
  <c r="EL114" i="11" s="1"/>
  <c r="FM450" i="335"/>
  <c r="CY215" i="336"/>
  <c r="FA420" i="335"/>
  <c r="EY432" i="335"/>
  <c r="EZ71" i="336"/>
  <c r="FC61" i="336"/>
  <c r="EZ422" i="335"/>
  <c r="FA422" i="335" s="1"/>
  <c r="EW53" i="336"/>
  <c r="ET414" i="335"/>
  <c r="EU414" i="335" s="1"/>
  <c r="FD173" i="336"/>
  <c r="FD178" i="336" s="1"/>
  <c r="FD199" i="336" s="1"/>
  <c r="FE174" i="336"/>
  <c r="FL280" i="338"/>
  <c r="FM298" i="338"/>
  <c r="FM759" i="338" s="1"/>
  <c r="FL281" i="338"/>
  <c r="FM281" i="338" s="1"/>
  <c r="FM288" i="338" s="1"/>
  <c r="FM299" i="338"/>
  <c r="FM780" i="338" s="1"/>
  <c r="FM291" i="338"/>
  <c r="FL731" i="338"/>
  <c r="FL282" i="338"/>
  <c r="FL277" i="338"/>
  <c r="FM749" i="338"/>
  <c r="FM748" i="338"/>
  <c r="FC173" i="336"/>
  <c r="FM774" i="338"/>
  <c r="BT103" i="3"/>
  <c r="BU103" i="3" s="1"/>
  <c r="BW101" i="3" s="1"/>
  <c r="BW103" i="3" s="1"/>
  <c r="BU101" i="3"/>
  <c r="AH47" i="3"/>
  <c r="AG49" i="3"/>
  <c r="EI266" i="336"/>
  <c r="EE266" i="336"/>
  <c r="EE271" i="336" s="1"/>
  <c r="EF266" i="336" s="1"/>
  <c r="EF271" i="336" s="1"/>
  <c r="EG266" i="336" s="1"/>
  <c r="EG271" i="336" s="1"/>
  <c r="EH266" i="336" s="1"/>
  <c r="EH271" i="336" s="1"/>
  <c r="FM440" i="335"/>
  <c r="FJ437" i="335"/>
  <c r="FK76" i="336"/>
  <c r="DU445" i="335"/>
  <c r="DV84" i="336"/>
  <c r="FF441" i="335"/>
  <c r="FG441" i="335" s="1"/>
  <c r="FI80" i="336"/>
  <c r="FJ88" i="336"/>
  <c r="FI449" i="335"/>
  <c r="FK443" i="335"/>
  <c r="FL82" i="336"/>
  <c r="FL443" i="335" s="1"/>
  <c r="DT60" i="336"/>
  <c r="DS421" i="335"/>
  <c r="DS48" i="336"/>
  <c r="FD434" i="335"/>
  <c r="FE73" i="336"/>
  <c r="DY425" i="335"/>
  <c r="DZ64" i="336"/>
  <c r="FL67" i="336"/>
  <c r="FL428" i="335" s="1"/>
  <c r="FK428" i="335"/>
  <c r="DQ115" i="3"/>
  <c r="FE110" i="11"/>
  <c r="FE114" i="11" s="1"/>
  <c r="FE121" i="11"/>
  <c r="FE125" i="11" s="1"/>
  <c r="FE129" i="11" s="1"/>
  <c r="FE362" i="335"/>
  <c r="FE360" i="335" s="1"/>
  <c r="EW173" i="336"/>
  <c r="EW178" i="336"/>
  <c r="DP487" i="338"/>
  <c r="DP372" i="335"/>
  <c r="DQ372" i="335" s="1"/>
  <c r="DP300" i="335"/>
  <c r="DP190" i="335"/>
  <c r="DP325" i="335"/>
  <c r="DP110" i="3"/>
  <c r="DJ110" i="3"/>
  <c r="DS324" i="335"/>
  <c r="DS351" i="335"/>
  <c r="DS371" i="335"/>
  <c r="DS189" i="335"/>
  <c r="DS299" i="335"/>
  <c r="DO178" i="336"/>
  <c r="DO173" i="336"/>
  <c r="FI358" i="335"/>
  <c r="FI356" i="335" s="1"/>
  <c r="FI26" i="11"/>
  <c r="FI32" i="11" s="1"/>
  <c r="FA54" i="338"/>
  <c r="FA96" i="338"/>
  <c r="FA97" i="338" s="1"/>
  <c r="FA55" i="338"/>
  <c r="FA19" i="338"/>
  <c r="FA18" i="338"/>
  <c r="DN49" i="3"/>
  <c r="DO47" i="3"/>
  <c r="DU214" i="335"/>
  <c r="DU215" i="335" s="1"/>
  <c r="DU182" i="335"/>
  <c r="DS218" i="335"/>
  <c r="DS217" i="335"/>
  <c r="DP200" i="335"/>
  <c r="DP201" i="335"/>
  <c r="DP202" i="335" s="1"/>
  <c r="DP203" i="335" s="1"/>
  <c r="DQ399" i="335"/>
  <c r="DK399" i="335"/>
  <c r="DK385" i="338"/>
  <c r="DK386" i="338" s="1"/>
  <c r="EX175" i="336"/>
  <c r="EX192" i="336"/>
  <c r="EX196" i="336" s="1"/>
  <c r="EX199" i="336"/>
  <c r="DK110" i="3"/>
  <c r="DQ110" i="3"/>
  <c r="DY180" i="335"/>
  <c r="DV176" i="335"/>
  <c r="DW176" i="335" s="1"/>
  <c r="DN192" i="336"/>
  <c r="DN196" i="336" s="1"/>
  <c r="DN175" i="336"/>
  <c r="DN199" i="336"/>
  <c r="DO209" i="335"/>
  <c r="DS375" i="335"/>
  <c r="DS503" i="338"/>
  <c r="DS458" i="335"/>
  <c r="DS199" i="335"/>
  <c r="DS461" i="335"/>
  <c r="DS460" i="335"/>
  <c r="DS459" i="335"/>
  <c r="DS114" i="3"/>
  <c r="DS115" i="3" s="1"/>
  <c r="DT185" i="335"/>
  <c r="DT187" i="335"/>
  <c r="DP115" i="3"/>
  <c r="DP462" i="335"/>
  <c r="DP208" i="335" s="1"/>
  <c r="DP209" i="335" s="1"/>
  <c r="DQ458" i="335"/>
  <c r="DQ462" i="335" s="1"/>
  <c r="DO398" i="335"/>
  <c r="DN398" i="335"/>
  <c r="DM398" i="335"/>
  <c r="DJ398" i="335"/>
  <c r="DM173" i="336"/>
  <c r="DM178" i="336"/>
  <c r="DO488" i="338"/>
  <c r="DP489" i="338"/>
  <c r="FG358" i="335"/>
  <c r="FG356" i="335" s="1"/>
  <c r="FG26" i="11"/>
  <c r="FG32" i="11" s="1"/>
  <c r="DQ386" i="338"/>
  <c r="DQ299" i="335"/>
  <c r="DQ223" i="336"/>
  <c r="DQ351" i="335"/>
  <c r="DQ189" i="335"/>
  <c r="FG111" i="336"/>
  <c r="FI111" i="336"/>
  <c r="FF11" i="336"/>
  <c r="FG11" i="336" s="1"/>
  <c r="DT218" i="335"/>
  <c r="DT217" i="335"/>
  <c r="FD21" i="3"/>
  <c r="FD72" i="3" s="1"/>
  <c r="DP207" i="336"/>
  <c r="DP219" i="335"/>
  <c r="DP220" i="335"/>
  <c r="DQ218" i="335"/>
  <c r="FK70" i="3"/>
  <c r="FE14" i="336"/>
  <c r="FF112" i="336"/>
  <c r="FE394" i="338"/>
  <c r="CY213" i="336"/>
  <c r="CY214" i="336" s="1"/>
  <c r="DA215" i="336"/>
  <c r="DA213" i="336" s="1"/>
  <c r="FK433" i="335"/>
  <c r="FL72" i="336"/>
  <c r="EY430" i="335"/>
  <c r="EZ69" i="336"/>
  <c r="FK438" i="335"/>
  <c r="FL77" i="336"/>
  <c r="FL438" i="335" s="1"/>
  <c r="DY446" i="335"/>
  <c r="DZ85" i="336"/>
  <c r="DY423" i="335"/>
  <c r="DZ62" i="336"/>
  <c r="DT139" i="336" l="1"/>
  <c r="DT140" i="336" s="1"/>
  <c r="DT135" i="336"/>
  <c r="DU134" i="336"/>
  <c r="DU139" i="336" s="1"/>
  <c r="DU140" i="336" s="1"/>
  <c r="FM325" i="338"/>
  <c r="FM326" i="338" s="1"/>
  <c r="EO91" i="11"/>
  <c r="EO94" i="11"/>
  <c r="EO98" i="11" s="1"/>
  <c r="EI120" i="11"/>
  <c r="EI124" i="11" s="1"/>
  <c r="EI128" i="11" s="1"/>
  <c r="EI106" i="11"/>
  <c r="EI109" i="11"/>
  <c r="EI113" i="11" s="1"/>
  <c r="EK106" i="11"/>
  <c r="EK109" i="11"/>
  <c r="EK113" i="11" s="1"/>
  <c r="EO105" i="11"/>
  <c r="EC362" i="335"/>
  <c r="EC360" i="335" s="1"/>
  <c r="EC110" i="11"/>
  <c r="EC114" i="11" s="1"/>
  <c r="EC121" i="11"/>
  <c r="EC125" i="11" s="1"/>
  <c r="EC129" i="11" s="1"/>
  <c r="EI95" i="11"/>
  <c r="EI99" i="11" s="1"/>
  <c r="EI361" i="335"/>
  <c r="EE121" i="11"/>
  <c r="EE125" i="11" s="1"/>
  <c r="EE129" i="11" s="1"/>
  <c r="EE110" i="11"/>
  <c r="EE114" i="11" s="1"/>
  <c r="EE362" i="335"/>
  <c r="EE360" i="335" s="1"/>
  <c r="EQ94" i="11"/>
  <c r="EQ98" i="11" s="1"/>
  <c r="EQ105" i="11"/>
  <c r="EQ91" i="11"/>
  <c r="EU90" i="11"/>
  <c r="EW90" i="11"/>
  <c r="DG263" i="335"/>
  <c r="DI263" i="335"/>
  <c r="DJ263" i="335"/>
  <c r="DH263" i="335"/>
  <c r="DQ263" i="335"/>
  <c r="DQ201" i="335"/>
  <c r="DQ202" i="335" s="1"/>
  <c r="DQ203" i="335" s="1"/>
  <c r="EK95" i="11"/>
  <c r="EK99" i="11" s="1"/>
  <c r="EK361" i="335"/>
  <c r="FJ358" i="335"/>
  <c r="FM230" i="338"/>
  <c r="FF75" i="3"/>
  <c r="FG75" i="3" s="1"/>
  <c r="FK429" i="335"/>
  <c r="FL68" i="336"/>
  <c r="FL429" i="335" s="1"/>
  <c r="FK427" i="335"/>
  <c r="FL66" i="336"/>
  <c r="FL427" i="335" s="1"/>
  <c r="FL65" i="336"/>
  <c r="FL426" i="335" s="1"/>
  <c r="FK426" i="335"/>
  <c r="FM34" i="11"/>
  <c r="FK14" i="11"/>
  <c r="FK26" i="11" s="1"/>
  <c r="FK32" i="11" s="1"/>
  <c r="FF22" i="3"/>
  <c r="FF73" i="3" s="1"/>
  <c r="FG73" i="3" s="1"/>
  <c r="FM162" i="338"/>
  <c r="FJ356" i="335"/>
  <c r="FM293" i="335"/>
  <c r="FM345" i="335"/>
  <c r="FM149" i="335"/>
  <c r="FM113" i="338"/>
  <c r="FM160" i="338"/>
  <c r="FM163" i="338" s="1"/>
  <c r="FM99" i="335"/>
  <c r="FM100" i="335" s="1"/>
  <c r="FL100" i="335"/>
  <c r="FL101" i="335"/>
  <c r="FM327" i="338"/>
  <c r="FM328" i="338" s="1"/>
  <c r="FK33" i="11"/>
  <c r="FK67" i="11" s="1"/>
  <c r="FI397" i="338"/>
  <c r="FI30" i="336"/>
  <c r="FI22" i="3"/>
  <c r="FI73" i="3" s="1"/>
  <c r="FM295" i="335"/>
  <c r="FM347" i="335"/>
  <c r="FM154" i="335"/>
  <c r="FM155" i="335"/>
  <c r="FL320" i="335"/>
  <c r="FL347" i="335"/>
  <c r="FL295" i="335"/>
  <c r="FL155" i="335"/>
  <c r="FL346" i="335"/>
  <c r="FL294" i="335"/>
  <c r="FL152" i="335"/>
  <c r="FL370" i="335"/>
  <c r="FM370" i="335" s="1"/>
  <c r="FL319" i="335"/>
  <c r="FK31" i="3"/>
  <c r="FJ83" i="3"/>
  <c r="FJ33" i="3"/>
  <c r="FK25" i="11"/>
  <c r="FK31" i="11" s="1"/>
  <c r="FK357" i="335"/>
  <c r="FJ34" i="11"/>
  <c r="FK125" i="336"/>
  <c r="FK409" i="338"/>
  <c r="FK124" i="336"/>
  <c r="FK24" i="336"/>
  <c r="FK168" i="335"/>
  <c r="FK321" i="335"/>
  <c r="FK296" i="335"/>
  <c r="FK367" i="335"/>
  <c r="FK369" i="335" s="1"/>
  <c r="FK348" i="335"/>
  <c r="FK366" i="335"/>
  <c r="FK169" i="335"/>
  <c r="EI247" i="335"/>
  <c r="EO248" i="335" s="1"/>
  <c r="EO240" i="335" s="1"/>
  <c r="EO241" i="335" s="1"/>
  <c r="FK163" i="338"/>
  <c r="FK161" i="338"/>
  <c r="FL408" i="338"/>
  <c r="FM408" i="338" s="1"/>
  <c r="FL377" i="335"/>
  <c r="FM377" i="335" s="1"/>
  <c r="FM10" i="336"/>
  <c r="FL27" i="11"/>
  <c r="FL13" i="11"/>
  <c r="FM13" i="11" s="1"/>
  <c r="FL12" i="11"/>
  <c r="FM12" i="11" s="1"/>
  <c r="FJ27" i="336"/>
  <c r="FJ397" i="338" s="1"/>
  <c r="FJ28" i="336"/>
  <c r="FJ34" i="336"/>
  <c r="FJ24" i="3" s="1"/>
  <c r="FJ75" i="3" s="1"/>
  <c r="FM343" i="335"/>
  <c r="FM754" i="338"/>
  <c r="FM763" i="338" s="1"/>
  <c r="FM292" i="335"/>
  <c r="FJ162" i="338"/>
  <c r="FJ164" i="338" s="1"/>
  <c r="FJ61" i="11"/>
  <c r="FJ16" i="338" s="1"/>
  <c r="FJ90" i="11" s="1"/>
  <c r="FM105" i="335"/>
  <c r="FM341" i="335"/>
  <c r="FM150" i="335"/>
  <c r="FM167" i="335" s="1"/>
  <c r="FM61" i="11"/>
  <c r="FM16" i="338" s="1"/>
  <c r="FL318" i="335"/>
  <c r="FL167" i="335"/>
  <c r="FL316" i="338" s="1"/>
  <c r="FL293" i="335"/>
  <c r="FL345" i="335"/>
  <c r="FL149" i="335"/>
  <c r="FM365" i="335"/>
  <c r="FL113" i="336"/>
  <c r="FM113" i="336" s="1"/>
  <c r="FL144" i="336"/>
  <c r="FL122" i="336"/>
  <c r="FL160" i="338"/>
  <c r="FL113" i="338"/>
  <c r="FJ323" i="335"/>
  <c r="FJ375" i="335"/>
  <c r="FJ171" i="335"/>
  <c r="FJ170" i="335"/>
  <c r="FJ350" i="335"/>
  <c r="FJ298" i="335"/>
  <c r="FJ368" i="335"/>
  <c r="GB169" i="335"/>
  <c r="GB170" i="335" s="1"/>
  <c r="FK355" i="335"/>
  <c r="FK24" i="11"/>
  <c r="FK30" i="11" s="1"/>
  <c r="FM770" i="338"/>
  <c r="FM769" i="338"/>
  <c r="CA224" i="336"/>
  <c r="CA225" i="336" s="1"/>
  <c r="CG220" i="336"/>
  <c r="EN447" i="335"/>
  <c r="EO447" i="335" s="1"/>
  <c r="EQ86" i="336"/>
  <c r="FJ442" i="335"/>
  <c r="FK81" i="336"/>
  <c r="FF106" i="11"/>
  <c r="FF109" i="11"/>
  <c r="FF113" i="11" s="1"/>
  <c r="EX361" i="335"/>
  <c r="EX95" i="11"/>
  <c r="EX99" i="11" s="1"/>
  <c r="FF95" i="11"/>
  <c r="FF99" i="11" s="1"/>
  <c r="FF361" i="335"/>
  <c r="EX109" i="11"/>
  <c r="EX113" i="11" s="1"/>
  <c r="EX106" i="11"/>
  <c r="EZ121" i="11"/>
  <c r="EZ125" i="11" s="1"/>
  <c r="EZ129" i="11" s="1"/>
  <c r="EZ362" i="335"/>
  <c r="EZ360" i="335" s="1"/>
  <c r="EZ110" i="11"/>
  <c r="EZ114" i="11" s="1"/>
  <c r="FD91" i="11"/>
  <c r="FD105" i="11"/>
  <c r="FD94" i="11"/>
  <c r="FD98" i="11" s="1"/>
  <c r="ER110" i="11"/>
  <c r="ER114" i="11" s="1"/>
  <c r="ER362" i="335"/>
  <c r="ER360" i="335" s="1"/>
  <c r="ER121" i="11"/>
  <c r="ER125" i="11" s="1"/>
  <c r="ER129" i="11" s="1"/>
  <c r="FM438" i="335"/>
  <c r="EX53" i="336"/>
  <c r="EW414" i="335"/>
  <c r="FC71" i="336"/>
  <c r="EZ432" i="335"/>
  <c r="FA432" i="335" s="1"/>
  <c r="FC422" i="335"/>
  <c r="FD61" i="336"/>
  <c r="FM282" i="338"/>
  <c r="FL283" i="338"/>
  <c r="FL387" i="335"/>
  <c r="FL392" i="335" s="1"/>
  <c r="FL313" i="338"/>
  <c r="FM313" i="338" s="1"/>
  <c r="FM280" i="338"/>
  <c r="FL389" i="335"/>
  <c r="FL394" i="335" s="1"/>
  <c r="FL735" i="338"/>
  <c r="FL734" i="338"/>
  <c r="FM781" i="338"/>
  <c r="FM783" i="338"/>
  <c r="FE173" i="336"/>
  <c r="FE178" i="336" s="1"/>
  <c r="FE199" i="336" s="1"/>
  <c r="FF174" i="336"/>
  <c r="FM731" i="338"/>
  <c r="FM300" i="338"/>
  <c r="FC178" i="336"/>
  <c r="FC199" i="336" s="1"/>
  <c r="FC38" i="3" s="1"/>
  <c r="FC92" i="3" s="1"/>
  <c r="FL388" i="335"/>
  <c r="FL393" i="335" s="1"/>
  <c r="FM277" i="338"/>
  <c r="FM762" i="338"/>
  <c r="FM761" i="338"/>
  <c r="AI47" i="3"/>
  <c r="AH49" i="3"/>
  <c r="BX101" i="3"/>
  <c r="BX103" i="3" s="1"/>
  <c r="BY101" i="3" s="1"/>
  <c r="BY103" i="3" s="1"/>
  <c r="BZ101" i="3" s="1"/>
  <c r="BW8" i="336"/>
  <c r="FM443" i="335"/>
  <c r="EI271" i="336"/>
  <c r="DZ425" i="335"/>
  <c r="EA64" i="336"/>
  <c r="FF73" i="336"/>
  <c r="FE434" i="335"/>
  <c r="FI441" i="335"/>
  <c r="FJ80" i="336"/>
  <c r="FK437" i="335"/>
  <c r="FL76" i="336"/>
  <c r="FL437" i="335" s="1"/>
  <c r="FM428" i="335"/>
  <c r="DU60" i="336"/>
  <c r="DT421" i="335"/>
  <c r="DT48" i="336"/>
  <c r="FJ449" i="335"/>
  <c r="FK88" i="336"/>
  <c r="DV445" i="335"/>
  <c r="DW445" i="335" s="1"/>
  <c r="DY84" i="336"/>
  <c r="FE21" i="3"/>
  <c r="FE72" i="3" s="1"/>
  <c r="DQ207" i="336"/>
  <c r="DQ220" i="335"/>
  <c r="DQ221" i="335" s="1"/>
  <c r="DQ219" i="335"/>
  <c r="DP221" i="335"/>
  <c r="DP499" i="338"/>
  <c r="DQ208" i="335"/>
  <c r="DQ209" i="335" s="1"/>
  <c r="FU187" i="335"/>
  <c r="FL70" i="3"/>
  <c r="FM70" i="3" s="1"/>
  <c r="FM19" i="3"/>
  <c r="DT207" i="336"/>
  <c r="DT184" i="336" s="1"/>
  <c r="DT219" i="335"/>
  <c r="DT220" i="335"/>
  <c r="DT221" i="335" s="1"/>
  <c r="DQ300" i="335"/>
  <c r="DQ190" i="335"/>
  <c r="DT351" i="335"/>
  <c r="DT189" i="335"/>
  <c r="DT299" i="335"/>
  <c r="DT324" i="335"/>
  <c r="DT371" i="335"/>
  <c r="DS200" i="335"/>
  <c r="DS201" i="335"/>
  <c r="DO49" i="3"/>
  <c r="DP47" i="3"/>
  <c r="DO192" i="336"/>
  <c r="DO196" i="336" s="1"/>
  <c r="DO175" i="336"/>
  <c r="DO199" i="336"/>
  <c r="FG112" i="336"/>
  <c r="FG394" i="338" s="1"/>
  <c r="FF14" i="336"/>
  <c r="FF394" i="338"/>
  <c r="FI112" i="336"/>
  <c r="DP184" i="336"/>
  <c r="FI11" i="336"/>
  <c r="FJ111" i="336"/>
  <c r="DM175" i="336"/>
  <c r="DM192" i="336"/>
  <c r="DM196" i="336" s="1"/>
  <c r="DM199" i="336"/>
  <c r="DT458" i="335"/>
  <c r="DT199" i="335"/>
  <c r="DT503" i="338"/>
  <c r="DT461" i="335"/>
  <c r="DT459" i="335"/>
  <c r="DT460" i="335"/>
  <c r="DT375" i="335"/>
  <c r="DT114" i="3"/>
  <c r="DT115" i="3" s="1"/>
  <c r="DS462" i="335"/>
  <c r="DS208" i="335" s="1"/>
  <c r="DV182" i="335"/>
  <c r="DV214" i="335"/>
  <c r="DV215" i="335" s="1"/>
  <c r="DU187" i="335"/>
  <c r="DU185" i="335"/>
  <c r="DS487" i="338"/>
  <c r="DS372" i="335"/>
  <c r="DS190" i="335"/>
  <c r="DS234" i="335"/>
  <c r="DS300" i="335"/>
  <c r="DS325" i="335"/>
  <c r="DS489" i="338"/>
  <c r="DP488" i="338"/>
  <c r="EW199" i="336"/>
  <c r="DZ180" i="335"/>
  <c r="DZ176" i="335" s="1"/>
  <c r="DY176" i="335"/>
  <c r="DS219" i="335"/>
  <c r="DS207" i="336"/>
  <c r="DS184" i="336" s="1"/>
  <c r="DS220" i="335"/>
  <c r="DS221" i="335" s="1"/>
  <c r="DU218" i="335"/>
  <c r="DU217" i="335"/>
  <c r="EW192" i="336"/>
  <c r="EW196" i="336" s="1"/>
  <c r="EW175" i="336"/>
  <c r="DB215" i="336"/>
  <c r="DB213" i="336" s="1"/>
  <c r="EA62" i="336"/>
  <c r="DZ423" i="335"/>
  <c r="FL433" i="335"/>
  <c r="FM433" i="335" s="1"/>
  <c r="EZ430" i="335"/>
  <c r="FA430" i="335" s="1"/>
  <c r="FC69" i="336"/>
  <c r="DZ446" i="335"/>
  <c r="EA85" i="336"/>
  <c r="FM427" i="335" l="1"/>
  <c r="DU137" i="336"/>
  <c r="DU135" i="336"/>
  <c r="DV134" i="336"/>
  <c r="DV139" i="336" s="1"/>
  <c r="DV140" i="336" s="1"/>
  <c r="FM426" i="335"/>
  <c r="EO251" i="335"/>
  <c r="EO247" i="335" s="1"/>
  <c r="EQ95" i="11"/>
  <c r="EQ99" i="11" s="1"/>
  <c r="EQ361" i="335"/>
  <c r="EO120" i="11"/>
  <c r="EO124" i="11" s="1"/>
  <c r="EO128" i="11" s="1"/>
  <c r="EO109" i="11"/>
  <c r="EO113" i="11" s="1"/>
  <c r="EO106" i="11"/>
  <c r="EI362" i="335"/>
  <c r="EI360" i="335" s="1"/>
  <c r="EI121" i="11"/>
  <c r="EI125" i="11" s="1"/>
  <c r="EI129" i="11" s="1"/>
  <c r="EI110" i="11"/>
  <c r="EI114" i="11" s="1"/>
  <c r="DO263" i="335"/>
  <c r="DP263" i="335"/>
  <c r="DM263" i="335"/>
  <c r="DN263" i="335"/>
  <c r="DW263" i="335"/>
  <c r="EQ109" i="11"/>
  <c r="EQ113" i="11" s="1"/>
  <c r="EQ106" i="11"/>
  <c r="EU105" i="11"/>
  <c r="FC90" i="11"/>
  <c r="EW91" i="11"/>
  <c r="EW94" i="11"/>
  <c r="EW98" i="11" s="1"/>
  <c r="EW105" i="11"/>
  <c r="FA90" i="11"/>
  <c r="EK362" i="335"/>
  <c r="EK360" i="335" s="1"/>
  <c r="EK121" i="11"/>
  <c r="EK125" i="11" s="1"/>
  <c r="EK129" i="11" s="1"/>
  <c r="EK110" i="11"/>
  <c r="EK114" i="11" s="1"/>
  <c r="EU94" i="11"/>
  <c r="EU98" i="11" s="1"/>
  <c r="EU91" i="11"/>
  <c r="EO361" i="335"/>
  <c r="EO95" i="11"/>
  <c r="EO99" i="11" s="1"/>
  <c r="FL31" i="3"/>
  <c r="FL33" i="3" s="1"/>
  <c r="FM33" i="3" s="1"/>
  <c r="FK358" i="335"/>
  <c r="FK356" i="335" s="1"/>
  <c r="FM429" i="335"/>
  <c r="FG22" i="3"/>
  <c r="FM164" i="338"/>
  <c r="FJ22" i="3"/>
  <c r="FJ73" i="3" s="1"/>
  <c r="FJ30" i="336"/>
  <c r="FM168" i="335"/>
  <c r="FM348" i="335"/>
  <c r="FM296" i="335"/>
  <c r="FM357" i="335"/>
  <c r="FM25" i="11"/>
  <c r="FM31" i="11" s="1"/>
  <c r="FM38" i="11"/>
  <c r="FM96" i="338"/>
  <c r="FM97" i="338" s="1"/>
  <c r="FM18" i="338"/>
  <c r="FM54" i="338"/>
  <c r="FM55" i="338"/>
  <c r="FM19" i="338"/>
  <c r="FJ54" i="338"/>
  <c r="FJ18" i="338"/>
  <c r="FJ55" i="338"/>
  <c r="FJ96" i="338"/>
  <c r="FJ97" i="338" s="1"/>
  <c r="FJ19" i="338"/>
  <c r="FL33" i="11"/>
  <c r="FL67" i="11" s="1"/>
  <c r="FK34" i="11"/>
  <c r="FM151" i="335"/>
  <c r="FM152" i="335"/>
  <c r="FM294" i="335"/>
  <c r="FM346" i="335"/>
  <c r="FK375" i="335"/>
  <c r="FK171" i="335"/>
  <c r="FK350" i="335"/>
  <c r="FK368" i="335"/>
  <c r="FK323" i="335"/>
  <c r="FK170" i="335"/>
  <c r="FK298" i="335"/>
  <c r="FJ382" i="335"/>
  <c r="FJ85" i="3"/>
  <c r="FK61" i="11"/>
  <c r="FK16" i="338" s="1"/>
  <c r="FK162" i="338"/>
  <c r="FK164" i="338" s="1"/>
  <c r="FM355" i="335"/>
  <c r="FM24" i="11"/>
  <c r="FM30" i="11" s="1"/>
  <c r="FM37" i="11"/>
  <c r="FL161" i="338"/>
  <c r="FL163" i="338"/>
  <c r="FL169" i="335"/>
  <c r="FL366" i="335"/>
  <c r="FL367" i="335"/>
  <c r="FL24" i="336"/>
  <c r="FL348" i="335"/>
  <c r="FL321" i="335"/>
  <c r="FL168" i="335"/>
  <c r="FL296" i="335"/>
  <c r="FL14" i="11"/>
  <c r="FL24" i="11"/>
  <c r="FL30" i="11" s="1"/>
  <c r="FL355" i="335"/>
  <c r="FK27" i="336"/>
  <c r="FK397" i="338" s="1"/>
  <c r="FK28" i="336"/>
  <c r="FK34" i="336"/>
  <c r="FK24" i="3" s="1"/>
  <c r="FK75" i="3" s="1"/>
  <c r="FK83" i="3"/>
  <c r="FK33" i="3"/>
  <c r="FL125" i="336"/>
  <c r="FL124" i="336"/>
  <c r="FM122" i="336"/>
  <c r="FL409" i="338"/>
  <c r="FM409" i="338" s="1"/>
  <c r="FM755" i="338"/>
  <c r="FM756" i="338"/>
  <c r="FM757" i="338"/>
  <c r="FL25" i="11"/>
  <c r="FL31" i="11" s="1"/>
  <c r="FL357" i="335"/>
  <c r="FM144" i="336"/>
  <c r="FM145" i="336" s="1"/>
  <c r="CG224" i="336"/>
  <c r="CG225" i="336" s="1"/>
  <c r="CM220" i="336"/>
  <c r="FL81" i="336"/>
  <c r="FL442" i="335" s="1"/>
  <c r="FK442" i="335"/>
  <c r="EQ447" i="335"/>
  <c r="ER86" i="336"/>
  <c r="FV180" i="335"/>
  <c r="FD38" i="3"/>
  <c r="FD92" i="3" s="1"/>
  <c r="FJ91" i="11"/>
  <c r="FJ105" i="11"/>
  <c r="FJ94" i="11"/>
  <c r="FJ98" i="11" s="1"/>
  <c r="EX110" i="11"/>
  <c r="EX114" i="11" s="1"/>
  <c r="EX121" i="11"/>
  <c r="EX125" i="11" s="1"/>
  <c r="EX129" i="11" s="1"/>
  <c r="EX362" i="335"/>
  <c r="EX360" i="335" s="1"/>
  <c r="FF362" i="335"/>
  <c r="FF360" i="335" s="1"/>
  <c r="FF110" i="11"/>
  <c r="FF114" i="11" s="1"/>
  <c r="FF121" i="11"/>
  <c r="FF125" i="11" s="1"/>
  <c r="FF129" i="11" s="1"/>
  <c r="FD361" i="335"/>
  <c r="FD95" i="11"/>
  <c r="FD99" i="11" s="1"/>
  <c r="FD109" i="11"/>
  <c r="FD113" i="11" s="1"/>
  <c r="FD106" i="11"/>
  <c r="FC432" i="335"/>
  <c r="FD71" i="336"/>
  <c r="FE61" i="336"/>
  <c r="FE422" i="335" s="1"/>
  <c r="FD422" i="335"/>
  <c r="EY53" i="336"/>
  <c r="EX414" i="335"/>
  <c r="FM315" i="338"/>
  <c r="FM285" i="338"/>
  <c r="FM388" i="335"/>
  <c r="FM393" i="335" s="1"/>
  <c r="FM301" i="338"/>
  <c r="FM243" i="335"/>
  <c r="FM732" i="338"/>
  <c r="FM735" i="338"/>
  <c r="FM734" i="338"/>
  <c r="FF173" i="336"/>
  <c r="FG173" i="336" s="1"/>
  <c r="FM287" i="338"/>
  <c r="FM389" i="335"/>
  <c r="FM394" i="335" s="1"/>
  <c r="FM316" i="338"/>
  <c r="FM317" i="338" s="1"/>
  <c r="FL317" i="338"/>
  <c r="FM387" i="335"/>
  <c r="FM392" i="335" s="1"/>
  <c r="FM289" i="338"/>
  <c r="FM314" i="338"/>
  <c r="FM283" i="338"/>
  <c r="FM174" i="336"/>
  <c r="BW45" i="336"/>
  <c r="BW296" i="336"/>
  <c r="BW378" i="335"/>
  <c r="BX402" i="335" s="1"/>
  <c r="BX405" i="335" s="1"/>
  <c r="BW15" i="336"/>
  <c r="BW21" i="336" s="1"/>
  <c r="BW407" i="338"/>
  <c r="BW412" i="338" s="1"/>
  <c r="BW381" i="335" s="1"/>
  <c r="BZ103" i="3"/>
  <c r="CA103" i="3" s="1"/>
  <c r="CC101" i="3" s="1"/>
  <c r="CC103" i="3" s="1"/>
  <c r="CD101" i="3" s="1"/>
  <c r="CD103" i="3" s="1"/>
  <c r="CE101" i="3" s="1"/>
  <c r="CE103" i="3" s="1"/>
  <c r="CF101" i="3" s="1"/>
  <c r="CA101" i="3"/>
  <c r="AJ47" i="3"/>
  <c r="AI49" i="3"/>
  <c r="EO266" i="336"/>
  <c r="EK266" i="336"/>
  <c r="EK271" i="336" s="1"/>
  <c r="EL266" i="336" s="1"/>
  <c r="EL271" i="336" s="1"/>
  <c r="EM266" i="336" s="1"/>
  <c r="EM271" i="336" s="1"/>
  <c r="EN266" i="336" s="1"/>
  <c r="EN271" i="336" s="1"/>
  <c r="EI281" i="336"/>
  <c r="EO276" i="336" s="1"/>
  <c r="DY445" i="335"/>
  <c r="DZ84" i="336"/>
  <c r="FL88" i="336"/>
  <c r="FL449" i="335" s="1"/>
  <c r="FK449" i="335"/>
  <c r="DU421" i="335"/>
  <c r="DV60" i="336"/>
  <c r="DU48" i="336"/>
  <c r="FF434" i="335"/>
  <c r="FG434" i="335" s="1"/>
  <c r="FI73" i="336"/>
  <c r="FM437" i="335"/>
  <c r="FJ441" i="335"/>
  <c r="FK80" i="336"/>
  <c r="EA425" i="335"/>
  <c r="EB64" i="336"/>
  <c r="EC180" i="335"/>
  <c r="DY182" i="335"/>
  <c r="FV176" i="335"/>
  <c r="EC176" i="335"/>
  <c r="DY214" i="335"/>
  <c r="DP49" i="3"/>
  <c r="DQ49" i="3" s="1"/>
  <c r="DS47" i="3" s="1"/>
  <c r="DQ47" i="3"/>
  <c r="DU220" i="335"/>
  <c r="DU219" i="335"/>
  <c r="DU207" i="336"/>
  <c r="DU184" i="336" s="1"/>
  <c r="DU299" i="335"/>
  <c r="DU371" i="335"/>
  <c r="EA299" i="335"/>
  <c r="DU324" i="335"/>
  <c r="DU351" i="335"/>
  <c r="DU189" i="335"/>
  <c r="DV185" i="335"/>
  <c r="DV187" i="335"/>
  <c r="FI14" i="336"/>
  <c r="FI21" i="3" s="1"/>
  <c r="FI72" i="3" s="1"/>
  <c r="FJ112" i="336"/>
  <c r="FI394" i="338"/>
  <c r="DW214" i="335"/>
  <c r="DT200" i="335"/>
  <c r="DT201" i="335"/>
  <c r="DT202" i="335" s="1"/>
  <c r="DT203" i="335" s="1"/>
  <c r="DS202" i="335"/>
  <c r="DS203" i="335" s="1"/>
  <c r="DT183" i="336"/>
  <c r="DT208" i="336"/>
  <c r="DT210" i="336" s="1"/>
  <c r="DT211" i="336" s="1"/>
  <c r="FU220" i="335"/>
  <c r="DS208" i="336"/>
  <c r="DS210" i="336" s="1"/>
  <c r="DS211" i="336" s="1"/>
  <c r="DS183" i="336"/>
  <c r="DS209" i="335"/>
  <c r="DZ214" i="335"/>
  <c r="DZ215" i="335" s="1"/>
  <c r="DZ182" i="335"/>
  <c r="DT489" i="338"/>
  <c r="DS488" i="338"/>
  <c r="DW182" i="335"/>
  <c r="DW185" i="335" s="1"/>
  <c r="DT462" i="335"/>
  <c r="DT208" i="335" s="1"/>
  <c r="DT209" i="335" s="1"/>
  <c r="FK111" i="336"/>
  <c r="FJ11" i="336"/>
  <c r="DP183" i="336"/>
  <c r="DP208" i="336"/>
  <c r="DP210" i="336" s="1"/>
  <c r="DP211" i="336" s="1"/>
  <c r="DQ184" i="336"/>
  <c r="DQ208" i="336" s="1"/>
  <c r="DQ210" i="336" s="1"/>
  <c r="FG14" i="336"/>
  <c r="DT372" i="335"/>
  <c r="DT487" i="338"/>
  <c r="DT325" i="335"/>
  <c r="DT190" i="335"/>
  <c r="DT300" i="335"/>
  <c r="DT234" i="335"/>
  <c r="FU189" i="335"/>
  <c r="FF21" i="3"/>
  <c r="DW187" i="335"/>
  <c r="DU461" i="335"/>
  <c r="DU199" i="335"/>
  <c r="DU460" i="335"/>
  <c r="DU458" i="335"/>
  <c r="DU459" i="335"/>
  <c r="DU503" i="338"/>
  <c r="DU375" i="335"/>
  <c r="DU114" i="3"/>
  <c r="DV217" i="335"/>
  <c r="DV218" i="335"/>
  <c r="DW218" i="335" s="1"/>
  <c r="DW215" i="335"/>
  <c r="DW217" i="335" s="1"/>
  <c r="DC215" i="336"/>
  <c r="DC213" i="336" s="1"/>
  <c r="EA423" i="335"/>
  <c r="EB62" i="336"/>
  <c r="FC430" i="335"/>
  <c r="FD69" i="336"/>
  <c r="EB85" i="336"/>
  <c r="EA446" i="335"/>
  <c r="FM442" i="335" l="1"/>
  <c r="DW134" i="336"/>
  <c r="DW139" i="336" s="1"/>
  <c r="DW140" i="336" s="1"/>
  <c r="DY134" i="336"/>
  <c r="DY139" i="336" s="1"/>
  <c r="DY140" i="336" s="1"/>
  <c r="DV135" i="336"/>
  <c r="DW135" i="336" s="1"/>
  <c r="DV137" i="336"/>
  <c r="DW137" i="336" s="1"/>
  <c r="EW95" i="11"/>
  <c r="EW99" i="11" s="1"/>
  <c r="EW361" i="335"/>
  <c r="EQ110" i="11"/>
  <c r="EQ114" i="11" s="1"/>
  <c r="EQ362" i="335"/>
  <c r="EQ360" i="335" s="1"/>
  <c r="EQ121" i="11"/>
  <c r="EQ125" i="11" s="1"/>
  <c r="EQ129" i="11" s="1"/>
  <c r="FA91" i="11"/>
  <c r="FA94" i="11"/>
  <c r="FA98" i="11" s="1"/>
  <c r="FI90" i="11"/>
  <c r="FC94" i="11"/>
  <c r="FC98" i="11" s="1"/>
  <c r="FG90" i="11"/>
  <c r="FC105" i="11"/>
  <c r="FC91" i="11"/>
  <c r="EC263" i="335"/>
  <c r="DU263" i="335"/>
  <c r="DS263" i="335"/>
  <c r="DT263" i="335"/>
  <c r="DV263" i="335"/>
  <c r="EU361" i="335"/>
  <c r="EU95" i="11"/>
  <c r="EU99" i="11" s="1"/>
  <c r="EW109" i="11"/>
  <c r="EW113" i="11" s="1"/>
  <c r="EW106" i="11"/>
  <c r="FA105" i="11"/>
  <c r="EU106" i="11"/>
  <c r="EU120" i="11"/>
  <c r="EU124" i="11" s="1"/>
  <c r="EU128" i="11" s="1"/>
  <c r="EU109" i="11"/>
  <c r="EU113" i="11" s="1"/>
  <c r="EO110" i="11"/>
  <c r="EO114" i="11" s="1"/>
  <c r="EO362" i="335"/>
  <c r="EO360" i="335" s="1"/>
  <c r="EO121" i="11"/>
  <c r="EO125" i="11" s="1"/>
  <c r="EO129" i="11" s="1"/>
  <c r="FL83" i="3"/>
  <c r="FM83" i="3" s="1"/>
  <c r="FM382" i="335" s="1"/>
  <c r="FM31" i="3"/>
  <c r="FM418" i="338" s="1"/>
  <c r="FM39" i="11"/>
  <c r="FL34" i="11"/>
  <c r="FE38" i="3"/>
  <c r="FE92" i="3" s="1"/>
  <c r="FL369" i="335"/>
  <c r="FM367" i="335"/>
  <c r="FM369" i="335" s="1"/>
  <c r="FL61" i="11"/>
  <c r="FL16" i="338" s="1"/>
  <c r="FL162" i="338"/>
  <c r="FL164" i="338" s="1"/>
  <c r="FL34" i="336"/>
  <c r="FL27" i="336"/>
  <c r="FM366" i="335"/>
  <c r="FL28" i="336"/>
  <c r="FM28" i="336" s="1"/>
  <c r="FK22" i="3"/>
  <c r="FK73" i="3" s="1"/>
  <c r="FL382" i="335"/>
  <c r="FL358" i="335"/>
  <c r="FL356" i="335" s="1"/>
  <c r="FL26" i="11"/>
  <c r="FL32" i="11" s="1"/>
  <c r="FM14" i="11"/>
  <c r="FL170" i="335"/>
  <c r="FL298" i="335"/>
  <c r="FL350" i="335"/>
  <c r="FL368" i="335"/>
  <c r="FL375" i="335"/>
  <c r="FL171" i="335"/>
  <c r="FL323" i="335"/>
  <c r="FM169" i="335"/>
  <c r="FK30" i="336"/>
  <c r="FM127" i="336"/>
  <c r="FM124" i="336"/>
  <c r="FK85" i="3"/>
  <c r="FK382" i="335"/>
  <c r="FM24" i="336"/>
  <c r="FK19" i="338"/>
  <c r="FK96" i="338"/>
  <c r="FK97" i="338" s="1"/>
  <c r="FK18" i="338"/>
  <c r="FK54" i="338"/>
  <c r="FK90" i="11"/>
  <c r="FK55" i="338"/>
  <c r="CM224" i="336"/>
  <c r="CM225" i="336" s="1"/>
  <c r="CS220" i="336"/>
  <c r="EU248" i="335"/>
  <c r="EU240" i="335" s="1"/>
  <c r="EU251" i="335"/>
  <c r="ER447" i="335"/>
  <c r="ES86" i="336"/>
  <c r="FD362" i="335"/>
  <c r="FD360" i="335" s="1"/>
  <c r="FD121" i="11"/>
  <c r="FD125" i="11" s="1"/>
  <c r="FD129" i="11" s="1"/>
  <c r="FD110" i="11"/>
  <c r="FD114" i="11" s="1"/>
  <c r="FJ106" i="11"/>
  <c r="FJ109" i="11"/>
  <c r="FJ113" i="11" s="1"/>
  <c r="FJ361" i="335"/>
  <c r="FJ95" i="11"/>
  <c r="FJ99" i="11" s="1"/>
  <c r="FG422" i="335"/>
  <c r="FD432" i="335"/>
  <c r="FE71" i="336"/>
  <c r="FM449" i="335"/>
  <c r="EZ53" i="336"/>
  <c r="EY414" i="335"/>
  <c r="FI174" i="336"/>
  <c r="FF178" i="336"/>
  <c r="FG178" i="336" s="1"/>
  <c r="FG179" i="336" s="1"/>
  <c r="CG101" i="3"/>
  <c r="CF103" i="3"/>
  <c r="CG103" i="3" s="1"/>
  <c r="CI101" i="3" s="1"/>
  <c r="CI103" i="3" s="1"/>
  <c r="CJ101" i="3" s="1"/>
  <c r="CJ103" i="3" s="1"/>
  <c r="CK101" i="3" s="1"/>
  <c r="CK103" i="3" s="1"/>
  <c r="CL101" i="3" s="1"/>
  <c r="AK47" i="3"/>
  <c r="AJ49" i="3"/>
  <c r="AK49" i="3" s="1"/>
  <c r="AM47" i="3" s="1"/>
  <c r="EO271" i="336"/>
  <c r="EO281" i="336" s="1"/>
  <c r="EU276" i="336" s="1"/>
  <c r="FK441" i="335"/>
  <c r="FL80" i="336"/>
  <c r="FL441" i="335" s="1"/>
  <c r="DZ445" i="335"/>
  <c r="EA84" i="336"/>
  <c r="EB425" i="335"/>
  <c r="EC425" i="335" s="1"/>
  <c r="EE64" i="336"/>
  <c r="DY60" i="336"/>
  <c r="DV421" i="335"/>
  <c r="DW421" i="335" s="1"/>
  <c r="DV48" i="336"/>
  <c r="FI434" i="335"/>
  <c r="FJ73" i="336"/>
  <c r="DW207" i="336"/>
  <c r="DW220" i="335"/>
  <c r="DW221" i="335" s="1"/>
  <c r="DW219" i="335"/>
  <c r="DU462" i="335"/>
  <c r="DU208" i="335" s="1"/>
  <c r="DU209" i="335" s="1"/>
  <c r="DS173" i="336"/>
  <c r="DS178" i="336"/>
  <c r="EA300" i="335"/>
  <c r="EA190" i="335"/>
  <c r="DU300" i="335"/>
  <c r="DU190" i="335"/>
  <c r="DU234" i="335"/>
  <c r="DU325" i="335"/>
  <c r="DU487" i="338"/>
  <c r="DU372" i="335"/>
  <c r="EA115" i="3"/>
  <c r="DU115" i="3"/>
  <c r="DW386" i="338"/>
  <c r="DW223" i="336"/>
  <c r="DW299" i="335"/>
  <c r="DW351" i="335"/>
  <c r="DW189" i="335"/>
  <c r="DU489" i="338"/>
  <c r="DT488" i="338"/>
  <c r="FK11" i="336"/>
  <c r="FL111" i="336"/>
  <c r="DZ218" i="335"/>
  <c r="DZ217" i="335"/>
  <c r="DT178" i="336"/>
  <c r="DT173" i="336"/>
  <c r="DU208" i="336"/>
  <c r="DU210" i="336" s="1"/>
  <c r="DU211" i="336" s="1"/>
  <c r="DU183" i="336"/>
  <c r="DV351" i="335"/>
  <c r="EB299" i="335"/>
  <c r="DV299" i="335"/>
  <c r="DV189" i="335"/>
  <c r="DV371" i="335"/>
  <c r="DW371" i="335" s="1"/>
  <c r="DV324" i="335"/>
  <c r="EC214" i="335"/>
  <c r="DY215" i="335"/>
  <c r="FF72" i="3"/>
  <c r="FG72" i="3" s="1"/>
  <c r="FG21" i="3"/>
  <c r="FG417" i="338" s="1"/>
  <c r="DV219" i="335"/>
  <c r="DV207" i="336"/>
  <c r="DV184" i="336" s="1"/>
  <c r="DV220" i="335"/>
  <c r="DU200" i="335"/>
  <c r="DU201" i="335"/>
  <c r="DU202" i="335" s="1"/>
  <c r="FU190" i="335"/>
  <c r="DP178" i="336"/>
  <c r="DP173" i="336"/>
  <c r="DQ183" i="336"/>
  <c r="DW375" i="335"/>
  <c r="DW114" i="3"/>
  <c r="DW115" i="3" s="1"/>
  <c r="DZ185" i="335"/>
  <c r="DZ187" i="335"/>
  <c r="FK112" i="336"/>
  <c r="FJ14" i="336"/>
  <c r="FJ394" i="338"/>
  <c r="DV375" i="335"/>
  <c r="DV503" i="338"/>
  <c r="DV199" i="335"/>
  <c r="DV458" i="335"/>
  <c r="DW458" i="335" s="1"/>
  <c r="DV459" i="335"/>
  <c r="DW459" i="335" s="1"/>
  <c r="DV460" i="335"/>
  <c r="DW460" i="335" s="1"/>
  <c r="DV461" i="335"/>
  <c r="DW461" i="335" s="1"/>
  <c r="DV114" i="3"/>
  <c r="EA221" i="335"/>
  <c r="DU221" i="335"/>
  <c r="DS49" i="3"/>
  <c r="DT47" i="3"/>
  <c r="DY187" i="335"/>
  <c r="DY185" i="335"/>
  <c r="FV182" i="335"/>
  <c r="FV185" i="335" s="1"/>
  <c r="EC182" i="335"/>
  <c r="EC185" i="335" s="1"/>
  <c r="FD430" i="335"/>
  <c r="FE69" i="336"/>
  <c r="EE62" i="336"/>
  <c r="EB423" i="335"/>
  <c r="EC423" i="335" s="1"/>
  <c r="DD215" i="336"/>
  <c r="DE215" i="336" s="1"/>
  <c r="EE85" i="336"/>
  <c r="EB446" i="335"/>
  <c r="EC446" i="335" s="1"/>
  <c r="DY137" i="336" l="1"/>
  <c r="DZ134" i="336"/>
  <c r="DZ137" i="336" s="1"/>
  <c r="DY135" i="336"/>
  <c r="EU110" i="11"/>
  <c r="EU114" i="11" s="1"/>
  <c r="EU121" i="11"/>
  <c r="EU125" i="11" s="1"/>
  <c r="EU129" i="11" s="1"/>
  <c r="EU362" i="335"/>
  <c r="EU360" i="335" s="1"/>
  <c r="FC361" i="335"/>
  <c r="FC95" i="11"/>
  <c r="FC99" i="11" s="1"/>
  <c r="FI94" i="11"/>
  <c r="FI98" i="11" s="1"/>
  <c r="FI91" i="11"/>
  <c r="FI105" i="11"/>
  <c r="FA120" i="11"/>
  <c r="FA124" i="11" s="1"/>
  <c r="FA128" i="11" s="1"/>
  <c r="FA106" i="11"/>
  <c r="FA109" i="11"/>
  <c r="FA113" i="11" s="1"/>
  <c r="FG91" i="11"/>
  <c r="FG94" i="11"/>
  <c r="FG98" i="11" s="1"/>
  <c r="FA95" i="11"/>
  <c r="FA99" i="11" s="1"/>
  <c r="FA361" i="335"/>
  <c r="FC109" i="11"/>
  <c r="FC113" i="11" s="1"/>
  <c r="FG105" i="11"/>
  <c r="FC106" i="11"/>
  <c r="EW121" i="11"/>
  <c r="EW125" i="11" s="1"/>
  <c r="EW129" i="11" s="1"/>
  <c r="EW110" i="11"/>
  <c r="EW114" i="11" s="1"/>
  <c r="EW362" i="335"/>
  <c r="EW360" i="335" s="1"/>
  <c r="EB263" i="335"/>
  <c r="DZ263" i="335"/>
  <c r="EA263" i="335"/>
  <c r="DY263" i="335"/>
  <c r="EI263" i="335"/>
  <c r="FL85" i="3"/>
  <c r="FM401" i="338"/>
  <c r="EU247" i="335"/>
  <c r="FA248" i="335" s="1"/>
  <c r="FA240" i="335" s="1"/>
  <c r="FA241" i="335" s="1"/>
  <c r="FM85" i="3"/>
  <c r="FL22" i="3"/>
  <c r="FL73" i="3" s="1"/>
  <c r="FM73" i="3" s="1"/>
  <c r="FL96" i="338"/>
  <c r="FL97" i="338" s="1"/>
  <c r="FL90" i="11"/>
  <c r="FM90" i="11" s="1"/>
  <c r="FL55" i="338"/>
  <c r="FL19" i="338"/>
  <c r="FL54" i="338"/>
  <c r="FL18" i="338"/>
  <c r="FK91" i="11"/>
  <c r="FK105" i="11"/>
  <c r="FK94" i="11"/>
  <c r="FK98" i="11" s="1"/>
  <c r="FM368" i="335"/>
  <c r="FM171" i="335"/>
  <c r="FM170" i="335"/>
  <c r="FM350" i="335"/>
  <c r="FM298" i="335"/>
  <c r="FL30" i="336"/>
  <c r="FM30" i="336" s="1"/>
  <c r="FM26" i="11"/>
  <c r="FM32" i="11" s="1"/>
  <c r="FM358" i="335"/>
  <c r="FM356" i="335" s="1"/>
  <c r="FL397" i="338"/>
  <c r="FM27" i="336"/>
  <c r="FM397" i="338" s="1"/>
  <c r="FL24" i="3"/>
  <c r="FM34" i="336"/>
  <c r="CS224" i="336"/>
  <c r="CS225" i="336" s="1"/>
  <c r="CY220" i="336"/>
  <c r="ES447" i="335"/>
  <c r="ET86" i="336"/>
  <c r="EU241" i="335"/>
  <c r="FA239" i="335"/>
  <c r="FJ362" i="335"/>
  <c r="FJ360" i="335" s="1"/>
  <c r="FJ121" i="11"/>
  <c r="FJ125" i="11" s="1"/>
  <c r="FJ129" i="11" s="1"/>
  <c r="FJ110" i="11"/>
  <c r="FJ114" i="11" s="1"/>
  <c r="FF199" i="336"/>
  <c r="FF38" i="3" s="1"/>
  <c r="FF92" i="3" s="1"/>
  <c r="FG92" i="3" s="1"/>
  <c r="FF71" i="336"/>
  <c r="FE432" i="335"/>
  <c r="FC53" i="336"/>
  <c r="EZ414" i="335"/>
  <c r="FA414" i="335" s="1"/>
  <c r="FI173" i="336"/>
  <c r="FJ174" i="336"/>
  <c r="CM101" i="3"/>
  <c r="CL103" i="3"/>
  <c r="CM103" i="3" s="1"/>
  <c r="CO101" i="3" s="1"/>
  <c r="CO103" i="3" s="1"/>
  <c r="CP101" i="3" s="1"/>
  <c r="CP103" i="3" s="1"/>
  <c r="CQ101" i="3" s="1"/>
  <c r="CQ103" i="3" s="1"/>
  <c r="CR101" i="3" s="1"/>
  <c r="AM49" i="3"/>
  <c r="AN47" i="3"/>
  <c r="EU266" i="336"/>
  <c r="EQ266" i="336"/>
  <c r="EQ271" i="336" s="1"/>
  <c r="ER266" i="336" s="1"/>
  <c r="ER271" i="336" s="1"/>
  <c r="ES266" i="336" s="1"/>
  <c r="ES271" i="336" s="1"/>
  <c r="ET266" i="336" s="1"/>
  <c r="ET271" i="336" s="1"/>
  <c r="FM441" i="335"/>
  <c r="EB84" i="336"/>
  <c r="EA445" i="335"/>
  <c r="FJ434" i="335"/>
  <c r="FK73" i="336"/>
  <c r="DZ60" i="336"/>
  <c r="DY421" i="335"/>
  <c r="DY48" i="336"/>
  <c r="EF64" i="336"/>
  <c r="EE425" i="335"/>
  <c r="DW462" i="335"/>
  <c r="DZ324" i="335"/>
  <c r="EF299" i="335"/>
  <c r="DZ189" i="335"/>
  <c r="EB371" i="335"/>
  <c r="EC371" i="335" s="1"/>
  <c r="DZ371" i="335"/>
  <c r="EA371" i="335"/>
  <c r="DZ351" i="335"/>
  <c r="EE371" i="335"/>
  <c r="EA324" i="335"/>
  <c r="DZ299" i="335"/>
  <c r="DV208" i="336"/>
  <c r="DV210" i="336" s="1"/>
  <c r="DV211" i="336" s="1"/>
  <c r="DV183" i="336"/>
  <c r="DW183" i="336" s="1"/>
  <c r="DY218" i="335"/>
  <c r="DY217" i="335"/>
  <c r="EC215" i="335"/>
  <c r="EC217" i="335" s="1"/>
  <c r="EC375" i="335"/>
  <c r="EC114" i="3"/>
  <c r="FK394" i="338"/>
  <c r="FK14" i="336"/>
  <c r="FL112" i="336"/>
  <c r="DZ461" i="335"/>
  <c r="DZ199" i="335"/>
  <c r="DZ458" i="335"/>
  <c r="DZ375" i="335"/>
  <c r="DZ460" i="335"/>
  <c r="DZ459" i="335"/>
  <c r="DZ114" i="3"/>
  <c r="DU203" i="335"/>
  <c r="EA203" i="335"/>
  <c r="DV325" i="335"/>
  <c r="EB190" i="335"/>
  <c r="DV372" i="335"/>
  <c r="DW372" i="335" s="1"/>
  <c r="DV300" i="335"/>
  <c r="DV190" i="335"/>
  <c r="DV234" i="335"/>
  <c r="EB300" i="335"/>
  <c r="DV487" i="338"/>
  <c r="DW184" i="336"/>
  <c r="DW208" i="336" s="1"/>
  <c r="DW210" i="336" s="1"/>
  <c r="DT175" i="336"/>
  <c r="DT199" i="336"/>
  <c r="DT192" i="336"/>
  <c r="DT196" i="336" s="1"/>
  <c r="DW300" i="335"/>
  <c r="DW190" i="335"/>
  <c r="DY375" i="335"/>
  <c r="DY503" i="338"/>
  <c r="DY461" i="335"/>
  <c r="DY458" i="335"/>
  <c r="DY460" i="335"/>
  <c r="DY199" i="335"/>
  <c r="DY459" i="335"/>
  <c r="DY114" i="3"/>
  <c r="DT49" i="3"/>
  <c r="DU47" i="3"/>
  <c r="DV115" i="3"/>
  <c r="EB115" i="3"/>
  <c r="DV462" i="335"/>
  <c r="DV208" i="335" s="1"/>
  <c r="DP199" i="336"/>
  <c r="DP175" i="336"/>
  <c r="DQ173" i="336"/>
  <c r="EB221" i="335"/>
  <c r="DV221" i="335"/>
  <c r="DU173" i="336"/>
  <c r="DU178" i="336"/>
  <c r="DZ219" i="335"/>
  <c r="DZ220" i="335"/>
  <c r="DZ207" i="336"/>
  <c r="DZ184" i="336" s="1"/>
  <c r="DU488" i="338"/>
  <c r="DV489" i="338"/>
  <c r="FJ21" i="3"/>
  <c r="FJ72" i="3" s="1"/>
  <c r="DS175" i="336"/>
  <c r="DS192" i="336"/>
  <c r="DS196" i="336" s="1"/>
  <c r="DS199" i="336"/>
  <c r="EC187" i="335"/>
  <c r="DY324" i="335"/>
  <c r="DY189" i="335"/>
  <c r="DY371" i="335"/>
  <c r="DY299" i="335"/>
  <c r="EE299" i="335"/>
  <c r="FV187" i="335"/>
  <c r="DY351" i="335"/>
  <c r="DV200" i="335"/>
  <c r="DV201" i="335"/>
  <c r="DV202" i="335" s="1"/>
  <c r="DP192" i="336"/>
  <c r="DP196" i="336" s="1"/>
  <c r="DQ178" i="336"/>
  <c r="DW199" i="335"/>
  <c r="DW200" i="335" s="1"/>
  <c r="FL11" i="336"/>
  <c r="FM11" i="336" s="1"/>
  <c r="FM111" i="336"/>
  <c r="EF85" i="336"/>
  <c r="EE446" i="335"/>
  <c r="EF62" i="336"/>
  <c r="EE423" i="335"/>
  <c r="DD213" i="336"/>
  <c r="FE430" i="335"/>
  <c r="FF69" i="336"/>
  <c r="DZ139" i="336" l="1"/>
  <c r="DZ140" i="336" s="1"/>
  <c r="DZ135" i="336"/>
  <c r="EA134" i="336"/>
  <c r="EA137" i="336" s="1"/>
  <c r="FA251" i="335"/>
  <c r="FA247" i="335" s="1"/>
  <c r="FG251" i="335" s="1"/>
  <c r="FG95" i="11"/>
  <c r="FG99" i="11" s="1"/>
  <c r="FG361" i="335"/>
  <c r="FI106" i="11"/>
  <c r="FI109" i="11"/>
  <c r="FI113" i="11" s="1"/>
  <c r="EE263" i="335"/>
  <c r="EG263" i="335"/>
  <c r="EH263" i="335"/>
  <c r="EF263" i="335"/>
  <c r="EO263" i="335"/>
  <c r="FC121" i="11"/>
  <c r="FC125" i="11" s="1"/>
  <c r="FC129" i="11" s="1"/>
  <c r="FC110" i="11"/>
  <c r="FC114" i="11" s="1"/>
  <c r="FC362" i="335"/>
  <c r="FC360" i="335" s="1"/>
  <c r="FA121" i="11"/>
  <c r="FA125" i="11" s="1"/>
  <c r="FA129" i="11" s="1"/>
  <c r="FA362" i="335"/>
  <c r="FA360" i="335" s="1"/>
  <c r="FA110" i="11"/>
  <c r="FA114" i="11" s="1"/>
  <c r="FI95" i="11"/>
  <c r="FI99" i="11" s="1"/>
  <c r="FI361" i="335"/>
  <c r="FG120" i="11"/>
  <c r="FG124" i="11" s="1"/>
  <c r="FG128" i="11" s="1"/>
  <c r="FG106" i="11"/>
  <c r="FG109" i="11"/>
  <c r="FG113" i="11" s="1"/>
  <c r="FM22" i="3"/>
  <c r="EC459" i="335"/>
  <c r="FK106" i="11"/>
  <c r="FK109" i="11"/>
  <c r="FK113" i="11" s="1"/>
  <c r="FK361" i="335"/>
  <c r="FK95" i="11"/>
  <c r="FK99" i="11" s="1"/>
  <c r="FM24" i="3"/>
  <c r="FL75" i="3"/>
  <c r="FM75" i="3" s="1"/>
  <c r="FM94" i="11"/>
  <c r="FM98" i="11" s="1"/>
  <c r="FM91" i="11"/>
  <c r="FL94" i="11"/>
  <c r="FL98" i="11" s="1"/>
  <c r="FL91" i="11"/>
  <c r="FL105" i="11"/>
  <c r="DE220" i="336"/>
  <c r="CY224" i="336"/>
  <c r="CY225" i="336" s="1"/>
  <c r="FG239" i="335"/>
  <c r="EZ239" i="335"/>
  <c r="EW86" i="336"/>
  <c r="ET447" i="335"/>
  <c r="EU447" i="335" s="1"/>
  <c r="FG38" i="3"/>
  <c r="FC414" i="335"/>
  <c r="FD53" i="336"/>
  <c r="FF432" i="335"/>
  <c r="FG432" i="335" s="1"/>
  <c r="FI71" i="336"/>
  <c r="EC461" i="335"/>
  <c r="EC460" i="335"/>
  <c r="FJ173" i="336"/>
  <c r="FJ178" i="336" s="1"/>
  <c r="FJ199" i="336" s="1"/>
  <c r="FK174" i="336"/>
  <c r="FI178" i="336"/>
  <c r="FI199" i="336" s="1"/>
  <c r="FI38" i="3" s="1"/>
  <c r="FI92" i="3" s="1"/>
  <c r="CR103" i="3"/>
  <c r="CS103" i="3" s="1"/>
  <c r="CU101" i="3" s="1"/>
  <c r="CU103" i="3" s="1"/>
  <c r="CV101" i="3" s="1"/>
  <c r="CV103" i="3" s="1"/>
  <c r="CW101" i="3" s="1"/>
  <c r="CW103" i="3" s="1"/>
  <c r="CX101" i="3" s="1"/>
  <c r="CS101" i="3"/>
  <c r="AO47" i="3"/>
  <c r="AN49" i="3"/>
  <c r="EU271" i="336"/>
  <c r="EU281" i="336" s="1"/>
  <c r="FA276" i="336" s="1"/>
  <c r="EG64" i="336"/>
  <c r="EF425" i="335"/>
  <c r="FK434" i="335"/>
  <c r="FL73" i="336"/>
  <c r="FL434" i="335" s="1"/>
  <c r="DZ421" i="335"/>
  <c r="EA60" i="336"/>
  <c r="DZ48" i="336"/>
  <c r="EB445" i="335"/>
  <c r="EC445" i="335" s="1"/>
  <c r="EE84" i="336"/>
  <c r="DY372" i="335"/>
  <c r="DY487" i="338"/>
  <c r="FV189" i="335"/>
  <c r="DY325" i="335"/>
  <c r="EE190" i="335"/>
  <c r="DY190" i="335"/>
  <c r="DY300" i="335"/>
  <c r="EE300" i="335"/>
  <c r="DZ183" i="336"/>
  <c r="DZ208" i="336"/>
  <c r="DZ210" i="336" s="1"/>
  <c r="DZ211" i="336" s="1"/>
  <c r="DU199" i="336"/>
  <c r="DY489" i="338"/>
  <c r="DV488" i="338"/>
  <c r="EC115" i="3"/>
  <c r="EI115" i="3"/>
  <c r="EF300" i="335"/>
  <c r="EA325" i="335"/>
  <c r="EF190" i="335"/>
  <c r="EE372" i="335"/>
  <c r="EB372" i="335"/>
  <c r="EC372" i="335" s="1"/>
  <c r="DZ487" i="338"/>
  <c r="DZ372" i="335"/>
  <c r="DZ300" i="335"/>
  <c r="DZ190" i="335"/>
  <c r="DZ325" i="335"/>
  <c r="EA372" i="335"/>
  <c r="DZ221" i="335"/>
  <c r="EF221" i="335"/>
  <c r="DQ175" i="336"/>
  <c r="DQ192" i="336"/>
  <c r="DQ196" i="336" s="1"/>
  <c r="EC199" i="335"/>
  <c r="EC200" i="335" s="1"/>
  <c r="DY200" i="335"/>
  <c r="DY201" i="335"/>
  <c r="FL394" i="338"/>
  <c r="FL14" i="336"/>
  <c r="FM14" i="336" s="1"/>
  <c r="FM112" i="336"/>
  <c r="FM394" i="338" s="1"/>
  <c r="FK21" i="3"/>
  <c r="FK72" i="3" s="1"/>
  <c r="DZ115" i="3"/>
  <c r="EF115" i="3"/>
  <c r="DZ462" i="335"/>
  <c r="DZ208" i="335" s="1"/>
  <c r="DZ209" i="335" s="1"/>
  <c r="DY220" i="335"/>
  <c r="DY219" i="335"/>
  <c r="DY207" i="336"/>
  <c r="EC218" i="335"/>
  <c r="DV203" i="335"/>
  <c r="EB203" i="335"/>
  <c r="DU175" i="336"/>
  <c r="DU192" i="336"/>
  <c r="DU196" i="336" s="1"/>
  <c r="DU49" i="3"/>
  <c r="DV47" i="3"/>
  <c r="EC351" i="335"/>
  <c r="EI299" i="335"/>
  <c r="EC386" i="338"/>
  <c r="EC189" i="335"/>
  <c r="EI386" i="338"/>
  <c r="EC223" i="336"/>
  <c r="EC299" i="335"/>
  <c r="DV209" i="335"/>
  <c r="DW208" i="335"/>
  <c r="DW209" i="335" s="1"/>
  <c r="DW201" i="335"/>
  <c r="DW202" i="335" s="1"/>
  <c r="DW203" i="335" s="1"/>
  <c r="DY115" i="3"/>
  <c r="EE115" i="3"/>
  <c r="DY462" i="335"/>
  <c r="DY208" i="335" s="1"/>
  <c r="EC458" i="335"/>
  <c r="DZ201" i="335"/>
  <c r="DZ202" i="335" s="1"/>
  <c r="DZ200" i="335"/>
  <c r="DV173" i="336"/>
  <c r="DW173" i="336" s="1"/>
  <c r="DV178" i="336"/>
  <c r="DW178" i="336" s="1"/>
  <c r="DG215" i="336"/>
  <c r="DE213" i="336"/>
  <c r="DE214" i="336" s="1"/>
  <c r="FI69" i="336"/>
  <c r="FF430" i="335"/>
  <c r="FG430" i="335" s="1"/>
  <c r="EF423" i="335"/>
  <c r="EG62" i="336"/>
  <c r="EF446" i="335"/>
  <c r="EG85" i="336"/>
  <c r="EA139" i="336" l="1"/>
  <c r="EA140" i="336" s="1"/>
  <c r="EB134" i="336"/>
  <c r="EB139" i="336" s="1"/>
  <c r="EB140" i="336" s="1"/>
  <c r="EA135" i="336"/>
  <c r="FG248" i="335"/>
  <c r="FG240" i="335" s="1"/>
  <c r="FG241" i="335" s="1"/>
  <c r="FG110" i="11"/>
  <c r="FG114" i="11" s="1"/>
  <c r="FG362" i="335"/>
  <c r="FG360" i="335" s="1"/>
  <c r="FG121" i="11"/>
  <c r="FG125" i="11" s="1"/>
  <c r="FG129" i="11" s="1"/>
  <c r="FI110" i="11"/>
  <c r="FI114" i="11" s="1"/>
  <c r="FI121" i="11"/>
  <c r="FI125" i="11" s="1"/>
  <c r="FI129" i="11" s="1"/>
  <c r="FI362" i="335"/>
  <c r="FI360" i="335" s="1"/>
  <c r="EL263" i="335"/>
  <c r="EK263" i="335"/>
  <c r="EU263" i="335"/>
  <c r="EN263" i="335"/>
  <c r="EM263" i="335"/>
  <c r="FG247" i="335"/>
  <c r="FM251" i="335" s="1"/>
  <c r="FK110" i="11"/>
  <c r="FK114" i="11" s="1"/>
  <c r="FK121" i="11"/>
  <c r="FK125" i="11" s="1"/>
  <c r="FK129" i="11" s="1"/>
  <c r="FK362" i="335"/>
  <c r="FK360" i="335" s="1"/>
  <c r="EC462" i="335"/>
  <c r="FM95" i="11"/>
  <c r="FM99" i="11" s="1"/>
  <c r="FM361" i="335"/>
  <c r="FL109" i="11"/>
  <c r="FL113" i="11" s="1"/>
  <c r="FL106" i="11"/>
  <c r="FM105" i="11"/>
  <c r="FL361" i="335"/>
  <c r="FL95" i="11"/>
  <c r="FL99" i="11" s="1"/>
  <c r="DK220" i="336"/>
  <c r="DE224" i="336"/>
  <c r="DE225" i="336" s="1"/>
  <c r="FD239" i="335"/>
  <c r="FF239" i="335"/>
  <c r="FE239" i="335"/>
  <c r="FC239" i="335"/>
  <c r="FM239" i="335"/>
  <c r="EW447" i="335"/>
  <c r="EX86" i="336"/>
  <c r="EZ156" i="335"/>
  <c r="EZ165" i="335"/>
  <c r="FD414" i="335"/>
  <c r="FE53" i="336"/>
  <c r="FE414" i="335" s="1"/>
  <c r="FI432" i="335"/>
  <c r="FJ71" i="336"/>
  <c r="FM434" i="335"/>
  <c r="FG414" i="335"/>
  <c r="FJ38" i="3"/>
  <c r="FJ92" i="3" s="1"/>
  <c r="FK173" i="336"/>
  <c r="FK178" i="336" s="1"/>
  <c r="FK199" i="336" s="1"/>
  <c r="FL174" i="336"/>
  <c r="AP47" i="3"/>
  <c r="AO49" i="3"/>
  <c r="CX103" i="3"/>
  <c r="CY103" i="3" s="1"/>
  <c r="DA101" i="3" s="1"/>
  <c r="DA103" i="3" s="1"/>
  <c r="DB101" i="3" s="1"/>
  <c r="DB103" i="3" s="1"/>
  <c r="DC101" i="3" s="1"/>
  <c r="DC103" i="3" s="1"/>
  <c r="DD101" i="3" s="1"/>
  <c r="CY101" i="3"/>
  <c r="FL21" i="3"/>
  <c r="FL72" i="3" s="1"/>
  <c r="FM72" i="3" s="1"/>
  <c r="FA266" i="336"/>
  <c r="EW266" i="336"/>
  <c r="EW271" i="336" s="1"/>
  <c r="EX266" i="336" s="1"/>
  <c r="EX271" i="336" s="1"/>
  <c r="EF84" i="336"/>
  <c r="EE445" i="335"/>
  <c r="EH64" i="336"/>
  <c r="EG425" i="335"/>
  <c r="EA421" i="335"/>
  <c r="EB60" i="336"/>
  <c r="EA48" i="336"/>
  <c r="DW175" i="336"/>
  <c r="DW192" i="336"/>
  <c r="DW196" i="336" s="1"/>
  <c r="DY221" i="335"/>
  <c r="EE221" i="335"/>
  <c r="FV220" i="335"/>
  <c r="DZ488" i="338"/>
  <c r="EA489" i="338"/>
  <c r="FW190" i="335"/>
  <c r="FV190" i="335"/>
  <c r="EC220" i="335"/>
  <c r="EC207" i="336"/>
  <c r="EC219" i="335"/>
  <c r="DY202" i="335"/>
  <c r="EC201" i="335"/>
  <c r="EC202" i="335" s="1"/>
  <c r="DZ178" i="336"/>
  <c r="DZ173" i="336"/>
  <c r="DY488" i="338"/>
  <c r="DZ489" i="338"/>
  <c r="DV49" i="3"/>
  <c r="DW49" i="3" s="1"/>
  <c r="DY47" i="3" s="1"/>
  <c r="DW47" i="3"/>
  <c r="DY184" i="336"/>
  <c r="DZ203" i="335"/>
  <c r="EF203" i="335"/>
  <c r="DV175" i="336"/>
  <c r="DV192" i="336"/>
  <c r="DV196" i="336" s="1"/>
  <c r="DV199" i="336"/>
  <c r="DY209" i="335"/>
  <c r="EC208" i="335"/>
  <c r="EC209" i="335" s="1"/>
  <c r="EC234" i="335"/>
  <c r="EI190" i="335"/>
  <c r="EC190" i="335"/>
  <c r="EC300" i="335"/>
  <c r="EI300" i="335"/>
  <c r="EG423" i="335"/>
  <c r="EH62" i="336"/>
  <c r="EH85" i="336"/>
  <c r="EG446" i="335"/>
  <c r="FJ69" i="336"/>
  <c r="FI430" i="335"/>
  <c r="DG213" i="336"/>
  <c r="EB137" i="336" l="1"/>
  <c r="EC137" i="336" s="1"/>
  <c r="EB135" i="336"/>
  <c r="EC135" i="336" s="1"/>
  <c r="EC134" i="336"/>
  <c r="EC139" i="336" s="1"/>
  <c r="EC140" i="336" s="1"/>
  <c r="EE134" i="336"/>
  <c r="EY266" i="336"/>
  <c r="EY271" i="336" s="1"/>
  <c r="EZ266" i="336" s="1"/>
  <c r="EZ271" i="336" s="1"/>
  <c r="FM248" i="335"/>
  <c r="FM240" i="335" s="1"/>
  <c r="FM241" i="335" s="1"/>
  <c r="FA263" i="335"/>
  <c r="ER263" i="335"/>
  <c r="EQ263" i="335"/>
  <c r="ES263" i="335"/>
  <c r="ET263" i="335"/>
  <c r="FK38" i="3"/>
  <c r="FK92" i="3" s="1"/>
  <c r="FM106" i="11"/>
  <c r="FM120" i="11"/>
  <c r="FM124" i="11" s="1"/>
  <c r="FM128" i="11" s="1"/>
  <c r="FM109" i="11"/>
  <c r="FM113" i="11" s="1"/>
  <c r="FM247" i="335"/>
  <c r="FL121" i="11"/>
  <c r="FL125" i="11" s="1"/>
  <c r="FL129" i="11" s="1"/>
  <c r="FL362" i="335"/>
  <c r="FL360" i="335" s="1"/>
  <c r="FL110" i="11"/>
  <c r="FL114" i="11" s="1"/>
  <c r="DQ220" i="336"/>
  <c r="DK224" i="336"/>
  <c r="DK225" i="336" s="1"/>
  <c r="FA156" i="335"/>
  <c r="FC165" i="335"/>
  <c r="FC156" i="335"/>
  <c r="EY464" i="335"/>
  <c r="EY461" i="335"/>
  <c r="FA165" i="335"/>
  <c r="FA464" i="335" s="1"/>
  <c r="EY86" i="336"/>
  <c r="EX447" i="335"/>
  <c r="FE156" i="335"/>
  <c r="FE165" i="335"/>
  <c r="EZ464" i="335"/>
  <c r="EZ206" i="335"/>
  <c r="EZ207" i="335" s="1"/>
  <c r="EZ461" i="335"/>
  <c r="FF156" i="335"/>
  <c r="FF165" i="335"/>
  <c r="EZ159" i="335"/>
  <c r="EZ157" i="335"/>
  <c r="EZ158" i="335"/>
  <c r="EZ199" i="335"/>
  <c r="EZ200" i="335" s="1"/>
  <c r="FI239" i="335"/>
  <c r="FK239" i="335"/>
  <c r="FL239" i="335"/>
  <c r="FJ239" i="335"/>
  <c r="FD156" i="335"/>
  <c r="FD165" i="335"/>
  <c r="FK71" i="336"/>
  <c r="FJ432" i="335"/>
  <c r="FL173" i="336"/>
  <c r="FM21" i="3"/>
  <c r="FM417" i="338" s="1"/>
  <c r="DD103" i="3"/>
  <c r="DE103" i="3" s="1"/>
  <c r="DG101" i="3" s="1"/>
  <c r="DG103" i="3" s="1"/>
  <c r="DH101" i="3" s="1"/>
  <c r="DH103" i="3" s="1"/>
  <c r="DI101" i="3" s="1"/>
  <c r="DI103" i="3" s="1"/>
  <c r="DJ101" i="3" s="1"/>
  <c r="DE101" i="3"/>
  <c r="AQ47" i="3"/>
  <c r="AP49" i="3"/>
  <c r="AQ49" i="3" s="1"/>
  <c r="AS47" i="3" s="1"/>
  <c r="FA271" i="336"/>
  <c r="FA281" i="336"/>
  <c r="FG276" i="336" s="1"/>
  <c r="EB421" i="335"/>
  <c r="EC421" i="335" s="1"/>
  <c r="EE60" i="336"/>
  <c r="EB48" i="336"/>
  <c r="EK64" i="336"/>
  <c r="EH425" i="335"/>
  <c r="EI425" i="335" s="1"/>
  <c r="EF445" i="335"/>
  <c r="EG84" i="336"/>
  <c r="DZ175" i="336"/>
  <c r="DZ199" i="336"/>
  <c r="DZ192" i="336"/>
  <c r="DZ196" i="336" s="1"/>
  <c r="EI221" i="335"/>
  <c r="EC221" i="335"/>
  <c r="DY49" i="3"/>
  <c r="DZ47" i="3"/>
  <c r="EI203" i="335"/>
  <c r="EC203" i="335"/>
  <c r="EC184" i="336"/>
  <c r="EC208" i="336" s="1"/>
  <c r="EC210" i="336" s="1"/>
  <c r="DY183" i="336"/>
  <c r="DY208" i="336"/>
  <c r="DY210" i="336" s="1"/>
  <c r="DY211" i="336" s="1"/>
  <c r="EE203" i="335"/>
  <c r="DY203" i="335"/>
  <c r="EK62" i="336"/>
  <c r="EH423" i="335"/>
  <c r="EI423" i="335" s="1"/>
  <c r="DH215" i="336"/>
  <c r="DH213" i="336" s="1"/>
  <c r="FJ430" i="335"/>
  <c r="FK69" i="336"/>
  <c r="EK85" i="336"/>
  <c r="EH446" i="335"/>
  <c r="EI446" i="335" s="1"/>
  <c r="EE135" i="336" l="1"/>
  <c r="EF134" i="336"/>
  <c r="EF137" i="336" s="1"/>
  <c r="EF139" i="336"/>
  <c r="EF140" i="336" s="1"/>
  <c r="EE139" i="336"/>
  <c r="EE140" i="336" s="1"/>
  <c r="EE137" i="336"/>
  <c r="EY263" i="335"/>
  <c r="EX263" i="335"/>
  <c r="FG263" i="335"/>
  <c r="EZ263" i="335"/>
  <c r="EW263" i="335"/>
  <c r="FA461" i="335"/>
  <c r="FM362" i="335"/>
  <c r="FM360" i="335" s="1"/>
  <c r="FM110" i="11"/>
  <c r="FM114" i="11" s="1"/>
  <c r="FM121" i="11"/>
  <c r="FM125" i="11" s="1"/>
  <c r="FM129" i="11" s="1"/>
  <c r="DQ224" i="336"/>
  <c r="DQ225" i="336" s="1"/>
  <c r="DW220" i="336"/>
  <c r="FJ165" i="335"/>
  <c r="FJ156" i="335"/>
  <c r="FF464" i="335"/>
  <c r="FF206" i="335"/>
  <c r="FF207" i="335" s="1"/>
  <c r="FF461" i="335"/>
  <c r="EZ13" i="3"/>
  <c r="FG156" i="335"/>
  <c r="FC158" i="335"/>
  <c r="FC199" i="335"/>
  <c r="FC159" i="335"/>
  <c r="FC157" i="335"/>
  <c r="FL156" i="335"/>
  <c r="FL165" i="335"/>
  <c r="FF159" i="335"/>
  <c r="FF157" i="335"/>
  <c r="FF158" i="335"/>
  <c r="FF199" i="335"/>
  <c r="FF200" i="335" s="1"/>
  <c r="EZ86" i="336"/>
  <c r="EY447" i="335"/>
  <c r="FC464" i="335"/>
  <c r="FG165" i="335"/>
  <c r="FG464" i="335" s="1"/>
  <c r="FC13" i="3"/>
  <c r="FC206" i="335"/>
  <c r="FC461" i="335"/>
  <c r="FA199" i="335"/>
  <c r="FA200" i="335" s="1"/>
  <c r="FD461" i="335"/>
  <c r="FD206" i="335"/>
  <c r="FD207" i="335" s="1"/>
  <c r="FD464" i="335"/>
  <c r="FK156" i="335"/>
  <c r="FK165" i="335"/>
  <c r="FE206" i="335"/>
  <c r="FE207" i="335" s="1"/>
  <c r="FE461" i="335"/>
  <c r="FE464" i="335"/>
  <c r="GA156" i="335"/>
  <c r="FD159" i="335"/>
  <c r="FD157" i="335"/>
  <c r="FD158" i="335"/>
  <c r="FD199" i="335"/>
  <c r="FD200" i="335" s="1"/>
  <c r="FI156" i="335"/>
  <c r="FI165" i="335"/>
  <c r="FE159" i="335"/>
  <c r="FE157" i="335"/>
  <c r="FE158" i="335"/>
  <c r="FE199" i="335"/>
  <c r="FE200" i="335" s="1"/>
  <c r="FA206" i="335"/>
  <c r="FA207" i="335" s="1"/>
  <c r="FA157" i="335"/>
  <c r="FA158" i="335"/>
  <c r="FK432" i="335"/>
  <c r="FL71" i="336"/>
  <c r="FL432" i="335" s="1"/>
  <c r="FL178" i="336"/>
  <c r="FM178" i="336" s="1"/>
  <c r="FM173" i="336"/>
  <c r="DK101" i="3"/>
  <c r="DJ103" i="3"/>
  <c r="DK103" i="3" s="1"/>
  <c r="DM101" i="3" s="1"/>
  <c r="DM103" i="3" s="1"/>
  <c r="DN101" i="3" s="1"/>
  <c r="DN103" i="3" s="1"/>
  <c r="DO101" i="3" s="1"/>
  <c r="DO103" i="3" s="1"/>
  <c r="DP101" i="3" s="1"/>
  <c r="AT47" i="3"/>
  <c r="AS49" i="3"/>
  <c r="FG266" i="336"/>
  <c r="FC266" i="336"/>
  <c r="FC271" i="336" s="1"/>
  <c r="FD266" i="336" s="1"/>
  <c r="FD271" i="336" s="1"/>
  <c r="FE266" i="336" s="1"/>
  <c r="FE271" i="336" s="1"/>
  <c r="FF266" i="336" s="1"/>
  <c r="FF271" i="336" s="1"/>
  <c r="EK425" i="335"/>
  <c r="EL64" i="336"/>
  <c r="EG445" i="335"/>
  <c r="EH84" i="336"/>
  <c r="EE421" i="335"/>
  <c r="EF60" i="336"/>
  <c r="EE48" i="336"/>
  <c r="EA47" i="3"/>
  <c r="DZ49" i="3"/>
  <c r="DY178" i="336"/>
  <c r="EC178" i="336" s="1"/>
  <c r="DY173" i="336"/>
  <c r="EC183" i="336"/>
  <c r="DI215" i="336"/>
  <c r="DI213" i="336" s="1"/>
  <c r="EK446" i="335"/>
  <c r="EL85" i="336"/>
  <c r="EK423" i="335"/>
  <c r="EL62" i="336"/>
  <c r="FK430" i="335"/>
  <c r="FL69" i="336"/>
  <c r="EF135" i="336" l="1"/>
  <c r="EG134" i="336"/>
  <c r="EG137" i="336" s="1"/>
  <c r="FM263" i="335"/>
  <c r="FE263" i="335"/>
  <c r="FD263" i="335"/>
  <c r="FC263" i="335"/>
  <c r="FF263" i="335"/>
  <c r="FG461" i="335"/>
  <c r="DW224" i="336"/>
  <c r="DW225" i="336" s="1"/>
  <c r="EC220" i="336"/>
  <c r="FM432" i="335"/>
  <c r="FM156" i="335"/>
  <c r="FI158" i="335"/>
  <c r="FI199" i="335"/>
  <c r="FI159" i="335"/>
  <c r="FI157" i="335"/>
  <c r="EZ447" i="335"/>
  <c r="FA447" i="335" s="1"/>
  <c r="FC86" i="336"/>
  <c r="FK464" i="335"/>
  <c r="FK206" i="335"/>
  <c r="FK207" i="335" s="1"/>
  <c r="FK461" i="335"/>
  <c r="FL464" i="335"/>
  <c r="FL461" i="335"/>
  <c r="FL206" i="335"/>
  <c r="FL207" i="335" s="1"/>
  <c r="FG199" i="335"/>
  <c r="FG200" i="335" s="1"/>
  <c r="FC200" i="335"/>
  <c r="FA13" i="3"/>
  <c r="EZ64" i="3"/>
  <c r="EZ180" i="336" s="1"/>
  <c r="GB156" i="335"/>
  <c r="FK158" i="335"/>
  <c r="FK159" i="335"/>
  <c r="FK157" i="335"/>
  <c r="FK199" i="335"/>
  <c r="FK200" i="335" s="1"/>
  <c r="FG206" i="335"/>
  <c r="FG207" i="335" s="1"/>
  <c r="FC207" i="335"/>
  <c r="FL199" i="335"/>
  <c r="FL200" i="335" s="1"/>
  <c r="FL158" i="335"/>
  <c r="FL159" i="335"/>
  <c r="FL157" i="335"/>
  <c r="FJ158" i="335"/>
  <c r="FJ157" i="335"/>
  <c r="FJ199" i="335"/>
  <c r="FJ200" i="335" s="1"/>
  <c r="FJ159" i="335"/>
  <c r="FI13" i="3"/>
  <c r="FM165" i="335"/>
  <c r="FM464" i="335" s="1"/>
  <c r="FI464" i="335"/>
  <c r="FI461" i="335"/>
  <c r="FI206" i="335"/>
  <c r="FC64" i="3"/>
  <c r="FD13" i="3"/>
  <c r="FG158" i="335"/>
  <c r="FG157" i="335"/>
  <c r="FJ464" i="335"/>
  <c r="FJ461" i="335"/>
  <c r="FJ206" i="335"/>
  <c r="FJ207" i="335" s="1"/>
  <c r="FL199" i="336"/>
  <c r="FL38" i="3" s="1"/>
  <c r="FL92" i="3" s="1"/>
  <c r="FM92" i="3" s="1"/>
  <c r="FM179" i="336"/>
  <c r="AU47" i="3"/>
  <c r="AT49" i="3"/>
  <c r="DQ101" i="3"/>
  <c r="DP103" i="3"/>
  <c r="DQ103" i="3" s="1"/>
  <c r="DS101" i="3" s="1"/>
  <c r="DS103" i="3" s="1"/>
  <c r="DT101" i="3" s="1"/>
  <c r="DT103" i="3" s="1"/>
  <c r="DU101" i="3" s="1"/>
  <c r="DU103" i="3" s="1"/>
  <c r="DV101" i="3" s="1"/>
  <c r="FG271" i="336"/>
  <c r="FG281" i="336" s="1"/>
  <c r="FM276" i="336" s="1"/>
  <c r="EH445" i="335"/>
  <c r="EI445" i="335" s="1"/>
  <c r="EK84" i="336"/>
  <c r="EM64" i="336"/>
  <c r="EL425" i="335"/>
  <c r="EG60" i="336"/>
  <c r="EF421" i="335"/>
  <c r="EF48" i="336"/>
  <c r="EB47" i="3"/>
  <c r="EA49" i="3"/>
  <c r="DY175" i="336"/>
  <c r="DY199" i="336"/>
  <c r="DY192" i="336"/>
  <c r="DY196" i="336" s="1"/>
  <c r="EC173" i="336"/>
  <c r="DJ215" i="336"/>
  <c r="DK215" i="336" s="1"/>
  <c r="EL423" i="335"/>
  <c r="EM62" i="336"/>
  <c r="EL446" i="335"/>
  <c r="EM85" i="336"/>
  <c r="FL430" i="335"/>
  <c r="FM430" i="335" s="1"/>
  <c r="EG139" i="336" l="1"/>
  <c r="EG140" i="336" s="1"/>
  <c r="EH134" i="336"/>
  <c r="EG135" i="336"/>
  <c r="EH137" i="336"/>
  <c r="EI137" i="336" s="1"/>
  <c r="FL263" i="335"/>
  <c r="FK263" i="335"/>
  <c r="FI263" i="335"/>
  <c r="FJ263" i="335"/>
  <c r="FM38" i="3"/>
  <c r="FM461" i="335"/>
  <c r="EC224" i="336"/>
  <c r="EC225" i="336" s="1"/>
  <c r="EI220" i="336"/>
  <c r="FC180" i="336"/>
  <c r="FI64" i="3"/>
  <c r="FI180" i="336" s="1"/>
  <c r="FI192" i="336" s="1"/>
  <c r="FJ13" i="3"/>
  <c r="FC447" i="335"/>
  <c r="FD86" i="336"/>
  <c r="FM199" i="335"/>
  <c r="FM200" i="335" s="1"/>
  <c r="FI200" i="335"/>
  <c r="FA64" i="3"/>
  <c r="FM158" i="335"/>
  <c r="FM157" i="335"/>
  <c r="FD64" i="3"/>
  <c r="FD180" i="336" s="1"/>
  <c r="FD192" i="336" s="1"/>
  <c r="FE13" i="3"/>
  <c r="FM206" i="335"/>
  <c r="FM207" i="335" s="1"/>
  <c r="FI207" i="335"/>
  <c r="FA180" i="336"/>
  <c r="DV103" i="3"/>
  <c r="DW103" i="3" s="1"/>
  <c r="DY101" i="3" s="1"/>
  <c r="DY103" i="3" s="1"/>
  <c r="DZ101" i="3" s="1"/>
  <c r="DZ103" i="3" s="1"/>
  <c r="EA101" i="3" s="1"/>
  <c r="EA103" i="3" s="1"/>
  <c r="EB101" i="3" s="1"/>
  <c r="DW101" i="3"/>
  <c r="AV47" i="3"/>
  <c r="AU49" i="3"/>
  <c r="DJ213" i="336"/>
  <c r="DK213" i="336" s="1"/>
  <c r="DK214" i="336" s="1"/>
  <c r="FI266" i="336"/>
  <c r="FI271" i="336" s="1"/>
  <c r="FJ266" i="336" s="1"/>
  <c r="FJ271" i="336" s="1"/>
  <c r="FK266" i="336" s="1"/>
  <c r="FK271" i="336" s="1"/>
  <c r="FL266" i="336" s="1"/>
  <c r="FL271" i="336" s="1"/>
  <c r="FM266" i="336"/>
  <c r="FM271" i="336" s="1"/>
  <c r="FM281" i="336" s="1"/>
  <c r="EG421" i="335"/>
  <c r="EH60" i="336"/>
  <c r="EG48" i="336"/>
  <c r="EK445" i="335"/>
  <c r="EL84" i="336"/>
  <c r="EN64" i="336"/>
  <c r="EM425" i="335"/>
  <c r="EC175" i="336"/>
  <c r="EC192" i="336"/>
  <c r="EC196" i="336" s="1"/>
  <c r="EB49" i="3"/>
  <c r="EC49" i="3" s="1"/>
  <c r="EE47" i="3" s="1"/>
  <c r="EC47" i="3"/>
  <c r="EN85" i="336"/>
  <c r="EM446" i="335"/>
  <c r="EN62" i="336"/>
  <c r="EM423" i="335"/>
  <c r="EH139" i="336" l="1"/>
  <c r="EH140" i="336" s="1"/>
  <c r="EI134" i="336"/>
  <c r="EI139" i="336" s="1"/>
  <c r="EI140" i="336" s="1"/>
  <c r="EK134" i="336"/>
  <c r="EH135" i="336"/>
  <c r="EI135" i="336" s="1"/>
  <c r="DM215" i="336"/>
  <c r="DM213" i="336" s="1"/>
  <c r="EI224" i="336"/>
  <c r="EI225" i="336" s="1"/>
  <c r="EO220" i="336"/>
  <c r="FK13" i="3"/>
  <c r="FJ64" i="3"/>
  <c r="FE64" i="3"/>
  <c r="FE180" i="336" s="1"/>
  <c r="FE192" i="336" s="1"/>
  <c r="FF13" i="3"/>
  <c r="FD447" i="335"/>
  <c r="FE86" i="336"/>
  <c r="FC192" i="336"/>
  <c r="EB103" i="3"/>
  <c r="EC103" i="3" s="1"/>
  <c r="EE101" i="3" s="1"/>
  <c r="EE103" i="3" s="1"/>
  <c r="EF101" i="3" s="1"/>
  <c r="EF103" i="3" s="1"/>
  <c r="EG101" i="3" s="1"/>
  <c r="EG103" i="3" s="1"/>
  <c r="EH101" i="3" s="1"/>
  <c r="EC101" i="3"/>
  <c r="AW47" i="3"/>
  <c r="AV49" i="3"/>
  <c r="AW49" i="3" s="1"/>
  <c r="AY47" i="3" s="1"/>
  <c r="EN425" i="335"/>
  <c r="EO425" i="335" s="1"/>
  <c r="EQ64" i="336"/>
  <c r="EH421" i="335"/>
  <c r="EI421" i="335" s="1"/>
  <c r="EK60" i="336"/>
  <c r="EH48" i="336"/>
  <c r="EM84" i="336"/>
  <c r="EL445" i="335"/>
  <c r="EE49" i="3"/>
  <c r="EF47" i="3"/>
  <c r="EQ62" i="336"/>
  <c r="EN423" i="335"/>
  <c r="EO423" i="335" s="1"/>
  <c r="EN446" i="335"/>
  <c r="EO446" i="335" s="1"/>
  <c r="EQ85" i="336"/>
  <c r="EK139" i="336" l="1"/>
  <c r="EK140" i="336" s="1"/>
  <c r="EK135" i="336"/>
  <c r="EL134" i="336"/>
  <c r="EL139" i="336" s="1"/>
  <c r="EL140" i="336" s="1"/>
  <c r="EK137" i="336"/>
  <c r="EO224" i="336"/>
  <c r="EO225" i="336" s="1"/>
  <c r="EU220" i="336"/>
  <c r="FF64" i="3"/>
  <c r="FF180" i="336" s="1"/>
  <c r="FF192" i="336" s="1"/>
  <c r="FG13" i="3"/>
  <c r="FJ180" i="336"/>
  <c r="FF86" i="336"/>
  <c r="FE447" i="335"/>
  <c r="FK64" i="3"/>
  <c r="FK180" i="336" s="1"/>
  <c r="FK192" i="336" s="1"/>
  <c r="FL13" i="3"/>
  <c r="EH103" i="3"/>
  <c r="EI103" i="3" s="1"/>
  <c r="EK101" i="3" s="1"/>
  <c r="EK103" i="3" s="1"/>
  <c r="EL101" i="3" s="1"/>
  <c r="EL103" i="3" s="1"/>
  <c r="EM101" i="3" s="1"/>
  <c r="EM103" i="3" s="1"/>
  <c r="EN101" i="3" s="1"/>
  <c r="EI101" i="3"/>
  <c r="AZ47" i="3"/>
  <c r="AY49" i="3"/>
  <c r="EN84" i="336"/>
  <c r="EM445" i="335"/>
  <c r="ER64" i="336"/>
  <c r="EQ425" i="335"/>
  <c r="EL60" i="336"/>
  <c r="EK421" i="335"/>
  <c r="EK48" i="336"/>
  <c r="EG47" i="3"/>
  <c r="EF49" i="3"/>
  <c r="ER62" i="336"/>
  <c r="EQ423" i="335"/>
  <c r="EQ446" i="335"/>
  <c r="ER85" i="336"/>
  <c r="DN215" i="336"/>
  <c r="EL137" i="336" l="1"/>
  <c r="EM134" i="336"/>
  <c r="EM139" i="336" s="1"/>
  <c r="EM140" i="336" s="1"/>
  <c r="EL135" i="336"/>
  <c r="EU224" i="336"/>
  <c r="EU225" i="336" s="1"/>
  <c r="FF447" i="335"/>
  <c r="FG447" i="335" s="1"/>
  <c r="FI86" i="336"/>
  <c r="FG180" i="336"/>
  <c r="FG192" i="336" s="1"/>
  <c r="FM13" i="3"/>
  <c r="FL64" i="3"/>
  <c r="FG64" i="3"/>
  <c r="FJ192" i="336"/>
  <c r="BA47" i="3"/>
  <c r="AZ49" i="3"/>
  <c r="EN103" i="3"/>
  <c r="EO103" i="3" s="1"/>
  <c r="EQ101" i="3" s="1"/>
  <c r="EQ103" i="3" s="1"/>
  <c r="ER101" i="3" s="1"/>
  <c r="ER103" i="3" s="1"/>
  <c r="ES101" i="3" s="1"/>
  <c r="ES103" i="3" s="1"/>
  <c r="ET101" i="3" s="1"/>
  <c r="EO101" i="3"/>
  <c r="ES64" i="336"/>
  <c r="ER425" i="335"/>
  <c r="EM60" i="336"/>
  <c r="EL421" i="335"/>
  <c r="EL48" i="336"/>
  <c r="EN445" i="335"/>
  <c r="EO445" i="335" s="1"/>
  <c r="EQ84" i="336"/>
  <c r="EG49" i="3"/>
  <c r="EH47" i="3"/>
  <c r="ES85" i="336"/>
  <c r="ER446" i="335"/>
  <c r="ES62" i="336"/>
  <c r="ER423" i="335"/>
  <c r="DN213" i="336"/>
  <c r="EM137" i="336" l="1"/>
  <c r="EM135" i="336"/>
  <c r="EN134" i="336"/>
  <c r="EN139" i="336" s="1"/>
  <c r="EN140" i="336" s="1"/>
  <c r="FJ86" i="336"/>
  <c r="FI447" i="335"/>
  <c r="FL180" i="336"/>
  <c r="FM64" i="3"/>
  <c r="EU101" i="3"/>
  <c r="ET103" i="3"/>
  <c r="EU103" i="3" s="1"/>
  <c r="EW101" i="3" s="1"/>
  <c r="EW103" i="3" s="1"/>
  <c r="EX101" i="3" s="1"/>
  <c r="EX103" i="3" s="1"/>
  <c r="EY101" i="3" s="1"/>
  <c r="EY103" i="3" s="1"/>
  <c r="BB47" i="3"/>
  <c r="BA49" i="3"/>
  <c r="ES425" i="335"/>
  <c r="ET64" i="336"/>
  <c r="EQ445" i="335"/>
  <c r="ER84" i="336"/>
  <c r="EM421" i="335"/>
  <c r="EN60" i="336"/>
  <c r="EM48" i="336"/>
  <c r="EI47" i="3"/>
  <c r="EH49" i="3"/>
  <c r="EI49" i="3" s="1"/>
  <c r="EK47" i="3" s="1"/>
  <c r="DO215" i="336"/>
  <c r="DO213" i="336" s="1"/>
  <c r="ET62" i="336"/>
  <c r="ES423" i="335"/>
  <c r="ET85" i="336"/>
  <c r="ES446" i="335"/>
  <c r="EN137" i="336" l="1"/>
  <c r="EO137" i="336" s="1"/>
  <c r="EN135" i="336"/>
  <c r="EO135" i="336" s="1"/>
  <c r="EO134" i="336"/>
  <c r="EO139" i="336" s="1"/>
  <c r="EO140" i="336" s="1"/>
  <c r="EQ134" i="336"/>
  <c r="FJ447" i="335"/>
  <c r="FK86" i="336"/>
  <c r="FL192" i="336"/>
  <c r="FM180" i="336"/>
  <c r="FM192" i="336" s="1"/>
  <c r="BC47" i="3"/>
  <c r="BB49" i="3"/>
  <c r="BC49" i="3" s="1"/>
  <c r="BE47" i="3" s="1"/>
  <c r="ER445" i="335"/>
  <c r="ES84" i="336"/>
  <c r="EQ60" i="336"/>
  <c r="EN421" i="335"/>
  <c r="EO421" i="335" s="1"/>
  <c r="EN48" i="336"/>
  <c r="EW64" i="336"/>
  <c r="ET425" i="335"/>
  <c r="EU425" i="335" s="1"/>
  <c r="EL47" i="3"/>
  <c r="EK49" i="3"/>
  <c r="ET423" i="335"/>
  <c r="EU423" i="335" s="1"/>
  <c r="EW62" i="336"/>
  <c r="EW85" i="336"/>
  <c r="ET446" i="335"/>
  <c r="EU446" i="335" s="1"/>
  <c r="DP215" i="336"/>
  <c r="DP213" i="336" s="1"/>
  <c r="EQ139" i="336" l="1"/>
  <c r="EQ140" i="336" s="1"/>
  <c r="EQ135" i="336"/>
  <c r="ER134" i="336"/>
  <c r="EQ137" i="336"/>
  <c r="FK447" i="335"/>
  <c r="FL86" i="336"/>
  <c r="FL447" i="335" s="1"/>
  <c r="DQ215" i="336"/>
  <c r="BF47" i="3"/>
  <c r="BE49" i="3"/>
  <c r="EQ421" i="335"/>
  <c r="ER60" i="336"/>
  <c r="EQ48" i="336"/>
  <c r="EX64" i="336"/>
  <c r="EW425" i="335"/>
  <c r="ET84" i="336"/>
  <c r="ES445" i="335"/>
  <c r="EL49" i="3"/>
  <c r="EM47" i="3"/>
  <c r="EW446" i="335"/>
  <c r="EX85" i="336"/>
  <c r="EX62" i="336"/>
  <c r="EW423" i="335"/>
  <c r="DS215" i="336"/>
  <c r="DS213" i="336" s="1"/>
  <c r="DQ213" i="336"/>
  <c r="DQ214" i="336" l="1"/>
  <c r="ER137" i="336"/>
  <c r="ES134" i="336"/>
  <c r="ES137" i="336" s="1"/>
  <c r="ER135" i="336"/>
  <c r="ER139" i="336"/>
  <c r="ER140" i="336" s="1"/>
  <c r="FM447" i="335"/>
  <c r="BG47" i="3"/>
  <c r="BF49" i="3"/>
  <c r="ES60" i="336"/>
  <c r="ER421" i="335"/>
  <c r="ER48" i="336"/>
  <c r="EX425" i="335"/>
  <c r="EY64" i="336"/>
  <c r="ET445" i="335"/>
  <c r="EU445" i="335" s="1"/>
  <c r="EW84" i="336"/>
  <c r="EN47" i="3"/>
  <c r="EM49" i="3"/>
  <c r="DT215" i="336"/>
  <c r="DT213" i="336" s="1"/>
  <c r="DU215" i="336" s="1"/>
  <c r="DU213" i="336" s="1"/>
  <c r="EX423" i="335"/>
  <c r="EY62" i="336"/>
  <c r="EY85" i="336"/>
  <c r="EX446" i="335"/>
  <c r="ES139" i="336" l="1"/>
  <c r="ES140" i="336" s="1"/>
  <c r="ET134" i="336"/>
  <c r="ET137" i="336" s="1"/>
  <c r="ES135" i="336"/>
  <c r="ET139" i="336"/>
  <c r="ET140" i="336" s="1"/>
  <c r="BH47" i="3"/>
  <c r="BG49" i="3"/>
  <c r="EW445" i="335"/>
  <c r="EX84" i="336"/>
  <c r="ES421" i="335"/>
  <c r="ET60" i="336"/>
  <c r="ES48" i="336"/>
  <c r="EZ64" i="336"/>
  <c r="EY425" i="335"/>
  <c r="EO47" i="3"/>
  <c r="EN49" i="3"/>
  <c r="EO49" i="3" s="1"/>
  <c r="EQ47" i="3" s="1"/>
  <c r="EZ62" i="336"/>
  <c r="EY423" i="335"/>
  <c r="EZ85" i="336"/>
  <c r="EY446" i="335"/>
  <c r="DV215" i="336"/>
  <c r="DW215" i="336" s="1"/>
  <c r="ET135" i="336" l="1"/>
  <c r="EU135" i="336" s="1"/>
  <c r="EW134" i="336"/>
  <c r="EU134" i="336"/>
  <c r="EU139" i="336" s="1"/>
  <c r="EU140" i="336" s="1"/>
  <c r="EW139" i="336"/>
  <c r="EW140" i="336" s="1"/>
  <c r="EZ137" i="336"/>
  <c r="EU137" i="336"/>
  <c r="BI47" i="3"/>
  <c r="BH49" i="3"/>
  <c r="BI49" i="3" s="1"/>
  <c r="BK47" i="3" s="1"/>
  <c r="EW60" i="336"/>
  <c r="ET421" i="335"/>
  <c r="EU421" i="335" s="1"/>
  <c r="ET48" i="336"/>
  <c r="EZ425" i="335"/>
  <c r="FA425" i="335" s="1"/>
  <c r="FC64" i="336"/>
  <c r="EY84" i="336"/>
  <c r="EX445" i="335"/>
  <c r="EQ49" i="3"/>
  <c r="ER47" i="3"/>
  <c r="DV213" i="336"/>
  <c r="DY215" i="336" s="1"/>
  <c r="DY213" i="336" s="1"/>
  <c r="EZ446" i="335"/>
  <c r="FA446" i="335" s="1"/>
  <c r="FC85" i="336"/>
  <c r="EZ423" i="335"/>
  <c r="FC62" i="336"/>
  <c r="EW137" i="336" l="1"/>
  <c r="FC137" i="336" s="1"/>
  <c r="FI137" i="336" s="1"/>
  <c r="EX134" i="336"/>
  <c r="EW135" i="336"/>
  <c r="EX137" i="336"/>
  <c r="FD137" i="336" s="1"/>
  <c r="FJ137" i="336" s="1"/>
  <c r="FF137" i="336"/>
  <c r="FA137" i="336"/>
  <c r="DW213" i="336"/>
  <c r="DW214" i="336" s="1"/>
  <c r="BL47" i="3"/>
  <c r="BK49" i="3"/>
  <c r="EZ84" i="336"/>
  <c r="EY445" i="335"/>
  <c r="FC425" i="335"/>
  <c r="FD64" i="336"/>
  <c r="EW421" i="335"/>
  <c r="EX60" i="336"/>
  <c r="EW48" i="336"/>
  <c r="ER49" i="3"/>
  <c r="ES47" i="3"/>
  <c r="DZ215" i="336"/>
  <c r="DZ213" i="336" s="1"/>
  <c r="FD62" i="336"/>
  <c r="FC423" i="335"/>
  <c r="FA423" i="335"/>
  <c r="FD85" i="336"/>
  <c r="FC446" i="335"/>
  <c r="EX139" i="336" l="1"/>
  <c r="EX140" i="336" s="1"/>
  <c r="EX135" i="336"/>
  <c r="FG137" i="336"/>
  <c r="FL137" i="336"/>
  <c r="FM137" i="336" s="1"/>
  <c r="BM47" i="3"/>
  <c r="BL49" i="3"/>
  <c r="FD425" i="335"/>
  <c r="FE64" i="336"/>
  <c r="EX421" i="335"/>
  <c r="EY60" i="336"/>
  <c r="EY48" i="336" s="1"/>
  <c r="EX48" i="336"/>
  <c r="EZ445" i="335"/>
  <c r="FA445" i="335" s="1"/>
  <c r="FC84" i="336"/>
  <c r="ET47" i="3"/>
  <c r="ES49" i="3"/>
  <c r="EA215" i="336"/>
  <c r="EA213" i="336" s="1"/>
  <c r="FE85" i="336"/>
  <c r="FD446" i="335"/>
  <c r="FD423" i="335"/>
  <c r="FE62" i="336"/>
  <c r="BN47" i="3" l="1"/>
  <c r="BM49" i="3"/>
  <c r="EZ60" i="336"/>
  <c r="EY421" i="335"/>
  <c r="EY379" i="335"/>
  <c r="FF64" i="336"/>
  <c r="FE425" i="335"/>
  <c r="FC48" i="336"/>
  <c r="FC32" i="336" s="1"/>
  <c r="FD84" i="336"/>
  <c r="FC445" i="335"/>
  <c r="FC178" i="335" s="1"/>
  <c r="ET49" i="3"/>
  <c r="EU49" i="3" s="1"/>
  <c r="EW47" i="3" s="1"/>
  <c r="EU47" i="3"/>
  <c r="EB215" i="336"/>
  <c r="EC215" i="336" s="1"/>
  <c r="FF85" i="336"/>
  <c r="FE446" i="335"/>
  <c r="FE423" i="335"/>
  <c r="FF62" i="336"/>
  <c r="BO47" i="3" l="1"/>
  <c r="BN49" i="3"/>
  <c r="BO49" i="3" s="1"/>
  <c r="BQ47" i="3" s="1"/>
  <c r="EY410" i="338"/>
  <c r="FD445" i="335"/>
  <c r="FD178" i="335" s="1"/>
  <c r="FD48" i="336"/>
  <c r="FD32" i="336" s="1"/>
  <c r="FE84" i="336"/>
  <c r="FC35" i="336"/>
  <c r="FC379" i="335"/>
  <c r="FC410" i="338"/>
  <c r="EZ421" i="335"/>
  <c r="EZ178" i="335" s="1"/>
  <c r="EZ48" i="336"/>
  <c r="EZ32" i="336" s="1"/>
  <c r="FF425" i="335"/>
  <c r="FG425" i="335" s="1"/>
  <c r="FI64" i="336"/>
  <c r="EX47" i="3"/>
  <c r="EY47" i="3" s="1"/>
  <c r="EY49" i="3" s="1"/>
  <c r="EW49" i="3"/>
  <c r="EB213" i="336"/>
  <c r="FI85" i="336"/>
  <c r="FF446" i="335"/>
  <c r="FG446" i="335" s="1"/>
  <c r="FI62" i="336"/>
  <c r="FF423" i="335"/>
  <c r="BR47" i="3" l="1"/>
  <c r="BQ49" i="3"/>
  <c r="FA32" i="336"/>
  <c r="EZ410" i="338"/>
  <c r="FA410" i="338" s="1"/>
  <c r="EZ379" i="335"/>
  <c r="FA379" i="335" s="1"/>
  <c r="EZ35" i="336"/>
  <c r="FA35" i="336" s="1"/>
  <c r="EZ39" i="3"/>
  <c r="FA421" i="335"/>
  <c r="FA178" i="335"/>
  <c r="GA178" i="335"/>
  <c r="FJ64" i="336"/>
  <c r="FI425" i="335"/>
  <c r="FF84" i="336"/>
  <c r="FE48" i="336"/>
  <c r="FE32" i="336" s="1"/>
  <c r="FE445" i="335"/>
  <c r="FE178" i="335" s="1"/>
  <c r="FC39" i="3"/>
  <c r="FD379" i="335"/>
  <c r="FD410" i="338"/>
  <c r="FD35" i="336"/>
  <c r="EX49" i="3"/>
  <c r="EZ47" i="3"/>
  <c r="FA47" i="3" s="1"/>
  <c r="EE215" i="336"/>
  <c r="EE213" i="336" s="1"/>
  <c r="EC213" i="336"/>
  <c r="EC214" i="336" s="1"/>
  <c r="FG423" i="335"/>
  <c r="FI423" i="335"/>
  <c r="FJ85" i="336"/>
  <c r="FI446" i="335"/>
  <c r="BS47" i="3" l="1"/>
  <c r="BR49" i="3"/>
  <c r="FC93" i="3"/>
  <c r="FJ425" i="335"/>
  <c r="FK64" i="336"/>
  <c r="FE35" i="336"/>
  <c r="FE379" i="335"/>
  <c r="FE410" i="338"/>
  <c r="FD39" i="3"/>
  <c r="FE39" i="3" s="1"/>
  <c r="FI84" i="336"/>
  <c r="FF48" i="336"/>
  <c r="FF32" i="336" s="1"/>
  <c r="FF445" i="335"/>
  <c r="FA39" i="3"/>
  <c r="EZ93" i="3"/>
  <c r="FM423" i="335"/>
  <c r="FJ446" i="335"/>
  <c r="FK85" i="336"/>
  <c r="EF215" i="336"/>
  <c r="EF213" i="336" s="1"/>
  <c r="BS49" i="3" l="1"/>
  <c r="BT47" i="3"/>
  <c r="FE93" i="3"/>
  <c r="EY462" i="335"/>
  <c r="EY208" i="335" s="1"/>
  <c r="EY209" i="335" s="1"/>
  <c r="FG445" i="335"/>
  <c r="FF178" i="335"/>
  <c r="FG178" i="335" s="1"/>
  <c r="FD93" i="3"/>
  <c r="FF379" i="335"/>
  <c r="FG379" i="335" s="1"/>
  <c r="FF39" i="3"/>
  <c r="FF35" i="336"/>
  <c r="FG35" i="336" s="1"/>
  <c r="FG32" i="336"/>
  <c r="FF410" i="338"/>
  <c r="FG410" i="338" s="1"/>
  <c r="FA93" i="3"/>
  <c r="FL64" i="336"/>
  <c r="FL425" i="335" s="1"/>
  <c r="FK425" i="335"/>
  <c r="FI445" i="335"/>
  <c r="FI178" i="335" s="1"/>
  <c r="FI48" i="336"/>
  <c r="FI32" i="336" s="1"/>
  <c r="FJ84" i="336"/>
  <c r="EG215" i="336"/>
  <c r="EG213" i="336" s="1"/>
  <c r="FK446" i="335"/>
  <c r="FL85" i="336"/>
  <c r="FL446" i="335" s="1"/>
  <c r="BT49" i="3" l="1"/>
  <c r="BU49" i="3" s="1"/>
  <c r="BW47" i="3" s="1"/>
  <c r="BU47" i="3"/>
  <c r="FI39" i="3"/>
  <c r="FI379" i="335"/>
  <c r="FI410" i="338"/>
  <c r="FI35" i="336"/>
  <c r="EY487" i="338"/>
  <c r="FM446" i="335"/>
  <c r="FK84" i="336"/>
  <c r="FJ445" i="335"/>
  <c r="FJ178" i="335" s="1"/>
  <c r="GB178" i="335" s="1"/>
  <c r="FJ48" i="336"/>
  <c r="FJ32" i="336" s="1"/>
  <c r="FM425" i="335"/>
  <c r="FG39" i="3"/>
  <c r="FF93" i="3"/>
  <c r="EH215" i="336"/>
  <c r="EI215" i="336" s="1"/>
  <c r="EY488" i="338" l="1"/>
  <c r="EZ489" i="338"/>
  <c r="BX47" i="3"/>
  <c r="BW49" i="3"/>
  <c r="FJ35" i="336"/>
  <c r="FJ39" i="3"/>
  <c r="FJ379" i="335"/>
  <c r="FJ410" i="338"/>
  <c r="FG93" i="3"/>
  <c r="FK48" i="336"/>
  <c r="FK32" i="336" s="1"/>
  <c r="FL84" i="336"/>
  <c r="FK445" i="335"/>
  <c r="FI93" i="3"/>
  <c r="EH213" i="336"/>
  <c r="BY47" i="3" l="1"/>
  <c r="BX49" i="3"/>
  <c r="FJ93" i="3"/>
  <c r="FK178" i="335"/>
  <c r="FL445" i="335"/>
  <c r="FL178" i="335" s="1"/>
  <c r="FL48" i="336"/>
  <c r="FL32" i="336" s="1"/>
  <c r="FK39" i="3"/>
  <c r="FK379" i="335"/>
  <c r="FK35" i="336"/>
  <c r="FK410" i="338"/>
  <c r="EI213" i="336"/>
  <c r="EI214" i="336" s="1"/>
  <c r="EK215" i="336"/>
  <c r="EK213" i="336" s="1"/>
  <c r="EL215" i="336" s="1"/>
  <c r="EL213" i="336" s="1"/>
  <c r="BY49" i="3" l="1"/>
  <c r="BZ47" i="3"/>
  <c r="FM178" i="335"/>
  <c r="FM445" i="335"/>
  <c r="FL379" i="335"/>
  <c r="FM379" i="335" s="1"/>
  <c r="FL39" i="3"/>
  <c r="FL410" i="338"/>
  <c r="FM410" i="338" s="1"/>
  <c r="FL35" i="336"/>
  <c r="FM35" i="336" s="1"/>
  <c r="FM32" i="336"/>
  <c r="FK93" i="3"/>
  <c r="EM215" i="336"/>
  <c r="EM213" i="336" s="1"/>
  <c r="CA47" i="3" l="1"/>
  <c r="BZ49" i="3"/>
  <c r="CA49" i="3" s="1"/>
  <c r="CC47" i="3" s="1"/>
  <c r="EY378" i="335"/>
  <c r="FL93" i="3"/>
  <c r="FM39" i="3"/>
  <c r="EN215" i="336"/>
  <c r="EO215" i="336" s="1"/>
  <c r="CD47" i="3" l="1"/>
  <c r="CC49" i="3"/>
  <c r="FM93" i="3"/>
  <c r="EZ177" i="335"/>
  <c r="EY407" i="338"/>
  <c r="EY412" i="338" s="1"/>
  <c r="EY381" i="335" s="1"/>
  <c r="EN213" i="336"/>
  <c r="CD49" i="3" l="1"/>
  <c r="CE47" i="3"/>
  <c r="FA177" i="335"/>
  <c r="EZ176" i="335"/>
  <c r="EO213" i="336"/>
  <c r="EO214" i="336" s="1"/>
  <c r="EQ215" i="336"/>
  <c r="CE49" i="3" l="1"/>
  <c r="CF47" i="3"/>
  <c r="EZ201" i="335"/>
  <c r="FA176" i="335"/>
  <c r="EZ182" i="335"/>
  <c r="EZ214" i="335"/>
  <c r="EQ213" i="336"/>
  <c r="ER215" i="336" s="1"/>
  <c r="ER213" i="336" s="1"/>
  <c r="ES215" i="336" s="1"/>
  <c r="ES213" i="336" s="1"/>
  <c r="ET215" i="336" s="1"/>
  <c r="ET213" i="336" s="1"/>
  <c r="CF49" i="3" l="1"/>
  <c r="CG49" i="3" s="1"/>
  <c r="CI47" i="3" s="1"/>
  <c r="CG47" i="3"/>
  <c r="FA182" i="335"/>
  <c r="EZ184" i="335"/>
  <c r="FA214" i="335"/>
  <c r="FA201" i="335"/>
  <c r="EU213" i="336"/>
  <c r="EW215" i="336"/>
  <c r="EW213" i="336" s="1"/>
  <c r="EX215" i="336" s="1"/>
  <c r="EX213" i="336" s="1"/>
  <c r="EU215" i="336"/>
  <c r="CI49" i="3" l="1"/>
  <c r="CJ47" i="3"/>
  <c r="EZ187" i="335"/>
  <c r="FA184" i="335"/>
  <c r="FA185" i="335" s="1"/>
  <c r="EU214" i="336"/>
  <c r="CJ49" i="3" l="1"/>
  <c r="CK47" i="3"/>
  <c r="FA375" i="335"/>
  <c r="EZ299" i="335"/>
  <c r="EZ324" i="335"/>
  <c r="EZ351" i="335"/>
  <c r="EZ371" i="335"/>
  <c r="FA371" i="335" s="1"/>
  <c r="FA187" i="335"/>
  <c r="EY380" i="335"/>
  <c r="CL47" i="3" l="1"/>
  <c r="CK49" i="3"/>
  <c r="FA299" i="335"/>
  <c r="FA351" i="335"/>
  <c r="CM47" i="3" l="1"/>
  <c r="CL49" i="3"/>
  <c r="CM49" i="3" s="1"/>
  <c r="CO47" i="3" s="1"/>
  <c r="CP47" i="3" l="1"/>
  <c r="CO49" i="3"/>
  <c r="CQ47" i="3" l="1"/>
  <c r="CP49" i="3"/>
  <c r="CQ49" i="3" l="1"/>
  <c r="CR47" i="3"/>
  <c r="CS47" i="3" l="1"/>
  <c r="CR49" i="3"/>
  <c r="CS49" i="3" s="1"/>
  <c r="CU47" i="3" s="1"/>
  <c r="CV47" i="3" l="1"/>
  <c r="CU49" i="3"/>
  <c r="CW47" i="3" l="1"/>
  <c r="CV49" i="3"/>
  <c r="CW49" i="3" l="1"/>
  <c r="CX47" i="3"/>
  <c r="CY47" i="3" l="1"/>
  <c r="CX49" i="3"/>
  <c r="CY49" i="3" s="1"/>
  <c r="DA47" i="3" s="1"/>
  <c r="DA49" i="3" s="1"/>
  <c r="EY382" i="335" l="1"/>
  <c r="EY373" i="335"/>
  <c r="EY384" i="335"/>
  <c r="EZ31" i="3"/>
  <c r="EZ83" i="3" s="1"/>
  <c r="EY173" i="335"/>
  <c r="EY174" i="335" s="1"/>
  <c r="EZ101" i="3"/>
  <c r="FA101" i="3" s="1"/>
  <c r="EY383" i="335"/>
  <c r="EY142" i="336"/>
  <c r="EY147" i="336"/>
  <c r="EY148" i="336" s="1"/>
  <c r="EZ148" i="336" s="1"/>
  <c r="EZ147" i="336" s="1"/>
  <c r="EZ36" i="3"/>
  <c r="FA36" i="3" s="1"/>
  <c r="EY144" i="336"/>
  <c r="EY134" i="336"/>
  <c r="EZ142" i="336" s="1"/>
  <c r="EZ12" i="3" s="1"/>
  <c r="EY198" i="336" l="1"/>
  <c r="EY397" i="335"/>
  <c r="EY398" i="335" s="1"/>
  <c r="EZ63" i="3"/>
  <c r="FA12" i="3"/>
  <c r="EZ14" i="3"/>
  <c r="EZ163" i="335"/>
  <c r="EZ18" i="336"/>
  <c r="EY170" i="336"/>
  <c r="FA185" i="336"/>
  <c r="FA144" i="336"/>
  <c r="EY145" i="336"/>
  <c r="EY139" i="336"/>
  <c r="EY140" i="336" s="1"/>
  <c r="EZ140" i="336" s="1"/>
  <c r="EZ139" i="336" s="1"/>
  <c r="EZ134" i="336" s="1"/>
  <c r="FA142" i="336"/>
  <c r="FA147" i="336"/>
  <c r="EY135" i="336"/>
  <c r="EZ90" i="3"/>
  <c r="EY137" i="336"/>
  <c r="FE137" i="336" s="1"/>
  <c r="FK137" i="336" s="1"/>
  <c r="EY201" i="336"/>
  <c r="EZ201" i="336" s="1"/>
  <c r="FC201" i="336" s="1"/>
  <c r="FD201" i="336" s="1"/>
  <c r="FE201" i="336" s="1"/>
  <c r="FF201" i="336" s="1"/>
  <c r="FI201" i="336" s="1"/>
  <c r="FJ201" i="336" s="1"/>
  <c r="FK201" i="336" s="1"/>
  <c r="FL201" i="336" s="1"/>
  <c r="FA31" i="3"/>
  <c r="EZ33" i="3"/>
  <c r="FA33" i="3" s="1"/>
  <c r="FC139" i="336" l="1"/>
  <c r="FC134" i="336" s="1"/>
  <c r="FA134" i="336"/>
  <c r="FC142" i="336"/>
  <c r="EZ85" i="3"/>
  <c r="EZ382" i="335"/>
  <c r="FA83" i="3"/>
  <c r="FA220" i="336"/>
  <c r="FA148" i="336"/>
  <c r="FA18" i="336"/>
  <c r="FC147" i="336"/>
  <c r="FC18" i="336" s="1"/>
  <c r="FA401" i="338"/>
  <c r="FA400" i="338"/>
  <c r="FA418" i="338"/>
  <c r="FA90" i="3"/>
  <c r="FA145" i="336"/>
  <c r="FA163" i="335"/>
  <c r="EZ459" i="335"/>
  <c r="FA459" i="335" s="1"/>
  <c r="EZ160" i="335"/>
  <c r="FA416" i="338"/>
  <c r="EZ135" i="336"/>
  <c r="EZ136" i="336" s="1"/>
  <c r="EZ65" i="3"/>
  <c r="FA65" i="3" s="1"/>
  <c r="FA14" i="3"/>
  <c r="FA63" i="3"/>
  <c r="EZ384" i="335"/>
  <c r="EZ173" i="335"/>
  <c r="EZ174" i="335" s="1"/>
  <c r="FA136" i="336" l="1"/>
  <c r="EZ17" i="336"/>
  <c r="FA384" i="335"/>
  <c r="FA173" i="335"/>
  <c r="FA85" i="3"/>
  <c r="FA382" i="335"/>
  <c r="FA139" i="336"/>
  <c r="FA140" i="336" s="1"/>
  <c r="FC14" i="3"/>
  <c r="FC163" i="335"/>
  <c r="FD139" i="336"/>
  <c r="FD134" i="336" s="1"/>
  <c r="FD142" i="336"/>
  <c r="FA135" i="336"/>
  <c r="FC135" i="336"/>
  <c r="FD147" i="336"/>
  <c r="FD163" i="335" s="1"/>
  <c r="FA160" i="335"/>
  <c r="EZ212" i="335"/>
  <c r="FC12" i="3"/>
  <c r="FC63" i="3" s="1"/>
  <c r="FD18" i="336" l="1"/>
  <c r="FD135" i="336"/>
  <c r="FD136" i="336" s="1"/>
  <c r="FD17" i="336" s="1"/>
  <c r="EZ213" i="335"/>
  <c r="FA212" i="335"/>
  <c r="FA213" i="335" s="1"/>
  <c r="EZ215" i="335"/>
  <c r="FD12" i="3"/>
  <c r="FD63" i="3" s="1"/>
  <c r="FA174" i="335"/>
  <c r="FA17" i="336"/>
  <c r="FC384" i="335"/>
  <c r="FC173" i="335"/>
  <c r="FC174" i="335" s="1"/>
  <c r="FE147" i="336"/>
  <c r="FE18" i="336" s="1"/>
  <c r="FE139" i="336"/>
  <c r="FE142" i="336"/>
  <c r="FD14" i="3"/>
  <c r="FC65" i="3"/>
  <c r="FD459" i="335"/>
  <c r="FD160" i="335"/>
  <c r="FD212" i="335" s="1"/>
  <c r="FC136" i="336"/>
  <c r="FC17" i="336" s="1"/>
  <c r="FC459" i="335"/>
  <c r="FC160" i="335"/>
  <c r="FE135" i="336" l="1"/>
  <c r="FE14" i="3"/>
  <c r="FD65" i="3"/>
  <c r="FF147" i="336"/>
  <c r="FF163" i="335" s="1"/>
  <c r="FF18" i="336"/>
  <c r="FE134" i="336"/>
  <c r="FD384" i="335"/>
  <c r="FD173" i="335"/>
  <c r="FD174" i="335" s="1"/>
  <c r="FA215" i="335"/>
  <c r="EZ216" i="335"/>
  <c r="FC212" i="335"/>
  <c r="GA160" i="335"/>
  <c r="FD213" i="335"/>
  <c r="FE12" i="3"/>
  <c r="FE63" i="3" s="1"/>
  <c r="FE163" i="335"/>
  <c r="FG147" i="336"/>
  <c r="FG18" i="336" l="1"/>
  <c r="FI147" i="336"/>
  <c r="FI18" i="336" s="1"/>
  <c r="FF14" i="3"/>
  <c r="FE65" i="3"/>
  <c r="EZ462" i="335"/>
  <c r="EZ208" i="335" s="1"/>
  <c r="FA216" i="335"/>
  <c r="FF139" i="336"/>
  <c r="FF134" i="336" s="1"/>
  <c r="FF142" i="336"/>
  <c r="FE136" i="336"/>
  <c r="FE17" i="336" s="1"/>
  <c r="FE384" i="335"/>
  <c r="FE173" i="335"/>
  <c r="FE174" i="335" s="1"/>
  <c r="FC213" i="335"/>
  <c r="EZ218" i="335"/>
  <c r="FF459" i="335"/>
  <c r="FF160" i="335"/>
  <c r="FF212" i="335" s="1"/>
  <c r="FG148" i="336"/>
  <c r="FG220" i="336"/>
  <c r="FE459" i="335"/>
  <c r="FG459" i="335" s="1"/>
  <c r="FE160" i="335"/>
  <c r="FG163" i="335"/>
  <c r="FI139" i="336" l="1"/>
  <c r="FI134" i="336" s="1"/>
  <c r="FG134" i="336"/>
  <c r="FI142" i="336"/>
  <c r="FJ147" i="336"/>
  <c r="FJ163" i="335" s="1"/>
  <c r="FA208" i="335"/>
  <c r="FF213" i="335"/>
  <c r="FE212" i="335"/>
  <c r="FG160" i="335"/>
  <c r="FF12" i="3"/>
  <c r="FF135" i="336"/>
  <c r="FG142" i="336"/>
  <c r="FG14" i="3"/>
  <c r="FF65" i="3"/>
  <c r="FG65" i="3" s="1"/>
  <c r="FA218" i="335"/>
  <c r="EZ9" i="3"/>
  <c r="EZ207" i="336"/>
  <c r="FA462" i="335"/>
  <c r="FA217" i="335"/>
  <c r="FI14" i="3"/>
  <c r="FI163" i="335"/>
  <c r="FJ18" i="336" l="1"/>
  <c r="FJ139" i="336"/>
  <c r="FJ134" i="336" s="1"/>
  <c r="FJ142" i="336"/>
  <c r="FA9" i="3"/>
  <c r="EZ25" i="3"/>
  <c r="EZ60" i="3"/>
  <c r="FG135" i="336"/>
  <c r="FI135" i="336"/>
  <c r="FI136" i="336" s="1"/>
  <c r="FI17" i="336" s="1"/>
  <c r="FJ14" i="3"/>
  <c r="FI65" i="3"/>
  <c r="FA207" i="336"/>
  <c r="FG12" i="3"/>
  <c r="FF63" i="3"/>
  <c r="FK147" i="336"/>
  <c r="FK18" i="336" s="1"/>
  <c r="FG139" i="336"/>
  <c r="FG140" i="336" s="1"/>
  <c r="FJ459" i="335"/>
  <c r="FJ160" i="335"/>
  <c r="FJ212" i="335" s="1"/>
  <c r="FI459" i="335"/>
  <c r="FI160" i="335"/>
  <c r="FE213" i="335"/>
  <c r="FG212" i="335"/>
  <c r="FG213" i="335" s="1"/>
  <c r="FI12" i="3"/>
  <c r="FI63" i="3" s="1"/>
  <c r="FF136" i="336"/>
  <c r="FK139" i="336" l="1"/>
  <c r="FK134" i="336" s="1"/>
  <c r="FK142" i="336"/>
  <c r="FJ213" i="335"/>
  <c r="FG400" i="338"/>
  <c r="FG416" i="338"/>
  <c r="FA60" i="3"/>
  <c r="FA76" i="3" s="1"/>
  <c r="EZ76" i="3"/>
  <c r="FF17" i="336"/>
  <c r="FG136" i="336"/>
  <c r="FI212" i="335"/>
  <c r="GB160" i="335"/>
  <c r="FJ65" i="3"/>
  <c r="FK14" i="3"/>
  <c r="FK163" i="335"/>
  <c r="FJ135" i="336"/>
  <c r="FJ12" i="3"/>
  <c r="FJ63" i="3" s="1"/>
  <c r="FI384" i="335"/>
  <c r="FI173" i="335"/>
  <c r="FI174" i="335" s="1"/>
  <c r="FL147" i="336"/>
  <c r="FL163" i="335" s="1"/>
  <c r="FA25" i="3"/>
  <c r="EZ51" i="3"/>
  <c r="FA51" i="3" s="1"/>
  <c r="FF384" i="335"/>
  <c r="FF173" i="335"/>
  <c r="FF174" i="335" s="1"/>
  <c r="FG63" i="3"/>
  <c r="FM147" i="336" l="1"/>
  <c r="FK135" i="336"/>
  <c r="FL18" i="336"/>
  <c r="FM18" i="336" s="1"/>
  <c r="FJ136" i="336"/>
  <c r="FJ17" i="336" s="1"/>
  <c r="FL459" i="335"/>
  <c r="FL160" i="335"/>
  <c r="FL212" i="335" s="1"/>
  <c r="FA105" i="3"/>
  <c r="FA77" i="3"/>
  <c r="FK12" i="3"/>
  <c r="FK63" i="3" s="1"/>
  <c r="FG17" i="336"/>
  <c r="FL139" i="336"/>
  <c r="FL134" i="336" s="1"/>
  <c r="FL142" i="336"/>
  <c r="FK136" i="336"/>
  <c r="FK17" i="336" s="1"/>
  <c r="FG173" i="335"/>
  <c r="FG174" i="335" s="1"/>
  <c r="FG384" i="335"/>
  <c r="FM148" i="336"/>
  <c r="FM220" i="336"/>
  <c r="FL14" i="3"/>
  <c r="FK65" i="3"/>
  <c r="FI213" i="335"/>
  <c r="FJ384" i="335"/>
  <c r="FJ173" i="335"/>
  <c r="FJ174" i="335" s="1"/>
  <c r="FK459" i="335"/>
  <c r="FK160" i="335"/>
  <c r="FM163" i="335"/>
  <c r="EZ77" i="3"/>
  <c r="EZ87" i="3"/>
  <c r="FA87" i="3" s="1"/>
  <c r="EZ105" i="3"/>
  <c r="EZ373" i="335"/>
  <c r="FA373" i="335" s="1"/>
  <c r="EZ383" i="335"/>
  <c r="FL12" i="3" l="1"/>
  <c r="FM12" i="3" s="1"/>
  <c r="FM134" i="336"/>
  <c r="FM139" i="336" s="1"/>
  <c r="FM140" i="336" s="1"/>
  <c r="FM14" i="3"/>
  <c r="FL65" i="3"/>
  <c r="FM65" i="3" s="1"/>
  <c r="FM459" i="335"/>
  <c r="FM142" i="336"/>
  <c r="FA106" i="3"/>
  <c r="FA109" i="3"/>
  <c r="FA110" i="3" s="1"/>
  <c r="FA114" i="3"/>
  <c r="FA115" i="3" s="1"/>
  <c r="FA108" i="3"/>
  <c r="EZ109" i="3"/>
  <c r="EZ106" i="3"/>
  <c r="EZ114" i="3"/>
  <c r="EZ115" i="3" s="1"/>
  <c r="EZ108" i="3"/>
  <c r="FK212" i="335"/>
  <c r="FM160" i="335"/>
  <c r="EZ397" i="335"/>
  <c r="EZ398" i="335" s="1"/>
  <c r="FA383" i="335"/>
  <c r="FA397" i="335" s="1"/>
  <c r="FK384" i="335"/>
  <c r="FK173" i="335"/>
  <c r="FK174" i="335" s="1"/>
  <c r="FL135" i="336"/>
  <c r="FM135" i="336" s="1"/>
  <c r="FL213" i="335"/>
  <c r="FL63" i="3" l="1"/>
  <c r="FM63" i="3" s="1"/>
  <c r="FM173" i="335" s="1"/>
  <c r="FM174" i="335" s="1"/>
  <c r="FK213" i="335"/>
  <c r="FM212" i="335"/>
  <c r="FM213" i="335" s="1"/>
  <c r="EZ110" i="3"/>
  <c r="EZ170" i="336"/>
  <c r="FL136" i="336"/>
  <c r="FA385" i="338"/>
  <c r="FA386" i="338" s="1"/>
  <c r="FA399" i="335"/>
  <c r="FG385" i="338"/>
  <c r="FG386" i="338" s="1"/>
  <c r="FM385" i="338"/>
  <c r="FM386" i="338" s="1"/>
  <c r="FM416" i="338"/>
  <c r="FM400" i="338"/>
  <c r="FL173" i="335" l="1"/>
  <c r="FL174" i="335" s="1"/>
  <c r="FL384" i="335"/>
  <c r="FM384" i="335"/>
  <c r="FM136" i="336"/>
  <c r="FL17" i="336"/>
  <c r="FM17" i="336" l="1"/>
  <c r="EZ187" i="336" l="1"/>
  <c r="EZ186" i="336" l="1"/>
  <c r="FA186" i="336" s="1"/>
  <c r="FC187" i="336"/>
  <c r="FA193" i="336" l="1"/>
  <c r="FA187" i="336"/>
  <c r="FC186" i="336"/>
  <c r="FD187" i="336"/>
  <c r="FC193" i="336" l="1"/>
  <c r="FD186" i="336"/>
  <c r="FD193" i="336" s="1"/>
  <c r="FE187" i="336"/>
  <c r="FE186" i="336" l="1"/>
  <c r="FE193" i="336" s="1"/>
  <c r="FF187" i="336"/>
  <c r="FF186" i="336" l="1"/>
  <c r="FI187" i="336"/>
  <c r="FI186" i="336" l="1"/>
  <c r="FJ187" i="336"/>
  <c r="FF193" i="336"/>
  <c r="FG186" i="336"/>
  <c r="FG193" i="336" l="1"/>
  <c r="FG187" i="336"/>
  <c r="FJ186" i="336"/>
  <c r="FJ193" i="336" s="1"/>
  <c r="FK187" i="336"/>
  <c r="FI193" i="336"/>
  <c r="FL187" i="336" l="1"/>
  <c r="FL186" i="336" s="1"/>
  <c r="FL193" i="336" s="1"/>
  <c r="FK186" i="336"/>
  <c r="FK193" i="336" l="1"/>
  <c r="FM186" i="336"/>
  <c r="FM193" i="336" l="1"/>
  <c r="FM187" i="336"/>
  <c r="EZ178" i="336" l="1"/>
  <c r="EZ192" i="336" s="1"/>
  <c r="EZ193" i="336"/>
  <c r="EZ226" i="335" s="1"/>
  <c r="FA226" i="335" l="1"/>
  <c r="FG245" i="335" s="1"/>
  <c r="EZ224" i="335"/>
  <c r="EZ219" i="335" s="1"/>
  <c r="FC226" i="335"/>
  <c r="EZ199" i="336"/>
  <c r="EZ38" i="3" s="1"/>
  <c r="FA224" i="335" l="1"/>
  <c r="FA219" i="335" s="1"/>
  <c r="EZ223" i="335"/>
  <c r="EZ202" i="335" s="1"/>
  <c r="EZ203" i="335" s="1"/>
  <c r="EZ229" i="335"/>
  <c r="FA229" i="335" s="1"/>
  <c r="FA38" i="3"/>
  <c r="EZ92" i="3"/>
  <c r="FA92" i="3" s="1"/>
  <c r="FC224" i="335"/>
  <c r="FD226" i="335"/>
  <c r="FD224" i="335" s="1"/>
  <c r="EZ37" i="3" l="1"/>
  <c r="FA37" i="3" s="1"/>
  <c r="FA41" i="3" s="1"/>
  <c r="EZ209" i="336"/>
  <c r="EZ220" i="335"/>
  <c r="EZ221" i="335" s="1"/>
  <c r="EZ209" i="335"/>
  <c r="EZ225" i="335"/>
  <c r="EZ191" i="335"/>
  <c r="FA223" i="335"/>
  <c r="FA220" i="335" s="1"/>
  <c r="FA221" i="335" s="1"/>
  <c r="EZ189" i="335"/>
  <c r="EZ487" i="338" s="1"/>
  <c r="EZ488" i="338" s="1"/>
  <c r="FC223" i="335"/>
  <c r="FD223" i="335" s="1"/>
  <c r="FC229" i="335"/>
  <c r="FD229" i="335"/>
  <c r="FD209" i="336" s="1"/>
  <c r="FE226" i="335"/>
  <c r="FE224" i="335" s="1"/>
  <c r="FA209" i="336"/>
  <c r="EZ91" i="3" l="1"/>
  <c r="EZ41" i="3"/>
  <c r="EZ45" i="3" s="1"/>
  <c r="FA45" i="3" s="1"/>
  <c r="FA225" i="335"/>
  <c r="EZ190" i="335"/>
  <c r="EZ372" i="335"/>
  <c r="FA372" i="335" s="1"/>
  <c r="FA202" i="335"/>
  <c r="FA203" i="335" s="1"/>
  <c r="FA189" i="335"/>
  <c r="FA191" i="335"/>
  <c r="FA209" i="335"/>
  <c r="EZ325" i="335"/>
  <c r="EZ300" i="335"/>
  <c r="FD225" i="335"/>
  <c r="FD191" i="335"/>
  <c r="FF226" i="335"/>
  <c r="FF224" i="335" s="1"/>
  <c r="FE229" i="335"/>
  <c r="FE209" i="336" s="1"/>
  <c r="FE223" i="335"/>
  <c r="FC209" i="336"/>
  <c r="FC37" i="3"/>
  <c r="FA91" i="3"/>
  <c r="EZ95" i="3"/>
  <c r="EZ49" i="3"/>
  <c r="FA49" i="3" s="1"/>
  <c r="FC47" i="3" s="1"/>
  <c r="FD47" i="3" s="1"/>
  <c r="FE47" i="3" s="1"/>
  <c r="FF47" i="3" s="1"/>
  <c r="FG47" i="3" s="1"/>
  <c r="FC191" i="335"/>
  <c r="FC225" i="335"/>
  <c r="GA223" i="335"/>
  <c r="FA190" i="335" l="1"/>
  <c r="FA300" i="335"/>
  <c r="GA191" i="335"/>
  <c r="FF223" i="335"/>
  <c r="FF229" i="335"/>
  <c r="FG224" i="335"/>
  <c r="FE191" i="335"/>
  <c r="FE225" i="335"/>
  <c r="FA95" i="3"/>
  <c r="FA99" i="3" s="1"/>
  <c r="EZ99" i="3"/>
  <c r="EZ103" i="3" s="1"/>
  <c r="FC41" i="3"/>
  <c r="FC91" i="3"/>
  <c r="FD37" i="3"/>
  <c r="FG226" i="335"/>
  <c r="FM245" i="335" s="1"/>
  <c r="FI226" i="335"/>
  <c r="FA103" i="3" l="1"/>
  <c r="FC101" i="3" s="1"/>
  <c r="EZ8" i="336"/>
  <c r="FJ226" i="335"/>
  <c r="FJ224" i="335" s="1"/>
  <c r="FI224" i="335"/>
  <c r="FD41" i="3"/>
  <c r="FD91" i="3"/>
  <c r="FD95" i="3" s="1"/>
  <c r="FE37" i="3"/>
  <c r="FF209" i="336"/>
  <c r="FG209" i="336" s="1"/>
  <c r="FG229" i="335"/>
  <c r="FC95" i="3"/>
  <c r="FF191" i="335"/>
  <c r="FF225" i="335"/>
  <c r="FG223" i="335"/>
  <c r="FI223" i="335" l="1"/>
  <c r="FJ223" i="335" s="1"/>
  <c r="FI229" i="335"/>
  <c r="FK226" i="335"/>
  <c r="FK224" i="335" s="1"/>
  <c r="FJ229" i="335"/>
  <c r="FJ209" i="336" s="1"/>
  <c r="FG191" i="335"/>
  <c r="FG225" i="335"/>
  <c r="FE41" i="3"/>
  <c r="FE91" i="3"/>
  <c r="FE95" i="3" s="1"/>
  <c r="FF37" i="3"/>
  <c r="FA8" i="336"/>
  <c r="FA45" i="336" s="1"/>
  <c r="FA46" i="336" s="1"/>
  <c r="EZ45" i="336"/>
  <c r="EZ46" i="336" s="1"/>
  <c r="EZ407" i="338"/>
  <c r="EZ378" i="335"/>
  <c r="FC177" i="335" s="1"/>
  <c r="EZ15" i="336"/>
  <c r="FA407" i="338" l="1"/>
  <c r="FA412" i="338" s="1"/>
  <c r="FA381" i="335" s="1"/>
  <c r="EZ412" i="338"/>
  <c r="EZ381" i="335" s="1"/>
  <c r="FK223" i="335"/>
  <c r="FK229" i="335"/>
  <c r="FK209" i="336" s="1"/>
  <c r="FA15" i="336"/>
  <c r="EZ21" i="336"/>
  <c r="FJ225" i="335"/>
  <c r="FJ191" i="335"/>
  <c r="FI209" i="336"/>
  <c r="FI37" i="3"/>
  <c r="FA378" i="335"/>
  <c r="FF41" i="3"/>
  <c r="FG37" i="3"/>
  <c r="FG41" i="3" s="1"/>
  <c r="FF91" i="3"/>
  <c r="FF95" i="3" s="1"/>
  <c r="FL226" i="335"/>
  <c r="FM226" i="335" s="1"/>
  <c r="FI225" i="335"/>
  <c r="FI191" i="335"/>
  <c r="GB223" i="335"/>
  <c r="FL224" i="335" l="1"/>
  <c r="FM224" i="335" s="1"/>
  <c r="GB191" i="335"/>
  <c r="FG91" i="3"/>
  <c r="FG95" i="3"/>
  <c r="FC176" i="335"/>
  <c r="FA21" i="336"/>
  <c r="FK225" i="335"/>
  <c r="FK191" i="335"/>
  <c r="FI41" i="3"/>
  <c r="FI91" i="3"/>
  <c r="FJ37" i="3"/>
  <c r="FL229" i="335" l="1"/>
  <c r="FL209" i="336" s="1"/>
  <c r="FM209" i="336" s="1"/>
  <c r="FL223" i="335"/>
  <c r="FM223" i="335" s="1"/>
  <c r="FJ41" i="3"/>
  <c r="FJ91" i="3"/>
  <c r="FJ95" i="3" s="1"/>
  <c r="FK37" i="3"/>
  <c r="FI95" i="3"/>
  <c r="FC182" i="335"/>
  <c r="FC214" i="335"/>
  <c r="FC201" i="335"/>
  <c r="FL191" i="335" l="1"/>
  <c r="FL225" i="335"/>
  <c r="FM229" i="335"/>
  <c r="FC202" i="335"/>
  <c r="FC203" i="335" s="1"/>
  <c r="FK41" i="3"/>
  <c r="FL37" i="3"/>
  <c r="FK91" i="3"/>
  <c r="FC215" i="335"/>
  <c r="FC184" i="335"/>
  <c r="FC187" i="335" s="1"/>
  <c r="FM225" i="335"/>
  <c r="FM191" i="335"/>
  <c r="FM37" i="3" l="1"/>
  <c r="FM41" i="3" s="1"/>
  <c r="FL41" i="3"/>
  <c r="FL91" i="3"/>
  <c r="FL95" i="3" s="1"/>
  <c r="FC324" i="335"/>
  <c r="FC371" i="335"/>
  <c r="FC299" i="335"/>
  <c r="FC351" i="335"/>
  <c r="FC189" i="335"/>
  <c r="FC216" i="335"/>
  <c r="FC218" i="335" s="1"/>
  <c r="FK95" i="3"/>
  <c r="FM91" i="3" l="1"/>
  <c r="FC219" i="335"/>
  <c r="FC220" i="335"/>
  <c r="FC207" i="336"/>
  <c r="FC9" i="3"/>
  <c r="FM95" i="3"/>
  <c r="FC462" i="335"/>
  <c r="FC208" i="335" s="1"/>
  <c r="FC190" i="335"/>
  <c r="FC300" i="335"/>
  <c r="FC372" i="335"/>
  <c r="FC325" i="335"/>
  <c r="FC60" i="3" l="1"/>
  <c r="FC25" i="3"/>
  <c r="FC209" i="335"/>
  <c r="FC221" i="335"/>
  <c r="FC51" i="3" l="1"/>
  <c r="FC87" i="3" s="1"/>
  <c r="FC45" i="3"/>
  <c r="FC49" i="3" s="1"/>
  <c r="FC76" i="3"/>
  <c r="FC77" i="3" l="1"/>
  <c r="FC105" i="3"/>
  <c r="FC383" i="335"/>
  <c r="FC373" i="335"/>
  <c r="FC99" i="3"/>
  <c r="FC103" i="3" s="1"/>
  <c r="FC106" i="3" l="1"/>
  <c r="FC109" i="3"/>
  <c r="FC114" i="3"/>
  <c r="FC115" i="3" s="1"/>
  <c r="FC108" i="3"/>
  <c r="FC397" i="335"/>
  <c r="FD101" i="3"/>
  <c r="FC8" i="336"/>
  <c r="FC407" i="338" l="1"/>
  <c r="FC412" i="338" s="1"/>
  <c r="FC381" i="335" s="1"/>
  <c r="FC45" i="336"/>
  <c r="FC46" i="336" s="1"/>
  <c r="FC15" i="336"/>
  <c r="FC21" i="336" s="1"/>
  <c r="FC378" i="335"/>
  <c r="FD177" i="335" s="1"/>
  <c r="FC170" i="336"/>
  <c r="FC110" i="3"/>
  <c r="FC398" i="335"/>
  <c r="FD176" i="335" l="1"/>
  <c r="GA177" i="335"/>
  <c r="FD201" i="335" l="1"/>
  <c r="FD182" i="335"/>
  <c r="FD214" i="335"/>
  <c r="GA176" i="335"/>
  <c r="FD202" i="335" l="1"/>
  <c r="FD203" i="335" s="1"/>
  <c r="FD215" i="335"/>
  <c r="FD184" i="335"/>
  <c r="FD187" i="335" s="1"/>
  <c r="GA182" i="335"/>
  <c r="FD216" i="335" l="1"/>
  <c r="FD218" i="335" s="1"/>
  <c r="FD324" i="335"/>
  <c r="FD299" i="335"/>
  <c r="FD351" i="335"/>
  <c r="FD189" i="335"/>
  <c r="FD371" i="335"/>
  <c r="GA187" i="335"/>
  <c r="GA184" i="335"/>
  <c r="GA185" i="335" s="1"/>
  <c r="FD219" i="335" l="1"/>
  <c r="FD207" i="336"/>
  <c r="FD220" i="335"/>
  <c r="FD9" i="3"/>
  <c r="FD372" i="335"/>
  <c r="FD325" i="335"/>
  <c r="FD190" i="335"/>
  <c r="FD300" i="335"/>
  <c r="GA189" i="335"/>
  <c r="GA190" i="335" s="1"/>
  <c r="FD462" i="335"/>
  <c r="FD208" i="335" s="1"/>
  <c r="FD221" i="335" l="1"/>
  <c r="GA220" i="335"/>
  <c r="FD209" i="335"/>
  <c r="FD25" i="3"/>
  <c r="FD60" i="3"/>
  <c r="FD76" i="3" l="1"/>
  <c r="FD51" i="3"/>
  <c r="FD45" i="3"/>
  <c r="FD49" i="3" s="1"/>
  <c r="FD87" i="3" l="1"/>
  <c r="FD77" i="3"/>
  <c r="FD383" i="335"/>
  <c r="FD373" i="335"/>
  <c r="FD105" i="3"/>
  <c r="FD99" i="3"/>
  <c r="FD103" i="3" s="1"/>
  <c r="FD397" i="335" l="1"/>
  <c r="FE101" i="3"/>
  <c r="FD8" i="336"/>
  <c r="FD108" i="3"/>
  <c r="FD106" i="3"/>
  <c r="FD109" i="3"/>
  <c r="FD114" i="3"/>
  <c r="FD115" i="3" s="1"/>
  <c r="FD407" i="338" l="1"/>
  <c r="FD412" i="338" s="1"/>
  <c r="FD381" i="335" s="1"/>
  <c r="FD15" i="336"/>
  <c r="FD21" i="336" s="1"/>
  <c r="FD45" i="336"/>
  <c r="FD46" i="336" s="1"/>
  <c r="FD378" i="335"/>
  <c r="FE177" i="335" s="1"/>
  <c r="FD170" i="336"/>
  <c r="FD110" i="3"/>
  <c r="FD398" i="335"/>
  <c r="FE176" i="335" l="1"/>
  <c r="FE201" i="335" l="1"/>
  <c r="FE182" i="335"/>
  <c r="FE214" i="335"/>
  <c r="FE184" i="335" l="1"/>
  <c r="FE202" i="335"/>
  <c r="FE203" i="335" s="1"/>
  <c r="FE215" i="335"/>
  <c r="FE216" i="335" l="1"/>
  <c r="FE187" i="335"/>
  <c r="FE462" i="335" l="1"/>
  <c r="FE208" i="335" s="1"/>
  <c r="FE218" i="335"/>
  <c r="FE299" i="335"/>
  <c r="FE324" i="335"/>
  <c r="FE371" i="335"/>
  <c r="FE351" i="335"/>
  <c r="FE189" i="335"/>
  <c r="FE207" i="336" l="1"/>
  <c r="FE219" i="335"/>
  <c r="FE220" i="335"/>
  <c r="FE9" i="3"/>
  <c r="FE300" i="335"/>
  <c r="FE372" i="335"/>
  <c r="FE190" i="335"/>
  <c r="FE325" i="335"/>
  <c r="FE209" i="335"/>
  <c r="FE25" i="3" l="1"/>
  <c r="FE60" i="3"/>
  <c r="FE221" i="335"/>
  <c r="FE76" i="3" l="1"/>
  <c r="FE51" i="3"/>
  <c r="FE45" i="3"/>
  <c r="FE49" i="3" s="1"/>
  <c r="FE77" i="3" l="1"/>
  <c r="FE373" i="335"/>
  <c r="FE87" i="3"/>
  <c r="FE383" i="335"/>
  <c r="FE105" i="3"/>
  <c r="FE99" i="3"/>
  <c r="FE103" i="3" s="1"/>
  <c r="FE397" i="335" l="1"/>
  <c r="FF101" i="3"/>
  <c r="FG101" i="3" s="1"/>
  <c r="FE8" i="336"/>
  <c r="FE106" i="3"/>
  <c r="FE108" i="3"/>
  <c r="FE109" i="3"/>
  <c r="FE114" i="3"/>
  <c r="FE115" i="3" s="1"/>
  <c r="FE110" i="3" l="1"/>
  <c r="FE170" i="336"/>
  <c r="FE407" i="338"/>
  <c r="FE412" i="338" s="1"/>
  <c r="FE381" i="335" s="1"/>
  <c r="FE45" i="336"/>
  <c r="FE46" i="336" s="1"/>
  <c r="FE15" i="336"/>
  <c r="FE21" i="336" s="1"/>
  <c r="FE378" i="335"/>
  <c r="FF177" i="335" s="1"/>
  <c r="FE398" i="335"/>
  <c r="FF176" i="335" l="1"/>
  <c r="FG177" i="335"/>
  <c r="FF201" i="335" l="1"/>
  <c r="FF182" i="335"/>
  <c r="FF214" i="335"/>
  <c r="FG176" i="335"/>
  <c r="FF215" i="335" l="1"/>
  <c r="FG214" i="335"/>
  <c r="FF184" i="335"/>
  <c r="FF187" i="335" s="1"/>
  <c r="FG182" i="335"/>
  <c r="FF202" i="335"/>
  <c r="FF203" i="335" s="1"/>
  <c r="FG201" i="335"/>
  <c r="FG202" i="335" s="1"/>
  <c r="FG203" i="335" s="1"/>
  <c r="FF324" i="335" l="1"/>
  <c r="FF351" i="335"/>
  <c r="FF371" i="335"/>
  <c r="FG371" i="335" s="1"/>
  <c r="FF189" i="335"/>
  <c r="FF299" i="335"/>
  <c r="FG187" i="335"/>
  <c r="FG184" i="335"/>
  <c r="FG185" i="335" s="1"/>
  <c r="FF216" i="335"/>
  <c r="FG215" i="335"/>
  <c r="FF325" i="335" l="1"/>
  <c r="FF190" i="335"/>
  <c r="FF372" i="335"/>
  <c r="FG372" i="335" s="1"/>
  <c r="FF300" i="335"/>
  <c r="FF462" i="335"/>
  <c r="FF208" i="335" s="1"/>
  <c r="FG216" i="335"/>
  <c r="FG375" i="335"/>
  <c r="FG351" i="335"/>
  <c r="FG299" i="335"/>
  <c r="FG189" i="335"/>
  <c r="FF218" i="335"/>
  <c r="FF209" i="335" l="1"/>
  <c r="FG208" i="335"/>
  <c r="FG209" i="335" s="1"/>
  <c r="FG300" i="335"/>
  <c r="FG190" i="335"/>
  <c r="FF219" i="335"/>
  <c r="FF207" i="336"/>
  <c r="FF220" i="335"/>
  <c r="FF9" i="3"/>
  <c r="FG218" i="335"/>
  <c r="FG217" i="335"/>
  <c r="FG462" i="335"/>
  <c r="FF221" i="335" l="1"/>
  <c r="FG207" i="336"/>
  <c r="FG219" i="335"/>
  <c r="FG220" i="335"/>
  <c r="FG221" i="335" s="1"/>
  <c r="FG9" i="3"/>
  <c r="FF25" i="3"/>
  <c r="FF60" i="3"/>
  <c r="FF51" i="3" l="1"/>
  <c r="FG51" i="3" s="1"/>
  <c r="FG25" i="3"/>
  <c r="FF45" i="3"/>
  <c r="FF76" i="3"/>
  <c r="FG60" i="3"/>
  <c r="FG76" i="3" s="1"/>
  <c r="FG77" i="3" l="1"/>
  <c r="FG105" i="3"/>
  <c r="FG99" i="3"/>
  <c r="FF105" i="3"/>
  <c r="FF87" i="3"/>
  <c r="FG87" i="3" s="1"/>
  <c r="FF373" i="335"/>
  <c r="FG373" i="335" s="1"/>
  <c r="FF383" i="335"/>
  <c r="FF77" i="3"/>
  <c r="FF99" i="3"/>
  <c r="FF103" i="3" s="1"/>
  <c r="FF49" i="3"/>
  <c r="FG49" i="3" s="1"/>
  <c r="FI47" i="3" s="1"/>
  <c r="FJ47" i="3" s="1"/>
  <c r="FK47" i="3" s="1"/>
  <c r="FL47" i="3" s="1"/>
  <c r="FM47" i="3" s="1"/>
  <c r="FG45" i="3"/>
  <c r="FF397" i="335" l="1"/>
  <c r="FF398" i="335" s="1"/>
  <c r="FG383" i="335"/>
  <c r="FG397" i="335" s="1"/>
  <c r="FG399" i="335" s="1"/>
  <c r="FG103" i="3"/>
  <c r="FI101" i="3" s="1"/>
  <c r="FF8" i="336"/>
  <c r="FG114" i="3"/>
  <c r="FG115" i="3" s="1"/>
  <c r="FG106" i="3"/>
  <c r="FG109" i="3"/>
  <c r="FG110" i="3" s="1"/>
  <c r="FG108" i="3"/>
  <c r="FF114" i="3"/>
  <c r="FF115" i="3" s="1"/>
  <c r="FF106" i="3"/>
  <c r="FF109" i="3"/>
  <c r="FF108" i="3"/>
  <c r="FF45" i="336" l="1"/>
  <c r="FF46" i="336" s="1"/>
  <c r="FF15" i="336"/>
  <c r="FF407" i="338"/>
  <c r="FG8" i="336"/>
  <c r="FG45" i="336" s="1"/>
  <c r="FG46" i="336" s="1"/>
  <c r="FF378" i="335"/>
  <c r="FF110" i="3"/>
  <c r="FF170" i="336"/>
  <c r="FG15" i="336" l="1"/>
  <c r="FF21" i="336"/>
  <c r="FF412" i="338"/>
  <c r="FF381" i="335" s="1"/>
  <c r="FG407" i="338"/>
  <c r="FG412" i="338" s="1"/>
  <c r="FG381" i="335" s="1"/>
  <c r="FG378" i="335"/>
  <c r="FI177" i="335"/>
  <c r="FI176" i="335" l="1"/>
  <c r="FG21" i="336"/>
  <c r="FI201" i="335" l="1"/>
  <c r="FI214" i="335"/>
  <c r="FI182" i="335"/>
  <c r="FI184" i="335" l="1"/>
  <c r="FI187" i="335" s="1"/>
  <c r="FI202" i="335"/>
  <c r="FI203" i="335" s="1"/>
  <c r="FI215" i="335"/>
  <c r="FI371" i="335" l="1"/>
  <c r="FI189" i="335"/>
  <c r="FI324" i="335"/>
  <c r="FI351" i="335"/>
  <c r="FI299" i="335"/>
  <c r="FI216" i="335"/>
  <c r="FI218" i="335" s="1"/>
  <c r="FI207" i="336" l="1"/>
  <c r="FI219" i="335"/>
  <c r="FI9" i="3"/>
  <c r="FI220" i="335"/>
  <c r="FI190" i="335"/>
  <c r="FI325" i="335"/>
  <c r="FI300" i="335"/>
  <c r="FI372" i="335"/>
  <c r="FI462" i="335"/>
  <c r="FI208" i="335" s="1"/>
  <c r="FI25" i="3" l="1"/>
  <c r="FI60" i="3"/>
  <c r="FI209" i="335"/>
  <c r="FI221" i="335"/>
  <c r="FI76" i="3" l="1"/>
  <c r="FI51" i="3"/>
  <c r="FI87" i="3" s="1"/>
  <c r="FI45" i="3"/>
  <c r="FI49" i="3" s="1"/>
  <c r="FI373" i="335" l="1"/>
  <c r="FI105" i="3"/>
  <c r="FI77" i="3"/>
  <c r="FI383" i="335"/>
  <c r="FI99" i="3"/>
  <c r="FI103" i="3" s="1"/>
  <c r="FI106" i="3" l="1"/>
  <c r="FI108" i="3"/>
  <c r="FI109" i="3"/>
  <c r="FI114" i="3"/>
  <c r="FI115" i="3" s="1"/>
  <c r="FJ101" i="3"/>
  <c r="FI8" i="336"/>
  <c r="FI397" i="335"/>
  <c r="FI110" i="3" l="1"/>
  <c r="FI170" i="336"/>
  <c r="FI398" i="335"/>
  <c r="FI378" i="335"/>
  <c r="FJ177" i="335" s="1"/>
  <c r="FI407" i="338"/>
  <c r="FI412" i="338" s="1"/>
  <c r="FI381" i="335" s="1"/>
  <c r="FI45" i="336"/>
  <c r="FI46" i="336" s="1"/>
  <c r="FI15" i="336"/>
  <c r="FI21" i="336" s="1"/>
  <c r="FJ176" i="335" l="1"/>
  <c r="GB177" i="335"/>
  <c r="FJ201" i="335" l="1"/>
  <c r="FJ214" i="335"/>
  <c r="FJ182" i="335"/>
  <c r="GB176" i="335"/>
  <c r="FJ215" i="335" l="1"/>
  <c r="FJ202" i="335"/>
  <c r="FJ203" i="335" s="1"/>
  <c r="FJ184" i="335"/>
  <c r="FJ187" i="335" s="1"/>
  <c r="GB182" i="335"/>
  <c r="FJ324" i="335" l="1"/>
  <c r="FJ371" i="335"/>
  <c r="FJ189" i="335"/>
  <c r="FJ351" i="335"/>
  <c r="FJ299" i="335"/>
  <c r="GB187" i="335"/>
  <c r="GB184" i="335"/>
  <c r="GB185" i="335" s="1"/>
  <c r="FJ216" i="335"/>
  <c r="FJ218" i="335" s="1"/>
  <c r="FJ300" i="335" l="1"/>
  <c r="FJ325" i="335"/>
  <c r="FJ372" i="335"/>
  <c r="FJ190" i="335"/>
  <c r="GB189" i="335"/>
  <c r="FJ220" i="335"/>
  <c r="FJ219" i="335"/>
  <c r="FJ9" i="3"/>
  <c r="FJ207" i="336"/>
  <c r="FJ462" i="335"/>
  <c r="FJ208" i="335" s="1"/>
  <c r="GB190" i="335" l="1"/>
  <c r="FJ60" i="3"/>
  <c r="FJ25" i="3"/>
  <c r="FJ209" i="335"/>
  <c r="FJ221" i="335"/>
  <c r="GB220" i="335"/>
  <c r="FJ51" i="3" l="1"/>
  <c r="FJ45" i="3"/>
  <c r="FJ49" i="3" s="1"/>
  <c r="FJ76" i="3"/>
  <c r="FJ87" i="3" l="1"/>
  <c r="FJ77" i="3"/>
  <c r="FJ373" i="335"/>
  <c r="FJ383" i="335"/>
  <c r="FJ105" i="3"/>
  <c r="FJ99" i="3"/>
  <c r="FJ103" i="3" s="1"/>
  <c r="FJ397" i="335" l="1"/>
  <c r="FK101" i="3"/>
  <c r="FJ8" i="336"/>
  <c r="FJ106" i="3"/>
  <c r="FJ114" i="3"/>
  <c r="FJ115" i="3" s="1"/>
  <c r="FJ109" i="3"/>
  <c r="FJ108" i="3"/>
  <c r="FJ15" i="336" l="1"/>
  <c r="FJ21" i="336" s="1"/>
  <c r="FJ407" i="338"/>
  <c r="FJ412" i="338" s="1"/>
  <c r="FJ381" i="335" s="1"/>
  <c r="FJ45" i="336"/>
  <c r="FJ46" i="336" s="1"/>
  <c r="FJ378" i="335"/>
  <c r="FK177" i="335" s="1"/>
  <c r="FJ110" i="3"/>
  <c r="FJ170" i="336"/>
  <c r="FJ398" i="335"/>
  <c r="FK176" i="335" l="1"/>
  <c r="FK182" i="335" l="1"/>
  <c r="FK201" i="335"/>
  <c r="FK214" i="335"/>
  <c r="FK184" i="335" l="1"/>
  <c r="FK215" i="335"/>
  <c r="FK202" i="335"/>
  <c r="FK203" i="335" s="1"/>
  <c r="FK216" i="335" l="1"/>
  <c r="FK218" i="335" s="1"/>
  <c r="FK187" i="335"/>
  <c r="FK219" i="335" l="1"/>
  <c r="FK220" i="335"/>
  <c r="FK221" i="335" s="1"/>
  <c r="FK9" i="3"/>
  <c r="FK207" i="336"/>
  <c r="FK324" i="335"/>
  <c r="FK299" i="335"/>
  <c r="FK371" i="335"/>
  <c r="FK351" i="335"/>
  <c r="FK189" i="335"/>
  <c r="FK462" i="335"/>
  <c r="FK208" i="335" s="1"/>
  <c r="FK209" i="335" l="1"/>
  <c r="FK25" i="3"/>
  <c r="FK60" i="3"/>
  <c r="FK325" i="335"/>
  <c r="FK372" i="335"/>
  <c r="FK190" i="335"/>
  <c r="FK300" i="335"/>
  <c r="FK76" i="3" l="1"/>
  <c r="FK51" i="3"/>
  <c r="FK45" i="3"/>
  <c r="FK49" i="3" s="1"/>
  <c r="FK373" i="335" l="1"/>
  <c r="FK105" i="3"/>
  <c r="FK87" i="3"/>
  <c r="FK383" i="335"/>
  <c r="FK77" i="3"/>
  <c r="FK99" i="3"/>
  <c r="FK103" i="3" s="1"/>
  <c r="FK114" i="3" l="1"/>
  <c r="FK115" i="3" s="1"/>
  <c r="FK109" i="3"/>
  <c r="FK108" i="3"/>
  <c r="FK106" i="3"/>
  <c r="FK397" i="335"/>
  <c r="FL101" i="3"/>
  <c r="FM101" i="3" s="1"/>
  <c r="FK8" i="336"/>
  <c r="FK110" i="3" l="1"/>
  <c r="FK170" i="336"/>
  <c r="FK398" i="335"/>
  <c r="FK45" i="336"/>
  <c r="FK46" i="336" s="1"/>
  <c r="FK15" i="336"/>
  <c r="FK21" i="336" s="1"/>
  <c r="FK407" i="338"/>
  <c r="FK412" i="338" s="1"/>
  <c r="FK381" i="335" s="1"/>
  <c r="FK378" i="335"/>
  <c r="FL177" i="335" s="1"/>
  <c r="FL176" i="335" l="1"/>
  <c r="FM177" i="335"/>
  <c r="FL182" i="335" l="1"/>
  <c r="FL201" i="335"/>
  <c r="FL214" i="335"/>
  <c r="FM176" i="335"/>
  <c r="FL202" i="335" l="1"/>
  <c r="FL203" i="335" s="1"/>
  <c r="FM201" i="335"/>
  <c r="FM202" i="335" s="1"/>
  <c r="FM203" i="335" s="1"/>
  <c r="FL184" i="335"/>
  <c r="FM184" i="335" s="1"/>
  <c r="FM182" i="335"/>
  <c r="FL215" i="335"/>
  <c r="FM214" i="335"/>
  <c r="FM185" i="335" l="1"/>
  <c r="FL187" i="335"/>
  <c r="FL216" i="335"/>
  <c r="FL218" i="335" s="1"/>
  <c r="FM215" i="335"/>
  <c r="FM375" i="335" l="1"/>
  <c r="FL207" i="336"/>
  <c r="FL219" i="335"/>
  <c r="FL220" i="335"/>
  <c r="FL221" i="335" s="1"/>
  <c r="FL9" i="3"/>
  <c r="FM218" i="335"/>
  <c r="FL462" i="335"/>
  <c r="FL208" i="335" s="1"/>
  <c r="FM216" i="335"/>
  <c r="FL299" i="335"/>
  <c r="FL324" i="335"/>
  <c r="FL371" i="335"/>
  <c r="FM371" i="335" s="1"/>
  <c r="FL189" i="335"/>
  <c r="FL351" i="335"/>
  <c r="FM187" i="335"/>
  <c r="FM351" i="335" l="1"/>
  <c r="FM299" i="335"/>
  <c r="FM189" i="335"/>
  <c r="FL209" i="335"/>
  <c r="FM208" i="335"/>
  <c r="FM209" i="335" s="1"/>
  <c r="FM9" i="3"/>
  <c r="FL25" i="3"/>
  <c r="FL60" i="3"/>
  <c r="FL300" i="335"/>
  <c r="FL190" i="335"/>
  <c r="FL372" i="335"/>
  <c r="FM372" i="335" s="1"/>
  <c r="FL325" i="335"/>
  <c r="FM462" i="335"/>
  <c r="FM217" i="335"/>
  <c r="FM220" i="335"/>
  <c r="FM221" i="335" s="1"/>
  <c r="FM219" i="335"/>
  <c r="FM207" i="336"/>
  <c r="FL76" i="3" l="1"/>
  <c r="FM60" i="3"/>
  <c r="FM76" i="3" s="1"/>
  <c r="FL51" i="3"/>
  <c r="FM51" i="3" s="1"/>
  <c r="FM25" i="3"/>
  <c r="FL45" i="3"/>
  <c r="FM190" i="335"/>
  <c r="FM300" i="335"/>
  <c r="FM77" i="3" l="1"/>
  <c r="FM105" i="3"/>
  <c r="FM99" i="3"/>
  <c r="FM45" i="3"/>
  <c r="FL49" i="3"/>
  <c r="FM49" i="3" s="1"/>
  <c r="FL77" i="3"/>
  <c r="FL87" i="3"/>
  <c r="FM87" i="3" s="1"/>
  <c r="FL373" i="335"/>
  <c r="FM373" i="335" s="1"/>
  <c r="FL383" i="335"/>
  <c r="FL105" i="3"/>
  <c r="FL99" i="3"/>
  <c r="FL103" i="3" s="1"/>
  <c r="FM108" i="3" l="1"/>
  <c r="FM109" i="3"/>
  <c r="FM110" i="3" s="1"/>
  <c r="FM114" i="3"/>
  <c r="FM115" i="3" s="1"/>
  <c r="FM106" i="3"/>
  <c r="FL108" i="3"/>
  <c r="FL106" i="3"/>
  <c r="FL114" i="3"/>
  <c r="FL115" i="3" s="1"/>
  <c r="FL109" i="3"/>
  <c r="FL397" i="335"/>
  <c r="FL398" i="335" s="1"/>
  <c r="FM383" i="335"/>
  <c r="FM397" i="335" s="1"/>
  <c r="FM399" i="335" s="1"/>
  <c r="FM103" i="3"/>
  <c r="FL8" i="336"/>
  <c r="FL45" i="336" l="1"/>
  <c r="FL46" i="336" s="1"/>
  <c r="FM8" i="336"/>
  <c r="FM45" i="336" s="1"/>
  <c r="FM46" i="336" s="1"/>
  <c r="FL378" i="335"/>
  <c r="FM378" i="335" s="1"/>
  <c r="FL407" i="338"/>
  <c r="FL15" i="336"/>
  <c r="FL170" i="336"/>
  <c r="FL110" i="3"/>
  <c r="FL412" i="338" l="1"/>
  <c r="FL381" i="335" s="1"/>
  <c r="FM407" i="338"/>
  <c r="FM412" i="338" s="1"/>
  <c r="FM381" i="335" s="1"/>
  <c r="FL21" i="336"/>
  <c r="FM15" i="336"/>
  <c r="FM21" i="336" l="1"/>
  <c r="EZ206" i="336"/>
  <c r="EZ210" i="336" s="1"/>
  <c r="EY184" i="336"/>
  <c r="FA184" i="336" s="1"/>
  <c r="FA208" i="336" s="1"/>
  <c r="FA210" i="336" s="1"/>
  <c r="EY37" i="336"/>
  <c r="EY171" i="336" s="1"/>
  <c r="EY208" i="336" l="1"/>
  <c r="EY210" i="336" s="1"/>
  <c r="EY211" i="336" s="1"/>
  <c r="EY183" i="336"/>
  <c r="FA183" i="336" s="1"/>
  <c r="EZ195" i="336"/>
  <c r="EZ196" i="336" s="1"/>
  <c r="EZ37" i="336" s="1"/>
  <c r="EY215" i="336"/>
  <c r="EZ39" i="336"/>
  <c r="EY173" i="336" l="1"/>
  <c r="EY175" i="336" s="1"/>
  <c r="EY178" i="336"/>
  <c r="FA178" i="336" s="1"/>
  <c r="FC206" i="336"/>
  <c r="FC210" i="336" s="1"/>
  <c r="FA39" i="336"/>
  <c r="FG206" i="336" s="1"/>
  <c r="FG210" i="336" s="1"/>
  <c r="EY213" i="336"/>
  <c r="FC195" i="336"/>
  <c r="FC196" i="336" s="1"/>
  <c r="FC37" i="336" s="1"/>
  <c r="FA37" i="336"/>
  <c r="FG195" i="336" s="1"/>
  <c r="FG196" i="336" s="1"/>
  <c r="EZ171" i="336"/>
  <c r="FA171" i="336" s="1"/>
  <c r="EZ211" i="336"/>
  <c r="FA173" i="336" l="1"/>
  <c r="EY192" i="336"/>
  <c r="EY196" i="336" s="1"/>
  <c r="FA192" i="336"/>
  <c r="FA196" i="336" s="1"/>
  <c r="EY199" i="336"/>
  <c r="FC171" i="336"/>
  <c r="FD195" i="336"/>
  <c r="FD196" i="336" s="1"/>
  <c r="FD37" i="336" s="1"/>
  <c r="EZ215" i="336"/>
  <c r="FA215" i="336" s="1"/>
  <c r="FC39" i="336"/>
  <c r="FD206" i="336" s="1"/>
  <c r="FD210" i="336" s="1"/>
  <c r="FC211" i="336" l="1"/>
  <c r="FD39" i="336"/>
  <c r="FE206" i="336" s="1"/>
  <c r="FE210" i="336" s="1"/>
  <c r="FD171" i="336"/>
  <c r="FE195" i="336"/>
  <c r="FE196" i="336" s="1"/>
  <c r="FE37" i="336" s="1"/>
  <c r="EZ213" i="336"/>
  <c r="FC215" i="336" s="1"/>
  <c r="FE171" i="336" l="1"/>
  <c r="FF195" i="336"/>
  <c r="FF196" i="336" s="1"/>
  <c r="FF37" i="336" s="1"/>
  <c r="FE39" i="336"/>
  <c r="FF206" i="336" s="1"/>
  <c r="FF210" i="336" s="1"/>
  <c r="FC213" i="336"/>
  <c r="FD215" i="336" s="1"/>
  <c r="FA213" i="336"/>
  <c r="FA214" i="336" s="1"/>
  <c r="EZ38" i="336"/>
  <c r="FD211" i="336"/>
  <c r="FE211" i="336" l="1"/>
  <c r="FF171" i="336"/>
  <c r="FI195" i="336"/>
  <c r="FI196" i="336" s="1"/>
  <c r="FI37" i="336" s="1"/>
  <c r="FG37" i="336"/>
  <c r="FM195" i="336" s="1"/>
  <c r="FM196" i="336" s="1"/>
  <c r="FD213" i="336"/>
  <c r="FC38" i="336"/>
  <c r="FC40" i="336" s="1"/>
  <c r="FA38" i="336"/>
  <c r="EZ40" i="336"/>
  <c r="FF39" i="336"/>
  <c r="FG171" i="336"/>
  <c r="FC43" i="336" l="1"/>
  <c r="FC380" i="335"/>
  <c r="FD38" i="336"/>
  <c r="FD40" i="336" s="1"/>
  <c r="FE215" i="336"/>
  <c r="FE213" i="336" s="1"/>
  <c r="FG39" i="336"/>
  <c r="FM206" i="336" s="1"/>
  <c r="FM210" i="336" s="1"/>
  <c r="FI206" i="336"/>
  <c r="FI210" i="336" s="1"/>
  <c r="FJ195" i="336"/>
  <c r="FJ196" i="336" s="1"/>
  <c r="FJ37" i="336" s="1"/>
  <c r="FI171" i="336"/>
  <c r="EZ43" i="336"/>
  <c r="FA43" i="336" s="1"/>
  <c r="EZ380" i="335"/>
  <c r="FA380" i="335" s="1"/>
  <c r="FA40" i="336"/>
  <c r="FF211" i="336"/>
  <c r="FE38" i="336" l="1"/>
  <c r="FE40" i="336" s="1"/>
  <c r="FD43" i="336"/>
  <c r="FD380" i="335"/>
  <c r="FF215" i="336"/>
  <c r="FF213" i="336" s="1"/>
  <c r="FA224" i="336"/>
  <c r="FA225" i="336" s="1"/>
  <c r="FA222" i="336"/>
  <c r="FA223" i="336" s="1"/>
  <c r="FI39" i="336"/>
  <c r="FI211" i="336" s="1"/>
  <c r="FJ171" i="336"/>
  <c r="FK195" i="336"/>
  <c r="FK196" i="336" s="1"/>
  <c r="FK37" i="336" s="1"/>
  <c r="FG215" i="336" l="1"/>
  <c r="FF38" i="336"/>
  <c r="FG213" i="336"/>
  <c r="FL195" i="336"/>
  <c r="FL196" i="336" s="1"/>
  <c r="FL37" i="336" s="1"/>
  <c r="FK171" i="336"/>
  <c r="FJ206" i="336"/>
  <c r="FJ210" i="336" s="1"/>
  <c r="FI215" i="336"/>
  <c r="FE43" i="336"/>
  <c r="FE380" i="335"/>
  <c r="FG214" i="336" l="1"/>
  <c r="FL171" i="336"/>
  <c r="FM171" i="336" s="1"/>
  <c r="FM37" i="336"/>
  <c r="FG38" i="336"/>
  <c r="FF40" i="336"/>
  <c r="FJ39" i="336"/>
  <c r="FJ211" i="336" s="1"/>
  <c r="FI213" i="336"/>
  <c r="FF43" i="336" l="1"/>
  <c r="FG43" i="336" s="1"/>
  <c r="FF380" i="335"/>
  <c r="FG380" i="335" s="1"/>
  <c r="FG40" i="336"/>
  <c r="FI38" i="336"/>
  <c r="FI40" i="336" s="1"/>
  <c r="FK206" i="336"/>
  <c r="FK210" i="336" s="1"/>
  <c r="FJ215" i="336"/>
  <c r="FI380" i="335" l="1"/>
  <c r="FI43" i="336"/>
  <c r="FG224" i="336"/>
  <c r="FG225" i="336" s="1"/>
  <c r="FG222" i="336"/>
  <c r="FG223" i="336" s="1"/>
  <c r="FK39" i="336"/>
  <c r="FK211" i="336" s="1"/>
  <c r="FJ213" i="336"/>
  <c r="FJ38" i="336" l="1"/>
  <c r="FJ40" i="336" s="1"/>
  <c r="FL206" i="336"/>
  <c r="FL210" i="336" s="1"/>
  <c r="FK215" i="336"/>
  <c r="FL39" i="336" l="1"/>
  <c r="FL211" i="336" s="1"/>
  <c r="FJ380" i="335"/>
  <c r="FJ43" i="336"/>
  <c r="FK213" i="336"/>
  <c r="FM39" i="336" l="1"/>
  <c r="FL215" i="336"/>
  <c r="FM215" i="336" s="1"/>
  <c r="FK38" i="336"/>
  <c r="FK40" i="336" s="1"/>
  <c r="FL213" i="336" l="1"/>
  <c r="FM213" i="336"/>
  <c r="FM214" i="336" s="1"/>
  <c r="FL38" i="336"/>
  <c r="FK380" i="335"/>
  <c r="FK43" i="336"/>
  <c r="FM38" i="336" l="1"/>
  <c r="FL40" i="336"/>
  <c r="FL380" i="335" l="1"/>
  <c r="FM380" i="335" s="1"/>
  <c r="FL43" i="336"/>
  <c r="FM43" i="336" s="1"/>
  <c r="FM40" i="336"/>
  <c r="FM224" i="336" l="1"/>
  <c r="FM225" i="336" s="1"/>
  <c r="FM222" i="336"/>
  <c r="FM223" i="336" s="1"/>
</calcChain>
</file>

<file path=xl/comments1.xml><?xml version="1.0" encoding="utf-8"?>
<comments xmlns="http://schemas.openxmlformats.org/spreadsheetml/2006/main">
  <authors>
    <author>bloome</author>
    <author>Phillip Rowe</author>
    <author>StanZ</author>
    <author>evan bloomberg</author>
    <author>rossmac</author>
    <author>wukelv</author>
    <author>kweiss</author>
    <author>Baer, Josh (Research)</author>
    <author>Zlotsky, Stan (Research)</author>
    <author>Andrew White</author>
    <author>andwhite</author>
  </authors>
  <commentList>
    <comment ref="BL14" authorId="0">
      <text>
        <r>
          <rPr>
            <b/>
            <sz val="8"/>
            <color indexed="81"/>
            <rFont val="Tahoma"/>
            <family val="2"/>
          </rPr>
          <t>bloome:</t>
        </r>
        <r>
          <rPr>
            <sz val="8"/>
            <color indexed="81"/>
            <rFont val="Tahoma"/>
            <family val="2"/>
          </rPr>
          <t xml:space="preserve">
We are in the process of finishing the change in the sales force
Keith block hired a couple of senior KPMG guys for sales</t>
        </r>
      </text>
    </comment>
    <comment ref="CP14" authorId="1">
      <text>
        <r>
          <rPr>
            <b/>
            <sz val="8"/>
            <color indexed="81"/>
            <rFont val="Tahoma"/>
            <family val="2"/>
          </rPr>
          <t>Phillip Rowe:</t>
        </r>
        <r>
          <rPr>
            <sz val="8"/>
            <color indexed="81"/>
            <rFont val="Tahoma"/>
            <family val="2"/>
          </rPr>
          <t xml:space="preserve">
9/21/07 Oracle expects FY2Q08 license revenue growth between 15% to 25% Y/Y, or roughly $1,380 to $1,500 million
Oracle expects non-GAAP total revenue growth between 18% and 21% Y/Y, or $4,975 to $5,101 million
-highlighted lower assumed conversion rates and
a stronger pipeline than this time last year, which could indicate upside potential. </t>
        </r>
      </text>
    </comment>
    <comment ref="EB14" authorId="2">
      <text>
        <r>
          <rPr>
            <b/>
            <sz val="9"/>
            <color indexed="81"/>
            <rFont val="Tahoma"/>
            <family val="2"/>
          </rPr>
          <t>StanZ:</t>
        </r>
        <r>
          <rPr>
            <sz val="9"/>
            <color indexed="81"/>
            <rFont val="Tahoma"/>
            <family val="2"/>
          </rPr>
          <t xml:space="preserve">
Broke out IaaS revenue for the first time out of Services; adjusted all prior periods' numbers
- tracking on Metrics tab</t>
        </r>
      </text>
    </comment>
    <comment ref="BB39" authorId="0">
      <text>
        <r>
          <rPr>
            <b/>
            <sz val="8"/>
            <color indexed="81"/>
            <rFont val="Tahoma"/>
            <family val="2"/>
          </rPr>
          <t>bloome:</t>
        </r>
        <r>
          <rPr>
            <sz val="8"/>
            <color indexed="81"/>
            <rFont val="Tahoma"/>
            <family val="2"/>
          </rPr>
          <t xml:space="preserve">
Database growth of 15-20% expected in the medium term.
App Server was 5% of Database revenue</t>
        </r>
      </text>
    </comment>
    <comment ref="BF39" authorId="0">
      <text>
        <r>
          <rPr>
            <b/>
            <sz val="8"/>
            <color indexed="81"/>
            <rFont val="Tahoma"/>
            <family val="2"/>
          </rPr>
          <t>bloome:</t>
        </r>
        <r>
          <rPr>
            <sz val="8"/>
            <color indexed="81"/>
            <rFont val="Tahoma"/>
            <family val="2"/>
          </rPr>
          <t xml:space="preserve">
App Server up 52% YoY
App Server is 8% of database line
App Server has 8,300 customers, 3,200 resellers, and 5,000 consultants</t>
        </r>
      </text>
    </comment>
    <comment ref="BG39" authorId="0">
      <text>
        <r>
          <rPr>
            <b/>
            <sz val="8"/>
            <color indexed="81"/>
            <rFont val="Tahoma"/>
            <family val="2"/>
          </rPr>
          <t>bloome:</t>
        </r>
        <r>
          <rPr>
            <sz val="8"/>
            <color indexed="81"/>
            <rFont val="Tahoma"/>
            <family val="2"/>
          </rPr>
          <t xml:space="preserve">
App Server grew 35% YoY
Selling more SE than EE on Database
Pricing is 50% of competiion such as IBM and MSFT</t>
        </r>
      </text>
    </comment>
    <comment ref="BH39" authorId="0">
      <text>
        <r>
          <rPr>
            <b/>
            <sz val="8"/>
            <color indexed="81"/>
            <rFont val="Tahoma"/>
            <family val="2"/>
          </rPr>
          <t>bloome:</t>
        </r>
        <r>
          <rPr>
            <sz val="8"/>
            <color indexed="81"/>
            <rFont val="Tahoma"/>
            <family val="2"/>
          </rPr>
          <t xml:space="preserve">
Standard edition DB up 17% in Q in revenue terms
Standard edition DB about 15% of total database
150,000 customers, 400 audits for compliance in year
600 RAC customers
3,000 infrastructure development</t>
        </r>
      </text>
    </comment>
    <comment ref="BK39" authorId="0">
      <text>
        <r>
          <rPr>
            <b/>
            <sz val="8"/>
            <color indexed="81"/>
            <rFont val="Tahoma"/>
            <family val="2"/>
          </rPr>
          <t>bloome:</t>
        </r>
        <r>
          <rPr>
            <sz val="8"/>
            <color indexed="81"/>
            <rFont val="Tahoma"/>
            <family val="2"/>
          </rPr>
          <t xml:space="preserve">
9ias up to 13,000 customers
1,000 RAC customers
Launched collaboration suite at the end of the Q
Negative growth in standard and enterprise
Much higher mix in standard edition overseas compared to US</t>
        </r>
      </text>
    </comment>
    <comment ref="BL39" authorId="0">
      <text>
        <r>
          <rPr>
            <b/>
            <sz val="8"/>
            <color indexed="81"/>
            <rFont val="Tahoma"/>
            <family val="2"/>
          </rPr>
          <t>bloome:</t>
        </r>
        <r>
          <rPr>
            <sz val="8"/>
            <color indexed="81"/>
            <rFont val="Tahoma"/>
            <family val="2"/>
          </rPr>
          <t xml:space="preserve">
1600 customers on RAC</t>
        </r>
      </text>
    </comment>
    <comment ref="BN39" authorId="0">
      <text>
        <r>
          <rPr>
            <b/>
            <sz val="8"/>
            <color indexed="81"/>
            <rFont val="Tahoma"/>
            <family val="2"/>
          </rPr>
          <t>bloome:</t>
        </r>
        <r>
          <rPr>
            <sz val="8"/>
            <color indexed="81"/>
            <rFont val="Tahoma"/>
            <family val="2"/>
          </rPr>
          <t xml:space="preserve">
AS running at 6-8% per quarter
RAC has 2,565 customers</t>
        </r>
      </text>
    </comment>
    <comment ref="BQ39" authorId="0">
      <text>
        <r>
          <rPr>
            <b/>
            <sz val="8"/>
            <color indexed="81"/>
            <rFont val="Tahoma"/>
            <family val="2"/>
          </rPr>
          <t>bloome:</t>
        </r>
        <r>
          <rPr>
            <sz val="8"/>
            <color indexed="81"/>
            <rFont val="Tahoma"/>
            <family val="2"/>
          </rPr>
          <t xml:space="preserve">
RAC has around 2500 customers
Collaboration Suite has between 500 and 1000 customers</t>
        </r>
      </text>
    </comment>
    <comment ref="BR39" authorId="0">
      <text>
        <r>
          <rPr>
            <b/>
            <sz val="8"/>
            <color indexed="81"/>
            <rFont val="Tahoma"/>
            <family val="2"/>
          </rPr>
          <t>bloome:</t>
        </r>
        <r>
          <rPr>
            <sz val="8"/>
            <color indexed="81"/>
            <rFont val="Tahoma"/>
            <family val="2"/>
          </rPr>
          <t xml:space="preserve">
3100 RAC customers
Apps Server up 17%
</t>
        </r>
      </text>
    </comment>
    <comment ref="BS39" authorId="3">
      <text>
        <r>
          <rPr>
            <b/>
            <sz val="8"/>
            <color indexed="81"/>
            <rFont val="Tahoma"/>
            <family val="2"/>
          </rPr>
          <t>evan bloomberg:</t>
        </r>
        <r>
          <rPr>
            <sz val="8"/>
            <color indexed="81"/>
            <rFont val="Tahoma"/>
            <family val="2"/>
          </rPr>
          <t xml:space="preserve">
Database: 230,000+ customers
RAC: 86% y.y grw, 3,500 customers, 50 mm in revenue
App Server: 10% y.y grw, 20,100+ customers
OCS: 100% y.y grw</t>
        </r>
      </text>
    </comment>
    <comment ref="BT39" authorId="4">
      <text>
        <r>
          <rPr>
            <b/>
            <sz val="8"/>
            <color indexed="81"/>
            <rFont val="Tahoma"/>
            <family val="2"/>
          </rPr>
          <t>rossmac:</t>
        </r>
        <r>
          <rPr>
            <sz val="8"/>
            <color indexed="81"/>
            <rFont val="Tahoma"/>
            <family val="2"/>
          </rPr>
          <t xml:space="preserve">
RAC revenue $80m
Total Options $200 m</t>
        </r>
      </text>
    </comment>
    <comment ref="BU39" authorId="4">
      <text>
        <r>
          <rPr>
            <b/>
            <sz val="8"/>
            <color indexed="81"/>
            <rFont val="Tahoma"/>
            <family val="2"/>
          </rPr>
          <t>rossmac:</t>
        </r>
        <r>
          <rPr>
            <sz val="8"/>
            <color indexed="81"/>
            <rFont val="Tahoma"/>
            <family val="2"/>
          </rPr>
          <t xml:space="preserve">
Core DB growth 5% for FY04
RAC was $200m for FY04 and grew around 60%. Ended year with 4,200 customers.</t>
        </r>
      </text>
    </comment>
    <comment ref="BW39" authorId="4">
      <text>
        <r>
          <rPr>
            <b/>
            <sz val="8"/>
            <color indexed="81"/>
            <rFont val="Tahoma"/>
            <family val="2"/>
          </rPr>
          <t>rossmac:</t>
        </r>
        <r>
          <rPr>
            <sz val="8"/>
            <color indexed="81"/>
            <rFont val="Tahoma"/>
            <family val="2"/>
          </rPr>
          <t xml:space="preserve">
Database  up 19% or 14% cc
EE up 18% or 13% cc
SE (inc S1) up 12% or 7% cc
Options up 42%
RAC up 64%
App Server up 15% or 10% cc</t>
        </r>
      </text>
    </comment>
    <comment ref="BB42" authorId="0">
      <text>
        <r>
          <rPr>
            <b/>
            <sz val="8"/>
            <color indexed="81"/>
            <rFont val="Tahoma"/>
            <family val="2"/>
          </rPr>
          <t>bloome:</t>
        </r>
        <r>
          <rPr>
            <sz val="8"/>
            <color indexed="81"/>
            <rFont val="Tahoma"/>
            <family val="2"/>
          </rPr>
          <t xml:space="preserve">
50-100% growth expected in applications business
400 11i references
450 11i customers live
4,000 11i expected to be live in 12 months</t>
        </r>
      </text>
    </comment>
    <comment ref="BF42" authorId="0">
      <text>
        <r>
          <rPr>
            <b/>
            <sz val="8"/>
            <color indexed="81"/>
            <rFont val="Tahoma"/>
            <family val="2"/>
          </rPr>
          <t>bloome:</t>
        </r>
        <r>
          <rPr>
            <sz val="8"/>
            <color indexed="81"/>
            <rFont val="Tahoma"/>
            <family val="2"/>
          </rPr>
          <t xml:space="preserve">
Applications can grow 20-50%</t>
        </r>
      </text>
    </comment>
    <comment ref="BH42" authorId="0">
      <text>
        <r>
          <rPr>
            <b/>
            <sz val="8"/>
            <color indexed="81"/>
            <rFont val="Tahoma"/>
            <family val="2"/>
          </rPr>
          <t>bloome:</t>
        </r>
        <r>
          <rPr>
            <sz val="8"/>
            <color indexed="81"/>
            <rFont val="Tahoma"/>
            <family val="2"/>
          </rPr>
          <t xml:space="preserve">
1/3 of customers on 11i, 2/3 still to move and 6000 customers on 10.7 waiting to go
Applications: 13,000 customers, 2000 live in 11i
5000 app developers, same as SAP, double PSFT</t>
        </r>
      </text>
    </comment>
    <comment ref="BK42" authorId="0">
      <text>
        <r>
          <rPr>
            <b/>
            <sz val="8"/>
            <color indexed="81"/>
            <rFont val="Tahoma"/>
            <family val="2"/>
          </rPr>
          <t>bloome:</t>
        </r>
        <r>
          <rPr>
            <sz val="8"/>
            <color indexed="81"/>
            <rFont val="Tahoma"/>
            <family val="2"/>
          </rPr>
          <t xml:space="preserve">
13,000 app customrs, 2500 live on 11i, 6000 active</t>
        </r>
      </text>
    </comment>
    <comment ref="BL42" authorId="0">
      <text>
        <r>
          <rPr>
            <b/>
            <sz val="8"/>
            <color indexed="81"/>
            <rFont val="Tahoma"/>
            <family val="2"/>
          </rPr>
          <t>bloome:</t>
        </r>
        <r>
          <rPr>
            <sz val="8"/>
            <color indexed="81"/>
            <rFont val="Tahoma"/>
            <family val="2"/>
          </rPr>
          <t xml:space="preserve">
1/2 or 2/3 of customers completed or in middle of 11i upgrade</t>
        </r>
      </text>
    </comment>
    <comment ref="BN42" authorId="0">
      <text>
        <r>
          <rPr>
            <b/>
            <sz val="8"/>
            <color indexed="81"/>
            <rFont val="Tahoma"/>
            <family val="2"/>
          </rPr>
          <t>bloome:</t>
        </r>
        <r>
          <rPr>
            <sz val="8"/>
            <color indexed="81"/>
            <rFont val="Tahoma"/>
            <family val="2"/>
          </rPr>
          <t xml:space="preserve">
11% deals on suite pricing a year ago, now 27% of deals on this pricing</t>
        </r>
      </text>
    </comment>
    <comment ref="BQ42" authorId="0">
      <text>
        <r>
          <rPr>
            <b/>
            <sz val="8"/>
            <color indexed="81"/>
            <rFont val="Tahoma"/>
            <family val="2"/>
          </rPr>
          <t>bloome:</t>
        </r>
        <r>
          <rPr>
            <sz val="8"/>
            <color indexed="81"/>
            <rFont val="Tahoma"/>
            <family val="2"/>
          </rPr>
          <t xml:space="preserve">
Over 80% of application customers on 11i</t>
        </r>
      </text>
    </comment>
    <comment ref="BS42" authorId="3">
      <text>
        <r>
          <rPr>
            <b/>
            <sz val="8"/>
            <color indexed="81"/>
            <rFont val="Tahoma"/>
            <family val="2"/>
          </rPr>
          <t>evan bloomberg:</t>
        </r>
        <r>
          <rPr>
            <sz val="8"/>
            <color indexed="81"/>
            <rFont val="Tahoma"/>
            <family val="2"/>
          </rPr>
          <t xml:space="preserve">
85% of applications customers on 11i</t>
        </r>
      </text>
    </comment>
    <comment ref="EB43" authorId="2">
      <text>
        <r>
          <rPr>
            <b/>
            <sz val="9"/>
            <color indexed="81"/>
            <rFont val="Tahoma"/>
            <family val="2"/>
          </rPr>
          <t>StanZ:</t>
        </r>
        <r>
          <rPr>
            <sz val="9"/>
            <color indexed="81"/>
            <rFont val="Tahoma"/>
            <family val="2"/>
          </rPr>
          <t xml:space="preserve">
On Q4 call given +6%</t>
        </r>
      </text>
    </comment>
    <comment ref="BM46" authorId="0">
      <text>
        <r>
          <rPr>
            <b/>
            <sz val="8"/>
            <color indexed="81"/>
            <rFont val="Tahoma"/>
            <family val="2"/>
          </rPr>
          <t>bloome:</t>
        </r>
        <r>
          <rPr>
            <sz val="8"/>
            <color indexed="81"/>
            <rFont val="Tahoma"/>
            <family val="2"/>
          </rPr>
          <t xml:space="preserve">
Stopped break out between support and updates</t>
        </r>
      </text>
    </comment>
    <comment ref="EG53" authorId="2">
      <text>
        <r>
          <rPr>
            <b/>
            <sz val="9"/>
            <color indexed="81"/>
            <rFont val="Tahoma"/>
            <family val="2"/>
          </rPr>
          <t>StanZ:</t>
        </r>
        <r>
          <rPr>
            <sz val="9"/>
            <color indexed="81"/>
            <rFont val="Tahoma"/>
            <family val="2"/>
          </rPr>
          <t xml:space="preserve">
3% assumed FX headwind vs 5-8% YoY guide</t>
        </r>
      </text>
    </comment>
    <comment ref="DB60" authorId="5">
      <text>
        <r>
          <rPr>
            <b/>
            <sz val="8"/>
            <color indexed="81"/>
            <rFont val="Tahoma"/>
            <family val="2"/>
          </rPr>
          <t>wukelv:</t>
        </r>
        <r>
          <rPr>
            <sz val="8"/>
            <color indexed="81"/>
            <rFont val="Tahoma"/>
            <family val="2"/>
          </rPr>
          <t xml:space="preserve">
JAVA product revenue prior to acquisition.  Includes some software revs</t>
        </r>
      </text>
    </comment>
    <comment ref="AM72" authorId="0">
      <text>
        <r>
          <rPr>
            <b/>
            <sz val="8"/>
            <color indexed="81"/>
            <rFont val="Tahoma"/>
            <family val="2"/>
          </rPr>
          <t>bloome:</t>
        </r>
        <r>
          <rPr>
            <sz val="8"/>
            <color indexed="81"/>
            <rFont val="Tahoma"/>
            <family val="2"/>
          </rPr>
          <t xml:space="preserve">
Includes Education Revenue</t>
        </r>
      </text>
    </comment>
    <comment ref="BL73" authorId="0">
      <text>
        <r>
          <rPr>
            <b/>
            <sz val="8"/>
            <color indexed="81"/>
            <rFont val="Tahoma"/>
            <family val="2"/>
          </rPr>
          <t>bloome:</t>
        </r>
        <r>
          <rPr>
            <sz val="8"/>
            <color indexed="81"/>
            <rFont val="Tahoma"/>
            <family val="2"/>
          </rPr>
          <t xml:space="preserve">
Hosting up over 50% (check on which line item this flows through)</t>
        </r>
      </text>
    </comment>
    <comment ref="BM73" authorId="0">
      <text>
        <r>
          <rPr>
            <b/>
            <sz val="8"/>
            <color indexed="81"/>
            <rFont val="Tahoma"/>
            <family val="2"/>
          </rPr>
          <t>bloome:</t>
        </r>
        <r>
          <rPr>
            <sz val="8"/>
            <color indexed="81"/>
            <rFont val="Tahoma"/>
            <family val="2"/>
          </rPr>
          <t xml:space="preserve">
76% YoY growth in eBusiness Suite Outsourcing
Outsourcing strong incremental profitability - will not erode margins</t>
        </r>
      </text>
    </comment>
    <comment ref="BN73" authorId="0">
      <text>
        <r>
          <rPr>
            <b/>
            <sz val="8"/>
            <color indexed="81"/>
            <rFont val="Tahoma"/>
            <family val="2"/>
          </rPr>
          <t>bloome:</t>
        </r>
        <r>
          <rPr>
            <sz val="8"/>
            <color indexed="81"/>
            <rFont val="Tahoma"/>
            <family val="2"/>
          </rPr>
          <t xml:space="preserve">
Outsourcing services goes into advanced services - was down 20% in the Q as a result of declining field service</t>
        </r>
      </text>
    </comment>
    <comment ref="BR73" authorId="0">
      <text>
        <r>
          <rPr>
            <b/>
            <sz val="8"/>
            <color indexed="81"/>
            <rFont val="Tahoma"/>
            <family val="2"/>
          </rPr>
          <t>bloome:</t>
        </r>
        <r>
          <rPr>
            <sz val="8"/>
            <color indexed="81"/>
            <rFont val="Tahoma"/>
            <family val="2"/>
          </rPr>
          <t xml:space="preserve">
Couple of 100 clients in outsourcing</t>
        </r>
      </text>
    </comment>
    <comment ref="BS73" authorId="3">
      <text>
        <r>
          <rPr>
            <b/>
            <sz val="8"/>
            <color indexed="81"/>
            <rFont val="Tahoma"/>
            <family val="2"/>
          </rPr>
          <t>evan bloomberg:</t>
        </r>
        <r>
          <rPr>
            <sz val="8"/>
            <color indexed="81"/>
            <rFont val="Tahoma"/>
            <family val="2"/>
          </rPr>
          <t xml:space="preserve">
63% y.y growth in for OnDemand Business</t>
        </r>
      </text>
    </comment>
    <comment ref="DW76" authorId="2">
      <text>
        <r>
          <rPr>
            <b/>
            <sz val="9"/>
            <color indexed="81"/>
            <rFont val="Tahoma"/>
            <family val="2"/>
          </rPr>
          <t>StanZ:</t>
        </r>
        <r>
          <rPr>
            <sz val="9"/>
            <color indexed="81"/>
            <rFont val="Tahoma"/>
            <family val="2"/>
          </rPr>
          <t xml:space="preserve">
On Q414 call: ORCL started breaking out IaaS revenue and OnDemand revenue and restated OnDemand for all of FY13/14 to exclud IaaS</t>
        </r>
      </text>
    </comment>
    <comment ref="CP91" authorId="1">
      <text>
        <r>
          <rPr>
            <b/>
            <sz val="8"/>
            <color indexed="81"/>
            <rFont val="Tahoma"/>
            <family val="2"/>
          </rPr>
          <t>Phillip Rowe:</t>
        </r>
        <r>
          <rPr>
            <sz val="8"/>
            <color indexed="81"/>
            <rFont val="Tahoma"/>
            <family val="2"/>
          </rPr>
          <t xml:space="preserve">
Phillip Rowe:
9/21/07 Oracle expects FY2Q08 license revenue growth between 15% to 25% Y/Y, or roughly $1,380 to $1,500 million
Oracle expects non-GAAP total revenue growth between 18% and 21% Y/Y, or $4,975 to $5,101 million
-highlighted lower assumed conversion rates and
a stronger pipeline than this time last year, which could indicate upside potential. </t>
        </r>
      </text>
    </comment>
    <comment ref="CF97" authorId="6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given by ORCL</t>
        </r>
      </text>
    </comment>
    <comment ref="CM97" authorId="6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ORCL est 137</t>
        </r>
      </text>
    </comment>
    <comment ref="CS97" authorId="6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ORCL estimates 120</t>
        </r>
      </text>
    </comment>
    <comment ref="BM104" authorId="0">
      <text>
        <r>
          <rPr>
            <b/>
            <sz val="8"/>
            <color indexed="81"/>
            <rFont val="Tahoma"/>
            <family val="2"/>
          </rPr>
          <t>bloome:</t>
        </r>
        <r>
          <rPr>
            <sz val="8"/>
            <color indexed="81"/>
            <rFont val="Tahoma"/>
            <family val="2"/>
          </rPr>
          <t xml:space="preserve">
Break out is 22% price o/w 15% updates and 7% support</t>
        </r>
      </text>
    </comment>
    <comment ref="DV104" authorId="2">
      <text>
        <r>
          <rPr>
            <b/>
            <sz val="9"/>
            <color indexed="81"/>
            <rFont val="Tahoma"/>
            <family val="2"/>
          </rPr>
          <t>StanZ:</t>
        </r>
        <r>
          <rPr>
            <sz val="9"/>
            <color indexed="81"/>
            <rFont val="Tahoma"/>
            <family val="2"/>
          </rPr>
          <t xml:space="preserve">
starting 4Q14 SaaS and IaaS included</t>
        </r>
      </text>
    </comment>
    <comment ref="EW113" authorId="7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stopped disclosing</t>
        </r>
      </text>
    </comment>
    <comment ref="EX113" authorId="7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stopped disclosing</t>
        </r>
      </text>
    </comment>
    <comment ref="EW114" authorId="7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stopped disclosing</t>
        </r>
      </text>
    </comment>
    <comment ref="EX114" authorId="7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stopped disclosing</t>
        </r>
      </text>
    </comment>
    <comment ref="EW116" authorId="7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stopped disclosing</t>
        </r>
      </text>
    </comment>
    <comment ref="EX116" authorId="7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stopped disclosing</t>
        </r>
      </text>
    </comment>
    <comment ref="EW117" authorId="7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stopped disclosing</t>
        </r>
      </text>
    </comment>
    <comment ref="EX117" authorId="7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stopped disclosing</t>
        </r>
      </text>
    </comment>
    <comment ref="EW122" authorId="7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stopped disclosing</t>
        </r>
      </text>
    </comment>
    <comment ref="EX122" authorId="7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stopped disclosing</t>
        </r>
      </text>
    </comment>
    <comment ref="EW124" authorId="7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stopped disclosing</t>
        </r>
      </text>
    </comment>
    <comment ref="EX124" authorId="7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stopped disclosing</t>
        </r>
      </text>
    </comment>
    <comment ref="ET132" authorId="8">
      <text>
        <r>
          <rPr>
            <b/>
            <sz val="9"/>
            <color indexed="81"/>
            <rFont val="Tahoma"/>
            <family val="2"/>
          </rPr>
          <t>Zlotsky, Stan (Research):</t>
        </r>
        <r>
          <rPr>
            <sz val="9"/>
            <color indexed="81"/>
            <rFont val="Tahoma"/>
            <family val="2"/>
          </rPr>
          <t xml:space="preserve">
stopped disclosing in Q4</t>
        </r>
      </text>
    </comment>
    <comment ref="EW132" authorId="8">
      <text>
        <r>
          <rPr>
            <b/>
            <sz val="9"/>
            <color indexed="81"/>
            <rFont val="Tahoma"/>
            <family val="2"/>
          </rPr>
          <t>Zlotsky, Stan (Research):</t>
        </r>
        <r>
          <rPr>
            <sz val="9"/>
            <color indexed="81"/>
            <rFont val="Tahoma"/>
            <family val="2"/>
          </rPr>
          <t xml:space="preserve">
stopped disclosing in Q4</t>
        </r>
      </text>
    </comment>
    <comment ref="EX132" authorId="8">
      <text>
        <r>
          <rPr>
            <b/>
            <sz val="9"/>
            <color indexed="81"/>
            <rFont val="Tahoma"/>
            <family val="2"/>
          </rPr>
          <t>Zlotsky, Stan (Research):</t>
        </r>
        <r>
          <rPr>
            <sz val="9"/>
            <color indexed="81"/>
            <rFont val="Tahoma"/>
            <family val="2"/>
          </rPr>
          <t xml:space="preserve">
stopped disclosing in Q4</t>
        </r>
      </text>
    </comment>
    <comment ref="EY132" authorId="8">
      <text>
        <r>
          <rPr>
            <b/>
            <sz val="9"/>
            <color indexed="81"/>
            <rFont val="Tahoma"/>
            <family val="2"/>
          </rPr>
          <t>Zlotsky, Stan (Research):</t>
        </r>
        <r>
          <rPr>
            <sz val="9"/>
            <color indexed="81"/>
            <rFont val="Tahoma"/>
            <family val="2"/>
          </rPr>
          <t xml:space="preserve">
stopped disclosing in Q4</t>
        </r>
      </text>
    </comment>
    <comment ref="ET135" authorId="8">
      <text>
        <r>
          <rPr>
            <b/>
            <sz val="9"/>
            <color indexed="81"/>
            <rFont val="Tahoma"/>
            <family val="2"/>
          </rPr>
          <t>Zlotsky, Stan (Research):</t>
        </r>
        <r>
          <rPr>
            <sz val="9"/>
            <color indexed="81"/>
            <rFont val="Tahoma"/>
            <family val="2"/>
          </rPr>
          <t xml:space="preserve">
stopped disclosing in Q4</t>
        </r>
      </text>
    </comment>
    <comment ref="EW135" authorId="8">
      <text>
        <r>
          <rPr>
            <b/>
            <sz val="9"/>
            <color indexed="81"/>
            <rFont val="Tahoma"/>
            <family val="2"/>
          </rPr>
          <t>Zlotsky, Stan (Research):</t>
        </r>
        <r>
          <rPr>
            <sz val="9"/>
            <color indexed="81"/>
            <rFont val="Tahoma"/>
            <family val="2"/>
          </rPr>
          <t xml:space="preserve">
stopped disclosing in Q4</t>
        </r>
      </text>
    </comment>
    <comment ref="EX135" authorId="8">
      <text>
        <r>
          <rPr>
            <b/>
            <sz val="9"/>
            <color indexed="81"/>
            <rFont val="Tahoma"/>
            <family val="2"/>
          </rPr>
          <t>Zlotsky, Stan (Research):</t>
        </r>
        <r>
          <rPr>
            <sz val="9"/>
            <color indexed="81"/>
            <rFont val="Tahoma"/>
            <family val="2"/>
          </rPr>
          <t xml:space="preserve">
stopped disclosing in Q4</t>
        </r>
      </text>
    </comment>
    <comment ref="EY135" authorId="8">
      <text>
        <r>
          <rPr>
            <b/>
            <sz val="9"/>
            <color indexed="81"/>
            <rFont val="Tahoma"/>
            <family val="2"/>
          </rPr>
          <t>Zlotsky, Stan (Research):</t>
        </r>
        <r>
          <rPr>
            <sz val="9"/>
            <color indexed="81"/>
            <rFont val="Tahoma"/>
            <family val="2"/>
          </rPr>
          <t xml:space="preserve">
stopped disclosing in Q4</t>
        </r>
      </text>
    </comment>
    <comment ref="BM147" authorId="0">
      <text>
        <r>
          <rPr>
            <b/>
            <sz val="8"/>
            <color indexed="81"/>
            <rFont val="Tahoma"/>
            <family val="2"/>
          </rPr>
          <t>bloome:</t>
        </r>
        <r>
          <rPr>
            <sz val="8"/>
            <color indexed="81"/>
            <rFont val="Tahoma"/>
            <family val="2"/>
          </rPr>
          <t xml:space="preserve">
100 new  AS telesales
50 new CS telesales</t>
        </r>
      </text>
    </comment>
    <comment ref="BQ153" authorId="3">
      <text>
        <r>
          <rPr>
            <b/>
            <sz val="8"/>
            <color indexed="81"/>
            <rFont val="Tahoma"/>
            <family val="2"/>
          </rPr>
          <t>evan bloomberg:</t>
        </r>
        <r>
          <rPr>
            <sz val="8"/>
            <color indexed="81"/>
            <rFont val="Tahoma"/>
            <family val="2"/>
          </rPr>
          <t xml:space="preserve">
$14.6 mm related to PSFT tender offer</t>
        </r>
      </text>
    </comment>
    <comment ref="BR153" authorId="3">
      <text>
        <r>
          <rPr>
            <b/>
            <sz val="8"/>
            <color indexed="81"/>
            <rFont val="Tahoma"/>
            <family val="2"/>
          </rPr>
          <t>andy:</t>
        </r>
        <r>
          <rPr>
            <sz val="8"/>
            <color indexed="81"/>
            <rFont val="Tahoma"/>
            <family val="2"/>
          </rPr>
          <t xml:space="preserve">
$13.8 mm related to PSFT tender offer</t>
        </r>
      </text>
    </comment>
    <comment ref="BT153" authorId="3">
      <text>
        <r>
          <rPr>
            <b/>
            <sz val="8"/>
            <color indexed="81"/>
            <rFont val="Tahoma"/>
            <family val="2"/>
          </rPr>
          <t>evan bloomberg:</t>
        </r>
        <r>
          <rPr>
            <sz val="8"/>
            <color indexed="81"/>
            <rFont val="Tahoma"/>
            <family val="2"/>
          </rPr>
          <t xml:space="preserve">
$10.8 mm related to PSFT tender offer</t>
        </r>
      </text>
    </comment>
    <comment ref="BU153" authorId="3">
      <text>
        <r>
          <rPr>
            <b/>
            <sz val="8"/>
            <color indexed="81"/>
            <rFont val="Tahoma"/>
            <family val="2"/>
          </rPr>
          <t>evan bloomberg:</t>
        </r>
        <r>
          <rPr>
            <sz val="8"/>
            <color indexed="81"/>
            <rFont val="Tahoma"/>
            <family val="2"/>
          </rPr>
          <t xml:space="preserve">
$54.2 mm related to PSFT tender offer</t>
        </r>
      </text>
    </comment>
    <comment ref="U161" authorId="4">
      <text>
        <r>
          <rPr>
            <b/>
            <sz val="8"/>
            <color indexed="81"/>
            <rFont val="Tahoma"/>
            <family val="2"/>
          </rPr>
          <t>rossmac:</t>
        </r>
        <r>
          <rPr>
            <sz val="8"/>
            <color indexed="81"/>
            <rFont val="Tahoma"/>
            <family val="2"/>
          </rPr>
          <t xml:space="preserve">
Acquired in process R&amp;D of $50.9 million</t>
        </r>
      </text>
    </comment>
    <comment ref="AC161" authorId="4">
      <text>
        <r>
          <rPr>
            <b/>
            <sz val="8"/>
            <color indexed="81"/>
            <rFont val="Tahoma"/>
            <family val="2"/>
          </rPr>
          <t>rossmac:</t>
        </r>
        <r>
          <rPr>
            <sz val="8"/>
            <color indexed="81"/>
            <rFont val="Tahoma"/>
            <family val="2"/>
          </rPr>
          <t xml:space="preserve">
Acquired in process R&amp;D</t>
        </r>
      </text>
    </comment>
    <comment ref="AG161" authorId="4">
      <text>
        <r>
          <rPr>
            <b/>
            <sz val="8"/>
            <color indexed="81"/>
            <rFont val="Tahoma"/>
            <family val="2"/>
          </rPr>
          <t>rossmac:</t>
        </r>
        <r>
          <rPr>
            <sz val="8"/>
            <color indexed="81"/>
            <rFont val="Tahoma"/>
            <family val="2"/>
          </rPr>
          <t xml:space="preserve">
Acquired in process R&amp;D</t>
        </r>
      </text>
    </comment>
    <comment ref="BW161" authorId="3">
      <text>
        <r>
          <rPr>
            <b/>
            <sz val="8"/>
            <color indexed="81"/>
            <rFont val="Tahoma"/>
            <family val="2"/>
          </rPr>
          <t>evan bloomberg:</t>
        </r>
        <r>
          <rPr>
            <sz val="8"/>
            <color indexed="81"/>
            <rFont val="Tahoma"/>
            <family val="2"/>
          </rPr>
          <t xml:space="preserve">
$28.5 mm related to PSFT tender offer</t>
        </r>
      </text>
    </comment>
    <comment ref="BX161" authorId="3">
      <text>
        <r>
          <rPr>
            <b/>
            <sz val="8"/>
            <color indexed="81"/>
            <rFont val="Tahoma"/>
            <family val="2"/>
          </rPr>
          <t>andy:</t>
        </r>
        <r>
          <rPr>
            <sz val="8"/>
            <color indexed="81"/>
            <rFont val="Tahoma"/>
            <family val="2"/>
          </rPr>
          <t xml:space="preserve">
$23.3 mm related to PSFT tender offer</t>
        </r>
      </text>
    </comment>
    <comment ref="CJ162" authorId="1">
      <text>
        <r>
          <rPr>
            <b/>
            <sz val="8"/>
            <color indexed="81"/>
            <rFont val="Tahoma"/>
            <family val="2"/>
          </rPr>
          <t>Phillip Rowe:</t>
        </r>
        <r>
          <rPr>
            <sz val="8"/>
            <color indexed="81"/>
            <rFont val="Tahoma"/>
            <family val="2"/>
          </rPr>
          <t xml:space="preserve">
benefits because PSFT expense lower than expected (see 10-q):  
PeopleSoft pre-acquisition legal contingency accrual  (52 )
In-process R&amp;D    $ 7
Transitional employee related costs  $6
Stock-based compensation —
Professional fees 3
</t>
        </r>
      </text>
    </comment>
    <comment ref="CC164" authorId="9">
      <text>
        <r>
          <rPr>
            <b/>
            <sz val="8"/>
            <color indexed="81"/>
            <rFont val="Tahoma"/>
            <family val="2"/>
          </rPr>
          <t>Andrew White:</t>
        </r>
        <r>
          <rPr>
            <sz val="8"/>
            <color indexed="81"/>
            <rFont val="Tahoma"/>
            <family val="2"/>
          </rPr>
          <t xml:space="preserve">
Notes from the F2005 10k.  In fiscal 2005, we recorded approximately $147 million of expenses in connection with restructuring the pre-merger Oracle organization, which primarily included employee severance, including $33 million in non-cash stock-based compensation charges, and facility consolidations. These costs are recorded as restructuring expenses in the accompanying consolidated statements of operations. We expect to incur $19 million of additional restructuring charges within the next six months. Total expected costs under this plan are $166 million ($145 million of severance and $21 million of facilities charges).</t>
        </r>
      </text>
    </comment>
    <comment ref="J176" authorId="10">
      <text>
        <r>
          <rPr>
            <b/>
            <sz val="8"/>
            <color indexed="81"/>
            <rFont val="Tahoma"/>
            <family val="2"/>
          </rPr>
          <t>andwhite:</t>
        </r>
        <r>
          <rPr>
            <sz val="8"/>
            <color indexed="81"/>
            <rFont val="Tahoma"/>
            <family val="2"/>
          </rPr>
          <t xml:space="preserve">
8.8m Special Charge</t>
        </r>
      </text>
    </comment>
    <comment ref="L176" authorId="10">
      <text>
        <r>
          <rPr>
            <b/>
            <sz val="8"/>
            <color indexed="81"/>
            <rFont val="Tahoma"/>
            <family val="2"/>
          </rPr>
          <t>andwhite:</t>
        </r>
        <r>
          <rPr>
            <sz val="8"/>
            <color indexed="81"/>
            <rFont val="Tahoma"/>
            <family val="2"/>
          </rPr>
          <t xml:space="preserve">
67.4m Special Gain</t>
        </r>
      </text>
    </comment>
    <comment ref="AU176" authorId="4">
      <text>
        <r>
          <rPr>
            <b/>
            <sz val="8"/>
            <color indexed="81"/>
            <rFont val="Tahoma"/>
            <family val="2"/>
          </rPr>
          <t>rossmac:</t>
        </r>
        <r>
          <rPr>
            <sz val="8"/>
            <color indexed="81"/>
            <rFont val="Tahoma"/>
            <family val="2"/>
          </rPr>
          <t xml:space="preserve">
Gain from sale of shares in Oracle Japan secondary</t>
        </r>
      </text>
    </comment>
    <comment ref="AV176" authorId="4">
      <text>
        <r>
          <rPr>
            <b/>
            <sz val="8"/>
            <color indexed="81"/>
            <rFont val="Tahoma"/>
            <family val="2"/>
          </rPr>
          <t>rossmac:</t>
        </r>
        <r>
          <rPr>
            <sz val="8"/>
            <color indexed="81"/>
            <rFont val="Tahoma"/>
            <family val="2"/>
          </rPr>
          <t xml:space="preserve">
Gain from sale of shares in Oracle Japan secondary</t>
        </r>
      </text>
    </comment>
    <comment ref="AY176" authorId="10">
      <text>
        <r>
          <rPr>
            <b/>
            <sz val="8"/>
            <color indexed="81"/>
            <rFont val="Tahoma"/>
            <family val="2"/>
          </rPr>
          <t>andwhite:</t>
        </r>
        <r>
          <rPr>
            <sz val="8"/>
            <color indexed="81"/>
            <rFont val="Tahoma"/>
            <family val="2"/>
          </rPr>
          <t xml:space="preserve">
$15.4m gain on equity securities</t>
        </r>
      </text>
    </comment>
    <comment ref="AZ176" authorId="10">
      <text>
        <r>
          <rPr>
            <b/>
            <sz val="8"/>
            <color indexed="81"/>
            <rFont val="Tahoma"/>
            <family val="2"/>
          </rPr>
          <t>andwhite:</t>
        </r>
        <r>
          <rPr>
            <sz val="8"/>
            <color indexed="81"/>
            <rFont val="Tahoma"/>
            <family val="2"/>
          </rPr>
          <t xml:space="preserve">
$13.5m loss on equity securities</t>
        </r>
      </text>
    </comment>
    <comment ref="BA176" authorId="10">
      <text>
        <r>
          <rPr>
            <b/>
            <sz val="8"/>
            <color indexed="81"/>
            <rFont val="Tahoma"/>
            <family val="2"/>
          </rPr>
          <t>andwhite:</t>
        </r>
        <r>
          <rPr>
            <sz val="8"/>
            <color indexed="81"/>
            <rFont val="Tahoma"/>
            <family val="2"/>
          </rPr>
          <t xml:space="preserve">
$22.4m loss on equity securities</t>
        </r>
      </text>
    </comment>
    <comment ref="BB176" authorId="10">
      <text>
        <r>
          <rPr>
            <b/>
            <sz val="8"/>
            <color indexed="81"/>
            <rFont val="Tahoma"/>
            <family val="2"/>
          </rPr>
          <t>andwhite:</t>
        </r>
        <r>
          <rPr>
            <sz val="8"/>
            <color indexed="81"/>
            <rFont val="Tahoma"/>
            <family val="2"/>
          </rPr>
          <t xml:space="preserve">
$3.4m gain on equity securities</t>
        </r>
      </text>
    </comment>
    <comment ref="BE176" authorId="10">
      <text>
        <r>
          <rPr>
            <b/>
            <sz val="8"/>
            <color indexed="81"/>
            <rFont val="Tahoma"/>
            <family val="2"/>
          </rPr>
          <t>andwhite:</t>
        </r>
        <r>
          <rPr>
            <sz val="8"/>
            <color indexed="81"/>
            <rFont val="Tahoma"/>
            <family val="2"/>
          </rPr>
          <t xml:space="preserve">
$3.3m loss on equity securities</t>
        </r>
      </text>
    </comment>
    <comment ref="BF176" authorId="10">
      <text>
        <r>
          <rPr>
            <b/>
            <sz val="8"/>
            <color indexed="81"/>
            <rFont val="Tahoma"/>
            <family val="2"/>
          </rPr>
          <t>andwhite:</t>
        </r>
        <r>
          <rPr>
            <sz val="8"/>
            <color indexed="81"/>
            <rFont val="Tahoma"/>
            <family val="2"/>
          </rPr>
          <t xml:space="preserve">
$3.4m loss on equity securities</t>
        </r>
      </text>
    </comment>
    <comment ref="BG176" authorId="10">
      <text>
        <r>
          <rPr>
            <b/>
            <sz val="8"/>
            <color indexed="81"/>
            <rFont val="Tahoma"/>
            <family val="2"/>
          </rPr>
          <t>andwhite:</t>
        </r>
        <r>
          <rPr>
            <sz val="8"/>
            <color indexed="81"/>
            <rFont val="Tahoma"/>
            <family val="2"/>
          </rPr>
          <t xml:space="preserve">
$7.5m loss on equity securities</t>
        </r>
      </text>
    </comment>
    <comment ref="BH176" authorId="10">
      <text>
        <r>
          <rPr>
            <b/>
            <sz val="8"/>
            <color indexed="81"/>
            <rFont val="Tahoma"/>
            <family val="2"/>
          </rPr>
          <t>andwhite:</t>
        </r>
        <r>
          <rPr>
            <sz val="8"/>
            <color indexed="81"/>
            <rFont val="Tahoma"/>
            <family val="2"/>
          </rPr>
          <t xml:space="preserve">
$229.3m loss on equity securities - Liberate Tech is $173.5m of that.</t>
        </r>
      </text>
    </comment>
    <comment ref="BK176" authorId="10">
      <text>
        <r>
          <rPr>
            <b/>
            <sz val="8"/>
            <color indexed="81"/>
            <rFont val="Tahoma"/>
            <family val="2"/>
          </rPr>
          <t>andwhite:</t>
        </r>
        <r>
          <rPr>
            <sz val="8"/>
            <color indexed="81"/>
            <rFont val="Tahoma"/>
            <family val="2"/>
          </rPr>
          <t xml:space="preserve">
$81m loss on equity securities</t>
        </r>
      </text>
    </comment>
    <comment ref="BL176" authorId="10">
      <text>
        <r>
          <rPr>
            <b/>
            <sz val="8"/>
            <color indexed="81"/>
            <rFont val="Tahoma"/>
            <family val="2"/>
          </rPr>
          <t>andwhite:</t>
        </r>
        <r>
          <rPr>
            <sz val="8"/>
            <color indexed="81"/>
            <rFont val="Tahoma"/>
            <family val="2"/>
          </rPr>
          <t xml:space="preserve">
$22m loss on equity securities</t>
        </r>
      </text>
    </comment>
    <comment ref="BM176" authorId="10">
      <text>
        <r>
          <rPr>
            <b/>
            <sz val="8"/>
            <color indexed="81"/>
            <rFont val="Tahoma"/>
            <family val="2"/>
          </rPr>
          <t>andwhite:</t>
        </r>
        <r>
          <rPr>
            <sz val="8"/>
            <color indexed="81"/>
            <rFont val="Tahoma"/>
            <family val="2"/>
          </rPr>
          <t xml:space="preserve">
$6m loss on equity securities</t>
        </r>
      </text>
    </comment>
    <comment ref="BN176" authorId="10">
      <text>
        <r>
          <rPr>
            <b/>
            <sz val="8"/>
            <color indexed="81"/>
            <rFont val="Tahoma"/>
            <family val="2"/>
          </rPr>
          <t>andwhite:</t>
        </r>
        <r>
          <rPr>
            <sz val="8"/>
            <color indexed="81"/>
            <rFont val="Tahoma"/>
            <family val="2"/>
          </rPr>
          <t xml:space="preserve">
$2m loss on equity securities</t>
        </r>
      </text>
    </comment>
    <comment ref="BO176" authorId="10">
      <text>
        <r>
          <rPr>
            <b/>
            <sz val="8"/>
            <color indexed="81"/>
            <rFont val="Tahoma"/>
            <family val="2"/>
          </rPr>
          <t>andwhite:</t>
        </r>
        <r>
          <rPr>
            <sz val="8"/>
            <color indexed="81"/>
            <rFont val="Tahoma"/>
            <family val="2"/>
          </rPr>
          <t xml:space="preserve">
$111m loss on equity securities</t>
        </r>
      </text>
    </comment>
    <comment ref="BQ176" authorId="3">
      <text>
        <r>
          <rPr>
            <b/>
            <sz val="8"/>
            <color indexed="81"/>
            <rFont val="Tahoma"/>
            <family val="2"/>
          </rPr>
          <t>andy:</t>
        </r>
        <r>
          <rPr>
            <sz val="8"/>
            <color indexed="81"/>
            <rFont val="Tahoma"/>
            <family val="2"/>
          </rPr>
          <t xml:space="preserve">
$5.0 mm related to PSFT tender offer (Credit Facility Fee)
$36m gain on equity securities</t>
        </r>
      </text>
    </comment>
    <comment ref="BR176" authorId="10">
      <text>
        <r>
          <rPr>
            <b/>
            <sz val="8"/>
            <color indexed="81"/>
            <rFont val="Tahoma"/>
            <family val="2"/>
          </rPr>
          <t>andwhite:</t>
        </r>
        <r>
          <rPr>
            <sz val="8"/>
            <color indexed="81"/>
            <rFont val="Tahoma"/>
            <family val="2"/>
          </rPr>
          <t xml:space="preserve">
$4m loss on equity securities</t>
        </r>
      </text>
    </comment>
    <comment ref="BS176" authorId="10">
      <text>
        <r>
          <rPr>
            <b/>
            <sz val="8"/>
            <color indexed="81"/>
            <rFont val="Tahoma"/>
            <family val="2"/>
          </rPr>
          <t>andwhite:</t>
        </r>
        <r>
          <rPr>
            <sz val="8"/>
            <color indexed="81"/>
            <rFont val="Tahoma"/>
            <family val="2"/>
          </rPr>
          <t xml:space="preserve">
$2m loss on equity securities</t>
        </r>
      </text>
    </comment>
    <comment ref="BK180" authorId="10">
      <text>
        <r>
          <rPr>
            <b/>
            <sz val="8"/>
            <color indexed="81"/>
            <rFont val="Tahoma"/>
            <family val="2"/>
          </rPr>
          <t>andwhite:</t>
        </r>
        <r>
          <rPr>
            <sz val="8"/>
            <color indexed="81"/>
            <rFont val="Tahoma"/>
            <family val="2"/>
          </rPr>
          <t xml:space="preserve">
$81m loss on equity securities
</t>
        </r>
      </text>
    </comment>
    <comment ref="BL180" authorId="10">
      <text>
        <r>
          <rPr>
            <b/>
            <sz val="8"/>
            <color indexed="81"/>
            <rFont val="Tahoma"/>
            <family val="2"/>
          </rPr>
          <t>andwhite:</t>
        </r>
        <r>
          <rPr>
            <sz val="8"/>
            <color indexed="81"/>
            <rFont val="Tahoma"/>
            <family val="2"/>
          </rPr>
          <t xml:space="preserve">
$22m loss on equity securities</t>
        </r>
      </text>
    </comment>
    <comment ref="BM180" authorId="10">
      <text>
        <r>
          <rPr>
            <b/>
            <sz val="8"/>
            <color indexed="81"/>
            <rFont val="Tahoma"/>
            <family val="2"/>
          </rPr>
          <t>andwhite:</t>
        </r>
        <r>
          <rPr>
            <sz val="8"/>
            <color indexed="81"/>
            <rFont val="Tahoma"/>
            <family val="2"/>
          </rPr>
          <t xml:space="preserve">
$6m loss on equity securities</t>
        </r>
      </text>
    </comment>
    <comment ref="BN180" authorId="10">
      <text>
        <r>
          <rPr>
            <b/>
            <sz val="8"/>
            <color indexed="81"/>
            <rFont val="Tahoma"/>
            <family val="2"/>
          </rPr>
          <t>andwhite:</t>
        </r>
        <r>
          <rPr>
            <sz val="8"/>
            <color indexed="81"/>
            <rFont val="Tahoma"/>
            <family val="2"/>
          </rPr>
          <t xml:space="preserve">
$2m loss on equity securities</t>
        </r>
      </text>
    </comment>
    <comment ref="BO180" authorId="10">
      <text>
        <r>
          <rPr>
            <b/>
            <sz val="8"/>
            <color indexed="81"/>
            <rFont val="Tahoma"/>
            <family val="2"/>
          </rPr>
          <t>andwhite:</t>
        </r>
        <r>
          <rPr>
            <sz val="8"/>
            <color indexed="81"/>
            <rFont val="Tahoma"/>
            <family val="2"/>
          </rPr>
          <t xml:space="preserve">
$111m loss on equity securities</t>
        </r>
      </text>
    </comment>
    <comment ref="BQ180" authorId="3">
      <text>
        <r>
          <rPr>
            <b/>
            <sz val="8"/>
            <color indexed="81"/>
            <rFont val="Tahoma"/>
            <family val="2"/>
          </rPr>
          <t>andy:</t>
        </r>
        <r>
          <rPr>
            <sz val="8"/>
            <color indexed="81"/>
            <rFont val="Tahoma"/>
            <family val="2"/>
          </rPr>
          <t xml:space="preserve">
$5.0 mm related to PSFT tender offer (Credit Facility Fee)
$36m gain on equity securities</t>
        </r>
      </text>
    </comment>
    <comment ref="BR180" authorId="10">
      <text>
        <r>
          <rPr>
            <b/>
            <sz val="8"/>
            <color indexed="81"/>
            <rFont val="Tahoma"/>
            <family val="2"/>
          </rPr>
          <t>andwhite:</t>
        </r>
        <r>
          <rPr>
            <sz val="8"/>
            <color indexed="81"/>
            <rFont val="Tahoma"/>
            <family val="2"/>
          </rPr>
          <t xml:space="preserve">
$4m loss on equity securities</t>
        </r>
      </text>
    </comment>
    <comment ref="BS180" authorId="6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Includes:
-4 fX gains/losses
+1 other
</t>
        </r>
      </text>
    </comment>
    <comment ref="CA180" authorId="9">
      <text>
        <r>
          <rPr>
            <b/>
            <sz val="8"/>
            <color indexed="81"/>
            <rFont val="Tahoma"/>
            <family val="2"/>
          </rPr>
          <t>Andrew White:</t>
        </r>
        <r>
          <rPr>
            <sz val="8"/>
            <color indexed="81"/>
            <rFont val="Tahoma"/>
            <family val="2"/>
          </rPr>
          <t xml:space="preserve">
14m FOREX loss
2m net investment gains
33m other</t>
        </r>
      </text>
    </comment>
    <comment ref="CI180" authorId="6">
      <text>
        <r>
          <rPr>
            <b/>
            <sz val="8"/>
            <color indexed="81"/>
            <rFont val="Tahoma"/>
            <family val="2"/>
          </rPr>
          <t>kweiss:
FX gains = $6
Net Investment gains = $15m
Other = $16m</t>
        </r>
      </text>
    </comment>
    <comment ref="CP189" authorId="1">
      <text>
        <r>
          <rPr>
            <b/>
            <sz val="8"/>
            <color indexed="81"/>
            <rFont val="Tahoma"/>
            <family val="2"/>
          </rPr>
          <t>Phillip Rowe:</t>
        </r>
        <r>
          <rPr>
            <sz val="8"/>
            <color indexed="81"/>
            <rFont val="Tahoma"/>
            <family val="2"/>
          </rPr>
          <t xml:space="preserve">
9/21/07: non-GAAP EPS guidance of $0.26-$0.27
tax rate of 28.7% 
currency benefit of 4%</t>
        </r>
      </text>
    </comment>
    <comment ref="E223" authorId="4">
      <text>
        <r>
          <rPr>
            <b/>
            <sz val="8"/>
            <color indexed="81"/>
            <rFont val="Tahoma"/>
            <family val="2"/>
          </rPr>
          <t>rossmac:</t>
        </r>
        <r>
          <rPr>
            <sz val="8"/>
            <color indexed="81"/>
            <rFont val="Tahoma"/>
            <family val="2"/>
          </rPr>
          <t xml:space="preserve">
IPO, 2,100,000 shares on March 12 1986, Offer Price $15 (equivalent to $0.046 a share split adjusted) (ML, AB)</t>
        </r>
      </text>
    </comment>
    <comment ref="F223" authorId="4">
      <text>
        <r>
          <rPr>
            <b/>
            <sz val="8"/>
            <color indexed="81"/>
            <rFont val="Tahoma"/>
            <family val="2"/>
          </rPr>
          <t>rossmac:</t>
        </r>
        <r>
          <rPr>
            <sz val="8"/>
            <color indexed="81"/>
            <rFont val="Tahoma"/>
            <family val="2"/>
          </rPr>
          <t xml:space="preserve">
First stock Split, 2 for 1, March 9 1987.  Second stock split 2 for 1, December 21 1987
Secondary Offering - 2,305,262 shares on April 8, at $24 ($0.148 post split) (AB, DLJ)</t>
        </r>
      </text>
    </comment>
    <comment ref="H223" authorId="4">
      <text>
        <r>
          <rPr>
            <b/>
            <sz val="8"/>
            <color indexed="81"/>
            <rFont val="Tahoma"/>
            <family val="2"/>
          </rPr>
          <t>rossmac:</t>
        </r>
        <r>
          <rPr>
            <sz val="8"/>
            <color indexed="81"/>
            <rFont val="Tahoma"/>
            <family val="2"/>
          </rPr>
          <t xml:space="preserve">
Third stock split, 2 for 1, June 16 1989</t>
        </r>
      </text>
    </comment>
    <comment ref="L223" authorId="4">
      <text>
        <r>
          <rPr>
            <b/>
            <sz val="8"/>
            <color indexed="81"/>
            <rFont val="Tahoma"/>
            <family val="2"/>
          </rPr>
          <t>rossmac:</t>
        </r>
        <r>
          <rPr>
            <sz val="8"/>
            <color indexed="81"/>
            <rFont val="Tahoma"/>
            <family val="2"/>
          </rPr>
          <t xml:space="preserve">
Fourth stock split, 2 for 1 November 8 1993</t>
        </r>
      </text>
    </comment>
    <comment ref="Q223" authorId="4">
      <text>
        <r>
          <rPr>
            <b/>
            <sz val="8"/>
            <color indexed="81"/>
            <rFont val="Tahoma"/>
            <family val="2"/>
          </rPr>
          <t>rossmac:</t>
        </r>
        <r>
          <rPr>
            <sz val="8"/>
            <color indexed="81"/>
            <rFont val="Tahoma"/>
            <family val="2"/>
          </rPr>
          <t xml:space="preserve">
Fifth stock split, 3 for 2, February 1995</t>
        </r>
      </text>
    </comment>
    <comment ref="X223" authorId="4">
      <text>
        <r>
          <rPr>
            <b/>
            <sz val="8"/>
            <color indexed="81"/>
            <rFont val="Tahoma"/>
            <family val="2"/>
          </rPr>
          <t>rossmac:</t>
        </r>
        <r>
          <rPr>
            <sz val="8"/>
            <color indexed="81"/>
            <rFont val="Tahoma"/>
            <family val="2"/>
          </rPr>
          <t xml:space="preserve">
Sixth stock splt, 3 for 2, April 16 1996</t>
        </r>
      </text>
    </comment>
    <comment ref="AC223" authorId="4">
      <text>
        <r>
          <rPr>
            <b/>
            <sz val="8"/>
            <color indexed="81"/>
            <rFont val="Tahoma"/>
            <family val="2"/>
          </rPr>
          <t>rossmac:</t>
        </r>
        <r>
          <rPr>
            <sz val="8"/>
            <color indexed="81"/>
            <rFont val="Tahoma"/>
            <family val="2"/>
          </rPr>
          <t xml:space="preserve">
$300 million debt on Feb 19, 1997 (MS, GS, ML)</t>
        </r>
      </text>
    </comment>
    <comment ref="AG223" authorId="4">
      <text>
        <r>
          <rPr>
            <b/>
            <sz val="8"/>
            <color indexed="81"/>
            <rFont val="Tahoma"/>
            <family val="2"/>
          </rPr>
          <t>rossmac:</t>
        </r>
        <r>
          <rPr>
            <sz val="8"/>
            <color indexed="81"/>
            <rFont val="Tahoma"/>
            <family val="2"/>
          </rPr>
          <t xml:space="preserve">
Seventh Stock split, 3 for 2, August 15 1997</t>
        </r>
      </text>
    </comment>
    <comment ref="AO223" authorId="4">
      <text>
        <r>
          <rPr>
            <b/>
            <sz val="8"/>
            <color indexed="81"/>
            <rFont val="Tahoma"/>
            <family val="2"/>
          </rPr>
          <t>rossmac:</t>
        </r>
        <r>
          <rPr>
            <sz val="8"/>
            <color indexed="81"/>
            <rFont val="Tahoma"/>
            <family val="2"/>
          </rPr>
          <t xml:space="preserve">
Eighth stock split, 3 for 2, February 26, 1999</t>
        </r>
      </text>
    </comment>
    <comment ref="AU223" authorId="4">
      <text>
        <r>
          <rPr>
            <b/>
            <sz val="8"/>
            <color indexed="81"/>
            <rFont val="Tahoma"/>
            <family val="2"/>
          </rPr>
          <t>rossmac:</t>
        </r>
        <r>
          <rPr>
            <sz val="8"/>
            <color indexed="81"/>
            <rFont val="Tahoma"/>
            <family val="2"/>
          </rPr>
          <t xml:space="preserve">
Ninth stock split, 2 for 1, Januray 18 2000</t>
        </r>
      </text>
    </comment>
    <comment ref="AY223" authorId="4">
      <text>
        <r>
          <rPr>
            <b/>
            <sz val="8"/>
            <color indexed="81"/>
            <rFont val="Tahoma"/>
            <family val="2"/>
          </rPr>
          <t>rossmac:</t>
        </r>
        <r>
          <rPr>
            <sz val="8"/>
            <color indexed="81"/>
            <rFont val="Tahoma"/>
            <family val="2"/>
          </rPr>
          <t xml:space="preserve">
Tenth stock splt, 2 for 1, October 12, 2000</t>
        </r>
      </text>
    </comment>
    <comment ref="BX402" authorId="10">
      <text>
        <r>
          <rPr>
            <b/>
            <sz val="8"/>
            <color indexed="81"/>
            <rFont val="Tahoma"/>
            <family val="2"/>
          </rPr>
          <t>andwhite:</t>
        </r>
        <r>
          <rPr>
            <sz val="8"/>
            <color indexed="81"/>
            <rFont val="Tahoma"/>
            <family val="2"/>
          </rPr>
          <t xml:space="preserve">
10q - investments yielded an average 1.87%</t>
        </r>
      </text>
    </comment>
    <comment ref="BY402" authorId="10">
      <text>
        <r>
          <rPr>
            <b/>
            <sz val="8"/>
            <color indexed="81"/>
            <rFont val="Tahoma"/>
            <family val="2"/>
          </rPr>
          <t>andwhite:</t>
        </r>
        <r>
          <rPr>
            <sz val="8"/>
            <color indexed="81"/>
            <rFont val="Tahoma"/>
            <family val="2"/>
          </rPr>
          <t xml:space="preserve">
10Q suggests earning 1.96% as 0f 30 nov.</t>
        </r>
      </text>
    </comment>
  </commentList>
</comments>
</file>

<file path=xl/comments2.xml><?xml version="1.0" encoding="utf-8"?>
<comments xmlns="http://schemas.openxmlformats.org/spreadsheetml/2006/main">
  <authors>
    <author>andwhite</author>
    <author>kweiss</author>
    <author>Andrew White</author>
    <author>rossmac</author>
    <author>Andy White</author>
    <author>jonpark</author>
    <author>Parker, Jonathan (Research)</author>
    <author>StanZ</author>
    <author>wukelv</author>
    <author>Fodderwala, Hamza (Research)</author>
    <author>Baer, Josh (Research)</author>
    <author>Mao, Tom (Research)</author>
    <author>kerng</author>
  </authors>
  <commentList>
    <comment ref="BY18" authorId="0">
      <text>
        <r>
          <rPr>
            <b/>
            <sz val="8"/>
            <color indexed="81"/>
            <rFont val="Tahoma"/>
            <family val="2"/>
          </rPr>
          <t>andwhite:</t>
        </r>
        <r>
          <rPr>
            <sz val="8"/>
            <color indexed="81"/>
            <rFont val="Tahoma"/>
            <family val="2"/>
          </rPr>
          <t xml:space="preserve">
6.6bn goodwill</t>
        </r>
      </text>
    </comment>
    <comment ref="CK25" authorId="1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$150m of 6.91% senior notes due Feb 2007</t>
        </r>
      </text>
    </comment>
    <comment ref="CW25" authorId="1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$1,000m in floating rate senior notes due May 14 '09</t>
        </r>
      </text>
    </comment>
    <comment ref="DC25" authorId="1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$1,000m in floating rate senior notes due May 14 '10 + $2,250 JAN 2011 notes</t>
        </r>
      </text>
    </comment>
    <comment ref="BY28" authorId="1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Accrued restructuring = $242
Other Current Liabilities = $1,244</t>
        </r>
      </text>
    </comment>
    <comment ref="BZ28" authorId="1">
      <text>
        <r>
          <rPr>
            <b/>
            <sz val="8"/>
            <color indexed="81"/>
            <rFont val="Tahoma"/>
            <family val="2"/>
          </rPr>
          <t>andwhite:</t>
        </r>
        <r>
          <rPr>
            <sz val="8"/>
            <color indexed="81"/>
            <rFont val="Tahoma"/>
            <family val="2"/>
          </rPr>
          <t xml:space="preserve">
Accrued restructuring = $156
Other Current Liabilities = $868</t>
        </r>
      </text>
    </comment>
    <comment ref="CC28" authorId="2">
      <text>
        <r>
          <rPr>
            <b/>
            <sz val="8"/>
            <color indexed="81"/>
            <rFont val="Tahoma"/>
            <family val="2"/>
          </rPr>
          <t xml:space="preserve">KW:
</t>
        </r>
        <r>
          <rPr>
            <sz val="8"/>
            <color indexed="81"/>
            <rFont val="Tahoma"/>
            <family val="2"/>
          </rPr>
          <t>Other current liab: $714m
Accrued Restructuring: $117m</t>
        </r>
      </text>
    </comment>
    <comment ref="CD28" authorId="2">
      <text>
        <r>
          <rPr>
            <b/>
            <sz val="8"/>
            <color indexed="81"/>
            <rFont val="Tahoma"/>
            <family val="2"/>
          </rPr>
          <t xml:space="preserve">KW:
</t>
        </r>
        <r>
          <rPr>
            <sz val="8"/>
            <color indexed="81"/>
            <rFont val="Tahoma"/>
            <family val="2"/>
          </rPr>
          <t>Other current liab: $794m
Accrued Restructuring: $73m</t>
        </r>
      </text>
    </comment>
    <comment ref="CE28" authorId="1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Accrued Comp = $858
Accrued Restr = $247
Other Liabilities = $1,024</t>
        </r>
      </text>
    </comment>
    <comment ref="CF28" authorId="1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accrued restr=$412
Other current Liab=$1,279</t>
        </r>
      </text>
    </comment>
    <comment ref="L34" authorId="3">
      <text>
        <r>
          <rPr>
            <b/>
            <sz val="8"/>
            <color indexed="81"/>
            <rFont val="Tahoma"/>
            <family val="2"/>
          </rPr>
          <t>rossmac:</t>
        </r>
        <r>
          <rPr>
            <sz val="8"/>
            <color indexed="81"/>
            <rFont val="Tahoma"/>
            <family val="2"/>
          </rPr>
          <t xml:space="preserve">
$8.2 million put warrants</t>
        </r>
      </text>
    </comment>
    <comment ref="M34" authorId="3">
      <text>
        <r>
          <rPr>
            <b/>
            <sz val="8"/>
            <color indexed="81"/>
            <rFont val="Tahoma"/>
            <family val="2"/>
          </rPr>
          <t>rossmac:</t>
        </r>
        <r>
          <rPr>
            <sz val="8"/>
            <color indexed="81"/>
            <rFont val="Tahoma"/>
            <family val="2"/>
          </rPr>
          <t xml:space="preserve">
$38.9 million put warrants and -$38.430 commitments</t>
        </r>
      </text>
    </comment>
    <comment ref="U34" authorId="3">
      <text>
        <r>
          <rPr>
            <b/>
            <sz val="8"/>
            <color indexed="81"/>
            <rFont val="Tahoma"/>
            <family val="2"/>
          </rPr>
          <t>rossmac:</t>
        </r>
        <r>
          <rPr>
            <sz val="8"/>
            <color indexed="81"/>
            <rFont val="Tahoma"/>
            <family val="2"/>
          </rPr>
          <t xml:space="preserve">
Includes $38.438 for put warrants</t>
        </r>
      </text>
    </comment>
    <comment ref="BY34" authorId="4">
      <text>
        <r>
          <rPr>
            <b/>
            <sz val="8"/>
            <color indexed="81"/>
            <rFont val="Tahoma"/>
            <family val="2"/>
          </rPr>
          <t>Andy White:</t>
        </r>
        <r>
          <rPr>
            <sz val="8"/>
            <color indexed="81"/>
            <rFont val="Tahoma"/>
            <family val="2"/>
          </rPr>
          <t xml:space="preserve">
includes 101m long term deferred revs</t>
        </r>
      </text>
    </comment>
    <comment ref="BZ34" authorId="4">
      <text>
        <r>
          <rPr>
            <b/>
            <sz val="8"/>
            <color indexed="81"/>
            <rFont val="Tahoma"/>
            <family val="2"/>
          </rPr>
          <t>Andy White:</t>
        </r>
        <r>
          <rPr>
            <sz val="8"/>
            <color indexed="81"/>
            <rFont val="Tahoma"/>
            <family val="2"/>
          </rPr>
          <t xml:space="preserve">
includes 126m long term deferred revs</t>
        </r>
      </text>
    </comment>
    <comment ref="CC34" authorId="1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Accrued restructuring = $107m
LT Deferred Revs = $108m
Other LT Liabilities = $368m</t>
        </r>
      </text>
    </comment>
    <comment ref="CD34" authorId="1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Accrued restructuring = $91m
LT Deferred Revs = $89m
Other LT Liabilities = $382m</t>
        </r>
      </text>
    </comment>
    <comment ref="CE34" authorId="1">
      <text>
        <r>
          <rPr>
            <b/>
            <sz val="8"/>
            <color indexed="81"/>
            <rFont val="Tahoma"/>
            <family val="2"/>
          </rPr>
          <t xml:space="preserve">kweiss:
</t>
        </r>
        <r>
          <rPr>
            <sz val="8"/>
            <color indexed="81"/>
            <rFont val="Tahoma"/>
            <family val="2"/>
          </rPr>
          <t>Accr Restr = $521
Def Revs = $111
Other LT Liab = $383</t>
        </r>
      </text>
    </comment>
    <comment ref="CF34" authorId="1">
      <text>
        <r>
          <rPr>
            <b/>
            <sz val="8"/>
            <color indexed="81"/>
            <rFont val="Tahoma"/>
            <family val="2"/>
          </rPr>
          <t xml:space="preserve">kweiss:
</t>
        </r>
        <r>
          <rPr>
            <sz val="8"/>
            <color indexed="81"/>
            <rFont val="Tahoma"/>
            <family val="2"/>
          </rPr>
          <t>Accr Restr = $412
Def Revs = $114
Other LT Liab = $401</t>
        </r>
      </text>
    </comment>
    <comment ref="CI34" authorId="1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accrued restr = 277
def rev = 114
min int = 323
other lt liab = 227</t>
        </r>
      </text>
    </comment>
    <comment ref="CJ34" authorId="1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accrued restr = 252
def rev = 115
min int = 415
other lt liab = 239</t>
        </r>
      </text>
    </comment>
    <comment ref="BZ38" authorId="2">
      <text>
        <r>
          <rPr>
            <b/>
            <sz val="8"/>
            <color indexed="81"/>
            <rFont val="Tahoma"/>
            <family val="2"/>
          </rPr>
          <t>Andrew White:</t>
        </r>
        <r>
          <rPr>
            <sz val="8"/>
            <color indexed="81"/>
            <rFont val="Tahoma"/>
            <family val="2"/>
          </rPr>
          <t xml:space="preserve">
($45m) deferred compensation</t>
        </r>
      </text>
    </comment>
    <comment ref="DY65" authorId="5">
      <text>
        <r>
          <rPr>
            <b/>
            <sz val="8"/>
            <color indexed="81"/>
            <rFont val="Tahoma"/>
            <family val="2"/>
          </rPr>
          <t>jonpark:</t>
        </r>
        <r>
          <rPr>
            <sz val="8"/>
            <color indexed="81"/>
            <rFont val="Tahoma"/>
            <family val="2"/>
          </rPr>
          <t xml:space="preserve">
1.25B EUR</t>
        </r>
      </text>
    </comment>
    <comment ref="DY76" authorId="5">
      <text>
        <r>
          <rPr>
            <b/>
            <sz val="8"/>
            <color indexed="81"/>
            <rFont val="Tahoma"/>
            <family val="2"/>
          </rPr>
          <t>jonpark:</t>
        </r>
        <r>
          <rPr>
            <sz val="8"/>
            <color indexed="81"/>
            <rFont val="Tahoma"/>
            <family val="2"/>
          </rPr>
          <t xml:space="preserve">
750M EUR</t>
        </r>
      </text>
    </comment>
    <comment ref="CS147" authorId="1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in 2q08 10Q, est 616 for remainder of year 
In1Q08 10Qest. $871m for remainder of year
2Q = $661</t>
        </r>
      </text>
    </comment>
    <comment ref="EC147" authorId="5">
      <text>
        <r>
          <rPr>
            <b/>
            <sz val="8"/>
            <color indexed="81"/>
            <rFont val="Tahoma"/>
            <family val="2"/>
          </rPr>
          <t>jonpark:</t>
        </r>
        <r>
          <rPr>
            <sz val="8"/>
            <color indexed="81"/>
            <rFont val="Tahoma"/>
            <family val="2"/>
          </rPr>
          <t xml:space="preserve">
2,232 per 1Q earnings</t>
        </r>
      </text>
    </comment>
    <comment ref="EI147" authorId="6">
      <text>
        <r>
          <rPr>
            <b/>
            <sz val="9"/>
            <color indexed="81"/>
            <rFont val="Tahoma"/>
            <family val="2"/>
          </rPr>
          <t>Parker, Jonathan (Research):</t>
        </r>
        <r>
          <rPr>
            <sz val="9"/>
            <color indexed="81"/>
            <rFont val="Tahoma"/>
            <family val="2"/>
          </rPr>
          <t xml:space="preserve">
1,894 per 3Q eps</t>
        </r>
      </text>
    </comment>
    <comment ref="EO147" authorId="6">
      <text>
        <r>
          <rPr>
            <b/>
            <sz val="9"/>
            <color indexed="81"/>
            <rFont val="Tahoma"/>
            <family val="2"/>
          </rPr>
          <t>Parker, Jonathan (Research):</t>
        </r>
        <r>
          <rPr>
            <sz val="9"/>
            <color indexed="81"/>
            <rFont val="Tahoma"/>
            <family val="2"/>
          </rPr>
          <t xml:space="preserve">
1,315 per 3Q eps</t>
        </r>
      </text>
    </comment>
    <comment ref="EU147" authorId="6">
      <text>
        <r>
          <rPr>
            <b/>
            <sz val="9"/>
            <color indexed="81"/>
            <rFont val="Tahoma"/>
            <family val="2"/>
          </rPr>
          <t>Parker, Jonathan (Research):</t>
        </r>
        <r>
          <rPr>
            <sz val="9"/>
            <color indexed="81"/>
            <rFont val="Tahoma"/>
            <family val="2"/>
          </rPr>
          <t xml:space="preserve">
722M per 3Q eps</t>
        </r>
      </text>
    </comment>
    <comment ref="FA147" authorId="6">
      <text>
        <r>
          <rPr>
            <b/>
            <sz val="9"/>
            <color indexed="81"/>
            <rFont val="Tahoma"/>
            <family val="2"/>
          </rPr>
          <t>Parker, Jonathan (Research):</t>
        </r>
        <r>
          <rPr>
            <sz val="9"/>
            <color indexed="81"/>
            <rFont val="Tahoma"/>
            <family val="2"/>
          </rPr>
          <t xml:space="preserve">
722M per 3Q eps</t>
        </r>
      </text>
    </comment>
    <comment ref="FG147" authorId="6">
      <text>
        <r>
          <rPr>
            <b/>
            <sz val="9"/>
            <color indexed="81"/>
            <rFont val="Tahoma"/>
            <family val="2"/>
          </rPr>
          <t>Parker, Jonathan (Research):</t>
        </r>
        <r>
          <rPr>
            <sz val="9"/>
            <color indexed="81"/>
            <rFont val="Tahoma"/>
            <family val="2"/>
          </rPr>
          <t xml:space="preserve">
722M per 3Q eps</t>
        </r>
      </text>
    </comment>
    <comment ref="FM147" authorId="6">
      <text>
        <r>
          <rPr>
            <b/>
            <sz val="9"/>
            <color indexed="81"/>
            <rFont val="Tahoma"/>
            <family val="2"/>
          </rPr>
          <t>Parker, Jonathan (Research):</t>
        </r>
        <r>
          <rPr>
            <sz val="9"/>
            <color indexed="81"/>
            <rFont val="Tahoma"/>
            <family val="2"/>
          </rPr>
          <t xml:space="preserve">
722M per 3Q eps</t>
        </r>
      </text>
    </comment>
    <comment ref="EA154" authorId="7">
      <text>
        <r>
          <rPr>
            <b/>
            <sz val="9"/>
            <color indexed="81"/>
            <rFont val="Tahoma"/>
            <family val="2"/>
          </rPr>
          <t>StanZ:</t>
        </r>
        <r>
          <rPr>
            <sz val="9"/>
            <color indexed="81"/>
            <rFont val="Tahoma"/>
            <family val="2"/>
          </rPr>
          <t xml:space="preserve">
Given with 4Q15 gross deferred rev disclosure on earnings night</t>
        </r>
      </text>
    </comment>
    <comment ref="DB162" authorId="8">
      <text>
        <r>
          <rPr>
            <b/>
            <sz val="8"/>
            <color indexed="81"/>
            <rFont val="Tahoma"/>
            <family val="2"/>
          </rPr>
          <t>wukelv:</t>
        </r>
        <r>
          <rPr>
            <sz val="8"/>
            <color indexed="81"/>
            <rFont val="Tahoma"/>
            <family val="2"/>
          </rPr>
          <t xml:space="preserve">
Excluding Sun</t>
        </r>
      </text>
    </comment>
    <comment ref="DC162" authorId="8">
      <text>
        <r>
          <rPr>
            <b/>
            <sz val="8"/>
            <color indexed="81"/>
            <rFont val="Tahoma"/>
            <family val="2"/>
          </rPr>
          <t>wukelv:</t>
        </r>
        <r>
          <rPr>
            <sz val="8"/>
            <color indexed="81"/>
            <rFont val="Tahoma"/>
            <family val="2"/>
          </rPr>
          <t xml:space="preserve">
Includes Sun
</t>
        </r>
      </text>
    </comment>
    <comment ref="DB163" authorId="8">
      <text>
        <r>
          <rPr>
            <b/>
            <sz val="8"/>
            <color indexed="81"/>
            <rFont val="Tahoma"/>
            <family val="2"/>
          </rPr>
          <t>wukelv:</t>
        </r>
        <r>
          <rPr>
            <sz val="8"/>
            <color indexed="81"/>
            <rFont val="Tahoma"/>
            <family val="2"/>
          </rPr>
          <t xml:space="preserve">
Excluding Sun</t>
        </r>
      </text>
    </comment>
    <comment ref="DC163" authorId="8">
      <text>
        <r>
          <rPr>
            <b/>
            <sz val="8"/>
            <color indexed="81"/>
            <rFont val="Tahoma"/>
            <family val="2"/>
          </rPr>
          <t>wukelv:</t>
        </r>
        <r>
          <rPr>
            <sz val="8"/>
            <color indexed="81"/>
            <rFont val="Tahoma"/>
            <family val="2"/>
          </rPr>
          <t xml:space="preserve">
Includes Sun
</t>
        </r>
      </text>
    </comment>
    <comment ref="DB164" authorId="8">
      <text>
        <r>
          <rPr>
            <b/>
            <sz val="8"/>
            <color indexed="81"/>
            <rFont val="Tahoma"/>
            <family val="2"/>
          </rPr>
          <t>wukelv:</t>
        </r>
        <r>
          <rPr>
            <sz val="8"/>
            <color indexed="81"/>
            <rFont val="Tahoma"/>
            <family val="2"/>
          </rPr>
          <t xml:space="preserve">
Highlighted cells exclude Sun</t>
        </r>
      </text>
    </comment>
    <comment ref="DC164" authorId="8">
      <text>
        <r>
          <rPr>
            <b/>
            <sz val="8"/>
            <color indexed="81"/>
            <rFont val="Tahoma"/>
            <family val="2"/>
          </rPr>
          <t>wukelv:</t>
        </r>
        <r>
          <rPr>
            <sz val="8"/>
            <color indexed="81"/>
            <rFont val="Tahoma"/>
            <family val="2"/>
          </rPr>
          <t xml:space="preserve">
Includes Sun
</t>
        </r>
      </text>
    </comment>
    <comment ref="EW186" authorId="9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Q1 call</t>
        </r>
      </text>
    </comment>
    <comment ref="BC189" authorId="1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$28 = Dividend for fractional shares resulting from stock split
$70 = Equity adjustments related to subsidiary equity transactions</t>
        </r>
      </text>
    </comment>
    <comment ref="BO189" authorId="1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Settlement of forward contract</t>
        </r>
      </text>
    </comment>
    <comment ref="CV201" authorId="1">
      <text>
        <r>
          <rPr>
            <b/>
            <sz val="8"/>
            <color indexed="81"/>
            <rFont val="Tahoma"/>
            <family val="2"/>
          </rPr>
          <t>kweiss: Oct. 21st -- authorization upped by $8B</t>
        </r>
      </text>
    </comment>
    <comment ref="EN201" authorId="1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BOD approved 10B expansion of stock repurchase program on 3/15/2016</t>
        </r>
      </text>
    </comment>
    <comment ref="EX201" authorId="1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increased authorization by 12B</t>
        </r>
      </text>
    </comment>
    <comment ref="FF201" authorId="11">
      <text>
        <r>
          <rPr>
            <sz val="9"/>
            <color indexed="81"/>
            <rFont val="Tahoma"/>
            <family val="2"/>
          </rPr>
          <t>Assumed $10B Buyback Authorization</t>
        </r>
      </text>
    </comment>
    <comment ref="FL201" authorId="11">
      <text>
        <r>
          <rPr>
            <sz val="9"/>
            <color indexed="81"/>
            <rFont val="Tahoma"/>
            <family val="2"/>
          </rPr>
          <t>Assumed $10B Buyback Authorization</t>
        </r>
      </text>
    </comment>
    <comment ref="BC257" authorId="12">
      <text>
        <r>
          <rPr>
            <b/>
            <sz val="8"/>
            <color indexed="81"/>
            <rFont val="Tahoma"/>
            <family val="2"/>
          </rPr>
          <t>kerng:</t>
        </r>
        <r>
          <rPr>
            <sz val="8"/>
            <color indexed="81"/>
            <rFont val="Tahoma"/>
            <family val="2"/>
          </rPr>
          <t xml:space="preserve">
0.21-0.78</t>
        </r>
      </text>
    </comment>
    <comment ref="BI257" authorId="12">
      <text>
        <r>
          <rPr>
            <b/>
            <sz val="8"/>
            <color indexed="81"/>
            <rFont val="Tahoma"/>
            <family val="2"/>
          </rPr>
          <t>kerng:</t>
        </r>
        <r>
          <rPr>
            <sz val="8"/>
            <color indexed="81"/>
            <rFont val="Tahoma"/>
            <family val="2"/>
          </rPr>
          <t xml:space="preserve">
1.26-2.51</t>
        </r>
      </text>
    </comment>
    <comment ref="BO257" authorId="12">
      <text>
        <r>
          <rPr>
            <b/>
            <sz val="8"/>
            <color indexed="81"/>
            <rFont val="Tahoma"/>
            <family val="2"/>
          </rPr>
          <t>kerng:</t>
        </r>
        <r>
          <rPr>
            <sz val="8"/>
            <color indexed="81"/>
            <rFont val="Tahoma"/>
            <family val="2"/>
          </rPr>
          <t xml:space="preserve">
1.25-2.84</t>
        </r>
      </text>
    </comment>
    <comment ref="BU257" authorId="12">
      <text>
        <r>
          <rPr>
            <b/>
            <sz val="8"/>
            <color indexed="81"/>
            <rFont val="Tahoma"/>
            <family val="2"/>
          </rPr>
          <t>kerng:</t>
        </r>
        <r>
          <rPr>
            <sz val="8"/>
            <color indexed="81"/>
            <rFont val="Tahoma"/>
            <family val="2"/>
          </rPr>
          <t xml:space="preserve">
1.26-3.00</t>
        </r>
      </text>
    </comment>
    <comment ref="BW257" authorId="12">
      <text>
        <r>
          <rPr>
            <b/>
            <sz val="8"/>
            <color indexed="81"/>
            <rFont val="Tahoma"/>
            <family val="2"/>
          </rPr>
          <t>kerng:</t>
        </r>
        <r>
          <rPr>
            <sz val="8"/>
            <color indexed="81"/>
            <rFont val="Tahoma"/>
            <family val="2"/>
          </rPr>
          <t xml:space="preserve">
1.28-2.54</t>
        </r>
      </text>
    </comment>
    <comment ref="CA257" authorId="12">
      <text>
        <r>
          <rPr>
            <b/>
            <sz val="8"/>
            <color indexed="81"/>
            <rFont val="Tahoma"/>
            <family val="2"/>
          </rPr>
          <t>kerng:</t>
        </r>
        <r>
          <rPr>
            <sz val="8"/>
            <color indexed="81"/>
            <rFont val="Tahoma"/>
            <family val="2"/>
          </rPr>
          <t xml:space="preserve">
1.28-6.56</t>
        </r>
      </text>
    </comment>
    <comment ref="CC257" authorId="12">
      <text>
        <r>
          <rPr>
            <b/>
            <sz val="8"/>
            <color indexed="81"/>
            <rFont val="Tahoma"/>
            <family val="2"/>
          </rPr>
          <t>kerng:</t>
        </r>
        <r>
          <rPr>
            <sz val="8"/>
            <color indexed="81"/>
            <rFont val="Tahoma"/>
            <family val="2"/>
          </rPr>
          <t xml:space="preserve">
3.50-7.50</t>
        </r>
      </text>
    </comment>
    <comment ref="CD257" authorId="1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2.50 to 7.15</t>
        </r>
      </text>
    </comment>
    <comment ref="CE257" authorId="1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.25 to 7.23 years</t>
        </r>
      </text>
    </comment>
    <comment ref="BC258" authorId="12">
      <text>
        <r>
          <rPr>
            <b/>
            <sz val="8"/>
            <color indexed="81"/>
            <rFont val="Tahoma"/>
            <family val="2"/>
          </rPr>
          <t>kerng:</t>
        </r>
        <r>
          <rPr>
            <sz val="8"/>
            <color indexed="81"/>
            <rFont val="Tahoma"/>
            <family val="2"/>
          </rPr>
          <t xml:space="preserve">
4.09-6.56</t>
        </r>
      </text>
    </comment>
    <comment ref="BI258" authorId="12">
      <text>
        <r>
          <rPr>
            <b/>
            <sz val="8"/>
            <color indexed="81"/>
            <rFont val="Tahoma"/>
            <family val="2"/>
          </rPr>
          <t>kerng:</t>
        </r>
        <r>
          <rPr>
            <sz val="8"/>
            <color indexed="81"/>
            <rFont val="Tahoma"/>
            <family val="2"/>
          </rPr>
          <t xml:space="preserve">
3.45-4.48</t>
        </r>
      </text>
    </comment>
    <comment ref="BO258" authorId="12">
      <text>
        <r>
          <rPr>
            <b/>
            <sz val="8"/>
            <color indexed="81"/>
            <rFont val="Tahoma"/>
            <family val="2"/>
          </rPr>
          <t>kerng:</t>
        </r>
        <r>
          <rPr>
            <sz val="8"/>
            <color indexed="81"/>
            <rFont val="Tahoma"/>
            <family val="2"/>
          </rPr>
          <t xml:space="preserve">
1.10-3.34</t>
        </r>
      </text>
    </comment>
    <comment ref="BU258" authorId="12">
      <text>
        <r>
          <rPr>
            <b/>
            <sz val="8"/>
            <color indexed="81"/>
            <rFont val="Tahoma"/>
            <family val="2"/>
          </rPr>
          <t>kerng:</t>
        </r>
        <r>
          <rPr>
            <sz val="8"/>
            <color indexed="81"/>
            <rFont val="Tahoma"/>
            <family val="2"/>
          </rPr>
          <t xml:space="preserve">
1.65-4.09</t>
        </r>
      </text>
    </comment>
    <comment ref="BW258" authorId="12">
      <text>
        <r>
          <rPr>
            <b/>
            <sz val="8"/>
            <color indexed="81"/>
            <rFont val="Tahoma"/>
            <family val="2"/>
          </rPr>
          <t>kerng:</t>
        </r>
        <r>
          <rPr>
            <sz val="8"/>
            <color indexed="81"/>
            <rFont val="Tahoma"/>
            <family val="2"/>
          </rPr>
          <t xml:space="preserve">
2.40-3.31</t>
        </r>
      </text>
    </comment>
    <comment ref="BX258" authorId="12">
      <text>
        <r>
          <rPr>
            <b/>
            <sz val="8"/>
            <color indexed="81"/>
            <rFont val="Tahoma"/>
            <family val="2"/>
          </rPr>
          <t>kerng:</t>
        </r>
        <r>
          <rPr>
            <sz val="8"/>
            <color indexed="81"/>
            <rFont val="Tahoma"/>
            <family val="2"/>
          </rPr>
          <t xml:space="preserve">
3.00-3.69</t>
        </r>
      </text>
    </comment>
    <comment ref="BY258" authorId="12">
      <text>
        <r>
          <rPr>
            <b/>
            <sz val="8"/>
            <color indexed="81"/>
            <rFont val="Tahoma"/>
            <family val="2"/>
          </rPr>
          <t>kerng:</t>
        </r>
        <r>
          <rPr>
            <sz val="8"/>
            <color indexed="81"/>
            <rFont val="Tahoma"/>
            <family val="2"/>
          </rPr>
          <t xml:space="preserve">
3.59-4.05%</t>
        </r>
      </text>
    </comment>
    <comment ref="CA258" authorId="12">
      <text>
        <r>
          <rPr>
            <b/>
            <sz val="8"/>
            <color indexed="81"/>
            <rFont val="Tahoma"/>
            <family val="2"/>
          </rPr>
          <t>kerng:</t>
        </r>
        <r>
          <rPr>
            <sz val="8"/>
            <color indexed="81"/>
            <rFont val="Tahoma"/>
            <family val="2"/>
          </rPr>
          <t xml:space="preserve">
2.4-4.05</t>
        </r>
      </text>
    </comment>
    <comment ref="CC258" authorId="12">
      <text>
        <r>
          <rPr>
            <b/>
            <sz val="8"/>
            <color indexed="81"/>
            <rFont val="Tahoma"/>
            <family val="2"/>
          </rPr>
          <t>kerng:</t>
        </r>
        <r>
          <rPr>
            <sz val="8"/>
            <color indexed="81"/>
            <rFont val="Tahoma"/>
            <family val="2"/>
          </rPr>
          <t xml:space="preserve">
3.78-4.02%</t>
        </r>
      </text>
    </comment>
    <comment ref="BO259" authorId="12">
      <text>
        <r>
          <rPr>
            <b/>
            <sz val="8"/>
            <color indexed="81"/>
            <rFont val="Tahoma"/>
            <family val="2"/>
          </rPr>
          <t>kerng:</t>
        </r>
        <r>
          <rPr>
            <sz val="8"/>
            <color indexed="81"/>
            <rFont val="Tahoma"/>
            <family val="2"/>
          </rPr>
          <t xml:space="preserve">
48-56%</t>
        </r>
      </text>
    </comment>
    <comment ref="BU259" authorId="12">
      <text>
        <r>
          <rPr>
            <b/>
            <sz val="8"/>
            <color indexed="81"/>
            <rFont val="Tahoma"/>
            <family val="2"/>
          </rPr>
          <t>kerng:</t>
        </r>
        <r>
          <rPr>
            <sz val="8"/>
            <color indexed="81"/>
            <rFont val="Tahoma"/>
            <family val="2"/>
          </rPr>
          <t xml:space="preserve">
35-44%</t>
        </r>
      </text>
    </comment>
    <comment ref="CA259" authorId="12">
      <text>
        <r>
          <rPr>
            <b/>
            <sz val="8"/>
            <color indexed="81"/>
            <rFont val="Tahoma"/>
            <family val="2"/>
          </rPr>
          <t>kerng:</t>
        </r>
        <r>
          <rPr>
            <sz val="8"/>
            <color indexed="81"/>
            <rFont val="Tahoma"/>
            <family val="2"/>
          </rPr>
          <t xml:space="preserve">
27-36%</t>
        </r>
      </text>
    </comment>
    <comment ref="CJ283" authorId="1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264m in the money as of 11/30/06</t>
        </r>
      </text>
    </comment>
    <comment ref="CK283" authorId="1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247m in the money s of 2/28/07</t>
        </r>
      </text>
    </comment>
  </commentList>
</comments>
</file>

<file path=xl/comments3.xml><?xml version="1.0" encoding="utf-8"?>
<comments xmlns="http://schemas.openxmlformats.org/spreadsheetml/2006/main">
  <authors>
    <author>kweiss</author>
    <author>rossmac</author>
    <author>Fodderwala, Hamza (Research)</author>
  </authors>
  <commentList>
    <comment ref="CD28" authorId="0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$605m for i-Flex classified as Purchase of Equity Investment in company report.</t>
        </r>
      </text>
    </comment>
    <comment ref="L60" authorId="1">
      <text>
        <r>
          <rPr>
            <b/>
            <sz val="8"/>
            <color indexed="81"/>
            <rFont val="Tahoma"/>
            <family val="2"/>
          </rPr>
          <t>rossmac:</t>
        </r>
        <r>
          <rPr>
            <sz val="8"/>
            <color indexed="81"/>
            <rFont val="Tahoma"/>
            <family val="2"/>
          </rPr>
          <t xml:space="preserve">
change in accounting principle? Reduced net income by $43.470</t>
        </r>
      </text>
    </comment>
    <comment ref="AV60" authorId="1">
      <text>
        <r>
          <rPr>
            <b/>
            <sz val="8"/>
            <color indexed="81"/>
            <rFont val="Tahoma"/>
            <family val="2"/>
          </rPr>
          <t>rossmac:</t>
        </r>
        <r>
          <rPr>
            <sz val="8"/>
            <color indexed="81"/>
            <rFont val="Tahoma"/>
            <family val="2"/>
          </rPr>
          <t xml:space="preserve">
Includes income from share sales Oracle Japan $6524.5</t>
        </r>
      </text>
    </comment>
    <comment ref="BH70" authorId="1">
      <text>
        <r>
          <rPr>
            <b/>
            <sz val="8"/>
            <color indexed="81"/>
            <rFont val="Tahoma"/>
            <family val="2"/>
          </rPr>
          <t>rossmac:</t>
        </r>
        <r>
          <rPr>
            <sz val="8"/>
            <color indexed="81"/>
            <rFont val="Tahoma"/>
            <family val="2"/>
          </rPr>
          <t xml:space="preserve">
Net of provisions for Trade Receivables Allowances</t>
        </r>
      </text>
    </comment>
    <comment ref="BN70" authorId="1">
      <text>
        <r>
          <rPr>
            <b/>
            <sz val="8"/>
            <color indexed="81"/>
            <rFont val="Tahoma"/>
            <family val="2"/>
          </rPr>
          <t>rossmac:</t>
        </r>
        <r>
          <rPr>
            <sz val="8"/>
            <color indexed="81"/>
            <rFont val="Tahoma"/>
            <family val="2"/>
          </rPr>
          <t xml:space="preserve">
Net of provisions for rade receivable allowances</t>
        </r>
      </text>
    </comment>
    <comment ref="J72" authorId="1">
      <text>
        <r>
          <rPr>
            <b/>
            <sz val="8"/>
            <color indexed="81"/>
            <rFont val="Tahoma"/>
            <family val="2"/>
          </rPr>
          <t>rossmac:</t>
        </r>
        <r>
          <rPr>
            <sz val="8"/>
            <color indexed="81"/>
            <rFont val="Tahoma"/>
            <family val="2"/>
          </rPr>
          <t xml:space="preserve">
Includes $8.872 million provision for excess facilities</t>
        </r>
      </text>
    </comment>
    <comment ref="L72" authorId="1">
      <text>
        <r>
          <rPr>
            <b/>
            <sz val="8"/>
            <color indexed="81"/>
            <rFont val="Tahoma"/>
            <family val="2"/>
          </rPr>
          <t>rossmac:</t>
        </r>
        <r>
          <rPr>
            <sz val="8"/>
            <color indexed="81"/>
            <rFont val="Tahoma"/>
            <family val="2"/>
          </rPr>
          <t xml:space="preserve">
Includes $24 million provision for settlement of litigation</t>
        </r>
      </text>
    </comment>
    <comment ref="BE72" authorId="1">
      <text>
        <r>
          <rPr>
            <b/>
            <sz val="8"/>
            <color indexed="81"/>
            <rFont val="Tahoma"/>
            <family val="2"/>
          </rPr>
          <t>rossmac:</t>
        </r>
        <r>
          <rPr>
            <sz val="8"/>
            <color indexed="81"/>
            <rFont val="Tahoma"/>
            <family val="2"/>
          </rPr>
          <t xml:space="preserve">
Includes $241.5 accrued compensation</t>
        </r>
      </text>
    </comment>
    <comment ref="BE73" authorId="1">
      <text>
        <r>
          <rPr>
            <b/>
            <sz val="8"/>
            <color indexed="81"/>
            <rFont val="Tahoma"/>
            <family val="2"/>
          </rPr>
          <t>rossmac:</t>
        </r>
        <r>
          <rPr>
            <sz val="8"/>
            <color indexed="81"/>
            <rFont val="Tahoma"/>
            <family val="2"/>
          </rPr>
          <t xml:space="preserve">
Includes other accrued liabilites</t>
        </r>
      </text>
    </comment>
    <comment ref="EM83" authorId="2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15% of capex cloud-related; expected cloud capex will be dramatically lower vs. LY</t>
        </r>
      </text>
    </comment>
    <comment ref="U92" authorId="1">
      <text>
        <r>
          <rPr>
            <b/>
            <sz val="8"/>
            <color indexed="81"/>
            <rFont val="Tahoma"/>
            <family val="2"/>
          </rPr>
          <t>rossmac:</t>
        </r>
        <r>
          <rPr>
            <sz val="8"/>
            <color indexed="81"/>
            <rFont val="Tahoma"/>
            <family val="2"/>
          </rPr>
          <t xml:space="preserve">
Includes $17.175 million in proceeds from sale of call options</t>
        </r>
      </text>
    </comment>
    <comment ref="AV92" authorId="1">
      <text>
        <r>
          <rPr>
            <b/>
            <sz val="8"/>
            <color indexed="81"/>
            <rFont val="Tahoma"/>
            <family val="2"/>
          </rPr>
          <t>rossmac:</t>
        </r>
        <r>
          <rPr>
            <sz val="8"/>
            <color indexed="81"/>
            <rFont val="Tahoma"/>
            <family val="2"/>
          </rPr>
          <t xml:space="preserve">
includes $187m from subsidiary stock offering and -$5m from payments under notes payable and long-term debt</t>
        </r>
      </text>
    </comment>
    <comment ref="BN92" authorId="1">
      <text>
        <r>
          <rPr>
            <b/>
            <sz val="8"/>
            <color indexed="81"/>
            <rFont val="Tahoma"/>
            <family val="2"/>
          </rPr>
          <t>rossmac:</t>
        </r>
        <r>
          <rPr>
            <sz val="8"/>
            <color indexed="81"/>
            <rFont val="Tahoma"/>
            <family val="2"/>
          </rPr>
          <t xml:space="preserve">
Inlcudes borrowings of notes payable and long term debt</t>
        </r>
      </text>
    </comment>
  </commentList>
</comments>
</file>

<file path=xl/comments4.xml><?xml version="1.0" encoding="utf-8"?>
<comments xmlns="http://schemas.openxmlformats.org/spreadsheetml/2006/main">
  <authors>
    <author>jonpark</author>
    <author>Baer, Josh (Research)</author>
    <author>Andrew White</author>
    <author>kweiss</author>
    <author>Phillip Rowe</author>
    <author>Andy White</author>
    <author>StanZ</author>
    <author>bloome</author>
    <author>Fodderwala, Hamza (Research)</author>
    <author>Zlotsky, Stan (Research)</author>
    <author>Weiss, Keith (Research)</author>
    <author>wukelv</author>
  </authors>
  <commentList>
    <comment ref="DS11" authorId="0">
      <text>
        <r>
          <rPr>
            <b/>
            <sz val="8"/>
            <color indexed="81"/>
            <rFont val="Tahoma"/>
            <family val="2"/>
          </rPr>
          <t>jonpark:</t>
        </r>
        <r>
          <rPr>
            <sz val="8"/>
            <color indexed="81"/>
            <rFont val="Tahoma"/>
            <family val="2"/>
          </rPr>
          <t xml:space="preserve">
Including $19M add-back from not gaap accounting rules in addition to $130M reported acq. impact</t>
        </r>
      </text>
    </comment>
    <comment ref="DT11" authorId="0">
      <text>
        <r>
          <rPr>
            <b/>
            <sz val="8"/>
            <color indexed="81"/>
            <rFont val="Tahoma"/>
            <family val="2"/>
          </rPr>
          <t>jonpark:</t>
        </r>
        <r>
          <rPr>
            <sz val="8"/>
            <color indexed="81"/>
            <rFont val="Tahoma"/>
            <family val="2"/>
          </rPr>
          <t xml:space="preserve">
Including $12M add-back from not gaap accounting rules in addition to $144M reported acq. impact</t>
        </r>
      </text>
    </comment>
    <comment ref="DU11" authorId="0">
      <text>
        <r>
          <rPr>
            <b/>
            <sz val="8"/>
            <color indexed="81"/>
            <rFont val="Tahoma"/>
            <family val="2"/>
          </rPr>
          <t>jonpark:</t>
        </r>
        <r>
          <rPr>
            <sz val="8"/>
            <color indexed="81"/>
            <rFont val="Tahoma"/>
            <family val="2"/>
          </rPr>
          <t xml:space="preserve">
Including $6M add-back from not gaap accounting rules in addition to $116M reported acq. impact</t>
        </r>
      </text>
    </comment>
    <comment ref="DO23" authorId="0">
      <text>
        <r>
          <rPr>
            <b/>
            <sz val="8"/>
            <color indexed="81"/>
            <rFont val="Tahoma"/>
            <family val="2"/>
          </rPr>
          <t>jonpark:</t>
        </r>
        <r>
          <rPr>
            <sz val="8"/>
            <color indexed="81"/>
            <rFont val="Tahoma"/>
            <family val="2"/>
          </rPr>
          <t xml:space="preserve">
$110M on GAAP Basis; $</t>
        </r>
      </text>
    </comment>
    <comment ref="DS23" authorId="0">
      <text>
        <r>
          <rPr>
            <b/>
            <sz val="8"/>
            <color indexed="81"/>
            <rFont val="Tahoma"/>
            <family val="2"/>
          </rPr>
          <t>jonpark:</t>
        </r>
        <r>
          <rPr>
            <sz val="8"/>
            <color indexed="81"/>
            <rFont val="Tahoma"/>
            <family val="2"/>
          </rPr>
          <t xml:space="preserve">
$203M on GAAP basis; 
OOW12: ~400 customers (160 HCM, 160 CRM, 80 ERP?); 65% SaaS</t>
        </r>
      </text>
    </comment>
    <comment ref="DT23" authorId="0">
      <text>
        <r>
          <rPr>
            <b/>
            <sz val="8"/>
            <color indexed="81"/>
            <rFont val="Tahoma"/>
            <family val="2"/>
          </rPr>
          <t>jonpark:</t>
        </r>
        <r>
          <rPr>
            <sz val="8"/>
            <color indexed="81"/>
            <rFont val="Tahoma"/>
            <family val="2"/>
          </rPr>
          <t xml:space="preserve">
$218M on GAAP basis; $31M of non-gaap adjustments YTD</t>
        </r>
      </text>
    </comment>
    <comment ref="DU23" authorId="0">
      <text>
        <r>
          <rPr>
            <b/>
            <sz val="8"/>
            <color indexed="81"/>
            <rFont val="Tahoma"/>
            <family val="2"/>
          </rPr>
          <t>jonpark:</t>
        </r>
        <r>
          <rPr>
            <sz val="8"/>
            <color indexed="81"/>
            <rFont val="Tahoma"/>
            <family val="2"/>
          </rPr>
          <t xml:space="preserve">
$231M on GAAP basis; $37M of non-gaap adjustments YTD</t>
        </r>
      </text>
    </comment>
    <comment ref="DV23" authorId="0">
      <text>
        <r>
          <rPr>
            <b/>
            <sz val="8"/>
            <color indexed="81"/>
            <rFont val="Tahoma"/>
            <family val="2"/>
          </rPr>
          <t>jonpark:</t>
        </r>
        <r>
          <rPr>
            <sz val="8"/>
            <color indexed="81"/>
            <rFont val="Tahoma"/>
            <family val="2"/>
          </rPr>
          <t xml:space="preserve">
$257M on GAAP basis
Added 500 SaaS customers (80 Fusion)</t>
        </r>
      </text>
    </comment>
    <comment ref="EQ29" authorId="1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Excludes Professional Services Estimate of 5% of Revenue Contribution</t>
        </r>
      </text>
    </comment>
    <comment ref="ER29" authorId="1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Excludes Professional Services Estimate of 5% of Revenue Contribution</t>
        </r>
      </text>
    </comment>
    <comment ref="ES29" authorId="1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Excludes Professional Services Estimate of 5% of Revenue Contribution</t>
        </r>
      </text>
    </comment>
    <comment ref="ET29" authorId="1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Excludes Professional Services Estimate of 5% of Revenue Contribution</t>
        </r>
      </text>
    </comment>
    <comment ref="EW29" authorId="1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Excludes Professional Services Estimate of 5% of Revenue Contribution</t>
        </r>
      </text>
    </comment>
    <comment ref="EQ30" authorId="1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Excludes Professional Services Estimate of 10% of Revenue Contribution</t>
        </r>
      </text>
    </comment>
    <comment ref="ER30" authorId="1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Excludes Professional Services Estimate of 10% of Revenue Contribution</t>
        </r>
      </text>
    </comment>
    <comment ref="ES30" authorId="1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Excludes Professional Services Estimate of 10% of Revenue Contribution</t>
        </r>
      </text>
    </comment>
    <comment ref="ET30" authorId="1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Excludes Professional Services Estimate of 10% of Revenue Contribution</t>
        </r>
      </text>
    </comment>
    <comment ref="EW30" authorId="1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Excludes Professional Services Estimate of 10% of Revenue Contribution</t>
        </r>
      </text>
    </comment>
    <comment ref="ER31" authorId="1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Excludes Professional Services Estimate of 30% of Revenue Contribution</t>
        </r>
      </text>
    </comment>
    <comment ref="ES31" authorId="1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Excludes Professional Services Estimate of 30% of Revenue Contribution</t>
        </r>
      </text>
    </comment>
    <comment ref="ET31" authorId="1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Excludes Professional Services Estimate of 30% of Revenue Contribution</t>
        </r>
      </text>
    </comment>
    <comment ref="EW31" authorId="1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Excludes Professional Services Estimate of 30% of Revenue Contribution</t>
        </r>
      </text>
    </comment>
    <comment ref="EX31" authorId="1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Excludes Professional Services Estimate of 30% of Revenue Contribution</t>
        </r>
      </text>
    </comment>
    <comment ref="A41" authorId="2">
      <text>
        <r>
          <rPr>
            <b/>
            <sz val="8"/>
            <color indexed="81"/>
            <rFont val="Tahoma"/>
            <family val="2"/>
          </rPr>
          <t>Andrew White:</t>
        </r>
        <r>
          <rPr>
            <sz val="8"/>
            <color indexed="81"/>
            <rFont val="Tahoma"/>
            <family val="2"/>
          </rPr>
          <t xml:space="preserve">
Deal Completed 28-MAR-2005
Identity-based security solutions.
Oblix and TimesTen COLLECTIVE Total Preliminary Purchase Price = $106m
$94 million Cash + $12 million Stock
Estimate a total rev run rate of ~$30m
</t>
        </r>
      </text>
    </comment>
    <comment ref="A42" authorId="2">
      <text>
        <r>
          <rPr>
            <b/>
            <sz val="8"/>
            <color indexed="81"/>
            <rFont val="Tahoma"/>
            <family val="2"/>
          </rPr>
          <t>Andrew White:</t>
        </r>
        <r>
          <rPr>
            <sz val="8"/>
            <color indexed="81"/>
            <rFont val="Tahoma"/>
            <family val="2"/>
          </rPr>
          <t xml:space="preserve">
Deal Completed June 20, 2005.
DB Performance / Caching.
Oblix and TimesTen COLLECTIVE Total Preliminary Purchase Price = $106m
$94 million Cash + $12 million Stock
Hoovers profile said $15m to Sept 05
</t>
        </r>
      </text>
    </comment>
    <comment ref="CF43" authorId="3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SEBL contributed $34m via 10K</t>
        </r>
      </text>
    </comment>
    <comment ref="CM43" authorId="3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via 10K - Siebel MW contributed $48 milion
to license</t>
        </r>
      </text>
    </comment>
    <comment ref="CM44" authorId="3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via 10K - Stellant contributed $26m in license in FY07</t>
        </r>
      </text>
    </comment>
    <comment ref="CS44" authorId="3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total FY08 contribution = $37mn</t>
        </r>
      </text>
    </comment>
    <comment ref="CM45" authorId="3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via 10K - HYSL contributed $16m in DB tech license in FY07</t>
        </r>
      </text>
    </comment>
    <comment ref="CO45" authorId="4">
      <text>
        <r>
          <rPr>
            <b/>
            <sz val="8"/>
            <color indexed="81"/>
            <rFont val="Tahoma"/>
            <family val="2"/>
          </rPr>
          <t>Phillip Rowe:</t>
        </r>
        <r>
          <rPr>
            <sz val="8"/>
            <color indexed="81"/>
            <rFont val="Tahoma"/>
            <family val="2"/>
          </rPr>
          <t xml:space="preserve">
9/20/07 Safra said 80 mln HYSL</t>
        </r>
      </text>
    </comment>
    <comment ref="CS45" authorId="3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total FY08 contribution = $103mn</t>
        </r>
      </text>
    </comment>
    <comment ref="CS46" authorId="3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total FY08 contribution = $93mn</t>
        </r>
      </text>
    </comment>
    <comment ref="DV49" authorId="0">
      <text>
        <r>
          <rPr>
            <b/>
            <sz val="8"/>
            <color indexed="81"/>
            <rFont val="Tahoma"/>
            <family val="2"/>
          </rPr>
          <t>jonpark:</t>
        </r>
        <r>
          <rPr>
            <sz val="8"/>
            <color indexed="81"/>
            <rFont val="Tahoma"/>
            <family val="2"/>
          </rPr>
          <t xml:space="preserve">
75% software / 25% hardware; 80% product/license</t>
        </r>
      </text>
    </comment>
    <comment ref="DY50" authorId="0">
      <text>
        <r>
          <rPr>
            <b/>
            <sz val="8"/>
            <color indexed="81"/>
            <rFont val="Tahoma"/>
            <family val="2"/>
          </rPr>
          <t>jonpark:</t>
        </r>
        <r>
          <rPr>
            <sz val="8"/>
            <color indexed="81"/>
            <rFont val="Tahoma"/>
            <family val="2"/>
          </rPr>
          <t xml:space="preserve">
Assume 25% software</t>
        </r>
      </text>
    </comment>
    <comment ref="CM52" authorId="3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via 10K - other acquired data base tech companies = $19m in FY07</t>
        </r>
      </text>
    </comment>
    <comment ref="CS52" authorId="3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Tangisol $18 mn and other DB tech contributed $2mn</t>
        </r>
      </text>
    </comment>
    <comment ref="DM52" authorId="0">
      <text>
        <r>
          <rPr>
            <b/>
            <sz val="8"/>
            <color indexed="81"/>
            <rFont val="Tahoma"/>
            <family val="2"/>
          </rPr>
          <t>jonpark:</t>
        </r>
        <r>
          <rPr>
            <sz val="8"/>
            <color indexed="81"/>
            <rFont val="Tahoma"/>
            <family val="2"/>
          </rPr>
          <t xml:space="preserve">
Ksplice</t>
        </r>
      </text>
    </comment>
    <comment ref="A59" authorId="2">
      <text>
        <r>
          <rPr>
            <b/>
            <sz val="8"/>
            <color indexed="81"/>
            <rFont val="Tahoma"/>
            <family val="2"/>
          </rPr>
          <t>Andrew White:</t>
        </r>
        <r>
          <rPr>
            <sz val="8"/>
            <color indexed="81"/>
            <rFont val="Tahoma"/>
            <family val="2"/>
          </rPr>
          <t xml:space="preserve">
Acquired 75% of shares on December 29, 2004 (start consolidating).  Deal closed on January 7, 2005.
Total Purchase Price = $11,080m (cash).
Did $692m license in C2004 ($131m, $130m, $161m, $270m)
Did $1,289m maintenance in C2004 ($321m, $317m, $323m, $328m)
Did $2,846m total rev in C2004 ($668m, $662m, $702m, $815m)</t>
        </r>
      </text>
    </comment>
    <comment ref="CE59" authorId="3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via 3Q06 10Q - PSFT application license contributed $42m of app license growth + $31m last year = $73m
PSFt contributed $163m to growth in first 9mo of FY06 +$31m = $194</t>
        </r>
      </text>
    </comment>
    <comment ref="A60" authorId="5">
      <text>
        <r>
          <rPr>
            <b/>
            <sz val="8"/>
            <color indexed="81"/>
            <rFont val="Tahoma"/>
            <family val="2"/>
          </rPr>
          <t>Andy White:</t>
        </r>
        <r>
          <rPr>
            <sz val="8"/>
            <color indexed="81"/>
            <rFont val="Tahoma"/>
            <family val="2"/>
          </rPr>
          <t xml:space="preserve">
Assumed control on 05-APR-2005  
Total Preliminary Purchase Price = $701m All Cash
Did $58.5m in license in C2004 and $60m in C2003. 
Not particularly seasonal.
Did $174.2m in total rev in C2004 and $168.3m in C2003. </t>
        </r>
      </text>
    </comment>
    <comment ref="CE60" authorId="3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via 3Q06 10Q - RETK application license contributed $20m of app license growth</t>
        </r>
      </text>
    </comment>
    <comment ref="A61" authorId="2">
      <text>
        <r>
          <rPr>
            <b/>
            <sz val="8"/>
            <color indexed="81"/>
            <rFont val="Tahoma"/>
            <family val="2"/>
          </rPr>
          <t>Andrew White:</t>
        </r>
        <r>
          <rPr>
            <sz val="8"/>
            <color indexed="81"/>
            <rFont val="Tahoma"/>
            <family val="2"/>
          </rPr>
          <t xml:space="preserve">
ProfitLogic
</t>
        </r>
        <r>
          <rPr>
            <sz val="8"/>
            <color indexed="81"/>
            <rFont val="Tahoma"/>
            <family val="2"/>
          </rPr>
          <t>Deal Completed July 18, 2005.</t>
        </r>
        <r>
          <rPr>
            <sz val="8"/>
            <color indexed="81"/>
            <rFont val="Tahoma"/>
            <family val="2"/>
          </rPr>
          <t xml:space="preserve">
?? MS ESTIMATE PURCHASE PRICE $200-250m ??
?? MS ESTIMATE RUN RATE TOTAL $60-65m ??</t>
        </r>
      </text>
    </comment>
    <comment ref="CC61" authorId="2">
      <text>
        <r>
          <rPr>
            <b/>
            <sz val="8"/>
            <color indexed="81"/>
            <rFont val="Tahoma"/>
            <family val="2"/>
          </rPr>
          <t>Andrew White:</t>
        </r>
        <r>
          <rPr>
            <sz val="8"/>
            <color indexed="81"/>
            <rFont val="Tahoma"/>
            <family val="2"/>
          </rPr>
          <t xml:space="preserve">
ASSUMPTION IS THAT THIS IS A SUBS BIZ - CHECK ASSUMPTION OF NO CONTRIBUTION TO LICENSE</t>
        </r>
      </text>
    </comment>
    <comment ref="CD61" authorId="2">
      <text>
        <r>
          <rPr>
            <b/>
            <sz val="8"/>
            <color indexed="81"/>
            <rFont val="Tahoma"/>
            <family val="2"/>
          </rPr>
          <t>Andrew White:</t>
        </r>
        <r>
          <rPr>
            <sz val="8"/>
            <color indexed="81"/>
            <rFont val="Tahoma"/>
            <family val="2"/>
          </rPr>
          <t xml:space="preserve">
ASSUMPTION IS THAT THIS IS A SUBS BIZ - CHECK ASSUMPTION OF NO CONTRIBUTION TO LICENSE</t>
        </r>
      </text>
    </comment>
    <comment ref="CE61" authorId="2">
      <text>
        <r>
          <rPr>
            <b/>
            <sz val="8"/>
            <color indexed="81"/>
            <rFont val="Tahoma"/>
            <family val="2"/>
          </rPr>
          <t>Andrew White:</t>
        </r>
        <r>
          <rPr>
            <sz val="8"/>
            <color indexed="81"/>
            <rFont val="Tahoma"/>
            <family val="2"/>
          </rPr>
          <t xml:space="preserve">
ASSUMPTION IS THAT THIS IS A SUBS BIZ - CHECK ASSUMPTION OF NO CONTRIBUTION TO LICENSE</t>
        </r>
      </text>
    </comment>
    <comment ref="CF61" authorId="2">
      <text>
        <r>
          <rPr>
            <b/>
            <sz val="8"/>
            <color indexed="81"/>
            <rFont val="Tahoma"/>
            <family val="2"/>
          </rPr>
          <t>Andrew White:</t>
        </r>
        <r>
          <rPr>
            <sz val="8"/>
            <color indexed="81"/>
            <rFont val="Tahoma"/>
            <family val="2"/>
          </rPr>
          <t xml:space="preserve">
ASSUMPTION IS THAT THIS IS A SUBS BIZ - CHECK ASSUMPTION OF NO CONTRIBUTION TO LICENSE</t>
        </r>
      </text>
    </comment>
    <comment ref="CE62" authorId="3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via 3Q06 10Q - SEBL application license contributed $22m of app license growth</t>
        </r>
      </text>
    </comment>
    <comment ref="CF62" authorId="3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apps contributed $103 in FY06 - via 10K
</t>
        </r>
      </text>
    </comment>
    <comment ref="CM62" authorId="3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via 10K Siebel Apps contributed $130m in incremental license revs</t>
        </r>
      </text>
    </comment>
    <comment ref="CM63" authorId="3">
      <text>
        <r>
          <rPr>
            <b/>
            <sz val="8"/>
            <color indexed="81"/>
            <rFont val="Tahoma"/>
            <family val="2"/>
          </rPr>
          <t xml:space="preserve">kweiss:
</t>
        </r>
        <r>
          <rPr>
            <sz val="8"/>
            <color indexed="81"/>
            <rFont val="Tahoma"/>
            <family val="2"/>
          </rPr>
          <t>via 10K iFlex contributed $50m in license in FY07</t>
        </r>
      </text>
    </comment>
    <comment ref="CM64" authorId="3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via 10K - Portal SW contributed $22m in license in FY07</t>
        </r>
      </text>
    </comment>
    <comment ref="CP64" authorId="3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assume other $5m = SPL
</t>
        </r>
      </text>
    </comment>
    <comment ref="CM65" authorId="3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via 10K - Demantra contributed $21 million</t>
        </r>
      </text>
    </comment>
    <comment ref="CM66" authorId="3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via 10K - other apps contributed $22m</t>
        </r>
      </text>
    </comment>
    <comment ref="CS66" authorId="3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total FY08 contribution = $14mn</t>
        </r>
      </text>
    </comment>
    <comment ref="A68" authorId="4">
      <text>
        <r>
          <rPr>
            <b/>
            <sz val="8"/>
            <color indexed="81"/>
            <rFont val="Tahoma"/>
            <family val="2"/>
          </rPr>
          <t>Phillip Rowe:</t>
        </r>
        <r>
          <rPr>
            <sz val="8"/>
            <color indexed="81"/>
            <rFont val="Tahoma"/>
            <family val="2"/>
          </rPr>
          <t xml:space="preserve">
closed 7/16/2007</t>
        </r>
      </text>
    </comment>
    <comment ref="CO68" authorId="4">
      <text>
        <r>
          <rPr>
            <b/>
            <sz val="8"/>
            <color indexed="81"/>
            <rFont val="Tahoma"/>
            <family val="2"/>
          </rPr>
          <t>Phillip Rowe:</t>
        </r>
        <r>
          <rPr>
            <sz val="8"/>
            <color indexed="81"/>
            <rFont val="Tahoma"/>
            <family val="2"/>
          </rPr>
          <t xml:space="preserve">
9/20/07 said 7 mln on call: 
run rate has been 20-22 mln / q in license for last 8 quarters or so; aqstn closed 7/16/07</t>
        </r>
      </text>
    </comment>
    <comment ref="CP68" authorId="4">
      <text>
        <r>
          <rPr>
            <b/>
            <sz val="8"/>
            <color indexed="81"/>
            <rFont val="Tahoma"/>
            <family val="2"/>
          </rPr>
          <t>Phillip Rowe:</t>
        </r>
        <r>
          <rPr>
            <sz val="8"/>
            <color indexed="81"/>
            <rFont val="Tahoma"/>
            <family val="2"/>
          </rPr>
          <t xml:space="preserve">
still assume 50% of run rate before aquisition</t>
        </r>
      </text>
    </comment>
    <comment ref="CQ68" authorId="4">
      <text>
        <r>
          <rPr>
            <b/>
            <sz val="8"/>
            <color indexed="81"/>
            <rFont val="Tahoma"/>
            <family val="2"/>
          </rPr>
          <t>Phillip Rowe:</t>
        </r>
        <r>
          <rPr>
            <sz val="8"/>
            <color indexed="81"/>
            <rFont val="Tahoma"/>
            <family val="2"/>
          </rPr>
          <t xml:space="preserve">
return to normalcy
14 agile</t>
        </r>
      </text>
    </comment>
    <comment ref="CS68" authorId="3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total FY08 contribution = $58mn</t>
        </r>
      </text>
    </comment>
    <comment ref="A69" authorId="3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Assuming HYSL apps in Apps line and Essbase/Brio in MW/Tech</t>
        </r>
      </text>
    </comment>
    <comment ref="CM69" authorId="3">
      <text>
        <r>
          <rPr>
            <b/>
            <sz val="8"/>
            <color indexed="81"/>
            <rFont val="Tahoma"/>
            <family val="2"/>
          </rPr>
          <t xml:space="preserve">kweiss:
</t>
        </r>
        <r>
          <rPr>
            <sz val="8"/>
            <color indexed="81"/>
            <rFont val="Tahoma"/>
            <family val="2"/>
          </rPr>
          <t>via 10K - Hyperion Apps contributed $27m in lic in FY07</t>
        </r>
      </text>
    </comment>
    <comment ref="CO69" authorId="4">
      <text>
        <r>
          <rPr>
            <b/>
            <sz val="8"/>
            <color indexed="81"/>
            <rFont val="Tahoma"/>
            <family val="2"/>
          </rPr>
          <t>Phillip Rowe:</t>
        </r>
        <r>
          <rPr>
            <sz val="8"/>
            <color indexed="81"/>
            <rFont val="Tahoma"/>
            <family val="2"/>
          </rPr>
          <t xml:space="preserve">
9/20/07 Safra said 80 mln HYSL</t>
        </r>
      </text>
    </comment>
    <comment ref="CQ69" authorId="4">
      <text>
        <r>
          <rPr>
            <b/>
            <sz val="8"/>
            <color indexed="81"/>
            <rFont val="Tahoma"/>
            <family val="2"/>
          </rPr>
          <t>Phillip Rowe:</t>
        </r>
        <r>
          <rPr>
            <sz val="8"/>
            <color indexed="81"/>
            <rFont val="Tahoma"/>
            <family val="2"/>
          </rPr>
          <t xml:space="preserve">
64 mln HYSL total</t>
        </r>
      </text>
    </comment>
    <comment ref="CS69" authorId="3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total FY08 contribution = $199mn</t>
        </r>
      </text>
    </comment>
    <comment ref="DZ84" authorId="0">
      <text>
        <r>
          <rPr>
            <b/>
            <sz val="8"/>
            <color indexed="81"/>
            <rFont val="Tahoma"/>
            <family val="2"/>
          </rPr>
          <t>jonpark:</t>
        </r>
        <r>
          <rPr>
            <sz val="8"/>
            <color indexed="81"/>
            <rFont val="Tahoma"/>
            <family val="2"/>
          </rPr>
          <t xml:space="preserve">
assuming 20% pro serv, 20% maintenance</t>
        </r>
      </text>
    </comment>
    <comment ref="EF87" authorId="6">
      <text>
        <r>
          <rPr>
            <b/>
            <sz val="9"/>
            <color indexed="81"/>
            <rFont val="Tahoma"/>
            <family val="2"/>
          </rPr>
          <t>StanZ:</t>
        </r>
        <r>
          <rPr>
            <sz val="9"/>
            <color indexed="81"/>
            <rFont val="Tahoma"/>
            <family val="2"/>
          </rPr>
          <t xml:space="preserve">
Just the SW license portion - SaaS under Cloud section</t>
        </r>
      </text>
    </comment>
    <comment ref="EF88" authorId="6">
      <text>
        <r>
          <rPr>
            <b/>
            <sz val="9"/>
            <color indexed="81"/>
            <rFont val="Tahoma"/>
            <family val="2"/>
          </rPr>
          <t>StanZ:</t>
        </r>
        <r>
          <rPr>
            <sz val="9"/>
            <color indexed="81"/>
            <rFont val="Tahoma"/>
            <family val="2"/>
          </rPr>
          <t xml:space="preserve">
Assume 20% PS
</t>
        </r>
      </text>
    </comment>
    <comment ref="DM94" authorId="0">
      <text>
        <r>
          <rPr>
            <b/>
            <sz val="8"/>
            <color indexed="81"/>
            <rFont val="Tahoma"/>
            <family val="2"/>
          </rPr>
          <t>jonpark:</t>
        </r>
        <r>
          <rPr>
            <sz val="8"/>
            <color indexed="81"/>
            <rFont val="Tahoma"/>
            <family val="2"/>
          </rPr>
          <t xml:space="preserve">
Datanomic, GoAhead</t>
        </r>
      </text>
    </comment>
    <comment ref="DZ94" authorId="0">
      <text>
        <r>
          <rPr>
            <b/>
            <sz val="8"/>
            <color indexed="81"/>
            <rFont val="Tahoma"/>
            <family val="2"/>
          </rPr>
          <t>jonpark:</t>
        </r>
        <r>
          <rPr>
            <sz val="8"/>
            <color indexed="81"/>
            <rFont val="Tahoma"/>
            <family val="2"/>
          </rPr>
          <t xml:space="preserve">
Compendium</t>
        </r>
      </text>
    </comment>
    <comment ref="DV104" authorId="0">
      <text>
        <r>
          <rPr>
            <b/>
            <sz val="8"/>
            <color indexed="81"/>
            <rFont val="Tahoma"/>
            <family val="2"/>
          </rPr>
          <t>jonpark:</t>
        </r>
        <r>
          <rPr>
            <sz val="8"/>
            <color indexed="81"/>
            <rFont val="Tahoma"/>
            <family val="2"/>
          </rPr>
          <t xml:space="preserve">
75% software / 25% hardware; 80% product/license</t>
        </r>
      </text>
    </comment>
    <comment ref="DY105" authorId="0">
      <text>
        <r>
          <rPr>
            <b/>
            <sz val="8"/>
            <color indexed="81"/>
            <rFont val="Tahoma"/>
            <family val="2"/>
          </rPr>
          <t>jonpark:</t>
        </r>
        <r>
          <rPr>
            <sz val="8"/>
            <color indexed="81"/>
            <rFont val="Tahoma"/>
            <family val="2"/>
          </rPr>
          <t xml:space="preserve">
Assuming 75% hardware</t>
        </r>
      </text>
    </comment>
    <comment ref="A115" authorId="2">
      <text>
        <r>
          <rPr>
            <b/>
            <sz val="8"/>
            <color indexed="81"/>
            <rFont val="Tahoma"/>
            <family val="2"/>
          </rPr>
          <t>Andrew White:</t>
        </r>
        <r>
          <rPr>
            <sz val="8"/>
            <color indexed="81"/>
            <rFont val="Tahoma"/>
            <family val="2"/>
          </rPr>
          <t xml:space="preserve">
Acquired 75% of shares on December 29, 2004 (start consolidating).  Deal closed on January 7, 2005.
Total Purchase Price = $11,080m (cash).
Did $692m license in C2004 ($131m, $130m, $161m, $270m)
Did $1,289m maintenance in C2004 ($321m, $317m, $323m, $328m)
Did $2,846m total rev in C2004 ($668m, $662m, $702m, $815m)</t>
        </r>
      </text>
    </comment>
    <comment ref="A116" authorId="5">
      <text>
        <r>
          <rPr>
            <b/>
            <sz val="8"/>
            <color indexed="81"/>
            <rFont val="Tahoma"/>
            <family val="2"/>
          </rPr>
          <t>Andy White:</t>
        </r>
        <r>
          <rPr>
            <sz val="8"/>
            <color indexed="81"/>
            <rFont val="Tahoma"/>
            <family val="2"/>
          </rPr>
          <t xml:space="preserve">
Assumed control on 05-APR-2005  
Total Preliminary Purchase Price = $701m All Cash
Did $58.5m in license in C2004 and $60m in C2003. 
Not particularly seasonal.
Did $174.2m in total rev in C2004 and $168.3m in C2003. </t>
        </r>
      </text>
    </comment>
    <comment ref="A117" authorId="2">
      <text>
        <r>
          <rPr>
            <b/>
            <sz val="8"/>
            <color indexed="81"/>
            <rFont val="Tahoma"/>
            <family val="2"/>
          </rPr>
          <t>Andrew White:</t>
        </r>
        <r>
          <rPr>
            <sz val="8"/>
            <color indexed="81"/>
            <rFont val="Tahoma"/>
            <family val="2"/>
          </rPr>
          <t xml:space="preserve">
Deal Completed 28-MAR-2005
Identity-based security solutions.
Oblix and TimesTen COLLECTIVE Total Preliminary Purchase Price = $106m
$94 million Cash + $12 million Stock
Estimate a total rev run rate of ~$30m
</t>
        </r>
      </text>
    </comment>
    <comment ref="A118" authorId="2">
      <text>
        <r>
          <rPr>
            <b/>
            <sz val="8"/>
            <color indexed="81"/>
            <rFont val="Tahoma"/>
            <family val="2"/>
          </rPr>
          <t>Andrew White:</t>
        </r>
        <r>
          <rPr>
            <sz val="8"/>
            <color indexed="81"/>
            <rFont val="Tahoma"/>
            <family val="2"/>
          </rPr>
          <t xml:space="preserve">
Deal Completed June 20, 2005.
DB Performance / Caching.
Oblix and TimesTen COLLECTIVE Total Preliminary Purchase Price = $106m
$94 million Cash + $12 million Stock
Hoovers profile said $15m to Sept 05
</t>
        </r>
      </text>
    </comment>
    <comment ref="A119" authorId="2">
      <text>
        <r>
          <rPr>
            <b/>
            <sz val="8"/>
            <color indexed="81"/>
            <rFont val="Tahoma"/>
            <family val="2"/>
          </rPr>
          <t>Andrew White:</t>
        </r>
        <r>
          <rPr>
            <sz val="8"/>
            <color indexed="81"/>
            <rFont val="Tahoma"/>
            <family val="2"/>
          </rPr>
          <t xml:space="preserve">
ProfitLogic
</t>
        </r>
        <r>
          <rPr>
            <u/>
            <sz val="8"/>
            <color indexed="81"/>
            <rFont val="Tahoma"/>
            <family val="2"/>
          </rPr>
          <t>Announced</t>
        </r>
        <r>
          <rPr>
            <sz val="8"/>
            <color indexed="81"/>
            <rFont val="Tahoma"/>
            <family val="2"/>
          </rPr>
          <t xml:space="preserve"> July 5th, 2005
?? MS ESTIMATE PURCHASE PRICE $200-250m ??
?? MS ESTIMATE RUN RATE TOTAL $60-65m ??</t>
        </r>
      </text>
    </comment>
    <comment ref="CE120" authorId="3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- apps = $21m
- db/mw = $7
- support = $17m
- OnDemand = $2m
</t>
        </r>
      </text>
    </comment>
    <comment ref="CF120" authorId="3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from 10K - for FY06 SEBL contributed:
- apps lic=$103m
- db/mw = $34m
- support = $90m
- ondemand - $17m</t>
        </r>
      </text>
    </comment>
    <comment ref="CI120" authorId="3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- apps lic = $32
- mw &amp; db = $17
- OnDemand = $23
- support contracts = $88m
- writedown = $70m</t>
        </r>
      </text>
    </comment>
    <comment ref="CJ120" authorId="3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Apps = 59
MW = 19
OnDemand = 34
Support = 106
</t>
        </r>
      </text>
    </comment>
    <comment ref="CK120" authorId="3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apps = 40
db = 12
support = 117
ondemand = 24</t>
        </r>
      </text>
    </comment>
    <comment ref="CI121" authorId="3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$66m from consulting</t>
        </r>
      </text>
    </comment>
    <comment ref="CJ121" authorId="3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$89m from i-flex consulting</t>
        </r>
      </text>
    </comment>
    <comment ref="CK121" authorId="3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$93m from iflex consulting</t>
        </r>
      </text>
    </comment>
    <comment ref="A126" authorId="4">
      <text>
        <r>
          <rPr>
            <b/>
            <sz val="8"/>
            <color indexed="81"/>
            <rFont val="Tahoma"/>
            <family val="2"/>
          </rPr>
          <t>Phillip Rowe:</t>
        </r>
        <r>
          <rPr>
            <sz val="8"/>
            <color indexed="81"/>
            <rFont val="Tahoma"/>
            <family val="2"/>
          </rPr>
          <t xml:space="preserve">
closed 7/16/2007</t>
        </r>
      </text>
    </comment>
    <comment ref="CO126" authorId="4">
      <text>
        <r>
          <rPr>
            <b/>
            <sz val="8"/>
            <color indexed="81"/>
            <rFont val="Tahoma"/>
            <family val="2"/>
          </rPr>
          <t>Phillip Rowe:</t>
        </r>
        <r>
          <rPr>
            <sz val="8"/>
            <color indexed="81"/>
            <rFont val="Tahoma"/>
            <family val="2"/>
          </rPr>
          <t xml:space="preserve">
run rate has been 7 mln/Q in svcs, 13-14 mln in maintenance=&gt; assume maint gets wiped out before buildign up, and svcs cut down to 25% this Q, 50% next Q, full on in Q3/Q4 after acqstn
assume 50% of run rate because closed in mid quarter; then anotehr 50% because it's a July Q end normally for them and because of transition to being aqd
</t>
        </r>
      </text>
    </comment>
    <comment ref="CP126" authorId="4">
      <text>
        <r>
          <rPr>
            <b/>
            <sz val="8"/>
            <color indexed="81"/>
            <rFont val="Tahoma"/>
            <family val="2"/>
          </rPr>
          <t>Phillip Rowe:</t>
        </r>
        <r>
          <rPr>
            <sz val="8"/>
            <color indexed="81"/>
            <rFont val="Tahoma"/>
            <family val="2"/>
          </rPr>
          <t xml:space="preserve">
still assume 50% of run rate before aquisition</t>
        </r>
      </text>
    </comment>
    <comment ref="DZ148" authorId="0">
      <text>
        <r>
          <rPr>
            <b/>
            <sz val="8"/>
            <color indexed="81"/>
            <rFont val="Tahoma"/>
            <family val="2"/>
          </rPr>
          <t>jonpark:</t>
        </r>
        <r>
          <rPr>
            <sz val="8"/>
            <color indexed="81"/>
            <rFont val="Tahoma"/>
            <family val="2"/>
          </rPr>
          <t xml:space="preserve">
Assuming 60% license/subscription, 20% maintenance, 20% proserv</t>
        </r>
      </text>
    </comment>
    <comment ref="EB150" authorId="6">
      <text>
        <r>
          <rPr>
            <b/>
            <sz val="9"/>
            <color indexed="81"/>
            <rFont val="Tahoma"/>
            <family val="2"/>
          </rPr>
          <t>StanZ:</t>
        </r>
        <r>
          <rPr>
            <sz val="9"/>
            <color indexed="81"/>
            <rFont val="Tahoma"/>
            <family val="2"/>
          </rPr>
          <t xml:space="preserve">
Assume they did $40M in 2013 and will grow 30% in 2014
closed in early April, so including a stub period for 2 months</t>
        </r>
      </text>
    </comment>
    <comment ref="EF152" authorId="6">
      <text>
        <r>
          <rPr>
            <b/>
            <sz val="9"/>
            <color indexed="81"/>
            <rFont val="Tahoma"/>
            <family val="2"/>
          </rPr>
          <t>StanZ:</t>
        </r>
        <r>
          <rPr>
            <sz val="9"/>
            <color indexed="81"/>
            <rFont val="Tahoma"/>
            <family val="2"/>
          </rPr>
          <t xml:space="preserve">
Assume $80-$90M pre-acquisition, with 30% growth in 2015 down from 50%+ pre-aquisition</t>
        </r>
      </text>
    </comment>
    <comment ref="EG153" authorId="6">
      <text>
        <r>
          <rPr>
            <b/>
            <sz val="9"/>
            <color indexed="81"/>
            <rFont val="Tahoma"/>
            <family val="2"/>
          </rPr>
          <t>StanZ:</t>
        </r>
        <r>
          <rPr>
            <sz val="9"/>
            <color indexed="81"/>
            <rFont val="Tahoma"/>
            <family val="2"/>
          </rPr>
          <t xml:space="preserve">
assume 80% deferred rev writedown; assume deal closed half way through the Q</t>
        </r>
      </text>
    </comment>
    <comment ref="EL154" authorId="6">
      <text>
        <r>
          <rPr>
            <b/>
            <sz val="9"/>
            <color indexed="81"/>
            <rFont val="Tahoma"/>
            <family val="2"/>
          </rPr>
          <t>JB:</t>
        </r>
        <r>
          <rPr>
            <sz val="9"/>
            <color indexed="81"/>
            <rFont val="Tahoma"/>
            <family val="2"/>
          </rPr>
          <t xml:space="preserve">
Assume $50-$60M pre-acquisition, with 50% growth in NTM down from &gt;100% in 2013</t>
        </r>
      </text>
    </comment>
    <comment ref="DM159" authorId="0">
      <text>
        <r>
          <rPr>
            <b/>
            <sz val="8"/>
            <color indexed="81"/>
            <rFont val="Tahoma"/>
            <family val="2"/>
          </rPr>
          <t>jonpark:</t>
        </r>
        <r>
          <rPr>
            <sz val="8"/>
            <color indexed="81"/>
            <rFont val="Tahoma"/>
            <family val="2"/>
          </rPr>
          <t xml:space="preserve">
Estimated $22M from Datanomics over F12, $8M from Splice</t>
        </r>
      </text>
    </comment>
    <comment ref="A239" authorId="7">
      <text>
        <r>
          <rPr>
            <b/>
            <sz val="8"/>
            <color indexed="81"/>
            <rFont val="Tahoma"/>
            <family val="2"/>
          </rPr>
          <t>bloome:</t>
        </r>
        <r>
          <rPr>
            <sz val="8"/>
            <color indexed="81"/>
            <rFont val="Tahoma"/>
            <family val="2"/>
          </rPr>
          <t xml:space="preserve">
License revenue only, includes both new and existing customers</t>
        </r>
      </text>
    </comment>
    <comment ref="BL239" authorId="7">
      <text>
        <r>
          <rPr>
            <b/>
            <sz val="8"/>
            <color indexed="81"/>
            <rFont val="Tahoma"/>
            <family val="2"/>
          </rPr>
          <t>bloome:</t>
        </r>
        <r>
          <rPr>
            <sz val="8"/>
            <color indexed="81"/>
            <rFont val="Tahoma"/>
            <family val="2"/>
          </rPr>
          <t xml:space="preserve">
Re-quoted as low point of 31% on the most recent conference call but was 32% at the time.</t>
        </r>
      </text>
    </comment>
    <comment ref="A240" authorId="7">
      <text>
        <r>
          <rPr>
            <b/>
            <sz val="8"/>
            <color indexed="81"/>
            <rFont val="Tahoma"/>
            <family val="2"/>
          </rPr>
          <t>bloome:</t>
        </r>
        <r>
          <rPr>
            <sz val="8"/>
            <color indexed="81"/>
            <rFont val="Tahoma"/>
            <family val="2"/>
          </rPr>
          <t xml:space="preserve">
License revenue only, includes both new and existing customers</t>
        </r>
      </text>
    </comment>
    <comment ref="ET240" authorId="1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Did not disclose</t>
        </r>
      </text>
    </comment>
    <comment ref="ET241" authorId="1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Did not disclose</t>
        </r>
      </text>
    </comment>
    <comment ref="ET242" authorId="1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Did not disclose</t>
        </r>
      </text>
    </comment>
    <comment ref="ET243" authorId="1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Did not disclose</t>
        </r>
      </text>
    </comment>
    <comment ref="ET244" authorId="1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Did not disclose</t>
        </r>
      </text>
    </comment>
    <comment ref="ET245" authorId="1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Did not disclose</t>
        </r>
      </text>
    </comment>
    <comment ref="ET246" authorId="1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Did not disclose</t>
        </r>
      </text>
    </comment>
    <comment ref="ET247" authorId="1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Did not disclose</t>
        </r>
      </text>
    </comment>
    <comment ref="A250" authorId="7">
      <text>
        <r>
          <rPr>
            <b/>
            <sz val="8"/>
            <color indexed="81"/>
            <rFont val="Tahoma"/>
            <family val="2"/>
          </rPr>
          <t>bloome:</t>
        </r>
        <r>
          <rPr>
            <sz val="8"/>
            <color indexed="81"/>
            <rFont val="Tahoma"/>
            <family val="2"/>
          </rPr>
          <t xml:space="preserve">
currently 15,000, source of figures are Morgan Stanley Estimates, Company Data.</t>
        </r>
      </text>
    </comment>
    <comment ref="A251" authorId="7">
      <text>
        <r>
          <rPr>
            <b/>
            <sz val="8"/>
            <color indexed="81"/>
            <rFont val="Tahoma"/>
            <family val="2"/>
          </rPr>
          <t>bloome:</t>
        </r>
        <r>
          <rPr>
            <sz val="8"/>
            <color indexed="81"/>
            <rFont val="Tahoma"/>
            <family val="2"/>
          </rPr>
          <t xml:space="preserve">
Currently more than 200,000</t>
        </r>
      </text>
    </comment>
    <comment ref="BZ277" authorId="2">
      <text>
        <r>
          <rPr>
            <b/>
            <sz val="8"/>
            <color indexed="81"/>
            <rFont val="Tahoma"/>
            <family val="2"/>
          </rPr>
          <t>Andrew White:</t>
        </r>
        <r>
          <rPr>
            <sz val="8"/>
            <color indexed="81"/>
            <rFont val="Tahoma"/>
            <family val="2"/>
          </rPr>
          <t xml:space="preserve">
11,445 in sales and marketing and 4,937 in license updates and product support.</t>
        </r>
      </text>
    </comment>
    <comment ref="CK319" authorId="4">
      <text>
        <r>
          <rPr>
            <b/>
            <sz val="8"/>
            <color indexed="81"/>
            <rFont val="Tahoma"/>
            <family val="2"/>
          </rPr>
          <t>Phillip Rowe:</t>
        </r>
        <r>
          <rPr>
            <sz val="8"/>
            <color indexed="81"/>
            <rFont val="Tahoma"/>
            <family val="2"/>
          </rPr>
          <t xml:space="preserve">
NOT SURE WHERE THIS IS COMING FROM;;;PERHAPS JUST US VS AMERICAS</t>
        </r>
      </text>
    </comment>
    <comment ref="CL319" authorId="4">
      <text>
        <r>
          <rPr>
            <b/>
            <sz val="8"/>
            <color indexed="81"/>
            <rFont val="Tahoma"/>
            <family val="2"/>
          </rPr>
          <t>Phillip Rowe:</t>
        </r>
        <r>
          <rPr>
            <sz val="8"/>
            <color indexed="81"/>
            <rFont val="Tahoma"/>
            <family val="2"/>
          </rPr>
          <t xml:space="preserve">
AMERICAS</t>
        </r>
      </text>
    </comment>
    <comment ref="CM319" authorId="3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US = 25,990
Int'l = 48,684</t>
        </r>
      </text>
    </comment>
    <comment ref="CO319" authorId="4">
      <text>
        <r>
          <rPr>
            <b/>
            <sz val="8"/>
            <color indexed="81"/>
            <rFont val="Tahoma"/>
            <family val="2"/>
          </rPr>
          <t>Phillip Rowe:</t>
        </r>
        <r>
          <rPr>
            <sz val="8"/>
            <color indexed="81"/>
            <rFont val="Tahoma"/>
            <family val="2"/>
          </rPr>
          <t xml:space="preserve">
AMERICAS</t>
        </r>
      </text>
    </comment>
    <comment ref="CR319" authorId="3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US</t>
        </r>
      </text>
    </comment>
    <comment ref="CS319" authorId="3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US = 28,215
Int'l = 56,154</t>
        </r>
      </text>
    </comment>
    <comment ref="EW319" authorId="1">
      <text>
        <r>
          <rPr>
            <b/>
            <sz val="9"/>
            <color indexed="81"/>
            <rFont val="Tahoma"/>
            <family val="2"/>
          </rPr>
          <t>estimate</t>
        </r>
      </text>
    </comment>
    <comment ref="EX319" authorId="1">
      <text>
        <r>
          <rPr>
            <b/>
            <sz val="9"/>
            <color indexed="81"/>
            <rFont val="Tahoma"/>
            <family val="2"/>
          </rPr>
          <t>estimate</t>
        </r>
      </text>
    </comment>
    <comment ref="EY319" authorId="1">
      <text>
        <r>
          <rPr>
            <b/>
            <sz val="9"/>
            <color indexed="81"/>
            <rFont val="Tahoma"/>
            <family val="2"/>
          </rPr>
          <t>estimate</t>
        </r>
      </text>
    </comment>
    <comment ref="BT320" authorId="3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China &gt; 600 employees (source: ORCL Open World 7/23/04)</t>
        </r>
      </text>
    </comment>
    <comment ref="CL320" authorId="4">
      <text>
        <r>
          <rPr>
            <b/>
            <sz val="8"/>
            <color indexed="81"/>
            <rFont val="Tahoma"/>
            <family val="2"/>
          </rPr>
          <t>Phillip Rowe:</t>
        </r>
        <r>
          <rPr>
            <sz val="8"/>
            <color indexed="81"/>
            <rFont val="Tahoma"/>
            <family val="2"/>
          </rPr>
          <t xml:space="preserve">
EMEA + APAC</t>
        </r>
      </text>
    </comment>
    <comment ref="CO320" authorId="4">
      <text>
        <r>
          <rPr>
            <b/>
            <sz val="8"/>
            <color indexed="81"/>
            <rFont val="Tahoma"/>
            <family val="2"/>
          </rPr>
          <t>Phillip Rowe:</t>
        </r>
        <r>
          <rPr>
            <sz val="8"/>
            <color indexed="81"/>
            <rFont val="Tahoma"/>
            <family val="2"/>
          </rPr>
          <t xml:space="preserve">
EMEA + APAC</t>
        </r>
      </text>
    </comment>
    <comment ref="CR320" authorId="3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Int'l</t>
        </r>
      </text>
    </comment>
    <comment ref="EW320" authorId="1">
      <text>
        <r>
          <rPr>
            <b/>
            <sz val="9"/>
            <color indexed="81"/>
            <rFont val="Tahoma"/>
            <family val="2"/>
          </rPr>
          <t>estimate</t>
        </r>
      </text>
    </comment>
    <comment ref="EX320" authorId="1">
      <text>
        <r>
          <rPr>
            <b/>
            <sz val="9"/>
            <color indexed="81"/>
            <rFont val="Tahoma"/>
            <family val="2"/>
          </rPr>
          <t>estimate</t>
        </r>
      </text>
    </comment>
    <comment ref="EY320" authorId="1">
      <text>
        <r>
          <rPr>
            <b/>
            <sz val="9"/>
            <color indexed="81"/>
            <rFont val="Tahoma"/>
            <family val="2"/>
          </rPr>
          <t>estimate</t>
        </r>
      </text>
    </comment>
    <comment ref="DW334" authorId="6">
      <text>
        <r>
          <rPr>
            <b/>
            <sz val="9"/>
            <color indexed="81"/>
            <rFont val="Tahoma"/>
            <family val="2"/>
          </rPr>
          <t>StanZ:</t>
        </r>
        <r>
          <rPr>
            <sz val="9"/>
            <color indexed="81"/>
            <rFont val="Tahoma"/>
            <family val="2"/>
          </rPr>
          <t xml:space="preserve">
Missing FY12 deferred (not reported) so can't calculate billings</t>
        </r>
      </text>
    </comment>
    <comment ref="EG334" authorId="8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507M reported</t>
        </r>
      </text>
    </comment>
    <comment ref="EM334" authorId="8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668M reported</t>
        </r>
      </text>
    </comment>
    <comment ref="EM336" authorId="8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32% reported growth</t>
        </r>
      </text>
    </comment>
    <comment ref="EU355" authorId="9">
      <text>
        <r>
          <rPr>
            <b/>
            <sz val="9"/>
            <color indexed="81"/>
            <rFont val="Tahoma"/>
            <family val="2"/>
          </rPr>
          <t>Zlotsky, Stan (Research):</t>
        </r>
        <r>
          <rPr>
            <sz val="9"/>
            <color indexed="81"/>
            <rFont val="Tahoma"/>
            <family val="2"/>
          </rPr>
          <t xml:space="preserve">
Will stop discussing Gross Billings after Q4</t>
        </r>
      </text>
    </comment>
    <comment ref="ER361" authorId="9">
      <text>
        <r>
          <rPr>
            <b/>
            <sz val="9"/>
            <color indexed="81"/>
            <rFont val="Tahoma"/>
            <family val="2"/>
          </rPr>
          <t>Zlotsky, Stan (Research):</t>
        </r>
        <r>
          <rPr>
            <sz val="9"/>
            <color indexed="81"/>
            <rFont val="Tahoma"/>
            <family val="2"/>
          </rPr>
          <t xml:space="preserve">
$45M reported and then backing out $235M from NetSuite consolidation accounting</t>
        </r>
      </text>
    </comment>
    <comment ref="A426" authorId="5">
      <text>
        <r>
          <rPr>
            <b/>
            <sz val="8"/>
            <color indexed="81"/>
            <rFont val="Tahoma"/>
            <family val="2"/>
          </rPr>
          <t>Andy White:</t>
        </r>
        <r>
          <rPr>
            <sz val="8"/>
            <color indexed="81"/>
            <rFont val="Tahoma"/>
            <family val="2"/>
          </rPr>
          <t xml:space="preserve">
Guidance shown for 4Q04 was given post 3Q03.</t>
        </r>
      </text>
    </comment>
    <comment ref="BY429" authorId="5">
      <text>
        <r>
          <rPr>
            <b/>
            <sz val="8"/>
            <color indexed="81"/>
            <rFont val="Tahoma"/>
            <family val="2"/>
          </rPr>
          <t>Andy White:</t>
        </r>
        <r>
          <rPr>
            <sz val="8"/>
            <color indexed="81"/>
            <rFont val="Tahoma"/>
            <family val="2"/>
          </rPr>
          <t xml:space="preserve">
Excludes PSFT</t>
        </r>
      </text>
    </comment>
    <comment ref="EG429" authorId="6">
      <text>
        <r>
          <rPr>
            <b/>
            <sz val="9"/>
            <color indexed="81"/>
            <rFont val="Tahoma"/>
            <family val="2"/>
          </rPr>
          <t>StanZ:</t>
        </r>
        <r>
          <rPr>
            <sz val="9"/>
            <color indexed="81"/>
            <rFont val="Tahoma"/>
            <family val="2"/>
          </rPr>
          <t xml:space="preserve">
guided in CC, expect 4% FX headwind</t>
        </r>
      </text>
    </comment>
    <comment ref="EH429" authorId="6">
      <text>
        <r>
          <rPr>
            <b/>
            <sz val="9"/>
            <color indexed="81"/>
            <rFont val="Tahoma"/>
            <family val="2"/>
          </rPr>
          <t>StanZ:</t>
        </r>
        <r>
          <rPr>
            <sz val="9"/>
            <color indexed="81"/>
            <rFont val="Tahoma"/>
            <family val="2"/>
          </rPr>
          <t xml:space="preserve">
guided in CC; we expect 10% FX headwind</t>
        </r>
      </text>
    </comment>
    <comment ref="EK429" authorId="6">
      <text>
        <r>
          <rPr>
            <sz val="9"/>
            <color indexed="81"/>
            <rFont val="Tahoma"/>
            <family val="2"/>
          </rPr>
          <t>guided in CC; we expect 8% FX headwind</t>
        </r>
      </text>
    </comment>
    <comment ref="EL429" authorId="6">
      <text>
        <r>
          <rPr>
            <sz val="9"/>
            <color indexed="81"/>
            <rFont val="Tahoma"/>
            <family val="2"/>
          </rPr>
          <t>guided YoY Growth of -2% to +1% in CC; expect 6% FX headwind</t>
        </r>
      </text>
    </comment>
    <comment ref="EM429" authorId="6">
      <text>
        <r>
          <rPr>
            <sz val="9"/>
            <color indexed="81"/>
            <rFont val="Tahoma"/>
            <family val="2"/>
          </rPr>
          <t>guided YoY Growth of 0% to +3% in CC; expect 4% FX headwind</t>
        </r>
      </text>
    </comment>
    <comment ref="EN429" authorId="6">
      <text>
        <r>
          <rPr>
            <b/>
            <sz val="9"/>
            <color indexed="81"/>
            <rFont val="Tahoma"/>
            <family val="2"/>
          </rPr>
          <t xml:space="preserve">2Q16: </t>
        </r>
        <r>
          <rPr>
            <sz val="9"/>
            <color indexed="81"/>
            <rFont val="Tahoma"/>
            <family val="2"/>
          </rPr>
          <t xml:space="preserve">1-3% CC growth (2% FX impact)
</t>
        </r>
        <r>
          <rPr>
            <b/>
            <sz val="9"/>
            <color indexed="81"/>
            <rFont val="Tahoma"/>
            <family val="2"/>
          </rPr>
          <t xml:space="preserve">3Q16: </t>
        </r>
        <r>
          <rPr>
            <sz val="9"/>
            <color indexed="81"/>
            <rFont val="Tahoma"/>
            <family val="2"/>
          </rPr>
          <t>(2)-1% CC growth (2% FX impact)</t>
        </r>
      </text>
    </comment>
    <comment ref="ES429" authorId="6">
      <text>
        <r>
          <rPr>
            <sz val="9"/>
            <color indexed="81"/>
            <rFont val="Tahoma"/>
            <family val="2"/>
          </rPr>
          <t>guided YoY Growth of 0% to +3% in CC; expect 1% FX headwind</t>
        </r>
      </text>
    </comment>
    <comment ref="ET429" authorId="10">
      <text>
        <r>
          <rPr>
            <b/>
            <sz val="9"/>
            <color indexed="81"/>
            <rFont val="Tahoma"/>
            <family val="2"/>
          </rPr>
          <t>Weiss, Keith (Research):</t>
        </r>
        <r>
          <rPr>
            <sz val="9"/>
            <color indexed="81"/>
            <rFont val="Tahoma"/>
            <family val="2"/>
          </rPr>
          <t xml:space="preserve">
Total revenue growth (1%) to +2%
FX Impact (2%)</t>
        </r>
      </text>
    </comment>
    <comment ref="EX429" authorId="8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constant curency, 2pt positive YoY tailwind from FX</t>
        </r>
      </text>
    </comment>
    <comment ref="EY429" authorId="1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3% FX Benefit</t>
        </r>
      </text>
    </comment>
    <comment ref="EZ429" authorId="1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3% FX Benefit</t>
        </r>
      </text>
    </comment>
    <comment ref="BY430" authorId="5">
      <text>
        <r>
          <rPr>
            <b/>
            <sz val="8"/>
            <color indexed="81"/>
            <rFont val="Tahoma"/>
            <family val="2"/>
          </rPr>
          <t>Andy White:</t>
        </r>
        <r>
          <rPr>
            <sz val="8"/>
            <color indexed="81"/>
            <rFont val="Tahoma"/>
            <family val="2"/>
          </rPr>
          <t xml:space="preserve">
Excludes PSFT</t>
        </r>
      </text>
    </comment>
    <comment ref="EK430" authorId="6">
      <text>
        <r>
          <rPr>
            <sz val="9"/>
            <color indexed="81"/>
            <rFont val="Tahoma"/>
            <family val="2"/>
          </rPr>
          <t>guided in CC; we expect 8% FX headwind</t>
        </r>
      </text>
    </comment>
    <comment ref="EL430" authorId="6">
      <text>
        <r>
          <rPr>
            <sz val="9"/>
            <color indexed="81"/>
            <rFont val="Tahoma"/>
            <family val="2"/>
          </rPr>
          <t>guided YoY Growth of -2% to +1% in CC; expect 6% FX headwind</t>
        </r>
      </text>
    </comment>
    <comment ref="EM430" authorId="6">
      <text>
        <r>
          <rPr>
            <sz val="9"/>
            <color indexed="81"/>
            <rFont val="Tahoma"/>
            <family val="2"/>
          </rPr>
          <t>guided YoY Growth of 0% to +3% in CC; expect 4% FX headwind</t>
        </r>
      </text>
    </comment>
    <comment ref="EN430" authorId="6">
      <text>
        <r>
          <rPr>
            <b/>
            <sz val="9"/>
            <color indexed="81"/>
            <rFont val="Tahoma"/>
            <family val="2"/>
          </rPr>
          <t>2Q16</t>
        </r>
        <r>
          <rPr>
            <sz val="9"/>
            <color indexed="81"/>
            <rFont val="Tahoma"/>
            <family val="2"/>
          </rPr>
          <t xml:space="preserve">: 1-3% CC growth (2% FX impact)
</t>
        </r>
        <r>
          <rPr>
            <b/>
            <sz val="9"/>
            <color indexed="81"/>
            <rFont val="Tahoma"/>
            <family val="2"/>
          </rPr>
          <t>3Q16</t>
        </r>
        <r>
          <rPr>
            <sz val="9"/>
            <color indexed="81"/>
            <rFont val="Tahoma"/>
            <family val="2"/>
          </rPr>
          <t>: (2)-1% CC growth (2% FX impact)</t>
        </r>
      </text>
    </comment>
    <comment ref="ES430" authorId="6">
      <text>
        <r>
          <rPr>
            <sz val="9"/>
            <color indexed="81"/>
            <rFont val="Tahoma"/>
            <family val="2"/>
          </rPr>
          <t>guided YoY Growth of 0% to +3% in CC; expect 1% FX headwind</t>
        </r>
      </text>
    </comment>
    <comment ref="EY430" authorId="1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3% FX Benefit</t>
        </r>
      </text>
    </comment>
    <comment ref="EZ430" authorId="1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3% FX Benefit</t>
        </r>
      </text>
    </comment>
    <comment ref="EN431" authorId="8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midpoint of $10,450M</t>
        </r>
      </text>
    </comment>
    <comment ref="EH457" authorId="6">
      <text>
        <r>
          <rPr>
            <b/>
            <sz val="9"/>
            <color indexed="81"/>
            <rFont val="Tahoma"/>
            <family val="2"/>
          </rPr>
          <t>StanZ:</t>
        </r>
        <r>
          <rPr>
            <sz val="9"/>
            <color indexed="81"/>
            <rFont val="Tahoma"/>
            <family val="2"/>
          </rPr>
          <t xml:space="preserve">
assuming 6% FX headwind rather than 10% for total revenue because of US-centric rev</t>
        </r>
      </text>
    </comment>
    <comment ref="EY457" authorId="1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3% FX Benefit</t>
        </r>
      </text>
    </comment>
    <comment ref="EZ457" authorId="1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2% FX Benefit</t>
        </r>
      </text>
    </comment>
    <comment ref="EY458" authorId="1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3% FX Benefit</t>
        </r>
      </text>
    </comment>
    <comment ref="EZ458" authorId="1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2% FX Benefit</t>
        </r>
      </text>
    </comment>
    <comment ref="EN459" authorId="8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midpoint of $660M</t>
        </r>
      </text>
    </comment>
    <comment ref="EH464" authorId="6">
      <text>
        <r>
          <rPr>
            <b/>
            <sz val="9"/>
            <color indexed="81"/>
            <rFont val="Tahoma"/>
            <family val="2"/>
          </rPr>
          <t>StanZ:</t>
        </r>
        <r>
          <rPr>
            <sz val="9"/>
            <color indexed="81"/>
            <rFont val="Tahoma"/>
            <family val="2"/>
          </rPr>
          <t xml:space="preserve">
assuming 6% FX headwind rather than 10% for total revenue because of US-centric rev</t>
        </r>
      </text>
    </comment>
    <comment ref="EN466" authorId="8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midpoint of $660M</t>
        </r>
      </text>
    </comment>
    <comment ref="EH471" authorId="6">
      <text>
        <r>
          <rPr>
            <b/>
            <sz val="9"/>
            <color indexed="81"/>
            <rFont val="Tahoma"/>
            <family val="2"/>
          </rPr>
          <t>StanZ:</t>
        </r>
        <r>
          <rPr>
            <sz val="9"/>
            <color indexed="81"/>
            <rFont val="Tahoma"/>
            <family val="2"/>
          </rPr>
          <t xml:space="preserve">
assuming 6% FX headwind rather than 10% for total revenue because of US-centric rev</t>
        </r>
      </text>
    </comment>
    <comment ref="BY478" authorId="5">
      <text>
        <r>
          <rPr>
            <b/>
            <sz val="8"/>
            <color indexed="81"/>
            <rFont val="Tahoma"/>
            <family val="2"/>
          </rPr>
          <t>Andy White:</t>
        </r>
        <r>
          <rPr>
            <sz val="8"/>
            <color indexed="81"/>
            <rFont val="Tahoma"/>
            <family val="2"/>
          </rPr>
          <t xml:space="preserve">
Excludes PSFT</t>
        </r>
      </text>
    </comment>
    <comment ref="BY479" authorId="5">
      <text>
        <r>
          <rPr>
            <b/>
            <sz val="8"/>
            <color indexed="81"/>
            <rFont val="Tahoma"/>
            <family val="2"/>
          </rPr>
          <t>Andy White:</t>
        </r>
        <r>
          <rPr>
            <sz val="8"/>
            <color indexed="81"/>
            <rFont val="Tahoma"/>
            <family val="2"/>
          </rPr>
          <t xml:space="preserve">
Excludes PSFT</t>
        </r>
      </text>
    </comment>
    <comment ref="DV480" authorId="6">
      <text>
        <r>
          <rPr>
            <b/>
            <sz val="9"/>
            <color indexed="81"/>
            <rFont val="Tahoma"/>
            <family val="2"/>
          </rPr>
          <t>StanZ:</t>
        </r>
        <r>
          <rPr>
            <sz val="9"/>
            <color indexed="81"/>
            <rFont val="Tahoma"/>
            <family val="2"/>
          </rPr>
          <t xml:space="preserve">
Removed IaaS revenue for comparability</t>
        </r>
      </text>
    </comment>
    <comment ref="EB480" authorId="6">
      <text>
        <r>
          <rPr>
            <b/>
            <sz val="9"/>
            <color indexed="81"/>
            <rFont val="Tahoma"/>
            <family val="2"/>
          </rPr>
          <t>StanZ:</t>
        </r>
        <r>
          <rPr>
            <sz val="9"/>
            <color indexed="81"/>
            <rFont val="Tahoma"/>
            <family val="2"/>
          </rPr>
          <t xml:space="preserve">
Removed IaaS revenue for comparability</t>
        </r>
      </text>
    </comment>
    <comment ref="BY485" authorId="5">
      <text>
        <r>
          <rPr>
            <b/>
            <sz val="8"/>
            <color indexed="81"/>
            <rFont val="Tahoma"/>
            <family val="2"/>
          </rPr>
          <t>Andy White:</t>
        </r>
        <r>
          <rPr>
            <sz val="8"/>
            <color indexed="81"/>
            <rFont val="Tahoma"/>
            <family val="2"/>
          </rPr>
          <t xml:space="preserve">
Excludes PSFT</t>
        </r>
      </text>
    </comment>
    <comment ref="EK485" authorId="1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CC</t>
        </r>
      </text>
    </comment>
    <comment ref="EL485" authorId="1">
      <text>
        <r>
          <rPr>
            <sz val="9"/>
            <color indexed="81"/>
            <rFont val="Tahoma"/>
            <family val="2"/>
          </rPr>
          <t>Guided $0.63 to $0.66 In constant currency, with expected ($0.05) FX impact</t>
        </r>
      </text>
    </comment>
    <comment ref="EM485" authorId="1">
      <text>
        <r>
          <rPr>
            <sz val="9"/>
            <color indexed="81"/>
            <rFont val="Tahoma"/>
            <family val="2"/>
          </rPr>
          <t>Guided $0.63 to $0.66 In constant currency, with expected ($0.03) FX impact</t>
        </r>
      </text>
    </comment>
    <comment ref="EN485" authorId="1">
      <text>
        <r>
          <rPr>
            <b/>
            <sz val="9"/>
            <color indexed="81"/>
            <rFont val="Tahoma"/>
            <family val="2"/>
          </rPr>
          <t>2Q16:</t>
        </r>
        <r>
          <rPr>
            <sz val="9"/>
            <color indexed="81"/>
            <rFont val="Tahoma"/>
            <family val="2"/>
          </rPr>
          <t xml:space="preserve"> $0.83-$0.86 CC</t>
        </r>
        <r>
          <rPr>
            <b/>
            <sz val="9"/>
            <color indexed="81"/>
            <rFont val="Tahoma"/>
            <family val="2"/>
          </rPr>
          <t xml:space="preserve">
3Q16: </t>
        </r>
        <r>
          <rPr>
            <sz val="9"/>
            <color indexed="81"/>
            <rFont val="Tahoma"/>
            <family val="2"/>
          </rPr>
          <t>Guided $0.82 to $0.85 In constant currency, with expected ($0.02) FX impact</t>
        </r>
      </text>
    </comment>
    <comment ref="ES485" authorId="1">
      <text>
        <r>
          <rPr>
            <sz val="9"/>
            <color indexed="81"/>
            <rFont val="Tahoma"/>
            <family val="2"/>
          </rPr>
          <t>Guided $0.61 to $0.64 In constant currency, with expected ($0.01) FX impact</t>
        </r>
      </text>
    </comment>
    <comment ref="ET485" authorId="1">
      <text>
        <r>
          <rPr>
            <b/>
            <sz val="9"/>
            <color indexed="81"/>
            <rFont val="Tahoma"/>
            <family val="2"/>
          </rPr>
          <t xml:space="preserve">3Q16: </t>
        </r>
        <r>
          <rPr>
            <sz val="9"/>
            <color indexed="81"/>
            <rFont val="Tahoma"/>
            <family val="2"/>
          </rPr>
          <t>Guided $0.78 to $0.82 In constant currency, with expected ($0.02) FX impact</t>
        </r>
      </text>
    </comment>
    <comment ref="EX485" authorId="8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0.64 CC</t>
        </r>
      </text>
    </comment>
    <comment ref="BY486" authorId="5">
      <text>
        <r>
          <rPr>
            <b/>
            <sz val="8"/>
            <color indexed="81"/>
            <rFont val="Tahoma"/>
            <family val="2"/>
          </rPr>
          <t>Andy White:</t>
        </r>
        <r>
          <rPr>
            <sz val="8"/>
            <color indexed="81"/>
            <rFont val="Tahoma"/>
            <family val="2"/>
          </rPr>
          <t xml:space="preserve">
Excludes PSFT</t>
        </r>
      </text>
    </comment>
    <comment ref="EK486" authorId="1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CC</t>
        </r>
      </text>
    </comment>
    <comment ref="EL486" authorId="1">
      <text>
        <r>
          <rPr>
            <sz val="9"/>
            <color indexed="81"/>
            <rFont val="Tahoma"/>
            <family val="2"/>
          </rPr>
          <t>Guided $0.63 to $0.66 In constant currency, with expected ($0.05) FX impact</t>
        </r>
      </text>
    </comment>
    <comment ref="EM486" authorId="1">
      <text>
        <r>
          <rPr>
            <sz val="9"/>
            <color indexed="81"/>
            <rFont val="Tahoma"/>
            <family val="2"/>
          </rPr>
          <t>Guided $0.63 to $0.66 In constant currency, with expected ($0.03) FX impact</t>
        </r>
      </text>
    </comment>
    <comment ref="EN486" authorId="1">
      <text>
        <r>
          <rPr>
            <sz val="9"/>
            <color indexed="81"/>
            <rFont val="Tahoma"/>
            <family val="2"/>
          </rPr>
          <t>2Q16: $0.83-$0.86 CC
3Q16: Guided $0.82 to $0.85 In constant currency, with expected ($0.02) FX impact</t>
        </r>
      </text>
    </comment>
    <comment ref="ES486" authorId="1">
      <text>
        <r>
          <rPr>
            <sz val="9"/>
            <color indexed="81"/>
            <rFont val="Tahoma"/>
            <family val="2"/>
          </rPr>
          <t>Guided $0.61 to $0.64 In constant currency, with expected ($0.01) FX impact</t>
        </r>
      </text>
    </comment>
    <comment ref="ET486" authorId="1">
      <text>
        <r>
          <rPr>
            <b/>
            <sz val="9"/>
            <color indexed="81"/>
            <rFont val="Tahoma"/>
            <family val="2"/>
          </rPr>
          <t xml:space="preserve">3Q16: </t>
        </r>
        <r>
          <rPr>
            <sz val="9"/>
            <color indexed="81"/>
            <rFont val="Tahoma"/>
            <family val="2"/>
          </rPr>
          <t>Guided $0.78 to $0.82 In constant currency, with expected ($0.02) FX impact</t>
        </r>
      </text>
    </comment>
    <comment ref="EX486" authorId="8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0.68 CC</t>
        </r>
      </text>
    </comment>
    <comment ref="BY492" authorId="5">
      <text>
        <r>
          <rPr>
            <b/>
            <sz val="8"/>
            <color indexed="81"/>
            <rFont val="Tahoma"/>
            <family val="2"/>
          </rPr>
          <t>Andy White:</t>
        </r>
        <r>
          <rPr>
            <sz val="8"/>
            <color indexed="81"/>
            <rFont val="Tahoma"/>
            <family val="2"/>
          </rPr>
          <t xml:space="preserve">
Excludes PSFT</t>
        </r>
      </text>
    </comment>
    <comment ref="BY493" authorId="5">
      <text>
        <r>
          <rPr>
            <b/>
            <sz val="8"/>
            <color indexed="81"/>
            <rFont val="Tahoma"/>
            <family val="2"/>
          </rPr>
          <t>Andy White:</t>
        </r>
        <r>
          <rPr>
            <sz val="8"/>
            <color indexed="81"/>
            <rFont val="Tahoma"/>
            <family val="2"/>
          </rPr>
          <t xml:space="preserve">
Excludes PSFT</t>
        </r>
      </text>
    </comment>
    <comment ref="BY497" authorId="5">
      <text>
        <r>
          <rPr>
            <b/>
            <sz val="8"/>
            <color indexed="81"/>
            <rFont val="Tahoma"/>
            <family val="2"/>
          </rPr>
          <t>Andy White:</t>
        </r>
        <r>
          <rPr>
            <sz val="8"/>
            <color indexed="81"/>
            <rFont val="Tahoma"/>
            <family val="2"/>
          </rPr>
          <t xml:space="preserve">
Excludes PSFT</t>
        </r>
      </text>
    </comment>
    <comment ref="BY498" authorId="5">
      <text>
        <r>
          <rPr>
            <b/>
            <sz val="8"/>
            <color indexed="81"/>
            <rFont val="Tahoma"/>
            <family val="2"/>
          </rPr>
          <t>Andy White:</t>
        </r>
        <r>
          <rPr>
            <sz val="8"/>
            <color indexed="81"/>
            <rFont val="Tahoma"/>
            <family val="2"/>
          </rPr>
          <t xml:space="preserve">
Excludes PSFT</t>
        </r>
      </text>
    </comment>
    <comment ref="CC502" authorId="2">
      <text>
        <r>
          <rPr>
            <b/>
            <sz val="8"/>
            <color indexed="81"/>
            <rFont val="Tahoma"/>
            <family val="2"/>
          </rPr>
          <t>Andrew White:</t>
        </r>
        <r>
          <rPr>
            <sz val="8"/>
            <color indexed="81"/>
            <rFont val="Tahoma"/>
            <family val="2"/>
          </rPr>
          <t xml:space="preserve">
don't expect FY2006 tax rate to exceed F2005 effective rate of 29.4%.. but F2005 effective tax rate actually 28.7%</t>
        </r>
      </text>
    </comment>
    <comment ref="DM502" authorId="11">
      <text>
        <r>
          <rPr>
            <b/>
            <sz val="8"/>
            <color indexed="81"/>
            <rFont val="Tahoma"/>
            <family val="2"/>
          </rPr>
          <t>wukelv:</t>
        </r>
        <r>
          <rPr>
            <sz val="8"/>
            <color indexed="81"/>
            <rFont val="Tahoma"/>
            <family val="2"/>
          </rPr>
          <t xml:space="preserve">
29% GAAP tax rate</t>
        </r>
      </text>
    </comment>
    <comment ref="DD506" authorId="11">
      <text>
        <r>
          <rPr>
            <b/>
            <sz val="8"/>
            <color indexed="81"/>
            <rFont val="Tahoma"/>
            <family val="2"/>
          </rPr>
          <t>wukelv:</t>
        </r>
        <r>
          <rPr>
            <sz val="8"/>
            <color indexed="81"/>
            <rFont val="Tahoma"/>
            <family val="2"/>
          </rPr>
          <t xml:space="preserve">
3% FX impact on license growth, 4% impact on total revenue growth.</t>
        </r>
      </text>
    </comment>
    <comment ref="DG506" authorId="11">
      <text>
        <r>
          <rPr>
            <b/>
            <sz val="8"/>
            <color indexed="81"/>
            <rFont val="Tahoma"/>
            <family val="2"/>
          </rPr>
          <t>wukelv:</t>
        </r>
        <r>
          <rPr>
            <sz val="8"/>
            <color indexed="81"/>
            <rFont val="Tahoma"/>
            <family val="2"/>
          </rPr>
          <t xml:space="preserve">
-2% FX impact on license growth, -3% impact on total revenue growth.</t>
        </r>
      </text>
    </comment>
    <comment ref="DH506" authorId="11">
      <text>
        <r>
          <rPr>
            <b/>
            <sz val="8"/>
            <color indexed="81"/>
            <rFont val="Tahoma"/>
            <family val="2"/>
          </rPr>
          <t>wukelv:</t>
        </r>
        <r>
          <rPr>
            <sz val="8"/>
            <color indexed="81"/>
            <rFont val="Tahoma"/>
            <family val="2"/>
          </rPr>
          <t xml:space="preserve">
-3% FX impact on license growth, -4% impact on total revenue growth.</t>
        </r>
      </text>
    </comment>
    <comment ref="EN509" authorId="1">
      <text>
        <r>
          <rPr>
            <sz val="9"/>
            <color indexed="81"/>
            <rFont val="Tahoma"/>
            <family val="2"/>
          </rPr>
          <t>SaaS and PaaS grossmargins are expected to materially improve in the second half and exit the year at around 55-60%</t>
        </r>
      </text>
    </comment>
    <comment ref="CC534" authorId="2">
      <text>
        <r>
          <rPr>
            <b/>
            <sz val="8"/>
            <color indexed="81"/>
            <rFont val="Tahoma"/>
            <family val="2"/>
          </rPr>
          <t>Andrew White:</t>
        </r>
        <r>
          <rPr>
            <sz val="8"/>
            <color indexed="81"/>
            <rFont val="Tahoma"/>
            <family val="2"/>
          </rPr>
          <t xml:space="preserve">
don't expect FY2006 tax rate to exceed F2005 effective rate of 29.4%.. but F2005 effective tax rate actually 28.7%</t>
        </r>
      </text>
    </comment>
    <comment ref="CA550" authorId="2">
      <text>
        <r>
          <rPr>
            <b/>
            <sz val="8"/>
            <color indexed="81"/>
            <rFont val="Tahoma"/>
            <family val="2"/>
          </rPr>
          <t>Andrew White:</t>
        </r>
        <r>
          <rPr>
            <sz val="8"/>
            <color indexed="81"/>
            <rFont val="Tahoma"/>
            <family val="2"/>
          </rPr>
          <t xml:space="preserve">
Reclassified certain costs - I have not restated due to the fact that we couldn't square the interim periods.</t>
        </r>
      </text>
    </comment>
    <comment ref="CW566" authorId="11">
      <text>
        <r>
          <rPr>
            <b/>
            <sz val="8"/>
            <color indexed="81"/>
            <rFont val="Tahoma"/>
            <family val="2"/>
          </rPr>
          <t>wukelv:</t>
        </r>
        <r>
          <rPr>
            <sz val="8"/>
            <color indexed="81"/>
            <rFont val="Tahoma"/>
            <family val="2"/>
          </rPr>
          <t xml:space="preserve">
Dummy values for margin contribution analysis
</t>
        </r>
      </text>
    </comment>
    <comment ref="CX566" authorId="11">
      <text>
        <r>
          <rPr>
            <b/>
            <sz val="8"/>
            <color indexed="81"/>
            <rFont val="Tahoma"/>
            <family val="2"/>
          </rPr>
          <t>wukelv:</t>
        </r>
        <r>
          <rPr>
            <sz val="8"/>
            <color indexed="81"/>
            <rFont val="Tahoma"/>
            <family val="2"/>
          </rPr>
          <t xml:space="preserve">
Dummy values for margin contribution analysis
</t>
        </r>
      </text>
    </comment>
    <comment ref="CY566" authorId="11">
      <text>
        <r>
          <rPr>
            <b/>
            <sz val="8"/>
            <color indexed="81"/>
            <rFont val="Tahoma"/>
            <family val="2"/>
          </rPr>
          <t>wukelv:</t>
        </r>
        <r>
          <rPr>
            <sz val="8"/>
            <color indexed="81"/>
            <rFont val="Tahoma"/>
            <family val="2"/>
          </rPr>
          <t xml:space="preserve">
Dummy values for margin contribution analysis
</t>
        </r>
      </text>
    </comment>
    <comment ref="DA566" authorId="11">
      <text>
        <r>
          <rPr>
            <b/>
            <sz val="8"/>
            <color indexed="81"/>
            <rFont val="Tahoma"/>
            <family val="2"/>
          </rPr>
          <t>wukelv:</t>
        </r>
        <r>
          <rPr>
            <sz val="8"/>
            <color indexed="81"/>
            <rFont val="Tahoma"/>
            <family val="2"/>
          </rPr>
          <t xml:space="preserve">
Dummy values for margin contribution analysis
</t>
        </r>
      </text>
    </comment>
    <comment ref="DB566" authorId="11">
      <text>
        <r>
          <rPr>
            <b/>
            <sz val="8"/>
            <color indexed="81"/>
            <rFont val="Tahoma"/>
            <family val="2"/>
          </rPr>
          <t>wukelv:</t>
        </r>
        <r>
          <rPr>
            <sz val="8"/>
            <color indexed="81"/>
            <rFont val="Tahoma"/>
            <family val="2"/>
          </rPr>
          <t xml:space="preserve">
Dummy values for margin contribution analysis
</t>
        </r>
      </text>
    </comment>
    <comment ref="EW582" authorId="8">
      <text>
        <r>
          <rPr>
            <b/>
            <sz val="9"/>
            <color indexed="81"/>
            <rFont val="Tahoma"/>
            <family val="2"/>
          </rPr>
          <t>Fodderwala, Hamza (Research):</t>
        </r>
        <r>
          <rPr>
            <sz val="9"/>
            <color indexed="81"/>
            <rFont val="Tahoma"/>
            <family val="2"/>
          </rPr>
          <t xml:space="preserve">
excl. sales &amp; distribution exp</t>
        </r>
      </text>
    </comment>
    <comment ref="DH611" authorId="11">
      <text>
        <r>
          <rPr>
            <b/>
            <sz val="8"/>
            <color indexed="81"/>
            <rFont val="Tahoma"/>
            <family val="2"/>
          </rPr>
          <t>wukelv:</t>
        </r>
        <r>
          <rPr>
            <sz val="8"/>
            <color indexed="81"/>
            <rFont val="Tahoma"/>
            <family val="2"/>
          </rPr>
          <t xml:space="preserve">
Adjust for $120</t>
        </r>
      </text>
    </comment>
    <comment ref="DC675" authorId="11">
      <text>
        <r>
          <rPr>
            <b/>
            <sz val="8"/>
            <color indexed="81"/>
            <rFont val="Tahoma"/>
            <family val="2"/>
          </rPr>
          <t>wukelv:</t>
        </r>
        <r>
          <rPr>
            <sz val="8"/>
            <color indexed="81"/>
            <rFont val="Tahoma"/>
            <family val="2"/>
          </rPr>
          <t xml:space="preserve">
Excluding Hardware Products and Hardware Support</t>
        </r>
      </text>
    </comment>
    <comment ref="DG675" authorId="11">
      <text>
        <r>
          <rPr>
            <b/>
            <sz val="8"/>
            <color indexed="81"/>
            <rFont val="Tahoma"/>
            <family val="2"/>
          </rPr>
          <t>wukelv:</t>
        </r>
        <r>
          <rPr>
            <sz val="8"/>
            <color indexed="81"/>
            <rFont val="Tahoma"/>
            <family val="2"/>
          </rPr>
          <t xml:space="preserve">
Excluding Hardware Products and Hardware Support</t>
        </r>
      </text>
    </comment>
    <comment ref="DH675" authorId="11">
      <text>
        <r>
          <rPr>
            <b/>
            <sz val="8"/>
            <color indexed="81"/>
            <rFont val="Tahoma"/>
            <family val="2"/>
          </rPr>
          <t>wukelv:</t>
        </r>
        <r>
          <rPr>
            <sz val="8"/>
            <color indexed="81"/>
            <rFont val="Tahoma"/>
            <family val="2"/>
          </rPr>
          <t xml:space="preserve">
Excluding Hardware Products and Hardware Support</t>
        </r>
      </text>
    </comment>
    <comment ref="DM675" authorId="11">
      <text>
        <r>
          <rPr>
            <b/>
            <sz val="8"/>
            <color indexed="81"/>
            <rFont val="Tahoma"/>
            <family val="2"/>
          </rPr>
          <t>wukelv:</t>
        </r>
        <r>
          <rPr>
            <sz val="8"/>
            <color indexed="81"/>
            <rFont val="Tahoma"/>
            <family val="2"/>
          </rPr>
          <t xml:space="preserve">
Excluding Hardware Products and Hardware Support</t>
        </r>
      </text>
    </comment>
    <comment ref="DS675" authorId="11">
      <text>
        <r>
          <rPr>
            <b/>
            <sz val="8"/>
            <color indexed="81"/>
            <rFont val="Tahoma"/>
            <family val="2"/>
          </rPr>
          <t>wukelv:</t>
        </r>
        <r>
          <rPr>
            <sz val="8"/>
            <color indexed="81"/>
            <rFont val="Tahoma"/>
            <family val="2"/>
          </rPr>
          <t xml:space="preserve">
Excluding Hardware Products and Hardware Support</t>
        </r>
      </text>
    </comment>
    <comment ref="CA693" authorId="2">
      <text>
        <r>
          <rPr>
            <b/>
            <sz val="8"/>
            <color indexed="81"/>
            <rFont val="Tahoma"/>
            <family val="2"/>
          </rPr>
          <t>Andrew White:</t>
        </r>
        <r>
          <rPr>
            <sz val="8"/>
            <color indexed="81"/>
            <rFont val="Tahoma"/>
            <family val="2"/>
          </rPr>
          <t xml:space="preserve">
Reclassified certain costs - I have not restated due to the fact that we couldn't square the interim periods.</t>
        </r>
      </text>
    </comment>
  </commentList>
</comments>
</file>

<file path=xl/comments5.xml><?xml version="1.0" encoding="utf-8"?>
<comments xmlns="http://schemas.openxmlformats.org/spreadsheetml/2006/main">
  <authors>
    <author>Andy White</author>
    <author>StanZ</author>
    <author>Baer, Josh (Research)</author>
    <author>rossmac</author>
    <author>evan bloomberg</author>
    <author>kweiss</author>
  </authors>
  <commentList>
    <comment ref="BY12" authorId="0">
      <text>
        <r>
          <rPr>
            <b/>
            <sz val="8"/>
            <color indexed="81"/>
            <rFont val="Tahoma"/>
            <family val="2"/>
          </rPr>
          <t>Andy White:</t>
        </r>
        <r>
          <rPr>
            <sz val="8"/>
            <color indexed="81"/>
            <rFont val="Tahoma"/>
            <family val="2"/>
          </rPr>
          <t xml:space="preserve">
Estimated split of non GAAP revs.</t>
        </r>
      </text>
    </comment>
    <comment ref="BZ12" authorId="0">
      <text>
        <r>
          <rPr>
            <b/>
            <sz val="8"/>
            <color indexed="81"/>
            <rFont val="Tahoma"/>
            <family val="2"/>
          </rPr>
          <t>Andy White:</t>
        </r>
        <r>
          <rPr>
            <sz val="8"/>
            <color indexed="81"/>
            <rFont val="Tahoma"/>
            <family val="2"/>
          </rPr>
          <t xml:space="preserve">
Estimated split of non GAAP revs.</t>
        </r>
      </text>
    </comment>
    <comment ref="BY13" authorId="0">
      <text>
        <r>
          <rPr>
            <b/>
            <sz val="8"/>
            <color indexed="81"/>
            <rFont val="Tahoma"/>
            <family val="2"/>
          </rPr>
          <t>Andy White:</t>
        </r>
        <r>
          <rPr>
            <sz val="8"/>
            <color indexed="81"/>
            <rFont val="Tahoma"/>
            <family val="2"/>
          </rPr>
          <t xml:space="preserve">
Estimated split of non GAAP revs.</t>
        </r>
      </text>
    </comment>
    <comment ref="BZ13" authorId="0">
      <text>
        <r>
          <rPr>
            <b/>
            <sz val="8"/>
            <color indexed="81"/>
            <rFont val="Tahoma"/>
            <family val="2"/>
          </rPr>
          <t>Andy White:</t>
        </r>
        <r>
          <rPr>
            <sz val="8"/>
            <color indexed="81"/>
            <rFont val="Tahoma"/>
            <family val="2"/>
          </rPr>
          <t xml:space="preserve">
Estimated split of non GAAP revs.</t>
        </r>
      </text>
    </comment>
    <comment ref="BY14" authorId="0">
      <text>
        <r>
          <rPr>
            <b/>
            <sz val="8"/>
            <color indexed="81"/>
            <rFont val="Tahoma"/>
            <family val="2"/>
          </rPr>
          <t>Andy White:</t>
        </r>
        <r>
          <rPr>
            <sz val="8"/>
            <color indexed="81"/>
            <rFont val="Tahoma"/>
            <family val="2"/>
          </rPr>
          <t xml:space="preserve">
Estimated split of non GAAP revs.</t>
        </r>
      </text>
    </comment>
    <comment ref="BZ14" authorId="0">
      <text>
        <r>
          <rPr>
            <b/>
            <sz val="8"/>
            <color indexed="81"/>
            <rFont val="Tahoma"/>
            <family val="2"/>
          </rPr>
          <t>Andy White:</t>
        </r>
        <r>
          <rPr>
            <sz val="8"/>
            <color indexed="81"/>
            <rFont val="Tahoma"/>
            <family val="2"/>
          </rPr>
          <t xml:space="preserve">
Estimated split of non GAAP revs.</t>
        </r>
      </text>
    </comment>
    <comment ref="EE18" authorId="1">
      <text>
        <r>
          <rPr>
            <b/>
            <sz val="9"/>
            <color indexed="81"/>
            <rFont val="Tahoma"/>
            <family val="2"/>
          </rPr>
          <t>StanZ:</t>
        </r>
        <r>
          <rPr>
            <sz val="9"/>
            <color indexed="81"/>
            <rFont val="Tahoma"/>
            <family val="2"/>
          </rPr>
          <t xml:space="preserve">
From 10Q</t>
        </r>
      </text>
    </comment>
    <comment ref="EF18" authorId="1">
      <text>
        <r>
          <rPr>
            <b/>
            <sz val="9"/>
            <color indexed="81"/>
            <rFont val="Tahoma"/>
            <family val="2"/>
          </rPr>
          <t>StanZ:</t>
        </r>
        <r>
          <rPr>
            <sz val="9"/>
            <color indexed="81"/>
            <rFont val="Tahoma"/>
            <family val="2"/>
          </rPr>
          <t xml:space="preserve">
From 10Q</t>
        </r>
      </text>
    </comment>
    <comment ref="EG18" authorId="1">
      <text>
        <r>
          <rPr>
            <b/>
            <sz val="9"/>
            <color indexed="81"/>
            <rFont val="Tahoma"/>
            <family val="2"/>
          </rPr>
          <t>StanZ:</t>
        </r>
        <r>
          <rPr>
            <sz val="9"/>
            <color indexed="81"/>
            <rFont val="Tahoma"/>
            <family val="2"/>
          </rPr>
          <t xml:space="preserve">
From 10Q</t>
        </r>
      </text>
    </comment>
    <comment ref="EH18" authorId="1">
      <text>
        <r>
          <rPr>
            <b/>
            <sz val="9"/>
            <color indexed="81"/>
            <rFont val="Tahoma"/>
            <family val="2"/>
          </rPr>
          <t>StanZ:</t>
        </r>
        <r>
          <rPr>
            <sz val="9"/>
            <color indexed="81"/>
            <rFont val="Tahoma"/>
            <family val="2"/>
          </rPr>
          <t xml:space="preserve">
Our estimates; geo weighted. Actual historicals from 10Q are not geo weighted.</t>
        </r>
      </text>
    </comment>
    <comment ref="EI18" authorId="2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From 10K</t>
        </r>
      </text>
    </comment>
    <comment ref="EK18" authorId="1">
      <text>
        <r>
          <rPr>
            <b/>
            <sz val="9"/>
            <color indexed="81"/>
            <rFont val="Tahoma"/>
            <family val="2"/>
          </rPr>
          <t>StanZ:</t>
        </r>
        <r>
          <rPr>
            <sz val="9"/>
            <color indexed="81"/>
            <rFont val="Tahoma"/>
            <family val="2"/>
          </rPr>
          <t xml:space="preserve">
From 10Q</t>
        </r>
      </text>
    </comment>
    <comment ref="AG45" authorId="3">
      <text>
        <r>
          <rPr>
            <b/>
            <sz val="8"/>
            <color indexed="81"/>
            <rFont val="Tahoma"/>
            <family val="2"/>
          </rPr>
          <t>rossmac:</t>
        </r>
        <r>
          <rPr>
            <sz val="8"/>
            <color indexed="81"/>
            <rFont val="Tahoma"/>
            <family val="2"/>
          </rPr>
          <t xml:space="preserve">
These cells are consulting and education</t>
        </r>
      </text>
    </comment>
    <comment ref="AM45" authorId="3">
      <text>
        <r>
          <rPr>
            <b/>
            <sz val="8"/>
            <color indexed="81"/>
            <rFont val="Tahoma"/>
            <family val="2"/>
          </rPr>
          <t>rossmac:</t>
        </r>
        <r>
          <rPr>
            <sz val="8"/>
            <color indexed="81"/>
            <rFont val="Tahoma"/>
            <family val="2"/>
          </rPr>
          <t xml:space="preserve">
These cells are consulting and education</t>
        </r>
      </text>
    </comment>
    <comment ref="AS45" authorId="3">
      <text>
        <r>
          <rPr>
            <b/>
            <sz val="8"/>
            <color indexed="81"/>
            <rFont val="Tahoma"/>
            <family val="2"/>
          </rPr>
          <t>rossmac:</t>
        </r>
        <r>
          <rPr>
            <sz val="8"/>
            <color indexed="81"/>
            <rFont val="Tahoma"/>
            <family val="2"/>
          </rPr>
          <t xml:space="preserve">
These cells are consulting plus education</t>
        </r>
      </text>
    </comment>
    <comment ref="BQ61" authorId="4">
      <text>
        <r>
          <rPr>
            <b/>
            <sz val="8"/>
            <color indexed="81"/>
            <rFont val="Tahoma"/>
            <family val="2"/>
          </rPr>
          <t>evan bloomberg:</t>
        </r>
        <r>
          <rPr>
            <sz val="8"/>
            <color indexed="81"/>
            <rFont val="Tahoma"/>
            <family val="2"/>
          </rPr>
          <t xml:space="preserve">
Includes other as of F2004</t>
        </r>
      </text>
    </comment>
    <comment ref="BY62" authorId="0">
      <text>
        <r>
          <rPr>
            <b/>
            <sz val="8"/>
            <color indexed="81"/>
            <rFont val="Tahoma"/>
            <family val="2"/>
          </rPr>
          <t>Andy White:</t>
        </r>
        <r>
          <rPr>
            <sz val="8"/>
            <color indexed="81"/>
            <rFont val="Tahoma"/>
            <family val="2"/>
          </rPr>
          <t xml:space="preserve">
non GAAP
(they reported 15%)</t>
        </r>
      </text>
    </comment>
    <comment ref="BZ62" authorId="0">
      <text>
        <r>
          <rPr>
            <b/>
            <sz val="8"/>
            <color indexed="81"/>
            <rFont val="Tahoma"/>
            <family val="2"/>
          </rPr>
          <t>Andy White:</t>
        </r>
        <r>
          <rPr>
            <sz val="8"/>
            <color indexed="81"/>
            <rFont val="Tahoma"/>
            <family val="2"/>
          </rPr>
          <t xml:space="preserve">
non GAAP
(they reported 22%)</t>
        </r>
      </text>
    </comment>
    <comment ref="CA62" authorId="0">
      <text>
        <r>
          <rPr>
            <b/>
            <sz val="8"/>
            <color indexed="81"/>
            <rFont val="Tahoma"/>
            <family val="2"/>
          </rPr>
          <t>Andy White:</t>
        </r>
        <r>
          <rPr>
            <sz val="8"/>
            <color indexed="81"/>
            <rFont val="Tahoma"/>
            <family val="2"/>
          </rPr>
          <t xml:space="preserve">
non GAAP
(they reported 14%)</t>
        </r>
      </text>
    </comment>
    <comment ref="BY67" authorId="0">
      <text>
        <r>
          <rPr>
            <b/>
            <sz val="8"/>
            <color indexed="81"/>
            <rFont val="Tahoma"/>
            <family val="2"/>
          </rPr>
          <t>Andy White:</t>
        </r>
        <r>
          <rPr>
            <sz val="8"/>
            <color indexed="81"/>
            <rFont val="Tahoma"/>
            <family val="2"/>
          </rPr>
          <t xml:space="preserve">
non GAAP
(they reported 14%)</t>
        </r>
      </text>
    </comment>
    <comment ref="BZ67" authorId="0">
      <text>
        <r>
          <rPr>
            <b/>
            <sz val="8"/>
            <color indexed="81"/>
            <rFont val="Tahoma"/>
            <family val="2"/>
          </rPr>
          <t>Andy White:</t>
        </r>
        <r>
          <rPr>
            <sz val="8"/>
            <color indexed="81"/>
            <rFont val="Tahoma"/>
            <family val="2"/>
          </rPr>
          <t xml:space="preserve">
non GAAP
(they reported 23%)</t>
        </r>
      </text>
    </comment>
    <comment ref="CA67" authorId="0">
      <text>
        <r>
          <rPr>
            <b/>
            <sz val="8"/>
            <color indexed="81"/>
            <rFont val="Tahoma"/>
            <family val="2"/>
          </rPr>
          <t>Andy White:</t>
        </r>
        <r>
          <rPr>
            <sz val="8"/>
            <color indexed="81"/>
            <rFont val="Tahoma"/>
            <family val="2"/>
          </rPr>
          <t xml:space="preserve">
non GAAP
(they reported 12%)</t>
        </r>
      </text>
    </comment>
    <comment ref="BY138" authorId="0">
      <text>
        <r>
          <rPr>
            <b/>
            <sz val="8"/>
            <color indexed="81"/>
            <rFont val="Tahoma"/>
            <family val="2"/>
          </rPr>
          <t>Andy White:</t>
        </r>
        <r>
          <rPr>
            <sz val="8"/>
            <color indexed="81"/>
            <rFont val="Tahoma"/>
            <family val="2"/>
          </rPr>
          <t xml:space="preserve">
includes non GAAP revs.</t>
        </r>
      </text>
    </comment>
    <comment ref="BZ138" authorId="0">
      <text>
        <r>
          <rPr>
            <b/>
            <sz val="8"/>
            <color indexed="81"/>
            <rFont val="Tahoma"/>
            <family val="2"/>
          </rPr>
          <t>Andy White:</t>
        </r>
        <r>
          <rPr>
            <sz val="8"/>
            <color indexed="81"/>
            <rFont val="Tahoma"/>
            <family val="2"/>
          </rPr>
          <t xml:space="preserve">
includes non GAAP revs.</t>
        </r>
      </text>
    </comment>
    <comment ref="CC138" authorId="0">
      <text>
        <r>
          <rPr>
            <b/>
            <sz val="8"/>
            <color indexed="81"/>
            <rFont val="Tahoma"/>
            <family val="2"/>
          </rPr>
          <t>Andy White:</t>
        </r>
        <r>
          <rPr>
            <sz val="8"/>
            <color indexed="81"/>
            <rFont val="Tahoma"/>
            <family val="2"/>
          </rPr>
          <t xml:space="preserve">
includes non GAAP revs.</t>
        </r>
      </text>
    </comment>
    <comment ref="CD138" authorId="0">
      <text>
        <r>
          <rPr>
            <b/>
            <sz val="8"/>
            <color indexed="81"/>
            <rFont val="Tahoma"/>
            <family val="2"/>
          </rPr>
          <t>Andy White:</t>
        </r>
        <r>
          <rPr>
            <sz val="8"/>
            <color indexed="81"/>
            <rFont val="Tahoma"/>
            <family val="2"/>
          </rPr>
          <t xml:space="preserve">
includes non GAAP revs.</t>
        </r>
      </text>
    </comment>
    <comment ref="CE138" authorId="5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adds back def. maint
</t>
        </r>
      </text>
    </comment>
    <comment ref="CF138" authorId="5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adds back def. maint
</t>
        </r>
      </text>
    </comment>
    <comment ref="CI138" authorId="5">
      <text>
        <r>
          <rPr>
            <b/>
            <sz val="8"/>
            <color indexed="81"/>
            <rFont val="Tahoma"/>
            <family val="2"/>
          </rPr>
          <t>kweiss:</t>
        </r>
        <r>
          <rPr>
            <sz val="8"/>
            <color indexed="81"/>
            <rFont val="Tahoma"/>
            <family val="2"/>
          </rPr>
          <t xml:space="preserve">
adds back def maint</t>
        </r>
      </text>
    </comment>
    <comment ref="AG139" authorId="3">
      <text>
        <r>
          <rPr>
            <b/>
            <sz val="8"/>
            <color indexed="81"/>
            <rFont val="Tahoma"/>
            <family val="2"/>
          </rPr>
          <t>rossmac:</t>
        </r>
        <r>
          <rPr>
            <sz val="8"/>
            <color indexed="81"/>
            <rFont val="Tahoma"/>
            <family val="2"/>
          </rPr>
          <t xml:space="preserve">
This includes support and service</t>
        </r>
      </text>
    </comment>
    <comment ref="AM139" authorId="3">
      <text>
        <r>
          <rPr>
            <b/>
            <sz val="8"/>
            <color indexed="81"/>
            <rFont val="Tahoma"/>
            <family val="2"/>
          </rPr>
          <t>rossmac:</t>
        </r>
        <r>
          <rPr>
            <sz val="8"/>
            <color indexed="81"/>
            <rFont val="Tahoma"/>
            <family val="2"/>
          </rPr>
          <t xml:space="preserve">
This includes support and service</t>
        </r>
      </text>
    </comment>
    <comment ref="AS139" authorId="3">
      <text>
        <r>
          <rPr>
            <b/>
            <sz val="8"/>
            <color indexed="81"/>
            <rFont val="Tahoma"/>
            <family val="2"/>
          </rPr>
          <t>rossmac:</t>
        </r>
        <r>
          <rPr>
            <sz val="8"/>
            <color indexed="81"/>
            <rFont val="Tahoma"/>
            <family val="2"/>
          </rPr>
          <t xml:space="preserve">
This includes support and service</t>
        </r>
      </text>
    </comment>
    <comment ref="BY148" authorId="0">
      <text>
        <r>
          <rPr>
            <b/>
            <sz val="8"/>
            <color indexed="81"/>
            <rFont val="Tahoma"/>
            <family val="2"/>
          </rPr>
          <t>Andy White:</t>
        </r>
        <r>
          <rPr>
            <sz val="8"/>
            <color indexed="81"/>
            <rFont val="Tahoma"/>
            <family val="2"/>
          </rPr>
          <t xml:space="preserve">
non GAAP
</t>
        </r>
      </text>
    </comment>
    <comment ref="BZ148" authorId="0">
      <text>
        <r>
          <rPr>
            <b/>
            <sz val="8"/>
            <color indexed="81"/>
            <rFont val="Tahoma"/>
            <family val="2"/>
          </rPr>
          <t>Andy White:</t>
        </r>
        <r>
          <rPr>
            <sz val="8"/>
            <color indexed="81"/>
            <rFont val="Tahoma"/>
            <family val="2"/>
          </rPr>
          <t xml:space="preserve">
non GAAP
</t>
        </r>
      </text>
    </comment>
    <comment ref="BY150" authorId="0">
      <text>
        <r>
          <rPr>
            <b/>
            <sz val="8"/>
            <color indexed="81"/>
            <rFont val="Tahoma"/>
            <family val="2"/>
          </rPr>
          <t>Andy White:</t>
        </r>
        <r>
          <rPr>
            <sz val="8"/>
            <color indexed="81"/>
            <rFont val="Tahoma"/>
            <family val="2"/>
          </rPr>
          <t xml:space="preserve">
non GAAP
</t>
        </r>
      </text>
    </comment>
    <comment ref="BZ150" authorId="0">
      <text>
        <r>
          <rPr>
            <b/>
            <sz val="8"/>
            <color indexed="81"/>
            <rFont val="Tahoma"/>
            <family val="2"/>
          </rPr>
          <t>Andy White:</t>
        </r>
        <r>
          <rPr>
            <sz val="8"/>
            <color indexed="81"/>
            <rFont val="Tahoma"/>
            <family val="2"/>
          </rPr>
          <t xml:space="preserve">
non GAAP
</t>
        </r>
      </text>
    </comment>
    <comment ref="BQ154" authorId="4">
      <text>
        <r>
          <rPr>
            <b/>
            <sz val="8"/>
            <color indexed="81"/>
            <rFont val="Tahoma"/>
            <family val="2"/>
          </rPr>
          <t>evan bloomberg:</t>
        </r>
        <r>
          <rPr>
            <sz val="8"/>
            <color indexed="81"/>
            <rFont val="Tahoma"/>
            <family val="2"/>
          </rPr>
          <t xml:space="preserve">
Includes other as of F2004</t>
        </r>
      </text>
    </comment>
    <comment ref="AM156" authorId="3">
      <text>
        <r>
          <rPr>
            <b/>
            <sz val="8"/>
            <color indexed="81"/>
            <rFont val="Tahoma"/>
            <family val="2"/>
          </rPr>
          <t>rossmac:</t>
        </r>
        <r>
          <rPr>
            <sz val="8"/>
            <color indexed="81"/>
            <rFont val="Tahoma"/>
            <family val="2"/>
          </rPr>
          <t xml:space="preserve">
These cells include support and service</t>
        </r>
      </text>
    </comment>
    <comment ref="AS156" authorId="3">
      <text>
        <r>
          <rPr>
            <b/>
            <sz val="8"/>
            <color indexed="81"/>
            <rFont val="Tahoma"/>
            <family val="2"/>
          </rPr>
          <t>rossmac:</t>
        </r>
        <r>
          <rPr>
            <sz val="8"/>
            <color indexed="81"/>
            <rFont val="Tahoma"/>
            <family val="2"/>
          </rPr>
          <t xml:space="preserve">
This includes service and support</t>
        </r>
      </text>
    </comment>
    <comment ref="BQ156" authorId="4">
      <text>
        <r>
          <rPr>
            <b/>
            <sz val="8"/>
            <color indexed="81"/>
            <rFont val="Tahoma"/>
            <family val="2"/>
          </rPr>
          <t>evan bloomberg:</t>
        </r>
        <r>
          <rPr>
            <sz val="8"/>
            <color indexed="81"/>
            <rFont val="Tahoma"/>
            <family val="2"/>
          </rPr>
          <t xml:space="preserve">
Excludes other as of F2004</t>
        </r>
      </text>
    </comment>
  </commentList>
</comments>
</file>

<file path=xl/comments6.xml><?xml version="1.0" encoding="utf-8"?>
<comments xmlns="http://schemas.openxmlformats.org/spreadsheetml/2006/main">
  <authors>
    <author>kweiss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卟䙄_x0001_＀＀뛒䡣_x0017_敢獡晞灟楲散 ⼵㔱㈯〰찷_x0018_＀＀_x0018_＀＀_x0008_＀＀_x0001_＀＀_x0001_＀＀휊炣਽䀧뛒䡣_x0017_敢獡晞灟楲散㄁⼰㌲㈯〰찷_x0018_＀＀_x0018_＀＀_x0008_＀＀_x0001_＀＀_x0001_＀＀蔟凫_xDEB8_䀱䠺_x0017_剏䱃偞偟䥒䕃㔨㌯⼱〲㐰착_x0018_＀＀_x0018_＀＀_x0008_＀＀_x0001_＀＀_x0001_＀＀쳍쳌쳌䀦듅䡍%剏䱃偞偟䥒䕃䅟䝖㘨〯⼱㤱㜹㔬㌯⼱㤱㠹착_x0018_＀＀_x0018_＀＀_x0008_＀＀_x0001_＀＀_x0001_＀＀節浜绅䀔發䢘_x001C_剏䱃偞偟䥒䕃䅟䝖〨⼵㠲㈯〰⤸_x0018_＀＀_x0018_＀＀_x0008_＀＀_x0001_＀＀_x0001_＀＀휊炣쨽䀶뛒䡣_x0017_敢獡晞灟楲散㄁⼱㠱㈯〰찷_x0018_＀＀_x0018_＀＀_x0008_＀＀_x0001_＀＀_x0001_＀＀馚香妙䀰듅䡍%剏䱃偞偟䥒䕃䅟䝖㌨〯⼱〲㌰㔬㌯⼱〲㌰착_x0018_＀＀_x0018_＀＀_x0008_＀＀_x0001_＀＀_x0001_＀＀롼룤ꉓ䀧듅䡍&amp;剏䱃偞偟䥒䕃䅟䝖㤨〯⼱㤱㠹ㄬ⼱〳ㄯ㤹⤸_x0018_＀＀_x0018_＀＀_x0008_＀＀_x0001_＀＀_x0001_＀＀餠鴎잞䀒듅䡍&amp;剏䱃偞偟䥒䕃䅟䝖ㄨ⼱㄰㈯〰ⰴ⼲㠲㈯〰⤵_x0018_＀＀_x0018_＀＀_x0008_＀＀_x0001_＀＀_x0001_＀＀ᢠ㉙ꋇ䀪䠺_x0017_剏䱃偞偟䥒䕃㔨㌯⼱〲㔰착_x0018_＀＀_x0018_＀＀_x0008_＀＀_x0001_＀＀_x0001_＀＀馚香香䀩뛒䡣_x0017_敢獡晞灟楲散㄁⼰㈲㈯〰찷_x0018_＀＀_x0018_＀＀_x0008_＀＀_x0001_＀＀_x0001_＀＀ꏗ㵰霊䀲뛒䡣_x0017_敢獡晞灟楲散 ⼱㈲㈯〰참_x0018_＀＀_x0018_＀＀_x0008_＀＀_x0001_＀＀_x0001_＀＀蔟凫庸䀲뛒䡣_x0017_敢獡晞灟楲散㄁⼲㤱㈯〰찷_x0018_＀＀_x0018_＀＀_x0008_＀＀_x0001_＀＀_x0001_＀＀㵱휊炣䀯듅䡍%剏䱃偞偟䥒䕃䅟䝖㘨〯⼱〲㌰㠬㌯⼰〲㌰착_x0018_＀＀_x0018_＀＀_x0008_＀＀_x0001_＀＀_x0001_＀＀䷰染䀨뛒䡣_x0017_敢獡晞灟楲散㄁⼱㜱㈯〰찷_x0018_＀＀_x0018_＀＀_x0008_＀＀_x0001_＀＀_x0001_＀＀馚香妙䀰䠺_x0017_剏䱃偞偟䥒䕃㔨㌯⼱〲㘰착_x0018_＀＀_x0018_＀＀_x0008_＀＀_x0001_＀＀_x0001_＀＀㵱휊炣䀬듅䡍&amp;剏䱃偞偟䥒䕃䅟䝖㤨〯⼱〲㌰ㄬ⼱〳㈯〰⤳_x0018_＀＀_x0018_＀＀_x0008_＀＀_x0001_＀＀_x0001_＀＀᷉鄶箙䀨듅䡍%剏䱃偞偟䥒䕃䅟䝖㘨〯⼱〲㄰㔬㌯⼱〲㈰착_x0018_＀＀_x0018_＀＀_x0008_＀＀_x0001_＀＀_x0001_＀＀剌抙숎䀬듅䡍&amp;剏䱃偞偟䥒䕃䅟䝖㤨〯⼱〲㄰ㄬ⼱〳㈯〰⤱_x0018_＀＀_x0018_＀＀_x0008_＀＀_x0001_＀＀_x0001_＀＀䣬鷵䱟䀫듅䡍%剏䱃偞偟䥒䕃䅟䝖㌨〯⼱㤱㠹㔬㌯⼱㤱㠹착_x0018_＀＀_x0018_＀＀_x0008_＀＀_x0001_＀＀_x0001_＀＀劰䕁῕䀒䠺_x0017_剏䱃偞偟䥒䕃㔨㌯⼱〲㜰착_x0018_＀＀_x0018_＀＀_x0008_＀＀_x0001_＀＀_x0001_＀＀竡긔慇䀳듅䡍&amp;剏䱃偞偟䥒䕃䅟䝖ㄨ⼱㄰㈯〰ⰰ⼲㠲㈯〰⤱_x0018_＀＀_x0018_＀＀_x0008_＀＀_x0001_＀＀_x0001_＀＀캰‱ൻ䀼뛒䡣_x0017_敢獡晞灟楲散 ⼱ㄲ㈯〰참_x0018_＀＀_x0018_＀＀_x0008_＀＀_x0001_＀＀_x0001_＀＀晧晦晦䀲뛒䡣_x0017_敢獡晞灟楲散㄁⼲㠱㈯〰찷_x0018_＀＀_x0018_＀＀_x0008_＀＀_x0001_＀＀_x0001_＀＀＀＀＀＀＀＀䀯듅䡍%剏䱃偞偟䥒䕃䅟䝖㘨〯⼱㤱㠹㠬㌯⼰㤱㠹착_x0018_＀＀_x0018_＀＀_x0008_＀＀_x0001_＀＀_x0001_＀＀๷ꡥ馊䀐듅䡍&amp;剏䱃偞偟䥒䕃䅟䝖ㄨ⼱㄰ㄯ㤹ⰹ⼲㠲㈯〰⤰_x0018_＀＀_x0018_＀＀_x0008_＀＀_x0001_＀＀_x0001_＀＀莑昒䀷뛒䡣_x0017_敢獡晞灟楲散 ⼲㄰㈯〰참_x0018_＀＀_x0018_＀＀_x0008_＀＀_x0001_＀＀_x0001_＀＀㵱휊낣䀲듅䡍&amp;剏䱃偞偟䥒䕃䅟䝖ㄨ⼲㄰㈯〰ⰵ⼲㠲㈯〰⤶_x0018_＀＀_x0018_＀＀_x0008_＀＀_x0001_＀＀_x0001_＀＀砥ᩃ_x0015_䀩듅䡍%剏䱃偞偟䥒䕃䅟䝖㌨〯⼱〲㈰㔬㌯⼱〲㈰착_x0018_＀＀_x0018_＀＀_x0008_＀＀_x0001_＀＀_x0001_＀＀朤佡尻䀦듅䡍&amp;剏䱃偞偟䥒䕃䅟䝖ㄨ⼱㄰㈯〰ⰳ⼲㠲㈯〰⤴_x0018_＀＀_x0018_＀＀_x0008_＀＀_x0001_＀＀_x0001_＀＀闶爩䀪뛒䡣_x0017_敢獡晞灟楲散㄁⼱ㄲ㈯〰찷_x0018_＀＀_x0018_＀＀_x0008_＀＀_x0001_＀＀_x0001_＀＀휊炣訽䀮뛒䡣_x0017_敢獡晞灟楲散㄁⼱㔱㈯〰찷_x0018_＀＀_x0018_＀＀_x0008_＀＀_x0001_＀＀_x0001_＀＀㌳㌳댳䀰뛒䡣_x0017_敢獡晞灟楲散 ⼸㘱㈯〰찷_x0018_＀＀_x0018_＀＀_x0008_＀＀_x0001_＀＀_x0001_＀＀휊炣訽䀦뛒䡣_x0017_敢獡晞灟楲散㄁⼰㠲㈯〰찷_x0018_＀＀_x0018_＀＀_x0008_＀＀_x0001_＀＀_x0001_＀＀＀＀＀＀耀䀰듅䡍%剏䱃偞偟䥒䕃䅟䝖㘨〯⼱〲㈰㠬㌯⼰〲㈰착_x0018_＀＀_x0018_＀＀_x0008_＀＀_x0001_＀＀_x0001_＀＀䚪گ봨䀢듅䡍%剏䱃偞偟䥒䕃䅟䝖㌨〯⼱〲㔰㔬㌯⼱〲㔰착_x0018_＀＀_x0018_＀＀_x0008_＀＀_x0001_＀＀_x0001_＀＀僼쑩훌䀨뛒䡣_x0017_敢獡晞灟楲散㄁⼱〲㈯〰찷_x0018_＀＀_x0018_＀＀_x0008_＀＀_x0001_＀＀_x0001_＀＀竡긔慇䀮뛒䡣_x0017_敢獡晞灟楲散㄁⼱㐱㈯〰찷_x0018_＀＀_x0018_＀＀_x0008_＀＀_x0001_＀＀_x0001_＀＀晧晦晦䀱뛒䡣_x0017_敢獡晞灟楲散 ⼸㔱㈯〰찷_x0018_＀＀_x0018_＀＀_x0008_＀＀_x0001_＀＀_x0001_＀＀롒蔞凫䀧듅䡍%剏䱃偞偟䥒䕃䅟䝖㘨〯⼱〲〰㔬㌯⼱〲㄰착_x0018_＀＀_x0018_＀＀_x0008_＀＀_x0001_＀＀_x0001_＀＀᚝렫䀽듅䡍%剏䱃偞偟䥒䕃䅟䝖㘨〯⼱㤱㤹㔬㌯⼱〲〰착_x0018_＀＀_x0018_＀＀_x0008_＀＀_x0001_＀＀_x0001_＀＀_xDB0E_攖逶䀵듅䡍&amp;剏䱃偞偟䥒䕃䅟䝖㤨〯⼱㤱㤹ㄬ⼱〳ㄯ㤹⤹_x0018_＀＀_x0018_＀＀_x0008_＀＀_x0001_＀＀_x0001_＀＀哯㷀꟏䀩듅䡍&amp;剏䱃偞偟䥒䕃䅟䝖ㄨ⼱㄰ㄯ㤹ⰸ⼲㠲ㄯ㤹⤹_x0018_＀＀_x0018_＀＀_x0008_＀＀_x0001_＀＀_x0001_＀＀䖈㬌ᦌ䀝뛒䡣_x0017_敢獡晞灟楲散 ⼱㠲㈯〰참_x0018_＀＀_x0018_＀＀_x0008_＀＀_x0001_＀＀_x0001_＀＀휊炣訽䀲뛒䡣_x0017_敢獡晞灟楲散㄁⼰㜲㈯〰찷_x0018_＀＀_x0018_＀＀_x0008_＀＀_x0001_＀＀_x0001_＀＀＀＀＀＀耀䀰뛒䡣_x0017_敢獡晞灟楲散㄁⼰㈱㈯〰찷_x0018_＀＀_x0018_＀＀_x0008_＀＀_x0001_＀＀_x0001_＀＀롒蔞퇫䀲뛒䡣_x0017_敢獡晞灟楲散㄁⼱㠰㈯〰찷_x0018_＀＀_x0018_＀＀_x0008_＀＀_x0001_＀＀_x0001_＀＀ᑻ䞮﫡䀰듅䡍&amp;剏䱃偞偟䥒䕃䅟䝖㤨〯⼱㤱㜹ㄬ⼱〳ㄯ㤹⤷_x0018_＀＀_x0018_＀＀_x0008_＀＀_x0001_＀＀_x0001_＀＀瑰ຕ䀘듅䡍%剏䱃偞偟䥒䕃䅟䝖㘨〯⼱〲㔰㠬㌯⼰〲㔰착_x0018_＀＀_x0018_＀＀_x0008_＀＀_x0001_＀＀_x0001_＀＀휊炣戽䀪듅䡍%剏䱃偞偟䥒䕃䅟䝖㘨〯⼱㤱㜹㠬㌯⼰㤱㜹착_x0018_＀＀_x0018_＀＀_x0008_＀＀_x0001_＀＀_x0001_＀＀흀肾졞䀗發䢘_x001C_剏䱃偞偟䥒䕃䅟䝖〨⼵㠲㈯〰⤱_x0018_＀＀_x0018_＀＀_x0008_＀＀_x0001_＀＀_x0001_＀＀尨芏䀰듅䡍%剏䱃偞偟䥒䕃䅟䝖㌨〯⼱〲㄰㔬㌯⼱〲㄰착_x0018_＀＀_x0018_＀＀_x0008_＀＀_x0001_＀＀_x0001_＀＀퉟괘䊣䀰뛒䡣_x0017_敢獡晞灟楲散 ⼱㜲㈯〰참_x0018_＀＀_x0018_＀＀_x0008_＀＀_x0001_＀＀_x0001_＀＀㌳㌳猳䀲듅䡍&amp;剏䱃偞偟䥒䕃䅟䝖ㄨ⼱㄰㈯〰ⰲ⼲㠲㈯〰⤳_x0018_＀＀_x0018_＀＀_x0008_＀＀_x0001_＀＀_x0001_＀＀Ꚃ嘥쭆䀦뛒䡣_x0017_敢獡晞灟楲散㄁⼰㘲㈯〰찷_x0018_＀＀_x0018_＀＀_x0008_＀＀_x0001_＀＀_x0001_＀＀＀＀＀＀耀䀰뛒䡣_x0017_敢獡晞灟楲散㄁⼰ㄱ㈯〰찷_x0018_＀＀_x0018_＀＀_x0008_＀＀_x0001_＀＀_x0001_＀＀ਾꏗ㵰䀫뛒䡣_x0017_敢獡晞灟楲散㄁⼱㜰㈯〰찷_x0018_＀＀_x0018_＀＀_x0008_＀＀_x0001_＀＀_x0001_＀＀긕ᑺ䀱發䢘_x001C_剏䱃偞偟䥒䕃䅟䝖〨⼵㠲㈯〰⤲_x0018_＀＀_x0018_＀＀_x0008_＀＀_x0001_＀＀_x0001_＀＀竡긔䀡뛒䡣_x0017_敢獡晞灟楲散㄁⼲〲㈯〰찷_x0018_＀＀_x0018_＀＀_x0008_＀＀_x0001_＀＀_x0001_＀＀㵱휊䀯듅䡍&amp;剏䱃偞偟䥒䕃䅟䝖㤨〯⼱〲㈰ㄬ⼱〳㈯〰⤲_x0018_＀＀_x0018_＀＀_x0008_＀＀_x0001_＀＀_x0001_＀＀迫రᩘ䀣듅䡍&amp;剏䱃偞偟䥒䕃䅟䝖㤨〯⼱〲〰ㄬ⼱〳㈯〰⤰_x0018_＀＀_x0018_＀＀_x0008_＀＀_x0001_＀＀_x0001_＀＀牲䎿䁀듅䡍&amp;剏䱃偞偟䥒䕃䅟䝖㤨〯⼱〲㐰ㄬ⼱〳㈯〰⤴_x0018_＀＀_x0018_＀＀_x0008_＀＀_x0001_＀＀_x0001_＀＀锽ۓ䀨듅䡍%剏䱃偞偟䥒䕃䅟䝖㘨〯⼱〲㄰㠬㌯⼰〲㄰착_x0018_＀＀_x0018_＀＀_x0008_＀＀_x0001_＀＀_x0001_＀＀뤤蟼௴䀱發䢘_x001C_剏䱃偞偟䥒䕃䅟䝖〨⼵㠲㈯〰⤳_x0018_＀＀_x0018_＀＀_x0008_＀＀_x0001_＀＀_x0001_＀＀롑蔞䀪듅䡍&amp;剏䱃偞偟䥒䕃䅟䝖㤨〯⼱〲㔰ㄬ⼱ㄳ㈯〰⤵_x0018_＀＀_x0018_＀＀_x0008_＀＀_x0001_＀＀_x0001_＀＀헜좫壨䀩뛒䡣_x0017_敢獡晞灟楲散㄁⼰㔲㈯〰찷_x0018_＀＀_x0018_＀＀_x0008_＀＀_x0001_＀＀_x0001_＀＀ᑺ螮䀱뛒䡣_x0017_敢獡晞灟楲散㄁⼱㘰㈯〰찷_x0018_＀＀_x0018_＀＀_x0008_＀＀_x0001_＀＀_x0001_＀＀竡긔䀰듅䡍%剏䱃偞偟䥒䕃䅟䝖㘨〯⼱㤱㠹㔬㌯⼱㤱㤹착_x0018_＀＀_x0018_＀＀_x0008_＀＀_x0001_＀＀_x0001_＀＀ઢ虿欷䀗뛒䡣_x0017_敢獡晞灟楲散 ⼹㐱㈯〰찷_x0018_＀＀_x0018_＀＀_x0008_＀＀_x0001_＀＀_x0001_＀＀＀＀＀＀耀䀪듅䡍%剏䱃偞偟䥒䕃䅟䝖㌨〯⼱〲㐰㔬㌯⼱〲㐰착_x0018_＀＀_x0018_＀＀_x0008_＀＀_x0001_＀＀_x0001_＀＀_xDF69_応_xDE3D_䀧發䢘_x001C_剏䱃偞偟䥒䕃䅟䝖〨⼵㠲㈯〰⤴_x0018_＀＀_x0018_＀＀_x0008_＀＀_x0001_＀＀_x0001_＀＀쳍쳌쳌䀦듅䡍&amp;剏䱃偞偟䥒䕃䅟䝖ㄨ⼱㄰ㄯ㤹ⰷ⼲㠲ㄯ㤹⤸_x0018_＀＀_x0018_＀＀_x0008_＀＀_x0001_＀＀_x0001_＀＀㽛柽迍䀑듅䡍%剏䱃偞偟䥒䕃䅟䝖㘨〯⼱〲㐰㠬㌯⼰〲㐰착_x0018_＀＀_x0018_＀＀_x0008_＀＀_x0001_＀＀_x0001_＀＀_x0008_㶎ꙻ䀥뛒䡣_x0017_敢獡晞灟楲散 ⼱ㄳ㈯〰참_x0018_＀＀_x0018_＀＀_x0008_＀＀_x0001_＀＀_x0001_＀＀㵱휊낣䀲뛒䡣_x0017_敢獡晞灟楲散㄁⼱㔰㈯〰찷_x0018_＀＀_x0018_＀＀_x0008_＀＀_x0001_＀＀_x0001_＀＀馚香_xD999_䀰發䢘_x001C_剏䱃偞偟䥒䕃䅟䝖〨⼵㠲㈯〰⤵_x0018_＀＀_x0018_＀＀_x0008_＀＀_x0001_＀＀_x0001_＀＀㌳㌳댳䀩듅䡍%剏䱃偞偟䥒䕃䅟䝖㌨〯⼱〲〰㔬㌯⼱〲〰착_x0018_＀＀_x0018_＀＀_x0008_＀＀_x0001_＀＀_x0001_＀＀䝛ፕᅄ䁃듅䡍%剏䱃偞偟䥒䕃䅟䝖㌨〯⼱㤱㤹㔬㌯⼱㤱㤹착_x0018_＀＀_x0018_＀＀_x0008_＀＀_x0001_＀＀_x0001_＀＀䞟䀛뛒䡣_x0017_敢獡晞灟楲散 ⼹㌱㈯〰찷_x0018_＀＀_x0018_＀＀_x0008_＀＀_x0001_＀＀_x0001_＀＀롑蔞䀩뛒䡣_x0017_敢獡晞灟楲散 ⼵㘱㈯〰찷_x0018_＀＀_x0018_＀＀_x0008_＀＀_x0001_＀＀_x0001_＀＀ਾꏗ㵰䀧듅䡍&amp;剏䱃偞偟䥒䕃䅟䝖ㄨ⼱㄰㈯〰ⰱ⼲㠲㈯〰⤲_x0018_＀＀_x0018_＀＀_x0008_＀＀_x0001_＀＀_x0001_＀＀_xD923_퐣_xD90C_䀮䠺_x0017_剏䱃偞偟䥒䕃㔨㌯⼱〲㈰착_x0018_＀＀_x0018_＀＀_x0008_＀＀_x0001_＀＀_x0001_＀＀䞮竡긔䀟뛒䡣_x0017_敢獡晞灟楲散㄁⼰㐲㈯〰찷_x0018_＀＀_x0018_＀＀_x0008_＀＀_x0001_＀＀_x0001_＀＀쳍쳌賌䀱發䢘_x001C_剏䱃偞偟䥒䕃䅟䝖〨⼵㠲㈯〰⤶_x0018_＀＀_x0018_＀＀_x0008_＀＀_x0001_＀＀_x0001_＀＀馚香ᦙ䀬듅䡍%剏䱃偞偟䥒䕃䅟䝖㘨〯⼱〲㈰㔬㌯⼱〲㌰착_x0018_＀＀_x0018_＀＀_x0008_＀＀_x0001_＀＀_x0001_＀＀㛞⅓⤞䀥뛒䡣_x0017_敢獡晞灟楲散㄁⼱㤱㈯〰찷_x0018_＀＀_x0018_＀＀_x0008_＀＀_x0001_＀＀_x0001_＀＀轜尨䀯뛒䡣_x0017_敢獡晞灟楲散㄁⼱㐰㈯〰찷_x0018_＀＀_x0018_＀＀_x0008_＀＀_x0001_＀＀_x0001_＀＀Ẹ䀰䠺_x0017_剏䱃偞偟䥒䕃㔨㌯⼱〲㌰착_x0018_＀＀_x0018_＀＀_x0008_＀＀_x0001_＀＀_x0001_＀＀롑Ԟ䀪듅䡍%剏䱃偞偟䥒䕃䅟䝖㘨〯⼱〲〰㠬㌯⼰〲〰착_x0018_＀＀_x0018_＀＀_x0008_＀＀_x0001_＀＀_x0001_＀＀፫䁃듅䡍%剏䱃偞偟䥒䕃䅟䝖㘨〯⼱㤱㤹㠬㌯⼰㤱㤹착_x0018_＀＀_x0018_＀＀_x0008_＀＀_x0001_＀＀_x0001_＀＀높ﳚꊿ䀡發䢘_x001C_剏䱃偞偟䥒䕃䅟䝖〨⼵㠲㈯〰⤷_x0018_＀＀_x0018_＀＀_x0008_＀＀_x0001_＀＀_x0001_＀＀ਾꏗ㵰䀳</t>
        </r>
      </text>
    </comment>
    <comment ref="B1" authorId="0">
      <text>
        <r>
          <rPr>
            <b/>
            <sz val="8"/>
            <color indexed="81"/>
            <rFont val="Tahoma"/>
            <family val="2"/>
          </rPr>
          <t>3413</t>
        </r>
      </text>
    </comment>
  </commentList>
</comments>
</file>

<file path=xl/sharedStrings.xml><?xml version="1.0" encoding="utf-8"?>
<sst xmlns="http://schemas.openxmlformats.org/spreadsheetml/2006/main" count="12873" uniqueCount="1666">
  <si>
    <t>Common Stock Dividends</t>
  </si>
  <si>
    <t>Dividend Paid on Common Stock</t>
  </si>
  <si>
    <t>LTM Payout ratio</t>
  </si>
  <si>
    <t>Currency</t>
  </si>
  <si>
    <t>_fy84</t>
  </si>
  <si>
    <t>_fy85</t>
  </si>
  <si>
    <t>_fy86</t>
  </si>
  <si>
    <t>_fy87</t>
  </si>
  <si>
    <t>Full Year History Only</t>
  </si>
  <si>
    <t>RightNow</t>
  </si>
  <si>
    <t>Taleo</t>
  </si>
  <si>
    <t>1c06</t>
  </si>
  <si>
    <t>Total Current Assets</t>
  </si>
  <si>
    <t>Deferred Tax Assets/ Other</t>
  </si>
  <si>
    <t>Total Assets</t>
  </si>
  <si>
    <t>Current Portion of LT Debt</t>
  </si>
  <si>
    <t>IncomeTax/VAT Payable</t>
  </si>
  <si>
    <t>Accrued Comp/Benefits</t>
  </si>
  <si>
    <t>Total Current Liabilities</t>
  </si>
  <si>
    <t>Long-term Debt</t>
  </si>
  <si>
    <t>Deferred Tax Liability</t>
  </si>
  <si>
    <t>F2010</t>
  </si>
  <si>
    <t>Operating Income</t>
  </si>
  <si>
    <t>Other Income</t>
  </si>
  <si>
    <t>Tax Rate</t>
  </si>
  <si>
    <t xml:space="preserve">    Period End Stock Price</t>
  </si>
  <si>
    <t xml:space="preserve">    Operating Margin</t>
  </si>
  <si>
    <t>Exercisable/ Outstanding Options</t>
  </si>
  <si>
    <t xml:space="preserve"> 8/03</t>
  </si>
  <si>
    <t>Americas</t>
  </si>
  <si>
    <t xml:space="preserve">     Database  (estimate)</t>
  </si>
  <si>
    <t xml:space="preserve">     Applications (estimate)</t>
  </si>
  <si>
    <t>Services / Other Revenue</t>
  </si>
  <si>
    <t>Domestic Employees</t>
  </si>
  <si>
    <t>International Employees</t>
  </si>
  <si>
    <t>F2002</t>
  </si>
  <si>
    <t>FY09</t>
  </si>
  <si>
    <t>FY10</t>
  </si>
  <si>
    <t>FCF</t>
  </si>
  <si>
    <t xml:space="preserve"> 8/06</t>
  </si>
  <si>
    <t>—</t>
  </si>
  <si>
    <t>Services Cost</t>
  </si>
  <si>
    <t xml:space="preserve">     Applications</t>
  </si>
  <si>
    <t>Constant Currency Growth</t>
  </si>
  <si>
    <t>YoY growth</t>
  </si>
  <si>
    <t>Net Income</t>
  </si>
  <si>
    <t>Income Statement</t>
  </si>
  <si>
    <t>Services</t>
  </si>
  <si>
    <t>Total Database Licenses</t>
  </si>
  <si>
    <t>8/11</t>
  </si>
  <si>
    <t>STEL</t>
  </si>
  <si>
    <t>Tang</t>
  </si>
  <si>
    <t>Hyperion BI</t>
  </si>
  <si>
    <t>Sun Microsystems</t>
  </si>
  <si>
    <t>Other acquired DB tech</t>
  </si>
  <si>
    <t>App Lic</t>
  </si>
  <si>
    <t>Organic Database Tecnology License Revenue</t>
  </si>
  <si>
    <t>AGIL</t>
  </si>
  <si>
    <t>Organic CC Database Technology License (Y/Y)</t>
  </si>
  <si>
    <t>META</t>
  </si>
  <si>
    <t>Reported Application License (Y/Y)</t>
  </si>
  <si>
    <t>Reported Application Technology License ($)</t>
  </si>
  <si>
    <t>Oither</t>
  </si>
  <si>
    <t>ProfitLogic</t>
  </si>
  <si>
    <t>Siebel Applications</t>
  </si>
  <si>
    <t>writedown:</t>
  </si>
  <si>
    <t>SPL</t>
  </si>
  <si>
    <t xml:space="preserve">Agile </t>
  </si>
  <si>
    <t>Other acquired App</t>
  </si>
  <si>
    <t>Organic Application License Revenue</t>
  </si>
  <si>
    <t>taxrate</t>
  </si>
  <si>
    <t>EBITDA</t>
  </si>
  <si>
    <t>Hardware Support</t>
  </si>
  <si>
    <t>_fy11</t>
  </si>
  <si>
    <t>3c10</t>
  </si>
  <si>
    <t>4c10</t>
  </si>
  <si>
    <t>Fiscal</t>
  </si>
  <si>
    <t>FY05</t>
  </si>
  <si>
    <t>G&amp;A Cost</t>
  </si>
  <si>
    <t>G&amp;A Headcount</t>
  </si>
  <si>
    <t>G&amp;A Cost/Head</t>
  </si>
  <si>
    <t>Income Statement Analysis</t>
  </si>
  <si>
    <t>Growth year-on-year %</t>
  </si>
  <si>
    <t>2) Modelware EPS - Includes Reported Revenues, Reported Stock Option Expense &amp; Excluding Special Charges</t>
  </si>
  <si>
    <t>Organic Revenue - Y/Y Growth</t>
  </si>
  <si>
    <t>Reported Revenue</t>
  </si>
  <si>
    <t>Cost of License</t>
  </si>
  <si>
    <t>5/11</t>
  </si>
  <si>
    <t>Total Software Revenues</t>
  </si>
  <si>
    <t>op</t>
  </si>
  <si>
    <t>InQuira</t>
  </si>
  <si>
    <t>1) Operating figures exclude gains and charges and include deferred revenue from purchase acquisition written down under GAAP accounting.  These are consensus comparable EPS figures.</t>
  </si>
  <si>
    <t>Education</t>
  </si>
  <si>
    <t>ROE</t>
  </si>
  <si>
    <t>Stock Based compensation expense</t>
  </si>
  <si>
    <t>5/12</t>
  </si>
  <si>
    <t>F2012</t>
  </si>
  <si>
    <t>hwrev</t>
  </si>
  <si>
    <t>Options Granted (Net of Cancellations)</t>
  </si>
  <si>
    <t>Options Exercised</t>
  </si>
  <si>
    <t>Instantis (Nov 2012)</t>
  </si>
  <si>
    <t>Collective Intellect (June 2012)</t>
  </si>
  <si>
    <t>Vitrue (May 2012)</t>
  </si>
  <si>
    <t>Vitrue</t>
  </si>
  <si>
    <t>Cash Flow from Operations</t>
  </si>
  <si>
    <t>Cash Flow from Investing Activities</t>
  </si>
  <si>
    <t>Cash Flow from Financing Activities</t>
  </si>
  <si>
    <t>Mix</t>
  </si>
  <si>
    <t>Days Inventory on Hand</t>
  </si>
  <si>
    <t>Database</t>
  </si>
  <si>
    <t>BigMachines (November 2013)</t>
  </si>
  <si>
    <t>Reported Revenue Growth</t>
  </si>
  <si>
    <t>Operating Activities:</t>
  </si>
  <si>
    <t xml:space="preserve">    Special Charges</t>
  </si>
  <si>
    <t xml:space="preserve">      Acquisition Related</t>
  </si>
  <si>
    <t xml:space="preserve">    General &amp; Administrative</t>
  </si>
  <si>
    <t>gna</t>
  </si>
  <si>
    <t xml:space="preserve">         year-on-year growth</t>
  </si>
  <si>
    <t xml:space="preserve">    Research &amp; Development</t>
  </si>
  <si>
    <t>rnd</t>
  </si>
  <si>
    <t>_fy05</t>
  </si>
  <si>
    <t>dlrev</t>
  </si>
  <si>
    <t>alrev</t>
  </si>
  <si>
    <t>Employees</t>
  </si>
  <si>
    <t xml:space="preserve">         quarter-on-quarter growth</t>
  </si>
  <si>
    <t>Assets</t>
  </si>
  <si>
    <t>Art Technology Group</t>
  </si>
  <si>
    <t>Database Options</t>
  </si>
  <si>
    <t>year-on-year growth</t>
  </si>
  <si>
    <t>Total Product Contribution</t>
  </si>
  <si>
    <t>Non-Assigned Expenses Efficiency Increase</t>
  </si>
  <si>
    <t>Total Mix Shift</t>
  </si>
  <si>
    <t>Total Efficiency Improvement</t>
  </si>
  <si>
    <t>Total Margin $ Increase due to Change in Margins</t>
  </si>
  <si>
    <t>Efficiency</t>
  </si>
  <si>
    <t>Margin Potential</t>
  </si>
  <si>
    <t xml:space="preserve">     Database</t>
  </si>
  <si>
    <t>S&amp;M Headcount</t>
  </si>
  <si>
    <t>License Rev/Head</t>
  </si>
  <si>
    <t>S&amp;M Cost/Head</t>
  </si>
  <si>
    <t>ORCL attributed Sales &amp; Distribution cost</t>
  </si>
  <si>
    <t>ORCL Attribution as % of S&amp;M expense</t>
  </si>
  <si>
    <t>OnDemand</t>
  </si>
  <si>
    <t>iFlex</t>
  </si>
  <si>
    <t xml:space="preserve"> 11/98</t>
  </si>
  <si>
    <t xml:space="preserve"> 2/99</t>
  </si>
  <si>
    <t>5/99</t>
  </si>
  <si>
    <t xml:space="preserve"> 8/99</t>
  </si>
  <si>
    <t xml:space="preserve"> 11/99</t>
  </si>
  <si>
    <t xml:space="preserve"> 2/00</t>
  </si>
  <si>
    <t>5/00</t>
  </si>
  <si>
    <t xml:space="preserve"> 8/00</t>
  </si>
  <si>
    <t xml:space="preserve"> 11/00</t>
  </si>
  <si>
    <t xml:space="preserve"> 2/01</t>
  </si>
  <si>
    <t>5/01</t>
  </si>
  <si>
    <t>_fy09</t>
  </si>
  <si>
    <t>Statutory Tax Rate</t>
  </si>
  <si>
    <t>BEA</t>
  </si>
  <si>
    <t>BEA Systems</t>
  </si>
  <si>
    <t>BEAS</t>
  </si>
  <si>
    <t>PeopleSoft</t>
  </si>
  <si>
    <t xml:space="preserve">     Y/Y Growth</t>
  </si>
  <si>
    <t>License Revenues</t>
  </si>
  <si>
    <t xml:space="preserve"> 11/04</t>
  </si>
  <si>
    <t>CY08</t>
  </si>
  <si>
    <t>Total Fair Value of Grants</t>
  </si>
  <si>
    <t>Total Fair Value of Grants/ Operating Net Income</t>
  </si>
  <si>
    <t>Outstanding Stock Options</t>
  </si>
  <si>
    <t>Opening Balance</t>
  </si>
  <si>
    <t>Granted</t>
  </si>
  <si>
    <t>July 2019 Notes (5.0%)</t>
  </si>
  <si>
    <t>July 2039 Notes (6.125%)</t>
  </si>
  <si>
    <t>'SFAS 123' Pro-Forma Net Income</t>
  </si>
  <si>
    <t>Cash, End of Period</t>
  </si>
  <si>
    <t>LTM EPS</t>
  </si>
  <si>
    <t>License</t>
  </si>
  <si>
    <t>Total Revenues</t>
  </si>
  <si>
    <t>S&amp;M</t>
  </si>
  <si>
    <t>R&amp;D</t>
  </si>
  <si>
    <t>G&amp;A</t>
  </si>
  <si>
    <t>EPS</t>
  </si>
  <si>
    <t>Total Revenue by Region</t>
  </si>
  <si>
    <t xml:space="preserve">     Q/Q - Constant Currency</t>
  </si>
  <si>
    <t xml:space="preserve">     Q/Q Currency Impact</t>
  </si>
  <si>
    <t>Y/Y Currency Impact</t>
  </si>
  <si>
    <t>Y/Y growth</t>
  </si>
  <si>
    <t>Estimated Bad Debt Writeoff</t>
  </si>
  <si>
    <t>% of Prior Period AR</t>
  </si>
  <si>
    <t>PPE</t>
  </si>
  <si>
    <t>PPE, Gross</t>
  </si>
  <si>
    <t>Less: Accumulated Depreciation</t>
  </si>
  <si>
    <t>PPE, Net</t>
  </si>
  <si>
    <t>Timeframe for Depreciation of Assets</t>
  </si>
  <si>
    <t>Retirements</t>
  </si>
  <si>
    <t>Basic Shares Outstanding (EoP)</t>
  </si>
  <si>
    <t>Dividend per Share</t>
  </si>
  <si>
    <t>Total Dividend Paid</t>
  </si>
  <si>
    <t>Pro-Forma Adjustments for Expensing of Stock Options</t>
  </si>
  <si>
    <t>FY17</t>
  </si>
  <si>
    <t>Depreciation on CF Statement</t>
  </si>
  <si>
    <t>Capex as % of LTM revs</t>
  </si>
  <si>
    <t>1c05</t>
  </si>
  <si>
    <t>2c05</t>
  </si>
  <si>
    <t>Current Stock Price</t>
  </si>
  <si>
    <t>Reported Revenues</t>
  </si>
  <si>
    <t>$ basis % of Growth</t>
  </si>
  <si>
    <t>Database Tech Revenues</t>
  </si>
  <si>
    <t>F2009</t>
  </si>
  <si>
    <t>Pillar</t>
  </si>
  <si>
    <t>Pillar (cl July 2011)</t>
  </si>
  <si>
    <t>InQuira (July 2011)</t>
  </si>
  <si>
    <t>Fatwire (July 2011)</t>
  </si>
  <si>
    <t>Fatwire</t>
  </si>
  <si>
    <t>Other acquired Hardware</t>
  </si>
  <si>
    <t>Average</t>
  </si>
  <si>
    <t>5/10</t>
  </si>
  <si>
    <t>F1995</t>
  </si>
  <si>
    <t>F2003</t>
  </si>
  <si>
    <t>F2005E</t>
  </si>
  <si>
    <t>Other Debt</t>
  </si>
  <si>
    <t>Estimated Tax Effects of Non-Operating One-Tme Items</t>
  </si>
  <si>
    <t>LTM License Revenue</t>
  </si>
  <si>
    <t>Inventories</t>
  </si>
  <si>
    <t>FY11</t>
  </si>
  <si>
    <t>FY12</t>
  </si>
  <si>
    <t>FY14</t>
  </si>
  <si>
    <t>FY15</t>
  </si>
  <si>
    <t xml:space="preserve">Weighted average fair value of grants </t>
  </si>
  <si>
    <t>4Q10</t>
  </si>
  <si>
    <t>Accounts Receivable, Net</t>
  </si>
  <si>
    <t>3c12</t>
  </si>
  <si>
    <t>4c12</t>
  </si>
  <si>
    <t>1c13</t>
  </si>
  <si>
    <t>2c13</t>
  </si>
  <si>
    <t>_fy13</t>
  </si>
  <si>
    <t>Consulting</t>
  </si>
  <si>
    <t>Advanced Product Services</t>
  </si>
  <si>
    <t>USD</t>
  </si>
  <si>
    <t xml:space="preserve">          Total $ Spent on Repurchase</t>
  </si>
  <si>
    <t>Shares Issued</t>
  </si>
  <si>
    <t>Additional Paid-in Capital, net</t>
  </si>
  <si>
    <t>Hardware Business Components</t>
  </si>
  <si>
    <t>Engineered Systems/Exadata</t>
  </si>
  <si>
    <t>Other Hardware</t>
  </si>
  <si>
    <t xml:space="preserve">    Stock Option Expense (FV)</t>
  </si>
  <si>
    <t>_fy88</t>
  </si>
  <si>
    <t>_fy89</t>
  </si>
  <si>
    <t>_fy90</t>
  </si>
  <si>
    <t>_fy91</t>
  </si>
  <si>
    <t>_fy92</t>
  </si>
  <si>
    <t>_fy93</t>
  </si>
  <si>
    <t xml:space="preserve"> 11/06</t>
  </si>
  <si>
    <t xml:space="preserve"> 2/04</t>
  </si>
  <si>
    <t>1Q05</t>
  </si>
  <si>
    <t>1Q06</t>
  </si>
  <si>
    <t>1Q07</t>
  </si>
  <si>
    <t>New Billings Factor</t>
  </si>
  <si>
    <t>Exchange Rate Impact</t>
  </si>
  <si>
    <t>Change in Cash and Cash Equivalents</t>
  </si>
  <si>
    <t>MetaSolv</t>
  </si>
  <si>
    <t>Involver (July 2012)</t>
  </si>
  <si>
    <t>Skire (July 2012)</t>
  </si>
  <si>
    <t>Skire</t>
  </si>
  <si>
    <t xml:space="preserve"> 2/12</t>
  </si>
  <si>
    <t>% of Last 5 Years HW Revenue</t>
  </si>
  <si>
    <t>FCF minus stock buyback</t>
  </si>
  <si>
    <t>Support Headcount</t>
  </si>
  <si>
    <t>Support Revs/Head</t>
  </si>
  <si>
    <t>Support Cost/Head</t>
  </si>
  <si>
    <t>ORCL attributed Support cost</t>
  </si>
  <si>
    <t>ORCL Attribution as % of Support expense</t>
  </si>
  <si>
    <t>R&amp;D Cost</t>
  </si>
  <si>
    <t>as % of Support Rev</t>
  </si>
  <si>
    <t>as % of Total Revs</t>
  </si>
  <si>
    <t>R&amp;D Headcount</t>
  </si>
  <si>
    <t>Total Revs/Head</t>
  </si>
  <si>
    <t>R&amp;D Cost/Head</t>
  </si>
  <si>
    <t>% of services</t>
  </si>
  <si>
    <t>Services Headcount</t>
  </si>
  <si>
    <t>Services Revs/Head</t>
  </si>
  <si>
    <t>Services Cost/Head</t>
  </si>
  <si>
    <t xml:space="preserve">   As a % of outstanding shares</t>
  </si>
  <si>
    <t>Total Options Outstanding</t>
  </si>
  <si>
    <t xml:space="preserve">   Options Fortfeited</t>
  </si>
  <si>
    <t xml:space="preserve">   Forfeiture as % of BOP Options</t>
  </si>
  <si>
    <t xml:space="preserve">   Options Exercised</t>
  </si>
  <si>
    <t xml:space="preserve">   Exercised as % of BOP Optoins</t>
  </si>
  <si>
    <t>Oracle</t>
  </si>
  <si>
    <t xml:space="preserve"> 8/95</t>
  </si>
  <si>
    <t xml:space="preserve"> 11/95</t>
  </si>
  <si>
    <t xml:space="preserve"> 2/95</t>
  </si>
  <si>
    <t>5/95</t>
  </si>
  <si>
    <t xml:space="preserve"> 8/94</t>
  </si>
  <si>
    <t xml:space="preserve"> 11/94</t>
  </si>
  <si>
    <t xml:space="preserve"> 2/96</t>
  </si>
  <si>
    <t>Computer Systems</t>
  </si>
  <si>
    <t>Network Storage</t>
  </si>
  <si>
    <t>srev</t>
  </si>
  <si>
    <t>crev</t>
  </si>
  <si>
    <t>aps</t>
  </si>
  <si>
    <t>11/11</t>
  </si>
  <si>
    <t>Organic CC Application License (Y/Y)</t>
  </si>
  <si>
    <t>FY87</t>
  </si>
  <si>
    <t>FY88</t>
  </si>
  <si>
    <t>FY89</t>
  </si>
  <si>
    <t>FY90</t>
  </si>
  <si>
    <t xml:space="preserve"> 8/05</t>
  </si>
  <si>
    <t>dso</t>
  </si>
  <si>
    <t>Other Liabilities to Total Liabilities</t>
  </si>
  <si>
    <t>Y.Y % Change in Accrued Compensation</t>
  </si>
  <si>
    <t>Other Assets to Total Assets</t>
  </si>
  <si>
    <t>Accumulated Other Comprehensive Income</t>
  </si>
  <si>
    <t>Adjustments</t>
  </si>
  <si>
    <t xml:space="preserve">     Foreign Currency Translation</t>
  </si>
  <si>
    <t xml:space="preserve">     Unrealized gains on securiites</t>
  </si>
  <si>
    <t>grmgn</t>
  </si>
  <si>
    <t>CY12</t>
  </si>
  <si>
    <t>F2007E</t>
  </si>
  <si>
    <t>shs</t>
  </si>
  <si>
    <t>Free Cash Flow</t>
  </si>
  <si>
    <t>Operating Margins</t>
  </si>
  <si>
    <t>Organic CC Hardware (Y/Y)</t>
  </si>
  <si>
    <t>_fy01</t>
  </si>
  <si>
    <t>3c01</t>
  </si>
  <si>
    <t>4c01</t>
  </si>
  <si>
    <t>1c02</t>
  </si>
  <si>
    <t>2c02</t>
  </si>
  <si>
    <t>_fy02</t>
  </si>
  <si>
    <t>3c06</t>
  </si>
  <si>
    <t>4c06</t>
  </si>
  <si>
    <t>1c07</t>
  </si>
  <si>
    <t>2c07</t>
  </si>
  <si>
    <t>_fy07</t>
  </si>
  <si>
    <t>3c07</t>
  </si>
  <si>
    <t>4c07</t>
  </si>
  <si>
    <t>1c08</t>
  </si>
  <si>
    <t>2c08</t>
  </si>
  <si>
    <t>_fy08</t>
  </si>
  <si>
    <t>3c08</t>
  </si>
  <si>
    <t>4c08</t>
  </si>
  <si>
    <t>1c09</t>
  </si>
  <si>
    <t>2c09</t>
  </si>
  <si>
    <t>3c11</t>
  </si>
  <si>
    <t>4c11</t>
  </si>
  <si>
    <t>1c12</t>
  </si>
  <si>
    <t>2c12</t>
  </si>
  <si>
    <t>_fy12</t>
  </si>
  <si>
    <t>5/05</t>
  </si>
  <si>
    <t>5/09</t>
  </si>
  <si>
    <t>Assumed with Acquisition</t>
  </si>
  <si>
    <t>Exercised</t>
  </si>
  <si>
    <t>Cancelled</t>
  </si>
  <si>
    <t>Closing Balance</t>
  </si>
  <si>
    <t>Grants per employee</t>
  </si>
  <si>
    <t>wA Exercise Price ($)</t>
  </si>
  <si>
    <t>6mo</t>
  </si>
  <si>
    <t>9mo</t>
  </si>
  <si>
    <t xml:space="preserve"> 2/08</t>
  </si>
  <si>
    <t>'SFAS 123' Option Expense</t>
  </si>
  <si>
    <t>Operating Net Income Incl. Options Expense</t>
  </si>
  <si>
    <t xml:space="preserve">Cash </t>
  </si>
  <si>
    <t>Investments</t>
  </si>
  <si>
    <t>Other Receivables</t>
  </si>
  <si>
    <t>Deferred Tax Assets</t>
  </si>
  <si>
    <t>Prepaid and Other</t>
  </si>
  <si>
    <t xml:space="preserve"> 2/13</t>
  </si>
  <si>
    <t xml:space="preserve"> 8/04</t>
  </si>
  <si>
    <t>Revenue Per Sales and Services Employee (000s)</t>
  </si>
  <si>
    <t>revrndemp</t>
  </si>
  <si>
    <t>Revenue Per R&amp;D Employee (000s)</t>
  </si>
  <si>
    <t>trans500k</t>
  </si>
  <si>
    <t>fcf</t>
  </si>
  <si>
    <t>ltmfcf</t>
  </si>
  <si>
    <t>Metrics for Forecasting</t>
  </si>
  <si>
    <t>Interest Income as % of Cash &amp; Inv.</t>
  </si>
  <si>
    <t>FFR</t>
  </si>
  <si>
    <r>
      <t>↑</t>
    </r>
    <r>
      <rPr>
        <sz val="7.2"/>
        <rFont val="Arial"/>
        <family val="2"/>
      </rPr>
      <t xml:space="preserve"> </t>
    </r>
    <r>
      <rPr>
        <sz val="8"/>
        <rFont val="Arial"/>
        <family val="2"/>
      </rPr>
      <t>for modelware tags unhide columns here</t>
    </r>
  </si>
  <si>
    <t>Services Revenue - Reported</t>
  </si>
  <si>
    <t xml:space="preserve">     Maintenance Write-Down</t>
  </si>
  <si>
    <t>11/10</t>
  </si>
  <si>
    <t xml:space="preserve">    Canadian Dollar</t>
  </si>
  <si>
    <t xml:space="preserve">    Australian Dollar</t>
  </si>
  <si>
    <t xml:space="preserve">    South African Rand</t>
  </si>
  <si>
    <t xml:space="preserve">    Other Currency</t>
  </si>
  <si>
    <t>Fx Rate (per $1 US)</t>
  </si>
  <si>
    <t>FY13</t>
  </si>
  <si>
    <t>_fy03</t>
  </si>
  <si>
    <t>_fy04</t>
  </si>
  <si>
    <t>F2007</t>
  </si>
  <si>
    <t xml:space="preserve"> 2/07</t>
  </si>
  <si>
    <t>Liabilities</t>
  </si>
  <si>
    <t>Accounts Payable</t>
  </si>
  <si>
    <t>Deferred Revenues</t>
  </si>
  <si>
    <t>Diluted EPS</t>
  </si>
  <si>
    <t xml:space="preserve">     Consulting</t>
  </si>
  <si>
    <t xml:space="preserve">     Change in Deferred Compensation</t>
  </si>
  <si>
    <t>Shareholders Equity Adjustment</t>
  </si>
  <si>
    <t>Cumulative Amortized Intangibles</t>
  </si>
  <si>
    <t>Shareholders Equity (including Amtortized Intangibles)</t>
  </si>
  <si>
    <t>Accounts Receivable</t>
  </si>
  <si>
    <t>Cash</t>
  </si>
  <si>
    <t>Debt</t>
  </si>
  <si>
    <t>FY96</t>
  </si>
  <si>
    <t>FY97</t>
  </si>
  <si>
    <t>FY98</t>
  </si>
  <si>
    <t>FY99</t>
  </si>
  <si>
    <t>FY86</t>
  </si>
  <si>
    <t>Revenue by Geography, Product Line and Business Segment</t>
  </si>
  <si>
    <t>($ Millions, Except Per-Share Data)</t>
  </si>
  <si>
    <t>Total Revenue</t>
  </si>
  <si>
    <t>Operating Expenses</t>
  </si>
  <si>
    <t>FY09e</t>
  </si>
  <si>
    <t xml:space="preserve">    Sales &amp; Marketing</t>
  </si>
  <si>
    <t>snm</t>
  </si>
  <si>
    <t xml:space="preserve">         % of revenues</t>
  </si>
  <si>
    <t>LTM FCF</t>
  </si>
  <si>
    <t>Purchase - Property and Equipment</t>
  </si>
  <si>
    <t>Net Change in Other Assets</t>
  </si>
  <si>
    <t>Payments - Repurchase of Common Stock</t>
  </si>
  <si>
    <t xml:space="preserve">Purchase - Business, Net of Cash </t>
  </si>
  <si>
    <t>F2006</t>
  </si>
  <si>
    <t>5/06</t>
  </si>
  <si>
    <t>Deferred Income Taxes/Other</t>
  </si>
  <si>
    <t>Change in Working Capital</t>
  </si>
  <si>
    <t>Days Payable</t>
  </si>
  <si>
    <t>Options Outstanding</t>
  </si>
  <si>
    <t>Software License</t>
  </si>
  <si>
    <t>Hardware</t>
  </si>
  <si>
    <t>F1999</t>
  </si>
  <si>
    <t>F2000</t>
  </si>
  <si>
    <t>Hyperion</t>
  </si>
  <si>
    <t>1c11</t>
  </si>
  <si>
    <t>2c11</t>
  </si>
  <si>
    <t>Operating Income (non-GAAP)</t>
  </si>
  <si>
    <t>FY06</t>
  </si>
  <si>
    <t>Floating rate Jan '19 notes</t>
  </si>
  <si>
    <t>January 2019 Notes (2.375%)</t>
  </si>
  <si>
    <t>July 2023 Notes (3.625%)</t>
  </si>
  <si>
    <t>Jan 2021 EUR Notes (2.250%)</t>
  </si>
  <si>
    <t>July 2025 EUR Notes (3.125%)</t>
  </si>
  <si>
    <t xml:space="preserve">     OnDemand</t>
  </si>
  <si>
    <t xml:space="preserve">     Education</t>
  </si>
  <si>
    <t>Growth quarter-on-quarter %</t>
  </si>
  <si>
    <t>Data Dump for Reporting</t>
  </si>
  <si>
    <t>Domestic Revenue</t>
  </si>
  <si>
    <t>International Revenue</t>
  </si>
  <si>
    <t>intl</t>
  </si>
  <si>
    <t>EMEA Revenue</t>
  </si>
  <si>
    <t>Asia Pacific Revenue</t>
  </si>
  <si>
    <t>Domestic License Revenue</t>
  </si>
  <si>
    <t>ldom</t>
  </si>
  <si>
    <t>International License  Revenue</t>
  </si>
  <si>
    <t>lintl</t>
  </si>
  <si>
    <t>FY07E</t>
  </si>
  <si>
    <t>Company Guidance</t>
  </si>
  <si>
    <t>Quarterly</t>
  </si>
  <si>
    <t>Revenue (PF)</t>
  </si>
  <si>
    <t xml:space="preserve">   Low End</t>
  </si>
  <si>
    <t xml:space="preserve">   High End</t>
  </si>
  <si>
    <t xml:space="preserve">   Actual/MS Esimate</t>
  </si>
  <si>
    <t>Eloqua (Feb 2012)</t>
  </si>
  <si>
    <t>Xsigo</t>
  </si>
  <si>
    <t>F2005</t>
  </si>
  <si>
    <t>lrev</t>
  </si>
  <si>
    <t>rev</t>
  </si>
  <si>
    <t>opmgn</t>
  </si>
  <si>
    <t>eps</t>
  </si>
  <si>
    <t>Net Cash</t>
  </si>
  <si>
    <t>debt</t>
  </si>
  <si>
    <t>defrev</t>
  </si>
  <si>
    <t>Updates and Support</t>
  </si>
  <si>
    <t>Services and Other</t>
  </si>
  <si>
    <t>DATABASE</t>
  </si>
  <si>
    <t>year-on-year</t>
  </si>
  <si>
    <t>3c16</t>
  </si>
  <si>
    <t>ORCL.N</t>
  </si>
  <si>
    <t>Oracle Corporation</t>
  </si>
  <si>
    <t>Other acquired products</t>
  </si>
  <si>
    <t>Organic Revenue - Constant Currency</t>
  </si>
  <si>
    <t>Revenue Drivers</t>
  </si>
  <si>
    <t>Database License Components</t>
  </si>
  <si>
    <t>Core Database</t>
  </si>
  <si>
    <t xml:space="preserve">     Real Applications Clusters (RAC)</t>
  </si>
  <si>
    <t xml:space="preserve">      year-on-year growth</t>
  </si>
  <si>
    <t xml:space="preserve">     Other Options</t>
  </si>
  <si>
    <t>organic(ex-HYSL/BEAS)</t>
  </si>
  <si>
    <t>Deals</t>
  </si>
  <si>
    <t>Customers</t>
  </si>
  <si>
    <t>Applications Customers</t>
  </si>
  <si>
    <t>add: Stock-based employee comp included above</t>
  </si>
  <si>
    <t>Estimates Using % of Operating Expense (LTM)</t>
  </si>
  <si>
    <t>Accrued Compensation/ Benefits</t>
  </si>
  <si>
    <t>Other Non-Current Liabilities</t>
  </si>
  <si>
    <t>Doubtful Accounts</t>
  </si>
  <si>
    <t>% of LTM Revenue</t>
  </si>
  <si>
    <t>as % of AR</t>
  </si>
  <si>
    <t>as % LTM Avg AR</t>
  </si>
  <si>
    <t>Provision for Doubtful Accounts</t>
  </si>
  <si>
    <t xml:space="preserve">     year-on-year Growth</t>
  </si>
  <si>
    <t xml:space="preserve">     as % of NTM maintenance revs</t>
  </si>
  <si>
    <t>LTM Maintenance Bookings as % on NTM support revs</t>
  </si>
  <si>
    <t>Additional-Paid in Capital</t>
  </si>
  <si>
    <t>Cloud Acquired Revenues ($M)</t>
  </si>
  <si>
    <t>Organic Cloud Subscription Revenue (Y/Y)</t>
  </si>
  <si>
    <t>Addt'l S&amp;M</t>
  </si>
  <si>
    <t>Total Non-Assigned</t>
  </si>
  <si>
    <t>% of Revenues</t>
  </si>
  <si>
    <t>Operating Income $</t>
  </si>
  <si>
    <t>Operating Margin %</t>
  </si>
  <si>
    <t>Y/Y Margin Contribution Analysis</t>
  </si>
  <si>
    <t>Y/Y Change in Operating Margin</t>
  </si>
  <si>
    <t>8/10</t>
  </si>
  <si>
    <t>Hardware Systems Products</t>
  </si>
  <si>
    <t>Hardware Systems Support</t>
  </si>
  <si>
    <t xml:space="preserve">     Costs of Hardware Systems Products</t>
  </si>
  <si>
    <t>Def rev as % of current Q</t>
  </si>
  <si>
    <t>Hardware Mix Shift Contribution</t>
  </si>
  <si>
    <t>Hardware Efficiency Improvement Contrib.</t>
  </si>
  <si>
    <t>Noncontrolling Interests</t>
  </si>
  <si>
    <t>YoY Growth</t>
  </si>
  <si>
    <t>EPS (Diluted) - Operating Incl. FV SOE</t>
  </si>
  <si>
    <t>year-on-year.</t>
  </si>
  <si>
    <t>Reported Cloud Subscription Revenue (Q/Q)</t>
  </si>
  <si>
    <t xml:space="preserve">     year-on-year growth</t>
  </si>
  <si>
    <t>Instantis</t>
  </si>
  <si>
    <t>F2011</t>
  </si>
  <si>
    <t xml:space="preserve"> 2/05</t>
  </si>
  <si>
    <t>3c05</t>
  </si>
  <si>
    <t>5/07</t>
  </si>
  <si>
    <t>Hardware Manufacturing</t>
  </si>
  <si>
    <t>Phase Forward</t>
  </si>
  <si>
    <t>Hardware Products</t>
  </si>
  <si>
    <t>Hardware Products Margin</t>
  </si>
  <si>
    <t>Hardware Support Margin</t>
  </si>
  <si>
    <t>LTM R&amp;D</t>
  </si>
  <si>
    <t>1c14</t>
  </si>
  <si>
    <t>2c14</t>
  </si>
  <si>
    <t>_fy14</t>
  </si>
  <si>
    <t>3c13</t>
  </si>
  <si>
    <t>4c13</t>
  </si>
  <si>
    <t>Demantra</t>
  </si>
  <si>
    <t>DSO</t>
  </si>
  <si>
    <t>Deferred Revenue</t>
  </si>
  <si>
    <t>Other</t>
  </si>
  <si>
    <t>Software Updates and Product Support</t>
  </si>
  <si>
    <t>1c04</t>
  </si>
  <si>
    <t>2c04</t>
  </si>
  <si>
    <t>3c04</t>
  </si>
  <si>
    <t>4c04</t>
  </si>
  <si>
    <t>Y/Y Growth</t>
  </si>
  <si>
    <t>FY94</t>
  </si>
  <si>
    <t>FY95</t>
  </si>
  <si>
    <t>FY00</t>
  </si>
  <si>
    <t>FY01</t>
  </si>
  <si>
    <t>FY02</t>
  </si>
  <si>
    <t>FY03</t>
  </si>
  <si>
    <t>New License Revenue</t>
  </si>
  <si>
    <t>CY09</t>
  </si>
  <si>
    <t>CY10</t>
  </si>
  <si>
    <t>CY11</t>
  </si>
  <si>
    <t>dom</t>
  </si>
  <si>
    <t>emea</t>
  </si>
  <si>
    <t>apac</t>
  </si>
  <si>
    <t>quarter-on-quarter</t>
  </si>
  <si>
    <t>fx impact</t>
  </si>
  <si>
    <t>Other Long-term Liabilities</t>
  </si>
  <si>
    <t>Total Liabilities</t>
  </si>
  <si>
    <t>Common and Preferred Stock</t>
  </si>
  <si>
    <t>Other Comprehensive Income</t>
  </si>
  <si>
    <t>Retained Earnings</t>
  </si>
  <si>
    <t>Total Stkhldrs' Equity</t>
  </si>
  <si>
    <t>Sales &amp; Services</t>
  </si>
  <si>
    <t>Marketing</t>
  </si>
  <si>
    <t>International</t>
  </si>
  <si>
    <t xml:space="preserve"> 8/07</t>
  </si>
  <si>
    <t>Total Liabilities and Stockholders' Equity</t>
  </si>
  <si>
    <t>Net Cash /FDS</t>
  </si>
  <si>
    <t>Debt Outstanding</t>
  </si>
  <si>
    <t>Floating rate May '09 notes</t>
  </si>
  <si>
    <t>Floating rate May '10 notes</t>
  </si>
  <si>
    <t>4Q07</t>
  </si>
  <si>
    <t>1Q08</t>
  </si>
  <si>
    <t>Stock Option EPS Impact</t>
  </si>
  <si>
    <t>Annual</t>
  </si>
  <si>
    <t>New Software License</t>
  </si>
  <si>
    <t>Constant Currency License Revenue Growth By Region and Product Line</t>
  </si>
  <si>
    <t xml:space="preserve"> 11/01</t>
  </si>
  <si>
    <t xml:space="preserve"> 2/02</t>
  </si>
  <si>
    <t>5/02</t>
  </si>
  <si>
    <t xml:space="preserve"> 8/02</t>
  </si>
  <si>
    <t xml:space="preserve"> 11/02</t>
  </si>
  <si>
    <t xml:space="preserve"> 2/03</t>
  </si>
  <si>
    <t>5/03</t>
  </si>
  <si>
    <t>Balance Sheet</t>
  </si>
  <si>
    <t>Total Bookings (Chg if def from CFS)</t>
  </si>
  <si>
    <t>Black-Scholes Assumptions</t>
  </si>
  <si>
    <t>Average Exercise Price</t>
  </si>
  <si>
    <t>Database Customers</t>
  </si>
  <si>
    <t>erev</t>
  </si>
  <si>
    <t>05/01</t>
  </si>
  <si>
    <t>05/02</t>
  </si>
  <si>
    <t>05/03</t>
  </si>
  <si>
    <t>05/04</t>
  </si>
  <si>
    <t>Purchase Acq GAAP Rules</t>
  </si>
  <si>
    <t>1Q11</t>
  </si>
  <si>
    <t>Services as % of LTM License</t>
  </si>
  <si>
    <t>Consulting as % of LTM License</t>
  </si>
  <si>
    <t>On-Demand</t>
  </si>
  <si>
    <t>APS as % of LTM License</t>
  </si>
  <si>
    <t>Education as % of LTM License</t>
  </si>
  <si>
    <t>Y/Y Chg:</t>
  </si>
  <si>
    <t xml:space="preserve">     Y/Y</t>
  </si>
  <si>
    <t>% of total HC</t>
  </si>
  <si>
    <t>Proceeds - Issuance of Common Stock</t>
  </si>
  <si>
    <t>Relative to FFR</t>
  </si>
  <si>
    <t>Borrowing Cost (basis points)</t>
  </si>
  <si>
    <t>Interest Expense as % of Debt</t>
  </si>
  <si>
    <t>Long-Term Debt</t>
  </si>
  <si>
    <t>4c05</t>
  </si>
  <si>
    <t>Pro-Forma EPS (diluted)</t>
  </si>
  <si>
    <t>Fair Value Stock Option Estimation</t>
  </si>
  <si>
    <t>Stock Option Expense (pre-tax)</t>
  </si>
  <si>
    <t>Gross Value of Grants, net of cancellations</t>
  </si>
  <si>
    <t xml:space="preserve">     % of operating expense</t>
  </si>
  <si>
    <t>Total Options Granted</t>
  </si>
  <si>
    <t>Gross Margins</t>
  </si>
  <si>
    <t>1c95</t>
  </si>
  <si>
    <t>2c95</t>
  </si>
  <si>
    <t>Revenue Per Sales &amp; Services Employee (000s) - YE HC</t>
  </si>
  <si>
    <t>2c06</t>
  </si>
  <si>
    <t>_fy06</t>
  </si>
  <si>
    <t>Revenue Growth By Business Segment</t>
  </si>
  <si>
    <t>Addt'l/Reduced Profit due to change in Margin</t>
  </si>
  <si>
    <t>$ per basis point</t>
  </si>
  <si>
    <t>Oracle Segment Contribution to Additional/(Reduced) Margin</t>
  </si>
  <si>
    <t xml:space="preserve">     Mix Shift</t>
  </si>
  <si>
    <t xml:space="preserve">          Chg. In % of revenues</t>
  </si>
  <si>
    <t xml:space="preserve">          PY +/- overall rev. margin</t>
  </si>
  <si>
    <t xml:space="preserve">     Efficiency Improvement</t>
  </si>
  <si>
    <t>FY91</t>
  </si>
  <si>
    <t>FY92</t>
  </si>
  <si>
    <t>FY93</t>
  </si>
  <si>
    <t>11/12</t>
  </si>
  <si>
    <t>Hardware Systems Product Revenue</t>
  </si>
  <si>
    <t>Software License Updates and Support</t>
  </si>
  <si>
    <t>Software License/Cloud Sub. Revenue</t>
  </si>
  <si>
    <t>Total Service and Support Revenue</t>
  </si>
  <si>
    <t xml:space="preserve">     Q/Q Growth</t>
  </si>
  <si>
    <t>Services/Other Revenue</t>
  </si>
  <si>
    <t>Services Revenues</t>
  </si>
  <si>
    <t xml:space="preserve"> 11/07</t>
  </si>
  <si>
    <t>Stellent</t>
  </si>
  <si>
    <t>Risk-free interest rate (%)</t>
  </si>
  <si>
    <t>Volatility</t>
  </si>
  <si>
    <t>Software Updates and Support Revenue</t>
  </si>
  <si>
    <t>Total Revenue - Reported</t>
  </si>
  <si>
    <t>FY07</t>
  </si>
  <si>
    <t xml:space="preserve">       Mid-point of guide vs. prior Q actual</t>
  </si>
  <si>
    <t xml:space="preserve">      Acquisition Related, other</t>
  </si>
  <si>
    <t xml:space="preserve">      Intangibles</t>
  </si>
  <si>
    <t xml:space="preserve">      Restructuring Charge</t>
  </si>
  <si>
    <t xml:space="preserve">      Stock-based Compensation</t>
  </si>
  <si>
    <t>1Q09</t>
  </si>
  <si>
    <t>3Q09</t>
  </si>
  <si>
    <t>4Q09</t>
  </si>
  <si>
    <t>2/10</t>
  </si>
  <si>
    <t>Middleware</t>
  </si>
  <si>
    <t>Organic Revenue</t>
  </si>
  <si>
    <t>Currency Impact</t>
  </si>
  <si>
    <t>Y/Y Change</t>
  </si>
  <si>
    <t>'SFAS 123' Pro-Forma EPS</t>
  </si>
  <si>
    <t>Operating EPS Incl. Options Expense</t>
  </si>
  <si>
    <t>Period Ending Basic Sharecount</t>
  </si>
  <si>
    <t>Options Granted (Gross)</t>
  </si>
  <si>
    <t>Cash Flow Statement (Cumulative)</t>
  </si>
  <si>
    <t>Cash Flow Statement (Quarterly)</t>
  </si>
  <si>
    <t xml:space="preserve">        variance to mid-point</t>
  </si>
  <si>
    <t xml:space="preserve"> 2/09</t>
  </si>
  <si>
    <t>Depreciation</t>
  </si>
  <si>
    <t>Amortization of Intangibles</t>
  </si>
  <si>
    <t>Other Accrued Liabilities</t>
  </si>
  <si>
    <t>New Software Licenses</t>
  </si>
  <si>
    <t>Other Data</t>
  </si>
  <si>
    <t>% Deals from $500k+ transactions</t>
  </si>
  <si>
    <t>mrev</t>
  </si>
  <si>
    <t>Database and Other Technology</t>
  </si>
  <si>
    <t>% of License Financed</t>
  </si>
  <si>
    <t>% cumulative on annual</t>
  </si>
  <si>
    <t xml:space="preserve">     $'s of License Financed</t>
  </si>
  <si>
    <t>% per Q</t>
  </si>
  <si>
    <t>Cash and Equivalents held in foreign currencies</t>
  </si>
  <si>
    <t>as % of total C&amp;E</t>
  </si>
  <si>
    <t>5/07E</t>
  </si>
  <si>
    <t>F2008</t>
  </si>
  <si>
    <t>5/08</t>
  </si>
  <si>
    <t>FY16</t>
  </si>
  <si>
    <t xml:space="preserve"> 11/05</t>
  </si>
  <si>
    <t>Applications</t>
  </si>
  <si>
    <t>Total</t>
  </si>
  <si>
    <t>As Reported Growth</t>
  </si>
  <si>
    <t>AMERICAS</t>
  </si>
  <si>
    <t>Local Currency Growth</t>
  </si>
  <si>
    <t>EMEA</t>
  </si>
  <si>
    <t>APAC</t>
  </si>
  <si>
    <t>TOTAL</t>
  </si>
  <si>
    <t>APPLICATIONS</t>
  </si>
  <si>
    <t>Revenues</t>
  </si>
  <si>
    <t>New Licenses</t>
  </si>
  <si>
    <t>F1997</t>
  </si>
  <si>
    <t>F1998</t>
  </si>
  <si>
    <t>Modelware - Includes Reported Revenues, Reported Stock Option Expense &amp; Excluding Special Charges</t>
  </si>
  <si>
    <t xml:space="preserve"> 2/06</t>
  </si>
  <si>
    <t>Cash held by foreign subsidiaries</t>
  </si>
  <si>
    <t>Remainder</t>
  </si>
  <si>
    <t>Balance Sheet Drivers and Line Item Detail</t>
  </si>
  <si>
    <t>Accounts Receivable and Payable (Based on DSO and Days Payable)</t>
  </si>
  <si>
    <t>ltmlrev</t>
  </si>
  <si>
    <t>LTM Total Revenue</t>
  </si>
  <si>
    <t>ltmrev</t>
  </si>
  <si>
    <t>LTM Operating Expense</t>
  </si>
  <si>
    <t>ltmopex</t>
  </si>
  <si>
    <t>LTM Total Expenses</t>
  </si>
  <si>
    <t>ltmexp</t>
  </si>
  <si>
    <t>LTM Operating Profit</t>
  </si>
  <si>
    <t>ltmop</t>
  </si>
  <si>
    <t>LTM Operating Margin</t>
  </si>
  <si>
    <t>ltmopmgn</t>
  </si>
  <si>
    <t>ltmrnd</t>
  </si>
  <si>
    <t>LTM NI</t>
  </si>
  <si>
    <t>ltmni</t>
  </si>
  <si>
    <t>ltmeps</t>
  </si>
  <si>
    <t>LTM CFFO</t>
  </si>
  <si>
    <t>ltmopcash</t>
  </si>
  <si>
    <t>EBIT (1-T)</t>
  </si>
  <si>
    <t>nopat</t>
  </si>
  <si>
    <t>totrec</t>
  </si>
  <si>
    <t>cash</t>
  </si>
  <si>
    <t>toteq</t>
  </si>
  <si>
    <t>Cash Per Share</t>
  </si>
  <si>
    <t>cashshare</t>
  </si>
  <si>
    <t>capex</t>
  </si>
  <si>
    <t>Operating Cash</t>
  </si>
  <si>
    <t>opcash</t>
  </si>
  <si>
    <t>% of Total</t>
  </si>
  <si>
    <t>Operating EPS</t>
  </si>
  <si>
    <t>GAAP EPS</t>
  </si>
  <si>
    <t>5/13</t>
  </si>
  <si>
    <t>F2013</t>
  </si>
  <si>
    <t>S&amp;M Expense</t>
  </si>
  <si>
    <t>Support</t>
  </si>
  <si>
    <t>Support Revenues</t>
  </si>
  <si>
    <t>Support Cost</t>
  </si>
  <si>
    <t>Y.Y % Change in Deferred Revenue</t>
  </si>
  <si>
    <t>Capex to Depreciation</t>
  </si>
  <si>
    <t>Capex to Sales</t>
  </si>
  <si>
    <t>Profitability Ratios</t>
  </si>
  <si>
    <t>Other Balance Sheet Metrics</t>
  </si>
  <si>
    <t>Exercisable Options Outstanding</t>
  </si>
  <si>
    <t>% of Period Ending Basic Sharecount</t>
  </si>
  <si>
    <t>Taleo (April 2012)</t>
  </si>
  <si>
    <t>RightNow (January 2012)</t>
  </si>
  <si>
    <t>8/12</t>
  </si>
  <si>
    <t>Capex</t>
  </si>
  <si>
    <t>rrev</t>
  </si>
  <si>
    <t>licensecost</t>
  </si>
  <si>
    <t>Net Cash Provided by (used in) Operating Activities</t>
  </si>
  <si>
    <t>Changes in operating assets and liabilities:</t>
  </si>
  <si>
    <t>Cash Flows from Investing Activities</t>
  </si>
  <si>
    <t>Cash Flow from Financing Activies</t>
  </si>
  <si>
    <t xml:space="preserve">     Retirements as % of BoP Gross PPE</t>
  </si>
  <si>
    <t>_fy96</t>
  </si>
  <si>
    <t>3c96</t>
  </si>
  <si>
    <t>4c96</t>
  </si>
  <si>
    <t>1c97</t>
  </si>
  <si>
    <t>2c97</t>
  </si>
  <si>
    <t>_fy97</t>
  </si>
  <si>
    <t>3c97</t>
  </si>
  <si>
    <t>4c97</t>
  </si>
  <si>
    <t>1c98</t>
  </si>
  <si>
    <t>2c98</t>
  </si>
  <si>
    <t>_fy98</t>
  </si>
  <si>
    <t>BoP Additional Paid-in Capital</t>
  </si>
  <si>
    <t>EoP Additional Paid-in Capital</t>
  </si>
  <si>
    <t>Repurchase Authorization</t>
  </si>
  <si>
    <t>BoP Retained Earnings</t>
  </si>
  <si>
    <t>Revenue Analysis</t>
  </si>
  <si>
    <t>Inorganic Contribution via 10Q</t>
  </si>
  <si>
    <t>2Q08</t>
  </si>
  <si>
    <t>apps</t>
  </si>
  <si>
    <t>Payments - Repurchase of Common Stock / Debt</t>
  </si>
  <si>
    <t>AdminServer</t>
  </si>
  <si>
    <t>Allowance for Doubtful Accounts</t>
  </si>
  <si>
    <t>8/13</t>
  </si>
  <si>
    <t>EPS (Diluted) - Reported</t>
  </si>
  <si>
    <t>Diluted Shares Outstanding</t>
  </si>
  <si>
    <t>Basic Shares Outstanding (wA)</t>
  </si>
  <si>
    <t>Dilution Ratio</t>
  </si>
  <si>
    <t>FY08</t>
  </si>
  <si>
    <t>Exercisable Options wA Price ($)</t>
  </si>
  <si>
    <t>Check</t>
  </si>
  <si>
    <t>Total Operating Expense (Operating)</t>
  </si>
  <si>
    <t>totexp</t>
  </si>
  <si>
    <t>Operating Income (Operating)</t>
  </si>
  <si>
    <t>EBITDA Margin</t>
  </si>
  <si>
    <t>othinc</t>
  </si>
  <si>
    <t xml:space="preserve">    Interest Income</t>
  </si>
  <si>
    <t xml:space="preserve">    Interest Expense</t>
  </si>
  <si>
    <t xml:space="preserve">    Minority Interest</t>
  </si>
  <si>
    <t xml:space="preserve">    Other Income</t>
  </si>
  <si>
    <t>Income Before Taxes</t>
  </si>
  <si>
    <t>grinc</t>
  </si>
  <si>
    <t>Income Tax Expense</t>
  </si>
  <si>
    <t>taxes</t>
  </si>
  <si>
    <t>ni</t>
  </si>
  <si>
    <t>EPS (Diluted) - Operating</t>
  </si>
  <si>
    <t>EPS (non-GAAP)</t>
  </si>
  <si>
    <t>Including FV Stock Option Expense, Excluding Special Charges</t>
  </si>
  <si>
    <t>Operating  Income</t>
  </si>
  <si>
    <t xml:space="preserve"> 8/08</t>
  </si>
  <si>
    <t>Options Data</t>
  </si>
  <si>
    <t>Operating Net Income</t>
  </si>
  <si>
    <t>Total Expense per Employee (000s) - sum of quarters</t>
  </si>
  <si>
    <t>Portal</t>
  </si>
  <si>
    <t>Guidance</t>
  </si>
  <si>
    <t>ROE (including Amtortized Intangibles)</t>
  </si>
  <si>
    <t>Services Revenues (ex-Maintenance)</t>
  </si>
  <si>
    <t>Jan 2011 Notes (5%)</t>
  </si>
  <si>
    <t>Total Debt</t>
  </si>
  <si>
    <t>Net Cash Per Share</t>
  </si>
  <si>
    <t>Other Cash Flow Metrics</t>
  </si>
  <si>
    <t>Depreciation and Amortization</t>
  </si>
  <si>
    <t>Purchase - Property &amp; Equipment</t>
  </si>
  <si>
    <t>F2004E</t>
  </si>
  <si>
    <t xml:space="preserve">    Japanese Yen</t>
  </si>
  <si>
    <t xml:space="preserve">    Euro</t>
  </si>
  <si>
    <t>2/11</t>
  </si>
  <si>
    <t>'SFAS 123' Option Expense/ Operating Net Income</t>
  </si>
  <si>
    <t>PP&amp;E</t>
  </si>
  <si>
    <t>Intangibles</t>
  </si>
  <si>
    <t>dcfdna</t>
  </si>
  <si>
    <t>hc</t>
  </si>
  <si>
    <t>Sales and Services Employees</t>
  </si>
  <si>
    <t>smhc</t>
  </si>
  <si>
    <t>R&amp;D Employees</t>
  </si>
  <si>
    <t>rdhc</t>
  </si>
  <si>
    <t>domhc</t>
  </si>
  <si>
    <t>intlhc</t>
  </si>
  <si>
    <t>Revenue Per Employee (000s)</t>
  </si>
  <si>
    <t>revemp</t>
  </si>
  <si>
    <t>Count</t>
  </si>
  <si>
    <t>Dividends Paid</t>
  </si>
  <si>
    <t>Total Cash and Cash Equivalents</t>
  </si>
  <si>
    <t>Common Stock Issuances from ESPP &amp; Option Exercise</t>
  </si>
  <si>
    <t>Gross Income</t>
  </si>
  <si>
    <t>Operating Margin</t>
  </si>
  <si>
    <t>GAAP - Reported Figures</t>
  </si>
  <si>
    <t xml:space="preserve">Operating Income </t>
  </si>
  <si>
    <t xml:space="preserve">Net Income </t>
  </si>
  <si>
    <t>EPS (Basic) - Reported</t>
  </si>
  <si>
    <t>Endeca (closed 12/5/2011)</t>
  </si>
  <si>
    <t>Tekelec</t>
  </si>
  <si>
    <t>4Q05</t>
  </si>
  <si>
    <t>4Q06</t>
  </si>
  <si>
    <t>End of Period Retained Earnings</t>
  </si>
  <si>
    <t>Earnings and Cash Flow Analysis</t>
  </si>
  <si>
    <t>Earnings Monitor</t>
  </si>
  <si>
    <t>Free Cash Flow to Earnings Ratio</t>
  </si>
  <si>
    <t>Days Sales Outstanding</t>
  </si>
  <si>
    <t>Loan Loss Reserve Ratio</t>
  </si>
  <si>
    <t>Organic Cloud Subscription Revenue - Constant Currency</t>
  </si>
  <si>
    <t>Reported Cloud Subscription Revenue (Y/Y)</t>
  </si>
  <si>
    <t>Cost of Services</t>
  </si>
  <si>
    <t>F2004</t>
  </si>
  <si>
    <t>5/04</t>
  </si>
  <si>
    <t>FY04</t>
  </si>
  <si>
    <t>Primavera</t>
  </si>
  <si>
    <t>CY06</t>
  </si>
  <si>
    <t>CY07</t>
  </si>
  <si>
    <t>Revenue Per Employee (000s) - sum of quarters</t>
  </si>
  <si>
    <t>Revenue Per Employee (000s) - YE HC</t>
  </si>
  <si>
    <t>Hyperion Apps</t>
  </si>
  <si>
    <t>Repurchase of Common Stock</t>
  </si>
  <si>
    <t xml:space="preserve">     Retained Earnings</t>
  </si>
  <si>
    <t>% of Sales</t>
  </si>
  <si>
    <t>Accounts Payable and Accrued Expenses</t>
  </si>
  <si>
    <t>Other Liabilties</t>
  </si>
  <si>
    <t>Purchase - Investments</t>
  </si>
  <si>
    <t>Proceeds - Sale &amp; Maturity of Investments</t>
  </si>
  <si>
    <t>Retek</t>
  </si>
  <si>
    <t>License Rev.</t>
  </si>
  <si>
    <t>Actual vs. Mid-point of Guidance</t>
  </si>
  <si>
    <t>* Numbers in Bold beat the high end of guidance</t>
  </si>
  <si>
    <t>year-on-year % growth</t>
  </si>
  <si>
    <t>quarter-on-quarter % growth</t>
  </si>
  <si>
    <t>% of NTM Maintenance</t>
  </si>
  <si>
    <t>Estimates Using % of Sales Approach (LTM)</t>
  </si>
  <si>
    <t>Other Current Assets</t>
  </si>
  <si>
    <t>Other Non-Current Assets</t>
  </si>
  <si>
    <t>This sheet contains Factset binary data for use with this workbook's =FDS codes.  Modifying the worksheet's contents may damage the workbook's =FDS functionality.</t>
  </si>
  <si>
    <t>Organic License Revenue - Y/Y Growth</t>
  </si>
  <si>
    <t xml:space="preserve">    Database Technology Acquired Revenues</t>
  </si>
  <si>
    <t xml:space="preserve">    Applications Acquired Revenues</t>
  </si>
  <si>
    <t>writedown</t>
  </si>
  <si>
    <t>Siebel</t>
  </si>
  <si>
    <t>July 2020 Notes (3.875%)</t>
  </si>
  <si>
    <t>July 2040 Notes (5.375%)</t>
  </si>
  <si>
    <t>$ Value of Deals &gt;$3M</t>
  </si>
  <si>
    <t>% of License from Deals &gt; $3M</t>
  </si>
  <si>
    <t>QoQ growth</t>
  </si>
  <si>
    <t>Domestic Revenue Per Domestic Employee (000s)</t>
  </si>
  <si>
    <t>International Revenue Per International Employee (000s)</t>
  </si>
  <si>
    <t>Total Bookings</t>
  </si>
  <si>
    <t>Amounts in Local Currency</t>
  </si>
  <si>
    <t xml:space="preserve">   Actual/MS Estimate</t>
  </si>
  <si>
    <t xml:space="preserve">     Organic Q/Q</t>
  </si>
  <si>
    <t>4c16</t>
  </si>
  <si>
    <t>Acme Packet</t>
  </si>
  <si>
    <t xml:space="preserve"> 8/01</t>
  </si>
  <si>
    <t>Gains (Losses) on Investments</t>
  </si>
  <si>
    <t>Deferred Income Taxes</t>
  </si>
  <si>
    <t>Prepaids and Other Assets</t>
  </si>
  <si>
    <t>Jan 2016 Notes (5.25%)</t>
  </si>
  <si>
    <t>Apr 2013 Notes (4.95%)</t>
  </si>
  <si>
    <t>Apr 2018 Notes (5.75%)</t>
  </si>
  <si>
    <t>Apr 2038 Notes (6.5%)</t>
  </si>
  <si>
    <t>Cash Balance in foreign currency</t>
  </si>
  <si>
    <t>% of cash balance</t>
  </si>
  <si>
    <t>Cash Balance in USD</t>
  </si>
  <si>
    <t>Income Tax minus Estimated Tax of Non-Operating One-Time</t>
  </si>
  <si>
    <r>
      <t>↑</t>
    </r>
    <r>
      <rPr>
        <sz val="7.2"/>
        <color indexed="55"/>
        <rFont val="Arial"/>
        <family val="2"/>
      </rPr>
      <t xml:space="preserve"> </t>
    </r>
    <r>
      <rPr>
        <sz val="8"/>
        <color indexed="55"/>
        <rFont val="Arial"/>
        <family val="2"/>
      </rPr>
      <t>for modelware tags unhide columns here</t>
    </r>
  </si>
  <si>
    <t>5/96</t>
  </si>
  <si>
    <t xml:space="preserve"> 8/96</t>
  </si>
  <si>
    <t xml:space="preserve"> 11/96</t>
  </si>
  <si>
    <t xml:space="preserve"> 2/97</t>
  </si>
  <si>
    <t>5/97</t>
  </si>
  <si>
    <t xml:space="preserve"> 8/97</t>
  </si>
  <si>
    <t xml:space="preserve"> 11/97</t>
  </si>
  <si>
    <t xml:space="preserve"> 2/98</t>
  </si>
  <si>
    <t>5/98</t>
  </si>
  <si>
    <t xml:space="preserve"> 8/98</t>
  </si>
  <si>
    <t>Proceeds/(Payments) of Long Term Debt</t>
  </si>
  <si>
    <t>BigMachines</t>
  </si>
  <si>
    <t>Eloqua (Feb 2013)</t>
  </si>
  <si>
    <t>NA</t>
  </si>
  <si>
    <t xml:space="preserve"> </t>
  </si>
  <si>
    <t>-</t>
  </si>
  <si>
    <t>FY85</t>
  </si>
  <si>
    <t>FY84</t>
  </si>
  <si>
    <t>Deferred Revenue (Based on year-on-year % Growth)</t>
  </si>
  <si>
    <t>8/09</t>
  </si>
  <si>
    <t xml:space="preserve">    as % of prior period intangibles</t>
  </si>
  <si>
    <t>Deferred Maintenance Revenue</t>
  </si>
  <si>
    <t xml:space="preserve"> 11/08</t>
  </si>
  <si>
    <t>4Q08</t>
  </si>
  <si>
    <t>Net Cash Used in Investing Activities</t>
  </si>
  <si>
    <t>Net Cash Provided by Financing Activities</t>
  </si>
  <si>
    <t>Cash, Beginning of Period</t>
  </si>
  <si>
    <t>11/09</t>
  </si>
  <si>
    <t>Exercisable Stock Options</t>
  </si>
  <si>
    <t>Employee and Director Stock Options</t>
  </si>
  <si>
    <t xml:space="preserve">Dividend yield </t>
  </si>
  <si>
    <t xml:space="preserve">     Additional Paid in Capital</t>
  </si>
  <si>
    <t xml:space="preserve">         additional shares per employee</t>
  </si>
  <si>
    <t>Tax Benefit From Stock Plans</t>
  </si>
  <si>
    <t>Stock Based Compensation expense</t>
  </si>
  <si>
    <t>EMEA License Revenue</t>
  </si>
  <si>
    <t>lemea</t>
  </si>
  <si>
    <t>Asia Pacific License Revenue</t>
  </si>
  <si>
    <t>lapac</t>
  </si>
  <si>
    <t>4c02</t>
  </si>
  <si>
    <t>1c03</t>
  </si>
  <si>
    <t>2c03</t>
  </si>
  <si>
    <t>3c03</t>
  </si>
  <si>
    <t>4c03</t>
  </si>
  <si>
    <t>3c02</t>
  </si>
  <si>
    <t>Reported Hardware (Y/Y)</t>
  </si>
  <si>
    <t>Reported Hardware License ($)</t>
  </si>
  <si>
    <t>Organic Hardware Revenue</t>
  </si>
  <si>
    <t>Overall Revenues</t>
  </si>
  <si>
    <t xml:space="preserve">     Shares Repurchased</t>
  </si>
  <si>
    <t xml:space="preserve">         Avg. Repurchase Price</t>
  </si>
  <si>
    <t xml:space="preserve">     Shares Issued</t>
  </si>
  <si>
    <t xml:space="preserve">         Average Issuance Price</t>
  </si>
  <si>
    <t xml:space="preserve">   Options Granted per Employee</t>
  </si>
  <si>
    <t>Endeca</t>
  </si>
  <si>
    <t>Commercial Paper</t>
  </si>
  <si>
    <t>3c09</t>
  </si>
  <si>
    <t>4c09</t>
  </si>
  <si>
    <t>1c10</t>
  </si>
  <si>
    <t>2c10</t>
  </si>
  <si>
    <t>_fy10</t>
  </si>
  <si>
    <t>Cost of Revenues</t>
  </si>
  <si>
    <t>Cost of Revenue</t>
  </si>
  <si>
    <t>July 2014 Notes (3.75%)</t>
  </si>
  <si>
    <t>Shares Issued, net</t>
  </si>
  <si>
    <t>3c14</t>
  </si>
  <si>
    <t>4c14</t>
  </si>
  <si>
    <t>1c15</t>
  </si>
  <si>
    <t>2c15</t>
  </si>
  <si>
    <t>_fy15</t>
  </si>
  <si>
    <t>3c15</t>
  </si>
  <si>
    <t>4c15</t>
  </si>
  <si>
    <t>1c16</t>
  </si>
  <si>
    <t>2c16</t>
  </si>
  <si>
    <t>_fy16</t>
  </si>
  <si>
    <t>_fy95</t>
  </si>
  <si>
    <t>3c95</t>
  </si>
  <si>
    <t>4c95</t>
  </si>
  <si>
    <t>1c96</t>
  </si>
  <si>
    <t>2c96</t>
  </si>
  <si>
    <t>_fy94</t>
  </si>
  <si>
    <t>3c94</t>
  </si>
  <si>
    <t>4c94</t>
  </si>
  <si>
    <t>.</t>
  </si>
  <si>
    <t>Oct 2017 Notes (1.20%)</t>
  </si>
  <si>
    <t>Oct 2022 Notes (2.5%)</t>
  </si>
  <si>
    <t>Constant Currency Revenue Growth By Business Segment and Product Line</t>
  </si>
  <si>
    <t>Asia Pacific</t>
  </si>
  <si>
    <t>3c98</t>
  </si>
  <si>
    <t>4c98</t>
  </si>
  <si>
    <t>1c99</t>
  </si>
  <si>
    <t>2c99</t>
  </si>
  <si>
    <t>_fy99</t>
  </si>
  <si>
    <t>3c99</t>
  </si>
  <si>
    <t>4c99</t>
  </si>
  <si>
    <t>1c00</t>
  </si>
  <si>
    <t>2c00</t>
  </si>
  <si>
    <t>_fy00</t>
  </si>
  <si>
    <t>3c00</t>
  </si>
  <si>
    <t>4c00</t>
  </si>
  <si>
    <t>1c01</t>
  </si>
  <si>
    <t>2c01</t>
  </si>
  <si>
    <t>Total Software Revenue</t>
  </si>
  <si>
    <t>EPS (PF)</t>
  </si>
  <si>
    <t>Revenue (GAAP)</t>
  </si>
  <si>
    <t>EPS (GAAP)</t>
  </si>
  <si>
    <t xml:space="preserve">   Guidance</t>
  </si>
  <si>
    <t>4% to 5%</t>
  </si>
  <si>
    <t>GAAP Net Income</t>
  </si>
  <si>
    <t>Def lic as % of current Q</t>
  </si>
  <si>
    <t>Chg in def lic as % of current Q</t>
  </si>
  <si>
    <t>Def lic as % of forward Q</t>
  </si>
  <si>
    <t>Deferred Maintenance as % of NTM Maintenance</t>
  </si>
  <si>
    <t>Maintenance Bookings</t>
  </si>
  <si>
    <t>F2001</t>
  </si>
  <si>
    <t>Hardware Product Revenue</t>
  </si>
  <si>
    <t>Shareholders Equity</t>
  </si>
  <si>
    <t>Implied &lt;$3M deal license revenue</t>
  </si>
  <si>
    <t>Dividend Yield</t>
  </si>
  <si>
    <t>Weighted average fair value of grants (per share)</t>
  </si>
  <si>
    <t>Common Dividends</t>
  </si>
  <si>
    <t xml:space="preserve">Note: </t>
  </si>
  <si>
    <t xml:space="preserve">     Q/Q</t>
  </si>
  <si>
    <t>Reported Database Technology License (Y/Y)</t>
  </si>
  <si>
    <t>Reported Database Technology License ($)</t>
  </si>
  <si>
    <t>DB Lic</t>
  </si>
  <si>
    <t>Oblix</t>
  </si>
  <si>
    <t>HYSL</t>
  </si>
  <si>
    <t>TimesTen</t>
  </si>
  <si>
    <t>other</t>
  </si>
  <si>
    <t>Siebel MW &amp; DB</t>
  </si>
  <si>
    <t>Y/Y</t>
  </si>
  <si>
    <t>1c17</t>
  </si>
  <si>
    <t>2c17</t>
  </si>
  <si>
    <t>_fy17</t>
  </si>
  <si>
    <t xml:space="preserve">Expected life from vest date (in years) </t>
  </si>
  <si>
    <t xml:space="preserve">    UK Pound</t>
  </si>
  <si>
    <t xml:space="preserve">    Chinese Renminbi</t>
  </si>
  <si>
    <t>Buyback as % of FCF</t>
  </si>
  <si>
    <t>Adjustments to Operating Activities:</t>
  </si>
  <si>
    <t>1Q10</t>
  </si>
  <si>
    <t xml:space="preserve">ModelWare EPS </t>
  </si>
  <si>
    <t>MWeps</t>
  </si>
  <si>
    <t>F1996</t>
  </si>
  <si>
    <t>Revenue</t>
  </si>
  <si>
    <t>Description</t>
  </si>
  <si>
    <t>Margins (PF)</t>
  </si>
  <si>
    <t>Segment Reporting</t>
  </si>
  <si>
    <t xml:space="preserve">     Revenues</t>
  </si>
  <si>
    <t xml:space="preserve">     Sales and Distribution Expenses</t>
  </si>
  <si>
    <t xml:space="preserve">     Margin $</t>
  </si>
  <si>
    <t xml:space="preserve">     Margin %</t>
  </si>
  <si>
    <t>SW License Updates &amp; Product Support</t>
  </si>
  <si>
    <t xml:space="preserve">     Costs of Update &amp; Support</t>
  </si>
  <si>
    <t xml:space="preserve">     Costs of Services</t>
  </si>
  <si>
    <t xml:space="preserve">     Total Revenues</t>
  </si>
  <si>
    <t xml:space="preserve">     Total Expense</t>
  </si>
  <si>
    <t>Deferred Services Revenue</t>
  </si>
  <si>
    <t>4Q11</t>
  </si>
  <si>
    <t>less: Stock-based employee comp via fair value method</t>
  </si>
  <si>
    <t>Pro-Forma Net Income</t>
  </si>
  <si>
    <t>Pro-Forma EPS (basic)</t>
  </si>
  <si>
    <t xml:space="preserve"> 11/03</t>
  </si>
  <si>
    <t>servicecost</t>
  </si>
  <si>
    <t>Service Margin</t>
  </si>
  <si>
    <t>Total Cost of Revenue</t>
  </si>
  <si>
    <t>slscost</t>
  </si>
  <si>
    <t>grp</t>
  </si>
  <si>
    <t>Gross Margin</t>
  </si>
  <si>
    <t>Maintenance Revenues - Reported</t>
  </si>
  <si>
    <t>11/13</t>
  </si>
  <si>
    <t>Q/Q Change</t>
  </si>
  <si>
    <t xml:space="preserve"> Renewal Billings Factor</t>
  </si>
  <si>
    <t>2/14</t>
  </si>
  <si>
    <t>Responsys (closed Feb 2014)</t>
  </si>
  <si>
    <t>Responsys</t>
  </si>
  <si>
    <t>CY13</t>
  </si>
  <si>
    <t>BlueKai</t>
  </si>
  <si>
    <t>5/14</t>
  </si>
  <si>
    <t>Software and Cloud Rev (license, support, SaaS, PaaS, IaaS)</t>
  </si>
  <si>
    <t>SaaS and PaaS</t>
  </si>
  <si>
    <t>F2014</t>
  </si>
  <si>
    <t>IaaS</t>
  </si>
  <si>
    <t>Hardware Systems</t>
  </si>
  <si>
    <t>SaaS, PaaS, IaaS operations</t>
  </si>
  <si>
    <t>Cloud SaaS, PaaS and IaaS</t>
  </si>
  <si>
    <t>New License Deferred</t>
  </si>
  <si>
    <t>Cloud IaaS</t>
  </si>
  <si>
    <t>Cloud Services (OnDemand) / IaaS</t>
  </si>
  <si>
    <t>Pro-forma results</t>
  </si>
  <si>
    <t>MCRS</t>
  </si>
  <si>
    <t>TOA</t>
  </si>
  <si>
    <t>LT deferred</t>
  </si>
  <si>
    <t>Deferred total (Cloud + new license)</t>
  </si>
  <si>
    <t>8/14</t>
  </si>
  <si>
    <t>Reported License/SaaS/PaaS/IaaS Revenue</t>
  </si>
  <si>
    <t>Organic License/SaaS/PaaS/IaaS Revenue</t>
  </si>
  <si>
    <t>Organic License/SaaS/PaaS/IaaS Revenue - CC</t>
  </si>
  <si>
    <t>Organic CC Lic Rev. Ex SaaS/PaaS/IaaS</t>
  </si>
  <si>
    <t>Reported License/SaaS/PaaS/IaaS Revenue (Y/Y)</t>
  </si>
  <si>
    <t>11/14</t>
  </si>
  <si>
    <t>Q/Q</t>
  </si>
  <si>
    <t>Cloud Billings (SaaS/PaaS/IaaS)</t>
  </si>
  <si>
    <t>Consulting/Services</t>
  </si>
  <si>
    <t>1c18</t>
  </si>
  <si>
    <t>2c18</t>
  </si>
  <si>
    <t>_fy18</t>
  </si>
  <si>
    <t>3c17</t>
  </si>
  <si>
    <t>4c17</t>
  </si>
  <si>
    <t>F2018E</t>
  </si>
  <si>
    <t xml:space="preserve"> 2/18E</t>
  </si>
  <si>
    <t>5/18E</t>
  </si>
  <si>
    <t>FY18E</t>
  </si>
  <si>
    <t xml:space="preserve"> 8/17E</t>
  </si>
  <si>
    <t xml:space="preserve"> 11/17E</t>
  </si>
  <si>
    <t>CY17e</t>
  </si>
  <si>
    <t>2/15</t>
  </si>
  <si>
    <t>Datalogix</t>
  </si>
  <si>
    <t>Adjusted FCF</t>
  </si>
  <si>
    <t>May 2022 Notes (2.5%)</t>
  </si>
  <si>
    <t>May 2025 Notes (2.95%)</t>
  </si>
  <si>
    <t>May 2030 Notes (3.25%)</t>
  </si>
  <si>
    <t>May 2045 Notes (4.125%)</t>
  </si>
  <si>
    <t>May 2055 Notes (4.375%)</t>
  </si>
  <si>
    <t>May 2035 Notes (3.9%)</t>
  </si>
  <si>
    <t>5/15</t>
  </si>
  <si>
    <t>F2015</t>
  </si>
  <si>
    <t>Billed, but Unpaid Invoices</t>
  </si>
  <si>
    <t>Gross Cloud Deferred Rev</t>
  </si>
  <si>
    <t>Total Cloud Billings</t>
  </si>
  <si>
    <t xml:space="preserve"> 8/15</t>
  </si>
  <si>
    <t>4% YoY</t>
  </si>
  <si>
    <t>3% YoY</t>
  </si>
  <si>
    <t>SaaS / PaaS Gross Margins Guidance</t>
  </si>
  <si>
    <t>Maxymiser</t>
  </si>
  <si>
    <t>SaaS/PaaS Margin</t>
  </si>
  <si>
    <t>IaaS Margin</t>
  </si>
  <si>
    <t>Blended SW Margin</t>
  </si>
  <si>
    <t xml:space="preserve"> 11/15</t>
  </si>
  <si>
    <t>55-60%</t>
  </si>
  <si>
    <t>Total On-Premise Revenue</t>
  </si>
  <si>
    <t>Total Cloud Revenue</t>
  </si>
  <si>
    <t xml:space="preserve">FC Consensus  </t>
  </si>
  <si>
    <t>2/16</t>
  </si>
  <si>
    <t>22.5-25%</t>
  </si>
  <si>
    <t>Reported Deferred Revenue - SaaS-PaaS</t>
  </si>
  <si>
    <t>SaaS-PaaS Deferred Revenue-Net</t>
  </si>
  <si>
    <t>Billed but Unpaid</t>
  </si>
  <si>
    <t>SaaS-PaaS Deferred Revenue-Gross</t>
  </si>
  <si>
    <t xml:space="preserve">Billings - using Gross Deferred </t>
  </si>
  <si>
    <t>GAAP SaaS-PaaS Subscriptions</t>
  </si>
  <si>
    <t>Change in Gross Deferred Revenue</t>
  </si>
  <si>
    <t>New Customer Wins</t>
  </si>
  <si>
    <t>SaaS ERP/EPM</t>
  </si>
  <si>
    <t>SaaS HCM</t>
  </si>
  <si>
    <t>SaaS CX</t>
  </si>
  <si>
    <t>SaaS (de-duplicated)</t>
  </si>
  <si>
    <t>SaaS-PaaS Billings (using Gross Deferred)</t>
  </si>
  <si>
    <t xml:space="preserve">PaaS </t>
  </si>
  <si>
    <t>SBC for consensus</t>
  </si>
  <si>
    <t>F2019E</t>
  </si>
  <si>
    <t xml:space="preserve"> 8/18E</t>
  </si>
  <si>
    <t xml:space="preserve"> 11/18E</t>
  </si>
  <si>
    <t xml:space="preserve"> 2/19E</t>
  </si>
  <si>
    <t>5/19E</t>
  </si>
  <si>
    <t>FY19E</t>
  </si>
  <si>
    <t>3c18</t>
  </si>
  <si>
    <t>4c18</t>
  </si>
  <si>
    <t>1c19</t>
  </si>
  <si>
    <t>2c19</t>
  </si>
  <si>
    <t>_fy19</t>
  </si>
  <si>
    <t>CY18e</t>
  </si>
  <si>
    <t>CY15</t>
  </si>
  <si>
    <t>CY14</t>
  </si>
  <si>
    <t>5/16</t>
  </si>
  <si>
    <t>Opower</t>
  </si>
  <si>
    <t>Textura</t>
  </si>
  <si>
    <t>F2016</t>
  </si>
  <si>
    <t>July 2044 Notes (4.50%)</t>
  </si>
  <si>
    <t>July 2024 Notes (3.4%)</t>
  </si>
  <si>
    <t>July 2021 Notes (2.80%)</t>
  </si>
  <si>
    <t>Oct 2019 Notes (2.25%)</t>
  </si>
  <si>
    <t>Floating rate July '17 notes</t>
  </si>
  <si>
    <t>Floating rate Oct '19 notes</t>
  </si>
  <si>
    <t>July 2034 (4.3%)</t>
  </si>
  <si>
    <t>Sep 2021 Notes (1.90%)</t>
  </si>
  <si>
    <t>Sep 2023 Notes (2.40%)</t>
  </si>
  <si>
    <t>July 2026 Notes (2.65%)</t>
  </si>
  <si>
    <t>July 2036 Notes (3.85%)</t>
  </si>
  <si>
    <t>July 2046 Notes (4.000%)</t>
  </si>
  <si>
    <t xml:space="preserve"> 8/16</t>
  </si>
  <si>
    <t>Hardware Products &amp; Support</t>
  </si>
  <si>
    <t>Cloud IaaS Expenses</t>
  </si>
  <si>
    <t>Sales and Distribution Expenses</t>
  </si>
  <si>
    <t>Software Lic. &amp; License Updates and Product support</t>
  </si>
  <si>
    <t>Lic. &amp; Maintenance Margin</t>
  </si>
  <si>
    <t>Dyn</t>
  </si>
  <si>
    <t>NetSuite</t>
  </si>
  <si>
    <t xml:space="preserve"> 11/16</t>
  </si>
  <si>
    <t xml:space="preserve"> 2/17</t>
  </si>
  <si>
    <t>CY16</t>
  </si>
  <si>
    <t>Cloud software subscriptions ($M) - SaaS/PaaS/IaaS</t>
  </si>
  <si>
    <t>Organic Cloud subscriptions rev. (SaaS/PaaS/IaaS)</t>
  </si>
  <si>
    <t>FY20E</t>
  </si>
  <si>
    <t>F2020E</t>
  </si>
  <si>
    <t xml:space="preserve"> 8/19E</t>
  </si>
  <si>
    <t xml:space="preserve"> 11/19E</t>
  </si>
  <si>
    <t xml:space="preserve"> 2/20E</t>
  </si>
  <si>
    <t>5/20E</t>
  </si>
  <si>
    <t>3c19</t>
  </si>
  <si>
    <t>4c19</t>
  </si>
  <si>
    <t>1c20</t>
  </si>
  <si>
    <t>2c20</t>
  </si>
  <si>
    <t>_fy20</t>
  </si>
  <si>
    <t>SaaS</t>
  </si>
  <si>
    <t>PaaS</t>
  </si>
  <si>
    <t>PaaS and IaaS</t>
  </si>
  <si>
    <t>F2017</t>
  </si>
  <si>
    <t>5/17</t>
  </si>
  <si>
    <t>SaaS Margin</t>
  </si>
  <si>
    <t>PaaS Margin</t>
  </si>
  <si>
    <t>PaaS and IaaS Margin</t>
  </si>
  <si>
    <t>Total Hardware</t>
  </si>
  <si>
    <t>Total Hardware Margin</t>
  </si>
  <si>
    <t>Total Hardware Revenue</t>
  </si>
  <si>
    <t>Cloud Billings - Gross</t>
  </si>
  <si>
    <t>GAAP Cloud Subscriptions</t>
  </si>
  <si>
    <t>Cloud Billings (using Gross Deferred)</t>
  </si>
  <si>
    <t>Cloud Billings - NET</t>
  </si>
  <si>
    <t>Change in NET Deferred Revenue</t>
  </si>
  <si>
    <t>Cloud Billings (using NET Deferred)</t>
  </si>
  <si>
    <t>Total Cloud</t>
  </si>
  <si>
    <t>IaaS COGS</t>
  </si>
  <si>
    <t>PaaS COGS</t>
  </si>
  <si>
    <t>SaaS COGS</t>
  </si>
  <si>
    <t>Total Cloud COGS</t>
  </si>
  <si>
    <t>Total Cloud Margin</t>
  </si>
  <si>
    <t>PaaS and IaaS COGS</t>
  </si>
  <si>
    <t>SaaS and Paas COGS</t>
  </si>
  <si>
    <t>All Software COGS</t>
  </si>
  <si>
    <t>Software License + Total Cloud</t>
  </si>
  <si>
    <t>Operating Income Growth</t>
  </si>
  <si>
    <t>New Segment Reporting</t>
  </si>
  <si>
    <t>Cloud and On-Premise Software</t>
  </si>
  <si>
    <t>Organic Software Billings (NSL + Cloud, ex-Updates)</t>
  </si>
  <si>
    <t>Software Billings (NSL + Cloud, ex-Updates &amp; Support)</t>
  </si>
  <si>
    <t xml:space="preserve">     Hardware Products &amp; Support Expenses</t>
  </si>
  <si>
    <t xml:space="preserve">     Cloud SaaS, PaaS, and IaaS Expenses</t>
  </si>
  <si>
    <t xml:space="preserve">     Software License Updates and Product Support</t>
  </si>
  <si>
    <t xml:space="preserve">     Services Expenses</t>
  </si>
  <si>
    <t>New SW Licenses (Cloud SaaS/PaaS/IaaS &amp; On-Prem)</t>
  </si>
  <si>
    <t xml:space="preserve"> 8/17</t>
  </si>
  <si>
    <t>Non-GAAP Cloud Subscriptions</t>
  </si>
  <si>
    <t>Organic Net Cloud Billings (SaaS/PaaS/IaaS)</t>
  </si>
  <si>
    <t xml:space="preserve">SUPPLEMENTAL TOTAL CLOUD AND ON-PREMISE SOFTWARE GAAP REVENUES ANALYSIS </t>
  </si>
  <si>
    <t>APPLICATION REVENUES</t>
  </si>
  <si>
    <t>Cloud SaaS</t>
  </si>
  <si>
    <t>On-premise software revenue</t>
  </si>
  <si>
    <t>Total Cloud and on-premise Software Revenue</t>
  </si>
  <si>
    <t>As reported Growth Rates</t>
  </si>
  <si>
    <t>Constant Currency Growth Rates</t>
  </si>
  <si>
    <t>PLATFORM AND INFRASTRUCTURE REVENUES</t>
  </si>
  <si>
    <t>Cloud PaaS &amp; IaaS</t>
  </si>
  <si>
    <t>GAAP</t>
  </si>
  <si>
    <t xml:space="preserve"> 11/17</t>
  </si>
  <si>
    <t>CY19e</t>
  </si>
  <si>
    <t>Feb 2023 Notes (2.625%)</t>
  </si>
  <si>
    <t>Nov 2024 Notes (2.950%)</t>
  </si>
  <si>
    <t>Nov 2027 Notes (3.250%)</t>
  </si>
  <si>
    <t>Nov 2037 Notes (3.800%)</t>
  </si>
  <si>
    <t>Nov 2047 Notes (4.000%)</t>
  </si>
  <si>
    <t xml:space="preserve"> 2/18</t>
  </si>
  <si>
    <t>Research</t>
  </si>
  <si>
    <t>MSA11763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</si>
  <si>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</si>
  <si>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</si>
  <si>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</si>
  <si>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</si>
  <si>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</si>
  <si>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United States</t>
  </si>
  <si>
    <t>Tel: +1 (1)212 761 4000</t>
  </si>
  <si>
    <t>Authors: Keith Weiss</t>
  </si>
  <si>
    <t>Date: 20 Mar 2018</t>
  </si>
  <si>
    <t>Ticker: ORCL.N</t>
  </si>
  <si>
    <t>Stock Rating: Overweight</t>
  </si>
  <si>
    <t>Industry: Software</t>
  </si>
  <si>
    <t>Industry View: Attractive</t>
  </si>
  <si>
    <t>Price as of 20 Mar 2018: 46.90</t>
  </si>
  <si>
    <t>Target Price: 57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</si>
  <si>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</si>
  <si>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</si>
  <si>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</si>
  <si>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</si>
  <si>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Oracle Corporation.</t>
  </si>
  <si>
    <t>STOCK RATINGS</t>
  </si>
  <si>
    <t>Global Stock Ratings Distribution</t>
  </si>
  <si>
    <t>(as of February 28, 2018)</t>
  </si>
  <si>
    <t>Coverage Universe</t>
  </si>
  <si>
    <t>Investment Banking Clients (IBC)</t>
  </si>
  <si>
    <t>Other Material Investment Services Clients (MISC)</t>
  </si>
  <si>
    <t>Stock Rating Category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</si>
  <si>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</si>
  <si>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</si>
  <si>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</si>
  <si>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</si>
  <si>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</si>
  <si>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</si>
  <si>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</si>
  <si>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</si>
  <si>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</si>
  <si>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</si>
  <si>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</si>
  <si>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</si>
  <si>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</si>
  <si>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</si>
  <si>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</si>
  <si>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</si>
  <si>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</si>
  <si>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</si>
  <si>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</si>
  <si>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</si>
  <si>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</si>
  <si>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</si>
  <si>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</si>
  <si>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</si>
  <si>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</si>
  <si>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</si>
  <si>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</si>
  <si>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</si>
  <si>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</si>
  <si>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</si>
  <si>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</si>
  <si>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</si>
  <si>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</si>
  <si>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</si>
  <si>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</si>
  <si>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</si>
  <si>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</si>
  <si>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</si>
  <si>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</si>
  <si>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</si>
  <si>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</si>
  <si>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</si>
  <si>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</si>
  <si>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</si>
  <si>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</si>
  <si>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</si>
  <si>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</si>
  <si>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</si>
  <si>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</si>
  <si>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</si>
  <si>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</si>
  <si>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</si>
  <si>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</si>
  <si>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</si>
  <si>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</si>
  <si>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</si>
  <si>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</si>
  <si>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</si>
  <si>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</si>
  <si>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</si>
  <si>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</si>
  <si>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</si>
  <si>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</si>
  <si>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</si>
  <si>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</si>
  <si>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</si>
  <si>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</si>
  <si>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</si>
  <si>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</si>
  <si>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</si>
  <si>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</si>
  <si>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</si>
  <si>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</si>
  <si>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</si>
  <si>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</si>
  <si>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</si>
  <si>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</si>
  <si>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</si>
  <si>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</si>
  <si>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</si>
  <si>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</si>
  <si>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</si>
  <si>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</si>
  <si>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</si>
  <si>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</si>
  <si>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</si>
  <si>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</si>
  <si>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</si>
  <si>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</si>
  <si>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</si>
  <si>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</si>
  <si>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</si>
  <si>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</si>
  <si>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</si>
  <si>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</si>
  <si>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</si>
  <si>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</si>
  <si>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</si>
  <si>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</si>
  <si>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</si>
  <si>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</si>
  <si>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</si>
  <si>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</si>
  <si>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</si>
  <si>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</si>
  <si>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</si>
  <si>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</si>
  <si>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</si>
  <si>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</si>
  <si>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</si>
  <si>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</si>
  <si>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</si>
  <si>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</si>
  <si>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</si>
  <si>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</si>
  <si>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</si>
  <si>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</si>
  <si>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</si>
  <si>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</si>
  <si>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</si>
  <si>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</si>
  <si>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</si>
  <si>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</si>
  <si>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</si>
  <si>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</si>
  <si>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</si>
  <si>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</si>
  <si>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</si>
  <si>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</si>
  <si>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</si>
  <si>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</si>
  <si>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</si>
  <si>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</si>
  <si>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</si>
  <si>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</si>
  <si>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</si>
  <si>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</si>
  <si>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</si>
  <si>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</si>
  <si>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</si>
  <si>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</si>
  <si>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</si>
  <si>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</si>
  <si>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</si>
  <si>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</si>
  <si>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</si>
  <si>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</si>
  <si>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</si>
  <si>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</si>
  <si>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</si>
  <si>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</si>
  <si>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</si>
  <si>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</si>
  <si>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</si>
  <si>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</si>
  <si>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</si>
  <si>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</si>
  <si>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</si>
  <si>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</si>
  <si>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</si>
  <si>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</si>
  <si>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</si>
  <si>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</si>
  <si>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</si>
  <si>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</si>
  <si>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</si>
  <si>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&amp; Co. International PLC and its affiliates have a significant financial interest in the</t>
  </si>
  <si>
    <t>debt securities of Oracle Corporation.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</si>
  <si>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</si>
  <si>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</si>
  <si>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</si>
  <si>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</si>
  <si>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</si>
  <si>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</si>
  <si>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</si>
  <si>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</si>
  <si>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</si>
  <si>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</si>
  <si>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</si>
  <si>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</si>
  <si>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</si>
  <si>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</si>
  <si>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</si>
  <si>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</si>
  <si>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</si>
  <si>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</si>
  <si>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</si>
  <si>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</si>
  <si>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</si>
  <si>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</si>
  <si>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</si>
  <si>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</si>
  <si>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</si>
  <si>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</si>
  <si>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</si>
  <si>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</si>
  <si>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</si>
  <si>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</si>
  <si>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</si>
  <si>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</si>
  <si>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</si>
  <si>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</si>
  <si>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</si>
  <si>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</si>
  <si>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</si>
  <si>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</si>
  <si>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</si>
  <si>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</si>
  <si>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</si>
  <si>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</si>
  <si>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</si>
  <si>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</si>
  <si>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</si>
  <si>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</si>
  <si>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</si>
  <si>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</si>
  <si>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</si>
  <si>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</si>
  <si>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</si>
  <si>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</si>
  <si>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</si>
  <si>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</si>
  <si>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</si>
  <si>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</si>
  <si>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</si>
  <si>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</si>
  <si>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</si>
  <si>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</si>
  <si>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</si>
  <si>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</si>
  <si>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</si>
  <si>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</si>
  <si>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</si>
  <si>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</si>
  <si>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</si>
  <si>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</si>
  <si>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Oracle Corporation.</t>
  </si>
  <si>
    <t>Within the last 12 months, Morgan Stanley has provided or is providing investment banking services to,</t>
  </si>
  <si>
    <t>or has an investment banking client relationship with, the following company: Oracle Corporation.</t>
  </si>
  <si>
    <t>Within the last 12 months, Morgan Stanley has received compensation for products and services other than</t>
  </si>
  <si>
    <t>investment banking services from Oracle Corporation.</t>
  </si>
  <si>
    <t>In the next 3 months, Morgan Stanley expects to receive or intends to seek compensation for investment</t>
  </si>
  <si>
    <t>banking services from Oracle Corporation.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</si>
  <si>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</si>
  <si>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</si>
  <si>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</si>
  <si>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</si>
  <si>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</si>
  <si>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Keith Weiss, CFA.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</si>
  <si>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</si>
  <si>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</si>
  <si>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</si>
  <si>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</si>
  <si>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</si>
  <si>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</si>
  <si>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</si>
  <si>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</si>
  <si>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</si>
  <si>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</si>
  <si>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</si>
  <si>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</si>
  <si>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</si>
  <si>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</si>
  <si>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</si>
  <si>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</si>
  <si>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</si>
  <si>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</si>
  <si>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</si>
  <si>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</si>
  <si>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</si>
  <si>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</si>
  <si>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</si>
  <si>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</si>
  <si>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Company</t>
  </si>
  <si>
    <t>DocType</t>
  </si>
  <si>
    <t>Model</t>
  </si>
  <si>
    <t>SubjectCode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</si>
  <si>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</si>
  <si>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</si>
  <si>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</si>
  <si>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</si>
  <si>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</si>
  <si>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</si>
  <si>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</si>
  <si>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</si>
  <si>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</si>
  <si>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</si>
  <si>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</si>
  <si>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</si>
  <si>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</si>
  <si>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</si>
  <si>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</si>
  <si>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</si>
  <si>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</si>
  <si>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</si>
  <si>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</si>
  <si>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</si>
  <si>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</si>
  <si>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</si>
  <si>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</si>
  <si>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</si>
  <si>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</si>
  <si>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</si>
  <si>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</si>
  <si>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</si>
  <si>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</si>
  <si>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</si>
  <si>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</si>
  <si>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</si>
  <si>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</si>
  <si>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</si>
  <si>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</si>
  <si>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</si>
  <si>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</si>
  <si>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</si>
  <si>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</si>
  <si>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Overweight / Attractive</t>
  </si>
  <si>
    <t>Regular Update</t>
  </si>
  <si>
    <t>NorthAmerica</t>
  </si>
  <si>
    <t>baerjos</t>
  </si>
  <si>
    <t>68389X105</t>
  </si>
  <si>
    <t>L:\ER43\ESWModels\ORCL_Next.xlsm</t>
  </si>
  <si>
    <t>[BRO MSA]</t>
  </si>
  <si>
    <t>[PRODUCT MODEL]</t>
  </si>
  <si>
    <t>[EMAIL_ALERT YES]</t>
  </si>
  <si>
    <t>[DISCIPLINE Company]</t>
  </si>
  <si>
    <t>[SUPPRESSED NO]</t>
  </si>
  <si>
    <t>[DOCDAT 2018-03-20]</t>
  </si>
  <si>
    <t>[DOCTIME 10:48]</t>
  </si>
  <si>
    <t>[PSYM ORCL.N(S&amp;P) (None)]</t>
  </si>
  <si>
    <t>[COU 1]</t>
  </si>
  <si>
    <t>[ANA ]</t>
  </si>
  <si>
    <t>[HL ORCL.N Model]</t>
  </si>
  <si>
    <t>[IND TECHNO COMPUT DATAPR]</t>
  </si>
  <si>
    <t>[PANA MSA11763]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</si>
</sst>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7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m/yy"/>
    <numFmt numFmtId="166" formatCode="#,##0.0"/>
    <numFmt numFmtId="167" formatCode="0.000"/>
    <numFmt numFmtId="168" formatCode="0.0%"/>
    <numFmt numFmtId="169" formatCode="0_);\(0\)"/>
    <numFmt numFmtId="170" formatCode="0.00_);\(0.00\)"/>
    <numFmt numFmtId="171" formatCode="_(* #,##0.0_);_(* \(#,##0.0\);_(* &quot;-&quot;??_);_(@_)"/>
    <numFmt numFmtId="172" formatCode="_(* #,##0_);_(* \(#,##0\);_(* &quot;-&quot;??_);_(@_)"/>
    <numFmt numFmtId="174" formatCode="&quot;$&quot;#,##0.00"/>
    <numFmt numFmtId="175" formatCode="&quot;$&quot;#,##0"/>
    <numFmt numFmtId="176" formatCode="0.0000"/>
    <numFmt numFmtId="178" formatCode="&quot;$&quot;#,##0.0"/>
    <numFmt numFmtId="182" formatCode="_(&quot;$&quot;* #,##0_);_(&quot;$&quot;* \(#,##0\);_(&quot;$&quot;* &quot;-&quot;??_);_(@_)"/>
    <numFmt numFmtId="183" formatCode="0.00000"/>
    <numFmt numFmtId="184" formatCode="&quot;$&quot;#,##0.000"/>
    <numFmt numFmtId="186" formatCode="0.00;\(0.00\)"/>
    <numFmt numFmtId="187" formatCode="\+0%;[Red]\(0%\)"/>
    <numFmt numFmtId="188" formatCode="0.0000_);\(0.0000\)"/>
    <numFmt numFmtId="190" formatCode="_(* #,##0.000_);_(* \(#,##0.000\);_(* &quot;-&quot;??_);_(@_)"/>
    <numFmt numFmtId="194" formatCode="#,##0.000"/>
    <numFmt numFmtId="196" formatCode="0.0000%"/>
    <numFmt numFmtId="197" formatCode="\+0.0%;[Red]\(0.0%\)"/>
    <numFmt numFmtId="211" formatCode="mm/dd/yy\ hh:mm"/>
  </numFmts>
  <fonts count="7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6"/>
      <name val="Arial"/>
      <family val="2"/>
    </font>
    <font>
      <sz val="8"/>
      <color indexed="9"/>
      <name val="Arial"/>
      <family val="2"/>
    </font>
    <font>
      <sz val="8"/>
      <color indexed="10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9"/>
      <color indexed="10"/>
      <name val="Arial"/>
      <family val="2"/>
    </font>
    <font>
      <sz val="9"/>
      <color indexed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9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8"/>
      <color indexed="10"/>
      <name val="Arial"/>
      <family val="2"/>
    </font>
    <font>
      <i/>
      <sz val="10"/>
      <name val="Arial"/>
      <family val="2"/>
    </font>
    <font>
      <b/>
      <sz val="12"/>
      <name val="Arial"/>
      <family val="2"/>
    </font>
    <font>
      <b/>
      <sz val="9"/>
      <color indexed="10"/>
      <name val="Arial"/>
      <family val="2"/>
    </font>
    <font>
      <i/>
      <sz val="9"/>
      <color indexed="10"/>
      <name val="Arial"/>
      <family val="2"/>
    </font>
    <font>
      <sz val="9"/>
      <color indexed="12"/>
      <name val="Arial"/>
      <family val="2"/>
    </font>
    <font>
      <i/>
      <sz val="9"/>
      <color indexed="12"/>
      <name val="Arial"/>
      <family val="2"/>
    </font>
    <font>
      <sz val="8"/>
      <color indexed="12"/>
      <name val="Arial"/>
      <family val="2"/>
    </font>
    <font>
      <b/>
      <sz val="8"/>
      <name val="Arial"/>
      <family val="2"/>
    </font>
    <font>
      <sz val="9"/>
      <color indexed="23"/>
      <name val="Arial"/>
      <family val="2"/>
    </font>
    <font>
      <sz val="9"/>
      <color indexed="8"/>
      <name val="Arial"/>
      <family val="2"/>
    </font>
    <font>
      <b/>
      <u/>
      <sz val="9"/>
      <name val="Arial"/>
      <family val="2"/>
    </font>
    <font>
      <sz val="12"/>
      <name val="Arial"/>
      <family val="2"/>
    </font>
    <font>
      <sz val="9"/>
      <name val="Times New Roman"/>
      <family val="1"/>
    </font>
    <font>
      <i/>
      <sz val="8"/>
      <name val="Times New Roman"/>
      <family val="1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9"/>
      <color indexed="12"/>
      <name val="Arial"/>
      <family val="2"/>
    </font>
    <font>
      <sz val="10"/>
      <color indexed="12"/>
      <name val="Arial"/>
      <family val="2"/>
    </font>
    <font>
      <sz val="7.2"/>
      <color indexed="55"/>
      <name val="Arial"/>
      <family val="2"/>
    </font>
    <font>
      <sz val="8"/>
      <color indexed="55"/>
      <name val="Arial"/>
      <family val="2"/>
    </font>
    <font>
      <i/>
      <sz val="9"/>
      <color indexed="23"/>
      <name val="Arial"/>
      <family val="2"/>
    </font>
    <font>
      <b/>
      <sz val="9"/>
      <color indexed="23"/>
      <name val="Arial"/>
      <family val="2"/>
    </font>
    <font>
      <b/>
      <sz val="18"/>
      <color indexed="10"/>
      <name val="Arial"/>
      <family val="2"/>
    </font>
    <font>
      <i/>
      <sz val="9"/>
      <color indexed="17"/>
      <name val="Arial"/>
      <family val="2"/>
    </font>
    <font>
      <b/>
      <sz val="9"/>
      <color indexed="17"/>
      <name val="Arial"/>
      <family val="2"/>
    </font>
    <font>
      <b/>
      <i/>
      <sz val="16"/>
      <name val="Arial"/>
      <family val="2"/>
    </font>
    <font>
      <u/>
      <sz val="8"/>
      <color indexed="81"/>
      <name val="Tahoma"/>
      <family val="2"/>
    </font>
    <font>
      <sz val="10"/>
      <color indexed="23"/>
      <name val="Arial"/>
      <family val="2"/>
    </font>
    <font>
      <b/>
      <sz val="18"/>
      <name val="Arial"/>
      <family val="2"/>
    </font>
    <font>
      <sz val="7.2"/>
      <name val="Arial"/>
      <family val="2"/>
    </font>
    <font>
      <i/>
      <sz val="9"/>
      <color indexed="8"/>
      <name val="Arial"/>
      <family val="2"/>
    </font>
    <font>
      <sz val="11"/>
      <name val="Arial"/>
      <family val="2"/>
    </font>
    <font>
      <i/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theme="0"/>
      <name val="Arial"/>
      <family val="2"/>
    </font>
    <font>
      <sz val="8"/>
      <color theme="0"/>
      <name val="Arial"/>
      <family val="2"/>
    </font>
    <font>
      <sz val="10"/>
      <name val="Times New Roman"/>
      <family val="1"/>
    </font>
    <font>
      <b/>
      <sz val="9"/>
      <color indexed="22"/>
      <name val="Arial"/>
      <family val="2"/>
    </font>
    <font>
      <b/>
      <i/>
      <sz val="9"/>
      <color indexed="22"/>
      <name val="Arial"/>
      <family val="2"/>
    </font>
    <font>
      <sz val="10"/>
      <color theme="0"/>
      <name val="Arial"/>
      <family val="2"/>
    </font>
    <font>
      <i/>
      <sz val="8"/>
      <color theme="0"/>
      <name val="Arial"/>
      <family val="2"/>
    </font>
    <font>
      <b/>
      <i/>
      <sz val="9"/>
      <color theme="0"/>
      <name val="Arial"/>
      <family val="2"/>
    </font>
    <font>
      <b/>
      <sz val="16"/>
      <color theme="0"/>
      <name val="Arial"/>
      <family val="2"/>
    </font>
    <font>
      <b/>
      <i/>
      <sz val="16"/>
      <color theme="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rgb="FFFF0000"/>
      <name val="Arial"/>
      <family val="2"/>
    </font>
    <font>
      <sz val="9"/>
      <color theme="1"/>
      <name val="Arial"/>
      <family val="2"/>
    </font>
    <font>
      <sz val="9"/>
      <color rgb="FFFF0000"/>
      <name val="Arial"/>
      <family val="2"/>
    </font>
    <font>
      <sz val="10"/>
      <name val="Courier"/>
      <family val="3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73">
    <border>
      <left/>
      <right/>
      <top/>
      <bottom/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8"/>
      </bottom>
      <diagonal/>
    </border>
    <border>
      <left/>
      <right/>
      <top style="medium">
        <color indexed="64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8"/>
      </bottom>
      <diagonal/>
    </border>
    <border>
      <left style="thin">
        <color indexed="64"/>
      </left>
      <right style="thin">
        <color indexed="8"/>
      </right>
      <top style="medium">
        <color indexed="64"/>
      </top>
      <bottom style="medium">
        <color indexed="8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8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8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18">
    <xf numFmtId="0" fontId="0" fillId="0" borderId="0"/>
    <xf numFmtId="0" fontId="1" fillId="0" borderId="0"/>
    <xf numFmtId="0" fontId="34" fillId="0" borderId="0"/>
    <xf numFmtId="0" fontId="34" fillId="0" borderId="0"/>
    <xf numFmtId="0" fontId="35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2" fillId="0" borderId="0">
      <alignment vertical="center"/>
    </xf>
    <xf numFmtId="9" fontId="1" fillId="0" borderId="0" applyFont="0" applyFill="0" applyBorder="0" applyAlignment="0" applyProtection="0"/>
    <xf numFmtId="0" fontId="15" fillId="2" borderId="0" applyNumberFormat="0" applyFont="0" applyBorder="0" applyAlignment="0" applyProtection="0"/>
    <xf numFmtId="0" fontId="36" fillId="0" borderId="0"/>
    <xf numFmtId="0" fontId="36" fillId="0" borderId="1">
      <alignment horizontal="centerContinuous"/>
    </xf>
    <xf numFmtId="0" fontId="33" fillId="0" borderId="1"/>
    <xf numFmtId="0" fontId="1" fillId="0" borderId="0">
      <alignment vertical="top"/>
    </xf>
    <xf numFmtId="0" fontId="57" fillId="0" borderId="0" applyNumberFormat="0" applyFont="0" applyFill="0" applyBorder="0" applyAlignment="0" applyProtection="0"/>
    <xf numFmtId="0" fontId="1" fillId="0" borderId="0"/>
    <xf numFmtId="0" fontId="1" fillId="2" borderId="0" applyNumberFormat="0" applyFont="0" applyBorder="0" applyAlignment="0" applyProtection="0"/>
    <xf numFmtId="0" fontId="70" fillId="0" borderId="0"/>
  </cellStyleXfs>
  <cellXfs count="1934">
    <xf numFmtId="0" fontId="0" fillId="0" borderId="0" xfId="0"/>
    <xf numFmtId="2" fontId="3" fillId="0" borderId="2" xfId="0" applyNumberFormat="1" applyFont="1" applyFill="1" applyBorder="1" applyAlignment="1">
      <alignment horizontal="left" vertical="center"/>
    </xf>
    <xf numFmtId="0" fontId="5" fillId="0" borderId="2" xfId="0" applyFont="1" applyFill="1" applyBorder="1" applyAlignment="1">
      <alignment horizontal="left" vertical="center"/>
    </xf>
    <xf numFmtId="0" fontId="4" fillId="0" borderId="2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2" fontId="3" fillId="0" borderId="3" xfId="0" applyNumberFormat="1" applyFont="1" applyFill="1" applyBorder="1" applyAlignment="1">
      <alignment horizontal="left" vertical="center"/>
    </xf>
    <xf numFmtId="0" fontId="5" fillId="0" borderId="3" xfId="0" applyFont="1" applyFill="1" applyBorder="1" applyAlignment="1">
      <alignment horizontal="left" vertical="center"/>
    </xf>
    <xf numFmtId="0" fontId="4" fillId="0" borderId="3" xfId="0" applyFont="1" applyFill="1" applyBorder="1" applyAlignment="1">
      <alignment horizontal="left" vertical="center"/>
    </xf>
    <xf numFmtId="0" fontId="6" fillId="0" borderId="3" xfId="0" applyFont="1" applyFill="1" applyBorder="1" applyAlignment="1">
      <alignment horizontal="left" vertical="center"/>
    </xf>
    <xf numFmtId="2" fontId="6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0" fontId="6" fillId="0" borderId="0" xfId="0" applyFont="1" applyFill="1" applyBorder="1" applyAlignment="1">
      <alignment horizontal="left" vertical="center"/>
    </xf>
    <xf numFmtId="0" fontId="6" fillId="0" borderId="0" xfId="0" applyFont="1" applyFill="1" applyAlignment="1">
      <alignment horizontal="left" vertical="center"/>
    </xf>
    <xf numFmtId="0" fontId="8" fillId="0" borderId="3" xfId="0" applyNumberFormat="1" applyFont="1" applyFill="1" applyBorder="1" applyAlignment="1">
      <alignment horizontal="centerContinuous" vertical="center"/>
    </xf>
    <xf numFmtId="164" fontId="8" fillId="0" borderId="3" xfId="0" applyNumberFormat="1" applyFont="1" applyFill="1" applyBorder="1" applyAlignment="1">
      <alignment horizontal="centerContinuous" vertical="center"/>
    </xf>
    <xf numFmtId="164" fontId="8" fillId="0" borderId="0" xfId="0" applyNumberFormat="1" applyFont="1" applyFill="1" applyBorder="1" applyAlignment="1">
      <alignment horizontal="right" vertical="center"/>
    </xf>
    <xf numFmtId="165" fontId="8" fillId="0" borderId="0" xfId="0" applyNumberFormat="1" applyFont="1" applyFill="1" applyBorder="1" applyAlignment="1">
      <alignment horizontal="right" vertical="center"/>
    </xf>
    <xf numFmtId="2" fontId="9" fillId="0" borderId="0" xfId="0" applyNumberFormat="1" applyFont="1" applyFill="1" applyBorder="1" applyAlignment="1">
      <alignment horizontal="left" vertical="center"/>
    </xf>
    <xf numFmtId="0" fontId="12" fillId="0" borderId="0" xfId="0" applyFont="1"/>
    <xf numFmtId="0" fontId="9" fillId="4" borderId="0" xfId="0" applyFont="1" applyFill="1"/>
    <xf numFmtId="0" fontId="12" fillId="4" borderId="0" xfId="0" applyFont="1" applyFill="1"/>
    <xf numFmtId="9" fontId="12" fillId="0" borderId="0" xfId="0" applyNumberFormat="1" applyFont="1"/>
    <xf numFmtId="0" fontId="14" fillId="0" borderId="0" xfId="0" applyFont="1"/>
    <xf numFmtId="0" fontId="15" fillId="0" borderId="0" xfId="0" applyFont="1"/>
    <xf numFmtId="165" fontId="8" fillId="0" borderId="0" xfId="0" applyNumberFormat="1" applyFont="1" applyFill="1" applyBorder="1" applyAlignment="1">
      <alignment horizontal="left" vertical="center"/>
    </xf>
    <xf numFmtId="0" fontId="11" fillId="0" borderId="2" xfId="0" applyFont="1" applyFill="1" applyBorder="1" applyAlignment="1">
      <alignment horizontal="left" vertical="center"/>
    </xf>
    <xf numFmtId="0" fontId="9" fillId="0" borderId="0" xfId="0" applyFont="1" applyFill="1"/>
    <xf numFmtId="0" fontId="9" fillId="0" borderId="0" xfId="0" applyFont="1" applyFill="1" applyBorder="1" applyAlignment="1">
      <alignment horizontal="left" vertical="center"/>
    </xf>
    <xf numFmtId="1" fontId="8" fillId="4" borderId="0" xfId="0" applyNumberFormat="1" applyFont="1" applyFill="1"/>
    <xf numFmtId="1" fontId="8" fillId="0" borderId="0" xfId="0" applyNumberFormat="1" applyFont="1" applyFill="1"/>
    <xf numFmtId="1" fontId="8" fillId="0" borderId="0" xfId="0" applyNumberFormat="1" applyFont="1" applyFill="1" applyBorder="1" applyAlignment="1">
      <alignment horizontal="right" vertical="center"/>
    </xf>
    <xf numFmtId="0" fontId="12" fillId="0" borderId="0" xfId="0" applyFont="1" applyFill="1"/>
    <xf numFmtId="1" fontId="9" fillId="0" borderId="0" xfId="0" applyNumberFormat="1" applyFont="1" applyFill="1" applyBorder="1" applyAlignment="1">
      <alignment horizontal="right" vertical="center"/>
    </xf>
    <xf numFmtId="1" fontId="9" fillId="0" borderId="0" xfId="0" applyNumberFormat="1" applyFont="1"/>
    <xf numFmtId="1" fontId="8" fillId="0" borderId="0" xfId="0" applyNumberFormat="1" applyFont="1"/>
    <xf numFmtId="1" fontId="12" fillId="0" borderId="0" xfId="0" applyNumberFormat="1" applyFont="1"/>
    <xf numFmtId="1" fontId="12" fillId="0" borderId="0" xfId="0" applyNumberFormat="1" applyFont="1" applyFill="1" applyBorder="1" applyAlignment="1">
      <alignment horizontal="right" vertical="center"/>
    </xf>
    <xf numFmtId="1" fontId="5" fillId="0" borderId="2" xfId="0" applyNumberFormat="1" applyFont="1" applyFill="1" applyBorder="1" applyAlignment="1">
      <alignment horizontal="left" vertical="center"/>
    </xf>
    <xf numFmtId="1" fontId="5" fillId="0" borderId="3" xfId="0" applyNumberFormat="1" applyFont="1" applyFill="1" applyBorder="1" applyAlignment="1">
      <alignment horizontal="left" vertical="center"/>
    </xf>
    <xf numFmtId="2" fontId="9" fillId="0" borderId="0" xfId="0" applyNumberFormat="1" applyFont="1"/>
    <xf numFmtId="1" fontId="9" fillId="0" borderId="0" xfId="0" applyNumberFormat="1" applyFont="1" applyFill="1" applyAlignment="1">
      <alignment horizontal="left" vertical="center"/>
    </xf>
    <xf numFmtId="9" fontId="12" fillId="0" borderId="0" xfId="0" applyNumberFormat="1" applyFont="1" applyAlignment="1">
      <alignment horizontal="right"/>
    </xf>
    <xf numFmtId="9" fontId="9" fillId="0" borderId="0" xfId="0" applyNumberFormat="1" applyFont="1"/>
    <xf numFmtId="0" fontId="9" fillId="5" borderId="0" xfId="0" applyFont="1" applyFill="1"/>
    <xf numFmtId="0" fontId="12" fillId="3" borderId="0" xfId="0" applyFont="1" applyFill="1" applyAlignment="1">
      <alignment horizontal="left" vertical="center"/>
    </xf>
    <xf numFmtId="0" fontId="22" fillId="4" borderId="0" xfId="0" applyFont="1" applyFill="1" applyAlignment="1">
      <alignment horizontal="right" vertical="center"/>
    </xf>
    <xf numFmtId="0" fontId="22" fillId="4" borderId="0" xfId="0" applyFont="1" applyFill="1" applyBorder="1" applyAlignment="1">
      <alignment horizontal="right" vertical="center"/>
    </xf>
    <xf numFmtId="1" fontId="24" fillId="0" borderId="0" xfId="0" applyNumberFormat="1" applyFont="1" applyFill="1" applyBorder="1" applyAlignment="1">
      <alignment horizontal="right" vertical="center"/>
    </xf>
    <xf numFmtId="9" fontId="9" fillId="0" borderId="0" xfId="0" applyNumberFormat="1" applyFont="1" applyFill="1"/>
    <xf numFmtId="169" fontId="9" fillId="0" borderId="0" xfId="0" applyNumberFormat="1" applyFont="1" applyBorder="1" applyAlignment="1">
      <alignment horizontal="right"/>
    </xf>
    <xf numFmtId="1" fontId="9" fillId="0" borderId="0" xfId="0" applyNumberFormat="1" applyFont="1" applyBorder="1" applyAlignment="1">
      <alignment horizontal="right"/>
    </xf>
    <xf numFmtId="9" fontId="9" fillId="0" borderId="0" xfId="0" applyNumberFormat="1" applyFont="1" applyBorder="1" applyAlignment="1">
      <alignment horizontal="right"/>
    </xf>
    <xf numFmtId="0" fontId="9" fillId="0" borderId="0" xfId="0" applyFont="1" applyAlignment="1"/>
    <xf numFmtId="0" fontId="8" fillId="0" borderId="3" xfId="0" applyFont="1" applyBorder="1"/>
    <xf numFmtId="9" fontId="24" fillId="0" borderId="0" xfId="0" applyNumberFormat="1" applyFont="1" applyBorder="1" applyAlignment="1">
      <alignment horizontal="right"/>
    </xf>
    <xf numFmtId="1" fontId="13" fillId="0" borderId="0" xfId="0" applyNumberFormat="1" applyFont="1" applyFill="1" applyAlignment="1">
      <alignment horizontal="left" vertical="center"/>
    </xf>
    <xf numFmtId="0" fontId="8" fillId="4" borderId="0" xfId="0" applyNumberFormat="1" applyFont="1" applyFill="1" applyBorder="1" applyAlignment="1">
      <alignment horizontal="centerContinuous" vertical="center"/>
    </xf>
    <xf numFmtId="0" fontId="13" fillId="0" borderId="0" xfId="0" applyFont="1"/>
    <xf numFmtId="3" fontId="9" fillId="0" borderId="0" xfId="0" applyNumberFormat="1" applyFont="1" applyAlignment="1">
      <alignment horizontal="right"/>
    </xf>
    <xf numFmtId="3" fontId="9" fillId="0" borderId="0" xfId="0" applyNumberFormat="1" applyFont="1" applyFill="1"/>
    <xf numFmtId="3" fontId="9" fillId="5" borderId="0" xfId="0" applyNumberFormat="1" applyFont="1" applyFill="1"/>
    <xf numFmtId="0" fontId="9" fillId="5" borderId="0" xfId="0" applyFont="1" applyFill="1" applyBorder="1"/>
    <xf numFmtId="0" fontId="22" fillId="0" borderId="0" xfId="0" applyFont="1" applyFill="1" applyBorder="1" applyAlignment="1">
      <alignment horizontal="right" vertical="center"/>
    </xf>
    <xf numFmtId="9" fontId="9" fillId="0" borderId="0" xfId="0" applyNumberFormat="1" applyFont="1" applyFill="1" applyBorder="1" applyAlignment="1">
      <alignment horizontal="right" vertical="center"/>
    </xf>
    <xf numFmtId="164" fontId="9" fillId="0" borderId="0" xfId="0" applyNumberFormat="1" applyFont="1" applyFill="1" applyBorder="1" applyAlignment="1">
      <alignment horizontal="right" vertical="center"/>
    </xf>
    <xf numFmtId="1" fontId="6" fillId="0" borderId="0" xfId="0" applyNumberFormat="1" applyFont="1" applyFill="1" applyBorder="1" applyAlignment="1">
      <alignment horizontal="left" vertical="center"/>
    </xf>
    <xf numFmtId="0" fontId="6" fillId="0" borderId="0" xfId="0" applyFont="1"/>
    <xf numFmtId="9" fontId="8" fillId="0" borderId="0" xfId="0" applyNumberFormat="1" applyFont="1" applyBorder="1"/>
    <xf numFmtId="168" fontId="9" fillId="0" borderId="0" xfId="0" applyNumberFormat="1" applyFont="1" applyFill="1" applyBorder="1" applyAlignment="1">
      <alignment horizontal="right" vertical="center"/>
    </xf>
    <xf numFmtId="168" fontId="12" fillId="5" borderId="0" xfId="0" applyNumberFormat="1" applyFont="1" applyFill="1" applyBorder="1" applyAlignment="1">
      <alignment horizontal="right" vertical="center"/>
    </xf>
    <xf numFmtId="9" fontId="9" fillId="5" borderId="0" xfId="0" applyNumberFormat="1" applyFont="1" applyFill="1" applyBorder="1" applyAlignment="1">
      <alignment horizontal="right" vertical="center"/>
    </xf>
    <xf numFmtId="164" fontId="8" fillId="0" borderId="0" xfId="0" applyNumberFormat="1" applyFont="1" applyFill="1" applyBorder="1" applyAlignment="1">
      <alignment horizontal="centerContinuous" vertical="center"/>
    </xf>
    <xf numFmtId="3" fontId="9" fillId="5" borderId="0" xfId="0" applyNumberFormat="1" applyFont="1" applyFill="1" applyBorder="1" applyAlignment="1">
      <alignment horizontal="right" vertical="center"/>
    </xf>
    <xf numFmtId="176" fontId="5" fillId="0" borderId="3" xfId="0" applyNumberFormat="1" applyFont="1" applyFill="1" applyBorder="1" applyAlignment="1">
      <alignment horizontal="left" vertical="center"/>
    </xf>
    <xf numFmtId="0" fontId="8" fillId="0" borderId="4" xfId="0" applyFont="1" applyFill="1" applyBorder="1"/>
    <xf numFmtId="0" fontId="19" fillId="4" borderId="2" xfId="0" applyFont="1" applyFill="1" applyBorder="1" applyAlignment="1">
      <alignment horizontal="left" vertical="center"/>
    </xf>
    <xf numFmtId="0" fontId="19" fillId="4" borderId="3" xfId="0" applyFont="1" applyFill="1" applyBorder="1" applyAlignment="1">
      <alignment horizontal="left" vertical="center"/>
    </xf>
    <xf numFmtId="0" fontId="19" fillId="4" borderId="0" xfId="0" applyFont="1" applyFill="1" applyBorder="1" applyAlignment="1">
      <alignment horizontal="left" vertical="center"/>
    </xf>
    <xf numFmtId="0" fontId="22" fillId="4" borderId="0" xfId="0" applyFont="1" applyFill="1" applyBorder="1" applyAlignment="1">
      <alignment horizontal="left" vertical="center"/>
    </xf>
    <xf numFmtId="0" fontId="7" fillId="0" borderId="0" xfId="0" applyFont="1"/>
    <xf numFmtId="168" fontId="24" fillId="0" borderId="0" xfId="0" applyNumberFormat="1" applyFont="1" applyFill="1" applyBorder="1" applyAlignment="1">
      <alignment horizontal="right" vertical="center"/>
    </xf>
    <xf numFmtId="168" fontId="9" fillId="0" borderId="0" xfId="0" applyNumberFormat="1" applyFont="1"/>
    <xf numFmtId="164" fontId="9" fillId="0" borderId="0" xfId="0" applyNumberFormat="1" applyFont="1"/>
    <xf numFmtId="0" fontId="27" fillId="0" borderId="0" xfId="0" applyFont="1" applyAlignment="1">
      <alignment horizontal="center"/>
    </xf>
    <xf numFmtId="171" fontId="9" fillId="0" borderId="0" xfId="0" applyNumberFormat="1" applyFont="1"/>
    <xf numFmtId="9" fontId="9" fillId="0" borderId="0" xfId="0" applyNumberFormat="1" applyFont="1" applyFill="1" applyBorder="1"/>
    <xf numFmtId="172" fontId="8" fillId="0" borderId="0" xfId="0" applyNumberFormat="1" applyFont="1"/>
    <xf numFmtId="0" fontId="27" fillId="0" borderId="0" xfId="0" applyFont="1" applyBorder="1" applyAlignment="1">
      <alignment horizontal="center"/>
    </xf>
    <xf numFmtId="0" fontId="9" fillId="4" borderId="11" xfId="0" applyFont="1" applyFill="1" applyBorder="1"/>
    <xf numFmtId="0" fontId="9" fillId="0" borderId="12" xfId="0" applyFont="1" applyBorder="1"/>
    <xf numFmtId="1" fontId="9" fillId="0" borderId="0" xfId="0" applyNumberFormat="1" applyFont="1" applyBorder="1"/>
    <xf numFmtId="0" fontId="9" fillId="4" borderId="14" xfId="0" applyFont="1" applyFill="1" applyBorder="1"/>
    <xf numFmtId="1" fontId="9" fillId="0" borderId="2" xfId="0" applyNumberFormat="1" applyFont="1" applyFill="1" applyBorder="1"/>
    <xf numFmtId="9" fontId="9" fillId="0" borderId="0" xfId="0" applyNumberFormat="1" applyFont="1" applyAlignment="1">
      <alignment horizontal="right"/>
    </xf>
    <xf numFmtId="168" fontId="12" fillId="0" borderId="0" xfId="0" applyNumberFormat="1" applyFont="1"/>
    <xf numFmtId="2" fontId="5" fillId="0" borderId="2" xfId="0" applyNumberFormat="1" applyFont="1" applyFill="1" applyBorder="1" applyAlignment="1">
      <alignment horizontal="left" vertical="center"/>
    </xf>
    <xf numFmtId="0" fontId="30" fillId="0" borderId="0" xfId="0" applyFont="1"/>
    <xf numFmtId="0" fontId="31" fillId="0" borderId="0" xfId="0" applyFont="1" applyFill="1"/>
    <xf numFmtId="0" fontId="31" fillId="0" borderId="3" xfId="0" applyFont="1" applyFill="1" applyBorder="1"/>
    <xf numFmtId="0" fontId="8" fillId="0" borderId="0" xfId="0" applyFont="1" applyFill="1" applyBorder="1"/>
    <xf numFmtId="3" fontId="9" fillId="0" borderId="0" xfId="0" applyNumberFormat="1" applyFont="1" applyBorder="1" applyAlignment="1">
      <alignment horizontal="right"/>
    </xf>
    <xf numFmtId="0" fontId="12" fillId="0" borderId="0" xfId="0" applyFont="1" applyFill="1" applyBorder="1"/>
    <xf numFmtId="9" fontId="12" fillId="0" borderId="0" xfId="0" applyNumberFormat="1" applyFont="1" applyBorder="1"/>
    <xf numFmtId="0" fontId="12" fillId="0" borderId="0" xfId="0" applyFont="1" applyBorder="1"/>
    <xf numFmtId="166" fontId="9" fillId="0" borderId="0" xfId="0" applyNumberFormat="1" applyFont="1" applyBorder="1"/>
    <xf numFmtId="0" fontId="9" fillId="0" borderId="0" xfId="0" applyFont="1" applyFill="1" applyBorder="1" applyAlignment="1"/>
    <xf numFmtId="0" fontId="12" fillId="5" borderId="0" xfId="0" applyFont="1" applyFill="1"/>
    <xf numFmtId="168" fontId="9" fillId="5" borderId="0" xfId="0" applyNumberFormat="1" applyFont="1" applyFill="1"/>
    <xf numFmtId="6" fontId="9" fillId="0" borderId="0" xfId="0" applyNumberFormat="1" applyFont="1"/>
    <xf numFmtId="9" fontId="12" fillId="5" borderId="0" xfId="0" applyNumberFormat="1" applyFont="1" applyFill="1"/>
    <xf numFmtId="3" fontId="8" fillId="0" borderId="0" xfId="0" applyNumberFormat="1" applyFont="1"/>
    <xf numFmtId="0" fontId="9" fillId="0" borderId="10" xfId="0" applyFont="1" applyBorder="1"/>
    <xf numFmtId="0" fontId="9" fillId="2" borderId="13" xfId="0" applyFont="1" applyFill="1" applyBorder="1"/>
    <xf numFmtId="175" fontId="9" fillId="0" borderId="0" xfId="0" applyNumberFormat="1" applyFont="1" applyBorder="1"/>
    <xf numFmtId="0" fontId="9" fillId="0" borderId="14" xfId="0" applyFont="1" applyBorder="1"/>
    <xf numFmtId="3" fontId="8" fillId="0" borderId="0" xfId="0" applyNumberFormat="1" applyFont="1" applyFill="1"/>
    <xf numFmtId="164" fontId="9" fillId="0" borderId="8" xfId="0" applyNumberFormat="1" applyFont="1" applyFill="1" applyBorder="1" applyAlignment="1">
      <alignment horizontal="center"/>
    </xf>
    <xf numFmtId="164" fontId="9" fillId="0" borderId="0" xfId="0" applyNumberFormat="1" applyFont="1" applyBorder="1"/>
    <xf numFmtId="164" fontId="9" fillId="0" borderId="0" xfId="0" applyNumberFormat="1" applyFont="1" applyAlignment="1">
      <alignment horizontal="right"/>
    </xf>
    <xf numFmtId="0" fontId="9" fillId="0" borderId="0" xfId="0" applyFont="1" applyBorder="1" applyAlignment="1">
      <alignment horizontal="right"/>
    </xf>
    <xf numFmtId="1" fontId="9" fillId="0" borderId="0" xfId="0" applyNumberFormat="1" applyFont="1" applyFill="1" applyBorder="1" applyAlignment="1">
      <alignment horizontal="right"/>
    </xf>
    <xf numFmtId="2" fontId="9" fillId="0" borderId="0" xfId="0" applyNumberFormat="1" applyFont="1" applyBorder="1"/>
    <xf numFmtId="168" fontId="9" fillId="0" borderId="0" xfId="0" applyNumberFormat="1" applyFont="1" applyFill="1" applyBorder="1"/>
    <xf numFmtId="44" fontId="9" fillId="0" borderId="0" xfId="0" applyNumberFormat="1" applyFont="1" applyFill="1" applyBorder="1"/>
    <xf numFmtId="44" fontId="9" fillId="0" borderId="0" xfId="0" applyNumberFormat="1" applyFont="1"/>
    <xf numFmtId="1" fontId="8" fillId="0" borderId="0" xfId="0" applyNumberFormat="1" applyFont="1" applyFill="1" applyBorder="1" applyAlignment="1">
      <alignment horizontal="left" vertical="center"/>
    </xf>
    <xf numFmtId="1" fontId="9" fillId="0" borderId="0" xfId="0" applyNumberFormat="1" applyFont="1" applyFill="1" applyBorder="1" applyAlignment="1">
      <alignment horizontal="left" vertical="center"/>
    </xf>
    <xf numFmtId="172" fontId="9" fillId="0" borderId="0" xfId="0" applyNumberFormat="1" applyFont="1" applyBorder="1"/>
    <xf numFmtId="0" fontId="12" fillId="0" borderId="13" xfId="0" applyFont="1" applyBorder="1"/>
    <xf numFmtId="168" fontId="12" fillId="0" borderId="0" xfId="0" applyNumberFormat="1" applyFont="1" applyBorder="1"/>
    <xf numFmtId="3" fontId="9" fillId="0" borderId="0" xfId="0" applyNumberFormat="1" applyFont="1" applyBorder="1"/>
    <xf numFmtId="0" fontId="9" fillId="0" borderId="0" xfId="0" applyFont="1" applyBorder="1" applyAlignment="1"/>
    <xf numFmtId="1" fontId="12" fillId="0" borderId="0" xfId="0" applyNumberFormat="1" applyFont="1" applyFill="1" applyBorder="1" applyAlignment="1">
      <alignment horizontal="left" vertical="center"/>
    </xf>
    <xf numFmtId="168" fontId="9" fillId="0" borderId="0" xfId="0" applyNumberFormat="1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left" vertical="center"/>
    </xf>
    <xf numFmtId="0" fontId="12" fillId="0" borderId="0" xfId="0" applyFont="1" applyAlignment="1">
      <alignment horizontal="right"/>
    </xf>
    <xf numFmtId="1" fontId="9" fillId="5" borderId="0" xfId="0" applyNumberFormat="1" applyFont="1" applyFill="1" applyBorder="1"/>
    <xf numFmtId="9" fontId="9" fillId="0" borderId="3" xfId="0" applyNumberFormat="1" applyFont="1" applyBorder="1"/>
    <xf numFmtId="1" fontId="9" fillId="0" borderId="3" xfId="0" applyNumberFormat="1" applyFont="1" applyBorder="1"/>
    <xf numFmtId="0" fontId="9" fillId="0" borderId="4" xfId="0" applyFont="1" applyBorder="1"/>
    <xf numFmtId="0" fontId="9" fillId="0" borderId="5" xfId="0" applyFont="1" applyBorder="1" applyAlignment="1">
      <alignment horizontal="right"/>
    </xf>
    <xf numFmtId="9" fontId="9" fillId="0" borderId="5" xfId="0" applyNumberFormat="1" applyFont="1" applyBorder="1"/>
    <xf numFmtId="3" fontId="9" fillId="0" borderId="16" xfId="0" applyNumberFormat="1" applyFont="1" applyFill="1" applyBorder="1" applyAlignment="1">
      <alignment horizontal="right" vertical="center"/>
    </xf>
    <xf numFmtId="0" fontId="9" fillId="0" borderId="0" xfId="0" applyFont="1" applyFill="1" applyAlignment="1">
      <alignment horizontal="right"/>
    </xf>
    <xf numFmtId="1" fontId="9" fillId="0" borderId="0" xfId="0" applyNumberFormat="1" applyFont="1" applyFill="1" applyAlignment="1">
      <alignment horizontal="right" vertical="center"/>
    </xf>
    <xf numFmtId="0" fontId="9" fillId="0" borderId="5" xfId="0" applyFont="1" applyFill="1" applyBorder="1"/>
    <xf numFmtId="0" fontId="9" fillId="0" borderId="16" xfId="0" applyFont="1" applyBorder="1"/>
    <xf numFmtId="9" fontId="9" fillId="0" borderId="16" xfId="0" applyNumberFormat="1" applyFont="1" applyBorder="1"/>
    <xf numFmtId="9" fontId="9" fillId="0" borderId="16" xfId="0" applyNumberFormat="1" applyFont="1" applyBorder="1" applyAlignment="1">
      <alignment horizontal="right"/>
    </xf>
    <xf numFmtId="0" fontId="9" fillId="0" borderId="15" xfId="0" applyFont="1" applyFill="1" applyBorder="1"/>
    <xf numFmtId="9" fontId="9" fillId="0" borderId="5" xfId="0" applyNumberFormat="1" applyFont="1" applyFill="1" applyBorder="1"/>
    <xf numFmtId="0" fontId="9" fillId="0" borderId="20" xfId="0" applyFont="1" applyBorder="1"/>
    <xf numFmtId="1" fontId="9" fillId="0" borderId="2" xfId="0" applyNumberFormat="1" applyFont="1" applyBorder="1"/>
    <xf numFmtId="0" fontId="9" fillId="0" borderId="22" xfId="0" applyFont="1" applyBorder="1"/>
    <xf numFmtId="0" fontId="9" fillId="0" borderId="18" xfId="0" applyFont="1" applyBorder="1"/>
    <xf numFmtId="9" fontId="9" fillId="0" borderId="0" xfId="0" applyNumberFormat="1" applyFont="1" applyBorder="1"/>
    <xf numFmtId="9" fontId="9" fillId="5" borderId="0" xfId="0" applyNumberFormat="1" applyFont="1" applyFill="1" applyBorder="1"/>
    <xf numFmtId="3" fontId="15" fillId="0" borderId="0" xfId="0" applyNumberFormat="1" applyFont="1"/>
    <xf numFmtId="168" fontId="9" fillId="0" borderId="0" xfId="0" applyNumberFormat="1" applyFont="1" applyBorder="1"/>
    <xf numFmtId="3" fontId="9" fillId="5" borderId="0" xfId="0" applyNumberFormat="1" applyFont="1" applyFill="1" applyBorder="1"/>
    <xf numFmtId="168" fontId="12" fillId="0" borderId="0" xfId="0" applyNumberFormat="1" applyFont="1" applyFill="1" applyBorder="1"/>
    <xf numFmtId="3" fontId="9" fillId="5" borderId="16" xfId="0" applyNumberFormat="1" applyFont="1" applyFill="1" applyBorder="1" applyAlignment="1">
      <alignment horizontal="right" vertical="center"/>
    </xf>
    <xf numFmtId="0" fontId="8" fillId="4" borderId="16" xfId="0" applyFont="1" applyFill="1" applyBorder="1"/>
    <xf numFmtId="169" fontId="9" fillId="0" borderId="16" xfId="0" applyNumberFormat="1" applyFont="1" applyBorder="1" applyAlignment="1">
      <alignment horizontal="right"/>
    </xf>
    <xf numFmtId="0" fontId="8" fillId="0" borderId="16" xfId="0" applyFont="1" applyBorder="1"/>
    <xf numFmtId="9" fontId="24" fillId="0" borderId="16" xfId="0" applyNumberFormat="1" applyFont="1" applyBorder="1" applyAlignment="1">
      <alignment horizontal="right"/>
    </xf>
    <xf numFmtId="3" fontId="9" fillId="0" borderId="0" xfId="0" applyNumberFormat="1" applyFont="1" applyFill="1" applyBorder="1" applyAlignment="1">
      <alignment horizontal="right"/>
    </xf>
    <xf numFmtId="3" fontId="9" fillId="0" borderId="16" xfId="0" applyNumberFormat="1" applyFont="1" applyBorder="1" applyAlignment="1">
      <alignment horizontal="right"/>
    </xf>
    <xf numFmtId="169" fontId="9" fillId="0" borderId="5" xfId="0" applyNumberFormat="1" applyFont="1" applyBorder="1" applyAlignment="1">
      <alignment horizontal="right"/>
    </xf>
    <xf numFmtId="3" fontId="9" fillId="0" borderId="0" xfId="0" applyNumberFormat="1" applyFont="1" applyAlignment="1"/>
    <xf numFmtId="3" fontId="9" fillId="0" borderId="16" xfId="0" applyNumberFormat="1" applyFont="1" applyBorder="1"/>
    <xf numFmtId="0" fontId="9" fillId="0" borderId="5" xfId="0" applyFont="1" applyBorder="1" applyAlignment="1"/>
    <xf numFmtId="9" fontId="9" fillId="0" borderId="5" xfId="0" applyNumberFormat="1" applyFont="1" applyBorder="1" applyAlignment="1">
      <alignment horizontal="right"/>
    </xf>
    <xf numFmtId="3" fontId="9" fillId="0" borderId="16" xfId="0" applyNumberFormat="1" applyFont="1" applyFill="1" applyBorder="1"/>
    <xf numFmtId="169" fontId="9" fillId="0" borderId="15" xfId="0" applyNumberFormat="1" applyFont="1" applyBorder="1" applyAlignment="1">
      <alignment horizontal="right"/>
    </xf>
    <xf numFmtId="1" fontId="9" fillId="0" borderId="5" xfId="0" applyNumberFormat="1" applyFont="1" applyBorder="1" applyAlignment="1">
      <alignment horizontal="right"/>
    </xf>
    <xf numFmtId="3" fontId="6" fillId="0" borderId="0" xfId="0" applyNumberFormat="1" applyFont="1"/>
    <xf numFmtId="3" fontId="6" fillId="0" borderId="0" xfId="0" applyNumberFormat="1" applyFont="1" applyFill="1"/>
    <xf numFmtId="9" fontId="8" fillId="0" borderId="0" xfId="0" applyNumberFormat="1" applyFont="1" applyFill="1" applyBorder="1"/>
    <xf numFmtId="9" fontId="8" fillId="0" borderId="0" xfId="0" applyNumberFormat="1" applyFont="1" applyBorder="1" applyAlignment="1">
      <alignment horizontal="right"/>
    </xf>
    <xf numFmtId="9" fontId="8" fillId="0" borderId="16" xfId="0" applyNumberFormat="1" applyFont="1" applyBorder="1" applyAlignment="1">
      <alignment horizontal="right"/>
    </xf>
    <xf numFmtId="168" fontId="8" fillId="0" borderId="0" xfId="0" applyNumberFormat="1" applyFont="1" applyBorder="1" applyAlignment="1">
      <alignment horizontal="right"/>
    </xf>
    <xf numFmtId="0" fontId="20" fillId="0" borderId="0" xfId="0" applyFont="1" applyBorder="1"/>
    <xf numFmtId="9" fontId="9" fillId="8" borderId="0" xfId="0" applyNumberFormat="1" applyFont="1" applyFill="1"/>
    <xf numFmtId="0" fontId="9" fillId="8" borderId="0" xfId="0" applyFont="1" applyFill="1"/>
    <xf numFmtId="3" fontId="12" fillId="0" borderId="0" xfId="0" applyNumberFormat="1" applyFont="1" applyBorder="1"/>
    <xf numFmtId="0" fontId="15" fillId="0" borderId="0" xfId="0" applyFont="1" applyFill="1" applyBorder="1"/>
    <xf numFmtId="168" fontId="12" fillId="0" borderId="0" xfId="0" applyNumberFormat="1" applyFont="1" applyFill="1" applyBorder="1" applyAlignment="1">
      <alignment horizontal="right" vertical="center"/>
    </xf>
    <xf numFmtId="3" fontId="9" fillId="0" borderId="0" xfId="0" applyNumberFormat="1" applyFont="1" applyBorder="1" applyAlignment="1"/>
    <xf numFmtId="164" fontId="8" fillId="0" borderId="3" xfId="0" applyNumberFormat="1" applyFont="1" applyFill="1" applyBorder="1" applyAlignment="1">
      <alignment horizontal="right" vertical="center"/>
    </xf>
    <xf numFmtId="164" fontId="8" fillId="0" borderId="3" xfId="0" quotePrefix="1" applyNumberFormat="1" applyFont="1" applyFill="1" applyBorder="1" applyAlignment="1">
      <alignment horizontal="right" vertical="center"/>
    </xf>
    <xf numFmtId="165" fontId="8" fillId="0" borderId="0" xfId="0" applyNumberFormat="1" applyFont="1" applyBorder="1" applyAlignment="1">
      <alignment horizontal="left" vertical="center"/>
    </xf>
    <xf numFmtId="2" fontId="3" fillId="0" borderId="25" xfId="0" applyNumberFormat="1" applyFont="1" applyFill="1" applyBorder="1" applyAlignment="1">
      <alignment horizontal="left" vertical="center"/>
    </xf>
    <xf numFmtId="0" fontId="4" fillId="0" borderId="25" xfId="0" applyFont="1" applyFill="1" applyBorder="1" applyAlignment="1">
      <alignment horizontal="left" vertical="center"/>
    </xf>
    <xf numFmtId="9" fontId="5" fillId="0" borderId="2" xfId="0" applyNumberFormat="1" applyFont="1" applyFill="1" applyBorder="1" applyAlignment="1">
      <alignment horizontal="left" vertical="center"/>
    </xf>
    <xf numFmtId="1" fontId="6" fillId="0" borderId="2" xfId="0" applyNumberFormat="1" applyFont="1" applyFill="1" applyBorder="1" applyAlignment="1">
      <alignment horizontal="left" vertical="center"/>
    </xf>
    <xf numFmtId="172" fontId="5" fillId="0" borderId="2" xfId="0" applyNumberFormat="1" applyFont="1" applyFill="1" applyBorder="1" applyAlignment="1">
      <alignment vertical="center"/>
    </xf>
    <xf numFmtId="2" fontId="5" fillId="0" borderId="2" xfId="0" applyNumberFormat="1" applyFont="1" applyFill="1" applyBorder="1" applyAlignment="1">
      <alignment vertical="center"/>
    </xf>
    <xf numFmtId="176" fontId="5" fillId="0" borderId="2" xfId="0" applyNumberFormat="1" applyFont="1" applyFill="1" applyBorder="1" applyAlignment="1">
      <alignment vertical="center"/>
    </xf>
    <xf numFmtId="0" fontId="40" fillId="0" borderId="0" xfId="0" applyFont="1" applyFill="1" applyBorder="1" applyAlignment="1">
      <alignment vertical="center"/>
    </xf>
    <xf numFmtId="168" fontId="6" fillId="0" borderId="3" xfId="0" applyNumberFormat="1" applyFont="1" applyFill="1" applyBorder="1" applyAlignment="1">
      <alignment horizontal="left" vertical="center"/>
    </xf>
    <xf numFmtId="9" fontId="5" fillId="0" borderId="3" xfId="0" applyNumberFormat="1" applyFont="1" applyFill="1" applyBorder="1" applyAlignment="1">
      <alignment horizontal="left" vertical="center"/>
    </xf>
    <xf numFmtId="190" fontId="6" fillId="0" borderId="3" xfId="0" applyNumberFormat="1" applyFont="1" applyFill="1" applyBorder="1" applyAlignment="1">
      <alignment horizontal="left" vertical="center"/>
    </xf>
    <xf numFmtId="190" fontId="19" fillId="0" borderId="3" xfId="0" applyNumberFormat="1" applyFont="1" applyFill="1" applyBorder="1" applyAlignment="1">
      <alignment horizontal="left" vertical="center"/>
    </xf>
    <xf numFmtId="190" fontId="5" fillId="0" borderId="3" xfId="0" applyNumberFormat="1" applyFont="1" applyFill="1" applyBorder="1" applyAlignment="1">
      <alignment horizontal="left" vertical="center"/>
    </xf>
    <xf numFmtId="190" fontId="19" fillId="0" borderId="3" xfId="0" applyNumberFormat="1" applyFont="1" applyFill="1" applyBorder="1" applyAlignment="1">
      <alignment horizontal="right" vertical="center"/>
    </xf>
    <xf numFmtId="190" fontId="4" fillId="0" borderId="3" xfId="0" applyNumberFormat="1" applyFont="1" applyFill="1" applyBorder="1" applyAlignment="1">
      <alignment horizontal="left" vertical="center"/>
    </xf>
    <xf numFmtId="168" fontId="12" fillId="0" borderId="3" xfId="0" applyNumberFormat="1" applyFont="1" applyBorder="1"/>
    <xf numFmtId="9" fontId="6" fillId="0" borderId="3" xfId="0" applyNumberFormat="1" applyFont="1" applyFill="1" applyBorder="1" applyAlignment="1">
      <alignment horizontal="left" vertical="center"/>
    </xf>
    <xf numFmtId="171" fontId="6" fillId="0" borderId="3" xfId="0" applyNumberFormat="1" applyFont="1" applyFill="1" applyBorder="1" applyAlignment="1">
      <alignment horizontal="left" vertical="center"/>
    </xf>
    <xf numFmtId="9" fontId="6" fillId="0" borderId="0" xfId="0" applyNumberFormat="1" applyFont="1" applyFill="1" applyAlignment="1">
      <alignment horizontal="left" vertical="center"/>
    </xf>
    <xf numFmtId="172" fontId="19" fillId="0" borderId="0" xfId="0" applyNumberFormat="1" applyFont="1" applyFill="1" applyBorder="1" applyAlignment="1">
      <alignment horizontal="right" vertical="center"/>
    </xf>
    <xf numFmtId="1" fontId="5" fillId="0" borderId="0" xfId="0" applyNumberFormat="1" applyFont="1" applyFill="1" applyBorder="1" applyAlignment="1">
      <alignment horizontal="right" vertical="center"/>
    </xf>
    <xf numFmtId="1" fontId="8" fillId="0" borderId="0" xfId="0" applyNumberFormat="1" applyFont="1" applyFill="1" applyBorder="1" applyAlignment="1">
      <alignment horizontal="centerContinuous" vertical="center"/>
    </xf>
    <xf numFmtId="164" fontId="12" fillId="0" borderId="0" xfId="0" applyNumberFormat="1" applyFont="1" applyFill="1" applyBorder="1" applyAlignment="1">
      <alignment horizontal="right" vertical="center"/>
    </xf>
    <xf numFmtId="164" fontId="8" fillId="0" borderId="5" xfId="0" applyNumberFormat="1" applyFont="1" applyFill="1" applyBorder="1" applyAlignment="1">
      <alignment horizontal="right" vertical="center"/>
    </xf>
    <xf numFmtId="164" fontId="8" fillId="0" borderId="15" xfId="0" applyNumberFormat="1" applyFont="1" applyFill="1" applyBorder="1" applyAlignment="1">
      <alignment horizontal="right" vertical="center"/>
    </xf>
    <xf numFmtId="0" fontId="4" fillId="0" borderId="16" xfId="0" applyFont="1" applyFill="1" applyBorder="1" applyAlignment="1">
      <alignment horizontal="left" vertical="center"/>
    </xf>
    <xf numFmtId="0" fontId="4" fillId="0" borderId="22" xfId="0" applyFont="1" applyFill="1" applyBorder="1" applyAlignment="1">
      <alignment horizontal="left" vertical="center"/>
    </xf>
    <xf numFmtId="1" fontId="13" fillId="0" borderId="0" xfId="0" applyNumberFormat="1" applyFont="1"/>
    <xf numFmtId="1" fontId="13" fillId="0" borderId="0" xfId="0" applyNumberFormat="1" applyFont="1" applyFill="1"/>
    <xf numFmtId="1" fontId="13" fillId="0" borderId="0" xfId="0" applyNumberFormat="1" applyFont="1" applyFill="1" applyBorder="1" applyAlignment="1">
      <alignment horizontal="right" vertical="center"/>
    </xf>
    <xf numFmtId="1" fontId="13" fillId="0" borderId="16" xfId="0" applyNumberFormat="1" applyFont="1" applyBorder="1"/>
    <xf numFmtId="1" fontId="13" fillId="0" borderId="22" xfId="0" applyNumberFormat="1" applyFont="1" applyFill="1" applyBorder="1" applyAlignment="1">
      <alignment horizontal="right" vertical="center"/>
    </xf>
    <xf numFmtId="1" fontId="9" fillId="0" borderId="0" xfId="0" applyNumberFormat="1" applyFont="1" applyBorder="1" applyAlignment="1">
      <alignment horizontal="left" vertical="center"/>
    </xf>
    <xf numFmtId="1" fontId="9" fillId="0" borderId="16" xfId="0" applyNumberFormat="1" applyFont="1" applyFill="1" applyBorder="1" applyAlignment="1">
      <alignment horizontal="right" vertical="center"/>
    </xf>
    <xf numFmtId="1" fontId="9" fillId="0" borderId="22" xfId="0" applyNumberFormat="1" applyFont="1" applyFill="1" applyBorder="1" applyAlignment="1">
      <alignment horizontal="right" vertical="center"/>
    </xf>
    <xf numFmtId="1" fontId="9" fillId="0" borderId="16" xfId="0" applyNumberFormat="1" applyFont="1" applyBorder="1"/>
    <xf numFmtId="1" fontId="9" fillId="0" borderId="24" xfId="0" applyNumberFormat="1" applyFont="1" applyFill="1" applyBorder="1" applyAlignment="1">
      <alignment horizontal="right" vertical="center"/>
    </xf>
    <xf numFmtId="1" fontId="9" fillId="0" borderId="3" xfId="0" applyNumberFormat="1" applyFont="1" applyFill="1" applyBorder="1" applyAlignment="1">
      <alignment horizontal="right" vertical="center"/>
    </xf>
    <xf numFmtId="164" fontId="12" fillId="0" borderId="22" xfId="0" applyNumberFormat="1" applyFont="1" applyFill="1" applyBorder="1" applyAlignment="1">
      <alignment horizontal="left" vertical="center"/>
    </xf>
    <xf numFmtId="1" fontId="12" fillId="0" borderId="0" xfId="0" applyNumberFormat="1" applyFont="1" applyBorder="1"/>
    <xf numFmtId="9" fontId="12" fillId="0" borderId="0" xfId="0" applyNumberFormat="1" applyFont="1" applyBorder="1" applyAlignment="1">
      <alignment horizontal="right"/>
    </xf>
    <xf numFmtId="9" fontId="12" fillId="0" borderId="16" xfId="0" applyNumberFormat="1" applyFont="1" applyBorder="1"/>
    <xf numFmtId="1" fontId="12" fillId="0" borderId="22" xfId="0" applyNumberFormat="1" applyFont="1" applyFill="1" applyBorder="1" applyAlignment="1">
      <alignment horizontal="right" vertical="center"/>
    </xf>
    <xf numFmtId="9" fontId="12" fillId="0" borderId="0" xfId="0" applyNumberFormat="1" applyFont="1" applyFill="1" applyBorder="1" applyAlignment="1">
      <alignment horizontal="right" vertical="center"/>
    </xf>
    <xf numFmtId="164" fontId="12" fillId="0" borderId="24" xfId="0" applyNumberFormat="1" applyFont="1" applyFill="1" applyBorder="1" applyAlignment="1">
      <alignment horizontal="left" vertical="center"/>
    </xf>
    <xf numFmtId="1" fontId="12" fillId="0" borderId="3" xfId="0" applyNumberFormat="1" applyFont="1" applyFill="1" applyBorder="1" applyAlignment="1">
      <alignment horizontal="right" vertical="center"/>
    </xf>
    <xf numFmtId="1" fontId="12" fillId="0" borderId="3" xfId="0" applyNumberFormat="1" applyFont="1" applyBorder="1"/>
    <xf numFmtId="9" fontId="12" fillId="0" borderId="3" xfId="0" applyNumberFormat="1" applyFont="1" applyBorder="1"/>
    <xf numFmtId="1" fontId="12" fillId="0" borderId="24" xfId="0" applyNumberFormat="1" applyFont="1" applyFill="1" applyBorder="1" applyAlignment="1">
      <alignment horizontal="right" vertical="center"/>
    </xf>
    <xf numFmtId="1" fontId="9" fillId="0" borderId="0" xfId="0" applyNumberFormat="1" applyFont="1" applyFill="1"/>
    <xf numFmtId="3" fontId="9" fillId="0" borderId="0" xfId="0" applyNumberFormat="1" applyFont="1" applyFill="1" applyBorder="1" applyAlignment="1">
      <alignment horizontal="right" vertical="center"/>
    </xf>
    <xf numFmtId="3" fontId="9" fillId="0" borderId="0" xfId="0" applyNumberFormat="1" applyFont="1"/>
    <xf numFmtId="3" fontId="9" fillId="0" borderId="22" xfId="0" applyNumberFormat="1" applyFont="1" applyFill="1" applyBorder="1" applyAlignment="1">
      <alignment horizontal="right" vertical="center"/>
    </xf>
    <xf numFmtId="3" fontId="9" fillId="0" borderId="23" xfId="0" applyNumberFormat="1" applyFont="1" applyFill="1" applyBorder="1" applyAlignment="1">
      <alignment horizontal="right" vertical="center"/>
    </xf>
    <xf numFmtId="164" fontId="12" fillId="0" borderId="0" xfId="0" applyNumberFormat="1" applyFont="1" applyFill="1" applyAlignment="1">
      <alignment horizontal="left" vertical="center"/>
    </xf>
    <xf numFmtId="168" fontId="12" fillId="0" borderId="16" xfId="0" applyNumberFormat="1" applyFont="1" applyBorder="1"/>
    <xf numFmtId="9" fontId="25" fillId="0" borderId="0" xfId="0" applyNumberFormat="1" applyFont="1"/>
    <xf numFmtId="1" fontId="12" fillId="0" borderId="0" xfId="0" applyNumberFormat="1" applyFont="1" applyAlignment="1">
      <alignment horizontal="right"/>
    </xf>
    <xf numFmtId="1" fontId="12" fillId="0" borderId="16" xfId="0" applyNumberFormat="1" applyFont="1" applyBorder="1" applyAlignment="1">
      <alignment horizontal="right"/>
    </xf>
    <xf numFmtId="9" fontId="12" fillId="0" borderId="5" xfId="0" applyNumberFormat="1" applyFont="1" applyBorder="1" applyAlignment="1">
      <alignment horizontal="right"/>
    </xf>
    <xf numFmtId="9" fontId="12" fillId="0" borderId="5" xfId="0" applyNumberFormat="1" applyFont="1" applyBorder="1"/>
    <xf numFmtId="1" fontId="12" fillId="0" borderId="5" xfId="0" applyNumberFormat="1" applyFont="1" applyBorder="1" applyAlignment="1">
      <alignment horizontal="right"/>
    </xf>
    <xf numFmtId="1" fontId="12" fillId="0" borderId="0" xfId="0" applyNumberFormat="1" applyFont="1" applyBorder="1" applyAlignment="1">
      <alignment horizontal="right"/>
    </xf>
    <xf numFmtId="164" fontId="12" fillId="0" borderId="0" xfId="0" applyNumberFormat="1" applyFont="1" applyFill="1" applyBorder="1" applyAlignment="1">
      <alignment horizontal="left" vertical="center"/>
    </xf>
    <xf numFmtId="164" fontId="9" fillId="0" borderId="0" xfId="0" applyNumberFormat="1" applyFont="1" applyFill="1" applyBorder="1" applyAlignment="1">
      <alignment horizontal="left" vertical="center"/>
    </xf>
    <xf numFmtId="164" fontId="9" fillId="0" borderId="0" xfId="0" applyNumberFormat="1" applyFont="1" applyFill="1" applyAlignment="1">
      <alignment horizontal="left" vertical="center"/>
    </xf>
    <xf numFmtId="1" fontId="9" fillId="0" borderId="0" xfId="0" applyNumberFormat="1" applyFont="1" applyAlignment="1">
      <alignment horizontal="right"/>
    </xf>
    <xf numFmtId="1" fontId="9" fillId="2" borderId="0" xfId="0" applyNumberFormat="1" applyFont="1" applyFill="1" applyAlignment="1">
      <alignment horizontal="right"/>
    </xf>
    <xf numFmtId="1" fontId="12" fillId="0" borderId="0" xfId="0" applyNumberFormat="1" applyFont="1" applyFill="1"/>
    <xf numFmtId="1" fontId="12" fillId="0" borderId="0" xfId="0" applyNumberFormat="1" applyFont="1" applyFill="1" applyAlignment="1">
      <alignment horizontal="right"/>
    </xf>
    <xf numFmtId="1" fontId="9" fillId="0" borderId="3" xfId="0" applyNumberFormat="1" applyFont="1" applyBorder="1" applyAlignment="1">
      <alignment horizontal="right"/>
    </xf>
    <xf numFmtId="1" fontId="12" fillId="0" borderId="16" xfId="0" applyNumberFormat="1" applyFont="1" applyBorder="1"/>
    <xf numFmtId="1" fontId="12" fillId="0" borderId="20" xfId="0" applyNumberFormat="1" applyFont="1" applyFill="1" applyBorder="1" applyAlignment="1">
      <alignment horizontal="right" vertical="center"/>
    </xf>
    <xf numFmtId="1" fontId="12" fillId="0" borderId="2" xfId="0" applyNumberFormat="1" applyFont="1" applyFill="1" applyBorder="1" applyAlignment="1">
      <alignment horizontal="right" vertical="center"/>
    </xf>
    <xf numFmtId="3" fontId="12" fillId="0" borderId="0" xfId="0" applyNumberFormat="1" applyFont="1"/>
    <xf numFmtId="168" fontId="9" fillId="0" borderId="0" xfId="0" applyNumberFormat="1" applyFont="1" applyFill="1"/>
    <xf numFmtId="168" fontId="9" fillId="0" borderId="16" xfId="0" applyNumberFormat="1" applyFont="1" applyFill="1" applyBorder="1"/>
    <xf numFmtId="1" fontId="9" fillId="0" borderId="22" xfId="0" applyNumberFormat="1" applyFont="1" applyFill="1" applyBorder="1"/>
    <xf numFmtId="1" fontId="9" fillId="0" borderId="0" xfId="0" applyNumberFormat="1" applyFont="1" applyFill="1" applyBorder="1"/>
    <xf numFmtId="1" fontId="9" fillId="0" borderId="0" xfId="0" applyNumberFormat="1" applyFont="1" applyFill="1" applyAlignment="1">
      <alignment horizontal="right"/>
    </xf>
    <xf numFmtId="3" fontId="9" fillId="0" borderId="0" xfId="0" applyNumberFormat="1" applyFont="1" applyFill="1" applyAlignment="1">
      <alignment horizontal="left" vertical="center"/>
    </xf>
    <xf numFmtId="168" fontId="12" fillId="0" borderId="16" xfId="0" applyNumberFormat="1" applyFont="1" applyFill="1" applyBorder="1" applyAlignment="1">
      <alignment horizontal="right" vertical="center"/>
    </xf>
    <xf numFmtId="168" fontId="12" fillId="0" borderId="22" xfId="0" applyNumberFormat="1" applyFont="1" applyFill="1" applyBorder="1" applyAlignment="1">
      <alignment horizontal="right" vertical="center"/>
    </xf>
    <xf numFmtId="3" fontId="12" fillId="0" borderId="0" xfId="0" applyNumberFormat="1" applyFont="1" applyFill="1"/>
    <xf numFmtId="3" fontId="12" fillId="0" borderId="0" xfId="0" applyNumberFormat="1" applyFont="1" applyFill="1" applyBorder="1" applyAlignment="1">
      <alignment horizontal="right" vertical="center"/>
    </xf>
    <xf numFmtId="3" fontId="12" fillId="0" borderId="16" xfId="0" applyNumberFormat="1" applyFont="1" applyBorder="1"/>
    <xf numFmtId="3" fontId="12" fillId="0" borderId="24" xfId="0" applyNumberFormat="1" applyFont="1" applyFill="1" applyBorder="1" applyAlignment="1">
      <alignment horizontal="right" vertical="center"/>
    </xf>
    <xf numFmtId="3" fontId="12" fillId="0" borderId="3" xfId="0" applyNumberFormat="1" applyFont="1" applyFill="1" applyBorder="1" applyAlignment="1">
      <alignment horizontal="right" vertical="center"/>
    </xf>
    <xf numFmtId="3" fontId="9" fillId="0" borderId="20" xfId="0" applyNumberFormat="1" applyFont="1" applyFill="1" applyBorder="1" applyAlignment="1">
      <alignment horizontal="left" vertical="center"/>
    </xf>
    <xf numFmtId="3" fontId="9" fillId="0" borderId="2" xfId="0" applyNumberFormat="1" applyFont="1" applyBorder="1" applyAlignment="1">
      <alignment horizontal="right"/>
    </xf>
    <xf numFmtId="3" fontId="9" fillId="0" borderId="2" xfId="0" applyNumberFormat="1" applyFont="1" applyBorder="1"/>
    <xf numFmtId="3" fontId="9" fillId="0" borderId="2" xfId="0" applyNumberFormat="1" applyFont="1" applyFill="1" applyBorder="1" applyAlignment="1">
      <alignment horizontal="right" vertical="center"/>
    </xf>
    <xf numFmtId="3" fontId="9" fillId="0" borderId="17" xfId="0" applyNumberFormat="1" applyFont="1" applyFill="1" applyBorder="1" applyAlignment="1">
      <alignment horizontal="right" vertical="center"/>
    </xf>
    <xf numFmtId="3" fontId="9" fillId="0" borderId="20" xfId="0" applyNumberFormat="1" applyFont="1" applyFill="1" applyBorder="1" applyAlignment="1">
      <alignment horizontal="right" vertical="center"/>
    </xf>
    <xf numFmtId="3" fontId="9" fillId="0" borderId="21" xfId="0" applyNumberFormat="1" applyFont="1" applyFill="1" applyBorder="1" applyAlignment="1">
      <alignment horizontal="right" vertical="center"/>
    </xf>
    <xf numFmtId="9" fontId="12" fillId="0" borderId="3" xfId="0" applyNumberFormat="1" applyFont="1" applyFill="1" applyBorder="1" applyAlignment="1">
      <alignment horizontal="right" vertical="center"/>
    </xf>
    <xf numFmtId="168" fontId="12" fillId="0" borderId="3" xfId="0" applyNumberFormat="1" applyFont="1" applyFill="1" applyBorder="1" applyAlignment="1">
      <alignment horizontal="right" vertical="center"/>
    </xf>
    <xf numFmtId="168" fontId="12" fillId="0" borderId="18" xfId="0" applyNumberFormat="1" applyFont="1" applyFill="1" applyBorder="1" applyAlignment="1">
      <alignment horizontal="right" vertical="center"/>
    </xf>
    <xf numFmtId="168" fontId="12" fillId="0" borderId="24" xfId="0" applyNumberFormat="1" applyFont="1" applyFill="1" applyBorder="1" applyAlignment="1">
      <alignment horizontal="right" vertical="center"/>
    </xf>
    <xf numFmtId="164" fontId="13" fillId="0" borderId="0" xfId="0" applyNumberFormat="1" applyFont="1" applyFill="1" applyAlignment="1">
      <alignment horizontal="left" vertical="center"/>
    </xf>
    <xf numFmtId="2" fontId="12" fillId="0" borderId="0" xfId="0" applyNumberFormat="1" applyFont="1"/>
    <xf numFmtId="2" fontId="8" fillId="0" borderId="0" xfId="0" applyNumberFormat="1" applyFont="1" applyFill="1" applyBorder="1" applyAlignment="1">
      <alignment horizontal="right" vertical="center"/>
    </xf>
    <xf numFmtId="9" fontId="8" fillId="0" borderId="0" xfId="0" applyNumberFormat="1" applyFont="1" applyFill="1" applyBorder="1" applyAlignment="1">
      <alignment horizontal="right" vertical="center"/>
    </xf>
    <xf numFmtId="1" fontId="8" fillId="0" borderId="16" xfId="0" applyNumberFormat="1" applyFont="1" applyFill="1" applyBorder="1" applyAlignment="1">
      <alignment horizontal="right" vertical="center"/>
    </xf>
    <xf numFmtId="10" fontId="8" fillId="0" borderId="0" xfId="0" applyNumberFormat="1" applyFont="1" applyFill="1" applyBorder="1" applyAlignment="1">
      <alignment horizontal="right" vertical="center"/>
    </xf>
    <xf numFmtId="167" fontId="8" fillId="0" borderId="0" xfId="0" applyNumberFormat="1" applyFont="1" applyFill="1" applyBorder="1" applyAlignment="1">
      <alignment horizontal="right" vertical="center"/>
    </xf>
    <xf numFmtId="1" fontId="28" fillId="0" borderId="0" xfId="0" applyNumberFormat="1" applyFont="1" applyFill="1" applyBorder="1" applyAlignment="1">
      <alignment horizontal="right" vertical="center"/>
    </xf>
    <xf numFmtId="1" fontId="41" fillId="0" borderId="0" xfId="0" applyNumberFormat="1" applyFont="1" applyFill="1" applyBorder="1" applyAlignment="1">
      <alignment horizontal="right" vertical="center"/>
    </xf>
    <xf numFmtId="1" fontId="9" fillId="5" borderId="0" xfId="0" applyNumberFormat="1" applyFont="1" applyFill="1" applyAlignment="1">
      <alignment horizontal="left" vertical="center"/>
    </xf>
    <xf numFmtId="1" fontId="9" fillId="5" borderId="0" xfId="0" applyNumberFormat="1" applyFont="1" applyFill="1" applyBorder="1" applyAlignment="1">
      <alignment horizontal="right" vertical="center"/>
    </xf>
    <xf numFmtId="1" fontId="24" fillId="5" borderId="0" xfId="0" applyNumberFormat="1" applyFont="1" applyFill="1" applyBorder="1" applyAlignment="1">
      <alignment horizontal="right" vertical="center"/>
    </xf>
    <xf numFmtId="1" fontId="9" fillId="5" borderId="16" xfId="0" applyNumberFormat="1" applyFont="1" applyFill="1" applyBorder="1" applyAlignment="1">
      <alignment horizontal="right" vertical="center"/>
    </xf>
    <xf numFmtId="3" fontId="9" fillId="0" borderId="0" xfId="0" applyNumberFormat="1" applyFont="1" applyFill="1" applyBorder="1" applyAlignment="1">
      <alignment horizontal="left" vertical="center"/>
    </xf>
    <xf numFmtId="168" fontId="12" fillId="0" borderId="18" xfId="0" applyNumberFormat="1" applyFont="1" applyFill="1" applyBorder="1"/>
    <xf numFmtId="168" fontId="12" fillId="0" borderId="24" xfId="0" applyNumberFormat="1" applyFont="1" applyBorder="1"/>
    <xf numFmtId="1" fontId="9" fillId="5" borderId="0" xfId="0" applyNumberFormat="1" applyFont="1" applyFill="1" applyBorder="1" applyAlignment="1">
      <alignment horizontal="left" vertical="center"/>
    </xf>
    <xf numFmtId="3" fontId="9" fillId="5" borderId="22" xfId="0" applyNumberFormat="1" applyFont="1" applyFill="1" applyBorder="1" applyAlignment="1">
      <alignment horizontal="right" vertical="center"/>
    </xf>
    <xf numFmtId="168" fontId="12" fillId="5" borderId="0" xfId="0" applyNumberFormat="1" applyFont="1" applyFill="1" applyBorder="1"/>
    <xf numFmtId="168" fontId="12" fillId="5" borderId="16" xfId="0" applyNumberFormat="1" applyFont="1" applyFill="1" applyBorder="1"/>
    <xf numFmtId="168" fontId="12" fillId="5" borderId="22" xfId="0" applyNumberFormat="1" applyFont="1" applyFill="1" applyBorder="1"/>
    <xf numFmtId="3" fontId="24" fillId="0" borderId="0" xfId="0" applyNumberFormat="1" applyFont="1" applyFill="1"/>
    <xf numFmtId="3" fontId="9" fillId="2" borderId="16" xfId="0" applyNumberFormat="1" applyFont="1" applyFill="1" applyBorder="1"/>
    <xf numFmtId="9" fontId="12" fillId="0" borderId="0" xfId="0" applyNumberFormat="1" applyFont="1" applyFill="1"/>
    <xf numFmtId="9" fontId="12" fillId="0" borderId="22" xfId="0" applyNumberFormat="1" applyFont="1" applyFill="1" applyBorder="1" applyAlignment="1">
      <alignment horizontal="right" vertical="center"/>
    </xf>
    <xf numFmtId="2" fontId="9" fillId="0" borderId="0" xfId="0" applyNumberFormat="1" applyFont="1" applyFill="1" applyBorder="1" applyAlignment="1">
      <alignment horizontal="right" vertical="center"/>
    </xf>
    <xf numFmtId="2" fontId="8" fillId="0" borderId="0" xfId="0" applyNumberFormat="1" applyFont="1" applyFill="1"/>
    <xf numFmtId="2" fontId="9" fillId="0" borderId="24" xfId="0" applyNumberFormat="1" applyFont="1" applyFill="1" applyBorder="1" applyAlignment="1">
      <alignment horizontal="right" vertical="center"/>
    </xf>
    <xf numFmtId="10" fontId="12" fillId="0" borderId="0" xfId="0" applyNumberFormat="1" applyFont="1"/>
    <xf numFmtId="10" fontId="12" fillId="0" borderId="16" xfId="0" applyNumberFormat="1" applyFont="1" applyBorder="1"/>
    <xf numFmtId="164" fontId="9" fillId="0" borderId="20" xfId="0" applyNumberFormat="1" applyFont="1" applyFill="1" applyBorder="1" applyAlignment="1">
      <alignment horizontal="left" vertical="center"/>
    </xf>
    <xf numFmtId="0" fontId="8" fillId="4" borderId="2" xfId="0" applyFont="1" applyFill="1" applyBorder="1" applyAlignment="1">
      <alignment horizontal="left"/>
    </xf>
    <xf numFmtId="1" fontId="9" fillId="0" borderId="2" xfId="0" applyNumberFormat="1" applyFont="1" applyFill="1" applyBorder="1" applyAlignment="1">
      <alignment horizontal="right" vertical="center"/>
    </xf>
    <xf numFmtId="1" fontId="9" fillId="0" borderId="17" xfId="0" applyNumberFormat="1" applyFont="1" applyBorder="1"/>
    <xf numFmtId="3" fontId="8" fillId="4" borderId="0" xfId="0" applyNumberFormat="1" applyFont="1" applyFill="1" applyBorder="1" applyAlignment="1">
      <alignment horizontal="left" vertical="center"/>
    </xf>
    <xf numFmtId="3" fontId="9" fillId="0" borderId="16" xfId="0" applyNumberFormat="1" applyFont="1" applyFill="1" applyBorder="1" applyAlignment="1">
      <alignment horizontal="left" vertical="center"/>
    </xf>
    <xf numFmtId="3" fontId="9" fillId="0" borderId="22" xfId="0" applyNumberFormat="1" applyFont="1" applyFill="1" applyBorder="1" applyAlignment="1">
      <alignment horizontal="left" vertical="center"/>
    </xf>
    <xf numFmtId="164" fontId="9" fillId="0" borderId="24" xfId="0" applyNumberFormat="1" applyFont="1" applyFill="1" applyBorder="1" applyAlignment="1">
      <alignment horizontal="left" vertical="center"/>
    </xf>
    <xf numFmtId="0" fontId="8" fillId="4" borderId="3" xfId="0" applyFont="1" applyFill="1" applyBorder="1" applyAlignment="1">
      <alignment horizontal="left"/>
    </xf>
    <xf numFmtId="9" fontId="9" fillId="0" borderId="3" xfId="0" applyNumberFormat="1" applyFont="1" applyBorder="1" applyAlignment="1">
      <alignment horizontal="right"/>
    </xf>
    <xf numFmtId="9" fontId="9" fillId="0" borderId="18" xfId="0" applyNumberFormat="1" applyFont="1" applyBorder="1"/>
    <xf numFmtId="2" fontId="9" fillId="0" borderId="3" xfId="0" applyNumberFormat="1" applyFont="1" applyBorder="1"/>
    <xf numFmtId="2" fontId="9" fillId="0" borderId="18" xfId="0" applyNumberFormat="1" applyFont="1" applyBorder="1"/>
    <xf numFmtId="2" fontId="9" fillId="0" borderId="3" xfId="0" applyNumberFormat="1" applyFont="1" applyFill="1" applyBorder="1" applyAlignment="1">
      <alignment horizontal="right" vertical="center"/>
    </xf>
    <xf numFmtId="172" fontId="9" fillId="0" borderId="0" xfId="0" applyNumberFormat="1" applyFont="1"/>
    <xf numFmtId="172" fontId="9" fillId="0" borderId="16" xfId="0" applyNumberFormat="1" applyFont="1" applyBorder="1"/>
    <xf numFmtId="178" fontId="12" fillId="0" borderId="0" xfId="0" applyNumberFormat="1" applyFont="1" applyFill="1" applyBorder="1" applyAlignment="1">
      <alignment horizontal="right" vertical="center"/>
    </xf>
    <xf numFmtId="2" fontId="9" fillId="0" borderId="16" xfId="0" applyNumberFormat="1" applyFont="1" applyBorder="1"/>
    <xf numFmtId="2" fontId="9" fillId="0" borderId="22" xfId="0" applyNumberFormat="1" applyFont="1" applyFill="1" applyBorder="1" applyAlignment="1">
      <alignment horizontal="right" vertical="center"/>
    </xf>
    <xf numFmtId="2" fontId="8" fillId="0" borderId="0" xfId="0" applyNumberFormat="1" applyFont="1" applyFill="1" applyBorder="1"/>
    <xf numFmtId="0" fontId="9" fillId="0" borderId="0" xfId="0" applyFont="1"/>
    <xf numFmtId="167" fontId="9" fillId="0" borderId="0" xfId="0" applyNumberFormat="1" applyFont="1"/>
    <xf numFmtId="0" fontId="9" fillId="0" borderId="22" xfId="0" applyFont="1" applyFill="1" applyBorder="1"/>
    <xf numFmtId="0" fontId="9" fillId="0" borderId="0" xfId="0" applyFont="1" applyFill="1" applyBorder="1"/>
    <xf numFmtId="0" fontId="12" fillId="0" borderId="22" xfId="0" applyFont="1" applyFill="1" applyBorder="1"/>
    <xf numFmtId="1" fontId="9" fillId="0" borderId="16" xfId="0" applyNumberFormat="1" applyFont="1" applyFill="1" applyBorder="1"/>
    <xf numFmtId="2" fontId="9" fillId="0" borderId="0" xfId="0" applyNumberFormat="1" applyFont="1" applyFill="1" applyAlignment="1">
      <alignment horizontal="left" vertical="center"/>
    </xf>
    <xf numFmtId="2" fontId="9" fillId="0" borderId="0" xfId="0" applyNumberFormat="1" applyFont="1" applyFill="1"/>
    <xf numFmtId="2" fontId="9" fillId="0" borderId="22" xfId="0" applyNumberFormat="1" applyFont="1" applyFill="1" applyBorder="1"/>
    <xf numFmtId="2" fontId="9" fillId="0" borderId="0" xfId="0" applyNumberFormat="1" applyFont="1" applyFill="1" applyBorder="1"/>
    <xf numFmtId="2" fontId="9" fillId="0" borderId="0" xfId="0" applyNumberFormat="1" applyFont="1" applyFill="1" applyAlignment="1">
      <alignment horizontal="right"/>
    </xf>
    <xf numFmtId="0" fontId="8" fillId="0" borderId="0" xfId="0" applyFont="1"/>
    <xf numFmtId="2" fontId="8" fillId="0" borderId="16" xfId="0" applyNumberFormat="1" applyFont="1" applyBorder="1"/>
    <xf numFmtId="4" fontId="8" fillId="0" borderId="22" xfId="0" applyNumberFormat="1" applyFont="1" applyFill="1" applyBorder="1" applyAlignment="1">
      <alignment horizontal="right" vertical="center"/>
    </xf>
    <xf numFmtId="4" fontId="8" fillId="0" borderId="0" xfId="0" applyNumberFormat="1" applyFont="1" applyFill="1" applyBorder="1" applyAlignment="1">
      <alignment horizontal="right" vertical="center"/>
    </xf>
    <xf numFmtId="2" fontId="8" fillId="0" borderId="0" xfId="0" applyNumberFormat="1" applyFont="1" applyFill="1" applyBorder="1" applyAlignment="1">
      <alignment horizontal="left" vertical="center"/>
    </xf>
    <xf numFmtId="1" fontId="9" fillId="0" borderId="0" xfId="0" applyNumberFormat="1" applyFont="1" applyFill="1" applyBorder="1" applyAlignment="1">
      <alignment vertical="center"/>
    </xf>
    <xf numFmtId="1" fontId="8" fillId="4" borderId="0" xfId="0" applyNumberFormat="1" applyFont="1" applyFill="1" applyBorder="1" applyAlignment="1">
      <alignment horizontal="left" vertical="center"/>
    </xf>
    <xf numFmtId="9" fontId="9" fillId="0" borderId="16" xfId="0" applyNumberFormat="1" applyFont="1" applyFill="1" applyBorder="1" applyAlignment="1">
      <alignment horizontal="right" vertical="center"/>
    </xf>
    <xf numFmtId="174" fontId="9" fillId="0" borderId="0" xfId="0" applyNumberFormat="1" applyFont="1" applyFill="1" applyBorder="1" applyAlignment="1">
      <alignment horizontal="right" vertical="center"/>
    </xf>
    <xf numFmtId="174" fontId="9" fillId="0" borderId="16" xfId="0" applyNumberFormat="1" applyFont="1" applyFill="1" applyBorder="1" applyAlignment="1">
      <alignment horizontal="right" vertical="center"/>
    </xf>
    <xf numFmtId="3" fontId="9" fillId="0" borderId="12" xfId="0" applyNumberFormat="1" applyFont="1" applyFill="1" applyBorder="1" applyAlignment="1">
      <alignment horizontal="left" vertical="center"/>
    </xf>
    <xf numFmtId="166" fontId="9" fillId="0" borderId="0" xfId="0" applyNumberFormat="1" applyFont="1" applyFill="1" applyBorder="1"/>
    <xf numFmtId="166" fontId="9" fillId="0" borderId="16" xfId="0" applyNumberFormat="1" applyFont="1" applyFill="1" applyBorder="1"/>
    <xf numFmtId="3" fontId="12" fillId="0" borderId="12" xfId="0" applyNumberFormat="1" applyFont="1" applyFill="1" applyBorder="1" applyAlignment="1">
      <alignment horizontal="left" vertical="center"/>
    </xf>
    <xf numFmtId="3" fontId="9" fillId="0" borderId="0" xfId="0" applyNumberFormat="1" applyFont="1" applyFill="1" applyBorder="1"/>
    <xf numFmtId="3" fontId="24" fillId="0" borderId="16" xfId="0" applyNumberFormat="1" applyFont="1" applyFill="1" applyBorder="1"/>
    <xf numFmtId="9" fontId="24" fillId="0" borderId="16" xfId="0" applyNumberFormat="1" applyFont="1" applyFill="1" applyBorder="1"/>
    <xf numFmtId="0" fontId="12" fillId="5" borderId="12" xfId="0" applyFont="1" applyFill="1" applyBorder="1" applyAlignment="1">
      <alignment vertical="top" wrapText="1"/>
    </xf>
    <xf numFmtId="1" fontId="8" fillId="5" borderId="0" xfId="0" applyNumberFormat="1" applyFont="1" applyFill="1" applyBorder="1" applyAlignment="1">
      <alignment horizontal="left" vertical="center"/>
    </xf>
    <xf numFmtId="174" fontId="9" fillId="5" borderId="0" xfId="0" applyNumberFormat="1" applyFont="1" applyFill="1" applyBorder="1" applyAlignment="1">
      <alignment horizontal="right" vertical="center"/>
    </xf>
    <xf numFmtId="4" fontId="9" fillId="5" borderId="0" xfId="0" applyNumberFormat="1" applyFont="1" applyFill="1" applyBorder="1"/>
    <xf numFmtId="4" fontId="9" fillId="5" borderId="16" xfId="0" applyNumberFormat="1" applyFont="1" applyFill="1" applyBorder="1"/>
    <xf numFmtId="1" fontId="9" fillId="5" borderId="22" xfId="0" applyNumberFormat="1" applyFont="1" applyFill="1" applyBorder="1" applyAlignment="1">
      <alignment horizontal="right" vertical="center"/>
    </xf>
    <xf numFmtId="0" fontId="9" fillId="0" borderId="12" xfId="0" applyFont="1" applyBorder="1" applyAlignment="1">
      <alignment vertical="top" wrapText="1"/>
    </xf>
    <xf numFmtId="10" fontId="9" fillId="0" borderId="0" xfId="0" applyNumberFormat="1" applyFont="1" applyFill="1" applyBorder="1"/>
    <xf numFmtId="10" fontId="24" fillId="0" borderId="16" xfId="0" applyNumberFormat="1" applyFont="1" applyFill="1" applyBorder="1"/>
    <xf numFmtId="3" fontId="6" fillId="4" borderId="3" xfId="0" applyNumberFormat="1" applyFont="1" applyFill="1" applyBorder="1" applyAlignment="1">
      <alignment horizontal="right"/>
    </xf>
    <xf numFmtId="1" fontId="27" fillId="0" borderId="3" xfId="0" applyNumberFormat="1" applyFont="1" applyFill="1" applyBorder="1" applyAlignment="1">
      <alignment horizontal="right" vertical="center"/>
    </xf>
    <xf numFmtId="9" fontId="9" fillId="0" borderId="0" xfId="0" applyNumberFormat="1" applyFont="1" applyFill="1" applyAlignment="1">
      <alignment horizontal="left" vertical="center"/>
    </xf>
    <xf numFmtId="9" fontId="9" fillId="0" borderId="0" xfId="0" applyNumberFormat="1" applyFont="1" applyFill="1" applyBorder="1" applyAlignment="1">
      <alignment horizontal="left" vertical="center"/>
    </xf>
    <xf numFmtId="9" fontId="24" fillId="0" borderId="0" xfId="0" applyNumberFormat="1" applyFont="1" applyFill="1" applyBorder="1" applyAlignment="1">
      <alignment horizontal="left" vertical="center"/>
    </xf>
    <xf numFmtId="1" fontId="9" fillId="0" borderId="5" xfId="0" applyNumberFormat="1" applyFont="1" applyFill="1" applyBorder="1"/>
    <xf numFmtId="167" fontId="9" fillId="0" borderId="16" xfId="0" applyNumberFormat="1" applyFont="1" applyBorder="1"/>
    <xf numFmtId="167" fontId="9" fillId="0" borderId="3" xfId="0" applyNumberFormat="1" applyFont="1" applyBorder="1"/>
    <xf numFmtId="167" fontId="9" fillId="0" borderId="18" xfId="0" applyNumberFormat="1" applyFont="1" applyBorder="1"/>
    <xf numFmtId="0" fontId="9" fillId="0" borderId="3" xfId="0" applyFont="1" applyFill="1" applyBorder="1"/>
    <xf numFmtId="1" fontId="9" fillId="0" borderId="3" xfId="0" applyNumberFormat="1" applyFont="1" applyFill="1" applyBorder="1"/>
    <xf numFmtId="1" fontId="9" fillId="0" borderId="24" xfId="0" applyNumberFormat="1" applyFont="1" applyFill="1" applyBorder="1"/>
    <xf numFmtId="167" fontId="10" fillId="0" borderId="0" xfId="0" applyNumberFormat="1" applyFont="1" applyFill="1" applyBorder="1" applyAlignment="1">
      <alignment horizontal="left" vertical="center"/>
    </xf>
    <xf numFmtId="2" fontId="3" fillId="0" borderId="0" xfId="0" applyNumberFormat="1" applyFont="1" applyFill="1" applyBorder="1" applyAlignment="1">
      <alignment horizontal="left" vertical="center"/>
    </xf>
    <xf numFmtId="164" fontId="8" fillId="0" borderId="26" xfId="0" applyNumberFormat="1" applyFont="1" applyFill="1" applyBorder="1" applyAlignment="1">
      <alignment horizontal="right" vertical="center"/>
    </xf>
    <xf numFmtId="9" fontId="12" fillId="0" borderId="26" xfId="0" applyNumberFormat="1" applyFont="1" applyBorder="1"/>
    <xf numFmtId="9" fontId="9" fillId="0" borderId="26" xfId="0" applyNumberFormat="1" applyFont="1" applyBorder="1"/>
    <xf numFmtId="9" fontId="8" fillId="0" borderId="26" xfId="0" applyNumberFormat="1" applyFont="1" applyBorder="1" applyAlignment="1">
      <alignment horizontal="right"/>
    </xf>
    <xf numFmtId="168" fontId="9" fillId="0" borderId="16" xfId="0" applyNumberFormat="1" applyFont="1" applyBorder="1"/>
    <xf numFmtId="168" fontId="9" fillId="8" borderId="0" xfId="0" applyNumberFormat="1" applyFont="1" applyFill="1"/>
    <xf numFmtId="168" fontId="9" fillId="8" borderId="16" xfId="0" applyNumberFormat="1" applyFont="1" applyFill="1" applyBorder="1"/>
    <xf numFmtId="9" fontId="9" fillId="8" borderId="26" xfId="0" applyNumberFormat="1" applyFont="1" applyFill="1" applyBorder="1"/>
    <xf numFmtId="164" fontId="9" fillId="8" borderId="0" xfId="0" applyNumberFormat="1" applyFont="1" applyFill="1" applyAlignment="1">
      <alignment horizontal="left" vertical="center"/>
    </xf>
    <xf numFmtId="9" fontId="9" fillId="8" borderId="0" xfId="0" applyNumberFormat="1" applyFont="1" applyFill="1" applyAlignment="1">
      <alignment horizontal="right"/>
    </xf>
    <xf numFmtId="9" fontId="8" fillId="0" borderId="0" xfId="0" applyNumberFormat="1" applyFont="1" applyFill="1" applyAlignment="1">
      <alignment horizontal="right" vertical="center"/>
    </xf>
    <xf numFmtId="9" fontId="9" fillId="0" borderId="26" xfId="0" applyNumberFormat="1" applyFont="1" applyFill="1" applyBorder="1" applyAlignment="1">
      <alignment horizontal="right"/>
    </xf>
    <xf numFmtId="3" fontId="9" fillId="0" borderId="0" xfId="0" applyNumberFormat="1" applyFont="1" applyAlignment="1">
      <alignment horizontal="left"/>
    </xf>
    <xf numFmtId="0" fontId="9" fillId="0" borderId="0" xfId="0" applyFont="1" applyAlignment="1">
      <alignment horizontal="right"/>
    </xf>
    <xf numFmtId="10" fontId="9" fillId="0" borderId="0" xfId="0" applyNumberFormat="1" applyFont="1"/>
    <xf numFmtId="10" fontId="9" fillId="0" borderId="0" xfId="0" applyNumberFormat="1" applyFont="1" applyAlignment="1">
      <alignment horizontal="right"/>
    </xf>
    <xf numFmtId="10" fontId="9" fillId="0" borderId="16" xfId="0" applyNumberFormat="1" applyFont="1" applyBorder="1" applyAlignment="1">
      <alignment horizontal="right"/>
    </xf>
    <xf numFmtId="0" fontId="24" fillId="0" borderId="0" xfId="0" applyFont="1"/>
    <xf numFmtId="164" fontId="24" fillId="0" borderId="0" xfId="0" applyNumberFormat="1" applyFont="1"/>
    <xf numFmtId="164" fontId="9" fillId="0" borderId="16" xfId="0" applyNumberFormat="1" applyFont="1" applyBorder="1"/>
    <xf numFmtId="0" fontId="8" fillId="4" borderId="0" xfId="0" applyFont="1" applyFill="1" applyAlignment="1">
      <alignment horizontal="left"/>
    </xf>
    <xf numFmtId="0" fontId="8" fillId="4" borderId="0" xfId="0" applyFont="1" applyFill="1" applyBorder="1" applyAlignment="1">
      <alignment horizontal="left" vertical="center"/>
    </xf>
    <xf numFmtId="168" fontId="9" fillId="0" borderId="16" xfId="0" applyNumberFormat="1" applyFont="1" applyFill="1" applyBorder="1" applyAlignment="1">
      <alignment horizontal="left" vertical="center"/>
    </xf>
    <xf numFmtId="0" fontId="9" fillId="0" borderId="16" xfId="0" applyFont="1" applyFill="1" applyBorder="1" applyAlignment="1">
      <alignment horizontal="left" vertical="center"/>
    </xf>
    <xf numFmtId="178" fontId="24" fillId="0" borderId="0" xfId="0" applyNumberFormat="1" applyFont="1" applyFill="1" applyBorder="1" applyAlignment="1">
      <alignment horizontal="right" vertical="center"/>
    </xf>
    <xf numFmtId="0" fontId="9" fillId="5" borderId="0" xfId="0" applyFont="1" applyFill="1" applyBorder="1" applyAlignment="1">
      <alignment horizontal="left" vertical="center"/>
    </xf>
    <xf numFmtId="168" fontId="9" fillId="5" borderId="0" xfId="0" applyNumberFormat="1" applyFont="1" applyFill="1" applyBorder="1" applyAlignment="1">
      <alignment horizontal="left" vertical="center"/>
    </xf>
    <xf numFmtId="1" fontId="9" fillId="0" borderId="18" xfId="0" applyNumberFormat="1" applyFont="1" applyFill="1" applyBorder="1" applyAlignment="1">
      <alignment horizontal="right" vertical="center"/>
    </xf>
    <xf numFmtId="0" fontId="9" fillId="4" borderId="2" xfId="0" applyFont="1" applyFill="1" applyBorder="1"/>
    <xf numFmtId="0" fontId="10" fillId="0" borderId="2" xfId="0" applyFont="1" applyFill="1" applyBorder="1" applyAlignment="1">
      <alignment horizontal="left" vertical="center"/>
    </xf>
    <xf numFmtId="0" fontId="9" fillId="0" borderId="2" xfId="0" applyFont="1" applyFill="1" applyBorder="1"/>
    <xf numFmtId="1" fontId="43" fillId="0" borderId="2" xfId="0" applyNumberFormat="1" applyFont="1" applyFill="1" applyBorder="1" applyAlignment="1">
      <alignment horizontal="left" vertical="center"/>
    </xf>
    <xf numFmtId="0" fontId="10" fillId="0" borderId="3" xfId="0" applyFont="1" applyFill="1" applyBorder="1" applyAlignment="1">
      <alignment horizontal="left" vertical="center"/>
    </xf>
    <xf numFmtId="0" fontId="9" fillId="0" borderId="3" xfId="0" applyFont="1" applyFill="1" applyBorder="1" applyAlignment="1">
      <alignment horizontal="left" vertical="center"/>
    </xf>
    <xf numFmtId="0" fontId="11" fillId="0" borderId="1" xfId="0" applyFont="1" applyFill="1" applyBorder="1" applyAlignment="1">
      <alignment horizontal="left" vertical="center"/>
    </xf>
    <xf numFmtId="9" fontId="9" fillId="0" borderId="3" xfId="0" applyNumberFormat="1" applyFont="1" applyFill="1" applyBorder="1"/>
    <xf numFmtId="183" fontId="9" fillId="0" borderId="3" xfId="0" applyNumberFormat="1" applyFont="1" applyFill="1" applyBorder="1"/>
    <xf numFmtId="167" fontId="9" fillId="0" borderId="3" xfId="0" applyNumberFormat="1" applyFont="1" applyFill="1" applyBorder="1"/>
    <xf numFmtId="164" fontId="9" fillId="0" borderId="3" xfId="0" applyNumberFormat="1" applyFont="1" applyFill="1" applyBorder="1"/>
    <xf numFmtId="0" fontId="9" fillId="4" borderId="5" xfId="0" applyFont="1" applyFill="1" applyBorder="1"/>
    <xf numFmtId="0" fontId="13" fillId="0" borderId="0" xfId="0" applyFont="1" applyFill="1"/>
    <xf numFmtId="0" fontId="13" fillId="0" borderId="0" xfId="0" applyFont="1" applyFill="1" applyAlignment="1">
      <alignment horizontal="center"/>
    </xf>
    <xf numFmtId="3" fontId="8" fillId="0" borderId="0" xfId="0" applyNumberFormat="1" applyFont="1" applyFill="1" applyAlignment="1">
      <alignment horizontal="right" vertical="center"/>
    </xf>
    <xf numFmtId="3" fontId="12" fillId="0" borderId="16" xfId="0" applyNumberFormat="1" applyFont="1" applyFill="1" applyBorder="1" applyAlignment="1">
      <alignment horizontal="right" vertical="center"/>
    </xf>
    <xf numFmtId="3" fontId="12" fillId="0" borderId="0" xfId="0" applyNumberFormat="1" applyFont="1" applyFill="1" applyBorder="1" applyAlignment="1">
      <alignment horizontal="center" vertical="center"/>
    </xf>
    <xf numFmtId="3" fontId="13" fillId="0" borderId="0" xfId="0" applyNumberFormat="1" applyFont="1" applyFill="1"/>
    <xf numFmtId="3" fontId="12" fillId="0" borderId="0" xfId="0" applyNumberFormat="1" applyFont="1" applyFill="1" applyBorder="1" applyAlignment="1">
      <alignment horizontal="center"/>
    </xf>
    <xf numFmtId="3" fontId="8" fillId="4" borderId="0" xfId="0" applyNumberFormat="1" applyFont="1" applyFill="1"/>
    <xf numFmtId="3" fontId="8" fillId="4" borderId="0" xfId="0" applyNumberFormat="1" applyFont="1" applyFill="1" applyBorder="1" applyAlignment="1">
      <alignment horizontal="right" vertical="center"/>
    </xf>
    <xf numFmtId="3" fontId="12" fillId="0" borderId="0" xfId="0" applyNumberFormat="1" applyFont="1" applyFill="1" applyBorder="1"/>
    <xf numFmtId="3" fontId="8" fillId="0" borderId="0" xfId="0" applyNumberFormat="1" applyFont="1" applyFill="1" applyBorder="1"/>
    <xf numFmtId="3" fontId="12" fillId="0" borderId="0" xfId="0" applyNumberFormat="1" applyFont="1" applyFill="1" applyBorder="1" applyAlignment="1">
      <alignment horizontal="left" vertical="center"/>
    </xf>
    <xf numFmtId="3" fontId="12" fillId="0" borderId="0" xfId="0" applyNumberFormat="1" applyFont="1" applyFill="1" applyAlignment="1">
      <alignment horizontal="right"/>
    </xf>
    <xf numFmtId="3" fontId="12" fillId="0" borderId="16" xfId="0" applyNumberFormat="1" applyFont="1" applyFill="1" applyBorder="1"/>
    <xf numFmtId="3" fontId="24" fillId="0" borderId="0" xfId="0" applyNumberFormat="1" applyFont="1" applyFill="1" applyAlignment="1">
      <alignment horizontal="right"/>
    </xf>
    <xf numFmtId="167" fontId="9" fillId="0" borderId="0" xfId="0" applyNumberFormat="1" applyFont="1" applyFill="1" applyBorder="1"/>
    <xf numFmtId="176" fontId="9" fillId="0" borderId="0" xfId="0" applyNumberFormat="1" applyFont="1" applyFill="1" applyBorder="1"/>
    <xf numFmtId="0" fontId="15" fillId="0" borderId="0" xfId="0" applyFont="1" applyFill="1" applyBorder="1" applyAlignment="1"/>
    <xf numFmtId="168" fontId="24" fillId="5" borderId="0" xfId="0" applyNumberFormat="1" applyFont="1" applyFill="1" applyBorder="1" applyAlignment="1">
      <alignment horizontal="right" vertical="center"/>
    </xf>
    <xf numFmtId="3" fontId="24" fillId="5" borderId="0" xfId="0" applyNumberFormat="1" applyFont="1" applyFill="1" applyBorder="1" applyAlignment="1">
      <alignment horizontal="right" vertical="center"/>
    </xf>
    <xf numFmtId="178" fontId="24" fillId="5" borderId="0" xfId="0" applyNumberFormat="1" applyFont="1" applyFill="1" applyBorder="1" applyAlignment="1">
      <alignment horizontal="right" vertical="center"/>
    </xf>
    <xf numFmtId="1" fontId="14" fillId="0" borderId="3" xfId="0" applyNumberFormat="1" applyFont="1" applyFill="1" applyBorder="1" applyAlignment="1">
      <alignment horizontal="center" vertical="center"/>
    </xf>
    <xf numFmtId="2" fontId="27" fillId="0" borderId="3" xfId="0" applyNumberFormat="1" applyFont="1" applyFill="1" applyBorder="1" applyAlignment="1">
      <alignment horizontal="left" vertical="center"/>
    </xf>
    <xf numFmtId="1" fontId="9" fillId="0" borderId="17" xfId="0" applyNumberFormat="1" applyFont="1" applyFill="1" applyBorder="1" applyAlignment="1">
      <alignment horizontal="right" vertical="center"/>
    </xf>
    <xf numFmtId="1" fontId="9" fillId="0" borderId="0" xfId="0" applyNumberFormat="1" applyFont="1" applyFill="1" applyBorder="1" applyAlignment="1">
      <alignment horizontal="center" vertical="center"/>
    </xf>
    <xf numFmtId="1" fontId="9" fillId="0" borderId="16" xfId="0" applyNumberFormat="1" applyFont="1" applyBorder="1" applyAlignment="1">
      <alignment horizontal="right"/>
    </xf>
    <xf numFmtId="1" fontId="24" fillId="0" borderId="0" xfId="0" applyNumberFormat="1" applyFont="1" applyAlignment="1">
      <alignment horizontal="right"/>
    </xf>
    <xf numFmtId="1" fontId="13" fillId="0" borderId="0" xfId="0" applyNumberFormat="1" applyFont="1" applyFill="1" applyAlignment="1">
      <alignment horizontal="right"/>
    </xf>
    <xf numFmtId="9" fontId="13" fillId="0" borderId="0" xfId="0" applyNumberFormat="1" applyFont="1" applyFill="1" applyAlignment="1">
      <alignment horizontal="right"/>
    </xf>
    <xf numFmtId="166" fontId="13" fillId="0" borderId="0" xfId="0" applyNumberFormat="1" applyFont="1" applyFill="1"/>
    <xf numFmtId="164" fontId="13" fillId="0" borderId="0" xfId="0" applyNumberFormat="1" applyFont="1" applyFill="1" applyBorder="1" applyAlignment="1">
      <alignment horizontal="right" vertical="center"/>
    </xf>
    <xf numFmtId="164" fontId="13" fillId="0" borderId="16" xfId="0" applyNumberFormat="1" applyFont="1" applyFill="1" applyBorder="1" applyAlignment="1">
      <alignment horizontal="right" vertical="center"/>
    </xf>
    <xf numFmtId="1" fontId="13" fillId="0" borderId="0" xfId="0" applyNumberFormat="1" applyFont="1" applyFill="1" applyBorder="1"/>
    <xf numFmtId="166" fontId="12" fillId="0" borderId="0" xfId="0" applyNumberFormat="1" applyFont="1"/>
    <xf numFmtId="9" fontId="12" fillId="0" borderId="16" xfId="0" applyNumberFormat="1" applyFont="1" applyBorder="1" applyAlignment="1">
      <alignment horizontal="right"/>
    </xf>
    <xf numFmtId="9" fontId="25" fillId="0" borderId="0" xfId="0" applyNumberFormat="1" applyFont="1" applyAlignment="1">
      <alignment horizontal="right"/>
    </xf>
    <xf numFmtId="166" fontId="12" fillId="0" borderId="0" xfId="0" applyNumberFormat="1" applyFont="1" applyFill="1" applyAlignment="1">
      <alignment horizontal="right"/>
    </xf>
    <xf numFmtId="166" fontId="12" fillId="0" borderId="0" xfId="0" applyNumberFormat="1" applyFont="1" applyFill="1"/>
    <xf numFmtId="164" fontId="12" fillId="0" borderId="16" xfId="0" applyNumberFormat="1" applyFont="1" applyFill="1" applyBorder="1" applyAlignment="1">
      <alignment horizontal="right" vertical="center"/>
    </xf>
    <xf numFmtId="166" fontId="12" fillId="0" borderId="0" xfId="0" applyNumberFormat="1" applyFont="1" applyFill="1" applyBorder="1"/>
    <xf numFmtId="9" fontId="12" fillId="0" borderId="0" xfId="0" applyNumberFormat="1" applyFont="1" applyFill="1" applyAlignment="1">
      <alignment horizontal="right"/>
    </xf>
    <xf numFmtId="0" fontId="9" fillId="0" borderId="16" xfId="0" applyFont="1" applyFill="1" applyBorder="1"/>
    <xf numFmtId="0" fontId="9" fillId="0" borderId="0" xfId="0" applyFont="1" applyBorder="1"/>
    <xf numFmtId="3" fontId="9" fillId="4" borderId="0" xfId="0" applyNumberFormat="1" applyFont="1" applyFill="1"/>
    <xf numFmtId="3" fontId="12" fillId="0" borderId="0" xfId="0" applyNumberFormat="1" applyFont="1" applyAlignment="1">
      <alignment horizontal="right"/>
    </xf>
    <xf numFmtId="168" fontId="12" fillId="0" borderId="0" xfId="0" applyNumberFormat="1" applyFont="1" applyAlignment="1">
      <alignment horizontal="right"/>
    </xf>
    <xf numFmtId="168" fontId="9" fillId="0" borderId="16" xfId="0" applyNumberFormat="1" applyFont="1" applyFill="1" applyBorder="1" applyAlignment="1">
      <alignment horizontal="right" vertical="center"/>
    </xf>
    <xf numFmtId="9" fontId="25" fillId="0" borderId="16" xfId="0" applyNumberFormat="1" applyFont="1" applyFill="1" applyBorder="1" applyAlignment="1">
      <alignment horizontal="right" vertical="center"/>
    </xf>
    <xf numFmtId="164" fontId="9" fillId="0" borderId="16" xfId="0" applyNumberFormat="1" applyFont="1" applyFill="1" applyBorder="1" applyAlignment="1">
      <alignment horizontal="right" vertical="center"/>
    </xf>
    <xf numFmtId="164" fontId="25" fillId="0" borderId="0" xfId="0" applyNumberFormat="1" applyFont="1" applyAlignment="1">
      <alignment horizontal="right"/>
    </xf>
    <xf numFmtId="3" fontId="9" fillId="7" borderId="0" xfId="0" applyNumberFormat="1" applyFont="1" applyFill="1" applyBorder="1" applyAlignment="1">
      <alignment horizontal="right" vertical="center"/>
    </xf>
    <xf numFmtId="168" fontId="25" fillId="0" borderId="0" xfId="0" applyNumberFormat="1" applyFont="1" applyAlignment="1">
      <alignment horizontal="right"/>
    </xf>
    <xf numFmtId="168" fontId="12" fillId="0" borderId="0" xfId="0" applyNumberFormat="1" applyFont="1" applyFill="1" applyAlignment="1">
      <alignment horizontal="right"/>
    </xf>
    <xf numFmtId="168" fontId="12" fillId="0" borderId="16" xfId="0" applyNumberFormat="1" applyFont="1" applyBorder="1" applyAlignment="1">
      <alignment horizontal="right"/>
    </xf>
    <xf numFmtId="3" fontId="12" fillId="0" borderId="16" xfId="0" applyNumberFormat="1" applyFont="1" applyBorder="1" applyAlignment="1">
      <alignment horizontal="right"/>
    </xf>
    <xf numFmtId="1" fontId="12" fillId="0" borderId="0" xfId="0" applyNumberFormat="1" applyFont="1" applyFill="1" applyBorder="1"/>
    <xf numFmtId="3" fontId="8" fillId="5" borderId="0" xfId="0" applyNumberFormat="1" applyFont="1" applyFill="1" applyBorder="1" applyAlignment="1">
      <alignment horizontal="left" vertical="center"/>
    </xf>
    <xf numFmtId="3" fontId="12" fillId="5" borderId="0" xfId="0" applyNumberFormat="1" applyFont="1" applyFill="1" applyBorder="1" applyAlignment="1">
      <alignment horizontal="left" vertical="center"/>
    </xf>
    <xf numFmtId="3" fontId="12" fillId="5" borderId="0" xfId="0" applyNumberFormat="1" applyFont="1" applyFill="1" applyBorder="1" applyAlignment="1">
      <alignment horizontal="right" vertical="center"/>
    </xf>
    <xf numFmtId="3" fontId="9" fillId="5" borderId="0" xfId="0" applyNumberFormat="1" applyFont="1" applyFill="1" applyBorder="1" applyAlignment="1">
      <alignment vertical="center"/>
    </xf>
    <xf numFmtId="2" fontId="9" fillId="5" borderId="0" xfId="0" applyNumberFormat="1" applyFont="1" applyFill="1" applyBorder="1" applyAlignment="1">
      <alignment horizontal="left" vertical="center"/>
    </xf>
    <xf numFmtId="0" fontId="12" fillId="5" borderId="0" xfId="0" applyFont="1" applyFill="1" applyBorder="1" applyAlignment="1">
      <alignment horizontal="left" vertical="center"/>
    </xf>
    <xf numFmtId="178" fontId="12" fillId="5" borderId="0" xfId="0" applyNumberFormat="1" applyFont="1" applyFill="1" applyBorder="1" applyAlignment="1">
      <alignment horizontal="right" vertical="center"/>
    </xf>
    <xf numFmtId="1" fontId="12" fillId="5" borderId="0" xfId="0" applyNumberFormat="1" applyFont="1" applyFill="1" applyBorder="1" applyAlignment="1">
      <alignment horizontal="left" vertical="center"/>
    </xf>
    <xf numFmtId="164" fontId="12" fillId="5" borderId="0" xfId="0" applyNumberFormat="1" applyFont="1" applyFill="1" applyBorder="1" applyAlignment="1">
      <alignment horizontal="right" vertical="center"/>
    </xf>
    <xf numFmtId="166" fontId="12" fillId="5" borderId="0" xfId="0" applyNumberFormat="1" applyFont="1" applyFill="1" applyBorder="1" applyAlignment="1">
      <alignment horizontal="right" vertical="center"/>
    </xf>
    <xf numFmtId="178" fontId="12" fillId="5" borderId="16" xfId="0" applyNumberFormat="1" applyFont="1" applyFill="1" applyBorder="1" applyAlignment="1">
      <alignment horizontal="right" vertical="center"/>
    </xf>
    <xf numFmtId="178" fontId="9" fillId="5" borderId="0" xfId="0" applyNumberFormat="1" applyFont="1" applyFill="1" applyBorder="1" applyAlignment="1">
      <alignment horizontal="right" vertical="center"/>
    </xf>
    <xf numFmtId="178" fontId="25" fillId="5" borderId="0" xfId="0" applyNumberFormat="1" applyFont="1" applyFill="1" applyBorder="1" applyAlignment="1">
      <alignment horizontal="right" vertical="center"/>
    </xf>
    <xf numFmtId="175" fontId="9" fillId="5" borderId="0" xfId="0" applyNumberFormat="1" applyFont="1" applyFill="1" applyBorder="1" applyAlignment="1">
      <alignment horizontal="right" vertical="center"/>
    </xf>
    <xf numFmtId="175" fontId="9" fillId="5" borderId="16" xfId="0" applyNumberFormat="1" applyFont="1" applyFill="1" applyBorder="1" applyAlignment="1">
      <alignment horizontal="right" vertical="center"/>
    </xf>
    <xf numFmtId="175" fontId="25" fillId="5" borderId="0" xfId="0" applyNumberFormat="1" applyFont="1" applyFill="1" applyBorder="1" applyAlignment="1">
      <alignment horizontal="right" vertical="center"/>
    </xf>
    <xf numFmtId="2" fontId="9" fillId="5" borderId="0" xfId="0" applyNumberFormat="1" applyFont="1" applyFill="1" applyBorder="1" applyAlignment="1">
      <alignment horizontal="right" vertical="center"/>
    </xf>
    <xf numFmtId="164" fontId="9" fillId="5" borderId="0" xfId="0" applyNumberFormat="1" applyFont="1" applyFill="1" applyBorder="1" applyAlignment="1">
      <alignment horizontal="right" vertical="center"/>
    </xf>
    <xf numFmtId="0" fontId="12" fillId="5" borderId="0" xfId="0" applyFont="1" applyFill="1" applyBorder="1" applyAlignment="1">
      <alignment horizontal="right" vertical="center"/>
    </xf>
    <xf numFmtId="164" fontId="9" fillId="5" borderId="16" xfId="0" applyNumberFormat="1" applyFont="1" applyFill="1" applyBorder="1" applyAlignment="1">
      <alignment horizontal="right" vertical="center"/>
    </xf>
    <xf numFmtId="174" fontId="12" fillId="5" borderId="0" xfId="0" applyNumberFormat="1" applyFont="1" applyFill="1" applyBorder="1" applyAlignment="1">
      <alignment horizontal="right" vertical="center"/>
    </xf>
    <xf numFmtId="174" fontId="25" fillId="5" borderId="0" xfId="0" applyNumberFormat="1" applyFont="1" applyFill="1" applyBorder="1" applyAlignment="1">
      <alignment horizontal="right" vertical="center"/>
    </xf>
    <xf numFmtId="174" fontId="9" fillId="5" borderId="16" xfId="0" applyNumberFormat="1" applyFont="1" applyFill="1" applyBorder="1" applyAlignment="1">
      <alignment horizontal="right" vertical="center"/>
    </xf>
    <xf numFmtId="174" fontId="37" fillId="5" borderId="16" xfId="0" applyNumberFormat="1" applyFont="1" applyFill="1" applyBorder="1" applyAlignment="1">
      <alignment horizontal="right" vertical="center"/>
    </xf>
    <xf numFmtId="2" fontId="12" fillId="5" borderId="0" xfId="0" applyNumberFormat="1" applyFont="1" applyFill="1" applyBorder="1" applyAlignment="1">
      <alignment horizontal="left" vertical="center"/>
    </xf>
    <xf numFmtId="164" fontId="12" fillId="5" borderId="0" xfId="0" applyNumberFormat="1" applyFont="1" applyFill="1" applyBorder="1" applyAlignment="1">
      <alignment horizontal="center" vertical="center"/>
    </xf>
    <xf numFmtId="172" fontId="12" fillId="5" borderId="0" xfId="0" applyNumberFormat="1" applyFont="1" applyFill="1" applyBorder="1" applyAlignment="1">
      <alignment horizontal="right" vertical="center"/>
    </xf>
    <xf numFmtId="9" fontId="12" fillId="5" borderId="0" xfId="0" applyNumberFormat="1" applyFont="1" applyFill="1" applyBorder="1" applyAlignment="1">
      <alignment horizontal="right" vertical="center"/>
    </xf>
    <xf numFmtId="9" fontId="25" fillId="5" borderId="0" xfId="0" applyNumberFormat="1" applyFont="1" applyFill="1" applyBorder="1" applyAlignment="1">
      <alignment horizontal="right" vertical="center"/>
    </xf>
    <xf numFmtId="175" fontId="12" fillId="5" borderId="0" xfId="0" applyNumberFormat="1" applyFont="1" applyFill="1" applyBorder="1" applyAlignment="1">
      <alignment horizontal="right" vertical="center"/>
    </xf>
    <xf numFmtId="178" fontId="9" fillId="5" borderId="16" xfId="0" applyNumberFormat="1" applyFont="1" applyFill="1" applyBorder="1" applyAlignment="1">
      <alignment horizontal="right" vertical="center"/>
    </xf>
    <xf numFmtId="175" fontId="24" fillId="5" borderId="0" xfId="0" applyNumberFormat="1" applyFont="1" applyFill="1" applyBorder="1" applyAlignment="1">
      <alignment horizontal="right" vertical="center"/>
    </xf>
    <xf numFmtId="9" fontId="12" fillId="5" borderId="16" xfId="0" applyNumberFormat="1" applyFont="1" applyFill="1" applyBorder="1" applyAlignment="1">
      <alignment horizontal="right" vertical="center"/>
    </xf>
    <xf numFmtId="172" fontId="9" fillId="5" borderId="0" xfId="0" applyNumberFormat="1" applyFont="1" applyFill="1" applyBorder="1" applyAlignment="1">
      <alignment horizontal="right" vertical="center"/>
    </xf>
    <xf numFmtId="2" fontId="9" fillId="5" borderId="5" xfId="0" applyNumberFormat="1" applyFont="1" applyFill="1" applyBorder="1" applyAlignment="1">
      <alignment horizontal="left" vertical="center"/>
    </xf>
    <xf numFmtId="0" fontId="12" fillId="5" borderId="5" xfId="0" applyFont="1" applyFill="1" applyBorder="1" applyAlignment="1">
      <alignment horizontal="left" vertical="center"/>
    </xf>
    <xf numFmtId="1" fontId="9" fillId="5" borderId="5" xfId="0" applyNumberFormat="1" applyFont="1" applyFill="1" applyBorder="1" applyAlignment="1">
      <alignment horizontal="right" vertical="center"/>
    </xf>
    <xf numFmtId="178" fontId="9" fillId="5" borderId="5" xfId="0" applyNumberFormat="1" applyFont="1" applyFill="1" applyBorder="1" applyAlignment="1">
      <alignment horizontal="right" vertical="center"/>
    </xf>
    <xf numFmtId="1" fontId="12" fillId="5" borderId="5" xfId="0" applyNumberFormat="1" applyFont="1" applyFill="1" applyBorder="1" applyAlignment="1">
      <alignment horizontal="left" vertical="center"/>
    </xf>
    <xf numFmtId="0" fontId="12" fillId="5" borderId="5" xfId="0" applyFont="1" applyFill="1" applyBorder="1" applyAlignment="1">
      <alignment horizontal="right" vertical="center"/>
    </xf>
    <xf numFmtId="175" fontId="9" fillId="5" borderId="5" xfId="0" applyNumberFormat="1" applyFont="1" applyFill="1" applyBorder="1" applyAlignment="1">
      <alignment horizontal="right" vertical="center"/>
    </xf>
    <xf numFmtId="175" fontId="12" fillId="5" borderId="5" xfId="0" applyNumberFormat="1" applyFont="1" applyFill="1" applyBorder="1" applyAlignment="1">
      <alignment horizontal="right" vertical="center"/>
    </xf>
    <xf numFmtId="175" fontId="9" fillId="5" borderId="15" xfId="0" applyNumberFormat="1" applyFont="1" applyFill="1" applyBorder="1" applyAlignment="1">
      <alignment horizontal="right" vertical="center"/>
    </xf>
    <xf numFmtId="175" fontId="25" fillId="5" borderId="5" xfId="0" applyNumberFormat="1" applyFont="1" applyFill="1" applyBorder="1" applyAlignment="1">
      <alignment horizontal="right" vertical="center"/>
    </xf>
    <xf numFmtId="174" fontId="12" fillId="5" borderId="16" xfId="0" applyNumberFormat="1" applyFont="1" applyFill="1" applyBorder="1" applyAlignment="1">
      <alignment horizontal="right" vertical="center"/>
    </xf>
    <xf numFmtId="175" fontId="12" fillId="5" borderId="16" xfId="0" applyNumberFormat="1" applyFont="1" applyFill="1" applyBorder="1" applyAlignment="1">
      <alignment horizontal="right" vertical="center"/>
    </xf>
    <xf numFmtId="2" fontId="9" fillId="5" borderId="9" xfId="0" applyNumberFormat="1" applyFont="1" applyFill="1" applyBorder="1" applyAlignment="1">
      <alignment horizontal="left" vertical="center"/>
    </xf>
    <xf numFmtId="0" fontId="12" fillId="5" borderId="9" xfId="0" applyFont="1" applyFill="1" applyBorder="1" applyAlignment="1">
      <alignment horizontal="left" vertical="center"/>
    </xf>
    <xf numFmtId="1" fontId="9" fillId="5" borderId="9" xfId="0" applyNumberFormat="1" applyFont="1" applyFill="1" applyBorder="1" applyAlignment="1">
      <alignment horizontal="right" vertical="center"/>
    </xf>
    <xf numFmtId="174" fontId="12" fillId="5" borderId="9" xfId="0" applyNumberFormat="1" applyFont="1" applyFill="1" applyBorder="1" applyAlignment="1">
      <alignment horizontal="right" vertical="center"/>
    </xf>
    <xf numFmtId="1" fontId="12" fillId="5" borderId="9" xfId="0" applyNumberFormat="1" applyFont="1" applyFill="1" applyBorder="1" applyAlignment="1">
      <alignment horizontal="left" vertical="center"/>
    </xf>
    <xf numFmtId="0" fontId="12" fillId="5" borderId="9" xfId="0" applyFont="1" applyFill="1" applyBorder="1" applyAlignment="1">
      <alignment horizontal="right" vertical="center"/>
    </xf>
    <xf numFmtId="174" fontId="9" fillId="5" borderId="9" xfId="0" applyNumberFormat="1" applyFont="1" applyFill="1" applyBorder="1" applyAlignment="1">
      <alignment horizontal="right" vertical="center"/>
    </xf>
    <xf numFmtId="174" fontId="12" fillId="5" borderId="30" xfId="0" applyNumberFormat="1" applyFont="1" applyFill="1" applyBorder="1" applyAlignment="1">
      <alignment horizontal="right" vertical="center"/>
    </xf>
    <xf numFmtId="1" fontId="12" fillId="5" borderId="0" xfId="0" applyNumberFormat="1" applyFont="1" applyFill="1" applyBorder="1" applyAlignment="1">
      <alignment horizontal="right" vertical="center"/>
    </xf>
    <xf numFmtId="9" fontId="25" fillId="5" borderId="16" xfId="0" applyNumberFormat="1" applyFont="1" applyFill="1" applyBorder="1" applyAlignment="1">
      <alignment horizontal="right" vertical="center"/>
    </xf>
    <xf numFmtId="9" fontId="41" fillId="5" borderId="0" xfId="0" applyNumberFormat="1" applyFont="1" applyFill="1" applyBorder="1" applyAlignment="1">
      <alignment horizontal="right" vertical="center"/>
    </xf>
    <xf numFmtId="0" fontId="41" fillId="5" borderId="0" xfId="0" applyFont="1" applyFill="1" applyBorder="1" applyAlignment="1">
      <alignment horizontal="left" vertical="center"/>
    </xf>
    <xf numFmtId="1" fontId="28" fillId="5" borderId="0" xfId="0" applyNumberFormat="1" applyFont="1" applyFill="1" applyBorder="1" applyAlignment="1">
      <alignment horizontal="right" vertical="center"/>
    </xf>
    <xf numFmtId="2" fontId="28" fillId="5" borderId="0" xfId="0" applyNumberFormat="1" applyFont="1" applyFill="1" applyBorder="1" applyAlignment="1">
      <alignment horizontal="right" vertical="center"/>
    </xf>
    <xf numFmtId="1" fontId="41" fillId="5" borderId="0" xfId="0" applyNumberFormat="1" applyFont="1" applyFill="1" applyBorder="1" applyAlignment="1">
      <alignment horizontal="left" vertical="center"/>
    </xf>
    <xf numFmtId="0" fontId="41" fillId="5" borderId="0" xfId="0" applyFont="1" applyFill="1" applyBorder="1" applyAlignment="1">
      <alignment horizontal="right" vertical="center"/>
    </xf>
    <xf numFmtId="9" fontId="41" fillId="5" borderId="16" xfId="0" applyNumberFormat="1" applyFont="1" applyFill="1" applyBorder="1" applyAlignment="1">
      <alignment horizontal="right" vertical="center"/>
    </xf>
    <xf numFmtId="1" fontId="41" fillId="5" borderId="0" xfId="0" applyNumberFormat="1" applyFont="1" applyFill="1" applyBorder="1" applyAlignment="1">
      <alignment horizontal="right" vertical="center"/>
    </xf>
    <xf numFmtId="44" fontId="41" fillId="5" borderId="0" xfId="0" applyNumberFormat="1" applyFont="1" applyFill="1" applyBorder="1" applyAlignment="1">
      <alignment horizontal="right" vertical="center"/>
    </xf>
    <xf numFmtId="178" fontId="41" fillId="5" borderId="0" xfId="0" applyNumberFormat="1" applyFont="1" applyFill="1" applyBorder="1" applyAlignment="1">
      <alignment horizontal="right" vertical="center"/>
    </xf>
    <xf numFmtId="175" fontId="41" fillId="5" borderId="0" xfId="0" applyNumberFormat="1" applyFont="1" applyFill="1" applyBorder="1" applyAlignment="1">
      <alignment horizontal="right" vertical="center"/>
    </xf>
    <xf numFmtId="175" fontId="41" fillId="5" borderId="16" xfId="0" applyNumberFormat="1" applyFont="1" applyFill="1" applyBorder="1" applyAlignment="1">
      <alignment horizontal="right" vertical="center"/>
    </xf>
    <xf numFmtId="1" fontId="9" fillId="0" borderId="16" xfId="0" applyNumberFormat="1" applyFont="1" applyFill="1" applyBorder="1" applyAlignment="1">
      <alignment horizontal="right"/>
    </xf>
    <xf numFmtId="0" fontId="25" fillId="0" borderId="0" xfId="0" applyFont="1" applyFill="1" applyBorder="1" applyAlignment="1">
      <alignment horizontal="left" vertical="center"/>
    </xf>
    <xf numFmtId="164" fontId="8" fillId="5" borderId="0" xfId="0" applyNumberFormat="1" applyFont="1" applyFill="1" applyBorder="1" applyAlignment="1">
      <alignment horizontal="right" vertical="center"/>
    </xf>
    <xf numFmtId="164" fontId="12" fillId="5" borderId="16" xfId="0" applyNumberFormat="1" applyFont="1" applyFill="1" applyBorder="1" applyAlignment="1">
      <alignment horizontal="right" vertical="center"/>
    </xf>
    <xf numFmtId="1" fontId="8" fillId="5" borderId="16" xfId="0" applyNumberFormat="1" applyFont="1" applyFill="1" applyBorder="1" applyAlignment="1">
      <alignment horizontal="right" vertical="center"/>
    </xf>
    <xf numFmtId="164" fontId="12" fillId="5" borderId="0" xfId="0" applyNumberFormat="1" applyFont="1" applyFill="1" applyBorder="1" applyAlignment="1">
      <alignment vertical="center"/>
    </xf>
    <xf numFmtId="167" fontId="12" fillId="5" borderId="0" xfId="0" applyNumberFormat="1" applyFont="1" applyFill="1" applyBorder="1" applyAlignment="1">
      <alignment horizontal="right" vertical="center"/>
    </xf>
    <xf numFmtId="164" fontId="12" fillId="0" borderId="0" xfId="0" applyNumberFormat="1" applyFont="1" applyFill="1" applyBorder="1" applyAlignment="1">
      <alignment vertical="center"/>
    </xf>
    <xf numFmtId="167" fontId="9" fillId="0" borderId="0" xfId="0" applyNumberFormat="1" applyFont="1" applyFill="1" applyAlignment="1">
      <alignment horizontal="right"/>
    </xf>
    <xf numFmtId="0" fontId="9" fillId="0" borderId="10" xfId="0" applyFont="1" applyFill="1" applyBorder="1"/>
    <xf numFmtId="1" fontId="9" fillId="0" borderId="11" xfId="0" applyNumberFormat="1" applyFont="1" applyFill="1" applyBorder="1" applyAlignment="1">
      <alignment horizontal="right"/>
    </xf>
    <xf numFmtId="1" fontId="9" fillId="0" borderId="11" xfId="0" applyNumberFormat="1" applyFont="1" applyBorder="1" applyAlignment="1">
      <alignment horizontal="right"/>
    </xf>
    <xf numFmtId="0" fontId="9" fillId="0" borderId="11" xfId="0" applyFont="1" applyBorder="1"/>
    <xf numFmtId="0" fontId="9" fillId="0" borderId="11" xfId="0" applyFont="1" applyFill="1" applyBorder="1"/>
    <xf numFmtId="1" fontId="9" fillId="0" borderId="31" xfId="0" applyNumberFormat="1" applyFont="1" applyFill="1" applyBorder="1" applyAlignment="1">
      <alignment horizontal="right"/>
    </xf>
    <xf numFmtId="3" fontId="9" fillId="0" borderId="31" xfId="0" applyNumberFormat="1" applyFont="1" applyFill="1" applyBorder="1" applyAlignment="1">
      <alignment horizontal="right"/>
    </xf>
    <xf numFmtId="3" fontId="9" fillId="0" borderId="11" xfId="0" applyNumberFormat="1" applyFont="1" applyBorder="1"/>
    <xf numFmtId="3" fontId="9" fillId="0" borderId="11" xfId="0" applyNumberFormat="1" applyFont="1" applyFill="1" applyBorder="1" applyAlignment="1">
      <alignment horizontal="right"/>
    </xf>
    <xf numFmtId="0" fontId="9" fillId="0" borderId="12" xfId="0" applyFont="1" applyFill="1" applyBorder="1"/>
    <xf numFmtId="0" fontId="9" fillId="4" borderId="0" xfId="0" applyFont="1" applyFill="1" applyBorder="1"/>
    <xf numFmtId="0" fontId="9" fillId="3" borderId="12" xfId="0" applyFont="1" applyFill="1" applyBorder="1" applyAlignment="1">
      <alignment horizontal="left" vertical="center"/>
    </xf>
    <xf numFmtId="0" fontId="9" fillId="3" borderId="13" xfId="0" applyFont="1" applyFill="1" applyBorder="1" applyAlignment="1">
      <alignment horizontal="left" vertical="center"/>
    </xf>
    <xf numFmtId="0" fontId="9" fillId="0" borderId="14" xfId="0" applyFont="1" applyFill="1" applyBorder="1"/>
    <xf numFmtId="0" fontId="12" fillId="0" borderId="0" xfId="0" applyFont="1" applyFill="1" applyAlignment="1">
      <alignment horizontal="center"/>
    </xf>
    <xf numFmtId="0" fontId="30" fillId="0" borderId="0" xfId="0" applyFont="1" applyFill="1"/>
    <xf numFmtId="174" fontId="9" fillId="0" borderId="0" xfId="0" applyNumberFormat="1" applyFont="1"/>
    <xf numFmtId="0" fontId="9" fillId="0" borderId="0" xfId="0" applyFont="1" applyAlignment="1">
      <alignment vertical="top" wrapText="1"/>
    </xf>
    <xf numFmtId="171" fontId="9" fillId="0" borderId="0" xfId="0" applyNumberFormat="1" applyFont="1" applyAlignment="1">
      <alignment horizontal="right"/>
    </xf>
    <xf numFmtId="171" fontId="9" fillId="0" borderId="0" xfId="0" applyNumberFormat="1" applyFont="1" applyFill="1"/>
    <xf numFmtId="168" fontId="9" fillId="0" borderId="0" xfId="0" applyNumberFormat="1" applyFont="1" applyAlignment="1">
      <alignment horizontal="right"/>
    </xf>
    <xf numFmtId="0" fontId="12" fillId="0" borderId="0" xfId="0" applyFont="1" applyAlignment="1">
      <alignment vertical="top" wrapText="1"/>
    </xf>
    <xf numFmtId="0" fontId="9" fillId="0" borderId="3" xfId="0" applyFont="1" applyBorder="1"/>
    <xf numFmtId="174" fontId="9" fillId="0" borderId="0" xfId="0" applyNumberFormat="1" applyFont="1" applyBorder="1"/>
    <xf numFmtId="174" fontId="9" fillId="0" borderId="3" xfId="0" applyNumberFormat="1" applyFont="1" applyBorder="1"/>
    <xf numFmtId="164" fontId="9" fillId="0" borderId="0" xfId="0" applyNumberFormat="1" applyFont="1" applyFill="1"/>
    <xf numFmtId="176" fontId="9" fillId="0" borderId="0" xfId="0" applyNumberFormat="1" applyFont="1" applyFill="1"/>
    <xf numFmtId="0" fontId="15" fillId="0" borderId="0" xfId="0" applyNumberFormat="1" applyFont="1"/>
    <xf numFmtId="164" fontId="9" fillId="0" borderId="2" xfId="0" applyNumberFormat="1" applyFont="1" applyFill="1" applyBorder="1"/>
    <xf numFmtId="0" fontId="9" fillId="4" borderId="0" xfId="0" applyFont="1" applyFill="1" applyBorder="1" applyAlignment="1">
      <alignment horizontal="left" vertical="center"/>
    </xf>
    <xf numFmtId="1" fontId="13" fillId="0" borderId="0" xfId="0" applyNumberFormat="1" applyFont="1" applyFill="1" applyBorder="1" applyAlignment="1">
      <alignment horizontal="left" vertical="center"/>
    </xf>
    <xf numFmtId="1" fontId="13" fillId="4" borderId="0" xfId="0" applyNumberFormat="1" applyFont="1" applyFill="1" applyBorder="1" applyAlignment="1">
      <alignment horizontal="right" vertical="center"/>
    </xf>
    <xf numFmtId="1" fontId="12" fillId="0" borderId="16" xfId="0" applyNumberFormat="1" applyFont="1" applyFill="1" applyBorder="1"/>
    <xf numFmtId="3" fontId="6" fillId="0" borderId="0" xfId="0" applyNumberFormat="1" applyFont="1" applyFill="1" applyBorder="1" applyAlignment="1">
      <alignment horizontal="left" vertical="center"/>
    </xf>
    <xf numFmtId="3" fontId="9" fillId="0" borderId="0" xfId="0" applyNumberFormat="1" applyFont="1" applyFill="1" applyAlignment="1">
      <alignment horizontal="right"/>
    </xf>
    <xf numFmtId="168" fontId="9" fillId="0" borderId="0" xfId="0" applyNumberFormat="1" applyFont="1" applyFill="1" applyAlignment="1">
      <alignment horizontal="right"/>
    </xf>
    <xf numFmtId="3" fontId="9" fillId="4" borderId="5" xfId="0" applyNumberFormat="1" applyFont="1" applyFill="1" applyBorder="1"/>
    <xf numFmtId="3" fontId="13" fillId="4" borderId="0" xfId="0" applyNumberFormat="1" applyFont="1" applyFill="1"/>
    <xf numFmtId="1" fontId="9" fillId="4" borderId="3" xfId="0" applyNumberFormat="1" applyFont="1" applyFill="1" applyBorder="1"/>
    <xf numFmtId="1" fontId="9" fillId="0" borderId="18" xfId="0" applyNumberFormat="1" applyFont="1" applyFill="1" applyBorder="1"/>
    <xf numFmtId="3" fontId="8" fillId="0" borderId="16" xfId="0" applyNumberFormat="1" applyFont="1" applyFill="1" applyBorder="1" applyAlignment="1">
      <alignment horizontal="right" vertical="center"/>
    </xf>
    <xf numFmtId="1" fontId="12" fillId="0" borderId="3" xfId="0" applyNumberFormat="1" applyFont="1" applyFill="1" applyBorder="1"/>
    <xf numFmtId="9" fontId="9" fillId="0" borderId="3" xfId="0" applyNumberFormat="1" applyFont="1" applyFill="1" applyBorder="1" applyAlignment="1">
      <alignment horizontal="right"/>
    </xf>
    <xf numFmtId="9" fontId="9" fillId="0" borderId="18" xfId="0" applyNumberFormat="1" applyFont="1" applyFill="1" applyBorder="1" applyAlignment="1">
      <alignment horizontal="right"/>
    </xf>
    <xf numFmtId="1" fontId="9" fillId="4" borderId="0" xfId="0" applyNumberFormat="1" applyFont="1" applyFill="1"/>
    <xf numFmtId="1" fontId="8" fillId="4" borderId="3" xfId="0" applyNumberFormat="1" applyFont="1" applyFill="1" applyBorder="1"/>
    <xf numFmtId="1" fontId="9" fillId="4" borderId="0" xfId="0" applyNumberFormat="1" applyFont="1" applyFill="1" applyBorder="1"/>
    <xf numFmtId="9" fontId="15" fillId="0" borderId="0" xfId="0" applyNumberFormat="1" applyFont="1"/>
    <xf numFmtId="0" fontId="20" fillId="0" borderId="0" xfId="0" applyFont="1"/>
    <xf numFmtId="9" fontId="12" fillId="0" borderId="0" xfId="0" applyNumberFormat="1" applyFont="1" applyFill="1" applyBorder="1"/>
    <xf numFmtId="0" fontId="12" fillId="2" borderId="0" xfId="0" applyFont="1" applyFill="1"/>
    <xf numFmtId="9" fontId="12" fillId="2" borderId="16" xfId="0" applyNumberFormat="1" applyFont="1" applyFill="1" applyBorder="1"/>
    <xf numFmtId="1" fontId="9" fillId="2" borderId="16" xfId="0" applyNumberFormat="1" applyFont="1" applyFill="1" applyBorder="1"/>
    <xf numFmtId="0" fontId="12" fillId="2" borderId="0" xfId="0" applyFont="1" applyFill="1" applyBorder="1"/>
    <xf numFmtId="9" fontId="12" fillId="2" borderId="0" xfId="0" applyNumberFormat="1" applyFont="1" applyFill="1" applyBorder="1"/>
    <xf numFmtId="0" fontId="15" fillId="0" borderId="0" xfId="0" applyFont="1" applyBorder="1"/>
    <xf numFmtId="3" fontId="9" fillId="2" borderId="0" xfId="0" applyNumberFormat="1" applyFont="1" applyFill="1" applyBorder="1"/>
    <xf numFmtId="0" fontId="12" fillId="2" borderId="22" xfId="0" applyFont="1" applyFill="1" applyBorder="1"/>
    <xf numFmtId="3" fontId="9" fillId="2" borderId="2" xfId="0" applyNumberFormat="1" applyFont="1" applyFill="1" applyBorder="1"/>
    <xf numFmtId="0" fontId="6" fillId="0" borderId="2" xfId="0" applyFont="1" applyFill="1" applyBorder="1" applyAlignment="1">
      <alignment horizontal="left" vertical="center"/>
    </xf>
    <xf numFmtId="9" fontId="6" fillId="0" borderId="0" xfId="0" applyNumberFormat="1" applyFont="1" applyFill="1" applyBorder="1" applyAlignment="1">
      <alignment horizontal="left" vertical="center"/>
    </xf>
    <xf numFmtId="9" fontId="27" fillId="0" borderId="0" xfId="0" applyNumberFormat="1" applyFont="1" applyFill="1" applyBorder="1" applyAlignment="1">
      <alignment horizontal="left" vertical="center"/>
    </xf>
    <xf numFmtId="0" fontId="6" fillId="4" borderId="0" xfId="0" applyFont="1" applyFill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8" fillId="0" borderId="0" xfId="0" applyFont="1" applyFill="1" applyBorder="1" applyAlignment="1">
      <alignment horizontal="right" vertical="center"/>
    </xf>
    <xf numFmtId="0" fontId="8" fillId="4" borderId="0" xfId="0" applyFont="1" applyFill="1" applyBorder="1"/>
    <xf numFmtId="0" fontId="9" fillId="5" borderId="0" xfId="0" applyFont="1" applyFill="1" applyAlignment="1">
      <alignment horizontal="right"/>
    </xf>
    <xf numFmtId="0" fontId="9" fillId="0" borderId="20" xfId="0" applyFont="1" applyFill="1" applyBorder="1"/>
    <xf numFmtId="0" fontId="9" fillId="0" borderId="2" xfId="0" applyFont="1" applyBorder="1"/>
    <xf numFmtId="0" fontId="12" fillId="5" borderId="22" xfId="0" applyFont="1" applyFill="1" applyBorder="1"/>
    <xf numFmtId="9" fontId="9" fillId="5" borderId="0" xfId="0" applyNumberFormat="1" applyFont="1" applyFill="1" applyBorder="1" applyAlignment="1">
      <alignment horizontal="right"/>
    </xf>
    <xf numFmtId="0" fontId="9" fillId="0" borderId="24" xfId="0" applyFont="1" applyFill="1" applyBorder="1"/>
    <xf numFmtId="1" fontId="9" fillId="5" borderId="0" xfId="0" applyNumberFormat="1" applyFont="1" applyFill="1" applyBorder="1" applyAlignment="1">
      <alignment horizontal="right"/>
    </xf>
    <xf numFmtId="9" fontId="9" fillId="5" borderId="16" xfId="0" applyNumberFormat="1" applyFont="1" applyFill="1" applyBorder="1"/>
    <xf numFmtId="3" fontId="9" fillId="0" borderId="22" xfId="0" applyNumberFormat="1" applyFont="1" applyFill="1" applyBorder="1"/>
    <xf numFmtId="3" fontId="9" fillId="2" borderId="22" xfId="0" applyNumberFormat="1" applyFont="1" applyFill="1" applyBorder="1"/>
    <xf numFmtId="3" fontId="8" fillId="2" borderId="0" xfId="0" applyNumberFormat="1" applyFont="1" applyFill="1" applyBorder="1"/>
    <xf numFmtId="9" fontId="25" fillId="2" borderId="0" xfId="0" applyNumberFormat="1" applyFont="1" applyFill="1" applyBorder="1"/>
    <xf numFmtId="0" fontId="9" fillId="0" borderId="16" xfId="0" applyFont="1" applyFill="1" applyBorder="1" applyAlignment="1">
      <alignment horizontal="right"/>
    </xf>
    <xf numFmtId="0" fontId="9" fillId="0" borderId="16" xfId="0" applyFont="1" applyBorder="1" applyAlignment="1">
      <alignment horizontal="right"/>
    </xf>
    <xf numFmtId="0" fontId="8" fillId="0" borderId="0" xfId="0" applyFont="1" applyFill="1" applyBorder="1" applyAlignment="1">
      <alignment horizontal="left" vertical="center"/>
    </xf>
    <xf numFmtId="9" fontId="9" fillId="0" borderId="5" xfId="0" applyNumberFormat="1" applyFont="1" applyFill="1" applyBorder="1" applyAlignment="1">
      <alignment horizontal="right" vertical="center"/>
    </xf>
    <xf numFmtId="3" fontId="8" fillId="2" borderId="10" xfId="0" applyNumberFormat="1" applyFont="1" applyFill="1" applyBorder="1"/>
    <xf numFmtId="3" fontId="8" fillId="2" borderId="11" xfId="0" applyNumberFormat="1" applyFont="1" applyFill="1" applyBorder="1" applyAlignment="1">
      <alignment horizontal="right"/>
    </xf>
    <xf numFmtId="3" fontId="8" fillId="2" borderId="11" xfId="0" applyNumberFormat="1" applyFont="1" applyFill="1" applyBorder="1" applyAlignment="1">
      <alignment horizontal="right" vertical="center"/>
    </xf>
    <xf numFmtId="3" fontId="8" fillId="2" borderId="31" xfId="0" applyNumberFormat="1" applyFont="1" applyFill="1" applyBorder="1" applyAlignment="1">
      <alignment horizontal="right" vertical="center"/>
    </xf>
    <xf numFmtId="0" fontId="9" fillId="2" borderId="14" xfId="0" applyFont="1" applyFill="1" applyBorder="1" applyAlignment="1">
      <alignment horizontal="left" vertical="center"/>
    </xf>
    <xf numFmtId="0" fontId="8" fillId="2" borderId="14" xfId="0" applyFont="1" applyFill="1" applyBorder="1" applyAlignment="1">
      <alignment horizontal="right"/>
    </xf>
    <xf numFmtId="9" fontId="12" fillId="2" borderId="14" xfId="0" applyNumberFormat="1" applyFont="1" applyFill="1" applyBorder="1" applyAlignment="1">
      <alignment horizontal="right"/>
    </xf>
    <xf numFmtId="1" fontId="8" fillId="2" borderId="14" xfId="0" applyNumberFormat="1" applyFont="1" applyFill="1" applyBorder="1" applyAlignment="1">
      <alignment horizontal="right" vertical="center"/>
    </xf>
    <xf numFmtId="9" fontId="12" fillId="2" borderId="14" xfId="0" applyNumberFormat="1" applyFont="1" applyFill="1" applyBorder="1"/>
    <xf numFmtId="9" fontId="12" fillId="2" borderId="32" xfId="0" applyNumberFormat="1" applyFont="1" applyFill="1" applyBorder="1"/>
    <xf numFmtId="168" fontId="9" fillId="0" borderId="5" xfId="0" applyNumberFormat="1" applyFont="1" applyFill="1" applyBorder="1" applyAlignment="1">
      <alignment horizontal="right" vertical="center"/>
    </xf>
    <xf numFmtId="168" fontId="24" fillId="0" borderId="5" xfId="0" applyNumberFormat="1" applyFont="1" applyFill="1" applyBorder="1" applyAlignment="1">
      <alignment horizontal="right" vertical="center"/>
    </xf>
    <xf numFmtId="168" fontId="8" fillId="0" borderId="0" xfId="0" applyNumberFormat="1" applyFont="1" applyFill="1"/>
    <xf numFmtId="0" fontId="8" fillId="0" borderId="16" xfId="0" applyFont="1" applyFill="1" applyBorder="1"/>
    <xf numFmtId="168" fontId="12" fillId="0" borderId="0" xfId="8" applyNumberFormat="1" applyFont="1" applyFill="1"/>
    <xf numFmtId="3" fontId="24" fillId="0" borderId="0" xfId="0" applyNumberFormat="1" applyFont="1" applyAlignment="1">
      <alignment horizontal="right"/>
    </xf>
    <xf numFmtId="3" fontId="24" fillId="0" borderId="0" xfId="0" applyNumberFormat="1" applyFont="1" applyFill="1" applyBorder="1" applyAlignment="1">
      <alignment horizontal="right" vertical="center"/>
    </xf>
    <xf numFmtId="164" fontId="9" fillId="0" borderId="16" xfId="0" applyNumberFormat="1" applyFont="1" applyBorder="1" applyAlignment="1">
      <alignment horizontal="right"/>
    </xf>
    <xf numFmtId="0" fontId="9" fillId="0" borderId="2" xfId="0" applyFont="1" applyBorder="1" applyAlignment="1">
      <alignment horizontal="right"/>
    </xf>
    <xf numFmtId="1" fontId="9" fillId="0" borderId="2" xfId="0" applyNumberFormat="1" applyFont="1" applyBorder="1" applyAlignment="1">
      <alignment horizontal="right"/>
    </xf>
    <xf numFmtId="1" fontId="9" fillId="0" borderId="17" xfId="0" applyNumberFormat="1" applyFont="1" applyBorder="1" applyAlignment="1">
      <alignment horizontal="right"/>
    </xf>
    <xf numFmtId="3" fontId="9" fillId="0" borderId="17" xfId="0" applyNumberFormat="1" applyFont="1" applyBorder="1" applyAlignment="1">
      <alignment horizontal="right"/>
    </xf>
    <xf numFmtId="168" fontId="9" fillId="0" borderId="0" xfId="0" applyNumberFormat="1" applyFont="1" applyBorder="1" applyAlignment="1">
      <alignment horizontal="right"/>
    </xf>
    <xf numFmtId="168" fontId="9" fillId="0" borderId="16" xfId="0" applyNumberFormat="1" applyFont="1" applyBorder="1" applyAlignment="1">
      <alignment horizontal="right"/>
    </xf>
    <xf numFmtId="2" fontId="9" fillId="0" borderId="1" xfId="0" applyNumberFormat="1" applyFont="1" applyFill="1" applyBorder="1" applyAlignment="1">
      <alignment horizontal="left" vertical="center"/>
    </xf>
    <xf numFmtId="164" fontId="8" fillId="0" borderId="18" xfId="0" applyNumberFormat="1" applyFont="1" applyFill="1" applyBorder="1" applyAlignment="1">
      <alignment horizontal="centerContinuous" vertical="center"/>
    </xf>
    <xf numFmtId="174" fontId="9" fillId="4" borderId="0" xfId="0" applyNumberFormat="1" applyFont="1" applyFill="1"/>
    <xf numFmtId="174" fontId="9" fillId="0" borderId="0" xfId="0" applyNumberFormat="1" applyFont="1" applyAlignment="1">
      <alignment horizontal="right"/>
    </xf>
    <xf numFmtId="174" fontId="9" fillId="0" borderId="16" xfId="0" applyNumberFormat="1" applyFont="1" applyBorder="1"/>
    <xf numFmtId="174" fontId="9" fillId="0" borderId="16" xfId="0" applyNumberFormat="1" applyFont="1" applyFill="1" applyBorder="1"/>
    <xf numFmtId="0" fontId="6" fillId="0" borderId="16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7" fillId="0" borderId="16" xfId="0" applyFont="1" applyFill="1" applyBorder="1" applyAlignment="1">
      <alignment horizontal="left" vertical="center"/>
    </xf>
    <xf numFmtId="1" fontId="8" fillId="0" borderId="3" xfId="0" applyNumberFormat="1" applyFont="1" applyFill="1" applyBorder="1" applyAlignment="1">
      <alignment horizontal="centerContinuous" vertical="center"/>
    </xf>
    <xf numFmtId="1" fontId="8" fillId="0" borderId="3" xfId="0" applyNumberFormat="1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left" vertical="center"/>
    </xf>
    <xf numFmtId="164" fontId="8" fillId="0" borderId="19" xfId="0" applyNumberFormat="1" applyFont="1" applyFill="1" applyBorder="1" applyAlignment="1">
      <alignment horizontal="centerContinuous" vertical="center"/>
    </xf>
    <xf numFmtId="164" fontId="8" fillId="0" borderId="24" xfId="0" applyNumberFormat="1" applyFont="1" applyFill="1" applyBorder="1" applyAlignment="1">
      <alignment horizontal="right" vertical="center"/>
    </xf>
    <xf numFmtId="0" fontId="13" fillId="0" borderId="3" xfId="0" applyNumberFormat="1" applyFont="1" applyFill="1" applyBorder="1" applyAlignment="1">
      <alignment horizontal="centerContinuous" vertical="center"/>
    </xf>
    <xf numFmtId="164" fontId="13" fillId="0" borderId="3" xfId="0" applyNumberFormat="1" applyFont="1" applyFill="1" applyBorder="1" applyAlignment="1">
      <alignment horizontal="centerContinuous" vertical="center"/>
    </xf>
    <xf numFmtId="0" fontId="7" fillId="0" borderId="18" xfId="0" applyFont="1" applyFill="1" applyBorder="1" applyAlignment="1">
      <alignment horizontal="left" vertical="center"/>
    </xf>
    <xf numFmtId="164" fontId="8" fillId="0" borderId="17" xfId="0" applyNumberFormat="1" applyFont="1" applyFill="1" applyBorder="1" applyAlignment="1">
      <alignment horizontal="right" vertical="center"/>
    </xf>
    <xf numFmtId="0" fontId="3" fillId="0" borderId="0" xfId="0" applyFont="1" applyFill="1"/>
    <xf numFmtId="0" fontId="31" fillId="4" borderId="0" xfId="0" applyFont="1" applyFill="1"/>
    <xf numFmtId="187" fontId="9" fillId="0" borderId="0" xfId="0" applyNumberFormat="1" applyFont="1" applyAlignment="1">
      <alignment horizontal="right"/>
    </xf>
    <xf numFmtId="186" fontId="9" fillId="0" borderId="0" xfId="0" applyNumberFormat="1" applyFont="1" applyAlignment="1">
      <alignment horizontal="right"/>
    </xf>
    <xf numFmtId="0" fontId="13" fillId="4" borderId="0" xfId="0" applyFont="1" applyFill="1"/>
    <xf numFmtId="166" fontId="8" fillId="0" borderId="0" xfId="0" applyNumberFormat="1" applyFont="1" applyFill="1" applyBorder="1" applyAlignment="1">
      <alignment horizontal="left" vertical="center"/>
    </xf>
    <xf numFmtId="166" fontId="9" fillId="4" borderId="0" xfId="0" applyNumberFormat="1" applyFont="1" applyFill="1" applyBorder="1" applyAlignment="1">
      <alignment horizontal="right" vertical="center"/>
    </xf>
    <xf numFmtId="166" fontId="9" fillId="0" borderId="0" xfId="0" applyNumberFormat="1" applyFont="1" applyFill="1" applyBorder="1" applyAlignment="1">
      <alignment horizontal="right" vertical="center"/>
    </xf>
    <xf numFmtId="166" fontId="9" fillId="0" borderId="16" xfId="0" applyNumberFormat="1" applyFont="1" applyFill="1" applyBorder="1" applyAlignment="1">
      <alignment horizontal="right" vertical="center"/>
    </xf>
    <xf numFmtId="166" fontId="12" fillId="0" borderId="0" xfId="0" applyNumberFormat="1" applyFont="1" applyFill="1" applyBorder="1" applyAlignment="1">
      <alignment horizontal="right" vertical="center"/>
    </xf>
    <xf numFmtId="166" fontId="12" fillId="0" borderId="16" xfId="0" applyNumberFormat="1" applyFont="1" applyFill="1" applyBorder="1" applyAlignment="1">
      <alignment horizontal="right" vertical="center"/>
    </xf>
    <xf numFmtId="166" fontId="9" fillId="0" borderId="0" xfId="0" applyNumberFormat="1" applyFont="1" applyFill="1" applyBorder="1" applyAlignment="1">
      <alignment horizontal="left" vertical="center"/>
    </xf>
    <xf numFmtId="166" fontId="9" fillId="5" borderId="0" xfId="0" applyNumberFormat="1" applyFont="1" applyFill="1" applyBorder="1" applyAlignment="1">
      <alignment horizontal="left" vertical="center"/>
    </xf>
    <xf numFmtId="166" fontId="9" fillId="5" borderId="0" xfId="0" applyNumberFormat="1" applyFont="1" applyFill="1" applyBorder="1" applyAlignment="1">
      <alignment horizontal="right" vertical="center"/>
    </xf>
    <xf numFmtId="3" fontId="8" fillId="5" borderId="16" xfId="0" applyNumberFormat="1" applyFont="1" applyFill="1" applyBorder="1" applyAlignment="1">
      <alignment horizontal="right" vertical="center"/>
    </xf>
    <xf numFmtId="166" fontId="9" fillId="5" borderId="16" xfId="0" applyNumberFormat="1" applyFont="1" applyFill="1" applyBorder="1" applyAlignment="1">
      <alignment horizontal="right" vertical="center"/>
    </xf>
    <xf numFmtId="168" fontId="13" fillId="5" borderId="16" xfId="0" applyNumberFormat="1" applyFont="1" applyFill="1" applyBorder="1" applyAlignment="1">
      <alignment horizontal="right" vertical="center"/>
    </xf>
    <xf numFmtId="166" fontId="8" fillId="0" borderId="16" xfId="0" applyNumberFormat="1" applyFont="1" applyFill="1" applyBorder="1" applyAlignment="1">
      <alignment horizontal="right" vertical="center"/>
    </xf>
    <xf numFmtId="4" fontId="9" fillId="0" borderId="0" xfId="0" applyNumberFormat="1" applyFont="1" applyFill="1" applyBorder="1" applyAlignment="1">
      <alignment horizontal="right" vertical="center"/>
    </xf>
    <xf numFmtId="166" fontId="8" fillId="5" borderId="16" xfId="0" applyNumberFormat="1" applyFont="1" applyFill="1" applyBorder="1" applyAlignment="1">
      <alignment horizontal="right" vertical="center"/>
    </xf>
    <xf numFmtId="166" fontId="8" fillId="0" borderId="10" xfId="0" applyNumberFormat="1" applyFont="1" applyFill="1" applyBorder="1" applyAlignment="1">
      <alignment horizontal="left" vertical="center"/>
    </xf>
    <xf numFmtId="166" fontId="9" fillId="4" borderId="11" xfId="0" applyNumberFormat="1" applyFont="1" applyFill="1" applyBorder="1" applyAlignment="1">
      <alignment horizontal="right" vertical="center"/>
    </xf>
    <xf numFmtId="166" fontId="9" fillId="0" borderId="11" xfId="0" applyNumberFormat="1" applyFont="1" applyFill="1" applyBorder="1" applyAlignment="1">
      <alignment horizontal="right" vertical="center"/>
    </xf>
    <xf numFmtId="166" fontId="8" fillId="0" borderId="31" xfId="0" applyNumberFormat="1" applyFont="1" applyFill="1" applyBorder="1" applyAlignment="1">
      <alignment horizontal="right" vertical="center"/>
    </xf>
    <xf numFmtId="166" fontId="9" fillId="0" borderId="31" xfId="0" applyNumberFormat="1" applyFont="1" applyFill="1" applyBorder="1" applyAlignment="1">
      <alignment horizontal="right" vertical="center"/>
    </xf>
    <xf numFmtId="166" fontId="9" fillId="0" borderId="12" xfId="0" applyNumberFormat="1" applyFont="1" applyFill="1" applyBorder="1" applyAlignment="1">
      <alignment horizontal="left" vertical="center"/>
    </xf>
    <xf numFmtId="166" fontId="9" fillId="5" borderId="12" xfId="0" applyNumberFormat="1" applyFont="1" applyFill="1" applyBorder="1" applyAlignment="1">
      <alignment horizontal="left" vertical="center"/>
    </xf>
    <xf numFmtId="166" fontId="9" fillId="5" borderId="13" xfId="0" applyNumberFormat="1" applyFont="1" applyFill="1" applyBorder="1" applyAlignment="1">
      <alignment horizontal="left" vertical="center"/>
    </xf>
    <xf numFmtId="166" fontId="9" fillId="4" borderId="14" xfId="0" applyNumberFormat="1" applyFont="1" applyFill="1" applyBorder="1" applyAlignment="1">
      <alignment horizontal="right" vertical="center"/>
    </xf>
    <xf numFmtId="166" fontId="9" fillId="5" borderId="14" xfId="0" applyNumberFormat="1" applyFont="1" applyFill="1" applyBorder="1" applyAlignment="1">
      <alignment horizontal="right" vertical="center"/>
    </xf>
    <xf numFmtId="168" fontId="12" fillId="5" borderId="14" xfId="0" applyNumberFormat="1" applyFont="1" applyFill="1" applyBorder="1" applyAlignment="1">
      <alignment horizontal="right" vertical="center"/>
    </xf>
    <xf numFmtId="168" fontId="13" fillId="5" borderId="32" xfId="0" applyNumberFormat="1" applyFont="1" applyFill="1" applyBorder="1" applyAlignment="1">
      <alignment horizontal="right" vertical="center"/>
    </xf>
    <xf numFmtId="168" fontId="12" fillId="5" borderId="32" xfId="0" applyNumberFormat="1" applyFont="1" applyFill="1" applyBorder="1" applyAlignment="1">
      <alignment horizontal="right" vertical="center"/>
    </xf>
    <xf numFmtId="166" fontId="9" fillId="5" borderId="32" xfId="0" applyNumberFormat="1" applyFont="1" applyFill="1" applyBorder="1" applyAlignment="1">
      <alignment horizontal="right" vertical="center"/>
    </xf>
    <xf numFmtId="168" fontId="12" fillId="5" borderId="16" xfId="0" applyNumberFormat="1" applyFont="1" applyFill="1" applyBorder="1" applyAlignment="1">
      <alignment horizontal="right" vertical="center"/>
    </xf>
    <xf numFmtId="168" fontId="8" fillId="0" borderId="16" xfId="0" applyNumberFormat="1" applyFont="1" applyFill="1" applyBorder="1" applyAlignment="1">
      <alignment horizontal="right" vertical="center"/>
    </xf>
    <xf numFmtId="0" fontId="8" fillId="0" borderId="0" xfId="0" applyFont="1" applyBorder="1" applyAlignment="1">
      <alignment horizontal="left" vertical="center"/>
    </xf>
    <xf numFmtId="164" fontId="8" fillId="0" borderId="16" xfId="0" applyNumberFormat="1" applyFont="1" applyFill="1" applyBorder="1" applyAlignment="1">
      <alignment horizontal="centerContinuous" vertical="center"/>
    </xf>
    <xf numFmtId="165" fontId="12" fillId="0" borderId="0" xfId="0" applyNumberFormat="1" applyFont="1" applyBorder="1" applyAlignment="1">
      <alignment horizontal="left" vertical="center"/>
    </xf>
    <xf numFmtId="164" fontId="8" fillId="4" borderId="0" xfId="0" applyNumberFormat="1" applyFont="1" applyFill="1" applyBorder="1" applyAlignment="1">
      <alignment horizontal="right" vertical="center"/>
    </xf>
    <xf numFmtId="164" fontId="8" fillId="0" borderId="16" xfId="0" applyNumberFormat="1" applyFont="1" applyFill="1" applyBorder="1" applyAlignment="1">
      <alignment horizontal="right" vertical="center"/>
    </xf>
    <xf numFmtId="165" fontId="8" fillId="0" borderId="10" xfId="0" applyNumberFormat="1" applyFont="1" applyBorder="1" applyAlignment="1">
      <alignment horizontal="left" vertical="center"/>
    </xf>
    <xf numFmtId="164" fontId="9" fillId="4" borderId="11" xfId="0" applyNumberFormat="1" applyFont="1" applyFill="1" applyBorder="1" applyAlignment="1">
      <alignment horizontal="right" vertical="center"/>
    </xf>
    <xf numFmtId="164" fontId="9" fillId="0" borderId="11" xfId="0" applyNumberFormat="1" applyFont="1" applyFill="1" applyBorder="1" applyAlignment="1">
      <alignment horizontal="right" vertical="center"/>
    </xf>
    <xf numFmtId="164" fontId="8" fillId="0" borderId="31" xfId="0" applyNumberFormat="1" applyFont="1" applyFill="1" applyBorder="1" applyAlignment="1">
      <alignment horizontal="right" vertical="center"/>
    </xf>
    <xf numFmtId="168" fontId="8" fillId="0" borderId="31" xfId="0" applyNumberFormat="1" applyFont="1" applyFill="1" applyBorder="1" applyAlignment="1">
      <alignment horizontal="right" vertical="center"/>
    </xf>
    <xf numFmtId="168" fontId="8" fillId="0" borderId="11" xfId="0" applyNumberFormat="1" applyFont="1" applyFill="1" applyBorder="1" applyAlignment="1">
      <alignment horizontal="right" vertical="center"/>
    </xf>
    <xf numFmtId="164" fontId="9" fillId="0" borderId="2" xfId="0" applyNumberFormat="1" applyFont="1" applyFill="1" applyBorder="1" applyAlignment="1">
      <alignment horizontal="right" vertical="center"/>
    </xf>
    <xf numFmtId="165" fontId="9" fillId="0" borderId="13" xfId="0" applyNumberFormat="1" applyFont="1" applyBorder="1" applyAlignment="1">
      <alignment horizontal="left" vertical="center"/>
    </xf>
    <xf numFmtId="164" fontId="8" fillId="4" borderId="14" xfId="0" applyNumberFormat="1" applyFont="1" applyFill="1" applyBorder="1" applyAlignment="1">
      <alignment horizontal="right" vertical="center"/>
    </xf>
    <xf numFmtId="164" fontId="8" fillId="0" borderId="14" xfId="0" applyNumberFormat="1" applyFont="1" applyFill="1" applyBorder="1" applyAlignment="1">
      <alignment horizontal="right" vertical="center"/>
    </xf>
    <xf numFmtId="164" fontId="8" fillId="0" borderId="32" xfId="0" applyNumberFormat="1" applyFont="1" applyFill="1" applyBorder="1" applyAlignment="1">
      <alignment horizontal="right" vertical="center"/>
    </xf>
    <xf numFmtId="175" fontId="8" fillId="0" borderId="32" xfId="0" applyNumberFormat="1" applyFont="1" applyFill="1" applyBorder="1" applyAlignment="1">
      <alignment horizontal="right" vertical="center"/>
    </xf>
    <xf numFmtId="175" fontId="8" fillId="0" borderId="14" xfId="0" applyNumberFormat="1" applyFont="1" applyFill="1" applyBorder="1" applyAlignment="1">
      <alignment horizontal="right" vertical="center"/>
    </xf>
    <xf numFmtId="174" fontId="12" fillId="0" borderId="16" xfId="0" applyNumberFormat="1" applyFont="1" applyFill="1" applyBorder="1" applyAlignment="1">
      <alignment horizontal="right" vertical="center"/>
    </xf>
    <xf numFmtId="174" fontId="12" fillId="0" borderId="0" xfId="0" applyNumberFormat="1" applyFont="1" applyFill="1" applyBorder="1" applyAlignment="1">
      <alignment horizontal="right" vertical="center"/>
    </xf>
    <xf numFmtId="164" fontId="9" fillId="4" borderId="0" xfId="0" applyNumberFormat="1" applyFont="1" applyFill="1" applyBorder="1" applyAlignment="1">
      <alignment horizontal="right" vertical="center"/>
    </xf>
    <xf numFmtId="164" fontId="9" fillId="0" borderId="26" xfId="0" applyNumberFormat="1" applyFont="1" applyFill="1" applyBorder="1" applyAlignment="1">
      <alignment horizontal="right" vertical="center"/>
    </xf>
    <xf numFmtId="165" fontId="9" fillId="0" borderId="0" xfId="0" applyNumberFormat="1" applyFont="1" applyFill="1" applyBorder="1" applyAlignment="1">
      <alignment horizontal="right" vertical="center"/>
    </xf>
    <xf numFmtId="165" fontId="9" fillId="0" borderId="0" xfId="0" applyNumberFormat="1" applyFont="1" applyBorder="1" applyAlignment="1">
      <alignment horizontal="left" vertical="center"/>
    </xf>
    <xf numFmtId="6" fontId="9" fillId="0" borderId="26" xfId="0" applyNumberFormat="1" applyFont="1" applyFill="1" applyBorder="1" applyAlignment="1">
      <alignment horizontal="right" vertical="center"/>
    </xf>
    <xf numFmtId="6" fontId="9" fillId="0" borderId="0" xfId="0" applyNumberFormat="1" applyFont="1" applyFill="1" applyBorder="1" applyAlignment="1">
      <alignment horizontal="right" vertical="center"/>
    </xf>
    <xf numFmtId="9" fontId="9" fillId="5" borderId="0" xfId="0" applyNumberFormat="1" applyFont="1" applyFill="1" applyBorder="1" applyAlignment="1">
      <alignment horizontal="left" vertical="center"/>
    </xf>
    <xf numFmtId="9" fontId="9" fillId="5" borderId="26" xfId="0" applyNumberFormat="1" applyFont="1" applyFill="1" applyBorder="1" applyAlignment="1">
      <alignment horizontal="right" vertical="center"/>
    </xf>
    <xf numFmtId="165" fontId="8" fillId="0" borderId="2" xfId="0" applyNumberFormat="1" applyFont="1" applyBorder="1" applyAlignment="1">
      <alignment horizontal="left" vertical="center"/>
    </xf>
    <xf numFmtId="164" fontId="9" fillId="4" borderId="2" xfId="0" applyNumberFormat="1" applyFont="1" applyFill="1" applyBorder="1" applyAlignment="1">
      <alignment horizontal="right" vertical="center"/>
    </xf>
    <xf numFmtId="164" fontId="9" fillId="0" borderId="17" xfId="0" applyNumberFormat="1" applyFont="1" applyFill="1" applyBorder="1" applyAlignment="1">
      <alignment horizontal="right" vertical="center"/>
    </xf>
    <xf numFmtId="6" fontId="8" fillId="0" borderId="17" xfId="0" applyNumberFormat="1" applyFont="1" applyFill="1" applyBorder="1" applyAlignment="1">
      <alignment horizontal="right" vertical="center"/>
    </xf>
    <xf numFmtId="6" fontId="9" fillId="0" borderId="2" xfId="0" applyNumberFormat="1" applyFont="1" applyFill="1" applyBorder="1" applyAlignment="1">
      <alignment horizontal="right" vertical="center"/>
    </xf>
    <xf numFmtId="6" fontId="8" fillId="0" borderId="2" xfId="0" applyNumberFormat="1" applyFont="1" applyFill="1" applyBorder="1" applyAlignment="1">
      <alignment horizontal="right" vertical="center"/>
    </xf>
    <xf numFmtId="164" fontId="9" fillId="0" borderId="3" xfId="0" applyNumberFormat="1" applyFont="1" applyFill="1" applyBorder="1" applyAlignment="1">
      <alignment horizontal="right" vertical="center"/>
    </xf>
    <xf numFmtId="164" fontId="9" fillId="0" borderId="18" xfId="0" applyNumberFormat="1" applyFont="1" applyFill="1" applyBorder="1" applyAlignment="1">
      <alignment horizontal="right" vertical="center"/>
    </xf>
    <xf numFmtId="6" fontId="9" fillId="0" borderId="18" xfId="0" applyNumberFormat="1" applyFont="1" applyFill="1" applyBorder="1" applyAlignment="1">
      <alignment horizontal="right" vertical="center"/>
    </xf>
    <xf numFmtId="6" fontId="9" fillId="0" borderId="3" xfId="0" applyNumberFormat="1" applyFont="1" applyFill="1" applyBorder="1" applyAlignment="1">
      <alignment horizontal="right" vertical="center"/>
    </xf>
    <xf numFmtId="165" fontId="9" fillId="0" borderId="5" xfId="0" applyNumberFormat="1" applyFont="1" applyBorder="1" applyAlignment="1">
      <alignment horizontal="left" vertical="center"/>
    </xf>
    <xf numFmtId="164" fontId="9" fillId="4" borderId="5" xfId="0" applyNumberFormat="1" applyFont="1" applyFill="1" applyBorder="1" applyAlignment="1">
      <alignment horizontal="right" vertical="center"/>
    </xf>
    <xf numFmtId="164" fontId="9" fillId="0" borderId="5" xfId="0" applyNumberFormat="1" applyFont="1" applyFill="1" applyBorder="1" applyAlignment="1">
      <alignment horizontal="right" vertical="center"/>
    </xf>
    <xf numFmtId="164" fontId="9" fillId="0" borderId="15" xfId="0" applyNumberFormat="1" applyFont="1" applyFill="1" applyBorder="1" applyAlignment="1">
      <alignment horizontal="right" vertical="center"/>
    </xf>
    <xf numFmtId="6" fontId="9" fillId="0" borderId="15" xfId="0" applyNumberFormat="1" applyFont="1" applyFill="1" applyBorder="1" applyAlignment="1">
      <alignment horizontal="right" vertical="center"/>
    </xf>
    <xf numFmtId="6" fontId="9" fillId="0" borderId="5" xfId="0" applyNumberFormat="1" applyFont="1" applyFill="1" applyBorder="1" applyAlignment="1">
      <alignment horizontal="right" vertical="center"/>
    </xf>
    <xf numFmtId="165" fontId="9" fillId="0" borderId="27" xfId="0" applyNumberFormat="1" applyFont="1" applyBorder="1" applyAlignment="1">
      <alignment horizontal="left" vertical="center"/>
    </xf>
    <xf numFmtId="164" fontId="9" fillId="4" borderId="28" xfId="0" applyNumberFormat="1" applyFont="1" applyFill="1" applyBorder="1" applyAlignment="1">
      <alignment horizontal="right" vertical="center"/>
    </xf>
    <xf numFmtId="164" fontId="9" fillId="0" borderId="33" xfId="0" applyNumberFormat="1" applyFont="1" applyFill="1" applyBorder="1" applyAlignment="1">
      <alignment horizontal="right" vertical="center"/>
    </xf>
    <xf numFmtId="6" fontId="8" fillId="0" borderId="34" xfId="0" applyNumberFormat="1" applyFont="1" applyFill="1" applyBorder="1" applyAlignment="1">
      <alignment horizontal="right" vertical="center"/>
    </xf>
    <xf numFmtId="6" fontId="9" fillId="0" borderId="28" xfId="0" applyNumberFormat="1" applyFont="1" applyFill="1" applyBorder="1" applyAlignment="1">
      <alignment horizontal="right" vertical="center"/>
    </xf>
    <xf numFmtId="6" fontId="8" fillId="0" borderId="8" xfId="0" applyNumberFormat="1" applyFont="1" applyFill="1" applyBorder="1" applyAlignment="1">
      <alignment horizontal="right" vertical="center"/>
    </xf>
    <xf numFmtId="172" fontId="9" fillId="0" borderId="11" xfId="0" applyNumberFormat="1" applyFont="1" applyBorder="1"/>
    <xf numFmtId="3" fontId="9" fillId="0" borderId="14" xfId="0" applyNumberFormat="1" applyFont="1" applyBorder="1"/>
    <xf numFmtId="168" fontId="9" fillId="0" borderId="14" xfId="0" applyNumberFormat="1" applyFont="1" applyBorder="1"/>
    <xf numFmtId="3" fontId="8" fillId="0" borderId="0" xfId="0" applyNumberFormat="1" applyFont="1" applyBorder="1"/>
    <xf numFmtId="168" fontId="9" fillId="5" borderId="0" xfId="0" applyNumberFormat="1" applyFont="1" applyFill="1" applyBorder="1"/>
    <xf numFmtId="168" fontId="9" fillId="7" borderId="0" xfId="0" applyNumberFormat="1" applyFont="1" applyFill="1"/>
    <xf numFmtId="168" fontId="9" fillId="7" borderId="0" xfId="0" applyNumberFormat="1" applyFont="1" applyFill="1" applyBorder="1"/>
    <xf numFmtId="168" fontId="12" fillId="0" borderId="0" xfId="0" applyNumberFormat="1" applyFont="1" applyFill="1"/>
    <xf numFmtId="3" fontId="6" fillId="0" borderId="0" xfId="0" applyNumberFormat="1" applyFont="1" applyBorder="1"/>
    <xf numFmtId="3" fontId="12" fillId="5" borderId="0" xfId="0" applyNumberFormat="1" applyFont="1" applyFill="1"/>
    <xf numFmtId="168" fontId="12" fillId="5" borderId="0" xfId="0" applyNumberFormat="1" applyFont="1" applyFill="1"/>
    <xf numFmtId="175" fontId="9" fillId="0" borderId="0" xfId="0" applyNumberFormat="1" applyFont="1"/>
    <xf numFmtId="9" fontId="9" fillId="5" borderId="0" xfId="0" applyNumberFormat="1" applyFont="1" applyFill="1"/>
    <xf numFmtId="168" fontId="9" fillId="0" borderId="0" xfId="8" applyNumberFormat="1" applyFont="1" applyFill="1"/>
    <xf numFmtId="0" fontId="8" fillId="0" borderId="0" xfId="0" applyFont="1" applyFill="1" applyAlignment="1">
      <alignment horizontal="centerContinuous"/>
    </xf>
    <xf numFmtId="0" fontId="8" fillId="0" borderId="0" xfId="0" applyFont="1" applyFill="1" applyAlignment="1"/>
    <xf numFmtId="0" fontId="9" fillId="0" borderId="4" xfId="0" applyFont="1" applyFill="1" applyBorder="1" applyAlignment="1">
      <alignment horizontal="right"/>
    </xf>
    <xf numFmtId="165" fontId="8" fillId="0" borderId="5" xfId="0" applyNumberFormat="1" applyFont="1" applyFill="1" applyBorder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Border="1" applyAlignment="1">
      <alignment horizontal="right"/>
    </xf>
    <xf numFmtId="169" fontId="8" fillId="0" borderId="0" xfId="0" applyNumberFormat="1" applyFont="1" applyBorder="1"/>
    <xf numFmtId="169" fontId="8" fillId="0" borderId="0" xfId="0" applyNumberFormat="1" applyFont="1" applyBorder="1" applyAlignment="1">
      <alignment horizontal="right"/>
    </xf>
    <xf numFmtId="169" fontId="8" fillId="0" borderId="0" xfId="0" applyNumberFormat="1" applyFont="1"/>
    <xf numFmtId="169" fontId="8" fillId="0" borderId="0" xfId="0" applyNumberFormat="1" applyFont="1" applyBorder="1" applyAlignment="1"/>
    <xf numFmtId="169" fontId="8" fillId="0" borderId="16" xfId="0" applyNumberFormat="1" applyFont="1" applyBorder="1" applyAlignment="1">
      <alignment horizontal="right"/>
    </xf>
    <xf numFmtId="3" fontId="15" fillId="0" borderId="0" xfId="0" applyNumberFormat="1" applyFont="1" applyBorder="1"/>
    <xf numFmtId="3" fontId="9" fillId="0" borderId="4" xfId="0" applyNumberFormat="1" applyFont="1" applyBorder="1" applyAlignment="1">
      <alignment horizontal="left"/>
    </xf>
    <xf numFmtId="3" fontId="9" fillId="0" borderId="5" xfId="0" applyNumberFormat="1" applyFont="1" applyBorder="1" applyAlignment="1">
      <alignment horizontal="right"/>
    </xf>
    <xf numFmtId="3" fontId="9" fillId="0" borderId="15" xfId="0" applyNumberFormat="1" applyFont="1" applyBorder="1" applyAlignment="1">
      <alignment horizontal="right"/>
    </xf>
    <xf numFmtId="3" fontId="15" fillId="0" borderId="4" xfId="0" applyNumberFormat="1" applyFont="1" applyBorder="1"/>
    <xf numFmtId="3" fontId="15" fillId="0" borderId="5" xfId="0" applyNumberFormat="1" applyFont="1" applyBorder="1"/>
    <xf numFmtId="3" fontId="15" fillId="0" borderId="6" xfId="0" applyNumberFormat="1" applyFont="1" applyBorder="1"/>
    <xf numFmtId="0" fontId="13" fillId="5" borderId="0" xfId="0" applyFont="1" applyFill="1" applyAlignment="1">
      <alignment horizontal="left"/>
    </xf>
    <xf numFmtId="169" fontId="9" fillId="5" borderId="0" xfId="0" applyNumberFormat="1" applyFont="1" applyFill="1" applyBorder="1" applyAlignment="1">
      <alignment horizontal="right"/>
    </xf>
    <xf numFmtId="169" fontId="9" fillId="5" borderId="0" xfId="0" applyNumberFormat="1" applyFont="1" applyFill="1" applyAlignment="1">
      <alignment horizontal="right"/>
    </xf>
    <xf numFmtId="169" fontId="9" fillId="5" borderId="16" xfId="0" applyNumberFormat="1" applyFont="1" applyFill="1" applyBorder="1" applyAlignment="1">
      <alignment horizontal="right"/>
    </xf>
    <xf numFmtId="3" fontId="9" fillId="5" borderId="0" xfId="0" applyNumberFormat="1" applyFont="1" applyFill="1" applyAlignment="1">
      <alignment horizontal="left"/>
    </xf>
    <xf numFmtId="9" fontId="24" fillId="5" borderId="0" xfId="0" applyNumberFormat="1" applyFont="1" applyFill="1" applyBorder="1" applyAlignment="1">
      <alignment horizontal="right"/>
    </xf>
    <xf numFmtId="169" fontId="24" fillId="5" borderId="0" xfId="0" applyNumberFormat="1" applyFont="1" applyFill="1" applyBorder="1" applyAlignment="1">
      <alignment horizontal="right"/>
    </xf>
    <xf numFmtId="9" fontId="9" fillId="5" borderId="16" xfId="0" applyNumberFormat="1" applyFont="1" applyFill="1" applyBorder="1" applyAlignment="1">
      <alignment horizontal="right"/>
    </xf>
    <xf numFmtId="0" fontId="13" fillId="0" borderId="0" xfId="0" applyFont="1" applyAlignment="1">
      <alignment horizontal="left"/>
    </xf>
    <xf numFmtId="169" fontId="9" fillId="0" borderId="0" xfId="0" applyNumberFormat="1" applyFont="1" applyAlignment="1">
      <alignment horizontal="right"/>
    </xf>
    <xf numFmtId="0" fontId="9" fillId="0" borderId="0" xfId="0" applyFont="1" applyAlignment="1">
      <alignment horizontal="left"/>
    </xf>
    <xf numFmtId="9" fontId="15" fillId="0" borderId="0" xfId="0" applyNumberFormat="1" applyFont="1" applyBorder="1"/>
    <xf numFmtId="9" fontId="15" fillId="0" borderId="4" xfId="0" applyNumberFormat="1" applyFont="1" applyBorder="1"/>
    <xf numFmtId="9" fontId="15" fillId="0" borderId="5" xfId="0" applyNumberFormat="1" applyFont="1" applyBorder="1"/>
    <xf numFmtId="9" fontId="15" fillId="0" borderId="6" xfId="0" applyNumberFormat="1" applyFont="1" applyBorder="1"/>
    <xf numFmtId="170" fontId="9" fillId="0" borderId="0" xfId="0" applyNumberFormat="1" applyFont="1" applyBorder="1" applyAlignment="1">
      <alignment horizontal="right"/>
    </xf>
    <xf numFmtId="188" fontId="9" fillId="0" borderId="0" xfId="0" applyNumberFormat="1" applyFont="1" applyBorder="1" applyAlignment="1">
      <alignment horizontal="right"/>
    </xf>
    <xf numFmtId="169" fontId="9" fillId="0" borderId="0" xfId="0" applyNumberFormat="1" applyFont="1"/>
    <xf numFmtId="169" fontId="9" fillId="0" borderId="0" xfId="0" applyNumberFormat="1" applyFont="1" applyAlignment="1"/>
    <xf numFmtId="169" fontId="9" fillId="0" borderId="16" xfId="0" applyNumberFormat="1" applyFont="1" applyBorder="1" applyAlignment="1"/>
    <xf numFmtId="9" fontId="9" fillId="0" borderId="0" xfId="0" applyNumberFormat="1" applyFont="1" applyFill="1" applyBorder="1" applyAlignment="1">
      <alignment horizontal="right"/>
    </xf>
    <xf numFmtId="169" fontId="9" fillId="0" borderId="0" xfId="0" applyNumberFormat="1" applyFont="1" applyBorder="1"/>
    <xf numFmtId="169" fontId="9" fillId="0" borderId="0" xfId="0" applyNumberFormat="1" applyFont="1" applyBorder="1" applyAlignment="1"/>
    <xf numFmtId="0" fontId="8" fillId="0" borderId="0" xfId="0" applyFont="1" applyAlignment="1">
      <alignment horizontal="centerContinuous"/>
    </xf>
    <xf numFmtId="0" fontId="8" fillId="0" borderId="0" xfId="0" applyFont="1" applyAlignment="1"/>
    <xf numFmtId="0" fontId="8" fillId="0" borderId="16" xfId="0" applyFont="1" applyBorder="1" applyAlignment="1">
      <alignment horizontal="centerContinuous"/>
    </xf>
    <xf numFmtId="0" fontId="8" fillId="0" borderId="23" xfId="0" applyFont="1" applyBorder="1" applyAlignment="1">
      <alignment horizontal="centerContinuous"/>
    </xf>
    <xf numFmtId="165" fontId="8" fillId="0" borderId="3" xfId="0" applyNumberFormat="1" applyFont="1" applyBorder="1" applyAlignment="1">
      <alignment horizontal="right"/>
    </xf>
    <xf numFmtId="165" fontId="8" fillId="0" borderId="18" xfId="0" applyNumberFormat="1" applyFont="1" applyBorder="1" applyAlignment="1">
      <alignment horizontal="right"/>
    </xf>
    <xf numFmtId="3" fontId="24" fillId="0" borderId="0" xfId="0" applyNumberFormat="1" applyFont="1" applyBorder="1" applyAlignment="1">
      <alignment horizontal="right"/>
    </xf>
    <xf numFmtId="3" fontId="9" fillId="0" borderId="22" xfId="0" applyNumberFormat="1" applyFont="1" applyBorder="1"/>
    <xf numFmtId="0" fontId="13" fillId="0" borderId="0" xfId="0" applyFont="1" applyBorder="1"/>
    <xf numFmtId="0" fontId="24" fillId="0" borderId="0" xfId="0" applyFont="1" applyBorder="1" applyAlignment="1"/>
    <xf numFmtId="9" fontId="24" fillId="0" borderId="16" xfId="0" applyNumberFormat="1" applyFont="1" applyBorder="1"/>
    <xf numFmtId="9" fontId="8" fillId="0" borderId="0" xfId="0" applyNumberFormat="1" applyFont="1"/>
    <xf numFmtId="3" fontId="9" fillId="0" borderId="0" xfId="0" applyNumberFormat="1" applyFont="1" applyFill="1" applyAlignment="1">
      <alignment horizontal="right" vertical="center"/>
    </xf>
    <xf numFmtId="9" fontId="9" fillId="0" borderId="0" xfId="0" applyNumberFormat="1" applyFont="1" applyFill="1" applyAlignment="1">
      <alignment horizontal="right" vertical="center"/>
    </xf>
    <xf numFmtId="3" fontId="9" fillId="0" borderId="0" xfId="0" applyNumberFormat="1" applyFont="1" applyFill="1" applyAlignment="1">
      <alignment horizontal="left"/>
    </xf>
    <xf numFmtId="0" fontId="15" fillId="0" borderId="3" xfId="0" applyFont="1" applyBorder="1"/>
    <xf numFmtId="9" fontId="9" fillId="5" borderId="0" xfId="0" applyNumberFormat="1" applyFont="1" applyFill="1" applyAlignment="1">
      <alignment horizontal="right"/>
    </xf>
    <xf numFmtId="0" fontId="15" fillId="0" borderId="8" xfId="0" applyFont="1" applyBorder="1"/>
    <xf numFmtId="9" fontId="9" fillId="0" borderId="0" xfId="0" applyNumberFormat="1" applyFont="1" applyFill="1" applyAlignment="1">
      <alignment horizontal="center"/>
    </xf>
    <xf numFmtId="0" fontId="1" fillId="0" borderId="0" xfId="0" applyFont="1"/>
    <xf numFmtId="178" fontId="9" fillId="0" borderId="0" xfId="0" applyNumberFormat="1" applyFont="1" applyFill="1" applyBorder="1" applyAlignment="1">
      <alignment horizontal="right" vertical="center"/>
    </xf>
    <xf numFmtId="0" fontId="24" fillId="0" borderId="0" xfId="0" applyFont="1" applyFill="1"/>
    <xf numFmtId="44" fontId="12" fillId="5" borderId="0" xfId="0" applyNumberFormat="1" applyFont="1" applyFill="1" applyBorder="1" applyAlignment="1">
      <alignment horizontal="right" vertical="center"/>
    </xf>
    <xf numFmtId="171" fontId="12" fillId="0" borderId="0" xfId="0" applyNumberFormat="1" applyFont="1" applyFill="1" applyBorder="1" applyAlignment="1">
      <alignment horizontal="right" vertical="center"/>
    </xf>
    <xf numFmtId="0" fontId="38" fillId="0" borderId="0" xfId="0" applyFont="1"/>
    <xf numFmtId="9" fontId="24" fillId="0" borderId="5" xfId="0" applyNumberFormat="1" applyFont="1" applyBorder="1" applyAlignment="1">
      <alignment horizontal="right"/>
    </xf>
    <xf numFmtId="9" fontId="24" fillId="0" borderId="15" xfId="0" applyNumberFormat="1" applyFont="1" applyBorder="1" applyAlignment="1">
      <alignment horizontal="right"/>
    </xf>
    <xf numFmtId="166" fontId="24" fillId="0" borderId="0" xfId="0" applyNumberFormat="1" applyFont="1" applyFill="1" applyBorder="1"/>
    <xf numFmtId="3" fontId="12" fillId="0" borderId="3" xfId="0" applyNumberFormat="1" applyFont="1" applyFill="1" applyBorder="1"/>
    <xf numFmtId="1" fontId="8" fillId="4" borderId="3" xfId="0" applyNumberFormat="1" applyFont="1" applyFill="1" applyBorder="1" applyAlignment="1">
      <alignment horizontal="left" vertical="center"/>
    </xf>
    <xf numFmtId="174" fontId="9" fillId="0" borderId="3" xfId="0" applyNumberFormat="1" applyFont="1" applyFill="1" applyBorder="1" applyAlignment="1">
      <alignment horizontal="right" vertical="center"/>
    </xf>
    <xf numFmtId="0" fontId="8" fillId="0" borderId="35" xfId="0" applyFont="1" applyBorder="1" applyAlignment="1">
      <alignment vertical="top"/>
    </xf>
    <xf numFmtId="174" fontId="8" fillId="0" borderId="3" xfId="0" applyNumberFormat="1" applyFont="1" applyFill="1" applyBorder="1"/>
    <xf numFmtId="174" fontId="8" fillId="0" borderId="18" xfId="0" applyNumberFormat="1" applyFont="1" applyFill="1" applyBorder="1"/>
    <xf numFmtId="3" fontId="13" fillId="0" borderId="0" xfId="0" applyNumberFormat="1" applyFont="1"/>
    <xf numFmtId="167" fontId="5" fillId="0" borderId="2" xfId="0" applyNumberFormat="1" applyFont="1" applyFill="1" applyBorder="1" applyAlignment="1">
      <alignment vertical="center"/>
    </xf>
    <xf numFmtId="164" fontId="5" fillId="0" borderId="2" xfId="0" applyNumberFormat="1" applyFont="1" applyFill="1" applyBorder="1" applyAlignment="1">
      <alignment vertical="center"/>
    </xf>
    <xf numFmtId="0" fontId="40" fillId="0" borderId="2" xfId="0" applyFont="1" applyFill="1" applyBorder="1" applyAlignment="1">
      <alignment vertical="center"/>
    </xf>
    <xf numFmtId="0" fontId="9" fillId="0" borderId="4" xfId="0" applyFont="1" applyBorder="1" applyAlignment="1">
      <alignment horizontal="left"/>
    </xf>
    <xf numFmtId="9" fontId="9" fillId="0" borderId="15" xfId="0" applyNumberFormat="1" applyFont="1" applyBorder="1" applyAlignment="1">
      <alignment horizontal="right"/>
    </xf>
    <xf numFmtId="168" fontId="9" fillId="0" borderId="5" xfId="0" applyNumberFormat="1" applyFont="1" applyBorder="1" applyAlignment="1">
      <alignment horizontal="right"/>
    </xf>
    <xf numFmtId="1" fontId="9" fillId="4" borderId="5" xfId="0" applyNumberFormat="1" applyFont="1" applyFill="1" applyBorder="1"/>
    <xf numFmtId="0" fontId="9" fillId="0" borderId="5" xfId="0" applyFont="1" applyBorder="1"/>
    <xf numFmtId="9" fontId="9" fillId="0" borderId="15" xfId="0" applyNumberFormat="1" applyFont="1" applyBorder="1"/>
    <xf numFmtId="1" fontId="9" fillId="5" borderId="0" xfId="0" applyNumberFormat="1" applyFont="1" applyFill="1" applyAlignment="1">
      <alignment horizontal="right"/>
    </xf>
    <xf numFmtId="3" fontId="9" fillId="5" borderId="16" xfId="0" applyNumberFormat="1" applyFont="1" applyFill="1" applyBorder="1" applyAlignment="1">
      <alignment horizontal="right"/>
    </xf>
    <xf numFmtId="0" fontId="8" fillId="0" borderId="0" xfId="0" applyFont="1" applyBorder="1" applyAlignment="1">
      <alignment horizontal="centerContinuous"/>
    </xf>
    <xf numFmtId="9" fontId="9" fillId="0" borderId="0" xfId="8" applyFont="1" applyFill="1" applyBorder="1" applyAlignment="1">
      <alignment horizontal="right" vertical="center"/>
    </xf>
    <xf numFmtId="164" fontId="8" fillId="0" borderId="0" xfId="0" quotePrefix="1" applyNumberFormat="1" applyFont="1" applyFill="1" applyBorder="1" applyAlignment="1">
      <alignment horizontal="right" vertical="center"/>
    </xf>
    <xf numFmtId="0" fontId="12" fillId="0" borderId="16" xfId="0" applyFont="1" applyFill="1" applyBorder="1"/>
    <xf numFmtId="0" fontId="12" fillId="0" borderId="13" xfId="0" applyFont="1" applyFill="1" applyBorder="1"/>
    <xf numFmtId="9" fontId="12" fillId="0" borderId="14" xfId="0" applyNumberFormat="1" applyFont="1" applyFill="1" applyBorder="1"/>
    <xf numFmtId="9" fontId="12" fillId="0" borderId="32" xfId="0" applyNumberFormat="1" applyFont="1" applyFill="1" applyBorder="1"/>
    <xf numFmtId="0" fontId="12" fillId="0" borderId="3" xfId="0" applyFont="1" applyFill="1" applyBorder="1"/>
    <xf numFmtId="9" fontId="44" fillId="0" borderId="18" xfId="0" applyNumberFormat="1" applyFont="1" applyFill="1" applyBorder="1"/>
    <xf numFmtId="9" fontId="12" fillId="0" borderId="18" xfId="0" applyNumberFormat="1" applyFont="1" applyFill="1" applyBorder="1"/>
    <xf numFmtId="9" fontId="12" fillId="0" borderId="16" xfId="0" applyNumberFormat="1" applyFont="1" applyFill="1" applyBorder="1"/>
    <xf numFmtId="0" fontId="12" fillId="0" borderId="14" xfId="0" applyFont="1" applyFill="1" applyBorder="1"/>
    <xf numFmtId="168" fontId="12" fillId="0" borderId="16" xfId="0" applyNumberFormat="1" applyFont="1" applyFill="1" applyBorder="1"/>
    <xf numFmtId="167" fontId="9" fillId="0" borderId="0" xfId="0" applyNumberFormat="1" applyFont="1" applyFill="1"/>
    <xf numFmtId="2" fontId="9" fillId="0" borderId="16" xfId="0" applyNumberFormat="1" applyFont="1" applyFill="1" applyBorder="1"/>
    <xf numFmtId="3" fontId="9" fillId="0" borderId="2" xfId="0" applyNumberFormat="1" applyFont="1" applyFill="1" applyBorder="1"/>
    <xf numFmtId="0" fontId="9" fillId="0" borderId="0" xfId="0" applyFont="1" applyFill="1" applyBorder="1" applyAlignment="1">
      <alignment horizontal="left"/>
    </xf>
    <xf numFmtId="3" fontId="8" fillId="0" borderId="2" xfId="0" applyNumberFormat="1" applyFont="1" applyFill="1" applyBorder="1"/>
    <xf numFmtId="3" fontId="8" fillId="0" borderId="17" xfId="0" applyNumberFormat="1" applyFont="1" applyFill="1" applyBorder="1"/>
    <xf numFmtId="0" fontId="9" fillId="0" borderId="4" xfId="0" applyFont="1" applyFill="1" applyBorder="1"/>
    <xf numFmtId="3" fontId="9" fillId="0" borderId="15" xfId="0" applyNumberFormat="1" applyFont="1" applyFill="1" applyBorder="1"/>
    <xf numFmtId="9" fontId="25" fillId="0" borderId="0" xfId="0" applyNumberFormat="1" applyFont="1" applyFill="1" applyBorder="1"/>
    <xf numFmtId="168" fontId="25" fillId="0" borderId="0" xfId="0" applyNumberFormat="1" applyFont="1" applyFill="1" applyBorder="1" applyAlignment="1">
      <alignment horizontal="right" vertical="center"/>
    </xf>
    <xf numFmtId="2" fontId="12" fillId="0" borderId="0" xfId="0" applyNumberFormat="1" applyFont="1" applyFill="1" applyBorder="1" applyAlignment="1">
      <alignment horizontal="left" vertical="center"/>
    </xf>
    <xf numFmtId="2" fontId="8" fillId="0" borderId="0" xfId="0" applyNumberFormat="1" applyFont="1" applyFill="1" applyAlignment="1">
      <alignment horizontal="left" vertical="center"/>
    </xf>
    <xf numFmtId="2" fontId="8" fillId="0" borderId="16" xfId="0" applyNumberFormat="1" applyFont="1" applyFill="1" applyBorder="1"/>
    <xf numFmtId="0" fontId="8" fillId="0" borderId="12" xfId="0" applyFont="1" applyFill="1" applyBorder="1" applyAlignment="1">
      <alignment vertical="top" wrapText="1"/>
    </xf>
    <xf numFmtId="0" fontId="9" fillId="0" borderId="12" xfId="0" applyFont="1" applyFill="1" applyBorder="1" applyAlignment="1">
      <alignment vertical="top" wrapText="1"/>
    </xf>
    <xf numFmtId="0" fontId="30" fillId="0" borderId="0" xfId="0" applyFont="1" applyFill="1" applyAlignment="1">
      <alignment vertical="top" wrapText="1"/>
    </xf>
    <xf numFmtId="0" fontId="9" fillId="0" borderId="0" xfId="0" applyFont="1" applyFill="1" applyAlignment="1">
      <alignment vertical="top" wrapText="1"/>
    </xf>
    <xf numFmtId="0" fontId="12" fillId="0" borderId="2" xfId="0" applyFont="1" applyFill="1" applyBorder="1"/>
    <xf numFmtId="9" fontId="12" fillId="0" borderId="2" xfId="0" applyNumberFormat="1" applyFont="1" applyFill="1" applyBorder="1"/>
    <xf numFmtId="3" fontId="12" fillId="0" borderId="17" xfId="0" applyNumberFormat="1" applyFont="1" applyFill="1" applyBorder="1"/>
    <xf numFmtId="0" fontId="44" fillId="0" borderId="24" xfId="0" applyFont="1" applyFill="1" applyBorder="1"/>
    <xf numFmtId="9" fontId="12" fillId="0" borderId="3" xfId="0" applyNumberFormat="1" applyFont="1" applyFill="1" applyBorder="1"/>
    <xf numFmtId="0" fontId="45" fillId="0" borderId="3" xfId="0" applyFont="1" applyFill="1" applyBorder="1"/>
    <xf numFmtId="3" fontId="12" fillId="0" borderId="10" xfId="0" applyNumberFormat="1" applyFont="1" applyFill="1" applyBorder="1"/>
    <xf numFmtId="3" fontId="8" fillId="0" borderId="11" xfId="0" applyNumberFormat="1" applyFont="1" applyFill="1" applyBorder="1"/>
    <xf numFmtId="3" fontId="9" fillId="0" borderId="11" xfId="0" applyNumberFormat="1" applyFont="1" applyFill="1" applyBorder="1"/>
    <xf numFmtId="0" fontId="21" fillId="0" borderId="0" xfId="0" applyFont="1" applyFill="1"/>
    <xf numFmtId="1" fontId="31" fillId="0" borderId="0" xfId="0" applyNumberFormat="1" applyFont="1" applyFill="1"/>
    <xf numFmtId="1" fontId="31" fillId="0" borderId="0" xfId="0" applyNumberFormat="1" applyFont="1" applyFill="1" applyAlignment="1">
      <alignment horizontal="right"/>
    </xf>
    <xf numFmtId="1" fontId="31" fillId="0" borderId="16" xfId="0" applyNumberFormat="1" applyFont="1" applyFill="1" applyBorder="1"/>
    <xf numFmtId="0" fontId="31" fillId="0" borderId="0" xfId="0" applyFont="1" applyFill="1" applyBorder="1"/>
    <xf numFmtId="174" fontId="9" fillId="0" borderId="16" xfId="0" applyNumberFormat="1" applyFont="1" applyFill="1" applyBorder="1" applyAlignment="1">
      <alignment horizontal="right"/>
    </xf>
    <xf numFmtId="1" fontId="9" fillId="0" borderId="5" xfId="0" applyNumberFormat="1" applyFont="1" applyFill="1" applyBorder="1" applyAlignment="1">
      <alignment horizontal="right"/>
    </xf>
    <xf numFmtId="3" fontId="9" fillId="0" borderId="5" xfId="0" applyNumberFormat="1" applyFont="1" applyFill="1" applyBorder="1"/>
    <xf numFmtId="174" fontId="9" fillId="0" borderId="15" xfId="0" applyNumberFormat="1" applyFont="1" applyFill="1" applyBorder="1" applyAlignment="1">
      <alignment horizontal="right"/>
    </xf>
    <xf numFmtId="1" fontId="9" fillId="0" borderId="15" xfId="0" applyNumberFormat="1" applyFont="1" applyFill="1" applyBorder="1"/>
    <xf numFmtId="187" fontId="9" fillId="0" borderId="0" xfId="0" applyNumberFormat="1" applyFont="1" applyFill="1" applyAlignment="1">
      <alignment horizontal="right"/>
    </xf>
    <xf numFmtId="9" fontId="9" fillId="0" borderId="0" xfId="0" applyNumberFormat="1" applyFont="1" applyFill="1" applyAlignment="1">
      <alignment horizontal="right"/>
    </xf>
    <xf numFmtId="175" fontId="9" fillId="0" borderId="0" xfId="0" applyNumberFormat="1" applyFont="1" applyFill="1" applyAlignment="1">
      <alignment horizontal="right"/>
    </xf>
    <xf numFmtId="2" fontId="9" fillId="0" borderId="5" xfId="0" applyNumberFormat="1" applyFont="1" applyFill="1" applyBorder="1" applyAlignment="1">
      <alignment horizontal="right"/>
    </xf>
    <xf numFmtId="1" fontId="9" fillId="0" borderId="15" xfId="0" applyNumberFormat="1" applyFont="1" applyFill="1" applyBorder="1" applyAlignment="1">
      <alignment horizontal="right"/>
    </xf>
    <xf numFmtId="9" fontId="9" fillId="0" borderId="5" xfId="0" applyNumberFormat="1" applyFont="1" applyFill="1" applyBorder="1" applyAlignment="1">
      <alignment horizontal="right"/>
    </xf>
    <xf numFmtId="9" fontId="9" fillId="0" borderId="0" xfId="0" applyNumberFormat="1" applyFont="1" applyFill="1" applyAlignment="1">
      <alignment horizontal="left"/>
    </xf>
    <xf numFmtId="10" fontId="9" fillId="0" borderId="5" xfId="0" applyNumberFormat="1" applyFont="1" applyFill="1" applyBorder="1" applyAlignment="1">
      <alignment horizontal="right"/>
    </xf>
    <xf numFmtId="168" fontId="9" fillId="0" borderId="5" xfId="0" applyNumberFormat="1" applyFont="1" applyFill="1" applyBorder="1" applyAlignment="1">
      <alignment horizontal="right"/>
    </xf>
    <xf numFmtId="10" fontId="9" fillId="0" borderId="0" xfId="0" applyNumberFormat="1" applyFont="1" applyFill="1" applyAlignment="1">
      <alignment horizontal="right"/>
    </xf>
    <xf numFmtId="186" fontId="9" fillId="0" borderId="0" xfId="0" applyNumberFormat="1" applyFont="1" applyFill="1" applyAlignment="1">
      <alignment horizontal="right"/>
    </xf>
    <xf numFmtId="186" fontId="31" fillId="0" borderId="0" xfId="0" applyNumberFormat="1" applyFont="1" applyFill="1" applyAlignment="1">
      <alignment horizontal="right"/>
    </xf>
    <xf numFmtId="3" fontId="9" fillId="0" borderId="5" xfId="0" applyNumberFormat="1" applyFont="1" applyFill="1" applyBorder="1" applyAlignment="1">
      <alignment horizontal="right"/>
    </xf>
    <xf numFmtId="186" fontId="9" fillId="0" borderId="5" xfId="0" applyNumberFormat="1" applyFont="1" applyFill="1" applyBorder="1" applyAlignment="1">
      <alignment horizontal="right"/>
    </xf>
    <xf numFmtId="0" fontId="24" fillId="0" borderId="0" xfId="0" applyFont="1" applyFill="1" applyBorder="1" applyAlignment="1">
      <alignment horizontal="right"/>
    </xf>
    <xf numFmtId="0" fontId="24" fillId="0" borderId="0" xfId="0" applyFont="1" applyFill="1" applyAlignment="1">
      <alignment horizontal="right"/>
    </xf>
    <xf numFmtId="0" fontId="9" fillId="0" borderId="0" xfId="0" applyFont="1" applyFill="1" applyBorder="1" applyAlignment="1">
      <alignment horizontal="right"/>
    </xf>
    <xf numFmtId="3" fontId="8" fillId="0" borderId="20" xfId="0" applyNumberFormat="1" applyFont="1" applyFill="1" applyBorder="1"/>
    <xf numFmtId="0" fontId="0" fillId="0" borderId="0" xfId="0" applyBorder="1"/>
    <xf numFmtId="0" fontId="0" fillId="0" borderId="3" xfId="0" applyBorder="1"/>
    <xf numFmtId="0" fontId="8" fillId="0" borderId="0" xfId="0" applyFont="1" applyFill="1"/>
    <xf numFmtId="1" fontId="13" fillId="4" borderId="0" xfId="0" applyNumberFormat="1" applyFont="1" applyFill="1" applyAlignment="1">
      <alignment horizontal="left"/>
    </xf>
    <xf numFmtId="1" fontId="8" fillId="4" borderId="0" xfId="0" applyNumberFormat="1" applyFont="1" applyFill="1" applyAlignment="1">
      <alignment horizontal="left"/>
    </xf>
    <xf numFmtId="0" fontId="13" fillId="4" borderId="0" xfId="0" applyFont="1" applyFill="1" applyBorder="1" applyAlignment="1">
      <alignment horizontal="left"/>
    </xf>
    <xf numFmtId="0" fontId="13" fillId="4" borderId="3" xfId="0" applyFont="1" applyFill="1" applyBorder="1" applyAlignment="1">
      <alignment horizontal="left"/>
    </xf>
    <xf numFmtId="0" fontId="13" fillId="4" borderId="0" xfId="0" applyFont="1" applyFill="1" applyAlignment="1">
      <alignment horizontal="left"/>
    </xf>
    <xf numFmtId="1" fontId="8" fillId="4" borderId="2" xfId="0" applyNumberFormat="1" applyFont="1" applyFill="1" applyBorder="1" applyAlignment="1">
      <alignment horizontal="left"/>
    </xf>
    <xf numFmtId="3" fontId="8" fillId="4" borderId="0" xfId="0" applyNumberFormat="1" applyFont="1" applyFill="1" applyAlignment="1">
      <alignment horizontal="left"/>
    </xf>
    <xf numFmtId="3" fontId="13" fillId="4" borderId="0" xfId="0" applyNumberFormat="1" applyFont="1" applyFill="1" applyAlignment="1">
      <alignment horizontal="left"/>
    </xf>
    <xf numFmtId="3" fontId="8" fillId="4" borderId="2" xfId="0" applyNumberFormat="1" applyFont="1" applyFill="1" applyBorder="1" applyAlignment="1">
      <alignment horizontal="left"/>
    </xf>
    <xf numFmtId="168" fontId="9" fillId="0" borderId="0" xfId="8" applyNumberFormat="1" applyFont="1" applyFill="1" applyBorder="1" applyAlignment="1">
      <alignment horizontal="left" vertical="center"/>
    </xf>
    <xf numFmtId="1" fontId="9" fillId="0" borderId="24" xfId="0" applyNumberFormat="1" applyFont="1" applyFill="1" applyBorder="1" applyAlignment="1">
      <alignment horizontal="left" vertical="center"/>
    </xf>
    <xf numFmtId="1" fontId="9" fillId="0" borderId="3" xfId="0" applyNumberFormat="1" applyFont="1" applyFill="1" applyBorder="1" applyAlignment="1">
      <alignment horizontal="left" vertical="center"/>
    </xf>
    <xf numFmtId="0" fontId="8" fillId="4" borderId="3" xfId="0" applyFont="1" applyFill="1" applyBorder="1" applyAlignment="1">
      <alignment horizontal="left" vertical="center"/>
    </xf>
    <xf numFmtId="1" fontId="9" fillId="0" borderId="16" xfId="0" applyNumberFormat="1" applyFont="1" applyFill="1" applyBorder="1" applyAlignment="1">
      <alignment horizontal="left" vertical="center"/>
    </xf>
    <xf numFmtId="1" fontId="9" fillId="0" borderId="20" xfId="0" applyNumberFormat="1" applyFont="1" applyFill="1" applyBorder="1" applyAlignment="1">
      <alignment horizontal="left" vertical="center"/>
    </xf>
    <xf numFmtId="1" fontId="9" fillId="0" borderId="2" xfId="0" applyNumberFormat="1" applyFont="1" applyFill="1" applyBorder="1" applyAlignment="1">
      <alignment horizontal="left" vertical="center"/>
    </xf>
    <xf numFmtId="1" fontId="9" fillId="0" borderId="22" xfId="0" applyNumberFormat="1" applyFont="1" applyFill="1" applyBorder="1" applyAlignment="1">
      <alignment horizontal="left" vertical="center"/>
    </xf>
    <xf numFmtId="2" fontId="12" fillId="0" borderId="16" xfId="0" applyNumberFormat="1" applyFont="1" applyBorder="1"/>
    <xf numFmtId="3" fontId="9" fillId="0" borderId="17" xfId="0" applyNumberFormat="1" applyFont="1" applyBorder="1"/>
    <xf numFmtId="2" fontId="8" fillId="4" borderId="0" xfId="0" applyNumberFormat="1" applyFont="1" applyFill="1" applyAlignment="1">
      <alignment horizontal="left"/>
    </xf>
    <xf numFmtId="1" fontId="13" fillId="4" borderId="0" xfId="0" applyNumberFormat="1" applyFont="1" applyFill="1" applyBorder="1" applyAlignment="1">
      <alignment horizontal="left" vertical="center"/>
    </xf>
    <xf numFmtId="44" fontId="9" fillId="0" borderId="16" xfId="0" applyNumberFormat="1" applyFont="1" applyFill="1" applyBorder="1"/>
    <xf numFmtId="10" fontId="9" fillId="0" borderId="16" xfId="0" applyNumberFormat="1" applyFont="1" applyFill="1" applyBorder="1"/>
    <xf numFmtId="2" fontId="9" fillId="0" borderId="18" xfId="0" applyNumberFormat="1" applyFont="1" applyFill="1" applyBorder="1"/>
    <xf numFmtId="0" fontId="27" fillId="4" borderId="0" xfId="0" applyFont="1" applyFill="1" applyBorder="1" applyAlignment="1">
      <alignment horizontal="left" vertical="center"/>
    </xf>
    <xf numFmtId="164" fontId="6" fillId="0" borderId="0" xfId="0" applyNumberFormat="1" applyFont="1" applyFill="1" applyBorder="1" applyAlignment="1">
      <alignment horizontal="left" vertical="center"/>
    </xf>
    <xf numFmtId="1" fontId="6" fillId="0" borderId="0" xfId="0" applyNumberFormat="1" applyFont="1" applyFill="1" applyBorder="1" applyAlignment="1">
      <alignment horizontal="right" vertical="center"/>
    </xf>
    <xf numFmtId="0" fontId="9" fillId="0" borderId="26" xfId="0" applyFont="1" applyFill="1" applyBorder="1" applyAlignment="1">
      <alignment horizontal="left" vertical="center"/>
    </xf>
    <xf numFmtId="0" fontId="9" fillId="4" borderId="0" xfId="0" applyFont="1" applyFill="1" applyAlignment="1">
      <alignment horizontal="left"/>
    </xf>
    <xf numFmtId="0" fontId="8" fillId="8" borderId="0" xfId="0" applyFont="1" applyFill="1" applyAlignment="1">
      <alignment horizontal="left"/>
    </xf>
    <xf numFmtId="1" fontId="24" fillId="0" borderId="22" xfId="0" applyNumberFormat="1" applyFont="1" applyFill="1" applyBorder="1" applyAlignment="1">
      <alignment horizontal="right" vertical="center"/>
    </xf>
    <xf numFmtId="0" fontId="48" fillId="0" borderId="0" xfId="0" applyFont="1"/>
    <xf numFmtId="9" fontId="16" fillId="4" borderId="0" xfId="0" applyNumberFormat="1" applyFont="1" applyFill="1" applyBorder="1" applyAlignment="1">
      <alignment horizontal="left" vertical="center"/>
    </xf>
    <xf numFmtId="9" fontId="24" fillId="0" borderId="0" xfId="0" applyNumberFormat="1" applyFont="1" applyFill="1" applyBorder="1" applyAlignment="1">
      <alignment vertical="center"/>
    </xf>
    <xf numFmtId="168" fontId="24" fillId="0" borderId="16" xfId="0" applyNumberFormat="1" applyFont="1" applyFill="1" applyBorder="1" applyAlignment="1">
      <alignment horizontal="right" vertical="center"/>
    </xf>
    <xf numFmtId="9" fontId="24" fillId="0" borderId="22" xfId="0" applyNumberFormat="1" applyFont="1" applyFill="1" applyBorder="1" applyAlignment="1">
      <alignment horizontal="left" vertical="center"/>
    </xf>
    <xf numFmtId="3" fontId="12" fillId="0" borderId="16" xfId="0" applyNumberFormat="1" applyFont="1" applyFill="1" applyBorder="1" applyAlignment="1">
      <alignment horizontal="left" vertical="center"/>
    </xf>
    <xf numFmtId="0" fontId="12" fillId="0" borderId="16" xfId="0" applyFont="1" applyFill="1" applyBorder="1" applyAlignment="1">
      <alignment horizontal="left" vertical="center"/>
    </xf>
    <xf numFmtId="1" fontId="12" fillId="0" borderId="0" xfId="0" applyNumberFormat="1" applyFont="1" applyFill="1" applyBorder="1" applyAlignment="1">
      <alignment horizontal="center" vertical="center"/>
    </xf>
    <xf numFmtId="166" fontId="8" fillId="5" borderId="0" xfId="0" applyNumberFormat="1" applyFont="1" applyFill="1" applyBorder="1" applyAlignment="1">
      <alignment horizontal="right" vertical="center"/>
    </xf>
    <xf numFmtId="172" fontId="12" fillId="5" borderId="16" xfId="0" applyNumberFormat="1" applyFont="1" applyFill="1" applyBorder="1" applyAlignment="1">
      <alignment horizontal="right" vertical="center"/>
    </xf>
    <xf numFmtId="164" fontId="12" fillId="5" borderId="16" xfId="0" applyNumberFormat="1" applyFont="1" applyFill="1" applyBorder="1" applyAlignment="1">
      <alignment horizontal="center" vertical="center"/>
    </xf>
    <xf numFmtId="178" fontId="12" fillId="5" borderId="5" xfId="0" applyNumberFormat="1" applyFont="1" applyFill="1" applyBorder="1" applyAlignment="1">
      <alignment horizontal="right" vertical="center"/>
    </xf>
    <xf numFmtId="184" fontId="12" fillId="0" borderId="0" xfId="0" applyNumberFormat="1" applyFont="1" applyFill="1" applyBorder="1" applyAlignment="1">
      <alignment horizontal="left" vertical="center"/>
    </xf>
    <xf numFmtId="184" fontId="12" fillId="0" borderId="0" xfId="0" applyNumberFormat="1" applyFont="1" applyFill="1" applyBorder="1" applyAlignment="1">
      <alignment horizontal="right" vertical="center"/>
    </xf>
    <xf numFmtId="175" fontId="12" fillId="0" borderId="0" xfId="0" applyNumberFormat="1" applyFont="1" applyFill="1" applyBorder="1" applyAlignment="1">
      <alignment horizontal="left" vertical="center"/>
    </xf>
    <xf numFmtId="2" fontId="12" fillId="5" borderId="0" xfId="0" applyNumberFormat="1" applyFont="1" applyFill="1" applyBorder="1" applyAlignment="1">
      <alignment horizontal="right" vertical="center"/>
    </xf>
    <xf numFmtId="168" fontId="9" fillId="0" borderId="0" xfId="0" applyNumberFormat="1" applyFont="1" applyFill="1" applyBorder="1" applyAlignment="1">
      <alignment horizontal="right"/>
    </xf>
    <xf numFmtId="168" fontId="9" fillId="0" borderId="16" xfId="0" applyNumberFormat="1" applyFont="1" applyFill="1" applyBorder="1" applyAlignment="1">
      <alignment horizontal="right"/>
    </xf>
    <xf numFmtId="168" fontId="9" fillId="0" borderId="14" xfId="0" applyNumberFormat="1" applyFont="1" applyFill="1" applyBorder="1"/>
    <xf numFmtId="168" fontId="9" fillId="0" borderId="32" xfId="0" applyNumberFormat="1" applyFont="1" applyFill="1" applyBorder="1"/>
    <xf numFmtId="1" fontId="46" fillId="9" borderId="0" xfId="0" applyNumberFormat="1" applyFont="1" applyFill="1" applyAlignment="1">
      <alignment horizontal="left" vertical="center"/>
    </xf>
    <xf numFmtId="1" fontId="46" fillId="9" borderId="0" xfId="0" applyNumberFormat="1" applyFont="1" applyFill="1" applyBorder="1" applyAlignment="1">
      <alignment horizontal="left" vertical="center"/>
    </xf>
    <xf numFmtId="0" fontId="16" fillId="5" borderId="0" xfId="0" applyFont="1" applyFill="1" applyBorder="1" applyAlignment="1">
      <alignment horizontal="left" vertical="center"/>
    </xf>
    <xf numFmtId="0" fontId="24" fillId="5" borderId="0" xfId="0" applyFont="1" applyFill="1" applyBorder="1" applyAlignment="1">
      <alignment horizontal="left" vertical="center"/>
    </xf>
    <xf numFmtId="168" fontId="24" fillId="5" borderId="0" xfId="0" applyNumberFormat="1" applyFont="1" applyFill="1" applyBorder="1" applyAlignment="1">
      <alignment horizontal="left" vertical="center"/>
    </xf>
    <xf numFmtId="3" fontId="24" fillId="5" borderId="0" xfId="0" applyNumberFormat="1" applyFont="1" applyFill="1" applyBorder="1" applyAlignment="1">
      <alignment horizontal="left" vertical="center"/>
    </xf>
    <xf numFmtId="9" fontId="25" fillId="0" borderId="0" xfId="0" applyNumberFormat="1" applyFont="1" applyFill="1" applyBorder="1" applyAlignment="1">
      <alignment horizontal="right" vertical="center"/>
    </xf>
    <xf numFmtId="2" fontId="28" fillId="5" borderId="0" xfId="0" applyNumberFormat="1" applyFont="1" applyFill="1" applyBorder="1" applyAlignment="1">
      <alignment horizontal="left" vertical="center"/>
    </xf>
    <xf numFmtId="0" fontId="28" fillId="4" borderId="0" xfId="0" applyFont="1" applyFill="1"/>
    <xf numFmtId="0" fontId="41" fillId="0" borderId="0" xfId="0" applyFont="1" applyFill="1" applyBorder="1" applyAlignment="1">
      <alignment horizontal="left" vertical="center"/>
    </xf>
    <xf numFmtId="164" fontId="41" fillId="5" borderId="0" xfId="0" applyNumberFormat="1" applyFont="1" applyFill="1" applyBorder="1" applyAlignment="1">
      <alignment horizontal="right" vertical="center"/>
    </xf>
    <xf numFmtId="164" fontId="28" fillId="5" borderId="0" xfId="0" applyNumberFormat="1" applyFont="1" applyFill="1" applyBorder="1" applyAlignment="1">
      <alignment horizontal="right" vertical="center"/>
    </xf>
    <xf numFmtId="164" fontId="41" fillId="5" borderId="16" xfId="0" applyNumberFormat="1" applyFont="1" applyFill="1" applyBorder="1" applyAlignment="1">
      <alignment horizontal="right" vertical="center"/>
    </xf>
    <xf numFmtId="0" fontId="9" fillId="4" borderId="2" xfId="0" applyFont="1" applyFill="1" applyBorder="1" applyAlignment="1">
      <alignment horizontal="left" vertical="center"/>
    </xf>
    <xf numFmtId="0" fontId="9" fillId="0" borderId="2" xfId="0" applyFont="1" applyFill="1" applyBorder="1" applyAlignment="1">
      <alignment horizontal="left" vertical="center"/>
    </xf>
    <xf numFmtId="0" fontId="6" fillId="0" borderId="25" xfId="0" applyFont="1" applyFill="1" applyBorder="1" applyAlignment="1">
      <alignment horizontal="left" vertical="center"/>
    </xf>
    <xf numFmtId="1" fontId="49" fillId="0" borderId="2" xfId="0" applyNumberFormat="1" applyFont="1" applyFill="1" applyBorder="1" applyAlignment="1">
      <alignment horizontal="left" vertical="center"/>
    </xf>
    <xf numFmtId="0" fontId="6" fillId="0" borderId="0" xfId="0" applyFont="1" applyFill="1" applyBorder="1" applyAlignment="1">
      <alignment vertical="center"/>
    </xf>
    <xf numFmtId="0" fontId="9" fillId="4" borderId="1" xfId="0" applyFont="1" applyFill="1" applyBorder="1" applyAlignment="1">
      <alignment horizontal="left" vertical="center"/>
    </xf>
    <xf numFmtId="0" fontId="9" fillId="0" borderId="1" xfId="0" applyFont="1" applyFill="1" applyBorder="1" applyAlignment="1">
      <alignment horizontal="left" vertical="center"/>
    </xf>
    <xf numFmtId="3" fontId="6" fillId="0" borderId="16" xfId="0" applyNumberFormat="1" applyFont="1" applyFill="1" applyBorder="1" applyAlignment="1">
      <alignment horizontal="left" vertical="center"/>
    </xf>
    <xf numFmtId="3" fontId="12" fillId="4" borderId="0" xfId="0" applyNumberFormat="1" applyFont="1" applyFill="1"/>
    <xf numFmtId="0" fontId="6" fillId="4" borderId="2" xfId="0" applyFont="1" applyFill="1" applyBorder="1" applyAlignment="1">
      <alignment horizontal="left" vertical="center"/>
    </xf>
    <xf numFmtId="10" fontId="6" fillId="0" borderId="2" xfId="0" applyNumberFormat="1" applyFont="1" applyFill="1" applyBorder="1" applyAlignment="1">
      <alignment horizontal="right" vertical="center"/>
    </xf>
    <xf numFmtId="0" fontId="6" fillId="4" borderId="3" xfId="0" applyFont="1" applyFill="1" applyBorder="1" applyAlignment="1">
      <alignment horizontal="left" vertical="center"/>
    </xf>
    <xf numFmtId="1" fontId="6" fillId="0" borderId="3" xfId="0" applyNumberFormat="1" applyFont="1" applyFill="1" applyBorder="1" applyAlignment="1">
      <alignment horizontal="left" vertical="center"/>
    </xf>
    <xf numFmtId="3" fontId="6" fillId="0" borderId="3" xfId="0" applyNumberFormat="1" applyFont="1" applyFill="1" applyBorder="1" applyAlignment="1">
      <alignment horizontal="left" vertical="center"/>
    </xf>
    <xf numFmtId="10" fontId="6" fillId="0" borderId="3" xfId="0" applyNumberFormat="1" applyFont="1" applyFill="1" applyBorder="1" applyAlignment="1">
      <alignment horizontal="left" vertical="center"/>
    </xf>
    <xf numFmtId="10" fontId="6" fillId="0" borderId="3" xfId="0" applyNumberFormat="1" applyFont="1" applyFill="1" applyBorder="1" applyAlignment="1">
      <alignment horizontal="right" vertical="center"/>
    </xf>
    <xf numFmtId="9" fontId="9" fillId="0" borderId="16" xfId="0" applyNumberFormat="1" applyFont="1" applyFill="1" applyBorder="1" applyAlignment="1">
      <alignment horizontal="left" vertical="center"/>
    </xf>
    <xf numFmtId="3" fontId="12" fillId="0" borderId="31" xfId="0" applyNumberFormat="1" applyFont="1" applyFill="1" applyBorder="1"/>
    <xf numFmtId="0" fontId="9" fillId="4" borderId="5" xfId="0" applyFont="1" applyFill="1" applyBorder="1" applyAlignment="1">
      <alignment horizontal="left" vertical="center"/>
    </xf>
    <xf numFmtId="0" fontId="9" fillId="0" borderId="5" xfId="0" applyFont="1" applyFill="1" applyBorder="1" applyAlignment="1">
      <alignment horizontal="left" vertical="center"/>
    </xf>
    <xf numFmtId="0" fontId="9" fillId="0" borderId="15" xfId="0" applyFont="1" applyFill="1" applyBorder="1" applyAlignment="1">
      <alignment horizontal="left" vertical="center"/>
    </xf>
    <xf numFmtId="168" fontId="9" fillId="0" borderId="5" xfId="0" applyNumberFormat="1" applyFont="1" applyFill="1" applyBorder="1" applyAlignment="1">
      <alignment horizontal="left" vertical="center"/>
    </xf>
    <xf numFmtId="10" fontId="9" fillId="0" borderId="15" xfId="0" applyNumberFormat="1" applyFont="1" applyFill="1" applyBorder="1" applyAlignment="1">
      <alignment horizontal="left" vertical="center"/>
    </xf>
    <xf numFmtId="10" fontId="9" fillId="0" borderId="5" xfId="0" applyNumberFormat="1" applyFont="1" applyFill="1" applyBorder="1" applyAlignment="1">
      <alignment horizontal="left" vertical="center"/>
    </xf>
    <xf numFmtId="0" fontId="9" fillId="0" borderId="36" xfId="0" applyFont="1" applyFill="1" applyBorder="1" applyAlignment="1">
      <alignment horizontal="left" vertical="center"/>
    </xf>
    <xf numFmtId="168" fontId="6" fillId="0" borderId="2" xfId="0" applyNumberFormat="1" applyFont="1" applyFill="1" applyBorder="1" applyAlignment="1">
      <alignment horizontal="left" vertical="center"/>
    </xf>
    <xf numFmtId="0" fontId="6" fillId="0" borderId="17" xfId="0" applyFont="1" applyFill="1" applyBorder="1" applyAlignment="1">
      <alignment horizontal="left" vertical="center"/>
    </xf>
    <xf numFmtId="0" fontId="7" fillId="0" borderId="17" xfId="0" applyFont="1" applyFill="1" applyBorder="1" applyAlignment="1">
      <alignment horizontal="left" vertical="center"/>
    </xf>
    <xf numFmtId="0" fontId="8" fillId="4" borderId="0" xfId="0" applyFont="1" applyFill="1"/>
    <xf numFmtId="9" fontId="44" fillId="0" borderId="3" xfId="0" applyNumberFormat="1" applyFont="1" applyFill="1" applyBorder="1"/>
    <xf numFmtId="3" fontId="23" fillId="0" borderId="0" xfId="0" applyNumberFormat="1" applyFont="1" applyAlignment="1">
      <alignment horizontal="right"/>
    </xf>
    <xf numFmtId="3" fontId="23" fillId="0" borderId="16" xfId="0" applyNumberFormat="1" applyFont="1" applyBorder="1" applyAlignment="1">
      <alignment horizontal="right"/>
    </xf>
    <xf numFmtId="3" fontId="24" fillId="0" borderId="16" xfId="0" applyNumberFormat="1" applyFont="1" applyFill="1" applyBorder="1" applyAlignment="1">
      <alignment horizontal="right" vertical="center"/>
    </xf>
    <xf numFmtId="164" fontId="9" fillId="0" borderId="37" xfId="0" applyNumberFormat="1" applyFont="1" applyFill="1" applyBorder="1" applyAlignment="1">
      <alignment horizontal="right" vertical="center"/>
    </xf>
    <xf numFmtId="0" fontId="24" fillId="4" borderId="0" xfId="0" applyFont="1" applyFill="1" applyBorder="1" applyAlignment="1">
      <alignment horizontal="left" vertical="center"/>
    </xf>
    <xf numFmtId="0" fontId="24" fillId="0" borderId="0" xfId="0" applyFont="1" applyFill="1" applyBorder="1" applyAlignment="1">
      <alignment horizontal="left" vertical="center"/>
    </xf>
    <xf numFmtId="10" fontId="24" fillId="0" borderId="0" xfId="0" applyNumberFormat="1" applyFont="1" applyFill="1" applyBorder="1" applyAlignment="1">
      <alignment horizontal="right" vertical="center"/>
    </xf>
    <xf numFmtId="168" fontId="15" fillId="0" borderId="3" xfId="0" applyNumberFormat="1" applyFont="1" applyFill="1" applyBorder="1" applyAlignment="1">
      <alignment horizontal="right" vertical="center"/>
    </xf>
    <xf numFmtId="0" fontId="27" fillId="0" borderId="0" xfId="0" applyFont="1" applyFill="1" applyBorder="1" applyAlignment="1">
      <alignment horizontal="left" vertical="center"/>
    </xf>
    <xf numFmtId="0" fontId="27" fillId="0" borderId="5" xfId="0" applyFont="1" applyFill="1" applyBorder="1" applyAlignment="1">
      <alignment horizontal="left" vertical="center"/>
    </xf>
    <xf numFmtId="165" fontId="8" fillId="0" borderId="15" xfId="0" applyNumberFormat="1" applyFont="1" applyFill="1" applyBorder="1" applyAlignment="1">
      <alignment horizontal="right"/>
    </xf>
    <xf numFmtId="3" fontId="27" fillId="4" borderId="0" xfId="0" applyNumberFormat="1" applyFont="1" applyFill="1" applyBorder="1" applyAlignment="1">
      <alignment horizontal="left" vertical="center"/>
    </xf>
    <xf numFmtId="3" fontId="8" fillId="4" borderId="5" xfId="0" applyNumberFormat="1" applyFont="1" applyFill="1" applyBorder="1" applyAlignment="1">
      <alignment horizontal="right" vertical="center"/>
    </xf>
    <xf numFmtId="1" fontId="8" fillId="5" borderId="0" xfId="0" applyNumberFormat="1" applyFont="1" applyFill="1"/>
    <xf numFmtId="1" fontId="8" fillId="5" borderId="0" xfId="0" applyNumberFormat="1" applyFont="1" applyFill="1" applyBorder="1" applyAlignment="1">
      <alignment horizontal="right" vertical="center"/>
    </xf>
    <xf numFmtId="1" fontId="8" fillId="4" borderId="0" xfId="0" applyNumberFormat="1" applyFont="1" applyFill="1" applyBorder="1" applyAlignment="1">
      <alignment horizontal="right" vertical="center"/>
    </xf>
    <xf numFmtId="1" fontId="13" fillId="4" borderId="0" xfId="0" applyNumberFormat="1" applyFont="1" applyFill="1"/>
    <xf numFmtId="3" fontId="8" fillId="4" borderId="0" xfId="0" applyNumberFormat="1" applyFont="1" applyFill="1" applyBorder="1"/>
    <xf numFmtId="2" fontId="8" fillId="4" borderId="0" xfId="0" applyNumberFormat="1" applyFont="1" applyFill="1" applyBorder="1"/>
    <xf numFmtId="2" fontId="8" fillId="4" borderId="0" xfId="0" applyNumberFormat="1" applyFont="1" applyFill="1"/>
    <xf numFmtId="2" fontId="9" fillId="4" borderId="5" xfId="0" applyNumberFormat="1" applyFont="1" applyFill="1" applyBorder="1"/>
    <xf numFmtId="0" fontId="27" fillId="4" borderId="2" xfId="0" applyFont="1" applyFill="1" applyBorder="1" applyAlignment="1">
      <alignment horizontal="left" vertical="center"/>
    </xf>
    <xf numFmtId="3" fontId="27" fillId="4" borderId="3" xfId="0" applyNumberFormat="1" applyFont="1" applyFill="1" applyBorder="1" applyAlignment="1">
      <alignment horizontal="left" vertical="center"/>
    </xf>
    <xf numFmtId="3" fontId="8" fillId="4" borderId="3" xfId="0" applyNumberFormat="1" applyFont="1" applyFill="1" applyBorder="1" applyAlignment="1">
      <alignment horizontal="centerContinuous" vertical="center"/>
    </xf>
    <xf numFmtId="9" fontId="8" fillId="0" borderId="22" xfId="0" applyNumberFormat="1" applyFont="1" applyBorder="1" applyAlignment="1">
      <alignment horizontal="right"/>
    </xf>
    <xf numFmtId="1" fontId="24" fillId="5" borderId="0" xfId="0" applyNumberFormat="1" applyFont="1" applyFill="1" applyBorder="1" applyAlignment="1">
      <alignment horizontal="right"/>
    </xf>
    <xf numFmtId="0" fontId="24" fillId="0" borderId="0" xfId="0" applyFont="1" applyAlignment="1"/>
    <xf numFmtId="0" fontId="24" fillId="0" borderId="5" xfId="0" applyFont="1" applyBorder="1" applyAlignment="1"/>
    <xf numFmtId="9" fontId="9" fillId="0" borderId="3" xfId="0" applyNumberFormat="1" applyFont="1" applyFill="1" applyBorder="1" applyAlignment="1">
      <alignment horizontal="right" vertical="center"/>
    </xf>
    <xf numFmtId="3" fontId="9" fillId="0" borderId="17" xfId="0" applyNumberFormat="1" applyFont="1" applyFill="1" applyBorder="1"/>
    <xf numFmtId="9" fontId="31" fillId="0" borderId="0" xfId="8" applyFont="1" applyFill="1" applyAlignment="1">
      <alignment horizontal="right"/>
    </xf>
    <xf numFmtId="9" fontId="9" fillId="0" borderId="0" xfId="8" applyFont="1" applyAlignment="1">
      <alignment horizontal="right"/>
    </xf>
    <xf numFmtId="9" fontId="9" fillId="0" borderId="0" xfId="8" applyFont="1" applyFill="1" applyAlignment="1">
      <alignment horizontal="right"/>
    </xf>
    <xf numFmtId="168" fontId="6" fillId="0" borderId="3" xfId="8" applyNumberFormat="1" applyFont="1" applyFill="1" applyBorder="1" applyAlignment="1">
      <alignment horizontal="left" vertical="center"/>
    </xf>
    <xf numFmtId="2" fontId="13" fillId="0" borderId="0" xfId="0" applyNumberFormat="1" applyFont="1"/>
    <xf numFmtId="3" fontId="13" fillId="0" borderId="16" xfId="0" applyNumberFormat="1" applyFont="1" applyFill="1" applyBorder="1" applyAlignment="1">
      <alignment horizontal="right" vertical="center"/>
    </xf>
    <xf numFmtId="168" fontId="12" fillId="2" borderId="0" xfId="0" applyNumberFormat="1" applyFont="1" applyFill="1" applyAlignment="1">
      <alignment horizontal="right"/>
    </xf>
    <xf numFmtId="9" fontId="24" fillId="5" borderId="0" xfId="8" applyFont="1" applyFill="1" applyBorder="1" applyAlignment="1">
      <alignment horizontal="right"/>
    </xf>
    <xf numFmtId="164" fontId="9" fillId="5" borderId="26" xfId="0" applyNumberFormat="1" applyFont="1" applyFill="1" applyBorder="1" applyAlignment="1">
      <alignment horizontal="right" vertical="center"/>
    </xf>
    <xf numFmtId="6" fontId="9" fillId="5" borderId="26" xfId="0" applyNumberFormat="1" applyFont="1" applyFill="1" applyBorder="1" applyAlignment="1">
      <alignment horizontal="right" vertical="center"/>
    </xf>
    <xf numFmtId="6" fontId="9" fillId="5" borderId="0" xfId="0" applyNumberFormat="1" applyFont="1" applyFill="1" applyBorder="1" applyAlignment="1">
      <alignment horizontal="right" vertical="center"/>
    </xf>
    <xf numFmtId="168" fontId="12" fillId="5" borderId="16" xfId="8" applyNumberFormat="1" applyFont="1" applyFill="1" applyBorder="1" applyAlignment="1">
      <alignment horizontal="right" vertical="center"/>
    </xf>
    <xf numFmtId="168" fontId="12" fillId="5" borderId="18" xfId="8" applyNumberFormat="1" applyFont="1" applyFill="1" applyBorder="1" applyAlignment="1">
      <alignment horizontal="right" vertical="center"/>
    </xf>
    <xf numFmtId="165" fontId="8" fillId="0" borderId="3" xfId="0" applyNumberFormat="1" applyFont="1" applyBorder="1" applyAlignment="1">
      <alignment horizontal="left" vertical="center"/>
    </xf>
    <xf numFmtId="6" fontId="9" fillId="0" borderId="16" xfId="0" applyNumberFormat="1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left" vertical="center"/>
    </xf>
    <xf numFmtId="0" fontId="7" fillId="4" borderId="0" xfId="0" applyFont="1" applyFill="1" applyBorder="1" applyAlignment="1">
      <alignment horizontal="left" vertical="center"/>
    </xf>
    <xf numFmtId="6" fontId="7" fillId="0" borderId="0" xfId="0" applyNumberFormat="1" applyFont="1" applyFill="1" applyBorder="1" applyAlignment="1">
      <alignment horizontal="right" vertical="center"/>
    </xf>
    <xf numFmtId="164" fontId="25" fillId="6" borderId="0" xfId="0" applyNumberFormat="1" applyFont="1" applyFill="1" applyBorder="1" applyAlignment="1">
      <alignment horizontal="right" vertical="center"/>
    </xf>
    <xf numFmtId="175" fontId="25" fillId="6" borderId="0" xfId="0" applyNumberFormat="1" applyFont="1" applyFill="1" applyBorder="1" applyAlignment="1">
      <alignment horizontal="right" vertical="center"/>
    </xf>
    <xf numFmtId="175" fontId="24" fillId="6" borderId="0" xfId="0" applyNumberFormat="1" applyFont="1" applyFill="1" applyBorder="1" applyAlignment="1">
      <alignment horizontal="right" vertical="center"/>
    </xf>
    <xf numFmtId="175" fontId="12" fillId="6" borderId="0" xfId="0" applyNumberFormat="1" applyFont="1" applyFill="1" applyBorder="1" applyAlignment="1">
      <alignment horizontal="right" vertical="center"/>
    </xf>
    <xf numFmtId="178" fontId="25" fillId="6" borderId="0" xfId="0" applyNumberFormat="1" applyFont="1" applyFill="1" applyBorder="1" applyAlignment="1">
      <alignment horizontal="right" vertical="center"/>
    </xf>
    <xf numFmtId="2" fontId="13" fillId="0" borderId="0" xfId="0" applyNumberFormat="1" applyFont="1" applyFill="1" applyBorder="1"/>
    <xf numFmtId="3" fontId="25" fillId="0" borderId="0" xfId="0" applyNumberFormat="1" applyFont="1" applyAlignment="1">
      <alignment horizontal="right"/>
    </xf>
    <xf numFmtId="9" fontId="9" fillId="0" borderId="3" xfId="0" applyNumberFormat="1" applyFont="1" applyFill="1" applyBorder="1" applyAlignment="1">
      <alignment horizontal="left" vertical="center"/>
    </xf>
    <xf numFmtId="9" fontId="16" fillId="4" borderId="3" xfId="0" applyNumberFormat="1" applyFont="1" applyFill="1" applyBorder="1" applyAlignment="1">
      <alignment horizontal="left" vertical="center"/>
    </xf>
    <xf numFmtId="9" fontId="24" fillId="0" borderId="3" xfId="0" applyNumberFormat="1" applyFont="1" applyFill="1" applyBorder="1" applyAlignment="1">
      <alignment horizontal="left" vertical="center"/>
    </xf>
    <xf numFmtId="174" fontId="24" fillId="0" borderId="3" xfId="0" applyNumberFormat="1" applyFont="1" applyFill="1" applyBorder="1" applyAlignment="1">
      <alignment horizontal="right" vertical="center"/>
    </xf>
    <xf numFmtId="174" fontId="24" fillId="0" borderId="18" xfId="0" applyNumberFormat="1" applyFont="1" applyFill="1" applyBorder="1" applyAlignment="1">
      <alignment horizontal="right" vertical="center"/>
    </xf>
    <xf numFmtId="3" fontId="8" fillId="0" borderId="3" xfId="0" applyNumberFormat="1" applyFont="1" applyFill="1" applyBorder="1" applyAlignment="1">
      <alignment horizontal="left" vertical="center"/>
    </xf>
    <xf numFmtId="3" fontId="9" fillId="0" borderId="3" xfId="0" applyNumberFormat="1" applyFont="1" applyBorder="1"/>
    <xf numFmtId="3" fontId="12" fillId="0" borderId="3" xfId="0" applyNumberFormat="1" applyFont="1" applyBorder="1"/>
    <xf numFmtId="3" fontId="9" fillId="0" borderId="18" xfId="0" applyNumberFormat="1" applyFont="1" applyBorder="1"/>
    <xf numFmtId="168" fontId="24" fillId="0" borderId="0" xfId="8" applyNumberFormat="1" applyFont="1" applyFill="1" applyBorder="1" applyAlignment="1">
      <alignment horizontal="right" vertical="center"/>
    </xf>
    <xf numFmtId="1" fontId="12" fillId="5" borderId="0" xfId="0" applyNumberFormat="1" applyFont="1" applyFill="1"/>
    <xf numFmtId="1" fontId="9" fillId="5" borderId="16" xfId="0" applyNumberFormat="1" applyFont="1" applyFill="1" applyBorder="1" applyAlignment="1">
      <alignment horizontal="right"/>
    </xf>
    <xf numFmtId="1" fontId="12" fillId="5" borderId="0" xfId="0" applyNumberFormat="1" applyFont="1" applyFill="1" applyBorder="1"/>
    <xf numFmtId="1" fontId="9" fillId="6" borderId="0" xfId="0" applyNumberFormat="1" applyFont="1" applyFill="1" applyBorder="1" applyAlignment="1">
      <alignment horizontal="right" vertical="center"/>
    </xf>
    <xf numFmtId="1" fontId="9" fillId="6" borderId="16" xfId="0" applyNumberFormat="1" applyFont="1" applyFill="1" applyBorder="1" applyAlignment="1">
      <alignment horizontal="right" vertical="center"/>
    </xf>
    <xf numFmtId="1" fontId="12" fillId="6" borderId="0" xfId="0" applyNumberFormat="1" applyFont="1" applyFill="1" applyBorder="1" applyAlignment="1">
      <alignment horizontal="right" vertical="center"/>
    </xf>
    <xf numFmtId="2" fontId="8" fillId="5" borderId="0" xfId="0" applyNumberFormat="1" applyFont="1" applyFill="1" applyBorder="1" applyAlignment="1">
      <alignment horizontal="left" vertical="center"/>
    </xf>
    <xf numFmtId="3" fontId="25" fillId="6" borderId="16" xfId="0" applyNumberFormat="1" applyFont="1" applyFill="1" applyBorder="1" applyAlignment="1">
      <alignment horizontal="right" vertical="center"/>
    </xf>
    <xf numFmtId="171" fontId="5" fillId="0" borderId="3" xfId="0" applyNumberFormat="1" applyFont="1" applyFill="1" applyBorder="1" applyAlignment="1">
      <alignment horizontal="right" vertical="center"/>
    </xf>
    <xf numFmtId="172" fontId="5" fillId="0" borderId="0" xfId="0" applyNumberFormat="1" applyFont="1" applyFill="1" applyBorder="1" applyAlignment="1">
      <alignment horizontal="right" vertical="center"/>
    </xf>
    <xf numFmtId="9" fontId="9" fillId="0" borderId="11" xfId="8" applyFont="1" applyFill="1" applyBorder="1" applyAlignment="1">
      <alignment horizontal="right" vertical="center"/>
    </xf>
    <xf numFmtId="9" fontId="12" fillId="0" borderId="0" xfId="8" applyFont="1" applyFill="1" applyBorder="1" applyAlignment="1">
      <alignment horizontal="right" vertical="center"/>
    </xf>
    <xf numFmtId="168" fontId="9" fillId="0" borderId="0" xfId="8" applyNumberFormat="1" applyFont="1" applyFill="1" applyAlignment="1">
      <alignment horizontal="right"/>
    </xf>
    <xf numFmtId="9" fontId="12" fillId="0" borderId="16" xfId="8" applyFont="1" applyFill="1" applyBorder="1"/>
    <xf numFmtId="9" fontId="24" fillId="5" borderId="16" xfId="8" applyNumberFormat="1" applyFont="1" applyFill="1" applyBorder="1" applyAlignment="1">
      <alignment horizontal="right"/>
    </xf>
    <xf numFmtId="1" fontId="13" fillId="0" borderId="16" xfId="0" applyNumberFormat="1" applyFont="1" applyFill="1" applyBorder="1" applyAlignment="1">
      <alignment horizontal="right" vertical="center"/>
    </xf>
    <xf numFmtId="1" fontId="12" fillId="0" borderId="16" xfId="0" applyNumberFormat="1" applyFont="1" applyFill="1" applyBorder="1" applyAlignment="1">
      <alignment horizontal="right" vertical="center"/>
    </xf>
    <xf numFmtId="1" fontId="24" fillId="0" borderId="16" xfId="0" applyNumberFormat="1" applyFont="1" applyFill="1" applyBorder="1" applyAlignment="1">
      <alignment horizontal="right" vertical="center"/>
    </xf>
    <xf numFmtId="9" fontId="12" fillId="0" borderId="16" xfId="0" applyNumberFormat="1" applyFont="1" applyFill="1" applyBorder="1" applyAlignment="1">
      <alignment horizontal="right" vertical="center"/>
    </xf>
    <xf numFmtId="2" fontId="9" fillId="0" borderId="16" xfId="0" applyNumberFormat="1" applyFont="1" applyFill="1" applyBorder="1" applyAlignment="1">
      <alignment horizontal="right" vertical="center"/>
    </xf>
    <xf numFmtId="9" fontId="24" fillId="0" borderId="16" xfId="0" applyNumberFormat="1" applyFont="1" applyFill="1" applyBorder="1" applyAlignment="1">
      <alignment horizontal="left" vertical="center"/>
    </xf>
    <xf numFmtId="1" fontId="9" fillId="0" borderId="1" xfId="0" applyNumberFormat="1" applyFont="1" applyFill="1" applyBorder="1"/>
    <xf numFmtId="1" fontId="9" fillId="4" borderId="1" xfId="0" applyNumberFormat="1" applyFont="1" applyFill="1" applyBorder="1"/>
    <xf numFmtId="1" fontId="13" fillId="0" borderId="1" xfId="0" applyNumberFormat="1" applyFont="1" applyFill="1" applyBorder="1"/>
    <xf numFmtId="166" fontId="9" fillId="0" borderId="23" xfId="0" applyNumberFormat="1" applyFont="1" applyFill="1" applyBorder="1" applyAlignment="1">
      <alignment horizontal="right" vertical="center"/>
    </xf>
    <xf numFmtId="166" fontId="9" fillId="5" borderId="23" xfId="0" applyNumberFormat="1" applyFont="1" applyFill="1" applyBorder="1" applyAlignment="1">
      <alignment horizontal="right" vertical="center"/>
    </xf>
    <xf numFmtId="168" fontId="12" fillId="5" borderId="23" xfId="8" applyNumberFormat="1" applyFont="1" applyFill="1" applyBorder="1" applyAlignment="1">
      <alignment horizontal="right" vertical="center"/>
    </xf>
    <xf numFmtId="168" fontId="12" fillId="5" borderId="19" xfId="8" applyNumberFormat="1" applyFont="1" applyFill="1" applyBorder="1" applyAlignment="1">
      <alignment horizontal="right" vertical="center"/>
    </xf>
    <xf numFmtId="166" fontId="9" fillId="0" borderId="22" xfId="0" applyNumberFormat="1" applyFont="1" applyFill="1" applyBorder="1" applyAlignment="1">
      <alignment horizontal="right" vertical="center"/>
    </xf>
    <xf numFmtId="166" fontId="9" fillId="5" borderId="22" xfId="0" applyNumberFormat="1" applyFont="1" applyFill="1" applyBorder="1" applyAlignment="1">
      <alignment horizontal="right" vertical="center"/>
    </xf>
    <xf numFmtId="168" fontId="12" fillId="5" borderId="22" xfId="8" applyNumberFormat="1" applyFont="1" applyFill="1" applyBorder="1" applyAlignment="1">
      <alignment horizontal="right" vertical="center"/>
    </xf>
    <xf numFmtId="168" fontId="12" fillId="5" borderId="24" xfId="8" applyNumberFormat="1" applyFont="1" applyFill="1" applyBorder="1" applyAlignment="1">
      <alignment horizontal="right" vertical="center"/>
    </xf>
    <xf numFmtId="9" fontId="9" fillId="5" borderId="16" xfId="0" applyNumberFormat="1" applyFont="1" applyFill="1" applyBorder="1" applyAlignment="1">
      <alignment horizontal="right" vertical="center"/>
    </xf>
    <xf numFmtId="6" fontId="9" fillId="0" borderId="32" xfId="0" applyNumberFormat="1" applyFont="1" applyFill="1" applyBorder="1" applyAlignment="1">
      <alignment horizontal="right" vertical="center"/>
    </xf>
    <xf numFmtId="165" fontId="8" fillId="0" borderId="5" xfId="0" applyNumberFormat="1" applyFont="1" applyBorder="1" applyAlignment="1">
      <alignment horizontal="left" vertical="center"/>
    </xf>
    <xf numFmtId="164" fontId="8" fillId="4" borderId="5" xfId="0" applyNumberFormat="1" applyFont="1" applyFill="1" applyBorder="1" applyAlignment="1">
      <alignment horizontal="left" vertical="center"/>
    </xf>
    <xf numFmtId="164" fontId="8" fillId="0" borderId="38" xfId="0" applyNumberFormat="1" applyFont="1" applyFill="1" applyBorder="1" applyAlignment="1">
      <alignment horizontal="right" vertical="center"/>
    </xf>
    <xf numFmtId="0" fontId="8" fillId="4" borderId="3" xfId="0" applyNumberFormat="1" applyFont="1" applyFill="1" applyBorder="1" applyAlignment="1">
      <alignment horizontal="left" vertical="center"/>
    </xf>
    <xf numFmtId="1" fontId="8" fillId="0" borderId="3" xfId="0" applyNumberFormat="1" applyFont="1" applyFill="1" applyBorder="1" applyAlignment="1">
      <alignment horizontal="right" vertical="center"/>
    </xf>
    <xf numFmtId="1" fontId="8" fillId="0" borderId="3" xfId="0" applyNumberFormat="1" applyFont="1" applyFill="1" applyBorder="1" applyAlignment="1">
      <alignment vertical="center"/>
    </xf>
    <xf numFmtId="1" fontId="8" fillId="0" borderId="20" xfId="0" applyNumberFormat="1" applyFont="1" applyFill="1" applyBorder="1" applyAlignment="1">
      <alignment horizontal="left" vertical="center"/>
    </xf>
    <xf numFmtId="3" fontId="8" fillId="0" borderId="2" xfId="0" applyNumberFormat="1" applyFont="1" applyBorder="1"/>
    <xf numFmtId="3" fontId="8" fillId="0" borderId="2" xfId="0" applyNumberFormat="1" applyFont="1" applyFill="1" applyBorder="1" applyAlignment="1">
      <alignment horizontal="right" vertical="center"/>
    </xf>
    <xf numFmtId="1" fontId="12" fillId="0" borderId="2" xfId="0" applyNumberFormat="1" applyFont="1" applyBorder="1"/>
    <xf numFmtId="3" fontId="8" fillId="0" borderId="17" xfId="0" applyNumberFormat="1" applyFont="1" applyFill="1" applyBorder="1" applyAlignment="1">
      <alignment horizontal="right" vertical="center"/>
    </xf>
    <xf numFmtId="0" fontId="13" fillId="4" borderId="2" xfId="0" applyFont="1" applyFill="1" applyBorder="1" applyAlignment="1">
      <alignment horizontal="left"/>
    </xf>
    <xf numFmtId="1" fontId="12" fillId="0" borderId="2" xfId="0" applyNumberFormat="1" applyFont="1" applyBorder="1" applyAlignment="1">
      <alignment horizontal="right"/>
    </xf>
    <xf numFmtId="9" fontId="8" fillId="0" borderId="0" xfId="8" applyFont="1" applyFill="1" applyAlignment="1">
      <alignment horizontal="right" vertical="center"/>
    </xf>
    <xf numFmtId="166" fontId="9" fillId="0" borderId="20" xfId="0" applyNumberFormat="1" applyFont="1" applyFill="1" applyBorder="1" applyAlignment="1">
      <alignment horizontal="right" vertical="center"/>
    </xf>
    <xf numFmtId="166" fontId="9" fillId="5" borderId="24" xfId="0" applyNumberFormat="1" applyFont="1" applyFill="1" applyBorder="1" applyAlignment="1">
      <alignment horizontal="right" vertical="center"/>
    </xf>
    <xf numFmtId="3" fontId="12" fillId="0" borderId="18" xfId="0" applyNumberFormat="1" applyFont="1" applyFill="1" applyBorder="1"/>
    <xf numFmtId="3" fontId="8" fillId="0" borderId="3" xfId="0" applyNumberFormat="1" applyFont="1" applyFill="1" applyBorder="1"/>
    <xf numFmtId="168" fontId="27" fillId="0" borderId="3" xfId="8" applyNumberFormat="1" applyFont="1" applyFill="1" applyBorder="1" applyAlignment="1">
      <alignment horizontal="left" vertical="center"/>
    </xf>
    <xf numFmtId="3" fontId="8" fillId="0" borderId="20" xfId="0" applyNumberFormat="1" applyFont="1" applyBorder="1"/>
    <xf numFmtId="1" fontId="8" fillId="0" borderId="2" xfId="0" applyNumberFormat="1" applyFont="1" applyFill="1" applyBorder="1"/>
    <xf numFmtId="9" fontId="9" fillId="0" borderId="0" xfId="8" applyFont="1" applyFill="1"/>
    <xf numFmtId="9" fontId="9" fillId="0" borderId="0" xfId="8" applyFont="1" applyFill="1" applyBorder="1" applyAlignment="1">
      <alignment horizontal="left" vertical="center"/>
    </xf>
    <xf numFmtId="168" fontId="12" fillId="5" borderId="0" xfId="8" applyNumberFormat="1" applyFont="1" applyFill="1" applyBorder="1" applyAlignment="1">
      <alignment horizontal="right" vertical="center"/>
    </xf>
    <xf numFmtId="168" fontId="12" fillId="5" borderId="3" xfId="8" applyNumberFormat="1" applyFont="1" applyFill="1" applyBorder="1" applyAlignment="1">
      <alignment horizontal="right" vertical="center"/>
    </xf>
    <xf numFmtId="1" fontId="9" fillId="2" borderId="0" xfId="0" applyNumberFormat="1" applyFont="1" applyFill="1" applyBorder="1" applyAlignment="1">
      <alignment horizontal="right" vertical="center"/>
    </xf>
    <xf numFmtId="164" fontId="8" fillId="0" borderId="0" xfId="0" applyNumberFormat="1" applyFont="1" applyFill="1" applyAlignment="1">
      <alignment horizontal="left" vertical="center"/>
    </xf>
    <xf numFmtId="2" fontId="8" fillId="0" borderId="0" xfId="0" applyNumberFormat="1" applyFont="1"/>
    <xf numFmtId="10" fontId="24" fillId="0" borderId="0" xfId="0" applyNumberFormat="1" applyFont="1"/>
    <xf numFmtId="9" fontId="9" fillId="0" borderId="16" xfId="8" applyFont="1" applyFill="1" applyBorder="1"/>
    <xf numFmtId="187" fontId="9" fillId="0" borderId="0" xfId="0" applyNumberFormat="1" applyFont="1" applyFill="1"/>
    <xf numFmtId="187" fontId="8" fillId="0" borderId="0" xfId="0" applyNumberFormat="1" applyFont="1" applyFill="1" applyAlignment="1">
      <alignment horizontal="right"/>
    </xf>
    <xf numFmtId="187" fontId="8" fillId="0" borderId="0" xfId="0" applyNumberFormat="1" applyFont="1" applyFill="1"/>
    <xf numFmtId="187" fontId="9" fillId="0" borderId="16" xfId="0" applyNumberFormat="1" applyFont="1" applyFill="1" applyBorder="1"/>
    <xf numFmtId="187" fontId="9" fillId="0" borderId="18" xfId="0" applyNumberFormat="1" applyFont="1" applyFill="1" applyBorder="1"/>
    <xf numFmtId="9" fontId="24" fillId="5" borderId="16" xfId="0" applyNumberFormat="1" applyFont="1" applyFill="1" applyBorder="1" applyAlignment="1">
      <alignment horizontal="right"/>
    </xf>
    <xf numFmtId="0" fontId="24" fillId="0" borderId="15" xfId="0" applyFont="1" applyFill="1" applyBorder="1" applyAlignment="1">
      <alignment horizontal="left" vertical="center"/>
    </xf>
    <xf numFmtId="168" fontId="24" fillId="0" borderId="5" xfId="0" applyNumberFormat="1" applyFont="1" applyFill="1" applyBorder="1" applyAlignment="1">
      <alignment horizontal="left" vertical="center"/>
    </xf>
    <xf numFmtId="168" fontId="9" fillId="0" borderId="0" xfId="8" applyNumberFormat="1" applyFont="1" applyFill="1" applyBorder="1" applyAlignment="1">
      <alignment horizontal="right" vertical="center"/>
    </xf>
    <xf numFmtId="9" fontId="12" fillId="0" borderId="16" xfId="8" applyFont="1" applyBorder="1" applyAlignment="1">
      <alignment horizontal="right"/>
    </xf>
    <xf numFmtId="10" fontId="12" fillId="0" borderId="0" xfId="8" applyNumberFormat="1" applyFont="1" applyFill="1" applyBorder="1" applyAlignment="1">
      <alignment horizontal="right" vertical="center"/>
    </xf>
    <xf numFmtId="10" fontId="9" fillId="0" borderId="0" xfId="8" applyNumberFormat="1" applyFont="1" applyFill="1" applyBorder="1" applyAlignment="1">
      <alignment horizontal="right" vertical="center"/>
    </xf>
    <xf numFmtId="166" fontId="12" fillId="0" borderId="11" xfId="0" applyNumberFormat="1" applyFont="1" applyFill="1" applyBorder="1" applyAlignment="1">
      <alignment horizontal="right" vertical="center"/>
    </xf>
    <xf numFmtId="172" fontId="6" fillId="0" borderId="3" xfId="5" applyNumberFormat="1" applyFont="1" applyFill="1" applyBorder="1" applyAlignment="1">
      <alignment horizontal="left" vertical="center"/>
    </xf>
    <xf numFmtId="194" fontId="9" fillId="0" borderId="16" xfId="0" applyNumberFormat="1" applyFont="1" applyFill="1" applyBorder="1" applyAlignment="1">
      <alignment horizontal="right" vertical="center"/>
    </xf>
    <xf numFmtId="2" fontId="24" fillId="0" borderId="0" xfId="0" applyNumberFormat="1" applyFont="1" applyBorder="1"/>
    <xf numFmtId="1" fontId="24" fillId="0" borderId="0" xfId="0" applyNumberFormat="1" applyFont="1" applyBorder="1"/>
    <xf numFmtId="167" fontId="24" fillId="0" borderId="0" xfId="0" applyNumberFormat="1" applyFont="1" applyFill="1" applyBorder="1" applyAlignment="1">
      <alignment horizontal="left" vertical="center"/>
    </xf>
    <xf numFmtId="1" fontId="24" fillId="0" borderId="0" xfId="0" applyNumberFormat="1" applyFont="1" applyFill="1" applyBorder="1" applyAlignment="1">
      <alignment horizontal="left" vertical="center"/>
    </xf>
    <xf numFmtId="1" fontId="26" fillId="0" borderId="0" xfId="0" applyNumberFormat="1" applyFont="1" applyFill="1" applyBorder="1" applyAlignment="1">
      <alignment horizontal="left" vertical="center"/>
    </xf>
    <xf numFmtId="9" fontId="26" fillId="0" borderId="0" xfId="0" applyNumberFormat="1" applyFont="1" applyFill="1" applyBorder="1" applyAlignment="1">
      <alignment horizontal="left" vertical="center"/>
    </xf>
    <xf numFmtId="3" fontId="10" fillId="0" borderId="0" xfId="0" applyNumberFormat="1" applyFont="1" applyFill="1" applyBorder="1" applyAlignment="1">
      <alignment horizontal="right" vertical="center"/>
    </xf>
    <xf numFmtId="175" fontId="9" fillId="0" borderId="0" xfId="0" applyNumberFormat="1" applyFont="1" applyFill="1" applyBorder="1" applyAlignment="1">
      <alignment horizontal="right" vertical="center"/>
    </xf>
    <xf numFmtId="168" fontId="12" fillId="0" borderId="0" xfId="8" applyNumberFormat="1" applyFont="1" applyAlignment="1">
      <alignment horizontal="right"/>
    </xf>
    <xf numFmtId="168" fontId="29" fillId="0" borderId="0" xfId="8" applyNumberFormat="1" applyFont="1" applyFill="1" applyBorder="1" applyAlignment="1">
      <alignment horizontal="right" vertical="center"/>
    </xf>
    <xf numFmtId="175" fontId="51" fillId="5" borderId="5" xfId="0" applyNumberFormat="1" applyFont="1" applyFill="1" applyBorder="1" applyAlignment="1">
      <alignment horizontal="right" vertical="center"/>
    </xf>
    <xf numFmtId="9" fontId="15" fillId="0" borderId="0" xfId="8" applyFont="1"/>
    <xf numFmtId="168" fontId="9" fillId="0" borderId="0" xfId="8" applyNumberFormat="1" applyFont="1"/>
    <xf numFmtId="168" fontId="9" fillId="0" borderId="15" xfId="8" applyNumberFormat="1" applyFont="1" applyBorder="1"/>
    <xf numFmtId="175" fontId="6" fillId="0" borderId="3" xfId="8" applyNumberFormat="1" applyFont="1" applyFill="1" applyBorder="1" applyAlignment="1">
      <alignment horizontal="left" vertical="center"/>
    </xf>
    <xf numFmtId="168" fontId="9" fillId="0" borderId="0" xfId="8" applyNumberFormat="1" applyFont="1" applyAlignment="1">
      <alignment horizontal="right"/>
    </xf>
    <xf numFmtId="168" fontId="26" fillId="0" borderId="0" xfId="8" applyNumberFormat="1" applyFont="1" applyFill="1" applyBorder="1" applyAlignment="1">
      <alignment horizontal="left" vertical="center"/>
    </xf>
    <xf numFmtId="174" fontId="8" fillId="0" borderId="0" xfId="0" applyNumberFormat="1" applyFont="1" applyFill="1"/>
    <xf numFmtId="9" fontId="6" fillId="0" borderId="3" xfId="8" applyFont="1" applyFill="1" applyBorder="1" applyAlignment="1">
      <alignment horizontal="left" vertical="center"/>
    </xf>
    <xf numFmtId="174" fontId="9" fillId="0" borderId="18" xfId="5" applyNumberFormat="1" applyFont="1" applyFill="1" applyBorder="1"/>
    <xf numFmtId="172" fontId="9" fillId="0" borderId="0" xfId="5" applyNumberFormat="1" applyFont="1"/>
    <xf numFmtId="167" fontId="9" fillId="0" borderId="0" xfId="0" applyNumberFormat="1" applyFont="1" applyFill="1" applyBorder="1" applyAlignment="1">
      <alignment horizontal="right" vertical="center"/>
    </xf>
    <xf numFmtId="176" fontId="9" fillId="0" borderId="0" xfId="0" applyNumberFormat="1" applyFont="1" applyFill="1" applyBorder="1" applyAlignment="1">
      <alignment horizontal="right" vertical="center"/>
    </xf>
    <xf numFmtId="0" fontId="6" fillId="0" borderId="3" xfId="5" applyNumberFormat="1" applyFont="1" applyFill="1" applyBorder="1" applyAlignment="1">
      <alignment horizontal="left" vertical="center"/>
    </xf>
    <xf numFmtId="1" fontId="12" fillId="0" borderId="24" xfId="0" applyNumberFormat="1" applyFont="1" applyFill="1" applyBorder="1"/>
    <xf numFmtId="1" fontId="13" fillId="4" borderId="3" xfId="0" applyNumberFormat="1" applyFont="1" applyFill="1" applyBorder="1"/>
    <xf numFmtId="9" fontId="12" fillId="0" borderId="3" xfId="0" applyNumberFormat="1" applyFont="1" applyFill="1" applyBorder="1" applyAlignment="1">
      <alignment horizontal="right"/>
    </xf>
    <xf numFmtId="9" fontId="12" fillId="0" borderId="18" xfId="0" applyNumberFormat="1" applyFont="1" applyFill="1" applyBorder="1" applyAlignment="1">
      <alignment horizontal="right"/>
    </xf>
    <xf numFmtId="9" fontId="9" fillId="0" borderId="5" xfId="8" applyFont="1" applyFill="1" applyBorder="1" applyAlignment="1">
      <alignment horizontal="right"/>
    </xf>
    <xf numFmtId="9" fontId="9" fillId="0" borderId="22" xfId="0" applyNumberFormat="1" applyFont="1" applyBorder="1"/>
    <xf numFmtId="1" fontId="9" fillId="4" borderId="0" xfId="0" applyNumberFormat="1" applyFont="1" applyFill="1" applyAlignment="1">
      <alignment horizontal="left"/>
    </xf>
    <xf numFmtId="3" fontId="29" fillId="0" borderId="0" xfId="0" applyNumberFormat="1" applyFont="1" applyFill="1" applyBorder="1" applyAlignment="1">
      <alignment horizontal="right" vertical="center"/>
    </xf>
    <xf numFmtId="3" fontId="29" fillId="0" borderId="16" xfId="0" applyNumberFormat="1" applyFont="1" applyFill="1" applyBorder="1" applyAlignment="1">
      <alignment horizontal="right" vertical="center"/>
    </xf>
    <xf numFmtId="3" fontId="29" fillId="0" borderId="0" xfId="0" applyNumberFormat="1" applyFont="1"/>
    <xf numFmtId="0" fontId="0" fillId="0" borderId="0" xfId="0" applyFill="1"/>
    <xf numFmtId="0" fontId="53" fillId="10" borderId="0" xfId="0" applyFont="1" applyFill="1"/>
    <xf numFmtId="0" fontId="54" fillId="10" borderId="0" xfId="0" applyNumberFormat="1" applyFont="1" applyFill="1" applyBorder="1" applyAlignment="1">
      <alignment horizontal="centerContinuous" vertical="center"/>
    </xf>
    <xf numFmtId="164" fontId="53" fillId="10" borderId="0" xfId="0" applyNumberFormat="1" applyFont="1" applyFill="1" applyBorder="1" applyAlignment="1">
      <alignment horizontal="right" vertical="center"/>
    </xf>
    <xf numFmtId="164" fontId="54" fillId="10" borderId="0" xfId="0" applyNumberFormat="1" applyFont="1" applyFill="1" applyBorder="1" applyAlignment="1">
      <alignment horizontal="centerContinuous" vertical="center"/>
    </xf>
    <xf numFmtId="0" fontId="55" fillId="10" borderId="0" xfId="0" applyFont="1" applyFill="1"/>
    <xf numFmtId="0" fontId="56" fillId="10" borderId="0" xfId="0" applyFont="1" applyFill="1" applyAlignment="1">
      <alignment horizontal="left" vertical="center"/>
    </xf>
    <xf numFmtId="0" fontId="55" fillId="0" borderId="0" xfId="0" applyFont="1" applyFill="1"/>
    <xf numFmtId="0" fontId="54" fillId="10" borderId="4" xfId="0" applyFont="1" applyFill="1" applyBorder="1"/>
    <xf numFmtId="164" fontId="54" fillId="10" borderId="5" xfId="0" applyNumberFormat="1" applyFont="1" applyFill="1" applyBorder="1" applyAlignment="1">
      <alignment horizontal="left" vertical="center"/>
    </xf>
    <xf numFmtId="164" fontId="54" fillId="10" borderId="5" xfId="0" applyNumberFormat="1" applyFont="1" applyFill="1" applyBorder="1" applyAlignment="1">
      <alignment horizontal="right" vertical="center"/>
    </xf>
    <xf numFmtId="0" fontId="55" fillId="10" borderId="5" xfId="0" applyFont="1" applyFill="1" applyBorder="1"/>
    <xf numFmtId="164" fontId="54" fillId="10" borderId="15" xfId="0" applyNumberFormat="1" applyFont="1" applyFill="1" applyBorder="1" applyAlignment="1">
      <alignment horizontal="right" vertical="center"/>
    </xf>
    <xf numFmtId="164" fontId="54" fillId="0" borderId="5" xfId="0" applyNumberFormat="1" applyFont="1" applyFill="1" applyBorder="1" applyAlignment="1">
      <alignment horizontal="right" vertical="center"/>
    </xf>
    <xf numFmtId="164" fontId="54" fillId="0" borderId="16" xfId="0" applyNumberFormat="1" applyFont="1" applyFill="1" applyBorder="1" applyAlignment="1">
      <alignment horizontal="right" vertical="center"/>
    </xf>
    <xf numFmtId="164" fontId="54" fillId="0" borderId="20" xfId="0" applyNumberFormat="1" applyFont="1" applyFill="1" applyBorder="1" applyAlignment="1">
      <alignment horizontal="right" vertical="center"/>
    </xf>
    <xf numFmtId="0" fontId="55" fillId="10" borderId="40" xfId="0" applyFont="1" applyFill="1" applyBorder="1"/>
    <xf numFmtId="0" fontId="54" fillId="10" borderId="40" xfId="0" applyNumberFormat="1" applyFont="1" applyFill="1" applyBorder="1" applyAlignment="1">
      <alignment horizontal="centerContinuous" vertical="center"/>
    </xf>
    <xf numFmtId="164" fontId="54" fillId="10" borderId="40" xfId="0" applyNumberFormat="1" applyFont="1" applyFill="1" applyBorder="1" applyAlignment="1">
      <alignment horizontal="centerContinuous" vertical="center"/>
    </xf>
    <xf numFmtId="164" fontId="54" fillId="10" borderId="40" xfId="0" applyNumberFormat="1" applyFont="1" applyFill="1" applyBorder="1" applyAlignment="1">
      <alignment vertical="center"/>
    </xf>
    <xf numFmtId="0" fontId="56" fillId="10" borderId="40" xfId="0" applyFont="1" applyFill="1" applyBorder="1" applyAlignment="1">
      <alignment horizontal="left" vertical="center"/>
    </xf>
    <xf numFmtId="164" fontId="54" fillId="10" borderId="41" xfId="0" applyNumberFormat="1" applyFont="1" applyFill="1" applyBorder="1" applyAlignment="1">
      <alignment horizontal="right" vertical="center"/>
    </xf>
    <xf numFmtId="164" fontId="54" fillId="10" borderId="41" xfId="0" quotePrefix="1" applyNumberFormat="1" applyFont="1" applyFill="1" applyBorder="1" applyAlignment="1">
      <alignment horizontal="right" vertical="center"/>
    </xf>
    <xf numFmtId="0" fontId="55" fillId="10" borderId="42" xfId="0" applyFont="1" applyFill="1" applyBorder="1"/>
    <xf numFmtId="164" fontId="54" fillId="10" borderId="43" xfId="0" applyNumberFormat="1" applyFont="1" applyFill="1" applyBorder="1" applyAlignment="1">
      <alignment horizontal="right" vertical="center"/>
    </xf>
    <xf numFmtId="0" fontId="55" fillId="10" borderId="43" xfId="0" applyFont="1" applyFill="1" applyBorder="1"/>
    <xf numFmtId="164" fontId="54" fillId="10" borderId="44" xfId="0" applyNumberFormat="1" applyFont="1" applyFill="1" applyBorder="1" applyAlignment="1">
      <alignment horizontal="right" vertical="center"/>
    </xf>
    <xf numFmtId="0" fontId="53" fillId="10" borderId="45" xfId="0" applyFont="1" applyFill="1" applyBorder="1"/>
    <xf numFmtId="0" fontId="54" fillId="10" borderId="45" xfId="0" applyNumberFormat="1" applyFont="1" applyFill="1" applyBorder="1" applyAlignment="1">
      <alignment horizontal="left" vertical="center"/>
    </xf>
    <xf numFmtId="0" fontId="54" fillId="10" borderId="45" xfId="0" applyNumberFormat="1" applyFont="1" applyFill="1" applyBorder="1" applyAlignment="1">
      <alignment horizontal="centerContinuous" vertical="center"/>
    </xf>
    <xf numFmtId="1" fontId="54" fillId="10" borderId="45" xfId="0" applyNumberFormat="1" applyFont="1" applyFill="1" applyBorder="1" applyAlignment="1">
      <alignment horizontal="centerContinuous" vertical="center"/>
    </xf>
    <xf numFmtId="3" fontId="55" fillId="10" borderId="45" xfId="0" applyNumberFormat="1" applyFont="1" applyFill="1" applyBorder="1" applyAlignment="1">
      <alignment horizontal="right"/>
    </xf>
    <xf numFmtId="164" fontId="53" fillId="10" borderId="45" xfId="0" applyNumberFormat="1" applyFont="1" applyFill="1" applyBorder="1" applyAlignment="1">
      <alignment horizontal="right" vertical="center"/>
    </xf>
    <xf numFmtId="164" fontId="54" fillId="10" borderId="45" xfId="0" applyNumberFormat="1" applyFont="1" applyFill="1" applyBorder="1" applyAlignment="1">
      <alignment horizontal="centerContinuous" vertical="center"/>
    </xf>
    <xf numFmtId="0" fontId="55" fillId="10" borderId="45" xfId="0" applyFont="1" applyFill="1" applyBorder="1"/>
    <xf numFmtId="0" fontId="55" fillId="10" borderId="46" xfId="0" applyFont="1" applyFill="1" applyBorder="1"/>
    <xf numFmtId="0" fontId="54" fillId="10" borderId="46" xfId="0" applyNumberFormat="1" applyFont="1" applyFill="1" applyBorder="1" applyAlignment="1">
      <alignment horizontal="centerContinuous" vertical="center"/>
    </xf>
    <xf numFmtId="164" fontId="54" fillId="10" borderId="46" xfId="0" applyNumberFormat="1" applyFont="1" applyFill="1" applyBorder="1" applyAlignment="1">
      <alignment horizontal="centerContinuous" vertical="center"/>
    </xf>
    <xf numFmtId="164" fontId="54" fillId="10" borderId="46" xfId="0" applyNumberFormat="1" applyFont="1" applyFill="1" applyBorder="1" applyAlignment="1">
      <alignment vertical="center"/>
    </xf>
    <xf numFmtId="0" fontId="56" fillId="10" borderId="46" xfId="0" applyFont="1" applyFill="1" applyBorder="1" applyAlignment="1">
      <alignment horizontal="left" vertical="center"/>
    </xf>
    <xf numFmtId="164" fontId="54" fillId="10" borderId="47" xfId="0" applyNumberFormat="1" applyFont="1" applyFill="1" applyBorder="1" applyAlignment="1">
      <alignment horizontal="right" vertical="center"/>
    </xf>
    <xf numFmtId="0" fontId="55" fillId="10" borderId="48" xfId="0" applyFont="1" applyFill="1" applyBorder="1"/>
    <xf numFmtId="164" fontId="54" fillId="10" borderId="47" xfId="0" quotePrefix="1" applyNumberFormat="1" applyFont="1" applyFill="1" applyBorder="1" applyAlignment="1">
      <alignment horizontal="right" vertical="center"/>
    </xf>
    <xf numFmtId="0" fontId="54" fillId="10" borderId="24" xfId="0" applyFont="1" applyFill="1" applyBorder="1"/>
    <xf numFmtId="164" fontId="12" fillId="11" borderId="22" xfId="0" applyNumberFormat="1" applyFont="1" applyFill="1" applyBorder="1" applyAlignment="1">
      <alignment horizontal="left" vertical="center" indent="1"/>
    </xf>
    <xf numFmtId="0" fontId="13" fillId="11" borderId="0" xfId="0" applyFont="1" applyFill="1" applyBorder="1" applyAlignment="1">
      <alignment horizontal="left"/>
    </xf>
    <xf numFmtId="1" fontId="12" fillId="11" borderId="0" xfId="0" applyNumberFormat="1" applyFont="1" applyFill="1" applyBorder="1" applyAlignment="1">
      <alignment horizontal="right" vertical="center"/>
    </xf>
    <xf numFmtId="9" fontId="12" fillId="11" borderId="0" xfId="0" applyNumberFormat="1" applyFont="1" applyFill="1" applyBorder="1"/>
    <xf numFmtId="1" fontId="12" fillId="11" borderId="0" xfId="0" applyNumberFormat="1" applyFont="1" applyFill="1" applyBorder="1"/>
    <xf numFmtId="9" fontId="12" fillId="11" borderId="0" xfId="0" applyNumberFormat="1" applyFont="1" applyFill="1" applyBorder="1" applyAlignment="1">
      <alignment horizontal="right"/>
    </xf>
    <xf numFmtId="9" fontId="12" fillId="11" borderId="16" xfId="0" applyNumberFormat="1" applyFont="1" applyFill="1" applyBorder="1"/>
    <xf numFmtId="168" fontId="12" fillId="11" borderId="0" xfId="0" applyNumberFormat="1" applyFont="1" applyFill="1" applyBorder="1"/>
    <xf numFmtId="164" fontId="12" fillId="11" borderId="24" xfId="0" applyNumberFormat="1" applyFont="1" applyFill="1" applyBorder="1" applyAlignment="1">
      <alignment horizontal="left" vertical="center" indent="1"/>
    </xf>
    <xf numFmtId="0" fontId="13" fillId="11" borderId="3" xfId="0" applyFont="1" applyFill="1" applyBorder="1" applyAlignment="1">
      <alignment horizontal="left"/>
    </xf>
    <xf numFmtId="1" fontId="12" fillId="11" borderId="3" xfId="0" applyNumberFormat="1" applyFont="1" applyFill="1" applyBorder="1" applyAlignment="1">
      <alignment horizontal="right" vertical="center"/>
    </xf>
    <xf numFmtId="1" fontId="12" fillId="11" borderId="3" xfId="0" applyNumberFormat="1" applyFont="1" applyFill="1" applyBorder="1"/>
    <xf numFmtId="9" fontId="12" fillId="11" borderId="3" xfId="0" applyNumberFormat="1" applyFont="1" applyFill="1" applyBorder="1" applyAlignment="1">
      <alignment horizontal="right"/>
    </xf>
    <xf numFmtId="9" fontId="12" fillId="11" borderId="3" xfId="0" applyNumberFormat="1" applyFont="1" applyFill="1" applyBorder="1"/>
    <xf numFmtId="1" fontId="12" fillId="11" borderId="3" xfId="0" applyNumberFormat="1" applyFont="1" applyFill="1" applyBorder="1" applyAlignment="1">
      <alignment horizontal="right"/>
    </xf>
    <xf numFmtId="1" fontId="12" fillId="11" borderId="18" xfId="0" applyNumberFormat="1" applyFont="1" applyFill="1" applyBorder="1" applyAlignment="1">
      <alignment horizontal="right"/>
    </xf>
    <xf numFmtId="0" fontId="13" fillId="11" borderId="0" xfId="0" applyFont="1" applyFill="1" applyAlignment="1">
      <alignment horizontal="left"/>
    </xf>
    <xf numFmtId="1" fontId="9" fillId="11" borderId="0" xfId="0" applyNumberFormat="1" applyFont="1" applyFill="1" applyBorder="1" applyAlignment="1">
      <alignment horizontal="right" vertical="center"/>
    </xf>
    <xf numFmtId="9" fontId="12" fillId="11" borderId="0" xfId="0" applyNumberFormat="1" applyFont="1" applyFill="1"/>
    <xf numFmtId="1" fontId="12" fillId="11" borderId="0" xfId="0" applyNumberFormat="1" applyFont="1" applyFill="1"/>
    <xf numFmtId="9" fontId="12" fillId="11" borderId="0" xfId="0" applyNumberFormat="1" applyFont="1" applyFill="1" applyAlignment="1">
      <alignment horizontal="right"/>
    </xf>
    <xf numFmtId="168" fontId="12" fillId="11" borderId="0" xfId="0" applyNumberFormat="1" applyFont="1" applyFill="1"/>
    <xf numFmtId="168" fontId="12" fillId="11" borderId="16" xfId="0" applyNumberFormat="1" applyFont="1" applyFill="1" applyBorder="1"/>
    <xf numFmtId="9" fontId="25" fillId="11" borderId="0" xfId="0" applyNumberFormat="1" applyFont="1" applyFill="1"/>
    <xf numFmtId="164" fontId="12" fillId="11" borderId="0" xfId="0" applyNumberFormat="1" applyFont="1" applyFill="1" applyBorder="1" applyAlignment="1">
      <alignment horizontal="left" vertical="center" indent="1"/>
    </xf>
    <xf numFmtId="1" fontId="12" fillId="11" borderId="0" xfId="0" applyNumberFormat="1" applyFont="1" applyFill="1" applyAlignment="1">
      <alignment horizontal="right"/>
    </xf>
    <xf numFmtId="1" fontId="12" fillId="11" borderId="16" xfId="0" applyNumberFormat="1" applyFont="1" applyFill="1" applyBorder="1" applyAlignment="1">
      <alignment horizontal="right"/>
    </xf>
    <xf numFmtId="1" fontId="12" fillId="11" borderId="0" xfId="0" applyNumberFormat="1" applyFont="1" applyFill="1" applyBorder="1" applyAlignment="1">
      <alignment horizontal="right"/>
    </xf>
    <xf numFmtId="172" fontId="12" fillId="11" borderId="0" xfId="5" applyNumberFormat="1" applyFont="1" applyFill="1" applyBorder="1"/>
    <xf numFmtId="9" fontId="25" fillId="11" borderId="0" xfId="0" applyNumberFormat="1" applyFont="1" applyFill="1" applyBorder="1"/>
    <xf numFmtId="182" fontId="12" fillId="11" borderId="3" xfId="6" applyNumberFormat="1" applyFont="1" applyFill="1" applyBorder="1"/>
    <xf numFmtId="1" fontId="9" fillId="11" borderId="0" xfId="0" applyNumberFormat="1" applyFont="1" applyFill="1" applyBorder="1" applyAlignment="1">
      <alignment horizontal="right"/>
    </xf>
    <xf numFmtId="1" fontId="8" fillId="11" borderId="0" xfId="0" applyNumberFormat="1" applyFont="1" applyFill="1" applyAlignment="1">
      <alignment horizontal="left"/>
    </xf>
    <xf numFmtId="1" fontId="9" fillId="11" borderId="0" xfId="0" applyNumberFormat="1" applyFont="1" applyFill="1" applyAlignment="1">
      <alignment horizontal="right"/>
    </xf>
    <xf numFmtId="1" fontId="9" fillId="11" borderId="0" xfId="0" applyNumberFormat="1" applyFont="1" applyFill="1"/>
    <xf numFmtId="9" fontId="9" fillId="11" borderId="0" xfId="0" applyNumberFormat="1" applyFont="1" applyFill="1" applyBorder="1" applyAlignment="1">
      <alignment horizontal="right" vertical="center"/>
    </xf>
    <xf numFmtId="9" fontId="9" fillId="11" borderId="16" xfId="0" applyNumberFormat="1" applyFont="1" applyFill="1" applyBorder="1" applyAlignment="1">
      <alignment horizontal="right" vertical="center"/>
    </xf>
    <xf numFmtId="3" fontId="9" fillId="11" borderId="0" xfId="0" applyNumberFormat="1" applyFont="1" applyFill="1" applyBorder="1" applyAlignment="1">
      <alignment horizontal="right" vertical="center"/>
    </xf>
    <xf numFmtId="3" fontId="9" fillId="11" borderId="16" xfId="0" applyNumberFormat="1" applyFont="1" applyFill="1" applyBorder="1" applyAlignment="1">
      <alignment horizontal="right" vertical="center"/>
    </xf>
    <xf numFmtId="168" fontId="9" fillId="11" borderId="0" xfId="8" applyNumberFormat="1" applyFont="1" applyFill="1" applyBorder="1" applyAlignment="1">
      <alignment horizontal="right" vertical="center"/>
    </xf>
    <xf numFmtId="168" fontId="9" fillId="11" borderId="16" xfId="8" applyNumberFormat="1" applyFont="1" applyFill="1" applyBorder="1" applyAlignment="1">
      <alignment horizontal="right" vertical="center"/>
    </xf>
    <xf numFmtId="1" fontId="9" fillId="11" borderId="3" xfId="0" applyNumberFormat="1" applyFont="1" applyFill="1" applyBorder="1" applyAlignment="1">
      <alignment horizontal="right"/>
    </xf>
    <xf numFmtId="1" fontId="8" fillId="0" borderId="2" xfId="0" applyNumberFormat="1" applyFont="1" applyFill="1" applyBorder="1" applyAlignment="1">
      <alignment horizontal="left"/>
    </xf>
    <xf numFmtId="9" fontId="12" fillId="11" borderId="0" xfId="0" applyNumberFormat="1" applyFont="1" applyFill="1" applyBorder="1" applyAlignment="1">
      <alignment horizontal="right" vertical="center"/>
    </xf>
    <xf numFmtId="9" fontId="12" fillId="11" borderId="16" xfId="0" applyNumberFormat="1" applyFont="1" applyFill="1" applyBorder="1" applyAlignment="1">
      <alignment horizontal="right" vertical="center"/>
    </xf>
    <xf numFmtId="9" fontId="24" fillId="11" borderId="0" xfId="0" applyNumberFormat="1" applyFont="1" applyFill="1" applyBorder="1" applyAlignment="1">
      <alignment horizontal="right" vertical="center"/>
    </xf>
    <xf numFmtId="1" fontId="13" fillId="11" borderId="0" xfId="0" applyNumberFormat="1" applyFont="1" applyFill="1" applyAlignment="1">
      <alignment horizontal="left"/>
    </xf>
    <xf numFmtId="168" fontId="12" fillId="11" borderId="16" xfId="0" applyNumberFormat="1" applyFont="1" applyFill="1" applyBorder="1" applyAlignment="1">
      <alignment horizontal="right" vertical="center"/>
    </xf>
    <xf numFmtId="1" fontId="8" fillId="0" borderId="0" xfId="0" applyNumberFormat="1" applyFont="1" applyFill="1" applyAlignment="1">
      <alignment horizontal="left"/>
    </xf>
    <xf numFmtId="1" fontId="25" fillId="0" borderId="0" xfId="0" applyNumberFormat="1" applyFont="1" applyFill="1" applyBorder="1" applyAlignment="1">
      <alignment horizontal="right" vertical="center"/>
    </xf>
    <xf numFmtId="1" fontId="9" fillId="4" borderId="2" xfId="0" applyNumberFormat="1" applyFont="1" applyFill="1" applyBorder="1" applyAlignment="1">
      <alignment horizontal="left"/>
    </xf>
    <xf numFmtId="3" fontId="9" fillId="0" borderId="4" xfId="0" applyNumberFormat="1" applyFont="1" applyFill="1" applyBorder="1" applyAlignment="1">
      <alignment horizontal="right" vertical="center"/>
    </xf>
    <xf numFmtId="3" fontId="9" fillId="0" borderId="5" xfId="0" applyNumberFormat="1" applyFont="1" applyFill="1" applyBorder="1" applyAlignment="1">
      <alignment horizontal="right" vertical="center"/>
    </xf>
    <xf numFmtId="1" fontId="8" fillId="11" borderId="0" xfId="0" applyNumberFormat="1" applyFont="1" applyFill="1" applyAlignment="1">
      <alignment horizontal="right"/>
    </xf>
    <xf numFmtId="3" fontId="12" fillId="11" borderId="0" xfId="0" applyNumberFormat="1" applyFont="1" applyFill="1"/>
    <xf numFmtId="3" fontId="8" fillId="11" borderId="0" xfId="0" applyNumberFormat="1" applyFont="1" applyFill="1" applyAlignment="1">
      <alignment horizontal="right"/>
    </xf>
    <xf numFmtId="3" fontId="8" fillId="11" borderId="16" xfId="0" applyNumberFormat="1" applyFont="1" applyFill="1" applyBorder="1" applyAlignment="1">
      <alignment horizontal="right"/>
    </xf>
    <xf numFmtId="1" fontId="9" fillId="11" borderId="16" xfId="0" applyNumberFormat="1" applyFont="1" applyFill="1" applyBorder="1" applyAlignment="1">
      <alignment horizontal="right" vertical="center"/>
    </xf>
    <xf numFmtId="3" fontId="8" fillId="11" borderId="20" xfId="0" applyNumberFormat="1" applyFont="1" applyFill="1" applyBorder="1" applyAlignment="1">
      <alignment horizontal="right" vertical="center"/>
    </xf>
    <xf numFmtId="3" fontId="8" fillId="11" borderId="2" xfId="0" applyNumberFormat="1" applyFont="1" applyFill="1" applyBorder="1" applyAlignment="1">
      <alignment horizontal="right" vertical="center"/>
    </xf>
    <xf numFmtId="1" fontId="13" fillId="0" borderId="2" xfId="0" applyNumberFormat="1" applyFont="1" applyBorder="1"/>
    <xf numFmtId="1" fontId="13" fillId="0" borderId="2" xfId="0" applyNumberFormat="1" applyFont="1" applyFill="1" applyBorder="1" applyAlignment="1">
      <alignment horizontal="right" vertical="center"/>
    </xf>
    <xf numFmtId="9" fontId="13" fillId="0" borderId="2" xfId="0" applyNumberFormat="1" applyFont="1" applyBorder="1" applyAlignment="1">
      <alignment horizontal="right"/>
    </xf>
    <xf numFmtId="9" fontId="13" fillId="0" borderId="2" xfId="0" applyNumberFormat="1" applyFont="1" applyBorder="1"/>
    <xf numFmtId="1" fontId="13" fillId="0" borderId="2" xfId="0" applyNumberFormat="1" applyFont="1" applyBorder="1" applyAlignment="1">
      <alignment horizontal="right"/>
    </xf>
    <xf numFmtId="1" fontId="13" fillId="0" borderId="17" xfId="0" applyNumberFormat="1" applyFont="1" applyBorder="1" applyAlignment="1">
      <alignment horizontal="right"/>
    </xf>
    <xf numFmtId="3" fontId="58" fillId="0" borderId="2" xfId="0" applyNumberFormat="1" applyFont="1" applyFill="1" applyBorder="1" applyAlignment="1">
      <alignment horizontal="right" vertical="center"/>
    </xf>
    <xf numFmtId="3" fontId="58" fillId="0" borderId="21" xfId="0" applyNumberFormat="1" applyFont="1" applyFill="1" applyBorder="1" applyAlignment="1">
      <alignment horizontal="right" vertical="center"/>
    </xf>
    <xf numFmtId="3" fontId="58" fillId="0" borderId="17" xfId="0" applyNumberFormat="1" applyFont="1" applyBorder="1" applyAlignment="1">
      <alignment horizontal="right" vertical="center"/>
    </xf>
    <xf numFmtId="1" fontId="59" fillId="0" borderId="2" xfId="0" applyNumberFormat="1" applyFont="1" applyBorder="1"/>
    <xf numFmtId="1" fontId="9" fillId="11" borderId="0" xfId="0" applyNumberFormat="1" applyFont="1" applyFill="1" applyAlignment="1">
      <alignment horizontal="left" vertical="center"/>
    </xf>
    <xf numFmtId="0" fontId="8" fillId="11" borderId="0" xfId="0" applyFont="1" applyFill="1" applyAlignment="1">
      <alignment horizontal="left"/>
    </xf>
    <xf numFmtId="9" fontId="9" fillId="11" borderId="0" xfId="0" applyNumberFormat="1" applyFont="1" applyFill="1"/>
    <xf numFmtId="168" fontId="9" fillId="11" borderId="0" xfId="0" applyNumberFormat="1" applyFont="1" applyFill="1"/>
    <xf numFmtId="168" fontId="9" fillId="11" borderId="16" xfId="0" applyNumberFormat="1" applyFont="1" applyFill="1" applyBorder="1"/>
    <xf numFmtId="168" fontId="24" fillId="11" borderId="0" xfId="0" applyNumberFormat="1" applyFont="1" applyFill="1"/>
    <xf numFmtId="168" fontId="9" fillId="11" borderId="22" xfId="0" applyNumberFormat="1" applyFont="1" applyFill="1" applyBorder="1"/>
    <xf numFmtId="168" fontId="9" fillId="11" borderId="0" xfId="0" applyNumberFormat="1" applyFont="1" applyFill="1" applyBorder="1"/>
    <xf numFmtId="1" fontId="28" fillId="11" borderId="0" xfId="0" applyNumberFormat="1" applyFont="1" applyFill="1" applyAlignment="1">
      <alignment horizontal="left" vertical="center"/>
    </xf>
    <xf numFmtId="0" fontId="42" fillId="11" borderId="0" xfId="0" applyFont="1" applyFill="1" applyAlignment="1">
      <alignment horizontal="left"/>
    </xf>
    <xf numFmtId="9" fontId="28" fillId="11" borderId="0" xfId="0" applyNumberFormat="1" applyFont="1" applyFill="1"/>
    <xf numFmtId="1" fontId="28" fillId="11" borderId="0" xfId="0" applyNumberFormat="1" applyFont="1" applyFill="1"/>
    <xf numFmtId="9" fontId="28" fillId="11" borderId="16" xfId="0" applyNumberFormat="1" applyFont="1" applyFill="1" applyBorder="1"/>
    <xf numFmtId="1" fontId="28" fillId="11" borderId="16" xfId="0" applyNumberFormat="1" applyFont="1" applyFill="1" applyBorder="1" applyAlignment="1">
      <alignment horizontal="right" vertical="center"/>
    </xf>
    <xf numFmtId="9" fontId="28" fillId="11" borderId="22" xfId="0" applyNumberFormat="1" applyFont="1" applyFill="1" applyBorder="1"/>
    <xf numFmtId="9" fontId="28" fillId="11" borderId="0" xfId="0" applyNumberFormat="1" applyFont="1" applyFill="1" applyBorder="1"/>
    <xf numFmtId="3" fontId="8" fillId="11" borderId="0" xfId="0" applyNumberFormat="1" applyFont="1" applyFill="1" applyAlignment="1">
      <alignment horizontal="left"/>
    </xf>
    <xf numFmtId="1" fontId="24" fillId="11" borderId="0" xfId="0" applyNumberFormat="1" applyFont="1" applyFill="1" applyBorder="1" applyAlignment="1">
      <alignment horizontal="right" vertical="center"/>
    </xf>
    <xf numFmtId="1" fontId="12" fillId="11" borderId="16" xfId="0" applyNumberFormat="1" applyFont="1" applyFill="1" applyBorder="1" applyAlignment="1">
      <alignment horizontal="right" vertical="center"/>
    </xf>
    <xf numFmtId="1" fontId="25" fillId="11" borderId="0" xfId="0" applyNumberFormat="1" applyFont="1" applyFill="1" applyBorder="1" applyAlignment="1">
      <alignment horizontal="right" vertical="center"/>
    </xf>
    <xf numFmtId="3" fontId="9" fillId="11" borderId="0" xfId="0" applyNumberFormat="1" applyFont="1" applyFill="1"/>
    <xf numFmtId="3" fontId="9" fillId="11" borderId="16" xfId="0" applyNumberFormat="1" applyFont="1" applyFill="1" applyBorder="1"/>
    <xf numFmtId="3" fontId="9" fillId="11" borderId="22" xfId="0" applyNumberFormat="1" applyFont="1" applyFill="1" applyBorder="1" applyAlignment="1">
      <alignment horizontal="right" vertical="center"/>
    </xf>
    <xf numFmtId="3" fontId="24" fillId="11" borderId="0" xfId="0" applyNumberFormat="1" applyFont="1" applyFill="1"/>
    <xf numFmtId="3" fontId="54" fillId="10" borderId="20" xfId="0" applyNumberFormat="1" applyFont="1" applyFill="1" applyBorder="1"/>
    <xf numFmtId="3" fontId="54" fillId="10" borderId="2" xfId="0" applyNumberFormat="1" applyFont="1" applyFill="1" applyBorder="1" applyAlignment="1">
      <alignment horizontal="left"/>
    </xf>
    <xf numFmtId="3" fontId="54" fillId="10" borderId="2" xfId="0" applyNumberFormat="1" applyFont="1" applyFill="1" applyBorder="1"/>
    <xf numFmtId="3" fontId="54" fillId="10" borderId="17" xfId="0" applyNumberFormat="1" applyFont="1" applyFill="1" applyBorder="1"/>
    <xf numFmtId="1" fontId="55" fillId="10" borderId="16" xfId="0" applyNumberFormat="1" applyFont="1" applyFill="1" applyBorder="1" applyAlignment="1">
      <alignment horizontal="right" vertical="center"/>
    </xf>
    <xf numFmtId="1" fontId="53" fillId="10" borderId="0" xfId="0" applyNumberFormat="1" applyFont="1" applyFill="1"/>
    <xf numFmtId="0" fontId="60" fillId="10" borderId="0" xfId="0" applyFont="1" applyFill="1"/>
    <xf numFmtId="2" fontId="54" fillId="10" borderId="20" xfId="0" applyNumberFormat="1" applyFont="1" applyFill="1" applyBorder="1"/>
    <xf numFmtId="0" fontId="54" fillId="10" borderId="2" xfId="0" applyFont="1" applyFill="1" applyBorder="1" applyAlignment="1">
      <alignment horizontal="left" vertical="center"/>
    </xf>
    <xf numFmtId="2" fontId="54" fillId="10" borderId="2" xfId="0" applyNumberFormat="1" applyFont="1" applyFill="1" applyBorder="1"/>
    <xf numFmtId="2" fontId="54" fillId="10" borderId="17" xfId="0" applyNumberFormat="1" applyFont="1" applyFill="1" applyBorder="1"/>
    <xf numFmtId="43" fontId="54" fillId="10" borderId="17" xfId="0" applyNumberFormat="1" applyFont="1" applyFill="1" applyBorder="1"/>
    <xf numFmtId="2" fontId="55" fillId="10" borderId="16" xfId="0" applyNumberFormat="1" applyFont="1" applyFill="1" applyBorder="1" applyAlignment="1">
      <alignment horizontal="right" vertical="center"/>
    </xf>
    <xf numFmtId="2" fontId="54" fillId="10" borderId="0" xfId="0" applyNumberFormat="1" applyFont="1" applyFill="1"/>
    <xf numFmtId="2" fontId="55" fillId="10" borderId="0" xfId="0" applyNumberFormat="1" applyFont="1" applyFill="1"/>
    <xf numFmtId="0" fontId="54" fillId="10" borderId="0" xfId="0" applyFont="1" applyFill="1" applyAlignment="1">
      <alignment horizontal="left"/>
    </xf>
    <xf numFmtId="0" fontId="54" fillId="10" borderId="26" xfId="0" applyFont="1" applyFill="1" applyBorder="1"/>
    <xf numFmtId="1" fontId="54" fillId="10" borderId="0" xfId="0" applyNumberFormat="1" applyFont="1" applyFill="1"/>
    <xf numFmtId="3" fontId="54" fillId="10" borderId="0" xfId="0" applyNumberFormat="1" applyFont="1" applyFill="1"/>
    <xf numFmtId="3" fontId="54" fillId="10" borderId="0" xfId="0" applyNumberFormat="1" applyFont="1" applyFill="1" applyBorder="1" applyAlignment="1">
      <alignment horizontal="right" vertical="center"/>
    </xf>
    <xf numFmtId="3" fontId="54" fillId="10" borderId="16" xfId="0" applyNumberFormat="1" applyFont="1" applyFill="1" applyBorder="1" applyAlignment="1">
      <alignment horizontal="right"/>
    </xf>
    <xf numFmtId="3" fontId="53" fillId="10" borderId="0" xfId="0" applyNumberFormat="1" applyFont="1" applyFill="1" applyBorder="1" applyAlignment="1">
      <alignment horizontal="center"/>
    </xf>
    <xf numFmtId="3" fontId="54" fillId="10" borderId="0" xfId="0" applyNumberFormat="1" applyFont="1" applyFill="1" applyBorder="1" applyAlignment="1">
      <alignment horizontal="right"/>
    </xf>
    <xf numFmtId="1" fontId="54" fillId="10" borderId="0" xfId="0" applyNumberFormat="1" applyFont="1" applyFill="1" applyBorder="1" applyAlignment="1">
      <alignment horizontal="right" vertical="center"/>
    </xf>
    <xf numFmtId="1" fontId="55" fillId="10" borderId="0" xfId="0" applyNumberFormat="1" applyFont="1" applyFill="1"/>
    <xf numFmtId="0" fontId="55" fillId="10" borderId="8" xfId="0" applyFont="1" applyFill="1" applyBorder="1"/>
    <xf numFmtId="1" fontId="54" fillId="10" borderId="8" xfId="0" applyNumberFormat="1" applyFont="1" applyFill="1" applyBorder="1"/>
    <xf numFmtId="1" fontId="55" fillId="10" borderId="8" xfId="0" applyNumberFormat="1" applyFont="1" applyFill="1" applyBorder="1"/>
    <xf numFmtId="3" fontId="55" fillId="10" borderId="8" xfId="0" applyNumberFormat="1" applyFont="1" applyFill="1" applyBorder="1"/>
    <xf numFmtId="3" fontId="54" fillId="10" borderId="8" xfId="0" applyNumberFormat="1" applyFont="1" applyFill="1" applyBorder="1"/>
    <xf numFmtId="3" fontId="54" fillId="10" borderId="29" xfId="0" applyNumberFormat="1" applyFont="1" applyFill="1" applyBorder="1" applyAlignment="1">
      <alignment horizontal="right"/>
    </xf>
    <xf numFmtId="3" fontId="53" fillId="10" borderId="28" xfId="0" applyNumberFormat="1" applyFont="1" applyFill="1" applyBorder="1" applyAlignment="1">
      <alignment horizontal="center"/>
    </xf>
    <xf numFmtId="0" fontId="55" fillId="10" borderId="0" xfId="0" applyFont="1" applyFill="1" applyAlignment="1">
      <alignment horizontal="left" vertical="center"/>
    </xf>
    <xf numFmtId="0" fontId="55" fillId="10" borderId="0" xfId="0" applyFont="1" applyFill="1" applyBorder="1" applyAlignment="1">
      <alignment horizontal="left" vertical="center"/>
    </xf>
    <xf numFmtId="0" fontId="56" fillId="10" borderId="0" xfId="0" applyFont="1" applyFill="1" applyBorder="1" applyAlignment="1">
      <alignment horizontal="left" vertical="center"/>
    </xf>
    <xf numFmtId="0" fontId="55" fillId="10" borderId="0" xfId="0" applyFont="1" applyFill="1" applyBorder="1"/>
    <xf numFmtId="165" fontId="54" fillId="10" borderId="3" xfId="0" applyNumberFormat="1" applyFont="1" applyFill="1" applyBorder="1" applyAlignment="1">
      <alignment horizontal="left" vertical="center"/>
    </xf>
    <xf numFmtId="0" fontId="55" fillId="10" borderId="3" xfId="0" applyFont="1" applyFill="1" applyBorder="1"/>
    <xf numFmtId="164" fontId="54" fillId="10" borderId="3" xfId="0" applyNumberFormat="1" applyFont="1" applyFill="1" applyBorder="1" applyAlignment="1">
      <alignment horizontal="right" vertical="center"/>
    </xf>
    <xf numFmtId="0" fontId="60" fillId="0" borderId="0" xfId="0" applyFont="1" applyFill="1"/>
    <xf numFmtId="0" fontId="55" fillId="0" borderId="0" xfId="0" applyFont="1" applyFill="1" applyBorder="1"/>
    <xf numFmtId="1" fontId="54" fillId="0" borderId="0" xfId="0" applyNumberFormat="1" applyFont="1" applyFill="1" applyBorder="1" applyAlignment="1">
      <alignment horizontal="right" vertical="center"/>
    </xf>
    <xf numFmtId="1" fontId="55" fillId="0" borderId="0" xfId="0" applyNumberFormat="1" applyFont="1" applyFill="1"/>
    <xf numFmtId="9" fontId="55" fillId="10" borderId="0" xfId="8" applyFont="1" applyFill="1"/>
    <xf numFmtId="0" fontId="0" fillId="0" borderId="0" xfId="0" applyFill="1" applyBorder="1"/>
    <xf numFmtId="0" fontId="56" fillId="0" borderId="0" xfId="0" applyFont="1" applyFill="1" applyBorder="1" applyAlignment="1">
      <alignment horizontal="left" vertical="center"/>
    </xf>
    <xf numFmtId="0" fontId="55" fillId="0" borderId="0" xfId="0" applyFont="1" applyFill="1" applyBorder="1" applyAlignment="1">
      <alignment horizontal="left"/>
    </xf>
    <xf numFmtId="0" fontId="60" fillId="0" borderId="0" xfId="0" applyFont="1" applyFill="1" applyBorder="1"/>
    <xf numFmtId="164" fontId="54" fillId="0" borderId="0" xfId="0" applyNumberFormat="1" applyFont="1" applyFill="1" applyBorder="1" applyAlignment="1">
      <alignment horizontal="right" vertical="center"/>
    </xf>
    <xf numFmtId="3" fontId="54" fillId="10" borderId="16" xfId="0" applyNumberFormat="1" applyFont="1" applyFill="1" applyBorder="1"/>
    <xf numFmtId="3" fontId="53" fillId="10" borderId="0" xfId="0" applyNumberFormat="1" applyFont="1" applyFill="1" applyBorder="1"/>
    <xf numFmtId="3" fontId="53" fillId="10" borderId="16" xfId="0" applyNumberFormat="1" applyFont="1" applyFill="1" applyBorder="1"/>
    <xf numFmtId="9" fontId="61" fillId="10" borderId="16" xfId="8" applyFont="1" applyFill="1" applyBorder="1"/>
    <xf numFmtId="9" fontId="61" fillId="10" borderId="0" xfId="8" applyFont="1" applyFill="1" applyBorder="1"/>
    <xf numFmtId="3" fontId="54" fillId="10" borderId="24" xfId="0" applyNumberFormat="1" applyFont="1" applyFill="1" applyBorder="1"/>
    <xf numFmtId="1" fontId="55" fillId="10" borderId="3" xfId="0" applyNumberFormat="1" applyFont="1" applyFill="1" applyBorder="1"/>
    <xf numFmtId="1" fontId="62" fillId="10" borderId="3" xfId="0" applyNumberFormat="1" applyFont="1" applyFill="1" applyBorder="1"/>
    <xf numFmtId="9" fontId="55" fillId="10" borderId="3" xfId="0" applyNumberFormat="1" applyFont="1" applyFill="1" applyBorder="1"/>
    <xf numFmtId="9" fontId="55" fillId="10" borderId="18" xfId="0" applyNumberFormat="1" applyFont="1" applyFill="1" applyBorder="1"/>
    <xf numFmtId="1" fontId="62" fillId="10" borderId="5" xfId="0" applyNumberFormat="1" applyFont="1" applyFill="1" applyBorder="1"/>
    <xf numFmtId="9" fontId="55" fillId="10" borderId="5" xfId="0" applyNumberFormat="1" applyFont="1" applyFill="1" applyBorder="1"/>
    <xf numFmtId="9" fontId="55" fillId="10" borderId="15" xfId="0" applyNumberFormat="1" applyFont="1" applyFill="1" applyBorder="1"/>
    <xf numFmtId="3" fontId="55" fillId="10" borderId="2" xfId="0" applyNumberFormat="1" applyFont="1" applyFill="1" applyBorder="1"/>
    <xf numFmtId="3" fontId="62" fillId="10" borderId="2" xfId="0" applyNumberFormat="1" applyFont="1" applyFill="1" applyBorder="1"/>
    <xf numFmtId="0" fontId="54" fillId="10" borderId="5" xfId="0" applyFont="1" applyFill="1" applyBorder="1"/>
    <xf numFmtId="9" fontId="54" fillId="10" borderId="5" xfId="0" applyNumberFormat="1" applyFont="1" applyFill="1" applyBorder="1" applyAlignment="1">
      <alignment horizontal="right"/>
    </xf>
    <xf numFmtId="9" fontId="54" fillId="10" borderId="5" xfId="0" applyNumberFormat="1" applyFont="1" applyFill="1" applyBorder="1"/>
    <xf numFmtId="9" fontId="54" fillId="10" borderId="38" xfId="0" applyNumberFormat="1" applyFont="1" applyFill="1" applyBorder="1"/>
    <xf numFmtId="9" fontId="54" fillId="10" borderId="15" xfId="0" applyNumberFormat="1" applyFont="1" applyFill="1" applyBorder="1"/>
    <xf numFmtId="9" fontId="54" fillId="10" borderId="0" xfId="0" applyNumberFormat="1" applyFont="1" applyFill="1" applyBorder="1"/>
    <xf numFmtId="0" fontId="54" fillId="10" borderId="0" xfId="0" applyFont="1" applyFill="1" applyBorder="1"/>
    <xf numFmtId="0" fontId="55" fillId="10" borderId="11" xfId="0" applyFont="1" applyFill="1" applyBorder="1"/>
    <xf numFmtId="0" fontId="55" fillId="10" borderId="31" xfId="0" applyFont="1" applyFill="1" applyBorder="1"/>
    <xf numFmtId="0" fontId="55" fillId="10" borderId="12" xfId="0" applyFont="1" applyFill="1" applyBorder="1"/>
    <xf numFmtId="0" fontId="55" fillId="10" borderId="26" xfId="0" applyFont="1" applyFill="1" applyBorder="1"/>
    <xf numFmtId="0" fontId="55" fillId="10" borderId="16" xfId="0" applyFont="1" applyFill="1" applyBorder="1"/>
    <xf numFmtId="1" fontId="55" fillId="10" borderId="0" xfId="0" applyNumberFormat="1" applyFont="1" applyFill="1" applyBorder="1"/>
    <xf numFmtId="3" fontId="55" fillId="10" borderId="0" xfId="0" applyNumberFormat="1" applyFont="1" applyFill="1" applyBorder="1"/>
    <xf numFmtId="3" fontId="55" fillId="10" borderId="16" xfId="0" applyNumberFormat="1" applyFont="1" applyFill="1" applyBorder="1"/>
    <xf numFmtId="0" fontId="53" fillId="10" borderId="13" xfId="0" applyFont="1" applyFill="1" applyBorder="1"/>
    <xf numFmtId="0" fontId="55" fillId="10" borderId="14" xfId="0" applyFont="1" applyFill="1" applyBorder="1"/>
    <xf numFmtId="9" fontId="53" fillId="10" borderId="14" xfId="0" applyNumberFormat="1" applyFont="1" applyFill="1" applyBorder="1"/>
    <xf numFmtId="9" fontId="53" fillId="10" borderId="32" xfId="0" applyNumberFormat="1" applyFont="1" applyFill="1" applyBorder="1"/>
    <xf numFmtId="0" fontId="54" fillId="10" borderId="10" xfId="0" applyFont="1" applyFill="1" applyBorder="1"/>
    <xf numFmtId="9" fontId="54" fillId="10" borderId="0" xfId="0" applyNumberFormat="1" applyFont="1" applyFill="1"/>
    <xf numFmtId="9" fontId="54" fillId="10" borderId="16" xfId="0" applyNumberFormat="1" applyFont="1" applyFill="1" applyBorder="1"/>
    <xf numFmtId="168" fontId="54" fillId="10" borderId="16" xfId="0" applyNumberFormat="1" applyFont="1" applyFill="1" applyBorder="1"/>
    <xf numFmtId="1" fontId="24" fillId="0" borderId="0" xfId="0" applyNumberFormat="1" applyFont="1" applyFill="1" applyBorder="1" applyAlignment="1">
      <alignment horizontal="right"/>
    </xf>
    <xf numFmtId="9" fontId="24" fillId="0" borderId="0" xfId="0" applyNumberFormat="1" applyFont="1" applyFill="1" applyBorder="1" applyAlignment="1">
      <alignment horizontal="right"/>
    </xf>
    <xf numFmtId="1" fontId="10" fillId="0" borderId="0" xfId="0" applyNumberFormat="1" applyFont="1" applyFill="1" applyBorder="1" applyAlignment="1">
      <alignment horizontal="right"/>
    </xf>
    <xf numFmtId="3" fontId="9" fillId="0" borderId="16" xfId="0" applyNumberFormat="1" applyFont="1" applyFill="1" applyBorder="1" applyAlignment="1">
      <alignment horizontal="right"/>
    </xf>
    <xf numFmtId="9" fontId="24" fillId="0" borderId="0" xfId="8" applyFont="1" applyFill="1" applyBorder="1" applyAlignment="1">
      <alignment horizontal="right"/>
    </xf>
    <xf numFmtId="172" fontId="24" fillId="0" borderId="0" xfId="5" applyNumberFormat="1" applyFont="1" applyFill="1" applyBorder="1" applyAlignment="1">
      <alignment horizontal="right"/>
    </xf>
    <xf numFmtId="172" fontId="9" fillId="0" borderId="16" xfId="5" applyNumberFormat="1" applyFont="1" applyFill="1" applyBorder="1" applyAlignment="1">
      <alignment horizontal="right"/>
    </xf>
    <xf numFmtId="172" fontId="9" fillId="0" borderId="0" xfId="5" applyNumberFormat="1" applyFont="1" applyFill="1" applyBorder="1"/>
    <xf numFmtId="9" fontId="9" fillId="0" borderId="0" xfId="8" applyFont="1" applyFill="1" applyBorder="1" applyAlignment="1">
      <alignment horizontal="right"/>
    </xf>
    <xf numFmtId="3" fontId="10" fillId="0" borderId="0" xfId="0" applyNumberFormat="1" applyFont="1" applyFill="1" applyBorder="1"/>
    <xf numFmtId="3" fontId="25" fillId="0" borderId="0" xfId="0" applyNumberFormat="1" applyFont="1" applyFill="1" applyAlignment="1">
      <alignment horizontal="right"/>
    </xf>
    <xf numFmtId="3" fontId="54" fillId="10" borderId="10" xfId="0" applyNumberFormat="1" applyFont="1" applyFill="1" applyBorder="1"/>
    <xf numFmtId="3" fontId="55" fillId="10" borderId="11" xfId="0" applyNumberFormat="1" applyFont="1" applyFill="1" applyBorder="1"/>
    <xf numFmtId="3" fontId="54" fillId="10" borderId="11" xfId="0" applyNumberFormat="1" applyFont="1" applyFill="1" applyBorder="1" applyAlignment="1">
      <alignment horizontal="right"/>
    </xf>
    <xf numFmtId="3" fontId="54" fillId="10" borderId="11" xfId="0" applyNumberFormat="1" applyFont="1" applyFill="1" applyBorder="1" applyAlignment="1">
      <alignment horizontal="right" vertical="center"/>
    </xf>
    <xf numFmtId="3" fontId="54" fillId="10" borderId="31" xfId="0" applyNumberFormat="1" applyFont="1" applyFill="1" applyBorder="1" applyAlignment="1">
      <alignment horizontal="right" vertical="center"/>
    </xf>
    <xf numFmtId="0" fontId="54" fillId="10" borderId="0" xfId="0" applyFont="1" applyFill="1" applyBorder="1" applyAlignment="1">
      <alignment horizontal="right"/>
    </xf>
    <xf numFmtId="9" fontId="53" fillId="10" borderId="0" xfId="0" applyNumberFormat="1" applyFont="1" applyFill="1" applyBorder="1" applyAlignment="1">
      <alignment horizontal="right"/>
    </xf>
    <xf numFmtId="9" fontId="53" fillId="10" borderId="0" xfId="0" applyNumberFormat="1" applyFont="1" applyFill="1" applyBorder="1"/>
    <xf numFmtId="9" fontId="53" fillId="10" borderId="16" xfId="0" applyNumberFormat="1" applyFont="1" applyFill="1" applyBorder="1"/>
    <xf numFmtId="0" fontId="55" fillId="10" borderId="13" xfId="0" applyFont="1" applyFill="1" applyBorder="1"/>
    <xf numFmtId="0" fontId="54" fillId="10" borderId="14" xfId="0" applyFont="1" applyFill="1" applyBorder="1" applyAlignment="1">
      <alignment horizontal="right"/>
    </xf>
    <xf numFmtId="9" fontId="53" fillId="10" borderId="14" xfId="0" applyNumberFormat="1" applyFont="1" applyFill="1" applyBorder="1" applyAlignment="1">
      <alignment horizontal="right"/>
    </xf>
    <xf numFmtId="1" fontId="54" fillId="10" borderId="14" xfId="0" applyNumberFormat="1" applyFont="1" applyFill="1" applyBorder="1" applyAlignment="1">
      <alignment horizontal="right" vertical="center"/>
    </xf>
    <xf numFmtId="0" fontId="63" fillId="10" borderId="0" xfId="0" applyFont="1" applyFill="1"/>
    <xf numFmtId="0" fontId="63" fillId="10" borderId="16" xfId="0" applyFont="1" applyFill="1" applyBorder="1"/>
    <xf numFmtId="0" fontId="64" fillId="10" borderId="0" xfId="0" applyFont="1" applyFill="1"/>
    <xf numFmtId="0" fontId="64" fillId="10" borderId="16" xfId="0" applyFont="1" applyFill="1" applyBorder="1"/>
    <xf numFmtId="0" fontId="64" fillId="10" borderId="0" xfId="0" applyFont="1" applyFill="1" applyBorder="1"/>
    <xf numFmtId="0" fontId="54" fillId="10" borderId="0" xfId="0" applyFont="1" applyFill="1"/>
    <xf numFmtId="0" fontId="62" fillId="10" borderId="0" xfId="0" applyFont="1" applyFill="1"/>
    <xf numFmtId="0" fontId="62" fillId="10" borderId="0" xfId="0" applyFont="1" applyFill="1" applyBorder="1"/>
    <xf numFmtId="0" fontId="62" fillId="10" borderId="16" xfId="0" applyFont="1" applyFill="1" applyBorder="1"/>
    <xf numFmtId="165" fontId="55" fillId="10" borderId="0" xfId="0" applyNumberFormat="1" applyFont="1" applyFill="1" applyBorder="1" applyAlignment="1">
      <alignment horizontal="left" vertical="center"/>
    </xf>
    <xf numFmtId="164" fontId="55" fillId="10" borderId="0" xfId="0" applyNumberFormat="1" applyFont="1" applyFill="1" applyBorder="1" applyAlignment="1">
      <alignment horizontal="right" vertical="center"/>
    </xf>
    <xf numFmtId="164" fontId="55" fillId="10" borderId="16" xfId="0" applyNumberFormat="1" applyFont="1" applyFill="1" applyBorder="1" applyAlignment="1">
      <alignment horizontal="right" vertical="center"/>
    </xf>
    <xf numFmtId="6" fontId="55" fillId="10" borderId="16" xfId="0" applyNumberFormat="1" applyFont="1" applyFill="1" applyBorder="1" applyAlignment="1">
      <alignment horizontal="right" vertical="center"/>
    </xf>
    <xf numFmtId="6" fontId="55" fillId="10" borderId="0" xfId="0" applyNumberFormat="1" applyFont="1" applyFill="1" applyBorder="1" applyAlignment="1">
      <alignment horizontal="right" vertical="center"/>
    </xf>
    <xf numFmtId="0" fontId="54" fillId="10" borderId="49" xfId="0" applyFont="1" applyFill="1" applyBorder="1"/>
    <xf numFmtId="0" fontId="54" fillId="10" borderId="45" xfId="0" applyFont="1" applyFill="1" applyBorder="1"/>
    <xf numFmtId="0" fontId="13" fillId="5" borderId="0" xfId="0" applyFont="1" applyFill="1"/>
    <xf numFmtId="1" fontId="8" fillId="5" borderId="0" xfId="0" applyNumberFormat="1" applyFont="1" applyFill="1" applyAlignment="1">
      <alignment horizontal="right"/>
    </xf>
    <xf numFmtId="3" fontId="8" fillId="5" borderId="0" xfId="0" applyNumberFormat="1" applyFont="1" applyFill="1" applyAlignment="1">
      <alignment horizontal="right"/>
    </xf>
    <xf numFmtId="3" fontId="8" fillId="5" borderId="16" xfId="0" applyNumberFormat="1" applyFont="1" applyFill="1" applyBorder="1" applyAlignment="1">
      <alignment horizontal="right"/>
    </xf>
    <xf numFmtId="3" fontId="8" fillId="5" borderId="0" xfId="0" applyNumberFormat="1" applyFont="1" applyFill="1"/>
    <xf numFmtId="3" fontId="8" fillId="5" borderId="0" xfId="0" applyNumberFormat="1" applyFont="1" applyFill="1" applyBorder="1"/>
    <xf numFmtId="9" fontId="8" fillId="5" borderId="0" xfId="0" applyNumberFormat="1" applyFont="1" applyFill="1" applyBorder="1"/>
    <xf numFmtId="3" fontId="16" fillId="5" borderId="0" xfId="0" applyNumberFormat="1" applyFont="1" applyFill="1" applyAlignment="1">
      <alignment horizontal="right"/>
    </xf>
    <xf numFmtId="3" fontId="8" fillId="5" borderId="22" xfId="0" applyNumberFormat="1" applyFont="1" applyFill="1" applyBorder="1"/>
    <xf numFmtId="3" fontId="13" fillId="5" borderId="0" xfId="0" applyNumberFormat="1" applyFont="1" applyFill="1" applyBorder="1" applyAlignment="1">
      <alignment horizontal="right" vertical="center"/>
    </xf>
    <xf numFmtId="3" fontId="8" fillId="5" borderId="0" xfId="0" applyNumberFormat="1" applyFont="1" applyFill="1" applyBorder="1" applyAlignment="1">
      <alignment horizontal="right"/>
    </xf>
    <xf numFmtId="9" fontId="8" fillId="5" borderId="0" xfId="0" applyNumberFormat="1" applyFont="1" applyFill="1" applyBorder="1" applyAlignment="1">
      <alignment horizontal="right"/>
    </xf>
    <xf numFmtId="0" fontId="8" fillId="5" borderId="0" xfId="0" applyFont="1" applyFill="1" applyAlignment="1">
      <alignment horizontal="right"/>
    </xf>
    <xf numFmtId="3" fontId="8" fillId="5" borderId="16" xfId="0" applyNumberFormat="1" applyFont="1" applyFill="1" applyBorder="1"/>
    <xf numFmtId="169" fontId="54" fillId="10" borderId="0" xfId="0" applyNumberFormat="1" applyFont="1" applyFill="1"/>
    <xf numFmtId="164" fontId="54" fillId="10" borderId="0" xfId="0" applyNumberFormat="1" applyFont="1" applyFill="1" applyBorder="1" applyAlignment="1">
      <alignment vertical="center"/>
    </xf>
    <xf numFmtId="165" fontId="54" fillId="10" borderId="4" xfId="0" applyNumberFormat="1" applyFont="1" applyFill="1" applyBorder="1" applyAlignment="1">
      <alignment horizontal="left" vertical="center"/>
    </xf>
    <xf numFmtId="1" fontId="55" fillId="10" borderId="0" xfId="0" applyNumberFormat="1" applyFont="1" applyFill="1" applyAlignment="1">
      <alignment horizontal="left" vertical="center"/>
    </xf>
    <xf numFmtId="1" fontId="55" fillId="10" borderId="0" xfId="0" applyNumberFormat="1" applyFont="1" applyFill="1" applyAlignment="1">
      <alignment horizontal="right"/>
    </xf>
    <xf numFmtId="3" fontId="55" fillId="10" borderId="0" xfId="0" applyNumberFormat="1" applyFont="1" applyFill="1" applyAlignment="1">
      <alignment horizontal="right"/>
    </xf>
    <xf numFmtId="3" fontId="55" fillId="10" borderId="0" xfId="0" applyNumberFormat="1" applyFont="1" applyFill="1"/>
    <xf numFmtId="3" fontId="55" fillId="10" borderId="0" xfId="0" applyNumberFormat="1" applyFont="1" applyFill="1" applyBorder="1" applyAlignment="1">
      <alignment horizontal="right" vertical="center"/>
    </xf>
    <xf numFmtId="3" fontId="55" fillId="10" borderId="16" xfId="0" applyNumberFormat="1" applyFont="1" applyFill="1" applyBorder="1" applyAlignment="1">
      <alignment horizontal="right"/>
    </xf>
    <xf numFmtId="3" fontId="55" fillId="10" borderId="0" xfId="0" applyNumberFormat="1" applyFont="1" applyFill="1" applyBorder="1" applyAlignment="1">
      <alignment horizontal="right"/>
    </xf>
    <xf numFmtId="1" fontId="55" fillId="10" borderId="27" xfId="0" applyNumberFormat="1" applyFont="1" applyFill="1" applyBorder="1"/>
    <xf numFmtId="3" fontId="55" fillId="10" borderId="28" xfId="0" applyNumberFormat="1" applyFont="1" applyFill="1" applyBorder="1" applyAlignment="1">
      <alignment horizontal="right"/>
    </xf>
    <xf numFmtId="3" fontId="55" fillId="10" borderId="29" xfId="0" applyNumberFormat="1" applyFont="1" applyFill="1" applyBorder="1" applyAlignment="1">
      <alignment horizontal="right"/>
    </xf>
    <xf numFmtId="1" fontId="54" fillId="10" borderId="7" xfId="0" applyNumberFormat="1" applyFont="1" applyFill="1" applyBorder="1"/>
    <xf numFmtId="3" fontId="54" fillId="10" borderId="8" xfId="0" applyNumberFormat="1" applyFont="1" applyFill="1" applyBorder="1" applyAlignment="1">
      <alignment horizontal="right"/>
    </xf>
    <xf numFmtId="3" fontId="53" fillId="10" borderId="8" xfId="0" applyNumberFormat="1" applyFont="1" applyFill="1" applyBorder="1" applyAlignment="1">
      <alignment horizontal="center"/>
    </xf>
    <xf numFmtId="0" fontId="1" fillId="0" borderId="0" xfId="15"/>
    <xf numFmtId="0" fontId="12" fillId="12" borderId="0" xfId="0" applyFont="1" applyFill="1"/>
    <xf numFmtId="0" fontId="9" fillId="12" borderId="0" xfId="0" applyFont="1" applyFill="1"/>
    <xf numFmtId="169" fontId="13" fillId="12" borderId="0" xfId="0" applyNumberFormat="1" applyFont="1" applyFill="1"/>
    <xf numFmtId="169" fontId="12" fillId="12" borderId="0" xfId="0" applyNumberFormat="1" applyFont="1" applyFill="1" applyBorder="1" applyAlignment="1">
      <alignment horizontal="right" vertical="center"/>
    </xf>
    <xf numFmtId="169" fontId="13" fillId="12" borderId="16" xfId="0" applyNumberFormat="1" applyFont="1" applyFill="1" applyBorder="1"/>
    <xf numFmtId="0" fontId="13" fillId="12" borderId="0" xfId="0" applyFont="1" applyFill="1"/>
    <xf numFmtId="0" fontId="0" fillId="12" borderId="0" xfId="0" applyFill="1"/>
    <xf numFmtId="0" fontId="15" fillId="12" borderId="0" xfId="0" applyFont="1" applyFill="1"/>
    <xf numFmtId="1" fontId="9" fillId="12" borderId="0" xfId="0" applyNumberFormat="1" applyFont="1" applyFill="1"/>
    <xf numFmtId="1" fontId="9" fillId="12" borderId="0" xfId="0" applyNumberFormat="1" applyFont="1" applyFill="1" applyAlignment="1">
      <alignment horizontal="right"/>
    </xf>
    <xf numFmtId="1" fontId="9" fillId="12" borderId="0" xfId="0" applyNumberFormat="1" applyFont="1" applyFill="1" applyBorder="1" applyAlignment="1">
      <alignment horizontal="right" vertical="center"/>
    </xf>
    <xf numFmtId="3" fontId="8" fillId="12" borderId="0" xfId="0" applyNumberFormat="1" applyFont="1" applyFill="1" applyAlignment="1">
      <alignment horizontal="right" vertical="center"/>
    </xf>
    <xf numFmtId="3" fontId="9" fillId="12" borderId="0" xfId="0" applyNumberFormat="1" applyFont="1" applyFill="1" applyBorder="1" applyAlignment="1">
      <alignment horizontal="right" vertical="center"/>
    </xf>
    <xf numFmtId="3" fontId="9" fillId="12" borderId="0" xfId="0" applyNumberFormat="1" applyFont="1" applyFill="1"/>
    <xf numFmtId="3" fontId="12" fillId="12" borderId="16" xfId="0" applyNumberFormat="1" applyFont="1" applyFill="1" applyBorder="1" applyAlignment="1">
      <alignment horizontal="right" vertical="center"/>
    </xf>
    <xf numFmtId="3" fontId="12" fillId="12" borderId="0" xfId="0" applyNumberFormat="1" applyFont="1" applyFill="1" applyBorder="1" applyAlignment="1">
      <alignment horizontal="center" vertical="center"/>
    </xf>
    <xf numFmtId="3" fontId="24" fillId="12" borderId="0" xfId="0" applyNumberFormat="1" applyFont="1" applyFill="1"/>
    <xf numFmtId="1" fontId="8" fillId="12" borderId="0" xfId="0" applyNumberFormat="1" applyFont="1" applyFill="1" applyBorder="1" applyAlignment="1">
      <alignment horizontal="right" vertical="center"/>
    </xf>
    <xf numFmtId="3" fontId="9" fillId="12" borderId="0" xfId="0" applyNumberFormat="1" applyFont="1" applyFill="1" applyBorder="1" applyAlignment="1">
      <alignment horizontal="right"/>
    </xf>
    <xf numFmtId="3" fontId="13" fillId="12" borderId="0" xfId="0" applyNumberFormat="1" applyFont="1" applyFill="1"/>
    <xf numFmtId="3" fontId="9" fillId="12" borderId="16" xfId="0" applyNumberFormat="1" applyFont="1" applyFill="1" applyBorder="1"/>
    <xf numFmtId="3" fontId="12" fillId="12" borderId="0" xfId="0" applyNumberFormat="1" applyFont="1" applyFill="1" applyBorder="1" applyAlignment="1">
      <alignment horizontal="center"/>
    </xf>
    <xf numFmtId="3" fontId="9" fillId="12" borderId="0" xfId="0" applyNumberFormat="1" applyFont="1" applyFill="1" applyBorder="1"/>
    <xf numFmtId="1" fontId="12" fillId="12" borderId="0" xfId="0" applyNumberFormat="1" applyFont="1" applyFill="1"/>
    <xf numFmtId="3" fontId="12" fillId="12" borderId="0" xfId="0" applyNumberFormat="1" applyFont="1" applyFill="1"/>
    <xf numFmtId="3" fontId="12" fillId="12" borderId="0" xfId="0" applyNumberFormat="1" applyFont="1" applyFill="1" applyBorder="1"/>
    <xf numFmtId="3" fontId="8" fillId="12" borderId="0" xfId="0" applyNumberFormat="1" applyFont="1" applyFill="1" applyBorder="1"/>
    <xf numFmtId="1" fontId="12" fillId="12" borderId="0" xfId="0" applyNumberFormat="1" applyFont="1" applyFill="1" applyAlignment="1">
      <alignment horizontal="right"/>
    </xf>
    <xf numFmtId="3" fontId="12" fillId="12" borderId="0" xfId="0" applyNumberFormat="1" applyFont="1" applyFill="1" applyAlignment="1">
      <alignment horizontal="right"/>
    </xf>
    <xf numFmtId="3" fontId="12" fillId="12" borderId="16" xfId="0" applyNumberFormat="1" applyFont="1" applyFill="1" applyBorder="1"/>
    <xf numFmtId="3" fontId="9" fillId="12" borderId="16" xfId="0" applyNumberFormat="1" applyFont="1" applyFill="1" applyBorder="1" applyAlignment="1">
      <alignment horizontal="right" vertical="center"/>
    </xf>
    <xf numFmtId="3" fontId="9" fillId="12" borderId="0" xfId="0" applyNumberFormat="1" applyFont="1" applyFill="1" applyBorder="1" applyAlignment="1">
      <alignment horizontal="center"/>
    </xf>
    <xf numFmtId="3" fontId="10" fillId="12" borderId="0" xfId="0" applyNumberFormat="1" applyFont="1" applyFill="1"/>
    <xf numFmtId="3" fontId="9" fillId="12" borderId="0" xfId="0" applyNumberFormat="1" applyFont="1" applyFill="1" applyAlignment="1">
      <alignment horizontal="right" vertical="center"/>
    </xf>
    <xf numFmtId="2" fontId="9" fillId="12" borderId="0" xfId="0" applyNumberFormat="1" applyFont="1" applyFill="1" applyBorder="1"/>
    <xf numFmtId="0" fontId="12" fillId="12" borderId="0" xfId="0" applyFont="1" applyFill="1" applyBorder="1" applyAlignment="1">
      <alignment horizontal="left" vertical="center"/>
    </xf>
    <xf numFmtId="9" fontId="12" fillId="12" borderId="0" xfId="0" applyNumberFormat="1" applyFont="1" applyFill="1" applyAlignment="1">
      <alignment horizontal="right"/>
    </xf>
    <xf numFmtId="3" fontId="12" fillId="12" borderId="0" xfId="0" applyNumberFormat="1" applyFont="1" applyFill="1" applyBorder="1" applyAlignment="1">
      <alignment horizontal="left" vertical="center"/>
    </xf>
    <xf numFmtId="3" fontId="12" fillId="12" borderId="16" xfId="0" applyNumberFormat="1" applyFont="1" applyFill="1" applyBorder="1" applyAlignment="1">
      <alignment horizontal="left" vertical="center"/>
    </xf>
    <xf numFmtId="0" fontId="8" fillId="12" borderId="0" xfId="0" applyFont="1" applyFill="1" applyBorder="1" applyAlignment="1">
      <alignment horizontal="left" vertical="center"/>
    </xf>
    <xf numFmtId="1" fontId="13" fillId="12" borderId="0" xfId="0" applyNumberFormat="1" applyFont="1" applyFill="1" applyBorder="1" applyAlignment="1">
      <alignment horizontal="left" vertical="center"/>
    </xf>
    <xf numFmtId="1" fontId="13" fillId="12" borderId="0" xfId="0" applyNumberFormat="1" applyFont="1" applyFill="1" applyBorder="1" applyAlignment="1">
      <alignment horizontal="right" vertical="center"/>
    </xf>
    <xf numFmtId="1" fontId="13" fillId="12" borderId="0" xfId="0" applyNumberFormat="1" applyFont="1" applyFill="1"/>
    <xf numFmtId="1" fontId="12" fillId="12" borderId="0" xfId="0" applyNumberFormat="1" applyFont="1" applyFill="1" applyBorder="1" applyAlignment="1">
      <alignment horizontal="right" vertical="center"/>
    </xf>
    <xf numFmtId="1" fontId="12" fillId="12" borderId="16" xfId="0" applyNumberFormat="1" applyFont="1" applyFill="1" applyBorder="1"/>
    <xf numFmtId="1" fontId="12" fillId="12" borderId="0" xfId="0" applyNumberFormat="1" applyFont="1" applyFill="1" applyBorder="1"/>
    <xf numFmtId="0" fontId="0" fillId="12" borderId="0" xfId="0" applyFill="1" applyBorder="1"/>
    <xf numFmtId="3" fontId="8" fillId="12" borderId="0" xfId="0" applyNumberFormat="1" applyFont="1" applyFill="1"/>
    <xf numFmtId="3" fontId="8" fillId="12" borderId="0" xfId="0" applyNumberFormat="1" applyFont="1" applyFill="1" applyAlignment="1">
      <alignment horizontal="right"/>
    </xf>
    <xf numFmtId="3" fontId="6" fillId="12" borderId="0" xfId="0" applyNumberFormat="1" applyFont="1" applyFill="1" applyBorder="1" applyAlignment="1">
      <alignment horizontal="left" vertical="center"/>
    </xf>
    <xf numFmtId="3" fontId="6" fillId="12" borderId="16" xfId="0" applyNumberFormat="1" applyFont="1" applyFill="1" applyBorder="1" applyAlignment="1">
      <alignment horizontal="left" vertical="center"/>
    </xf>
    <xf numFmtId="0" fontId="6" fillId="12" borderId="0" xfId="0" applyFont="1" applyFill="1" applyBorder="1" applyAlignment="1">
      <alignment horizontal="left" vertical="center"/>
    </xf>
    <xf numFmtId="3" fontId="16" fillId="12" borderId="0" xfId="0" applyNumberFormat="1" applyFont="1" applyFill="1" applyAlignment="1">
      <alignment horizontal="right"/>
    </xf>
    <xf numFmtId="3" fontId="9" fillId="12" borderId="0" xfId="0" applyNumberFormat="1" applyFont="1" applyFill="1" applyAlignment="1">
      <alignment horizontal="right"/>
    </xf>
    <xf numFmtId="3" fontId="24" fillId="12" borderId="0" xfId="0" applyNumberFormat="1" applyFont="1" applyFill="1" applyAlignment="1">
      <alignment horizontal="right"/>
    </xf>
    <xf numFmtId="3" fontId="9" fillId="12" borderId="0" xfId="0" applyNumberFormat="1" applyFont="1" applyFill="1" applyAlignment="1">
      <alignment horizontal="left" vertical="center"/>
    </xf>
    <xf numFmtId="9" fontId="9" fillId="12" borderId="16" xfId="8" applyFont="1" applyFill="1" applyBorder="1"/>
    <xf numFmtId="3" fontId="8" fillId="12" borderId="0" xfId="0" applyNumberFormat="1" applyFont="1" applyFill="1" applyBorder="1" applyAlignment="1">
      <alignment horizontal="right" vertical="center"/>
    </xf>
    <xf numFmtId="3" fontId="8" fillId="12" borderId="16" xfId="0" applyNumberFormat="1" applyFont="1" applyFill="1" applyBorder="1" applyAlignment="1">
      <alignment horizontal="right" vertical="center"/>
    </xf>
    <xf numFmtId="9" fontId="8" fillId="12" borderId="16" xfId="8" applyNumberFormat="1" applyFont="1" applyFill="1" applyBorder="1" applyAlignment="1">
      <alignment horizontal="right" vertical="center"/>
    </xf>
    <xf numFmtId="9" fontId="8" fillId="12" borderId="16" xfId="8" applyFont="1" applyFill="1" applyBorder="1" applyAlignment="1">
      <alignment horizontal="right" vertical="center"/>
    </xf>
    <xf numFmtId="9" fontId="9" fillId="12" borderId="0" xfId="0" applyNumberFormat="1" applyFont="1" applyFill="1"/>
    <xf numFmtId="9" fontId="9" fillId="12" borderId="0" xfId="0" applyNumberFormat="1" applyFont="1" applyFill="1" applyAlignment="1">
      <alignment horizontal="right"/>
    </xf>
    <xf numFmtId="9" fontId="9" fillId="12" borderId="26" xfId="0" applyNumberFormat="1" applyFont="1" applyFill="1" applyBorder="1"/>
    <xf numFmtId="0" fontId="9" fillId="12" borderId="0" xfId="0" applyFont="1" applyFill="1" applyBorder="1"/>
    <xf numFmtId="9" fontId="9" fillId="12" borderId="16" xfId="0" applyNumberFormat="1" applyFont="1" applyFill="1" applyBorder="1"/>
    <xf numFmtId="9" fontId="9" fillId="12" borderId="0" xfId="0" applyNumberFormat="1" applyFont="1" applyFill="1" applyBorder="1"/>
    <xf numFmtId="172" fontId="9" fillId="12" borderId="0" xfId="0" applyNumberFormat="1" applyFont="1" applyFill="1"/>
    <xf numFmtId="168" fontId="9" fillId="12" borderId="0" xfId="0" applyNumberFormat="1" applyFont="1" applyFill="1"/>
    <xf numFmtId="172" fontId="9" fillId="12" borderId="0" xfId="5" applyNumberFormat="1" applyFont="1" applyFill="1"/>
    <xf numFmtId="168" fontId="9" fillId="12" borderId="16" xfId="0" applyNumberFormat="1" applyFont="1" applyFill="1" applyBorder="1"/>
    <xf numFmtId="168" fontId="9" fillId="12" borderId="0" xfId="0" applyNumberFormat="1" applyFont="1" applyFill="1" applyBorder="1"/>
    <xf numFmtId="9" fontId="9" fillId="12" borderId="0" xfId="8" applyFont="1" applyFill="1"/>
    <xf numFmtId="9" fontId="9" fillId="12" borderId="22" xfId="0" applyNumberFormat="1" applyFont="1" applyFill="1" applyBorder="1"/>
    <xf numFmtId="0" fontId="9" fillId="12" borderId="20" xfId="0" applyFont="1" applyFill="1" applyBorder="1"/>
    <xf numFmtId="0" fontId="9" fillId="12" borderId="2" xfId="0" applyFont="1" applyFill="1" applyBorder="1"/>
    <xf numFmtId="9" fontId="9" fillId="12" borderId="2" xfId="0" applyNumberFormat="1" applyFont="1" applyFill="1" applyBorder="1" applyAlignment="1">
      <alignment horizontal="right"/>
    </xf>
    <xf numFmtId="9" fontId="9" fillId="12" borderId="2" xfId="0" applyNumberFormat="1" applyFont="1" applyFill="1" applyBorder="1"/>
    <xf numFmtId="9" fontId="9" fillId="12" borderId="17" xfId="0" applyNumberFormat="1" applyFont="1" applyFill="1" applyBorder="1"/>
    <xf numFmtId="3" fontId="13" fillId="12" borderId="0" xfId="0" applyNumberFormat="1" applyFont="1" applyFill="1" applyBorder="1"/>
    <xf numFmtId="9" fontId="12" fillId="12" borderId="0" xfId="8" applyFont="1" applyFill="1" applyBorder="1"/>
    <xf numFmtId="168" fontId="12" fillId="12" borderId="0" xfId="8" applyNumberFormat="1" applyFont="1" applyFill="1" applyBorder="1"/>
    <xf numFmtId="0" fontId="12" fillId="12" borderId="0" xfId="0" applyFont="1" applyFill="1" applyBorder="1"/>
    <xf numFmtId="9" fontId="9" fillId="12" borderId="0" xfId="8" applyFont="1" applyFill="1" applyBorder="1"/>
    <xf numFmtId="168" fontId="12" fillId="12" borderId="16" xfId="8" applyNumberFormat="1" applyFont="1" applyFill="1" applyBorder="1"/>
    <xf numFmtId="164" fontId="9" fillId="12" borderId="0" xfId="0" applyNumberFormat="1" applyFont="1" applyFill="1" applyAlignment="1">
      <alignment horizontal="right"/>
    </xf>
    <xf numFmtId="0" fontId="9" fillId="12" borderId="0" xfId="0" applyFont="1" applyFill="1" applyAlignment="1">
      <alignment horizontal="right"/>
    </xf>
    <xf numFmtId="9" fontId="9" fillId="12" borderId="16" xfId="0" applyNumberFormat="1" applyFont="1" applyFill="1" applyBorder="1" applyAlignment="1">
      <alignment horizontal="right"/>
    </xf>
    <xf numFmtId="0" fontId="9" fillId="12" borderId="16" xfId="0" applyFont="1" applyFill="1" applyBorder="1" applyAlignment="1">
      <alignment horizontal="right"/>
    </xf>
    <xf numFmtId="164" fontId="9" fillId="12" borderId="16" xfId="0" applyNumberFormat="1" applyFont="1" applyFill="1" applyBorder="1" applyAlignment="1">
      <alignment horizontal="right"/>
    </xf>
    <xf numFmtId="0" fontId="12" fillId="12" borderId="0" xfId="0" applyFont="1" applyFill="1" applyAlignment="1">
      <alignment horizontal="right"/>
    </xf>
    <xf numFmtId="9" fontId="12" fillId="12" borderId="0" xfId="0" applyNumberFormat="1" applyFont="1" applyFill="1"/>
    <xf numFmtId="9" fontId="12" fillId="12" borderId="16" xfId="0" applyNumberFormat="1" applyFont="1" applyFill="1" applyBorder="1" applyAlignment="1">
      <alignment horizontal="right"/>
    </xf>
    <xf numFmtId="9" fontId="12" fillId="12" borderId="0" xfId="0" applyNumberFormat="1" applyFont="1" applyFill="1" applyBorder="1"/>
    <xf numFmtId="0" fontId="12" fillId="12" borderId="16" xfId="0" applyFont="1" applyFill="1" applyBorder="1" applyAlignment="1">
      <alignment horizontal="right"/>
    </xf>
    <xf numFmtId="164" fontId="12" fillId="12" borderId="0" xfId="0" applyNumberFormat="1" applyFont="1" applyFill="1" applyAlignment="1">
      <alignment horizontal="right"/>
    </xf>
    <xf numFmtId="9" fontId="12" fillId="12" borderId="0" xfId="8" applyFont="1" applyFill="1" applyAlignment="1">
      <alignment horizontal="right"/>
    </xf>
    <xf numFmtId="0" fontId="20" fillId="12" borderId="0" xfId="0" applyFont="1" applyFill="1"/>
    <xf numFmtId="9" fontId="12" fillId="12" borderId="16" xfId="8" applyFont="1" applyFill="1" applyBorder="1" applyAlignment="1">
      <alignment horizontal="right"/>
    </xf>
    <xf numFmtId="0" fontId="14" fillId="12" borderId="0" xfId="0" applyFont="1" applyFill="1"/>
    <xf numFmtId="9" fontId="25" fillId="0" borderId="0" xfId="8" applyFont="1" applyFill="1" applyBorder="1" applyAlignment="1">
      <alignment horizontal="left" vertical="center"/>
    </xf>
    <xf numFmtId="172" fontId="9" fillId="0" borderId="0" xfId="5" applyNumberFormat="1" applyFont="1" applyAlignment="1">
      <alignment horizontal="right"/>
    </xf>
    <xf numFmtId="168" fontId="9" fillId="0" borderId="3" xfId="8" applyNumberFormat="1" applyFont="1" applyBorder="1" applyAlignment="1"/>
    <xf numFmtId="168" fontId="9" fillId="0" borderId="36" xfId="8" applyNumberFormat="1" applyFont="1" applyFill="1" applyBorder="1" applyAlignment="1">
      <alignment vertical="center"/>
    </xf>
    <xf numFmtId="168" fontId="9" fillId="0" borderId="1" xfId="8" applyNumberFormat="1" applyFont="1" applyFill="1" applyBorder="1" applyAlignment="1">
      <alignment vertical="center"/>
    </xf>
    <xf numFmtId="172" fontId="9" fillId="0" borderId="16" xfId="5" applyNumberFormat="1" applyFont="1" applyBorder="1" applyAlignment="1">
      <alignment horizontal="right"/>
    </xf>
    <xf numFmtId="172" fontId="9" fillId="0" borderId="0" xfId="5" applyNumberFormat="1" applyFont="1" applyBorder="1" applyAlignment="1">
      <alignment horizontal="right"/>
    </xf>
    <xf numFmtId="0" fontId="9" fillId="0" borderId="51" xfId="0" applyFont="1" applyBorder="1"/>
    <xf numFmtId="0" fontId="8" fillId="4" borderId="51" xfId="0" applyFont="1" applyFill="1" applyBorder="1"/>
    <xf numFmtId="0" fontId="9" fillId="0" borderId="51" xfId="0" applyFont="1" applyBorder="1" applyAlignment="1">
      <alignment horizontal="right"/>
    </xf>
    <xf numFmtId="1" fontId="9" fillId="0" borderId="51" xfId="0" applyNumberFormat="1" applyFont="1" applyBorder="1" applyAlignment="1">
      <alignment horizontal="right"/>
    </xf>
    <xf numFmtId="168" fontId="9" fillId="0" borderId="51" xfId="0" applyNumberFormat="1" applyFont="1" applyBorder="1" applyAlignment="1">
      <alignment horizontal="right"/>
    </xf>
    <xf numFmtId="168" fontId="9" fillId="0" borderId="52" xfId="0" applyNumberFormat="1" applyFont="1" applyBorder="1" applyAlignment="1">
      <alignment horizontal="right"/>
    </xf>
    <xf numFmtId="0" fontId="9" fillId="0" borderId="51" xfId="0" applyFont="1" applyFill="1" applyBorder="1"/>
    <xf numFmtId="0" fontId="15" fillId="0" borderId="51" xfId="0" applyFont="1" applyBorder="1"/>
    <xf numFmtId="0" fontId="0" fillId="0" borderId="51" xfId="0" applyBorder="1"/>
    <xf numFmtId="168" fontId="9" fillId="0" borderId="0" xfId="8" applyNumberFormat="1" applyFont="1" applyBorder="1" applyAlignment="1"/>
    <xf numFmtId="168" fontId="9" fillId="0" borderId="16" xfId="8" applyNumberFormat="1" applyFont="1" applyFill="1" applyBorder="1" applyAlignment="1">
      <alignment vertical="center"/>
    </xf>
    <xf numFmtId="168" fontId="9" fillId="0" borderId="0" xfId="8" applyNumberFormat="1" applyFont="1" applyFill="1" applyBorder="1" applyAlignment="1">
      <alignment vertical="center"/>
    </xf>
    <xf numFmtId="9" fontId="12" fillId="0" borderId="0" xfId="8" applyFont="1" applyAlignment="1">
      <alignment horizontal="right"/>
    </xf>
    <xf numFmtId="171" fontId="9" fillId="0" borderId="0" xfId="5" applyNumberFormat="1" applyFont="1" applyFill="1" applyBorder="1" applyAlignment="1">
      <alignment vertical="center"/>
    </xf>
    <xf numFmtId="3" fontId="6" fillId="0" borderId="25" xfId="0" applyNumberFormat="1" applyFont="1" applyFill="1" applyBorder="1" applyAlignment="1">
      <alignment horizontal="left" vertical="center"/>
    </xf>
    <xf numFmtId="172" fontId="24" fillId="0" borderId="0" xfId="0" applyNumberFormat="1" applyFont="1" applyFill="1" applyBorder="1" applyAlignment="1">
      <alignment horizontal="right"/>
    </xf>
    <xf numFmtId="174" fontId="9" fillId="0" borderId="0" xfId="5" applyNumberFormat="1" applyFont="1" applyFill="1" applyBorder="1"/>
    <xf numFmtId="196" fontId="12" fillId="0" borderId="0" xfId="8" applyNumberFormat="1" applyFont="1" applyFill="1" applyBorder="1" applyAlignment="1">
      <alignment horizontal="right" vertical="center"/>
    </xf>
    <xf numFmtId="3" fontId="6" fillId="0" borderId="0" xfId="0" applyNumberFormat="1" applyFont="1" applyFill="1" applyAlignment="1">
      <alignment horizontal="left" vertical="center"/>
    </xf>
    <xf numFmtId="0" fontId="6" fillId="0" borderId="50" xfId="0" applyFont="1" applyFill="1" applyBorder="1" applyAlignment="1">
      <alignment horizontal="left" vertical="center"/>
    </xf>
    <xf numFmtId="9" fontId="12" fillId="0" borderId="0" xfId="8" applyFont="1" applyFill="1" applyBorder="1" applyAlignment="1">
      <alignment horizontal="left" vertical="center"/>
    </xf>
    <xf numFmtId="0" fontId="54" fillId="12" borderId="0" xfId="0" applyFont="1" applyFill="1" applyBorder="1"/>
    <xf numFmtId="9" fontId="54" fillId="12" borderId="0" xfId="0" applyNumberFormat="1" applyFont="1" applyFill="1" applyBorder="1" applyAlignment="1">
      <alignment horizontal="right"/>
    </xf>
    <xf numFmtId="9" fontId="54" fillId="12" borderId="0" xfId="0" applyNumberFormat="1" applyFont="1" applyFill="1" applyBorder="1"/>
    <xf numFmtId="9" fontId="54" fillId="12" borderId="22" xfId="0" applyNumberFormat="1" applyFont="1" applyFill="1" applyBorder="1"/>
    <xf numFmtId="9" fontId="54" fillId="12" borderId="16" xfId="0" applyNumberFormat="1" applyFont="1" applyFill="1" applyBorder="1"/>
    <xf numFmtId="0" fontId="8" fillId="12" borderId="0" xfId="0" applyFont="1" applyFill="1"/>
    <xf numFmtId="0" fontId="1" fillId="12" borderId="0" xfId="0" applyFont="1" applyFill="1"/>
    <xf numFmtId="0" fontId="54" fillId="12" borderId="45" xfId="0" applyFont="1" applyFill="1" applyBorder="1"/>
    <xf numFmtId="9" fontId="54" fillId="12" borderId="45" xfId="0" applyNumberFormat="1" applyFont="1" applyFill="1" applyBorder="1" applyAlignment="1">
      <alignment horizontal="right"/>
    </xf>
    <xf numFmtId="0" fontId="9" fillId="12" borderId="0" xfId="0" applyFont="1" applyFill="1" applyBorder="1" applyAlignment="1">
      <alignment horizontal="left" indent="1"/>
    </xf>
    <xf numFmtId="9" fontId="9" fillId="12" borderId="0" xfId="0" applyNumberFormat="1" applyFont="1" applyFill="1" applyBorder="1" applyAlignment="1">
      <alignment horizontal="right"/>
    </xf>
    <xf numFmtId="10" fontId="9" fillId="0" borderId="16" xfId="8" applyNumberFormat="1" applyFont="1" applyFill="1" applyBorder="1" applyAlignment="1">
      <alignment horizontal="right" vertical="center"/>
    </xf>
    <xf numFmtId="10" fontId="8" fillId="0" borderId="16" xfId="8" applyNumberFormat="1" applyFont="1" applyFill="1" applyBorder="1" applyAlignment="1">
      <alignment horizontal="right" vertical="center"/>
    </xf>
    <xf numFmtId="166" fontId="9" fillId="12" borderId="0" xfId="0" applyNumberFormat="1" applyFont="1" applyFill="1" applyBorder="1" applyAlignment="1">
      <alignment horizontal="left" vertical="center"/>
    </xf>
    <xf numFmtId="166" fontId="9" fillId="12" borderId="0" xfId="0" applyNumberFormat="1" applyFont="1" applyFill="1" applyBorder="1" applyAlignment="1">
      <alignment horizontal="right" vertical="center"/>
    </xf>
    <xf numFmtId="166" fontId="8" fillId="12" borderId="16" xfId="0" applyNumberFormat="1" applyFont="1" applyFill="1" applyBorder="1" applyAlignment="1">
      <alignment horizontal="right" vertical="center"/>
    </xf>
    <xf numFmtId="168" fontId="12" fillId="12" borderId="0" xfId="8" applyNumberFormat="1" applyFont="1" applyFill="1" applyBorder="1" applyAlignment="1">
      <alignment horizontal="right" vertical="center"/>
    </xf>
    <xf numFmtId="168" fontId="12" fillId="12" borderId="16" xfId="8" applyNumberFormat="1" applyFont="1" applyFill="1" applyBorder="1" applyAlignment="1">
      <alignment horizontal="right" vertical="center"/>
    </xf>
    <xf numFmtId="168" fontId="12" fillId="12" borderId="0" xfId="0" applyNumberFormat="1" applyFont="1" applyFill="1" applyBorder="1" applyAlignment="1">
      <alignment horizontal="right" vertical="center"/>
    </xf>
    <xf numFmtId="168" fontId="12" fillId="12" borderId="16" xfId="0" applyNumberFormat="1" applyFont="1" applyFill="1" applyBorder="1" applyAlignment="1">
      <alignment horizontal="right" vertical="center"/>
    </xf>
    <xf numFmtId="166" fontId="9" fillId="12" borderId="16" xfId="0" applyNumberFormat="1" applyFont="1" applyFill="1" applyBorder="1" applyAlignment="1">
      <alignment horizontal="right" vertical="center"/>
    </xf>
    <xf numFmtId="2" fontId="9" fillId="0" borderId="0" xfId="0" applyNumberFormat="1" applyFont="1" applyFill="1" applyBorder="1" applyAlignment="1">
      <alignment horizontal="left" vertical="center" indent="1"/>
    </xf>
    <xf numFmtId="43" fontId="6" fillId="0" borderId="3" xfId="5" applyFont="1" applyFill="1" applyBorder="1" applyAlignment="1">
      <alignment horizontal="left" vertical="center"/>
    </xf>
    <xf numFmtId="1" fontId="12" fillId="11" borderId="24" xfId="0" applyNumberFormat="1" applyFont="1" applyFill="1" applyBorder="1"/>
    <xf numFmtId="9" fontId="12" fillId="11" borderId="19" xfId="0" applyNumberFormat="1" applyFont="1" applyFill="1" applyBorder="1"/>
    <xf numFmtId="3" fontId="9" fillId="0" borderId="53" xfId="0" applyNumberFormat="1" applyFont="1" applyBorder="1"/>
    <xf numFmtId="3" fontId="9" fillId="0" borderId="50" xfId="0" applyNumberFormat="1" applyFont="1" applyFill="1" applyBorder="1" applyAlignment="1">
      <alignment horizontal="right" vertical="center"/>
    </xf>
    <xf numFmtId="3" fontId="9" fillId="0" borderId="54" xfId="0" applyNumberFormat="1" applyFont="1" applyFill="1" applyBorder="1" applyAlignment="1">
      <alignment horizontal="right" vertical="center"/>
    </xf>
    <xf numFmtId="1" fontId="12" fillId="11" borderId="22" xfId="0" applyNumberFormat="1" applyFont="1" applyFill="1" applyBorder="1"/>
    <xf numFmtId="43" fontId="12" fillId="0" borderId="0" xfId="5" applyFont="1" applyFill="1"/>
    <xf numFmtId="10" fontId="6" fillId="0" borderId="3" xfId="8" applyNumberFormat="1" applyFont="1" applyFill="1" applyBorder="1" applyAlignment="1">
      <alignment horizontal="left" vertical="center"/>
    </xf>
    <xf numFmtId="3" fontId="9" fillId="0" borderId="0" xfId="0" applyNumberFormat="1" applyFont="1" applyFill="1" applyAlignment="1">
      <alignment horizontal="left" indent="1"/>
    </xf>
    <xf numFmtId="0" fontId="9" fillId="12" borderId="0" xfId="0" applyFont="1" applyFill="1" applyBorder="1" applyAlignment="1">
      <alignment horizontal="right"/>
    </xf>
    <xf numFmtId="0" fontId="24" fillId="12" borderId="0" xfId="0" applyFont="1" applyFill="1" applyBorder="1" applyAlignment="1">
      <alignment horizontal="right"/>
    </xf>
    <xf numFmtId="1" fontId="24" fillId="12" borderId="0" xfId="0" applyNumberFormat="1" applyFont="1" applyFill="1" applyBorder="1" applyAlignment="1">
      <alignment horizontal="right"/>
    </xf>
    <xf numFmtId="1" fontId="9" fillId="12" borderId="16" xfId="0" applyNumberFormat="1" applyFont="1" applyFill="1" applyBorder="1" applyAlignment="1">
      <alignment horizontal="right"/>
    </xf>
    <xf numFmtId="172" fontId="24" fillId="12" borderId="0" xfId="5" applyNumberFormat="1" applyFont="1" applyFill="1" applyBorder="1" applyAlignment="1">
      <alignment horizontal="right"/>
    </xf>
    <xf numFmtId="172" fontId="9" fillId="12" borderId="16" xfId="5" applyNumberFormat="1" applyFont="1" applyFill="1" applyBorder="1" applyAlignment="1">
      <alignment horizontal="right"/>
    </xf>
    <xf numFmtId="172" fontId="9" fillId="12" borderId="0" xfId="5" applyNumberFormat="1" applyFont="1" applyFill="1" applyBorder="1"/>
    <xf numFmtId="172" fontId="24" fillId="12" borderId="0" xfId="0" applyNumberFormat="1" applyFont="1" applyFill="1" applyBorder="1" applyAlignment="1">
      <alignment horizontal="right"/>
    </xf>
    <xf numFmtId="3" fontId="9" fillId="12" borderId="16" xfId="0" applyNumberFormat="1" applyFont="1" applyFill="1" applyBorder="1" applyAlignment="1">
      <alignment horizontal="right"/>
    </xf>
    <xf numFmtId="3" fontId="10" fillId="12" borderId="0" xfId="0" applyNumberFormat="1" applyFont="1" applyFill="1" applyBorder="1"/>
    <xf numFmtId="168" fontId="9" fillId="0" borderId="2" xfId="8" applyNumberFormat="1" applyFont="1" applyFill="1" applyBorder="1"/>
    <xf numFmtId="1" fontId="6" fillId="0" borderId="25" xfId="0" applyNumberFormat="1" applyFont="1" applyFill="1" applyBorder="1" applyAlignment="1">
      <alignment horizontal="left" vertical="center"/>
    </xf>
    <xf numFmtId="168" fontId="9" fillId="0" borderId="3" xfId="8" applyNumberFormat="1" applyFont="1" applyFill="1" applyBorder="1"/>
    <xf numFmtId="3" fontId="8" fillId="12" borderId="2" xfId="0" applyNumberFormat="1" applyFont="1" applyFill="1" applyBorder="1" applyAlignment="1">
      <alignment horizontal="right" vertical="center"/>
    </xf>
    <xf numFmtId="3" fontId="29" fillId="12" borderId="0" xfId="0" applyNumberFormat="1" applyFont="1" applyFill="1" applyBorder="1" applyAlignment="1">
      <alignment horizontal="right" vertical="center"/>
    </xf>
    <xf numFmtId="168" fontId="54" fillId="10" borderId="5" xfId="0" applyNumberFormat="1" applyFont="1" applyFill="1" applyBorder="1"/>
    <xf numFmtId="168" fontId="54" fillId="10" borderId="15" xfId="0" applyNumberFormat="1" applyFont="1" applyFill="1" applyBorder="1"/>
    <xf numFmtId="168" fontId="54" fillId="10" borderId="0" xfId="0" applyNumberFormat="1" applyFont="1" applyFill="1" applyBorder="1"/>
    <xf numFmtId="168" fontId="10" fillId="0" borderId="2" xfId="8" applyNumberFormat="1" applyFont="1" applyFill="1" applyBorder="1" applyAlignment="1">
      <alignment vertical="center"/>
    </xf>
    <xf numFmtId="0" fontId="9" fillId="0" borderId="0" xfId="0" applyFont="1" applyFill="1" applyAlignment="1">
      <alignment horizontal="left" indent="1"/>
    </xf>
    <xf numFmtId="0" fontId="12" fillId="0" borderId="0" xfId="0" applyFont="1" applyFill="1" applyAlignment="1">
      <alignment horizontal="left" indent="1"/>
    </xf>
    <xf numFmtId="9" fontId="28" fillId="11" borderId="18" xfId="0" applyNumberFormat="1" applyFont="1" applyFill="1" applyBorder="1"/>
    <xf numFmtId="164" fontId="2" fillId="0" borderId="2" xfId="0" applyNumberFormat="1" applyFont="1" applyFill="1" applyBorder="1" applyAlignment="1">
      <alignment horizontal="left" vertical="center"/>
    </xf>
    <xf numFmtId="168" fontId="2" fillId="0" borderId="2" xfId="8" applyNumberFormat="1" applyFont="1" applyFill="1" applyBorder="1" applyAlignment="1">
      <alignment horizontal="left" vertical="center"/>
    </xf>
    <xf numFmtId="172" fontId="10" fillId="0" borderId="2" xfId="5" applyNumberFormat="1" applyFont="1" applyFill="1" applyBorder="1" applyAlignment="1">
      <alignment vertical="center"/>
    </xf>
    <xf numFmtId="0" fontId="9" fillId="0" borderId="0" xfId="0" applyFont="1" applyAlignment="1">
      <alignment horizontal="left" indent="1"/>
    </xf>
    <xf numFmtId="168" fontId="9" fillId="0" borderId="0" xfId="8" applyNumberFormat="1" applyFont="1" applyBorder="1" applyAlignment="1">
      <alignment horizontal="right"/>
    </xf>
    <xf numFmtId="9" fontId="61" fillId="10" borderId="16" xfId="8" applyNumberFormat="1" applyFont="1" applyFill="1" applyBorder="1"/>
    <xf numFmtId="172" fontId="2" fillId="0" borderId="25" xfId="5" applyNumberFormat="1" applyFont="1" applyFill="1" applyBorder="1" applyAlignment="1">
      <alignment horizontal="left" vertical="center"/>
    </xf>
    <xf numFmtId="172" fontId="6" fillId="0" borderId="3" xfId="8" applyNumberFormat="1" applyFont="1" applyFill="1" applyBorder="1" applyAlignment="1">
      <alignment horizontal="left" vertical="center"/>
    </xf>
    <xf numFmtId="0" fontId="55" fillId="10" borderId="55" xfId="0" applyFont="1" applyFill="1" applyBorder="1"/>
    <xf numFmtId="164" fontId="54" fillId="10" borderId="42" xfId="0" applyNumberFormat="1" applyFont="1" applyFill="1" applyBorder="1" applyAlignment="1">
      <alignment horizontal="right" vertical="center"/>
    </xf>
    <xf numFmtId="3" fontId="9" fillId="0" borderId="55" xfId="0" applyNumberFormat="1" applyFont="1" applyFill="1" applyBorder="1" applyAlignment="1">
      <alignment horizontal="right" vertical="center"/>
    </xf>
    <xf numFmtId="3" fontId="9" fillId="0" borderId="45" xfId="0" applyNumberFormat="1" applyFont="1" applyFill="1" applyBorder="1" applyAlignment="1">
      <alignment horizontal="right" vertical="center"/>
    </xf>
    <xf numFmtId="3" fontId="9" fillId="0" borderId="56" xfId="0" applyNumberFormat="1" applyFont="1" applyFill="1" applyBorder="1" applyAlignment="1">
      <alignment horizontal="right" vertical="center"/>
    </xf>
    <xf numFmtId="3" fontId="9" fillId="0" borderId="51" xfId="0" applyNumberFormat="1" applyFont="1" applyFill="1" applyBorder="1" applyAlignment="1">
      <alignment horizontal="right" vertical="center"/>
    </xf>
    <xf numFmtId="3" fontId="8" fillId="0" borderId="55" xfId="0" applyNumberFormat="1" applyFont="1" applyFill="1" applyBorder="1"/>
    <xf numFmtId="3" fontId="8" fillId="0" borderId="45" xfId="0" applyNumberFormat="1" applyFont="1" applyFill="1" applyBorder="1"/>
    <xf numFmtId="1" fontId="12" fillId="0" borderId="55" xfId="0" applyNumberFormat="1" applyFont="1" applyFill="1" applyBorder="1" applyAlignment="1">
      <alignment horizontal="right" vertical="center"/>
    </xf>
    <xf numFmtId="1" fontId="12" fillId="0" borderId="45" xfId="0" applyNumberFormat="1" applyFont="1" applyFill="1" applyBorder="1" applyAlignment="1">
      <alignment horizontal="right" vertical="center"/>
    </xf>
    <xf numFmtId="3" fontId="8" fillId="11" borderId="55" xfId="0" applyNumberFormat="1" applyFont="1" applyFill="1" applyBorder="1" applyAlignment="1">
      <alignment horizontal="right" vertical="center"/>
    </xf>
    <xf numFmtId="3" fontId="8" fillId="11" borderId="45" xfId="0" applyNumberFormat="1" applyFont="1" applyFill="1" applyBorder="1" applyAlignment="1">
      <alignment horizontal="right" vertical="center"/>
    </xf>
    <xf numFmtId="1" fontId="8" fillId="0" borderId="22" xfId="0" applyNumberFormat="1" applyFont="1" applyFill="1" applyBorder="1" applyAlignment="1">
      <alignment horizontal="right" vertical="center"/>
    </xf>
    <xf numFmtId="3" fontId="54" fillId="10" borderId="55" xfId="0" applyNumberFormat="1" applyFont="1" applyFill="1" applyBorder="1"/>
    <xf numFmtId="3" fontId="54" fillId="10" borderId="45" xfId="0" applyNumberFormat="1" applyFont="1" applyFill="1" applyBorder="1"/>
    <xf numFmtId="1" fontId="9" fillId="0" borderId="55" xfId="0" applyNumberFormat="1" applyFont="1" applyFill="1" applyBorder="1" applyAlignment="1">
      <alignment horizontal="left" vertical="center"/>
    </xf>
    <xf numFmtId="1" fontId="9" fillId="0" borderId="45" xfId="0" applyNumberFormat="1" applyFont="1" applyFill="1" applyBorder="1" applyAlignment="1">
      <alignment horizontal="left" vertical="center"/>
    </xf>
    <xf numFmtId="2" fontId="54" fillId="10" borderId="55" xfId="0" applyNumberFormat="1" applyFont="1" applyFill="1" applyBorder="1"/>
    <xf numFmtId="2" fontId="54" fillId="10" borderId="45" xfId="0" applyNumberFormat="1" applyFont="1" applyFill="1" applyBorder="1"/>
    <xf numFmtId="9" fontId="12" fillId="0" borderId="24" xfId="0" applyNumberFormat="1" applyFont="1" applyFill="1" applyBorder="1" applyAlignment="1">
      <alignment horizontal="right" vertical="center"/>
    </xf>
    <xf numFmtId="2" fontId="9" fillId="0" borderId="24" xfId="0" applyNumberFormat="1" applyFont="1" applyBorder="1"/>
    <xf numFmtId="172" fontId="12" fillId="0" borderId="22" xfId="5" applyNumberFormat="1" applyFont="1" applyFill="1" applyBorder="1" applyAlignment="1">
      <alignment horizontal="right" vertical="center"/>
    </xf>
    <xf numFmtId="2" fontId="8" fillId="0" borderId="22" xfId="0" applyNumberFormat="1" applyFont="1" applyFill="1" applyBorder="1"/>
    <xf numFmtId="164" fontId="12" fillId="0" borderId="22" xfId="0" applyNumberFormat="1" applyFont="1" applyFill="1" applyBorder="1" applyAlignment="1">
      <alignment horizontal="right" vertical="center"/>
    </xf>
    <xf numFmtId="197" fontId="9" fillId="0" borderId="0" xfId="0" applyNumberFormat="1" applyFont="1" applyFill="1" applyAlignment="1">
      <alignment horizontal="right"/>
    </xf>
    <xf numFmtId="168" fontId="5" fillId="0" borderId="2" xfId="8" applyNumberFormat="1" applyFont="1" applyFill="1" applyBorder="1" applyAlignment="1">
      <alignment vertical="center"/>
    </xf>
    <xf numFmtId="190" fontId="6" fillId="0" borderId="3" xfId="5" applyNumberFormat="1" applyFont="1" applyFill="1" applyBorder="1" applyAlignment="1">
      <alignment horizontal="left" vertical="center"/>
    </xf>
    <xf numFmtId="43" fontId="5" fillId="0" borderId="2" xfId="5" applyNumberFormat="1" applyFont="1" applyFill="1" applyBorder="1" applyAlignment="1">
      <alignment vertical="center"/>
    </xf>
    <xf numFmtId="174" fontId="25" fillId="6" borderId="0" xfId="0" applyNumberFormat="1" applyFont="1" applyFill="1" applyBorder="1" applyAlignment="1">
      <alignment horizontal="right" vertical="center"/>
    </xf>
    <xf numFmtId="0" fontId="67" fillId="0" borderId="3" xfId="0" applyFont="1" applyFill="1" applyBorder="1" applyAlignment="1">
      <alignment horizontal="left" vertical="center"/>
    </xf>
    <xf numFmtId="171" fontId="0" fillId="0" borderId="0" xfId="5" applyNumberFormat="1" applyFont="1" applyBorder="1"/>
    <xf numFmtId="168" fontId="12" fillId="0" borderId="5" xfId="0" applyNumberFormat="1" applyFont="1" applyBorder="1" applyAlignment="1">
      <alignment horizontal="right"/>
    </xf>
    <xf numFmtId="9" fontId="6" fillId="0" borderId="3" xfId="5" applyNumberFormat="1" applyFont="1" applyFill="1" applyBorder="1" applyAlignment="1">
      <alignment horizontal="left" vertical="center"/>
    </xf>
    <xf numFmtId="168" fontId="6" fillId="0" borderId="25" xfId="0" applyNumberFormat="1" applyFont="1" applyFill="1" applyBorder="1" applyAlignment="1">
      <alignment horizontal="left" vertical="center"/>
    </xf>
    <xf numFmtId="168" fontId="12" fillId="11" borderId="3" xfId="0" applyNumberFormat="1" applyFont="1" applyFill="1" applyBorder="1"/>
    <xf numFmtId="172" fontId="5" fillId="0" borderId="2" xfId="5" applyNumberFormat="1" applyFont="1" applyFill="1" applyBorder="1" applyAlignment="1">
      <alignment vertical="center"/>
    </xf>
    <xf numFmtId="0" fontId="2" fillId="0" borderId="0" xfId="0" applyFont="1" applyFill="1" applyBorder="1" applyAlignment="1">
      <alignment horizontal="left" vertical="center"/>
    </xf>
    <xf numFmtId="0" fontId="1" fillId="0" borderId="0" xfId="0" applyFont="1" applyFill="1" applyBorder="1"/>
    <xf numFmtId="2" fontId="9" fillId="0" borderId="0" xfId="0" applyNumberFormat="1" applyFont="1" applyFill="1" applyBorder="1" applyAlignment="1">
      <alignment horizontal="left" vertical="center" indent="2"/>
    </xf>
    <xf numFmtId="2" fontId="9" fillId="0" borderId="16" xfId="0" applyNumberFormat="1" applyFont="1" applyFill="1" applyBorder="1" applyAlignment="1">
      <alignment horizontal="left" vertical="center"/>
    </xf>
    <xf numFmtId="1" fontId="9" fillId="0" borderId="0" xfId="8" applyNumberFormat="1" applyFont="1" applyBorder="1" applyAlignment="1"/>
    <xf numFmtId="0" fontId="9" fillId="4" borderId="3" xfId="0" applyFont="1" applyFill="1" applyBorder="1" applyAlignment="1">
      <alignment horizontal="left" vertical="center"/>
    </xf>
    <xf numFmtId="0" fontId="9" fillId="0" borderId="18" xfId="0" applyFont="1" applyFill="1" applyBorder="1" applyAlignment="1">
      <alignment horizontal="left" vertical="center"/>
    </xf>
    <xf numFmtId="168" fontId="9" fillId="0" borderId="18" xfId="8" applyNumberFormat="1" applyFont="1" applyFill="1" applyBorder="1" applyAlignment="1">
      <alignment vertical="center"/>
    </xf>
    <xf numFmtId="168" fontId="9" fillId="0" borderId="3" xfId="8" applyNumberFormat="1" applyFont="1" applyFill="1" applyBorder="1" applyAlignment="1">
      <alignment vertical="center"/>
    </xf>
    <xf numFmtId="168" fontId="9" fillId="0" borderId="3" xfId="8" applyNumberFormat="1" applyFont="1" applyBorder="1" applyAlignment="1">
      <alignment horizontal="right"/>
    </xf>
    <xf numFmtId="2" fontId="9" fillId="0" borderId="1" xfId="0" applyNumberFormat="1" applyFont="1" applyFill="1" applyBorder="1" applyAlignment="1">
      <alignment horizontal="left" vertical="center" indent="2"/>
    </xf>
    <xf numFmtId="43" fontId="9" fillId="0" borderId="0" xfId="5" applyFont="1" applyBorder="1" applyAlignment="1"/>
    <xf numFmtId="1" fontId="9" fillId="0" borderId="16" xfId="0" quotePrefix="1" applyNumberFormat="1" applyFont="1" applyFill="1" applyBorder="1"/>
    <xf numFmtId="10" fontId="9" fillId="0" borderId="0" xfId="0" applyNumberFormat="1" applyFont="1" applyFill="1" applyBorder="1" applyAlignment="1">
      <alignment horizontal="right"/>
    </xf>
    <xf numFmtId="0" fontId="53" fillId="10" borderId="59" xfId="0" applyFont="1" applyFill="1" applyBorder="1"/>
    <xf numFmtId="0" fontId="54" fillId="10" borderId="60" xfId="0" applyFont="1" applyFill="1" applyBorder="1"/>
    <xf numFmtId="0" fontId="54" fillId="10" borderId="59" xfId="0" applyFont="1" applyFill="1" applyBorder="1"/>
    <xf numFmtId="168" fontId="54" fillId="10" borderId="58" xfId="0" applyNumberFormat="1" applyFont="1" applyFill="1" applyBorder="1"/>
    <xf numFmtId="168" fontId="54" fillId="10" borderId="52" xfId="0" applyNumberFormat="1" applyFont="1" applyFill="1" applyBorder="1"/>
    <xf numFmtId="9" fontId="54" fillId="10" borderId="58" xfId="0" applyNumberFormat="1" applyFont="1" applyFill="1" applyBorder="1"/>
    <xf numFmtId="9" fontId="54" fillId="10" borderId="52" xfId="0" applyNumberFormat="1" applyFont="1" applyFill="1" applyBorder="1"/>
    <xf numFmtId="9" fontId="9" fillId="12" borderId="59" xfId="0" applyNumberFormat="1" applyFont="1" applyFill="1" applyBorder="1"/>
    <xf numFmtId="9" fontId="9" fillId="12" borderId="61" xfId="0" applyNumberFormat="1" applyFont="1" applyFill="1" applyBorder="1"/>
    <xf numFmtId="0" fontId="9" fillId="12" borderId="59" xfId="0" applyFont="1" applyFill="1" applyBorder="1"/>
    <xf numFmtId="3" fontId="9" fillId="0" borderId="59" xfId="0" applyNumberFormat="1" applyFont="1" applyFill="1" applyBorder="1"/>
    <xf numFmtId="3" fontId="12" fillId="0" borderId="61" xfId="0" applyNumberFormat="1" applyFont="1" applyFill="1" applyBorder="1"/>
    <xf numFmtId="3" fontId="8" fillId="0" borderId="59" xfId="0" applyNumberFormat="1" applyFont="1" applyFill="1" applyBorder="1"/>
    <xf numFmtId="9" fontId="9" fillId="0" borderId="58" xfId="0" applyNumberFormat="1" applyFont="1" applyFill="1" applyBorder="1" applyAlignment="1">
      <alignment horizontal="right" vertical="center"/>
    </xf>
    <xf numFmtId="0" fontId="9" fillId="0" borderId="52" xfId="0" applyFont="1" applyFill="1" applyBorder="1" applyAlignment="1">
      <alignment horizontal="left" vertical="center"/>
    </xf>
    <xf numFmtId="0" fontId="9" fillId="0" borderId="58" xfId="0" applyFont="1" applyFill="1" applyBorder="1" applyAlignment="1">
      <alignment horizontal="left" vertical="center"/>
    </xf>
    <xf numFmtId="3" fontId="9" fillId="2" borderId="59" xfId="0" applyNumberFormat="1" applyFont="1" applyFill="1" applyBorder="1"/>
    <xf numFmtId="168" fontId="24" fillId="0" borderId="58" xfId="0" applyNumberFormat="1" applyFont="1" applyFill="1" applyBorder="1" applyAlignment="1">
      <alignment horizontal="right" vertical="center"/>
    </xf>
    <xf numFmtId="168" fontId="24" fillId="0" borderId="58" xfId="0" applyNumberFormat="1" applyFont="1" applyFill="1" applyBorder="1" applyAlignment="1">
      <alignment horizontal="left" vertical="center"/>
    </xf>
    <xf numFmtId="3" fontId="9" fillId="0" borderId="59" xfId="0" applyNumberFormat="1" applyFont="1" applyBorder="1" applyAlignment="1">
      <alignment horizontal="right"/>
    </xf>
    <xf numFmtId="3" fontId="9" fillId="0" borderId="61" xfId="0" applyNumberFormat="1" applyFont="1" applyBorder="1" applyAlignment="1">
      <alignment horizontal="right"/>
    </xf>
    <xf numFmtId="0" fontId="9" fillId="0" borderId="59" xfId="0" applyFont="1" applyBorder="1" applyAlignment="1">
      <alignment horizontal="right"/>
    </xf>
    <xf numFmtId="168" fontId="9" fillId="0" borderId="58" xfId="0" applyNumberFormat="1" applyFont="1" applyBorder="1" applyAlignment="1">
      <alignment horizontal="right"/>
    </xf>
    <xf numFmtId="0" fontId="9" fillId="0" borderId="58" xfId="0" applyFont="1" applyBorder="1" applyAlignment="1">
      <alignment horizontal="right"/>
    </xf>
    <xf numFmtId="0" fontId="2" fillId="0" borderId="16" xfId="0" applyFont="1" applyFill="1" applyBorder="1" applyAlignment="1">
      <alignment horizontal="left" vertical="center"/>
    </xf>
    <xf numFmtId="0" fontId="2" fillId="0" borderId="3" xfId="0" applyFont="1" applyFill="1" applyBorder="1" applyAlignment="1">
      <alignment horizontal="left" vertical="center"/>
    </xf>
    <xf numFmtId="0" fontId="2" fillId="0" borderId="18" xfId="0" applyFont="1" applyFill="1" applyBorder="1" applyAlignment="1">
      <alignment horizontal="left" vertical="center"/>
    </xf>
    <xf numFmtId="0" fontId="2" fillId="0" borderId="62" xfId="0" applyFont="1" applyFill="1" applyBorder="1" applyAlignment="1">
      <alignment horizontal="left" vertical="center"/>
    </xf>
    <xf numFmtId="0" fontId="2" fillId="0" borderId="61" xfId="0" applyFont="1" applyFill="1" applyBorder="1" applyAlignment="1">
      <alignment horizontal="left" vertical="center"/>
    </xf>
    <xf numFmtId="1" fontId="9" fillId="0" borderId="58" xfId="0" applyNumberFormat="1" applyFont="1" applyFill="1" applyBorder="1" applyAlignment="1">
      <alignment horizontal="right"/>
    </xf>
    <xf numFmtId="1" fontId="9" fillId="0" borderId="52" xfId="0" applyNumberFormat="1" applyFont="1" applyFill="1" applyBorder="1"/>
    <xf numFmtId="0" fontId="9" fillId="0" borderId="58" xfId="0" applyFont="1" applyFill="1" applyBorder="1"/>
    <xf numFmtId="0" fontId="2" fillId="0" borderId="25" xfId="0" applyFont="1" applyFill="1" applyBorder="1" applyAlignment="1">
      <alignment horizontal="left" vertical="center"/>
    </xf>
    <xf numFmtId="3" fontId="2" fillId="0" borderId="0" xfId="0" applyNumberFormat="1" applyFont="1"/>
    <xf numFmtId="3" fontId="2" fillId="0" borderId="0" xfId="0" applyNumberFormat="1" applyFont="1" applyFill="1"/>
    <xf numFmtId="3" fontId="2" fillId="0" borderId="0" xfId="0" applyNumberFormat="1" applyFont="1" applyBorder="1"/>
    <xf numFmtId="168" fontId="12" fillId="11" borderId="0" xfId="0" applyNumberFormat="1" applyFont="1" applyFill="1" applyBorder="1" applyAlignment="1">
      <alignment horizontal="right" vertical="center"/>
    </xf>
    <xf numFmtId="3" fontId="9" fillId="0" borderId="2" xfId="0" applyNumberFormat="1" applyFont="1" applyFill="1" applyBorder="1" applyAlignment="1">
      <alignment horizontal="right"/>
    </xf>
    <xf numFmtId="172" fontId="9" fillId="0" borderId="0" xfId="5" applyNumberFormat="1" applyFont="1" applyFill="1" applyBorder="1" applyAlignment="1">
      <alignment horizontal="right"/>
    </xf>
    <xf numFmtId="168" fontId="9" fillId="0" borderId="3" xfId="8" applyNumberFormat="1" applyFont="1" applyFill="1" applyBorder="1" applyAlignment="1"/>
    <xf numFmtId="3" fontId="68" fillId="0" borderId="0" xfId="0" applyNumberFormat="1" applyFont="1" applyFill="1" applyBorder="1" applyAlignment="1">
      <alignment horizontal="right" vertical="center"/>
    </xf>
    <xf numFmtId="9" fontId="0" fillId="0" borderId="0" xfId="8" applyNumberFormat="1" applyFont="1"/>
    <xf numFmtId="168" fontId="9" fillId="0" borderId="0" xfId="8" applyNumberFormat="1" applyFont="1" applyFill="1" applyBorder="1" applyAlignment="1">
      <alignment horizontal="right"/>
    </xf>
    <xf numFmtId="1" fontId="9" fillId="0" borderId="0" xfId="8" applyNumberFormat="1" applyFont="1" applyBorder="1" applyAlignment="1">
      <alignment horizontal="right"/>
    </xf>
    <xf numFmtId="1" fontId="9" fillId="0" borderId="3" xfId="8" applyNumberFormat="1" applyFont="1" applyBorder="1" applyAlignment="1">
      <alignment horizontal="right"/>
    </xf>
    <xf numFmtId="2" fontId="8" fillId="0" borderId="0" xfId="0" applyNumberFormat="1" applyFont="1" applyFill="1" applyBorder="1" applyAlignment="1">
      <alignment horizontal="left" vertical="center" indent="2"/>
    </xf>
    <xf numFmtId="2" fontId="9" fillId="0" borderId="3" xfId="0" applyNumberFormat="1" applyFont="1" applyFill="1" applyBorder="1" applyAlignment="1">
      <alignment horizontal="left" vertical="center" indent="2"/>
    </xf>
    <xf numFmtId="9" fontId="9" fillId="0" borderId="3" xfId="8" applyFont="1" applyFill="1" applyBorder="1" applyAlignment="1">
      <alignment horizontal="right" vertical="center"/>
    </xf>
    <xf numFmtId="9" fontId="9" fillId="0" borderId="3" xfId="5" applyNumberFormat="1" applyFont="1" applyBorder="1" applyAlignment="1">
      <alignment horizontal="right"/>
    </xf>
    <xf numFmtId="9" fontId="9" fillId="0" borderId="3" xfId="8" applyNumberFormat="1" applyFont="1" applyBorder="1" applyAlignment="1">
      <alignment horizontal="right"/>
    </xf>
    <xf numFmtId="1" fontId="8" fillId="0" borderId="0" xfId="8" applyNumberFormat="1" applyFont="1" applyBorder="1" applyAlignment="1">
      <alignment horizontal="right"/>
    </xf>
    <xf numFmtId="9" fontId="9" fillId="12" borderId="0" xfId="8" applyFont="1" applyFill="1" applyBorder="1" applyAlignment="1">
      <alignment horizontal="right" vertical="center"/>
    </xf>
    <xf numFmtId="1" fontId="0" fillId="0" borderId="0" xfId="0" applyNumberFormat="1"/>
    <xf numFmtId="0" fontId="6" fillId="0" borderId="62" xfId="0" applyFont="1" applyFill="1" applyBorder="1" applyAlignment="1">
      <alignment horizontal="left" vertical="center"/>
    </xf>
    <xf numFmtId="164" fontId="2" fillId="0" borderId="59" xfId="0" applyNumberFormat="1" applyFont="1" applyFill="1" applyBorder="1" applyAlignment="1">
      <alignment horizontal="left" vertical="center"/>
    </xf>
    <xf numFmtId="172" fontId="0" fillId="0" borderId="0" xfId="5" applyNumberFormat="1" applyFont="1" applyBorder="1"/>
    <xf numFmtId="172" fontId="9" fillId="0" borderId="0" xfId="0" applyNumberFormat="1" applyFont="1" applyFill="1"/>
    <xf numFmtId="182" fontId="0" fillId="0" borderId="0" xfId="5" applyNumberFormat="1" applyFont="1" applyBorder="1"/>
    <xf numFmtId="182" fontId="6" fillId="0" borderId="3" xfId="6" applyNumberFormat="1" applyFont="1" applyFill="1" applyBorder="1" applyAlignment="1">
      <alignment horizontal="left" vertical="center"/>
    </xf>
    <xf numFmtId="44" fontId="0" fillId="0" borderId="0" xfId="8" applyNumberFormat="1" applyFont="1" applyBorder="1"/>
    <xf numFmtId="0" fontId="30" fillId="0" borderId="0" xfId="0" applyFont="1" applyFill="1" applyBorder="1"/>
    <xf numFmtId="3" fontId="9" fillId="0" borderId="59" xfId="0" applyNumberFormat="1" applyFont="1" applyFill="1" applyBorder="1" applyAlignment="1">
      <alignment horizontal="right"/>
    </xf>
    <xf numFmtId="0" fontId="8" fillId="0" borderId="7" xfId="0" applyFont="1" applyFill="1" applyBorder="1"/>
    <xf numFmtId="3" fontId="9" fillId="12" borderId="23" xfId="0" applyNumberFormat="1" applyFont="1" applyFill="1" applyBorder="1"/>
    <xf numFmtId="164" fontId="9" fillId="12" borderId="0" xfId="0" applyNumberFormat="1" applyFont="1" applyFill="1" applyBorder="1" applyAlignment="1">
      <alignment horizontal="right"/>
    </xf>
    <xf numFmtId="9" fontId="12" fillId="12" borderId="0" xfId="8" applyFont="1" applyFill="1" applyBorder="1" applyAlignment="1">
      <alignment horizontal="right"/>
    </xf>
    <xf numFmtId="9" fontId="12" fillId="12" borderId="0" xfId="0" applyNumberFormat="1" applyFont="1" applyFill="1" applyBorder="1" applyAlignment="1">
      <alignment horizontal="right"/>
    </xf>
    <xf numFmtId="0" fontId="12" fillId="0" borderId="0" xfId="0" applyFont="1" applyFill="1" applyBorder="1" applyAlignment="1">
      <alignment horizontal="right"/>
    </xf>
    <xf numFmtId="0" fontId="12" fillId="12" borderId="0" xfId="0" applyFont="1" applyFill="1" applyBorder="1" applyAlignment="1">
      <alignment horizontal="right"/>
    </xf>
    <xf numFmtId="3" fontId="9" fillId="12" borderId="22" xfId="0" applyNumberFormat="1" applyFont="1" applyFill="1" applyBorder="1"/>
    <xf numFmtId="43" fontId="2" fillId="0" borderId="0" xfId="5" applyNumberFormat="1" applyFont="1" applyBorder="1"/>
    <xf numFmtId="10" fontId="9" fillId="12" borderId="0" xfId="0" applyNumberFormat="1" applyFont="1" applyFill="1"/>
    <xf numFmtId="10" fontId="9" fillId="12" borderId="26" xfId="0" applyNumberFormat="1" applyFont="1" applyFill="1" applyBorder="1"/>
    <xf numFmtId="10" fontId="9" fillId="12" borderId="0" xfId="0" applyNumberFormat="1" applyFont="1" applyFill="1" applyBorder="1"/>
    <xf numFmtId="10" fontId="8" fillId="5" borderId="0" xfId="0" applyNumberFormat="1" applyFont="1" applyFill="1" applyBorder="1"/>
    <xf numFmtId="10" fontId="9" fillId="5" borderId="0" xfId="0" applyNumberFormat="1" applyFont="1" applyFill="1" applyBorder="1"/>
    <xf numFmtId="164" fontId="24" fillId="0" borderId="0" xfId="0" applyNumberFormat="1" applyFont="1" applyFill="1" applyAlignment="1">
      <alignment horizontal="right"/>
    </xf>
    <xf numFmtId="164" fontId="9" fillId="0" borderId="16" xfId="0" applyNumberFormat="1" applyFont="1" applyFill="1" applyBorder="1" applyAlignment="1">
      <alignment horizontal="right"/>
    </xf>
    <xf numFmtId="164" fontId="9" fillId="0" borderId="0" xfId="0" applyNumberFormat="1" applyFont="1" applyFill="1" applyBorder="1"/>
    <xf numFmtId="164" fontId="24" fillId="12" borderId="0" xfId="0" applyNumberFormat="1" applyFont="1" applyFill="1" applyAlignment="1">
      <alignment horizontal="right"/>
    </xf>
    <xf numFmtId="164" fontId="9" fillId="12" borderId="0" xfId="0" applyNumberFormat="1" applyFont="1" applyFill="1" applyBorder="1"/>
    <xf numFmtId="168" fontId="9" fillId="0" borderId="0" xfId="8" applyNumberFormat="1" applyFont="1" applyBorder="1"/>
    <xf numFmtId="3" fontId="9" fillId="0" borderId="3" xfId="0" applyNumberFormat="1" applyFont="1" applyFill="1" applyBorder="1" applyAlignment="1">
      <alignment horizontal="left" vertical="center"/>
    </xf>
    <xf numFmtId="172" fontId="2" fillId="0" borderId="0" xfId="5" applyNumberFormat="1" applyFont="1" applyBorder="1"/>
    <xf numFmtId="44" fontId="6" fillId="0" borderId="3" xfId="6" applyNumberFormat="1" applyFont="1" applyFill="1" applyBorder="1" applyAlignment="1">
      <alignment horizontal="left" vertical="center"/>
    </xf>
    <xf numFmtId="9" fontId="0" fillId="0" borderId="0" xfId="5" applyNumberFormat="1" applyFont="1" applyBorder="1"/>
    <xf numFmtId="164" fontId="54" fillId="10" borderId="0" xfId="0" applyNumberFormat="1" applyFont="1" applyFill="1" applyBorder="1" applyAlignment="1">
      <alignment horizontal="right" vertical="center"/>
    </xf>
    <xf numFmtId="3" fontId="8" fillId="11" borderId="0" xfId="0" applyNumberFormat="1" applyFont="1" applyFill="1" applyBorder="1" applyAlignment="1">
      <alignment horizontal="right" vertical="center"/>
    </xf>
    <xf numFmtId="3" fontId="54" fillId="10" borderId="0" xfId="0" applyNumberFormat="1" applyFont="1" applyFill="1" applyBorder="1"/>
    <xf numFmtId="2" fontId="54" fillId="10" borderId="0" xfId="0" applyNumberFormat="1" applyFont="1" applyFill="1" applyBorder="1"/>
    <xf numFmtId="3" fontId="9" fillId="0" borderId="57" xfId="0" applyNumberFormat="1" applyFont="1" applyBorder="1" applyAlignment="1">
      <alignment horizontal="right"/>
    </xf>
    <xf numFmtId="9" fontId="9" fillId="0" borderId="0" xfId="8" applyNumberFormat="1" applyFont="1" applyBorder="1" applyAlignment="1">
      <alignment horizontal="right"/>
    </xf>
    <xf numFmtId="9" fontId="9" fillId="0" borderId="0" xfId="5" applyNumberFormat="1" applyFont="1" applyBorder="1" applyAlignment="1">
      <alignment horizontal="right"/>
    </xf>
    <xf numFmtId="182" fontId="2" fillId="0" borderId="3" xfId="6" applyNumberFormat="1" applyFont="1" applyFill="1" applyBorder="1" applyAlignment="1">
      <alignment horizontal="left" vertical="center"/>
    </xf>
    <xf numFmtId="168" fontId="12" fillId="0" borderId="22" xfId="0" applyNumberFormat="1" applyFont="1" applyBorder="1"/>
    <xf numFmtId="9" fontId="8" fillId="0" borderId="0" xfId="8" applyFont="1" applyFill="1" applyBorder="1" applyAlignment="1">
      <alignment horizontal="right" vertical="center"/>
    </xf>
    <xf numFmtId="164" fontId="9" fillId="0" borderId="0" xfId="0" applyNumberFormat="1" applyFont="1" applyFill="1" applyBorder="1" applyAlignment="1">
      <alignment horizontal="right"/>
    </xf>
    <xf numFmtId="164" fontId="9" fillId="0" borderId="22" xfId="0" applyNumberFormat="1" applyFont="1" applyFill="1" applyBorder="1" applyAlignment="1">
      <alignment horizontal="right" vertical="center"/>
    </xf>
    <xf numFmtId="6" fontId="9" fillId="0" borderId="22" xfId="0" applyNumberFormat="1" applyFont="1" applyFill="1" applyBorder="1" applyAlignment="1">
      <alignment horizontal="right" vertical="center"/>
    </xf>
    <xf numFmtId="9" fontId="9" fillId="0" borderId="19" xfId="8" applyFont="1" applyBorder="1" applyAlignment="1"/>
    <xf numFmtId="9" fontId="9" fillId="0" borderId="36" xfId="8" applyFont="1" applyFill="1" applyBorder="1" applyAlignment="1">
      <alignment vertical="center"/>
    </xf>
    <xf numFmtId="9" fontId="9" fillId="0" borderId="1" xfId="8" applyFont="1" applyFill="1" applyBorder="1" applyAlignment="1">
      <alignment vertical="center"/>
    </xf>
    <xf numFmtId="164" fontId="54" fillId="10" borderId="48" xfId="0" applyNumberFormat="1" applyFont="1" applyFill="1" applyBorder="1" applyAlignment="1">
      <alignment horizontal="right" vertical="center"/>
    </xf>
    <xf numFmtId="0" fontId="56" fillId="10" borderId="59" xfId="0" applyFont="1" applyFill="1" applyBorder="1" applyAlignment="1">
      <alignment horizontal="left" vertical="center"/>
    </xf>
    <xf numFmtId="1" fontId="12" fillId="11" borderId="0" xfId="0" applyNumberFormat="1" applyFont="1" applyFill="1" applyBorder="1" applyAlignment="1">
      <alignment horizontal="left" vertical="center" indent="1"/>
    </xf>
    <xf numFmtId="1" fontId="9" fillId="11" borderId="0" xfId="0" applyNumberFormat="1" applyFont="1" applyFill="1" applyBorder="1" applyAlignment="1">
      <alignment horizontal="left" vertical="center" indent="1"/>
    </xf>
    <xf numFmtId="1" fontId="8" fillId="0" borderId="59" xfId="0" applyNumberFormat="1" applyFont="1" applyFill="1" applyBorder="1" applyAlignment="1">
      <alignment horizontal="left" vertical="center"/>
    </xf>
    <xf numFmtId="164" fontId="12" fillId="11" borderId="3" xfId="0" applyNumberFormat="1" applyFont="1" applyFill="1" applyBorder="1" applyAlignment="1">
      <alignment horizontal="left" vertical="center" indent="1"/>
    </xf>
    <xf numFmtId="3" fontId="8" fillId="0" borderId="55" xfId="0" applyNumberFormat="1" applyFont="1" applyFill="1" applyBorder="1" applyAlignment="1">
      <alignment horizontal="right" vertical="center"/>
    </xf>
    <xf numFmtId="3" fontId="8" fillId="0" borderId="59" xfId="0" applyNumberFormat="1" applyFont="1" applyBorder="1"/>
    <xf numFmtId="3" fontId="8" fillId="0" borderId="59" xfId="0" applyNumberFormat="1" applyFont="1" applyFill="1" applyBorder="1" applyAlignment="1">
      <alignment horizontal="right" vertical="center"/>
    </xf>
    <xf numFmtId="187" fontId="9" fillId="0" borderId="0" xfId="0" applyNumberFormat="1" applyFont="1" applyFill="1" applyBorder="1" applyAlignment="1">
      <alignment horizontal="right"/>
    </xf>
    <xf numFmtId="171" fontId="2" fillId="0" borderId="0" xfId="5" applyNumberFormat="1" applyFont="1" applyBorder="1"/>
    <xf numFmtId="168" fontId="6" fillId="0" borderId="25" xfId="8" applyNumberFormat="1" applyFont="1" applyFill="1" applyBorder="1" applyAlignment="1">
      <alignment horizontal="left" vertical="center"/>
    </xf>
    <xf numFmtId="168" fontId="2" fillId="0" borderId="0" xfId="8" applyNumberFormat="1" applyFont="1" applyBorder="1"/>
    <xf numFmtId="196" fontId="24" fillId="0" borderId="0" xfId="0" applyNumberFormat="1" applyFont="1"/>
    <xf numFmtId="168" fontId="9" fillId="0" borderId="2" xfId="0" applyNumberFormat="1" applyFont="1" applyFill="1" applyBorder="1"/>
    <xf numFmtId="9" fontId="6" fillId="0" borderId="25" xfId="0" applyNumberFormat="1" applyFont="1" applyFill="1" applyBorder="1" applyAlignment="1">
      <alignment horizontal="left" vertical="center"/>
    </xf>
    <xf numFmtId="0" fontId="12" fillId="0" borderId="58" xfId="0" applyFont="1" applyFill="1" applyBorder="1"/>
    <xf numFmtId="9" fontId="12" fillId="0" borderId="58" xfId="0" applyNumberFormat="1" applyFont="1" applyFill="1" applyBorder="1"/>
    <xf numFmtId="9" fontId="12" fillId="0" borderId="63" xfId="0" applyNumberFormat="1" applyFont="1" applyFill="1" applyBorder="1"/>
    <xf numFmtId="3" fontId="9" fillId="0" borderId="58" xfId="0" applyNumberFormat="1" applyFont="1" applyFill="1" applyBorder="1"/>
    <xf numFmtId="3" fontId="9" fillId="0" borderId="63" xfId="0" applyNumberFormat="1" applyFont="1" applyFill="1" applyBorder="1" applyAlignment="1">
      <alignment horizontal="right"/>
    </xf>
    <xf numFmtId="0" fontId="12" fillId="0" borderId="8" xfId="0" applyFont="1" applyFill="1" applyBorder="1"/>
    <xf numFmtId="9" fontId="12" fillId="0" borderId="8" xfId="0" applyNumberFormat="1" applyFont="1" applyFill="1" applyBorder="1"/>
    <xf numFmtId="9" fontId="12" fillId="0" borderId="29" xfId="0" applyNumberFormat="1" applyFont="1" applyFill="1" applyBorder="1"/>
    <xf numFmtId="9" fontId="12" fillId="0" borderId="39" xfId="0" applyNumberFormat="1" applyFont="1" applyFill="1" applyBorder="1"/>
    <xf numFmtId="0" fontId="9" fillId="0" borderId="0" xfId="0" quotePrefix="1" applyFont="1" applyFill="1" applyBorder="1" applyAlignment="1">
      <alignment horizontal="left" vertical="center"/>
    </xf>
    <xf numFmtId="3" fontId="12" fillId="14" borderId="0" xfId="0" applyNumberFormat="1" applyFont="1" applyFill="1" applyAlignment="1">
      <alignment horizontal="right"/>
    </xf>
    <xf numFmtId="0" fontId="9" fillId="14" borderId="0" xfId="0" applyFont="1" applyFill="1" applyAlignment="1">
      <alignment horizontal="right"/>
    </xf>
    <xf numFmtId="0" fontId="9" fillId="14" borderId="1" xfId="0" applyFont="1" applyFill="1" applyBorder="1" applyAlignment="1">
      <alignment horizontal="left" vertical="center"/>
    </xf>
    <xf numFmtId="0" fontId="8" fillId="13" borderId="0" xfId="0" applyFont="1" applyFill="1" applyBorder="1"/>
    <xf numFmtId="0" fontId="9" fillId="0" borderId="0" xfId="0" applyFont="1" applyFill="1" applyBorder="1" applyAlignment="1">
      <alignment horizontal="left" indent="1"/>
    </xf>
    <xf numFmtId="0" fontId="9" fillId="0" borderId="64" xfId="0" applyFont="1" applyFill="1" applyBorder="1" applyAlignment="1">
      <alignment horizontal="left"/>
    </xf>
    <xf numFmtId="0" fontId="8" fillId="0" borderId="0" xfId="0" applyFont="1" applyFill="1" applyBorder="1" applyAlignment="1">
      <alignment horizontal="left"/>
    </xf>
    <xf numFmtId="0" fontId="9" fillId="11" borderId="0" xfId="0" applyFont="1" applyFill="1" applyBorder="1" applyAlignment="1">
      <alignment horizontal="left" indent="1"/>
    </xf>
    <xf numFmtId="0" fontId="12" fillId="11" borderId="0" xfId="0" applyFont="1" applyFill="1" applyBorder="1"/>
    <xf numFmtId="3" fontId="9" fillId="11" borderId="0" xfId="0" applyNumberFormat="1" applyFont="1" applyFill="1" applyBorder="1"/>
    <xf numFmtId="3" fontId="9" fillId="11" borderId="16" xfId="0" applyNumberFormat="1" applyFont="1" applyFill="1" applyBorder="1" applyAlignment="1">
      <alignment horizontal="right"/>
    </xf>
    <xf numFmtId="3" fontId="8" fillId="11" borderId="0" xfId="0" applyNumberFormat="1" applyFont="1" applyFill="1" applyBorder="1"/>
    <xf numFmtId="3" fontId="69" fillId="0" borderId="63" xfId="0" applyNumberFormat="1" applyFont="1" applyFill="1" applyBorder="1" applyAlignment="1">
      <alignment horizontal="right"/>
    </xf>
    <xf numFmtId="3" fontId="69" fillId="0" borderId="0" xfId="0" applyNumberFormat="1" applyFont="1" applyFill="1" applyBorder="1"/>
    <xf numFmtId="3" fontId="69" fillId="11" borderId="16" xfId="0" applyNumberFormat="1" applyFont="1" applyFill="1" applyBorder="1" applyAlignment="1">
      <alignment horizontal="right"/>
    </xf>
    <xf numFmtId="172" fontId="69" fillId="0" borderId="16" xfId="5" applyNumberFormat="1" applyFont="1" applyFill="1" applyBorder="1" applyAlignment="1">
      <alignment horizontal="center"/>
    </xf>
    <xf numFmtId="0" fontId="12" fillId="0" borderId="64" xfId="0" applyFont="1" applyFill="1" applyBorder="1"/>
    <xf numFmtId="9" fontId="12" fillId="0" borderId="65" xfId="0" applyNumberFormat="1" applyFont="1" applyFill="1" applyBorder="1"/>
    <xf numFmtId="0" fontId="12" fillId="0" borderId="65" xfId="0" applyFont="1" applyFill="1" applyBorder="1"/>
    <xf numFmtId="9" fontId="9" fillId="11" borderId="0" xfId="8" applyFont="1" applyFill="1" applyBorder="1"/>
    <xf numFmtId="0" fontId="55" fillId="10" borderId="66" xfId="0" applyFont="1" applyFill="1" applyBorder="1"/>
    <xf numFmtId="194" fontId="9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horizontal="left" wrapText="1"/>
    </xf>
    <xf numFmtId="0" fontId="9" fillId="0" borderId="0" xfId="0" applyFont="1" applyAlignment="1">
      <alignment wrapText="1"/>
    </xf>
    <xf numFmtId="0" fontId="1" fillId="3" borderId="0" xfId="17" applyFont="1" applyFill="1" applyAlignment="1">
      <alignment vertical="top"/>
    </xf>
    <xf numFmtId="0" fontId="1" fillId="3" borderId="0" xfId="15" applyFill="1" applyAlignment="1">
      <alignment vertical="top"/>
    </xf>
    <xf numFmtId="0" fontId="1" fillId="3" borderId="0" xfId="15" applyFill="1"/>
    <xf numFmtId="0" fontId="52" fillId="3" borderId="0" xfId="17" applyFont="1" applyFill="1" applyAlignment="1">
      <alignment horizontal="left" vertical="top"/>
    </xf>
    <xf numFmtId="0" fontId="1" fillId="3" borderId="0" xfId="15" applyFont="1" applyFill="1" applyAlignment="1">
      <alignment vertical="top"/>
    </xf>
    <xf numFmtId="0" fontId="20" fillId="3" borderId="0" xfId="17" applyFont="1" applyFill="1" applyAlignment="1">
      <alignment vertical="top"/>
    </xf>
    <xf numFmtId="0" fontId="0" fillId="3" borderId="0" xfId="0" applyFill="1" applyAlignment="1">
      <alignment vertical="top"/>
    </xf>
    <xf numFmtId="0" fontId="71" fillId="3" borderId="0" xfId="0" applyFont="1" applyFill="1" applyAlignment="1">
      <alignment vertical="top"/>
    </xf>
    <xf numFmtId="0" fontId="72" fillId="3" borderId="0" xfId="0" applyFont="1" applyFill="1" applyAlignment="1">
      <alignment vertical="top"/>
    </xf>
    <xf numFmtId="0" fontId="72" fillId="3" borderId="0" xfId="0" applyFont="1" applyFill="1" applyAlignment="1">
      <alignment vertical="top"/>
    </xf>
    <xf numFmtId="0" fontId="71" fillId="3" borderId="0" xfId="0" applyFont="1" applyFill="1" applyAlignment="1">
      <alignment vertical="top"/>
    </xf>
    <xf numFmtId="0" fontId="0" fillId="3" borderId="0" xfId="0" applyFill="1" applyAlignment="1">
      <alignment vertical="top"/>
    </xf>
    <xf numFmtId="0" fontId="0" fillId="3" borderId="71" xfId="0" applyFill="1" applyBorder="1" applyAlignment="1">
      <alignment vertical="top"/>
    </xf>
    <xf numFmtId="0" fontId="71" fillId="3" borderId="67" xfId="0" applyFont="1" applyFill="1" applyBorder="1" applyAlignment="1">
      <alignment vertical="top"/>
    </xf>
    <xf numFmtId="0" fontId="71" fillId="3" borderId="68" xfId="0" applyFont="1" applyFill="1" applyBorder="1" applyAlignment="1">
      <alignment vertical="top"/>
    </xf>
    <xf numFmtId="0" fontId="71" fillId="3" borderId="69" xfId="0" applyFont="1" applyFill="1" applyBorder="1" applyAlignment="1">
      <alignment vertical="top"/>
    </xf>
    <xf numFmtId="0" fontId="71" fillId="3" borderId="70" xfId="0" applyFont="1" applyFill="1" applyBorder="1" applyAlignment="1">
      <alignment vertical="top"/>
    </xf>
    <xf numFmtId="9" fontId="71" fillId="3" borderId="67" xfId="0" applyNumberFormat="1" applyFont="1" applyFill="1" applyBorder="1" applyAlignment="1">
      <alignment vertical="top"/>
    </xf>
    <xf numFmtId="3" fontId="71" fillId="3" borderId="67" xfId="0" applyNumberFormat="1" applyFont="1" applyFill="1" applyBorder="1" applyAlignment="1">
      <alignment vertical="top"/>
    </xf>
    <xf numFmtId="0" fontId="0" fillId="3" borderId="72" xfId="0" applyFill="1" applyBorder="1" applyAlignment="1">
      <alignment vertical="top"/>
    </xf>
    <xf numFmtId="2" fontId="1" fillId="0" borderId="0" xfId="15" applyNumberFormat="1" applyAlignment="1">
      <alignment horizontal="left"/>
    </xf>
    <xf numFmtId="0" fontId="1" fillId="0" borderId="0" xfId="15" applyNumberFormat="1" applyAlignment="1">
      <alignment horizontal="left"/>
    </xf>
    <xf numFmtId="1" fontId="1" fillId="0" borderId="0" xfId="15" applyNumberFormat="1" applyAlignment="1">
      <alignment horizontal="left"/>
    </xf>
    <xf numFmtId="0" fontId="1" fillId="0" borderId="0" xfId="15" applyFont="1"/>
    <xf numFmtId="211" fontId="1" fillId="0" borderId="0" xfId="15" applyNumberFormat="1" applyAlignment="1">
      <alignment horizontal="left"/>
    </xf>
    <xf numFmtId="49" fontId="1" fillId="0" borderId="0" xfId="15" applyNumberFormat="1"/>
  </cellXfs>
  <cellStyles count="18">
    <cellStyle name="_x000a_386grabber=M" xfId="14"/>
    <cellStyle name="_SUMMARY " xfId="1"/>
    <cellStyle name="0_Capex &amp; Depreciation " xfId="2"/>
    <cellStyle name="0_Valuing BP " xfId="3"/>
    <cellStyle name="c_HardInc " xfId="4"/>
    <cellStyle name="Comma" xfId="5" builtinId="3"/>
    <cellStyle name="Currency" xfId="6" builtinId="4"/>
    <cellStyle name="Normal" xfId="0" builtinId="0"/>
    <cellStyle name="Normal 2" xfId="15"/>
    <cellStyle name="Normal_DisclaimerSheet Samples" xfId="17"/>
    <cellStyle name="p " xfId="7"/>
    <cellStyle name="Percent" xfId="8" builtinId="5"/>
    <cellStyle name="RRSInstruction" xfId="9"/>
    <cellStyle name="RRSInstruction 2" xfId="16"/>
    <cellStyle name="s_HardInc " xfId="10"/>
    <cellStyle name="s_Valuation " xfId="11"/>
    <cellStyle name="ssp " xfId="12"/>
    <cellStyle name="Style 1" xfId="1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1275A6"/>
      <rgbColor rgb="00DDBF61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33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worksheets/sheet10.xml" Type="http://schemas.openxmlformats.org/officeDocument/2006/relationships/worksheet"/>
<Relationship Id="rId11" Target="theme/theme1.xml" Type="http://schemas.openxmlformats.org/officeDocument/2006/relationships/theme"/>
<Relationship Id="rId12" Target="styles.xml" Type="http://schemas.openxmlformats.org/officeDocument/2006/relationships/styles"/>
<Relationship Id="rId13" Target="sharedStrings.xml" Type="http://schemas.openxmlformats.org/officeDocument/2006/relationships/sharedStrings"/>
<Relationship Id="rId14" Target="calcChain.xml" Type="http://schemas.openxmlformats.org/officeDocument/2006/relationships/calcChain"/>
<Relationship Id="rId15" Target="../customXml/item1.xml" Type="http://schemas.openxmlformats.org/officeDocument/2006/relationships/customXml"/>
<Relationship Id="rId16" Target="../customXml/item2.xml" Type="http://schemas.openxmlformats.org/officeDocument/2006/relationships/customXml"/>
<Relationship Id="rId2" Target="worksheets/sheet2.xml" Type="http://schemas.openxmlformats.org/officeDocument/2006/relationships/workshee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Reported vs Organic Net Cloud Billings Growth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Reported YoY Growth</c:v>
          </c:tx>
          <c:marker>
            <c:symbol val="none"/>
          </c:marker>
          <c:cat>
            <c:strRef>
              <c:f>(Metrics!$EK$6,Metrics!$EK$6,Metrics!$EL$6,Metrics!$EM$6,Metrics!$EN$6,Metrics!$EQ$6,Metrics!$ER$6,Metrics!$ES$6,Metrics!$ET$6,Metrics!$EW$6,Metrics!$EY$6)</c:f>
              <c:strCache>
                <c:ptCount val="2"/>
                <c:pt idx="0">
                  <c:v> 8/17</c:v>
                </c:pt>
                <c:pt idx="1">
                  <c:v> 2/18</c:v>
                </c:pt>
              </c:strCache>
            </c:strRef>
          </c:cat>
          <c:val>
            <c:numRef>
              <c:f>(Metrics!$EK$336,Metrics!$EK$336,Metrics!$EL$336,Metrics!$EM$336,Metrics!$EN$336,Metrics!$EQ$336,Metrics!$ER$336,Metrics!$ES$336,Metrics!$ET$336,Metrics!$EW$336,Metrics!$EY$336)</c:f>
              <c:numCache>
                <c:formatCode>0%</c:formatCode>
                <c:ptCount val="2"/>
                <c:pt idx="0">
                  <c:v>0.42605042016806727</c:v>
                </c:pt>
                <c:pt idx="1">
                  <c:v>-0.79701289884589277</c:v>
                </c:pt>
              </c:numCache>
            </c:numRef>
          </c:val>
          <c:smooth val="0"/>
        </c:ser>
        <c:ser>
          <c:idx val="1"/>
          <c:order val="1"/>
          <c:tx>
            <c:v>Organic Growth</c:v>
          </c:tx>
          <c:marker>
            <c:symbol val="none"/>
          </c:marker>
          <c:cat>
            <c:strRef>
              <c:f>(Metrics!$EK$6,Metrics!$EK$6,Metrics!$EL$6,Metrics!$EM$6,Metrics!$EN$6,Metrics!$EQ$6,Metrics!$ER$6,Metrics!$ES$6,Metrics!$ET$6,Metrics!$EW$6,Metrics!$EY$6)</c:f>
              <c:strCache>
                <c:ptCount val="2"/>
                <c:pt idx="0">
                  <c:v> 8/17</c:v>
                </c:pt>
                <c:pt idx="1">
                  <c:v> 2/18</c:v>
                </c:pt>
              </c:strCache>
            </c:strRef>
          </c:cat>
          <c:val>
            <c:numRef>
              <c:f>(Metrics!$EK$339,Metrics!$EK$339,Metrics!$EL$339,Metrics!$EM$339,Metrics!$EN$339,Metrics!$EQ$339,Metrics!$ER$339,Metrics!$ES$339,Metrics!$ET$339,Metrics!$EW$339,Metrics!$EY$339)</c:f>
              <c:numCache>
                <c:formatCode>0%</c:formatCode>
                <c:ptCount val="2"/>
                <c:pt idx="0">
                  <c:v>0.21139325448382174</c:v>
                </c:pt>
                <c:pt idx="1">
                  <c:v>-0.79701289884589277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714304"/>
        <c:axId val="625715840"/>
      </c:lineChart>
      <c:catAx>
        <c:axId val="62571430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625715840"/>
        <c:crosses val="autoZero"/>
        <c:auto val="1"/>
        <c:lblAlgn val="ctr"/>
        <c:lblOffset val="100"/>
        <c:noMultiLvlLbl val="0"/>
      </c:catAx>
      <c:valAx>
        <c:axId val="625715840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1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en-US"/>
          </a:p>
        </c:txPr>
        <c:crossAx val="62571430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</c:chartSpace>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_rels/drawing2.xml.rels><?xml version="1.0" encoding="UTF-8" standalone="yes"?>
<Relationships xmlns="http://schemas.openxmlformats.org/package/2006/relationships">
<Relationship Id="rId1" Target="../charts/chart1.xml" Type="http://schemas.openxmlformats.org/officeDocument/2006/relationships/chart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174</xdr:row>
      <xdr:rowOff>0</xdr:rowOff>
    </xdr:from>
    <xdr:to>
      <xdr:col>7</xdr:col>
      <xdr:colOff>390525</xdr:colOff>
      <xdr:row>197</xdr:row>
      <xdr:rowOff>104775</xdr:rowOff>
    </xdr:to>
    <xdr:pic>
      <xdr:nvPicPr>
        <xdr:cNvPr id="730113" name="Picture 1" descr="C:\Users\baerjos\AppData\Local\Temp\MercuryPriceRatingHistoryChart\ORCL.N_2018_03_19_18_38_00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803350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170</xdr:col>
      <xdr:colOff>238125</xdr:colOff>
      <xdr:row>341</xdr:row>
      <xdr:rowOff>152400</xdr:rowOff>
    </xdr:from>
    <xdr:to>
      <xdr:col>187</xdr:col>
      <xdr:colOff>152400</xdr:colOff>
      <xdr:row>359</xdr:row>
      <xdr:rowOff>80963</xdr:rowOff>
    </xdr:to>
    <xdr:graphicFrame macro="">
      <xdr:nvGraphicFramePr>
        <xdr:cNvPr id="2" name="Org Growth Billing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Research">
      <a:dk1>
        <a:sysClr val="windowText" lastClr="000000"/>
      </a:dk1>
      <a:lt1>
        <a:sysClr val="window" lastClr="FFFFFF"/>
      </a:lt1>
      <a:dk2>
        <a:srgbClr val="003366"/>
      </a:dk2>
      <a:lt2>
        <a:srgbClr val="C6D9E2"/>
      </a:lt2>
      <a:accent1>
        <a:srgbClr val="137CB1"/>
      </a:accent1>
      <a:accent2>
        <a:srgbClr val="EACC80"/>
      </a:accent2>
      <a:accent3>
        <a:srgbClr val="4AAC6B"/>
      </a:accent3>
      <a:accent4>
        <a:srgbClr val="A8D7E2"/>
      </a:accent4>
      <a:accent5>
        <a:srgbClr val="E58061"/>
      </a:accent5>
      <a:accent6>
        <a:srgbClr val="BCE3A1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vmlDrawing1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Relationship Id="rId2" Target="../drawings/vmlDrawing2.vml" Type="http://schemas.openxmlformats.org/officeDocument/2006/relationships/vmlDrawing"/>
<Relationship Id="rId3" Target="../comments2.xml" Type="http://schemas.openxmlformats.org/officeDocument/2006/relationships/comments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Relationship Id="rId2" Target="../drawings/vmlDrawing3.vml" Type="http://schemas.openxmlformats.org/officeDocument/2006/relationships/vmlDrawing"/>
<Relationship Id="rId3" Target="../comments3.xml" Type="http://schemas.openxmlformats.org/officeDocument/2006/relationships/comment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Relationship Id="rId2" Target="../drawings/drawing2.xml" Type="http://schemas.openxmlformats.org/officeDocument/2006/relationships/drawing"/>
<Relationship Id="rId3" Target="../drawings/vmlDrawing4.vml" Type="http://schemas.openxmlformats.org/officeDocument/2006/relationships/vmlDrawing"/>
<Relationship Id="rId4" Target="../comments4.xml" Type="http://schemas.openxmlformats.org/officeDocument/2006/relationships/comments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Relationship Id="rId2" Target="../drawings/vmlDrawing5.vml" Type="http://schemas.openxmlformats.org/officeDocument/2006/relationships/vmlDrawing"/>
<Relationship Id="rId3" Target="../comments5.xml" Type="http://schemas.openxmlformats.org/officeDocument/2006/relationships/comments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/Relationships>

</file>

<file path=xl/worksheets/_rels/sheet9.xml.rels><?xml version="1.0" encoding="UTF-8" standalone="yes"?>
<Relationships xmlns="http://schemas.openxmlformats.org/package/2006/relationships">
<Relationship Id="rId1" Target="../printerSettings/printerSettings8.bin" Type="http://schemas.openxmlformats.org/officeDocument/2006/relationships/printerSettings"/>
<Relationship Id="rId2" Target="../drawings/vmlDrawing6.vml" Type="http://schemas.openxmlformats.org/officeDocument/2006/relationships/vmlDrawing"/>
<Relationship Id="rId3" Target="../comments6.xml" Type="http://schemas.openxmlformats.org/officeDocument/2006/relationships/comments"/>
</Relationships>

</file>

<file path=xl/worksheets/_rels/sheet10.xml.rels><?xml version="1.0" encoding="UTF-8" standalone="yes"?>
<Relationships xmlns="http://schemas.openxmlformats.org/package/2006/relationships">
<Relationship Id="rId1" Target="../printerSettings/printerSettings9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91"/>
  <sheetViews>
    <sheetView showGridLines="0" tabSelected="1" workbookViewId="0">
      <selection activeCell="Z1" sqref="Z1"/>
    </sheetView>
  </sheetViews>
  <sheetFormatPr defaultRowHeight="12.75" x14ac:dyDescent="0.2"/>
  <cols>
    <col min="1" max="1" width="25.7109375" style="1910" customWidth="1"/>
    <col min="2" max="5" width="9.140625" style="1910"/>
    <col min="6" max="6" width="18.7109375" style="1910" customWidth="1"/>
    <col min="7" max="256" width="9.140625" style="1910"/>
    <col min="257" max="257" width="100.7109375" style="1910" customWidth="1"/>
    <col min="258" max="512" width="9.140625" style="1910"/>
    <col min="513" max="513" width="100.7109375" style="1910" customWidth="1"/>
    <col min="514" max="768" width="9.140625" style="1910"/>
    <col min="769" max="769" width="100.7109375" style="1910" customWidth="1"/>
    <col min="770" max="1024" width="9.140625" style="1910"/>
    <col min="1025" max="1025" width="100.7109375" style="1910" customWidth="1"/>
    <col min="1026" max="1280" width="9.140625" style="1910"/>
    <col min="1281" max="1281" width="100.7109375" style="1910" customWidth="1"/>
    <col min="1282" max="1536" width="9.140625" style="1910"/>
    <col min="1537" max="1537" width="100.7109375" style="1910" customWidth="1"/>
    <col min="1538" max="1792" width="9.140625" style="1910"/>
    <col min="1793" max="1793" width="100.7109375" style="1910" customWidth="1"/>
    <col min="1794" max="2048" width="9.140625" style="1910"/>
    <col min="2049" max="2049" width="100.7109375" style="1910" customWidth="1"/>
    <col min="2050" max="2304" width="9.140625" style="1910"/>
    <col min="2305" max="2305" width="100.7109375" style="1910" customWidth="1"/>
    <col min="2306" max="2560" width="9.140625" style="1910"/>
    <col min="2561" max="2561" width="100.7109375" style="1910" customWidth="1"/>
    <col min="2562" max="2816" width="9.140625" style="1910"/>
    <col min="2817" max="2817" width="100.7109375" style="1910" customWidth="1"/>
    <col min="2818" max="3072" width="9.140625" style="1910"/>
    <col min="3073" max="3073" width="100.7109375" style="1910" customWidth="1"/>
    <col min="3074" max="3328" width="9.140625" style="1910"/>
    <col min="3329" max="3329" width="100.7109375" style="1910" customWidth="1"/>
    <col min="3330" max="3584" width="9.140625" style="1910"/>
    <col min="3585" max="3585" width="100.7109375" style="1910" customWidth="1"/>
    <col min="3586" max="3840" width="9.140625" style="1910"/>
    <col min="3841" max="3841" width="100.7109375" style="1910" customWidth="1"/>
    <col min="3842" max="4096" width="9.140625" style="1910"/>
    <col min="4097" max="4097" width="100.7109375" style="1910" customWidth="1"/>
    <col min="4098" max="4352" width="9.140625" style="1910"/>
    <col min="4353" max="4353" width="100.7109375" style="1910" customWidth="1"/>
    <col min="4354" max="4608" width="9.140625" style="1910"/>
    <col min="4609" max="4609" width="100.7109375" style="1910" customWidth="1"/>
    <col min="4610" max="4864" width="9.140625" style="1910"/>
    <col min="4865" max="4865" width="100.7109375" style="1910" customWidth="1"/>
    <col min="4866" max="5120" width="9.140625" style="1910"/>
    <col min="5121" max="5121" width="100.7109375" style="1910" customWidth="1"/>
    <col min="5122" max="5376" width="9.140625" style="1910"/>
    <col min="5377" max="5377" width="100.7109375" style="1910" customWidth="1"/>
    <col min="5378" max="5632" width="9.140625" style="1910"/>
    <col min="5633" max="5633" width="100.7109375" style="1910" customWidth="1"/>
    <col min="5634" max="5888" width="9.140625" style="1910"/>
    <col min="5889" max="5889" width="100.7109375" style="1910" customWidth="1"/>
    <col min="5890" max="6144" width="9.140625" style="1910"/>
    <col min="6145" max="6145" width="100.7109375" style="1910" customWidth="1"/>
    <col min="6146" max="6400" width="9.140625" style="1910"/>
    <col min="6401" max="6401" width="100.7109375" style="1910" customWidth="1"/>
    <col min="6402" max="6656" width="9.140625" style="1910"/>
    <col min="6657" max="6657" width="100.7109375" style="1910" customWidth="1"/>
    <col min="6658" max="6912" width="9.140625" style="1910"/>
    <col min="6913" max="6913" width="100.7109375" style="1910" customWidth="1"/>
    <col min="6914" max="7168" width="9.140625" style="1910"/>
    <col min="7169" max="7169" width="100.7109375" style="1910" customWidth="1"/>
    <col min="7170" max="7424" width="9.140625" style="1910"/>
    <col min="7425" max="7425" width="100.7109375" style="1910" customWidth="1"/>
    <col min="7426" max="7680" width="9.140625" style="1910"/>
    <col min="7681" max="7681" width="100.7109375" style="1910" customWidth="1"/>
    <col min="7682" max="7936" width="9.140625" style="1910"/>
    <col min="7937" max="7937" width="100.7109375" style="1910" customWidth="1"/>
    <col min="7938" max="8192" width="9.140625" style="1910"/>
    <col min="8193" max="8193" width="100.7109375" style="1910" customWidth="1"/>
    <col min="8194" max="8448" width="9.140625" style="1910"/>
    <col min="8449" max="8449" width="100.7109375" style="1910" customWidth="1"/>
    <col min="8450" max="8704" width="9.140625" style="1910"/>
    <col min="8705" max="8705" width="100.7109375" style="1910" customWidth="1"/>
    <col min="8706" max="8960" width="9.140625" style="1910"/>
    <col min="8961" max="8961" width="100.7109375" style="1910" customWidth="1"/>
    <col min="8962" max="9216" width="9.140625" style="1910"/>
    <col min="9217" max="9217" width="100.7109375" style="1910" customWidth="1"/>
    <col min="9218" max="9472" width="9.140625" style="1910"/>
    <col min="9473" max="9473" width="100.7109375" style="1910" customWidth="1"/>
    <col min="9474" max="9728" width="9.140625" style="1910"/>
    <col min="9729" max="9729" width="100.7109375" style="1910" customWidth="1"/>
    <col min="9730" max="9984" width="9.140625" style="1910"/>
    <col min="9985" max="9985" width="100.7109375" style="1910" customWidth="1"/>
    <col min="9986" max="10240" width="9.140625" style="1910"/>
    <col min="10241" max="10241" width="100.7109375" style="1910" customWidth="1"/>
    <col min="10242" max="10496" width="9.140625" style="1910"/>
    <col min="10497" max="10497" width="100.7109375" style="1910" customWidth="1"/>
    <col min="10498" max="10752" width="9.140625" style="1910"/>
    <col min="10753" max="10753" width="100.7109375" style="1910" customWidth="1"/>
    <col min="10754" max="11008" width="9.140625" style="1910"/>
    <col min="11009" max="11009" width="100.7109375" style="1910" customWidth="1"/>
    <col min="11010" max="11264" width="9.140625" style="1910"/>
    <col min="11265" max="11265" width="100.7109375" style="1910" customWidth="1"/>
    <col min="11266" max="11520" width="9.140625" style="1910"/>
    <col min="11521" max="11521" width="100.7109375" style="1910" customWidth="1"/>
    <col min="11522" max="11776" width="9.140625" style="1910"/>
    <col min="11777" max="11777" width="100.7109375" style="1910" customWidth="1"/>
    <col min="11778" max="12032" width="9.140625" style="1910"/>
    <col min="12033" max="12033" width="100.7109375" style="1910" customWidth="1"/>
    <col min="12034" max="12288" width="9.140625" style="1910"/>
    <col min="12289" max="12289" width="100.7109375" style="1910" customWidth="1"/>
    <col min="12290" max="12544" width="9.140625" style="1910"/>
    <col min="12545" max="12545" width="100.7109375" style="1910" customWidth="1"/>
    <col min="12546" max="12800" width="9.140625" style="1910"/>
    <col min="12801" max="12801" width="100.7109375" style="1910" customWidth="1"/>
    <col min="12802" max="13056" width="9.140625" style="1910"/>
    <col min="13057" max="13057" width="100.7109375" style="1910" customWidth="1"/>
    <col min="13058" max="13312" width="9.140625" style="1910"/>
    <col min="13313" max="13313" width="100.7109375" style="1910" customWidth="1"/>
    <col min="13314" max="13568" width="9.140625" style="1910"/>
    <col min="13569" max="13569" width="100.7109375" style="1910" customWidth="1"/>
    <col min="13570" max="13824" width="9.140625" style="1910"/>
    <col min="13825" max="13825" width="100.7109375" style="1910" customWidth="1"/>
    <col min="13826" max="14080" width="9.140625" style="1910"/>
    <col min="14081" max="14081" width="100.7109375" style="1910" customWidth="1"/>
    <col min="14082" max="14336" width="9.140625" style="1910"/>
    <col min="14337" max="14337" width="100.7109375" style="1910" customWidth="1"/>
    <col min="14338" max="14592" width="9.140625" style="1910"/>
    <col min="14593" max="14593" width="100.7109375" style="1910" customWidth="1"/>
    <col min="14594" max="14848" width="9.140625" style="1910"/>
    <col min="14849" max="14849" width="100.7109375" style="1910" customWidth="1"/>
    <col min="14850" max="15104" width="9.140625" style="1910"/>
    <col min="15105" max="15105" width="100.7109375" style="1910" customWidth="1"/>
    <col min="15106" max="15360" width="9.140625" style="1910"/>
    <col min="15361" max="15361" width="100.7109375" style="1910" customWidth="1"/>
    <col min="15362" max="15616" width="9.140625" style="1910"/>
    <col min="15617" max="15617" width="100.7109375" style="1910" customWidth="1"/>
    <col min="15618" max="15872" width="9.140625" style="1910"/>
    <col min="15873" max="15873" width="100.7109375" style="1910" customWidth="1"/>
    <col min="15874" max="16128" width="9.140625" style="1910"/>
    <col min="16129" max="16129" width="100.7109375" style="1910" customWidth="1"/>
    <col min="16130" max="16384" width="9.140625" style="1910"/>
  </cols>
  <sheetData>
    <row r="1" spans="1:8" ht="30" customHeight="1" x14ac:dyDescent="0.2">
      <c r="A1" s="1908"/>
      <c r="B1" s="1909"/>
      <c r="C1" s="1909"/>
      <c r="D1" s="1909"/>
      <c r="E1" s="1909"/>
      <c r="F1" s="1909"/>
      <c r="G1" s="1909"/>
      <c r="H1" s="1909"/>
    </row>
    <row r="2" spans="1:8" ht="14.25" x14ac:dyDescent="0.2">
      <c r="A2" s="1911" t="s">
        <v>1307</v>
      </c>
      <c r="B2" s="1909"/>
      <c r="C2" s="1909"/>
      <c r="D2" s="1909"/>
      <c r="E2" s="1909"/>
      <c r="F2" s="1909"/>
      <c r="G2" s="1909"/>
      <c r="H2" s="1909"/>
    </row>
    <row r="3" spans="1:8" ht="14.25" x14ac:dyDescent="0.2">
      <c r="A3" s="1911" t="s">
        <v>1308</v>
      </c>
      <c r="B3" s="1909"/>
      <c r="C3" s="1909"/>
      <c r="D3" s="1909"/>
      <c r="E3" s="1909"/>
      <c r="F3" s="1909"/>
      <c r="G3" s="1909"/>
      <c r="H3" s="1909"/>
    </row>
    <row r="4" spans="1:8" ht="14.25" x14ac:dyDescent="0.2">
      <c r="A4" s="1911" t="s">
        <v>1309</v>
      </c>
      <c r="B4" s="1909"/>
      <c r="C4" s="1909"/>
      <c r="D4" s="1909"/>
      <c r="E4" s="1909"/>
      <c r="F4" s="1909"/>
      <c r="G4" s="1909"/>
      <c r="H4" s="1909"/>
    </row>
    <row r="5" spans="1:8" ht="14.25" x14ac:dyDescent="0.2">
      <c r="A5" s="1911" t="s">
        <v>1310</v>
      </c>
      <c r="B5" s="1909"/>
      <c r="C5" s="1909"/>
      <c r="D5" s="1909"/>
      <c r="E5" s="1909"/>
      <c r="F5" s="1909"/>
      <c r="G5" s="1909"/>
      <c r="H5" s="1909"/>
    </row>
    <row r="6" spans="1:8" ht="14.25" x14ac:dyDescent="0.2">
      <c r="A6" s="1911"/>
      <c r="B6" s="1909"/>
      <c r="C6" s="1909"/>
      <c r="D6" s="1909"/>
      <c r="E6" s="1909"/>
      <c r="F6" s="1909"/>
      <c r="G6" s="1909"/>
      <c r="H6" s="1909"/>
    </row>
    <row r="7" spans="1:8" x14ac:dyDescent="0.2">
      <c r="A7" s="1908" t="s">
        <v>1311</v>
      </c>
      <c r="B7" s="1909"/>
      <c r="C7" s="1909"/>
      <c r="D7" s="1909"/>
      <c r="E7" s="1909"/>
      <c r="F7" s="1909"/>
      <c r="G7" s="1909"/>
      <c r="H7" s="1909"/>
    </row>
    <row r="8" spans="1:8" x14ac:dyDescent="0.2">
      <c r="A8" s="1908" t="s">
        <v>1312</v>
      </c>
      <c r="B8" s="1909"/>
      <c r="C8" s="1909"/>
      <c r="D8" s="1909"/>
      <c r="E8" s="1909"/>
      <c r="F8" s="1909"/>
      <c r="G8" s="1909"/>
      <c r="H8" s="1909"/>
    </row>
    <row r="9" spans="1:8" x14ac:dyDescent="0.2">
      <c r="A9" s="1908"/>
      <c r="B9" s="1909"/>
      <c r="C9" s="1909"/>
      <c r="D9" s="1909"/>
      <c r="E9" s="1909"/>
      <c r="F9" s="1909"/>
      <c r="G9" s="1909"/>
      <c r="H9" s="1909"/>
    </row>
    <row r="10" spans="1:8" x14ac:dyDescent="0.2">
      <c r="A10" s="1912" t="s">
        <v>1313</v>
      </c>
      <c r="B10" s="1909"/>
      <c r="C10" s="1909"/>
      <c r="D10" s="1909"/>
      <c r="E10" s="1909"/>
      <c r="F10" s="1909"/>
      <c r="G10" s="1909"/>
      <c r="H10" s="1909"/>
    </row>
    <row r="11" spans="1:8" x14ac:dyDescent="0.2">
      <c r="A11" s="1912" t="s">
        <v>1314</v>
      </c>
      <c r="B11" s="1909"/>
      <c r="C11" s="1909"/>
      <c r="D11" s="1909"/>
      <c r="E11" s="1909"/>
      <c r="F11" s="1909"/>
      <c r="G11" s="1909"/>
      <c r="H11" s="1909"/>
    </row>
    <row r="12" spans="1:8" x14ac:dyDescent="0.2">
      <c r="A12" s="1912" t="s">
        <v>1315</v>
      </c>
      <c r="B12" s="1909"/>
      <c r="C12" s="1909"/>
      <c r="D12" s="1909"/>
      <c r="E12" s="1909"/>
      <c r="F12" s="1909"/>
      <c r="G12" s="1909"/>
      <c r="H12" s="1909"/>
    </row>
    <row r="13" spans="1:8" x14ac:dyDescent="0.2">
      <c r="A13" s="1912" t="s">
        <v>1316</v>
      </c>
      <c r="B13" s="1909"/>
      <c r="C13" s="1909"/>
      <c r="D13" s="1909"/>
      <c r="E13" s="1909"/>
      <c r="F13" s="1909"/>
      <c r="G13" s="1909"/>
      <c r="H13" s="1909"/>
    </row>
    <row r="14" spans="1:8" x14ac:dyDescent="0.2">
      <c r="A14" s="1912" t="s">
        <v>1317</v>
      </c>
      <c r="B14" s="1909"/>
      <c r="C14" s="1909"/>
      <c r="D14" s="1909"/>
      <c r="E14" s="1909"/>
      <c r="F14" s="1909"/>
      <c r="G14" s="1909"/>
      <c r="H14" s="1909"/>
    </row>
    <row r="15" spans="1:8" x14ac:dyDescent="0.2">
      <c r="A15" s="1912" t="s">
        <v>1318</v>
      </c>
      <c r="B15" s="1909"/>
      <c r="C15" s="1909"/>
      <c r="D15" s="1909"/>
      <c r="E15" s="1909"/>
      <c r="F15" s="1909"/>
      <c r="G15" s="1909"/>
      <c r="H15" s="1909"/>
    </row>
    <row r="16" spans="1:8" x14ac:dyDescent="0.2">
      <c r="A16" s="1912"/>
      <c r="B16" s="1909"/>
      <c r="C16" s="1909"/>
      <c r="D16" s="1909"/>
      <c r="E16" s="1909"/>
      <c r="F16" s="1909"/>
      <c r="G16" s="1909"/>
      <c r="H16" s="1909"/>
    </row>
    <row r="17" spans="1:8" x14ac:dyDescent="0.2">
      <c r="A17" s="1912" t="s">
        <v>1304</v>
      </c>
      <c r="B17" s="1909"/>
      <c r="C17" s="1909"/>
      <c r="D17" s="1909"/>
      <c r="E17" s="1909"/>
      <c r="F17" s="1909"/>
      <c r="G17" s="1909"/>
      <c r="H17" s="1909"/>
    </row>
    <row r="18" spans="1:8" x14ac:dyDescent="0.2">
      <c r="A18" s="1912"/>
      <c r="B18" s="1909"/>
      <c r="C18" s="1909"/>
      <c r="D18" s="1909"/>
      <c r="E18" s="1909"/>
      <c r="F18" s="1909"/>
      <c r="G18" s="1909"/>
      <c r="H18" s="1909"/>
    </row>
    <row r="19" spans="1:8" x14ac:dyDescent="0.2">
      <c r="A19" s="1912" t="s">
        <v>1305</v>
      </c>
      <c r="B19" s="1909"/>
      <c r="C19" s="1909"/>
      <c r="D19" s="1909"/>
      <c r="E19" s="1909"/>
      <c r="F19" s="1909"/>
      <c r="G19" s="1909"/>
      <c r="H19" s="1909"/>
    </row>
    <row r="20" spans="1:8" x14ac:dyDescent="0.2">
      <c r="A20" s="1908"/>
      <c r="B20" s="1909"/>
      <c r="C20" s="1909"/>
      <c r="D20" s="1909"/>
      <c r="E20" s="1909"/>
      <c r="F20" s="1909"/>
      <c r="G20" s="1909"/>
      <c r="H20" s="1909"/>
    </row>
    <row r="21" spans="1:8" x14ac:dyDescent="0.2">
      <c r="A21" s="1913" t="s">
        <v>1306</v>
      </c>
      <c r="B21" s="1909"/>
      <c r="C21" s="1909"/>
      <c r="D21" s="1909"/>
      <c r="E21" s="1909"/>
      <c r="F21" s="1909"/>
      <c r="G21" s="1909"/>
      <c r="H21" s="1909"/>
    </row>
    <row r="22" spans="1:8" x14ac:dyDescent="0.2">
      <c r="A22" s="1914"/>
      <c r="B22" s="1914"/>
      <c r="C22" s="1914"/>
      <c r="D22" s="1914"/>
      <c r="E22" s="1914"/>
      <c r="F22" s="1914"/>
      <c r="G22" s="1914"/>
      <c r="H22" s="1914"/>
    </row>
    <row r="23" spans="1:8" x14ac:dyDescent="0.2">
      <c r="A23" s="1915" t="s">
        <v>1595</v>
      </c>
      <c r="B23" s="1914"/>
      <c r="C23" s="1914"/>
      <c r="D23" s="1914"/>
      <c r="E23" s="1914"/>
      <c r="F23" s="1914"/>
      <c r="G23" s="1914"/>
      <c r="H23" s="1914"/>
    </row>
    <row r="24" spans="1:8" x14ac:dyDescent="0.2">
      <c r="A24" s="1915" t="s">
        <v>1596</v>
      </c>
      <c r="B24" s="1914"/>
      <c r="C24" s="1914"/>
      <c r="D24" s="1914"/>
      <c r="E24" s="1914"/>
      <c r="F24" s="1914"/>
      <c r="G24" s="1914"/>
      <c r="H24" s="1914"/>
    </row>
    <row r="25" spans="1:8" x14ac:dyDescent="0.2">
      <c r="A25" s="1915" t="s">
        <v>1597</v>
      </c>
      <c r="B25" s="1914"/>
      <c r="C25" s="1914"/>
      <c r="D25" s="1914"/>
      <c r="E25" s="1914"/>
      <c r="F25" s="1914"/>
      <c r="G25" s="1914"/>
      <c r="H25" s="1914"/>
    </row>
    <row r="26" spans="1:8" x14ac:dyDescent="0.2">
      <c r="A26" s="1915" t="s">
        <v>1598</v>
      </c>
      <c r="B26" s="1914"/>
      <c r="C26" s="1914"/>
      <c r="D26" s="1914"/>
      <c r="E26" s="1914"/>
      <c r="F26" s="1914"/>
      <c r="G26" s="1914"/>
      <c r="H26" s="1914"/>
    </row>
    <row r="27" spans="1:8" x14ac:dyDescent="0.2">
      <c r="A27" s="1914"/>
      <c r="B27" s="1914"/>
      <c r="C27" s="1914"/>
      <c r="D27" s="1914"/>
      <c r="E27" s="1914"/>
      <c r="F27" s="1914"/>
      <c r="G27" s="1914"/>
      <c r="H27" s="1914"/>
    </row>
    <row r="28" spans="1:8" x14ac:dyDescent="0.2">
      <c r="A28" s="1914"/>
      <c r="B28" s="1914"/>
      <c r="C28" s="1914"/>
      <c r="D28" s="1914"/>
      <c r="E28" s="1914"/>
      <c r="F28" s="1914"/>
      <c r="G28" s="1914"/>
      <c r="H28" s="1914"/>
    </row>
    <row r="29" spans="1:8" x14ac:dyDescent="0.2">
      <c r="A29" s="1915" t="s">
        <v>1590</v>
      </c>
      <c r="B29" s="1914"/>
      <c r="C29" s="1914"/>
      <c r="D29" s="1914"/>
      <c r="E29" s="1914"/>
      <c r="F29" s="1914"/>
      <c r="G29" s="1914"/>
      <c r="H29" s="1914"/>
    </row>
    <row r="30" spans="1:8" x14ac:dyDescent="0.2">
      <c r="A30" s="1915" t="s">
        <v>1591</v>
      </c>
      <c r="B30" s="1914"/>
      <c r="C30" s="1914"/>
      <c r="D30" s="1914"/>
      <c r="E30" s="1914"/>
      <c r="F30" s="1914"/>
      <c r="G30" s="1914"/>
      <c r="H30" s="1914"/>
    </row>
    <row r="31" spans="1:8" x14ac:dyDescent="0.2">
      <c r="A31" s="1915" t="s">
        <v>1592</v>
      </c>
      <c r="B31" s="1914"/>
      <c r="C31" s="1914"/>
      <c r="D31" s="1914"/>
      <c r="E31" s="1914"/>
      <c r="F31" s="1914"/>
      <c r="G31" s="1914"/>
      <c r="H31" s="1914"/>
    </row>
    <row r="32" spans="1:8" x14ac:dyDescent="0.2">
      <c r="A32" s="1915" t="s">
        <v>1593</v>
      </c>
      <c r="B32" s="1914"/>
      <c r="C32" s="1914"/>
      <c r="D32" s="1914"/>
      <c r="E32" s="1914"/>
      <c r="F32" s="1914"/>
      <c r="G32" s="1914"/>
      <c r="H32" s="1914"/>
    </row>
    <row r="33" spans="1:8" x14ac:dyDescent="0.2">
      <c r="A33" s="1915" t="s">
        <v>1594</v>
      </c>
      <c r="B33" s="1914"/>
      <c r="C33" s="1914"/>
      <c r="D33" s="1914"/>
      <c r="E33" s="1914"/>
      <c r="F33" s="1914"/>
      <c r="G33" s="1914"/>
      <c r="H33" s="1914"/>
    </row>
    <row r="34" spans="1:8" x14ac:dyDescent="0.2">
      <c r="A34" s="1914"/>
      <c r="B34" s="1914"/>
      <c r="C34" s="1914"/>
      <c r="D34" s="1914"/>
      <c r="E34" s="1914"/>
      <c r="F34" s="1914"/>
      <c r="G34" s="1914"/>
      <c r="H34" s="1914"/>
    </row>
    <row r="35" spans="1:8" x14ac:dyDescent="0.2">
      <c r="A35" s="1915" t="s">
        <v>1586</v>
      </c>
      <c r="B35" s="1914"/>
      <c r="C35" s="1914"/>
      <c r="D35" s="1914"/>
      <c r="E35" s="1914"/>
      <c r="F35" s="1914"/>
      <c r="G35" s="1914"/>
      <c r="H35" s="1914"/>
    </row>
    <row r="36" spans="1:8" x14ac:dyDescent="0.2">
      <c r="A36" s="1915" t="s">
        <v>1587</v>
      </c>
      <c r="B36" s="1914"/>
      <c r="C36" s="1914"/>
      <c r="D36" s="1914"/>
      <c r="E36" s="1914"/>
      <c r="F36" s="1914"/>
      <c r="G36" s="1914"/>
      <c r="H36" s="1914"/>
    </row>
    <row r="37" spans="1:8" x14ac:dyDescent="0.2">
      <c r="A37" s="1915" t="s">
        <v>1588</v>
      </c>
      <c r="B37" s="1914"/>
      <c r="C37" s="1914"/>
      <c r="D37" s="1914"/>
      <c r="E37" s="1914"/>
      <c r="F37" s="1914"/>
      <c r="G37" s="1914"/>
      <c r="H37" s="1914"/>
    </row>
    <row r="38" spans="1:8" x14ac:dyDescent="0.2">
      <c r="A38" s="1915" t="s">
        <v>1589</v>
      </c>
      <c r="B38" s="1914"/>
      <c r="C38" s="1914"/>
      <c r="D38" s="1914"/>
      <c r="E38" s="1914"/>
      <c r="F38" s="1914"/>
      <c r="G38" s="1914"/>
      <c r="H38" s="1914"/>
    </row>
    <row r="39" spans="1:8" x14ac:dyDescent="0.2">
      <c r="A39" s="1914"/>
      <c r="B39" s="1914"/>
      <c r="C39" s="1914"/>
      <c r="D39" s="1914"/>
      <c r="E39" s="1914"/>
      <c r="F39" s="1914"/>
      <c r="G39" s="1914"/>
      <c r="H39" s="1914"/>
    </row>
    <row r="40" spans="1:8" x14ac:dyDescent="0.2">
      <c r="A40" s="1915" t="s">
        <v>1580</v>
      </c>
      <c r="B40" s="1914"/>
      <c r="C40" s="1914"/>
      <c r="D40" s="1914"/>
      <c r="E40" s="1914"/>
      <c r="F40" s="1914"/>
      <c r="G40" s="1914"/>
      <c r="H40" s="1914"/>
    </row>
    <row r="41" spans="1:8" x14ac:dyDescent="0.2">
      <c r="A41" s="1915" t="s">
        <v>1581</v>
      </c>
      <c r="B41" s="1914"/>
      <c r="C41" s="1914"/>
      <c r="D41" s="1914"/>
      <c r="E41" s="1914"/>
      <c r="F41" s="1914"/>
      <c r="G41" s="1914"/>
      <c r="H41" s="1914"/>
    </row>
    <row r="42" spans="1:8" x14ac:dyDescent="0.2">
      <c r="A42" s="1915" t="s">
        <v>1582</v>
      </c>
      <c r="B42" s="1914"/>
      <c r="C42" s="1914"/>
      <c r="D42" s="1914"/>
      <c r="E42" s="1914"/>
      <c r="F42" s="1914"/>
      <c r="G42" s="1914"/>
      <c r="H42" s="1914"/>
    </row>
    <row r="43" spans="1:8" x14ac:dyDescent="0.2">
      <c r="A43" s="1915" t="s">
        <v>1583</v>
      </c>
      <c r="B43" s="1914"/>
      <c r="C43" s="1914"/>
      <c r="D43" s="1914"/>
      <c r="E43" s="1914"/>
      <c r="F43" s="1914"/>
      <c r="G43" s="1914"/>
      <c r="H43" s="1914"/>
    </row>
    <row r="44" spans="1:8" x14ac:dyDescent="0.2">
      <c r="A44" s="1915" t="s">
        <v>1584</v>
      </c>
      <c r="B44" s="1914"/>
      <c r="C44" s="1914"/>
      <c r="D44" s="1914"/>
      <c r="E44" s="1914"/>
      <c r="F44" s="1914"/>
      <c r="G44" s="1914"/>
      <c r="H44" s="1914"/>
    </row>
    <row r="45" spans="1:8" x14ac:dyDescent="0.2">
      <c r="A45" s="1915" t="s">
        <v>1585</v>
      </c>
      <c r="B45" s="1914"/>
      <c r="C45" s="1914"/>
      <c r="D45" s="1914"/>
      <c r="E45" s="1914"/>
      <c r="F45" s="1914"/>
      <c r="G45" s="1914"/>
      <c r="H45" s="1914"/>
    </row>
    <row r="46" spans="1:8" x14ac:dyDescent="0.2">
      <c r="A46" s="1914"/>
      <c r="B46" s="1914"/>
      <c r="C46" s="1914"/>
      <c r="D46" s="1914"/>
      <c r="E46" s="1914"/>
      <c r="F46" s="1914"/>
      <c r="G46" s="1914"/>
      <c r="H46" s="1914"/>
    </row>
    <row r="47" spans="1:8" ht="15.75" x14ac:dyDescent="0.2">
      <c r="A47" s="1916" t="s">
        <v>1319</v>
      </c>
      <c r="B47" s="1914"/>
      <c r="C47" s="1914"/>
      <c r="D47" s="1914"/>
      <c r="E47" s="1914"/>
      <c r="F47" s="1914"/>
      <c r="G47" s="1914"/>
      <c r="H47" s="1914"/>
    </row>
    <row r="48" spans="1:8" x14ac:dyDescent="0.2">
      <c r="A48" s="1914"/>
      <c r="B48" s="1914"/>
      <c r="C48" s="1914"/>
      <c r="D48" s="1914"/>
      <c r="E48" s="1914"/>
      <c r="F48" s="1914"/>
      <c r="G48" s="1914"/>
      <c r="H48" s="1914"/>
    </row>
    <row r="49" spans="1:8" x14ac:dyDescent="0.2">
      <c r="A49" s="1915" t="s">
        <v>1576</v>
      </c>
      <c r="B49" s="1914"/>
      <c r="C49" s="1914"/>
      <c r="D49" s="1914"/>
      <c r="E49" s="1914"/>
      <c r="F49" s="1914"/>
      <c r="G49" s="1914"/>
      <c r="H49" s="1914"/>
    </row>
    <row r="50" spans="1:8" x14ac:dyDescent="0.2">
      <c r="A50" s="1915" t="s">
        <v>1577</v>
      </c>
      <c r="B50" s="1914"/>
      <c r="C50" s="1914"/>
      <c r="D50" s="1914"/>
      <c r="E50" s="1914"/>
      <c r="F50" s="1914"/>
      <c r="G50" s="1914"/>
      <c r="H50" s="1914"/>
    </row>
    <row r="51" spans="1:8" x14ac:dyDescent="0.2">
      <c r="A51" s="1915" t="s">
        <v>1578</v>
      </c>
      <c r="B51" s="1914"/>
      <c r="C51" s="1914"/>
      <c r="D51" s="1914"/>
      <c r="E51" s="1914"/>
      <c r="F51" s="1914"/>
      <c r="G51" s="1914"/>
      <c r="H51" s="1914"/>
    </row>
    <row r="52" spans="1:8" x14ac:dyDescent="0.2">
      <c r="A52" s="1915" t="s">
        <v>1579</v>
      </c>
      <c r="B52" s="1914"/>
      <c r="C52" s="1914"/>
      <c r="D52" s="1914"/>
      <c r="E52" s="1914"/>
      <c r="F52" s="1914"/>
      <c r="G52" s="1914"/>
      <c r="H52" s="1914"/>
    </row>
    <row r="53" spans="1:8" x14ac:dyDescent="0.2">
      <c r="A53" s="1914"/>
      <c r="B53" s="1914"/>
      <c r="C53" s="1914"/>
      <c r="D53" s="1914"/>
      <c r="E53" s="1914"/>
      <c r="F53" s="1914"/>
      <c r="G53" s="1914"/>
      <c r="H53" s="1914"/>
    </row>
    <row r="54" spans="1:8" x14ac:dyDescent="0.2">
      <c r="A54" s="1915" t="s">
        <v>1320</v>
      </c>
      <c r="B54" s="1914"/>
      <c r="C54" s="1914"/>
      <c r="D54" s="1914"/>
      <c r="E54" s="1914"/>
      <c r="F54" s="1914"/>
      <c r="G54" s="1914"/>
      <c r="H54" s="1914"/>
    </row>
    <row r="55" spans="1:8" x14ac:dyDescent="0.2">
      <c r="A55" s="1914"/>
      <c r="B55" s="1914"/>
      <c r="C55" s="1914"/>
      <c r="D55" s="1914"/>
      <c r="E55" s="1914"/>
      <c r="F55" s="1914"/>
      <c r="G55" s="1914"/>
      <c r="H55" s="1914"/>
    </row>
    <row r="56" spans="1:8" ht="15.75" x14ac:dyDescent="0.2">
      <c r="A56" s="1916" t="s">
        <v>1321</v>
      </c>
      <c r="B56" s="1914"/>
      <c r="C56" s="1914"/>
      <c r="D56" s="1914"/>
      <c r="E56" s="1914"/>
      <c r="F56" s="1914"/>
      <c r="G56" s="1914"/>
      <c r="H56" s="1914"/>
    </row>
    <row r="57" spans="1:8" x14ac:dyDescent="0.2">
      <c r="A57" s="1914"/>
      <c r="B57" s="1914"/>
      <c r="C57" s="1914"/>
      <c r="D57" s="1914"/>
      <c r="E57" s="1914"/>
      <c r="F57" s="1914"/>
      <c r="G57" s="1914"/>
      <c r="H57" s="1914"/>
    </row>
    <row r="58" spans="1:8" x14ac:dyDescent="0.2">
      <c r="A58" s="1915" t="s">
        <v>1574</v>
      </c>
      <c r="B58" s="1914"/>
      <c r="C58" s="1914"/>
      <c r="D58" s="1914"/>
      <c r="E58" s="1914"/>
      <c r="F58" s="1914"/>
      <c r="G58" s="1914"/>
      <c r="H58" s="1914"/>
    </row>
    <row r="59" spans="1:8" x14ac:dyDescent="0.2">
      <c r="A59" s="1915" t="s">
        <v>1575</v>
      </c>
      <c r="B59" s="1914"/>
      <c r="C59" s="1914"/>
      <c r="D59" s="1914"/>
      <c r="E59" s="1914"/>
      <c r="F59" s="1914"/>
      <c r="G59" s="1914"/>
      <c r="H59" s="1914"/>
    </row>
    <row r="60" spans="1:8" x14ac:dyDescent="0.2">
      <c r="A60" s="1914"/>
      <c r="B60" s="1914"/>
      <c r="C60" s="1914"/>
      <c r="D60" s="1914"/>
      <c r="E60" s="1914"/>
      <c r="F60" s="1914"/>
      <c r="G60" s="1914"/>
      <c r="H60" s="1914"/>
    </row>
    <row r="61" spans="1:8" ht="15.75" x14ac:dyDescent="0.2">
      <c r="A61" s="1916" t="s">
        <v>1322</v>
      </c>
      <c r="B61" s="1914"/>
      <c r="C61" s="1914"/>
      <c r="D61" s="1914"/>
      <c r="E61" s="1914"/>
      <c r="F61" s="1914"/>
      <c r="G61" s="1914"/>
      <c r="H61" s="1914"/>
    </row>
    <row r="62" spans="1:8" x14ac:dyDescent="0.2">
      <c r="A62" s="1914"/>
      <c r="B62" s="1914"/>
      <c r="C62" s="1914"/>
      <c r="D62" s="1914"/>
      <c r="E62" s="1914"/>
      <c r="F62" s="1914"/>
      <c r="G62" s="1914"/>
      <c r="H62" s="1914"/>
    </row>
    <row r="63" spans="1:8" x14ac:dyDescent="0.2">
      <c r="A63" s="1915" t="s">
        <v>1572</v>
      </c>
      <c r="B63" s="1914"/>
      <c r="C63" s="1914"/>
      <c r="D63" s="1914"/>
      <c r="E63" s="1914"/>
      <c r="F63" s="1914"/>
      <c r="G63" s="1914"/>
      <c r="H63" s="1914"/>
    </row>
    <row r="64" spans="1:8" x14ac:dyDescent="0.2">
      <c r="A64" s="1915" t="s">
        <v>1573</v>
      </c>
      <c r="B64" s="1914"/>
      <c r="C64" s="1914"/>
      <c r="D64" s="1914"/>
      <c r="E64" s="1914"/>
      <c r="F64" s="1914"/>
      <c r="G64" s="1914"/>
      <c r="H64" s="1914"/>
    </row>
    <row r="65" spans="1:8" x14ac:dyDescent="0.2">
      <c r="A65" s="1914"/>
      <c r="B65" s="1914"/>
      <c r="C65" s="1914"/>
      <c r="D65" s="1914"/>
      <c r="E65" s="1914"/>
      <c r="F65" s="1914"/>
      <c r="G65" s="1914"/>
      <c r="H65" s="1914"/>
    </row>
    <row r="66" spans="1:8" x14ac:dyDescent="0.2">
      <c r="A66" s="1915" t="s">
        <v>1570</v>
      </c>
      <c r="B66" s="1914"/>
      <c r="C66" s="1914"/>
      <c r="D66" s="1914"/>
      <c r="E66" s="1914"/>
      <c r="F66" s="1914"/>
      <c r="G66" s="1914"/>
      <c r="H66" s="1914"/>
    </row>
    <row r="67" spans="1:8" x14ac:dyDescent="0.2">
      <c r="A67" s="1915" t="s">
        <v>1571</v>
      </c>
      <c r="B67" s="1914"/>
      <c r="C67" s="1914"/>
      <c r="D67" s="1914"/>
      <c r="E67" s="1914"/>
      <c r="F67" s="1914"/>
      <c r="G67" s="1914"/>
      <c r="H67" s="1914"/>
    </row>
    <row r="68" spans="1:8" x14ac:dyDescent="0.2">
      <c r="A68" s="1914"/>
      <c r="B68" s="1914"/>
      <c r="C68" s="1914"/>
      <c r="D68" s="1914"/>
      <c r="E68" s="1914"/>
      <c r="F68" s="1914"/>
      <c r="G68" s="1914"/>
      <c r="H68" s="1914"/>
    </row>
    <row r="69" spans="1:8" x14ac:dyDescent="0.2">
      <c r="A69" s="1915" t="s">
        <v>1568</v>
      </c>
      <c r="B69" s="1914"/>
      <c r="C69" s="1914"/>
      <c r="D69" s="1914"/>
      <c r="E69" s="1914"/>
      <c r="F69" s="1914"/>
      <c r="G69" s="1914"/>
      <c r="H69" s="1914"/>
    </row>
    <row r="70" spans="1:8" x14ac:dyDescent="0.2">
      <c r="A70" s="1915" t="s">
        <v>1569</v>
      </c>
      <c r="B70" s="1914"/>
      <c r="C70" s="1914"/>
      <c r="D70" s="1914"/>
      <c r="E70" s="1914"/>
      <c r="F70" s="1914"/>
      <c r="G70" s="1914"/>
      <c r="H70" s="1914"/>
    </row>
    <row r="71" spans="1:8" x14ac:dyDescent="0.2">
      <c r="A71" s="1914"/>
      <c r="B71" s="1914"/>
      <c r="C71" s="1914"/>
      <c r="D71" s="1914"/>
      <c r="E71" s="1914"/>
      <c r="F71" s="1914"/>
      <c r="G71" s="1914"/>
      <c r="H71" s="1914"/>
    </row>
    <row r="72" spans="1:8" x14ac:dyDescent="0.2">
      <c r="A72" s="1915" t="s">
        <v>1565</v>
      </c>
      <c r="B72" s="1914"/>
      <c r="C72" s="1914"/>
      <c r="D72" s="1914"/>
      <c r="E72" s="1914"/>
      <c r="F72" s="1914"/>
      <c r="G72" s="1914"/>
      <c r="H72" s="1914"/>
    </row>
    <row r="73" spans="1:8" x14ac:dyDescent="0.2">
      <c r="A73" s="1915" t="s">
        <v>1566</v>
      </c>
      <c r="B73" s="1914"/>
      <c r="C73" s="1914"/>
      <c r="D73" s="1914"/>
      <c r="E73" s="1914"/>
      <c r="F73" s="1914"/>
      <c r="G73" s="1914"/>
      <c r="H73" s="1914"/>
    </row>
    <row r="74" spans="1:8" x14ac:dyDescent="0.2">
      <c r="A74" s="1915" t="s">
        <v>1567</v>
      </c>
      <c r="B74" s="1914"/>
      <c r="C74" s="1914"/>
      <c r="D74" s="1914"/>
      <c r="E74" s="1914"/>
      <c r="F74" s="1914"/>
      <c r="G74" s="1914"/>
      <c r="H74" s="1914"/>
    </row>
    <row r="75" spans="1:8" x14ac:dyDescent="0.2">
      <c r="A75" s="1914"/>
      <c r="B75" s="1914"/>
      <c r="C75" s="1914"/>
      <c r="D75" s="1914"/>
      <c r="E75" s="1914"/>
      <c r="F75" s="1914"/>
      <c r="G75" s="1914"/>
      <c r="H75" s="1914"/>
    </row>
    <row r="76" spans="1:8" x14ac:dyDescent="0.2">
      <c r="A76" s="1915" t="s">
        <v>1323</v>
      </c>
      <c r="B76" s="1914"/>
      <c r="C76" s="1914"/>
      <c r="D76" s="1914"/>
      <c r="E76" s="1914"/>
      <c r="F76" s="1914"/>
      <c r="G76" s="1914"/>
      <c r="H76" s="1914"/>
    </row>
    <row r="77" spans="1:8" x14ac:dyDescent="0.2">
      <c r="A77" s="1914"/>
      <c r="B77" s="1914"/>
      <c r="C77" s="1914"/>
      <c r="D77" s="1914"/>
      <c r="E77" s="1914"/>
      <c r="F77" s="1914"/>
      <c r="G77" s="1914"/>
      <c r="H77" s="1914"/>
    </row>
    <row r="78" spans="1:8" x14ac:dyDescent="0.2">
      <c r="A78" s="1915" t="s">
        <v>1560</v>
      </c>
      <c r="B78" s="1914"/>
      <c r="C78" s="1914"/>
      <c r="D78" s="1914"/>
      <c r="E78" s="1914"/>
      <c r="F78" s="1914"/>
      <c r="G78" s="1914"/>
      <c r="H78" s="1914"/>
    </row>
    <row r="79" spans="1:8" x14ac:dyDescent="0.2">
      <c r="A79" s="1915" t="s">
        <v>1561</v>
      </c>
      <c r="B79" s="1914"/>
      <c r="C79" s="1914"/>
      <c r="D79" s="1914"/>
      <c r="E79" s="1914"/>
      <c r="F79" s="1914"/>
      <c r="G79" s="1914"/>
      <c r="H79" s="1914"/>
    </row>
    <row r="80" spans="1:8" x14ac:dyDescent="0.2">
      <c r="A80" s="1915" t="s">
        <v>1562</v>
      </c>
      <c r="B80" s="1914"/>
      <c r="C80" s="1914"/>
      <c r="D80" s="1914"/>
      <c r="E80" s="1914"/>
      <c r="F80" s="1914"/>
      <c r="G80" s="1914"/>
      <c r="H80" s="1914"/>
    </row>
    <row r="81" spans="1:8" x14ac:dyDescent="0.2">
      <c r="A81" s="1915" t="s">
        <v>1563</v>
      </c>
      <c r="B81" s="1914"/>
      <c r="C81" s="1914"/>
      <c r="D81" s="1914"/>
      <c r="E81" s="1914"/>
      <c r="F81" s="1914"/>
      <c r="G81" s="1914"/>
      <c r="H81" s="1914"/>
    </row>
    <row r="82" spans="1:8" x14ac:dyDescent="0.2">
      <c r="A82" s="1915" t="s">
        <v>1564</v>
      </c>
      <c r="B82" s="1914"/>
      <c r="C82" s="1914"/>
      <c r="D82" s="1914"/>
      <c r="E82" s="1914"/>
      <c r="F82" s="1914"/>
      <c r="G82" s="1914"/>
      <c r="H82" s="1914"/>
    </row>
    <row r="83" spans="1:8" x14ac:dyDescent="0.2">
      <c r="A83" s="1915" t="s">
        <v>1447</v>
      </c>
      <c r="B83" s="1914"/>
      <c r="C83" s="1914"/>
      <c r="D83" s="1914"/>
      <c r="E83" s="1914"/>
      <c r="F83" s="1914"/>
      <c r="G83" s="1914"/>
      <c r="H83" s="1914"/>
    </row>
    <row r="84" spans="1:8" x14ac:dyDescent="0.2">
      <c r="A84" s="1914"/>
      <c r="B84" s="1914"/>
      <c r="C84" s="1914"/>
      <c r="D84" s="1914"/>
      <c r="E84" s="1914"/>
      <c r="F84" s="1914"/>
      <c r="G84" s="1914"/>
      <c r="H84" s="1914"/>
    </row>
    <row r="85" spans="1:8" x14ac:dyDescent="0.2">
      <c r="A85" s="1915" t="s">
        <v>1553</v>
      </c>
      <c r="B85" s="1914"/>
      <c r="C85" s="1914"/>
      <c r="D85" s="1914"/>
      <c r="E85" s="1914"/>
      <c r="F85" s="1914"/>
      <c r="G85" s="1914"/>
      <c r="H85" s="1914"/>
    </row>
    <row r="86" spans="1:8" x14ac:dyDescent="0.2">
      <c r="A86" s="1915" t="s">
        <v>1554</v>
      </c>
      <c r="B86" s="1914"/>
      <c r="C86" s="1914"/>
      <c r="D86" s="1914"/>
      <c r="E86" s="1914"/>
      <c r="F86" s="1914"/>
      <c r="G86" s="1914"/>
      <c r="H86" s="1914"/>
    </row>
    <row r="87" spans="1:8" x14ac:dyDescent="0.2">
      <c r="A87" s="1915" t="s">
        <v>1555</v>
      </c>
      <c r="B87" s="1914"/>
      <c r="C87" s="1914"/>
      <c r="D87" s="1914"/>
      <c r="E87" s="1914"/>
      <c r="F87" s="1914"/>
      <c r="G87" s="1914"/>
      <c r="H87" s="1914"/>
    </row>
    <row r="88" spans="1:8" x14ac:dyDescent="0.2">
      <c r="A88" s="1915" t="s">
        <v>1556</v>
      </c>
      <c r="B88" s="1914"/>
      <c r="C88" s="1914"/>
      <c r="D88" s="1914"/>
      <c r="E88" s="1914"/>
      <c r="F88" s="1914"/>
      <c r="G88" s="1914"/>
      <c r="H88" s="1914"/>
    </row>
    <row r="89" spans="1:8" x14ac:dyDescent="0.2">
      <c r="A89" s="1915" t="s">
        <v>1557</v>
      </c>
      <c r="B89" s="1914"/>
      <c r="C89" s="1914"/>
      <c r="D89" s="1914"/>
      <c r="E89" s="1914"/>
      <c r="F89" s="1914"/>
      <c r="G89" s="1914"/>
      <c r="H89" s="1914"/>
    </row>
    <row r="90" spans="1:8" x14ac:dyDescent="0.2">
      <c r="A90" s="1915" t="s">
        <v>1558</v>
      </c>
      <c r="B90" s="1914"/>
      <c r="C90" s="1914"/>
      <c r="D90" s="1914"/>
      <c r="E90" s="1914"/>
      <c r="F90" s="1914"/>
      <c r="G90" s="1914"/>
      <c r="H90" s="1914"/>
    </row>
    <row r="91" spans="1:8" x14ac:dyDescent="0.2">
      <c r="A91" s="1915" t="s">
        <v>1559</v>
      </c>
      <c r="B91" s="1914"/>
      <c r="C91" s="1914"/>
      <c r="D91" s="1914"/>
      <c r="E91" s="1914"/>
      <c r="F91" s="1914"/>
      <c r="G91" s="1914"/>
      <c r="H91" s="1914"/>
    </row>
    <row r="92" spans="1:8" x14ac:dyDescent="0.2">
      <c r="A92" s="1914"/>
      <c r="B92" s="1914"/>
      <c r="C92" s="1914"/>
      <c r="D92" s="1914"/>
      <c r="E92" s="1914"/>
      <c r="F92" s="1914"/>
      <c r="G92" s="1914"/>
      <c r="H92" s="1914"/>
    </row>
    <row r="93" spans="1:8" x14ac:dyDescent="0.2">
      <c r="A93" s="1915" t="s">
        <v>1551</v>
      </c>
      <c r="B93" s="1914"/>
      <c r="C93" s="1914"/>
      <c r="D93" s="1914"/>
      <c r="E93" s="1914"/>
      <c r="F93" s="1914"/>
      <c r="G93" s="1914"/>
      <c r="H93" s="1914"/>
    </row>
    <row r="94" spans="1:8" x14ac:dyDescent="0.2">
      <c r="A94" s="1915" t="s">
        <v>1552</v>
      </c>
      <c r="B94" s="1914"/>
      <c r="C94" s="1914"/>
      <c r="D94" s="1914"/>
      <c r="E94" s="1914"/>
      <c r="F94" s="1914"/>
      <c r="G94" s="1914"/>
      <c r="H94" s="1914"/>
    </row>
    <row r="95" spans="1:8" x14ac:dyDescent="0.2">
      <c r="A95" s="1914"/>
      <c r="B95" s="1914"/>
      <c r="C95" s="1914"/>
      <c r="D95" s="1914"/>
      <c r="E95" s="1914"/>
      <c r="F95" s="1914"/>
      <c r="G95" s="1914"/>
      <c r="H95" s="1914"/>
    </row>
    <row r="96" spans="1:8" ht="15.75" x14ac:dyDescent="0.2">
      <c r="A96" s="1916" t="s">
        <v>1324</v>
      </c>
      <c r="B96" s="1914"/>
      <c r="C96" s="1914"/>
      <c r="D96" s="1914"/>
      <c r="E96" s="1914"/>
      <c r="F96" s="1914"/>
      <c r="G96" s="1914"/>
      <c r="H96" s="1914"/>
    </row>
    <row r="97" spans="1:8" x14ac:dyDescent="0.2">
      <c r="A97" s="1914"/>
      <c r="B97" s="1914"/>
      <c r="C97" s="1914"/>
      <c r="D97" s="1914"/>
      <c r="E97" s="1914"/>
      <c r="F97" s="1914"/>
      <c r="G97" s="1914"/>
      <c r="H97" s="1914"/>
    </row>
    <row r="98" spans="1:8" x14ac:dyDescent="0.2">
      <c r="A98" s="1915" t="s">
        <v>1542</v>
      </c>
      <c r="B98" s="1914"/>
      <c r="C98" s="1914"/>
      <c r="D98" s="1914"/>
      <c r="E98" s="1914"/>
      <c r="F98" s="1914"/>
      <c r="G98" s="1914"/>
      <c r="H98" s="1914"/>
    </row>
    <row r="99" spans="1:8" x14ac:dyDescent="0.2">
      <c r="A99" s="1915" t="s">
        <v>1543</v>
      </c>
      <c r="B99" s="1914"/>
      <c r="C99" s="1914"/>
      <c r="D99" s="1914"/>
      <c r="E99" s="1914"/>
      <c r="F99" s="1914"/>
      <c r="G99" s="1914"/>
      <c r="H99" s="1914"/>
    </row>
    <row r="100" spans="1:8" x14ac:dyDescent="0.2">
      <c r="A100" s="1915" t="s">
        <v>1544</v>
      </c>
      <c r="B100" s="1914"/>
      <c r="C100" s="1914"/>
      <c r="D100" s="1914"/>
      <c r="E100" s="1914"/>
      <c r="F100" s="1914"/>
      <c r="G100" s="1914"/>
      <c r="H100" s="1914"/>
    </row>
    <row r="101" spans="1:8" x14ac:dyDescent="0.2">
      <c r="A101" s="1915" t="s">
        <v>1545</v>
      </c>
      <c r="B101" s="1914"/>
      <c r="C101" s="1914"/>
      <c r="D101" s="1914"/>
      <c r="E101" s="1914"/>
      <c r="F101" s="1914"/>
      <c r="G101" s="1914"/>
      <c r="H101" s="1914"/>
    </row>
    <row r="102" spans="1:8" x14ac:dyDescent="0.2">
      <c r="A102" s="1915" t="s">
        <v>1546</v>
      </c>
      <c r="B102" s="1914"/>
      <c r="C102" s="1914"/>
      <c r="D102" s="1914"/>
      <c r="E102" s="1914"/>
      <c r="F102" s="1914"/>
      <c r="G102" s="1914"/>
      <c r="H102" s="1914"/>
    </row>
    <row r="103" spans="1:8" x14ac:dyDescent="0.2">
      <c r="A103" s="1915" t="s">
        <v>1547</v>
      </c>
      <c r="B103" s="1914"/>
      <c r="C103" s="1914"/>
      <c r="D103" s="1914"/>
      <c r="E103" s="1914"/>
      <c r="F103" s="1914"/>
      <c r="G103" s="1914"/>
      <c r="H103" s="1914"/>
    </row>
    <row r="104" spans="1:8" x14ac:dyDescent="0.2">
      <c r="A104" s="1915" t="s">
        <v>1548</v>
      </c>
      <c r="B104" s="1914"/>
      <c r="C104" s="1914"/>
      <c r="D104" s="1914"/>
      <c r="E104" s="1914"/>
      <c r="F104" s="1914"/>
      <c r="G104" s="1914"/>
      <c r="H104" s="1914"/>
    </row>
    <row r="105" spans="1:8" x14ac:dyDescent="0.2">
      <c r="A105" s="1915" t="s">
        <v>1549</v>
      </c>
      <c r="B105" s="1914"/>
      <c r="C105" s="1914"/>
      <c r="D105" s="1914"/>
      <c r="E105" s="1914"/>
      <c r="F105" s="1914"/>
      <c r="G105" s="1914"/>
      <c r="H105" s="1914"/>
    </row>
    <row r="106" spans="1:8" x14ac:dyDescent="0.2">
      <c r="A106" s="1915" t="s">
        <v>1550</v>
      </c>
      <c r="B106" s="1914"/>
      <c r="C106" s="1914"/>
      <c r="D106" s="1914"/>
      <c r="E106" s="1914"/>
      <c r="F106" s="1914"/>
      <c r="G106" s="1914"/>
      <c r="H106" s="1914"/>
    </row>
    <row r="107" spans="1:8" x14ac:dyDescent="0.2">
      <c r="A107" s="1914"/>
      <c r="B107" s="1914"/>
      <c r="C107" s="1914"/>
      <c r="D107" s="1914"/>
      <c r="E107" s="1914"/>
      <c r="F107" s="1914"/>
      <c r="G107" s="1914"/>
      <c r="H107" s="1914"/>
    </row>
    <row r="108" spans="1:8" ht="15.75" x14ac:dyDescent="0.2">
      <c r="A108" s="1917" t="s">
        <v>1325</v>
      </c>
      <c r="B108" s="1917"/>
      <c r="C108" s="1917"/>
      <c r="D108" s="1917"/>
      <c r="E108" s="1917"/>
      <c r="F108" s="1917"/>
      <c r="G108" s="1917"/>
      <c r="H108" s="1917"/>
    </row>
    <row r="109" spans="1:8" x14ac:dyDescent="0.2">
      <c r="A109" s="1918" t="s">
        <v>1326</v>
      </c>
      <c r="B109" s="1918"/>
      <c r="C109" s="1918"/>
      <c r="D109" s="1918"/>
      <c r="E109" s="1918"/>
      <c r="F109" s="1918"/>
      <c r="G109" s="1918"/>
      <c r="H109" s="1918"/>
    </row>
    <row r="110" spans="1:8" x14ac:dyDescent="0.2">
      <c r="A110" s="1919"/>
      <c r="B110" s="1919"/>
      <c r="C110" s="1919"/>
      <c r="D110" s="1919"/>
      <c r="E110" s="1919"/>
      <c r="F110" s="1919"/>
      <c r="G110" s="1919"/>
      <c r="H110" s="1919"/>
    </row>
    <row r="111" spans="1:8" x14ac:dyDescent="0.2">
      <c r="A111" s="1918" t="s">
        <v>1540</v>
      </c>
      <c r="B111" s="1918"/>
      <c r="C111" s="1918"/>
      <c r="D111" s="1918"/>
      <c r="E111" s="1918"/>
      <c r="F111" s="1918"/>
      <c r="G111" s="1918"/>
      <c r="H111" s="1918"/>
    </row>
    <row r="112" spans="1:8" x14ac:dyDescent="0.2">
      <c r="A112" s="1915" t="s">
        <v>1541</v>
      </c>
      <c r="B112" s="1915"/>
      <c r="C112" s="1915"/>
      <c r="D112" s="1915"/>
      <c r="E112" s="1915"/>
      <c r="F112" s="1915"/>
      <c r="G112" s="1915"/>
      <c r="H112" s="1915"/>
    </row>
    <row r="113" spans="1:8" x14ac:dyDescent="0.2">
      <c r="A113" s="1919"/>
      <c r="B113" s="1919"/>
      <c r="C113" s="1919"/>
      <c r="D113" s="1919"/>
      <c r="E113" s="1919"/>
      <c r="F113" s="1919"/>
      <c r="G113" s="1919"/>
      <c r="H113" s="1919"/>
    </row>
    <row r="114" spans="1:8" x14ac:dyDescent="0.2">
      <c r="A114" s="1918" t="s">
        <v>1533</v>
      </c>
      <c r="B114" s="1918"/>
      <c r="C114" s="1918"/>
      <c r="D114" s="1918"/>
      <c r="E114" s="1918"/>
      <c r="F114" s="1918"/>
      <c r="G114" s="1918"/>
      <c r="H114" s="1918"/>
    </row>
    <row r="115" spans="1:8" x14ac:dyDescent="0.2">
      <c r="A115" s="1915" t="s">
        <v>1534</v>
      </c>
      <c r="B115" s="1915"/>
      <c r="C115" s="1915"/>
      <c r="D115" s="1915"/>
      <c r="E115" s="1915"/>
      <c r="F115" s="1915"/>
      <c r="G115" s="1915"/>
      <c r="H115" s="1915"/>
    </row>
    <row r="116" spans="1:8" x14ac:dyDescent="0.2">
      <c r="A116" s="1915" t="s">
        <v>1535</v>
      </c>
      <c r="B116" s="1915"/>
      <c r="C116" s="1915"/>
      <c r="D116" s="1915"/>
      <c r="E116" s="1915"/>
      <c r="F116" s="1915"/>
      <c r="G116" s="1915"/>
      <c r="H116" s="1915"/>
    </row>
    <row r="117" spans="1:8" x14ac:dyDescent="0.2">
      <c r="A117" s="1915" t="s">
        <v>1536</v>
      </c>
      <c r="B117" s="1915"/>
      <c r="C117" s="1915"/>
      <c r="D117" s="1915"/>
      <c r="E117" s="1915"/>
      <c r="F117" s="1915"/>
      <c r="G117" s="1915"/>
      <c r="H117" s="1915"/>
    </row>
    <row r="118" spans="1:8" x14ac:dyDescent="0.2">
      <c r="A118" s="1915" t="s">
        <v>1537</v>
      </c>
      <c r="B118" s="1915"/>
      <c r="C118" s="1915"/>
      <c r="D118" s="1915"/>
      <c r="E118" s="1915"/>
      <c r="F118" s="1915"/>
      <c r="G118" s="1915"/>
      <c r="H118" s="1915"/>
    </row>
    <row r="119" spans="1:8" x14ac:dyDescent="0.2">
      <c r="A119" s="1915" t="s">
        <v>1538</v>
      </c>
      <c r="B119" s="1915"/>
      <c r="C119" s="1915"/>
      <c r="D119" s="1915"/>
      <c r="E119" s="1915"/>
      <c r="F119" s="1915"/>
      <c r="G119" s="1915"/>
      <c r="H119" s="1915"/>
    </row>
    <row r="120" spans="1:8" x14ac:dyDescent="0.2">
      <c r="A120" s="1915" t="s">
        <v>1539</v>
      </c>
      <c r="B120" s="1915"/>
      <c r="C120" s="1915"/>
      <c r="D120" s="1915"/>
      <c r="E120" s="1915"/>
      <c r="F120" s="1915"/>
      <c r="G120" s="1915"/>
      <c r="H120" s="1915"/>
    </row>
    <row r="121" spans="1:8" x14ac:dyDescent="0.2">
      <c r="A121" s="1920"/>
      <c r="B121" s="1920"/>
      <c r="C121" s="1920"/>
      <c r="D121" s="1920"/>
      <c r="E121" s="1920"/>
      <c r="F121" s="1920"/>
      <c r="G121" s="1920"/>
      <c r="H121" s="1920"/>
    </row>
    <row r="122" spans="1:8" x14ac:dyDescent="0.2">
      <c r="A122" s="1921"/>
      <c r="B122" s="1922" t="s">
        <v>1327</v>
      </c>
      <c r="C122" s="1923"/>
      <c r="D122" s="1922" t="s">
        <v>1328</v>
      </c>
      <c r="E122" s="1924"/>
      <c r="F122" s="1923"/>
      <c r="G122" s="1922" t="s">
        <v>1329</v>
      </c>
      <c r="H122" s="1923"/>
    </row>
    <row r="123" spans="1:8" x14ac:dyDescent="0.2">
      <c r="A123" s="1921" t="s">
        <v>1330</v>
      </c>
      <c r="B123" s="1921" t="s">
        <v>849</v>
      </c>
      <c r="C123" s="1921" t="s">
        <v>743</v>
      </c>
      <c r="D123" s="1921" t="s">
        <v>849</v>
      </c>
      <c r="E123" s="1921" t="s">
        <v>1331</v>
      </c>
      <c r="F123" s="1921" t="s">
        <v>1332</v>
      </c>
      <c r="G123" s="1921" t="s">
        <v>849</v>
      </c>
      <c r="H123" s="1921" t="s">
        <v>1333</v>
      </c>
    </row>
    <row r="124" spans="1:8" x14ac:dyDescent="0.2">
      <c r="A124" s="1921" t="s">
        <v>1334</v>
      </c>
      <c r="B124" s="1921">
        <v>1175</v>
      </c>
      <c r="C124" s="1925">
        <v>0.37</v>
      </c>
      <c r="D124" s="1921">
        <v>315</v>
      </c>
      <c r="E124" s="1925">
        <v>0.41</v>
      </c>
      <c r="F124" s="1925">
        <v>0.27</v>
      </c>
      <c r="G124" s="1921">
        <v>555</v>
      </c>
      <c r="H124" s="1925">
        <v>0.39</v>
      </c>
    </row>
    <row r="125" spans="1:8" x14ac:dyDescent="0.2">
      <c r="A125" s="1921" t="s">
        <v>1335</v>
      </c>
      <c r="B125" s="1921">
        <v>1369</v>
      </c>
      <c r="C125" s="1925">
        <v>0.43</v>
      </c>
      <c r="D125" s="1921">
        <v>357</v>
      </c>
      <c r="E125" s="1925">
        <v>0.47</v>
      </c>
      <c r="F125" s="1925">
        <v>0.26</v>
      </c>
      <c r="G125" s="1921">
        <v>643</v>
      </c>
      <c r="H125" s="1925">
        <v>0.45</v>
      </c>
    </row>
    <row r="126" spans="1:8" x14ac:dyDescent="0.2">
      <c r="A126" s="1921" t="s">
        <v>1336</v>
      </c>
      <c r="B126" s="1921">
        <v>53</v>
      </c>
      <c r="C126" s="1925">
        <v>0.02</v>
      </c>
      <c r="D126" s="1921">
        <v>5</v>
      </c>
      <c r="E126" s="1925">
        <v>0.01</v>
      </c>
      <c r="F126" s="1925">
        <v>0.09</v>
      </c>
      <c r="G126" s="1921">
        <v>7</v>
      </c>
      <c r="H126" s="1925">
        <v>0</v>
      </c>
    </row>
    <row r="127" spans="1:8" x14ac:dyDescent="0.2">
      <c r="A127" s="1921" t="s">
        <v>1337</v>
      </c>
      <c r="B127" s="1921">
        <v>552</v>
      </c>
      <c r="C127" s="1925">
        <v>0.18</v>
      </c>
      <c r="D127" s="1921">
        <v>87</v>
      </c>
      <c r="E127" s="1925">
        <v>0.11</v>
      </c>
      <c r="F127" s="1925">
        <v>0.16</v>
      </c>
      <c r="G127" s="1921">
        <v>222</v>
      </c>
      <c r="H127" s="1925">
        <v>0.16</v>
      </c>
    </row>
    <row r="128" spans="1:8" x14ac:dyDescent="0.2">
      <c r="A128" s="1921" t="s">
        <v>698</v>
      </c>
      <c r="B128" s="1926">
        <v>3149</v>
      </c>
      <c r="C128" s="1921"/>
      <c r="D128" s="1921">
        <v>764</v>
      </c>
      <c r="E128" s="1921"/>
      <c r="F128" s="1921"/>
      <c r="G128" s="1921">
        <v>1427</v>
      </c>
      <c r="H128" s="1921"/>
    </row>
    <row r="129" spans="1:8" x14ac:dyDescent="0.2">
      <c r="A129" s="1927"/>
      <c r="B129" s="1927"/>
      <c r="C129" s="1927"/>
      <c r="D129" s="1927"/>
      <c r="E129" s="1927"/>
      <c r="F129" s="1927"/>
      <c r="G129" s="1927"/>
      <c r="H129" s="1927"/>
    </row>
    <row r="130" spans="1:8" x14ac:dyDescent="0.2">
      <c r="A130" s="1918" t="s">
        <v>1529</v>
      </c>
      <c r="B130" s="1918"/>
      <c r="C130" s="1918"/>
      <c r="D130" s="1918"/>
      <c r="E130" s="1918"/>
      <c r="F130" s="1918"/>
      <c r="G130" s="1918"/>
      <c r="H130" s="1918"/>
    </row>
    <row r="131" spans="1:8" x14ac:dyDescent="0.2">
      <c r="A131" s="1915" t="s">
        <v>1530</v>
      </c>
      <c r="B131" s="1915"/>
      <c r="C131" s="1915"/>
      <c r="D131" s="1915"/>
      <c r="E131" s="1915"/>
      <c r="F131" s="1915"/>
      <c r="G131" s="1915"/>
      <c r="H131" s="1915"/>
    </row>
    <row r="132" spans="1:8" x14ac:dyDescent="0.2">
      <c r="A132" s="1915" t="s">
        <v>1531</v>
      </c>
      <c r="B132" s="1915"/>
      <c r="C132" s="1915"/>
      <c r="D132" s="1915"/>
      <c r="E132" s="1915"/>
      <c r="F132" s="1915"/>
      <c r="G132" s="1915"/>
      <c r="H132" s="1915"/>
    </row>
    <row r="133" spans="1:8" x14ac:dyDescent="0.2">
      <c r="A133" s="1915" t="s">
        <v>1532</v>
      </c>
      <c r="B133" s="1915"/>
      <c r="C133" s="1915"/>
      <c r="D133" s="1915"/>
      <c r="E133" s="1915"/>
      <c r="F133" s="1915"/>
      <c r="G133" s="1915"/>
      <c r="H133" s="1915"/>
    </row>
    <row r="134" spans="1:8" x14ac:dyDescent="0.2">
      <c r="A134" s="1914"/>
      <c r="B134" s="1914"/>
      <c r="C134" s="1914"/>
      <c r="D134" s="1914"/>
      <c r="E134" s="1914"/>
      <c r="F134" s="1914"/>
      <c r="G134" s="1914"/>
      <c r="H134" s="1914"/>
    </row>
    <row r="135" spans="1:8" ht="15.75" x14ac:dyDescent="0.2">
      <c r="A135" s="1916" t="s">
        <v>1338</v>
      </c>
      <c r="B135" s="1914"/>
      <c r="C135" s="1914"/>
      <c r="D135" s="1914"/>
      <c r="E135" s="1914"/>
      <c r="F135" s="1914"/>
      <c r="G135" s="1914"/>
      <c r="H135" s="1914"/>
    </row>
    <row r="136" spans="1:8" x14ac:dyDescent="0.2">
      <c r="A136" s="1914"/>
      <c r="B136" s="1914"/>
      <c r="C136" s="1914"/>
      <c r="D136" s="1914"/>
      <c r="E136" s="1914"/>
      <c r="F136" s="1914"/>
      <c r="G136" s="1914"/>
      <c r="H136" s="1914"/>
    </row>
    <row r="137" spans="1:8" x14ac:dyDescent="0.2">
      <c r="A137" s="1915" t="s">
        <v>1527</v>
      </c>
      <c r="B137" s="1914"/>
      <c r="C137" s="1914"/>
      <c r="D137" s="1914"/>
      <c r="E137" s="1914"/>
      <c r="F137" s="1914"/>
      <c r="G137" s="1914"/>
      <c r="H137" s="1914"/>
    </row>
    <row r="138" spans="1:8" x14ac:dyDescent="0.2">
      <c r="A138" s="1915" t="s">
        <v>1528</v>
      </c>
      <c r="B138" s="1914"/>
      <c r="C138" s="1914"/>
      <c r="D138" s="1914"/>
      <c r="E138" s="1914"/>
      <c r="F138" s="1914"/>
      <c r="G138" s="1914"/>
      <c r="H138" s="1914"/>
    </row>
    <row r="139" spans="1:8" x14ac:dyDescent="0.2">
      <c r="A139" s="1914"/>
      <c r="B139" s="1914"/>
      <c r="C139" s="1914"/>
      <c r="D139" s="1914"/>
      <c r="E139" s="1914"/>
      <c r="F139" s="1914"/>
      <c r="G139" s="1914"/>
      <c r="H139" s="1914"/>
    </row>
    <row r="140" spans="1:8" x14ac:dyDescent="0.2">
      <c r="A140" s="1915" t="s">
        <v>1524</v>
      </c>
      <c r="B140" s="1914"/>
      <c r="C140" s="1914"/>
      <c r="D140" s="1914"/>
      <c r="E140" s="1914"/>
      <c r="F140" s="1914"/>
      <c r="G140" s="1914"/>
      <c r="H140" s="1914"/>
    </row>
    <row r="141" spans="1:8" x14ac:dyDescent="0.2">
      <c r="A141" s="1915" t="s">
        <v>1525</v>
      </c>
      <c r="B141" s="1914"/>
      <c r="C141" s="1914"/>
      <c r="D141" s="1914"/>
      <c r="E141" s="1914"/>
      <c r="F141" s="1914"/>
      <c r="G141" s="1914"/>
      <c r="H141" s="1914"/>
    </row>
    <row r="142" spans="1:8" x14ac:dyDescent="0.2">
      <c r="A142" s="1915" t="s">
        <v>1526</v>
      </c>
      <c r="B142" s="1914"/>
      <c r="C142" s="1914"/>
      <c r="D142" s="1914"/>
      <c r="E142" s="1914"/>
      <c r="F142" s="1914"/>
      <c r="G142" s="1914"/>
      <c r="H142" s="1914"/>
    </row>
    <row r="143" spans="1:8" x14ac:dyDescent="0.2">
      <c r="A143" s="1914"/>
      <c r="B143" s="1914"/>
      <c r="C143" s="1914"/>
      <c r="D143" s="1914"/>
      <c r="E143" s="1914"/>
      <c r="F143" s="1914"/>
      <c r="G143" s="1914"/>
      <c r="H143" s="1914"/>
    </row>
    <row r="144" spans="1:8" x14ac:dyDescent="0.2">
      <c r="A144" s="1915" t="s">
        <v>1521</v>
      </c>
      <c r="B144" s="1914"/>
      <c r="C144" s="1914"/>
      <c r="D144" s="1914"/>
      <c r="E144" s="1914"/>
      <c r="F144" s="1914"/>
      <c r="G144" s="1914"/>
      <c r="H144" s="1914"/>
    </row>
    <row r="145" spans="1:8" x14ac:dyDescent="0.2">
      <c r="A145" s="1915" t="s">
        <v>1522</v>
      </c>
      <c r="B145" s="1914"/>
      <c r="C145" s="1914"/>
      <c r="D145" s="1914"/>
      <c r="E145" s="1914"/>
      <c r="F145" s="1914"/>
      <c r="G145" s="1914"/>
      <c r="H145" s="1914"/>
    </row>
    <row r="146" spans="1:8" x14ac:dyDescent="0.2">
      <c r="A146" s="1915" t="s">
        <v>1523</v>
      </c>
      <c r="B146" s="1914"/>
      <c r="C146" s="1914"/>
      <c r="D146" s="1914"/>
      <c r="E146" s="1914"/>
      <c r="F146" s="1914"/>
      <c r="G146" s="1914"/>
      <c r="H146" s="1914"/>
    </row>
    <row r="147" spans="1:8" x14ac:dyDescent="0.2">
      <c r="A147" s="1914"/>
      <c r="B147" s="1914"/>
      <c r="C147" s="1914"/>
      <c r="D147" s="1914"/>
      <c r="E147" s="1914"/>
      <c r="F147" s="1914"/>
      <c r="G147" s="1914"/>
      <c r="H147" s="1914"/>
    </row>
    <row r="148" spans="1:8" x14ac:dyDescent="0.2">
      <c r="A148" s="1915" t="s">
        <v>1518</v>
      </c>
      <c r="B148" s="1914"/>
      <c r="C148" s="1914"/>
      <c r="D148" s="1914"/>
      <c r="E148" s="1914"/>
      <c r="F148" s="1914"/>
      <c r="G148" s="1914"/>
      <c r="H148" s="1914"/>
    </row>
    <row r="149" spans="1:8" x14ac:dyDescent="0.2">
      <c r="A149" s="1915" t="s">
        <v>1519</v>
      </c>
      <c r="B149" s="1914"/>
      <c r="C149" s="1914"/>
      <c r="D149" s="1914"/>
      <c r="E149" s="1914"/>
      <c r="F149" s="1914"/>
      <c r="G149" s="1914"/>
      <c r="H149" s="1914"/>
    </row>
    <row r="150" spans="1:8" x14ac:dyDescent="0.2">
      <c r="A150" s="1915" t="s">
        <v>1520</v>
      </c>
      <c r="B150" s="1914"/>
      <c r="C150" s="1914"/>
      <c r="D150" s="1914"/>
      <c r="E150" s="1914"/>
      <c r="F150" s="1914"/>
      <c r="G150" s="1914"/>
      <c r="H150" s="1914"/>
    </row>
    <row r="151" spans="1:8" x14ac:dyDescent="0.2">
      <c r="A151" s="1914"/>
      <c r="B151" s="1914"/>
      <c r="C151" s="1914"/>
      <c r="D151" s="1914"/>
      <c r="E151" s="1914"/>
      <c r="F151" s="1914"/>
      <c r="G151" s="1914"/>
      <c r="H151" s="1914"/>
    </row>
    <row r="152" spans="1:8" x14ac:dyDescent="0.2">
      <c r="A152" s="1915" t="s">
        <v>1516</v>
      </c>
      <c r="B152" s="1914"/>
      <c r="C152" s="1914"/>
      <c r="D152" s="1914"/>
      <c r="E152" s="1914"/>
      <c r="F152" s="1914"/>
      <c r="G152" s="1914"/>
      <c r="H152" s="1914"/>
    </row>
    <row r="153" spans="1:8" x14ac:dyDescent="0.2">
      <c r="A153" s="1915" t="s">
        <v>1517</v>
      </c>
      <c r="B153" s="1914"/>
      <c r="C153" s="1914"/>
      <c r="D153" s="1914"/>
      <c r="E153" s="1914"/>
      <c r="F153" s="1914"/>
      <c r="G153" s="1914"/>
      <c r="H153" s="1914"/>
    </row>
    <row r="154" spans="1:8" x14ac:dyDescent="0.2">
      <c r="A154" s="1914"/>
      <c r="B154" s="1914"/>
      <c r="C154" s="1914"/>
      <c r="D154" s="1914"/>
      <c r="E154" s="1914"/>
      <c r="F154" s="1914"/>
      <c r="G154" s="1914"/>
      <c r="H154" s="1914"/>
    </row>
    <row r="155" spans="1:8" ht="15.75" x14ac:dyDescent="0.2">
      <c r="A155" s="1916" t="s">
        <v>1339</v>
      </c>
      <c r="B155" s="1914"/>
      <c r="C155" s="1914"/>
      <c r="D155" s="1914"/>
      <c r="E155" s="1914"/>
      <c r="F155" s="1914"/>
      <c r="G155" s="1914"/>
      <c r="H155" s="1914"/>
    </row>
    <row r="156" spans="1:8" x14ac:dyDescent="0.2">
      <c r="A156" s="1914"/>
      <c r="B156" s="1914"/>
      <c r="C156" s="1914"/>
      <c r="D156" s="1914"/>
      <c r="E156" s="1914"/>
      <c r="F156" s="1914"/>
      <c r="G156" s="1914"/>
      <c r="H156" s="1914"/>
    </row>
    <row r="157" spans="1:8" x14ac:dyDescent="0.2">
      <c r="A157" s="1915" t="s">
        <v>1514</v>
      </c>
      <c r="B157" s="1914"/>
      <c r="C157" s="1914"/>
      <c r="D157" s="1914"/>
      <c r="E157" s="1914"/>
      <c r="F157" s="1914"/>
      <c r="G157" s="1914"/>
      <c r="H157" s="1914"/>
    </row>
    <row r="158" spans="1:8" x14ac:dyDescent="0.2">
      <c r="A158" s="1915" t="s">
        <v>1515</v>
      </c>
      <c r="B158" s="1914"/>
      <c r="C158" s="1914"/>
      <c r="D158" s="1914"/>
      <c r="E158" s="1914"/>
      <c r="F158" s="1914"/>
      <c r="G158" s="1914"/>
      <c r="H158" s="1914"/>
    </row>
    <row r="159" spans="1:8" x14ac:dyDescent="0.2">
      <c r="A159" s="1914"/>
      <c r="B159" s="1914"/>
      <c r="C159" s="1914"/>
      <c r="D159" s="1914"/>
      <c r="E159" s="1914"/>
      <c r="F159" s="1914"/>
      <c r="G159" s="1914"/>
      <c r="H159" s="1914"/>
    </row>
    <row r="160" spans="1:8" x14ac:dyDescent="0.2">
      <c r="A160" s="1915" t="s">
        <v>1512</v>
      </c>
      <c r="B160" s="1914"/>
      <c r="C160" s="1914"/>
      <c r="D160" s="1914"/>
      <c r="E160" s="1914"/>
      <c r="F160" s="1914"/>
      <c r="G160" s="1914"/>
      <c r="H160" s="1914"/>
    </row>
    <row r="161" spans="1:8" x14ac:dyDescent="0.2">
      <c r="A161" s="1915" t="s">
        <v>1513</v>
      </c>
      <c r="B161" s="1914"/>
      <c r="C161" s="1914"/>
      <c r="D161" s="1914"/>
      <c r="E161" s="1914"/>
      <c r="F161" s="1914"/>
      <c r="G161" s="1914"/>
      <c r="H161" s="1914"/>
    </row>
    <row r="162" spans="1:8" x14ac:dyDescent="0.2">
      <c r="A162" s="1914"/>
      <c r="B162" s="1914"/>
      <c r="C162" s="1914"/>
      <c r="D162" s="1914"/>
      <c r="E162" s="1914"/>
      <c r="F162" s="1914"/>
      <c r="G162" s="1914"/>
      <c r="H162" s="1914"/>
    </row>
    <row r="163" spans="1:8" x14ac:dyDescent="0.2">
      <c r="A163" s="1915" t="s">
        <v>1510</v>
      </c>
      <c r="B163" s="1914"/>
      <c r="C163" s="1914"/>
      <c r="D163" s="1914"/>
      <c r="E163" s="1914"/>
      <c r="F163" s="1914"/>
      <c r="G163" s="1914"/>
      <c r="H163" s="1914"/>
    </row>
    <row r="164" spans="1:8" x14ac:dyDescent="0.2">
      <c r="A164" s="1915" t="s">
        <v>1511</v>
      </c>
      <c r="B164" s="1914"/>
      <c r="C164" s="1914"/>
      <c r="D164" s="1914"/>
      <c r="E164" s="1914"/>
      <c r="F164" s="1914"/>
      <c r="G164" s="1914"/>
      <c r="H164" s="1914"/>
    </row>
    <row r="165" spans="1:8" x14ac:dyDescent="0.2">
      <c r="A165" s="1914"/>
      <c r="B165" s="1914"/>
      <c r="C165" s="1914"/>
      <c r="D165" s="1914"/>
      <c r="E165" s="1914"/>
      <c r="F165" s="1914"/>
      <c r="G165" s="1914"/>
      <c r="H165" s="1914"/>
    </row>
    <row r="166" spans="1:8" x14ac:dyDescent="0.2">
      <c r="A166" s="1915" t="s">
        <v>1507</v>
      </c>
      <c r="B166" s="1914"/>
      <c r="C166" s="1914"/>
      <c r="D166" s="1914"/>
      <c r="E166" s="1914"/>
      <c r="F166" s="1914"/>
      <c r="G166" s="1914"/>
      <c r="H166" s="1914"/>
    </row>
    <row r="167" spans="1:8" x14ac:dyDescent="0.2">
      <c r="A167" s="1915" t="s">
        <v>1508</v>
      </c>
      <c r="B167" s="1914"/>
      <c r="C167" s="1914"/>
      <c r="D167" s="1914"/>
      <c r="E167" s="1914"/>
      <c r="F167" s="1914"/>
      <c r="G167" s="1914"/>
      <c r="H167" s="1914"/>
    </row>
    <row r="168" spans="1:8" x14ac:dyDescent="0.2">
      <c r="A168" s="1915" t="s">
        <v>1509</v>
      </c>
      <c r="B168" s="1914"/>
      <c r="C168" s="1914"/>
      <c r="D168" s="1914"/>
      <c r="E168" s="1914"/>
      <c r="F168" s="1914"/>
      <c r="G168" s="1914"/>
      <c r="H168" s="1914"/>
    </row>
    <row r="169" spans="1:8" x14ac:dyDescent="0.2">
      <c r="A169" s="1914"/>
      <c r="B169" s="1914"/>
      <c r="C169" s="1914"/>
      <c r="D169" s="1914"/>
      <c r="E169" s="1914"/>
      <c r="F169" s="1914"/>
      <c r="G169" s="1914"/>
      <c r="H169" s="1914"/>
    </row>
    <row r="170" spans="1:8" x14ac:dyDescent="0.2">
      <c r="A170" s="1914"/>
      <c r="B170" s="1914"/>
      <c r="C170" s="1914"/>
      <c r="D170" s="1914"/>
      <c r="E170" s="1914"/>
      <c r="F170" s="1914"/>
      <c r="G170" s="1914"/>
      <c r="H170" s="1914"/>
    </row>
    <row r="171" spans="1:8" x14ac:dyDescent="0.2">
      <c r="A171" s="1915" t="s">
        <v>1013</v>
      </c>
      <c r="B171" s="1914"/>
      <c r="C171" s="1914"/>
      <c r="D171" s="1914"/>
      <c r="E171" s="1914"/>
      <c r="F171" s="1914"/>
      <c r="G171" s="1914"/>
      <c r="H171" s="1914"/>
    </row>
    <row r="172" spans="1:8" x14ac:dyDescent="0.2">
      <c r="A172" s="1914"/>
      <c r="B172" s="1914"/>
      <c r="C172" s="1914"/>
      <c r="D172" s="1914"/>
      <c r="E172" s="1914"/>
      <c r="F172" s="1914"/>
      <c r="G172" s="1914"/>
      <c r="H172" s="1914"/>
    </row>
    <row r="173" spans="1:8" ht="15.75" x14ac:dyDescent="0.2">
      <c r="A173" s="1916" t="s">
        <v>1340</v>
      </c>
      <c r="B173" s="1914"/>
      <c r="C173" s="1914"/>
      <c r="D173" s="1914"/>
      <c r="E173" s="1914"/>
      <c r="F173" s="1914"/>
      <c r="G173" s="1914"/>
      <c r="H173" s="1914"/>
    </row>
    <row r="174" spans="1:8" x14ac:dyDescent="0.2">
      <c r="A174" s="1914"/>
      <c r="B174" s="1914"/>
      <c r="C174" s="1914"/>
      <c r="D174" s="1914"/>
      <c r="E174" s="1914"/>
      <c r="F174" s="1914"/>
      <c r="G174" s="1914"/>
      <c r="H174" s="1914"/>
    </row>
    <row r="175" spans="1:8" x14ac:dyDescent="0.2">
      <c r="A175" s="1914"/>
      <c r="B175" s="1914"/>
      <c r="C175" s="1914"/>
      <c r="D175" s="1914"/>
      <c r="E175" s="1914"/>
      <c r="F175" s="1914"/>
      <c r="G175" s="1914"/>
      <c r="H175" s="1914"/>
    </row>
    <row r="176" spans="1:8" x14ac:dyDescent="0.2">
      <c r="A176" s="1914"/>
      <c r="B176" s="1914"/>
      <c r="C176" s="1914"/>
      <c r="D176" s="1914"/>
      <c r="E176" s="1914"/>
      <c r="F176" s="1914"/>
      <c r="G176" s="1914"/>
      <c r="H176" s="1914"/>
    </row>
    <row r="177" spans="1:8" x14ac:dyDescent="0.2">
      <c r="A177" s="1914"/>
      <c r="B177" s="1914"/>
      <c r="C177" s="1914"/>
      <c r="D177" s="1914"/>
      <c r="E177" s="1914"/>
      <c r="F177" s="1914"/>
      <c r="G177" s="1914"/>
      <c r="H177" s="1914"/>
    </row>
    <row r="178" spans="1:8" x14ac:dyDescent="0.2">
      <c r="A178" s="1914"/>
      <c r="B178" s="1914"/>
      <c r="C178" s="1914"/>
      <c r="D178" s="1914"/>
      <c r="E178" s="1914"/>
      <c r="F178" s="1914"/>
      <c r="G178" s="1914"/>
      <c r="H178" s="1914"/>
    </row>
    <row r="179" spans="1:8" x14ac:dyDescent="0.2">
      <c r="A179" s="1914"/>
      <c r="B179" s="1914"/>
      <c r="C179" s="1914"/>
      <c r="D179" s="1914"/>
      <c r="E179" s="1914"/>
      <c r="F179" s="1914"/>
      <c r="G179" s="1914"/>
      <c r="H179" s="1914"/>
    </row>
    <row r="180" spans="1:8" x14ac:dyDescent="0.2">
      <c r="A180" s="1914"/>
      <c r="B180" s="1914"/>
      <c r="C180" s="1914"/>
      <c r="D180" s="1914"/>
      <c r="E180" s="1914"/>
      <c r="F180" s="1914"/>
      <c r="G180" s="1914"/>
      <c r="H180" s="1914"/>
    </row>
    <row r="181" spans="1:8" x14ac:dyDescent="0.2">
      <c r="A181" s="1914"/>
      <c r="B181" s="1914"/>
      <c r="C181" s="1914"/>
      <c r="D181" s="1914"/>
      <c r="E181" s="1914"/>
      <c r="F181" s="1914"/>
      <c r="G181" s="1914"/>
      <c r="H181" s="1914"/>
    </row>
    <row r="182" spans="1:8" x14ac:dyDescent="0.2">
      <c r="A182" s="1914"/>
      <c r="B182" s="1914"/>
      <c r="C182" s="1914"/>
      <c r="D182" s="1914"/>
      <c r="E182" s="1914"/>
      <c r="F182" s="1914"/>
      <c r="G182" s="1914"/>
      <c r="H182" s="1914"/>
    </row>
    <row r="183" spans="1:8" x14ac:dyDescent="0.2">
      <c r="A183" s="1914"/>
      <c r="B183" s="1914"/>
      <c r="C183" s="1914"/>
      <c r="D183" s="1914"/>
      <c r="E183" s="1914"/>
      <c r="F183" s="1914"/>
      <c r="G183" s="1914"/>
      <c r="H183" s="1914"/>
    </row>
    <row r="184" spans="1:8" x14ac:dyDescent="0.2">
      <c r="A184" s="1914"/>
      <c r="B184" s="1914"/>
      <c r="C184" s="1914"/>
      <c r="D184" s="1914"/>
      <c r="E184" s="1914"/>
      <c r="F184" s="1914"/>
      <c r="G184" s="1914"/>
      <c r="H184" s="1914"/>
    </row>
    <row r="185" spans="1:8" x14ac:dyDescent="0.2">
      <c r="A185" s="1914"/>
      <c r="B185" s="1914"/>
      <c r="C185" s="1914"/>
      <c r="D185" s="1914"/>
      <c r="E185" s="1914"/>
      <c r="F185" s="1914"/>
      <c r="G185" s="1914"/>
      <c r="H185" s="1914"/>
    </row>
    <row r="186" spans="1:8" x14ac:dyDescent="0.2">
      <c r="A186" s="1914"/>
      <c r="B186" s="1914"/>
      <c r="C186" s="1914"/>
      <c r="D186" s="1914"/>
      <c r="E186" s="1914"/>
      <c r="F186" s="1914"/>
      <c r="G186" s="1914"/>
      <c r="H186" s="1914"/>
    </row>
    <row r="187" spans="1:8" x14ac:dyDescent="0.2">
      <c r="A187" s="1914"/>
      <c r="B187" s="1914"/>
      <c r="C187" s="1914"/>
      <c r="D187" s="1914"/>
      <c r="E187" s="1914"/>
      <c r="F187" s="1914"/>
      <c r="G187" s="1914"/>
      <c r="H187" s="1914"/>
    </row>
    <row r="188" spans="1:8" x14ac:dyDescent="0.2">
      <c r="A188" s="1914"/>
      <c r="B188" s="1914"/>
      <c r="C188" s="1914"/>
      <c r="D188" s="1914"/>
      <c r="E188" s="1914"/>
      <c r="F188" s="1914"/>
      <c r="G188" s="1914"/>
      <c r="H188" s="1914"/>
    </row>
    <row r="189" spans="1:8" x14ac:dyDescent="0.2">
      <c r="A189" s="1914"/>
      <c r="B189" s="1914"/>
      <c r="C189" s="1914"/>
      <c r="D189" s="1914"/>
      <c r="E189" s="1914"/>
      <c r="F189" s="1914"/>
      <c r="G189" s="1914"/>
      <c r="H189" s="1914"/>
    </row>
    <row r="190" spans="1:8" x14ac:dyDescent="0.2">
      <c r="A190" s="1914"/>
      <c r="B190" s="1914"/>
      <c r="C190" s="1914"/>
      <c r="D190" s="1914"/>
      <c r="E190" s="1914"/>
      <c r="F190" s="1914"/>
      <c r="G190" s="1914"/>
      <c r="H190" s="1914"/>
    </row>
    <row r="191" spans="1:8" x14ac:dyDescent="0.2">
      <c r="A191" s="1914"/>
      <c r="B191" s="1914"/>
      <c r="C191" s="1914"/>
      <c r="D191" s="1914"/>
      <c r="E191" s="1914"/>
      <c r="F191" s="1914"/>
      <c r="G191" s="1914"/>
      <c r="H191" s="1914"/>
    </row>
    <row r="192" spans="1:8" x14ac:dyDescent="0.2">
      <c r="A192" s="1914"/>
      <c r="B192" s="1914"/>
      <c r="C192" s="1914"/>
      <c r="D192" s="1914"/>
      <c r="E192" s="1914"/>
      <c r="F192" s="1914"/>
      <c r="G192" s="1914"/>
      <c r="H192" s="1914"/>
    </row>
    <row r="193" spans="1:8" x14ac:dyDescent="0.2">
      <c r="A193" s="1914"/>
      <c r="B193" s="1914"/>
      <c r="C193" s="1914"/>
      <c r="D193" s="1914"/>
      <c r="E193" s="1914"/>
      <c r="F193" s="1914"/>
      <c r="G193" s="1914"/>
      <c r="H193" s="1914"/>
    </row>
    <row r="194" spans="1:8" x14ac:dyDescent="0.2">
      <c r="A194" s="1914"/>
      <c r="B194" s="1914"/>
      <c r="C194" s="1914"/>
      <c r="D194" s="1914"/>
      <c r="E194" s="1914"/>
      <c r="F194" s="1914"/>
      <c r="G194" s="1914"/>
      <c r="H194" s="1914"/>
    </row>
    <row r="195" spans="1:8" x14ac:dyDescent="0.2">
      <c r="A195" s="1914"/>
      <c r="B195" s="1914"/>
      <c r="C195" s="1914"/>
      <c r="D195" s="1914"/>
      <c r="E195" s="1914"/>
      <c r="F195" s="1914"/>
      <c r="G195" s="1914"/>
      <c r="H195" s="1914"/>
    </row>
    <row r="196" spans="1:8" x14ac:dyDescent="0.2">
      <c r="A196" s="1914"/>
      <c r="B196" s="1914"/>
      <c r="C196" s="1914"/>
      <c r="D196" s="1914"/>
      <c r="E196" s="1914"/>
      <c r="F196" s="1914"/>
      <c r="G196" s="1914"/>
      <c r="H196" s="1914"/>
    </row>
    <row r="197" spans="1:8" x14ac:dyDescent="0.2">
      <c r="A197" s="1914"/>
      <c r="B197" s="1914"/>
      <c r="C197" s="1914"/>
      <c r="D197" s="1914"/>
      <c r="E197" s="1914"/>
      <c r="F197" s="1914"/>
      <c r="G197" s="1914"/>
      <c r="H197" s="1914"/>
    </row>
    <row r="198" spans="1:8" x14ac:dyDescent="0.2">
      <c r="A198" s="1914"/>
      <c r="B198" s="1914"/>
      <c r="C198" s="1914"/>
      <c r="D198" s="1914"/>
      <c r="E198" s="1914"/>
      <c r="F198" s="1914"/>
      <c r="G198" s="1914"/>
      <c r="H198" s="1914"/>
    </row>
    <row r="199" spans="1:8" x14ac:dyDescent="0.2">
      <c r="A199" s="1914"/>
      <c r="B199" s="1914"/>
      <c r="C199" s="1914"/>
      <c r="D199" s="1914"/>
      <c r="E199" s="1914"/>
      <c r="F199" s="1914"/>
      <c r="G199" s="1914"/>
      <c r="H199" s="1914"/>
    </row>
    <row r="200" spans="1:8" ht="15.75" x14ac:dyDescent="0.2">
      <c r="A200" s="1916" t="s">
        <v>1341</v>
      </c>
      <c r="B200" s="1914"/>
      <c r="C200" s="1914"/>
      <c r="D200" s="1914"/>
      <c r="E200" s="1914"/>
      <c r="F200" s="1914"/>
      <c r="G200" s="1914"/>
      <c r="H200" s="1914"/>
    </row>
    <row r="201" spans="1:8" x14ac:dyDescent="0.2">
      <c r="A201" s="1914"/>
      <c r="B201" s="1914"/>
      <c r="C201" s="1914"/>
      <c r="D201" s="1914"/>
      <c r="E201" s="1914"/>
      <c r="F201" s="1914"/>
      <c r="G201" s="1914"/>
      <c r="H201" s="1914"/>
    </row>
    <row r="202" spans="1:8" x14ac:dyDescent="0.2">
      <c r="A202" s="1915" t="s">
        <v>1502</v>
      </c>
      <c r="B202" s="1914"/>
      <c r="C202" s="1914"/>
      <c r="D202" s="1914"/>
      <c r="E202" s="1914"/>
      <c r="F202" s="1914"/>
      <c r="G202" s="1914"/>
      <c r="H202" s="1914"/>
    </row>
    <row r="203" spans="1:8" x14ac:dyDescent="0.2">
      <c r="A203" s="1915" t="s">
        <v>1503</v>
      </c>
      <c r="B203" s="1914"/>
      <c r="C203" s="1914"/>
      <c r="D203" s="1914"/>
      <c r="E203" s="1914"/>
      <c r="F203" s="1914"/>
      <c r="G203" s="1914"/>
      <c r="H203" s="1914"/>
    </row>
    <row r="204" spans="1:8" x14ac:dyDescent="0.2">
      <c r="A204" s="1915" t="s">
        <v>1504</v>
      </c>
      <c r="B204" s="1914"/>
      <c r="C204" s="1914"/>
      <c r="D204" s="1914"/>
      <c r="E204" s="1914"/>
      <c r="F204" s="1914"/>
      <c r="G204" s="1914"/>
      <c r="H204" s="1914"/>
    </row>
    <row r="205" spans="1:8" x14ac:dyDescent="0.2">
      <c r="A205" s="1915" t="s">
        <v>1505</v>
      </c>
      <c r="B205" s="1914"/>
      <c r="C205" s="1914"/>
      <c r="D205" s="1914"/>
      <c r="E205" s="1914"/>
      <c r="F205" s="1914"/>
      <c r="G205" s="1914"/>
      <c r="H205" s="1914"/>
    </row>
    <row r="206" spans="1:8" x14ac:dyDescent="0.2">
      <c r="A206" s="1915" t="s">
        <v>1506</v>
      </c>
      <c r="B206" s="1914"/>
      <c r="C206" s="1914"/>
      <c r="D206" s="1914"/>
      <c r="E206" s="1914"/>
      <c r="F206" s="1914"/>
      <c r="G206" s="1914"/>
      <c r="H206" s="1914"/>
    </row>
    <row r="207" spans="1:8" x14ac:dyDescent="0.2">
      <c r="A207" s="1914"/>
      <c r="B207" s="1914"/>
      <c r="C207" s="1914"/>
      <c r="D207" s="1914"/>
      <c r="E207" s="1914"/>
      <c r="F207" s="1914"/>
      <c r="G207" s="1914"/>
      <c r="H207" s="1914"/>
    </row>
    <row r="208" spans="1:8" x14ac:dyDescent="0.2">
      <c r="A208" s="1915" t="s">
        <v>1499</v>
      </c>
      <c r="B208" s="1914"/>
      <c r="C208" s="1914"/>
      <c r="D208" s="1914"/>
      <c r="E208" s="1914"/>
      <c r="F208" s="1914"/>
      <c r="G208" s="1914"/>
      <c r="H208" s="1914"/>
    </row>
    <row r="209" spans="1:8" x14ac:dyDescent="0.2">
      <c r="A209" s="1915" t="s">
        <v>1500</v>
      </c>
      <c r="B209" s="1914"/>
      <c r="C209" s="1914"/>
      <c r="D209" s="1914"/>
      <c r="E209" s="1914"/>
      <c r="F209" s="1914"/>
      <c r="G209" s="1914"/>
      <c r="H209" s="1914"/>
    </row>
    <row r="210" spans="1:8" x14ac:dyDescent="0.2">
      <c r="A210" s="1915" t="s">
        <v>1501</v>
      </c>
      <c r="B210" s="1914"/>
      <c r="C210" s="1914"/>
      <c r="D210" s="1914"/>
      <c r="E210" s="1914"/>
      <c r="F210" s="1914"/>
      <c r="G210" s="1914"/>
      <c r="H210" s="1914"/>
    </row>
    <row r="211" spans="1:8" ht="15.75" x14ac:dyDescent="0.2">
      <c r="A211" s="1916" t="s">
        <v>1342</v>
      </c>
      <c r="B211" s="1914"/>
      <c r="C211" s="1914"/>
      <c r="D211" s="1914"/>
      <c r="E211" s="1914"/>
      <c r="F211" s="1914"/>
      <c r="G211" s="1914"/>
      <c r="H211" s="1914"/>
    </row>
    <row r="212" spans="1:8" x14ac:dyDescent="0.2">
      <c r="A212" s="1914"/>
      <c r="B212" s="1914"/>
      <c r="C212" s="1914"/>
      <c r="D212" s="1914"/>
      <c r="E212" s="1914"/>
      <c r="F212" s="1914"/>
      <c r="G212" s="1914"/>
      <c r="H212" s="1914"/>
    </row>
    <row r="213" spans="1:8" x14ac:dyDescent="0.2">
      <c r="A213" s="1915" t="s">
        <v>1497</v>
      </c>
      <c r="B213" s="1914"/>
      <c r="C213" s="1914"/>
      <c r="D213" s="1914"/>
      <c r="E213" s="1914"/>
      <c r="F213" s="1914"/>
      <c r="G213" s="1914"/>
      <c r="H213" s="1914"/>
    </row>
    <row r="214" spans="1:8" x14ac:dyDescent="0.2">
      <c r="A214" s="1915" t="s">
        <v>1498</v>
      </c>
      <c r="B214" s="1914"/>
      <c r="C214" s="1914"/>
      <c r="D214" s="1914"/>
      <c r="E214" s="1914"/>
      <c r="F214" s="1914"/>
      <c r="G214" s="1914"/>
      <c r="H214" s="1914"/>
    </row>
    <row r="215" spans="1:8" x14ac:dyDescent="0.2">
      <c r="A215" s="1914"/>
      <c r="B215" s="1914"/>
      <c r="C215" s="1914"/>
      <c r="D215" s="1914"/>
      <c r="E215" s="1914"/>
      <c r="F215" s="1914"/>
      <c r="G215" s="1914"/>
      <c r="H215" s="1914"/>
    </row>
    <row r="216" spans="1:8" x14ac:dyDescent="0.2">
      <c r="A216" s="1915" t="s">
        <v>1490</v>
      </c>
      <c r="B216" s="1914"/>
      <c r="C216" s="1914"/>
      <c r="D216" s="1914"/>
      <c r="E216" s="1914"/>
      <c r="F216" s="1914"/>
      <c r="G216" s="1914"/>
      <c r="H216" s="1914"/>
    </row>
    <row r="217" spans="1:8" x14ac:dyDescent="0.2">
      <c r="A217" s="1915" t="s">
        <v>1491</v>
      </c>
      <c r="B217" s="1914"/>
      <c r="C217" s="1914"/>
      <c r="D217" s="1914"/>
      <c r="E217" s="1914"/>
      <c r="F217" s="1914"/>
      <c r="G217" s="1914"/>
      <c r="H217" s="1914"/>
    </row>
    <row r="218" spans="1:8" x14ac:dyDescent="0.2">
      <c r="A218" s="1915" t="s">
        <v>1492</v>
      </c>
      <c r="B218" s="1914"/>
      <c r="C218" s="1914"/>
      <c r="D218" s="1914"/>
      <c r="E218" s="1914"/>
      <c r="F218" s="1914"/>
      <c r="G218" s="1914"/>
      <c r="H218" s="1914"/>
    </row>
    <row r="219" spans="1:8" x14ac:dyDescent="0.2">
      <c r="A219" s="1915" t="s">
        <v>1493</v>
      </c>
      <c r="B219" s="1914"/>
      <c r="C219" s="1914"/>
      <c r="D219" s="1914"/>
      <c r="E219" s="1914"/>
      <c r="F219" s="1914"/>
      <c r="G219" s="1914"/>
      <c r="H219" s="1914"/>
    </row>
    <row r="220" spans="1:8" x14ac:dyDescent="0.2">
      <c r="A220" s="1915" t="s">
        <v>1494</v>
      </c>
      <c r="B220" s="1914"/>
      <c r="C220" s="1914"/>
      <c r="D220" s="1914"/>
      <c r="E220" s="1914"/>
      <c r="F220" s="1914"/>
      <c r="G220" s="1914"/>
      <c r="H220" s="1914"/>
    </row>
    <row r="221" spans="1:8" x14ac:dyDescent="0.2">
      <c r="A221" s="1915" t="s">
        <v>1495</v>
      </c>
      <c r="B221" s="1914"/>
      <c r="C221" s="1914"/>
      <c r="D221" s="1914"/>
      <c r="E221" s="1914"/>
      <c r="F221" s="1914"/>
      <c r="G221" s="1914"/>
      <c r="H221" s="1914"/>
    </row>
    <row r="222" spans="1:8" x14ac:dyDescent="0.2">
      <c r="A222" s="1915" t="s">
        <v>1496</v>
      </c>
      <c r="B222" s="1914"/>
      <c r="C222" s="1914"/>
      <c r="D222" s="1914"/>
      <c r="E222" s="1914"/>
      <c r="F222" s="1914"/>
      <c r="G222" s="1914"/>
      <c r="H222" s="1914"/>
    </row>
    <row r="223" spans="1:8" x14ac:dyDescent="0.2">
      <c r="A223" s="1914"/>
      <c r="B223" s="1914"/>
      <c r="C223" s="1914"/>
      <c r="D223" s="1914"/>
      <c r="E223" s="1914"/>
      <c r="F223" s="1914"/>
      <c r="G223" s="1914"/>
      <c r="H223" s="1914"/>
    </row>
    <row r="224" spans="1:8" x14ac:dyDescent="0.2">
      <c r="A224" s="1915" t="s">
        <v>1487</v>
      </c>
      <c r="B224" s="1914"/>
      <c r="C224" s="1914"/>
      <c r="D224" s="1914"/>
      <c r="E224" s="1914"/>
      <c r="F224" s="1914"/>
      <c r="G224" s="1914"/>
      <c r="H224" s="1914"/>
    </row>
    <row r="225" spans="1:8" x14ac:dyDescent="0.2">
      <c r="A225" s="1915" t="s">
        <v>1488</v>
      </c>
      <c r="B225" s="1914"/>
      <c r="C225" s="1914"/>
      <c r="D225" s="1914"/>
      <c r="E225" s="1914"/>
      <c r="F225" s="1914"/>
      <c r="G225" s="1914"/>
      <c r="H225" s="1914"/>
    </row>
    <row r="226" spans="1:8" x14ac:dyDescent="0.2">
      <c r="A226" s="1915" t="s">
        <v>1489</v>
      </c>
      <c r="B226" s="1914"/>
      <c r="C226" s="1914"/>
      <c r="D226" s="1914"/>
      <c r="E226" s="1914"/>
      <c r="F226" s="1914"/>
      <c r="G226" s="1914"/>
      <c r="H226" s="1914"/>
    </row>
    <row r="227" spans="1:8" x14ac:dyDescent="0.2">
      <c r="A227" s="1914"/>
      <c r="B227" s="1914"/>
      <c r="C227" s="1914"/>
      <c r="D227" s="1914"/>
      <c r="E227" s="1914"/>
      <c r="F227" s="1914"/>
      <c r="G227" s="1914"/>
      <c r="H227" s="1914"/>
    </row>
    <row r="228" spans="1:8" x14ac:dyDescent="0.2">
      <c r="A228" s="1915" t="s">
        <v>1482</v>
      </c>
      <c r="B228" s="1914"/>
      <c r="C228" s="1914"/>
      <c r="D228" s="1914"/>
      <c r="E228" s="1914"/>
      <c r="F228" s="1914"/>
      <c r="G228" s="1914"/>
      <c r="H228" s="1914"/>
    </row>
    <row r="229" spans="1:8" x14ac:dyDescent="0.2">
      <c r="A229" s="1915" t="s">
        <v>1483</v>
      </c>
      <c r="B229" s="1914"/>
      <c r="C229" s="1914"/>
      <c r="D229" s="1914"/>
      <c r="E229" s="1914"/>
      <c r="F229" s="1914"/>
      <c r="G229" s="1914"/>
      <c r="H229" s="1914"/>
    </row>
    <row r="230" spans="1:8" x14ac:dyDescent="0.2">
      <c r="A230" s="1915" t="s">
        <v>1484</v>
      </c>
      <c r="B230" s="1914"/>
      <c r="C230" s="1914"/>
      <c r="D230" s="1914"/>
      <c r="E230" s="1914"/>
      <c r="F230" s="1914"/>
      <c r="G230" s="1914"/>
      <c r="H230" s="1914"/>
    </row>
    <row r="231" spans="1:8" x14ac:dyDescent="0.2">
      <c r="A231" s="1915" t="s">
        <v>1485</v>
      </c>
      <c r="B231" s="1914"/>
      <c r="C231" s="1914"/>
      <c r="D231" s="1914"/>
      <c r="E231" s="1914"/>
      <c r="F231" s="1914"/>
      <c r="G231" s="1914"/>
      <c r="H231" s="1914"/>
    </row>
    <row r="232" spans="1:8" x14ac:dyDescent="0.2">
      <c r="A232" s="1915" t="s">
        <v>1486</v>
      </c>
      <c r="B232" s="1914"/>
      <c r="C232" s="1914"/>
      <c r="D232" s="1914"/>
      <c r="E232" s="1914"/>
      <c r="F232" s="1914"/>
      <c r="G232" s="1914"/>
      <c r="H232" s="1914"/>
    </row>
    <row r="233" spans="1:8" x14ac:dyDescent="0.2">
      <c r="A233" s="1914"/>
      <c r="B233" s="1914"/>
      <c r="C233" s="1914"/>
      <c r="D233" s="1914"/>
      <c r="E233" s="1914"/>
      <c r="F233" s="1914"/>
      <c r="G233" s="1914"/>
      <c r="H233" s="1914"/>
    </row>
    <row r="234" spans="1:8" x14ac:dyDescent="0.2">
      <c r="A234" s="1915" t="s">
        <v>1476</v>
      </c>
      <c r="B234" s="1914"/>
      <c r="C234" s="1914"/>
      <c r="D234" s="1914"/>
      <c r="E234" s="1914"/>
      <c r="F234" s="1914"/>
      <c r="G234" s="1914"/>
      <c r="H234" s="1914"/>
    </row>
    <row r="235" spans="1:8" x14ac:dyDescent="0.2">
      <c r="A235" s="1915" t="s">
        <v>1477</v>
      </c>
      <c r="B235" s="1914"/>
      <c r="C235" s="1914"/>
      <c r="D235" s="1914"/>
      <c r="E235" s="1914"/>
      <c r="F235" s="1914"/>
      <c r="G235" s="1914"/>
      <c r="H235" s="1914"/>
    </row>
    <row r="236" spans="1:8" x14ac:dyDescent="0.2">
      <c r="A236" s="1915" t="s">
        <v>1478</v>
      </c>
      <c r="B236" s="1914"/>
      <c r="C236" s="1914"/>
      <c r="D236" s="1914"/>
      <c r="E236" s="1914"/>
      <c r="F236" s="1914"/>
      <c r="G236" s="1914"/>
      <c r="H236" s="1914"/>
    </row>
    <row r="237" spans="1:8" x14ac:dyDescent="0.2">
      <c r="A237" s="1915" t="s">
        <v>1479</v>
      </c>
      <c r="B237" s="1914"/>
      <c r="C237" s="1914"/>
      <c r="D237" s="1914"/>
      <c r="E237" s="1914"/>
      <c r="F237" s="1914"/>
      <c r="G237" s="1914"/>
      <c r="H237" s="1914"/>
    </row>
    <row r="238" spans="1:8" x14ac:dyDescent="0.2">
      <c r="A238" s="1915" t="s">
        <v>1480</v>
      </c>
      <c r="B238" s="1914"/>
      <c r="C238" s="1914"/>
      <c r="D238" s="1914"/>
      <c r="E238" s="1914"/>
      <c r="F238" s="1914"/>
      <c r="G238" s="1914"/>
      <c r="H238" s="1914"/>
    </row>
    <row r="239" spans="1:8" x14ac:dyDescent="0.2">
      <c r="A239" s="1915" t="s">
        <v>1481</v>
      </c>
      <c r="B239" s="1914"/>
      <c r="C239" s="1914"/>
      <c r="D239" s="1914"/>
      <c r="E239" s="1914"/>
      <c r="F239" s="1914"/>
      <c r="G239" s="1914"/>
      <c r="H239" s="1914"/>
    </row>
    <row r="240" spans="1:8" x14ac:dyDescent="0.2">
      <c r="A240" s="1914"/>
      <c r="B240" s="1914"/>
      <c r="C240" s="1914"/>
      <c r="D240" s="1914"/>
      <c r="E240" s="1914"/>
      <c r="F240" s="1914"/>
      <c r="G240" s="1914"/>
      <c r="H240" s="1914"/>
    </row>
    <row r="241" spans="1:8" x14ac:dyDescent="0.2">
      <c r="A241" s="1915" t="s">
        <v>1466</v>
      </c>
      <c r="B241" s="1914"/>
      <c r="C241" s="1914"/>
      <c r="D241" s="1914"/>
      <c r="E241" s="1914"/>
      <c r="F241" s="1914"/>
      <c r="G241" s="1914"/>
      <c r="H241" s="1914"/>
    </row>
    <row r="242" spans="1:8" x14ac:dyDescent="0.2">
      <c r="A242" s="1915" t="s">
        <v>1467</v>
      </c>
      <c r="B242" s="1914"/>
      <c r="C242" s="1914"/>
      <c r="D242" s="1914"/>
      <c r="E242" s="1914"/>
      <c r="F242" s="1914"/>
      <c r="G242" s="1914"/>
      <c r="H242" s="1914"/>
    </row>
    <row r="243" spans="1:8" x14ac:dyDescent="0.2">
      <c r="A243" s="1915" t="s">
        <v>1468</v>
      </c>
      <c r="B243" s="1914"/>
      <c r="C243" s="1914"/>
      <c r="D243" s="1914"/>
      <c r="E243" s="1914"/>
      <c r="F243" s="1914"/>
      <c r="G243" s="1914"/>
      <c r="H243" s="1914"/>
    </row>
    <row r="244" spans="1:8" x14ac:dyDescent="0.2">
      <c r="A244" s="1915" t="s">
        <v>1469</v>
      </c>
      <c r="B244" s="1914"/>
      <c r="C244" s="1914"/>
      <c r="D244" s="1914"/>
      <c r="E244" s="1914"/>
      <c r="F244" s="1914"/>
      <c r="G244" s="1914"/>
      <c r="H244" s="1914"/>
    </row>
    <row r="245" spans="1:8" x14ac:dyDescent="0.2">
      <c r="A245" s="1915" t="s">
        <v>1470</v>
      </c>
      <c r="B245" s="1914"/>
      <c r="C245" s="1914"/>
      <c r="D245" s="1914"/>
      <c r="E245" s="1914"/>
      <c r="F245" s="1914"/>
      <c r="G245" s="1914"/>
      <c r="H245" s="1914"/>
    </row>
    <row r="246" spans="1:8" x14ac:dyDescent="0.2">
      <c r="A246" s="1915" t="s">
        <v>1471</v>
      </c>
      <c r="B246" s="1914"/>
      <c r="C246" s="1914"/>
      <c r="D246" s="1914"/>
      <c r="E246" s="1914"/>
      <c r="F246" s="1914"/>
      <c r="G246" s="1914"/>
      <c r="H246" s="1914"/>
    </row>
    <row r="247" spans="1:8" x14ac:dyDescent="0.2">
      <c r="A247" s="1915" t="s">
        <v>1472</v>
      </c>
      <c r="B247" s="1914"/>
      <c r="C247" s="1914"/>
      <c r="D247" s="1914"/>
      <c r="E247" s="1914"/>
      <c r="F247" s="1914"/>
      <c r="G247" s="1914"/>
      <c r="H247" s="1914"/>
    </row>
    <row r="248" spans="1:8" x14ac:dyDescent="0.2">
      <c r="A248" s="1915" t="s">
        <v>1473</v>
      </c>
      <c r="B248" s="1914"/>
      <c r="C248" s="1914"/>
      <c r="D248" s="1914"/>
      <c r="E248" s="1914"/>
      <c r="F248" s="1914"/>
      <c r="G248" s="1914"/>
      <c r="H248" s="1914"/>
    </row>
    <row r="249" spans="1:8" x14ac:dyDescent="0.2">
      <c r="A249" s="1915" t="s">
        <v>1474</v>
      </c>
      <c r="B249" s="1914"/>
      <c r="C249" s="1914"/>
      <c r="D249" s="1914"/>
      <c r="E249" s="1914"/>
      <c r="F249" s="1914"/>
      <c r="G249" s="1914"/>
      <c r="H249" s="1914"/>
    </row>
    <row r="250" spans="1:8" x14ac:dyDescent="0.2">
      <c r="A250" s="1915" t="s">
        <v>1475</v>
      </c>
      <c r="B250" s="1914"/>
      <c r="C250" s="1914"/>
      <c r="D250" s="1914"/>
      <c r="E250" s="1914"/>
      <c r="F250" s="1914"/>
      <c r="G250" s="1914"/>
      <c r="H250" s="1914"/>
    </row>
    <row r="251" spans="1:8" x14ac:dyDescent="0.2">
      <c r="A251" s="1914"/>
      <c r="B251" s="1914"/>
      <c r="C251" s="1914"/>
      <c r="D251" s="1914"/>
      <c r="E251" s="1914"/>
      <c r="F251" s="1914"/>
      <c r="G251" s="1914"/>
      <c r="H251" s="1914"/>
    </row>
    <row r="252" spans="1:8" x14ac:dyDescent="0.2">
      <c r="A252" s="1915" t="s">
        <v>1464</v>
      </c>
      <c r="B252" s="1914"/>
      <c r="C252" s="1914"/>
      <c r="D252" s="1914"/>
      <c r="E252" s="1914"/>
      <c r="F252" s="1914"/>
      <c r="G252" s="1914"/>
      <c r="H252" s="1914"/>
    </row>
    <row r="253" spans="1:8" x14ac:dyDescent="0.2">
      <c r="A253" s="1915" t="s">
        <v>1465</v>
      </c>
      <c r="B253" s="1914"/>
      <c r="C253" s="1914"/>
      <c r="D253" s="1914"/>
      <c r="E253" s="1914"/>
      <c r="F253" s="1914"/>
      <c r="G253" s="1914"/>
      <c r="H253" s="1914"/>
    </row>
    <row r="254" spans="1:8" x14ac:dyDescent="0.2">
      <c r="A254" s="1914"/>
      <c r="B254" s="1914"/>
      <c r="C254" s="1914"/>
      <c r="D254" s="1914"/>
      <c r="E254" s="1914"/>
      <c r="F254" s="1914"/>
      <c r="G254" s="1914"/>
      <c r="H254" s="1914"/>
    </row>
    <row r="255" spans="1:8" x14ac:dyDescent="0.2">
      <c r="A255" s="1915" t="s">
        <v>1448</v>
      </c>
      <c r="B255" s="1914"/>
      <c r="C255" s="1914"/>
      <c r="D255" s="1914"/>
      <c r="E255" s="1914"/>
      <c r="F255" s="1914"/>
      <c r="G255" s="1914"/>
      <c r="H255" s="1914"/>
    </row>
    <row r="256" spans="1:8" x14ac:dyDescent="0.2">
      <c r="A256" s="1915" t="s">
        <v>1449</v>
      </c>
      <c r="B256" s="1914"/>
      <c r="C256" s="1914"/>
      <c r="D256" s="1914"/>
      <c r="E256" s="1914"/>
      <c r="F256" s="1914"/>
      <c r="G256" s="1914"/>
      <c r="H256" s="1914"/>
    </row>
    <row r="257" spans="1:8" x14ac:dyDescent="0.2">
      <c r="A257" s="1915" t="s">
        <v>1450</v>
      </c>
      <c r="B257" s="1914"/>
      <c r="C257" s="1914"/>
      <c r="D257" s="1914"/>
      <c r="E257" s="1914"/>
      <c r="F257" s="1914"/>
      <c r="G257" s="1914"/>
      <c r="H257" s="1914"/>
    </row>
    <row r="258" spans="1:8" x14ac:dyDescent="0.2">
      <c r="A258" s="1915" t="s">
        <v>1451</v>
      </c>
      <c r="B258" s="1914"/>
      <c r="C258" s="1914"/>
      <c r="D258" s="1914"/>
      <c r="E258" s="1914"/>
      <c r="F258" s="1914"/>
      <c r="G258" s="1914"/>
      <c r="H258" s="1914"/>
    </row>
    <row r="259" spans="1:8" x14ac:dyDescent="0.2">
      <c r="A259" s="1915" t="s">
        <v>1452</v>
      </c>
      <c r="B259" s="1914"/>
      <c r="C259" s="1914"/>
      <c r="D259" s="1914"/>
      <c r="E259" s="1914"/>
      <c r="F259" s="1914"/>
      <c r="G259" s="1914"/>
      <c r="H259" s="1914"/>
    </row>
    <row r="260" spans="1:8" x14ac:dyDescent="0.2">
      <c r="A260" s="1915" t="s">
        <v>1453</v>
      </c>
      <c r="B260" s="1914"/>
      <c r="C260" s="1914"/>
      <c r="D260" s="1914"/>
      <c r="E260" s="1914"/>
      <c r="F260" s="1914"/>
      <c r="G260" s="1914"/>
      <c r="H260" s="1914"/>
    </row>
    <row r="261" spans="1:8" x14ac:dyDescent="0.2">
      <c r="A261" s="1915" t="s">
        <v>1454</v>
      </c>
      <c r="B261" s="1914"/>
      <c r="C261" s="1914"/>
      <c r="D261" s="1914"/>
      <c r="E261" s="1914"/>
      <c r="F261" s="1914"/>
      <c r="G261" s="1914"/>
      <c r="H261" s="1914"/>
    </row>
    <row r="262" spans="1:8" x14ac:dyDescent="0.2">
      <c r="A262" s="1915" t="s">
        <v>1455</v>
      </c>
      <c r="B262" s="1914"/>
      <c r="C262" s="1914"/>
      <c r="D262" s="1914"/>
      <c r="E262" s="1914"/>
      <c r="F262" s="1914"/>
      <c r="G262" s="1914"/>
      <c r="H262" s="1914"/>
    </row>
    <row r="263" spans="1:8" x14ac:dyDescent="0.2">
      <c r="A263" s="1915" t="s">
        <v>1456</v>
      </c>
      <c r="B263" s="1914"/>
      <c r="C263" s="1914"/>
      <c r="D263" s="1914"/>
      <c r="E263" s="1914"/>
      <c r="F263" s="1914"/>
      <c r="G263" s="1914"/>
      <c r="H263" s="1914"/>
    </row>
    <row r="264" spans="1:8" x14ac:dyDescent="0.2">
      <c r="A264" s="1915" t="s">
        <v>1457</v>
      </c>
      <c r="B264" s="1914"/>
      <c r="C264" s="1914"/>
      <c r="D264" s="1914"/>
      <c r="E264" s="1914"/>
      <c r="F264" s="1914"/>
      <c r="G264" s="1914"/>
      <c r="H264" s="1914"/>
    </row>
    <row r="265" spans="1:8" x14ac:dyDescent="0.2">
      <c r="A265" s="1915" t="s">
        <v>1458</v>
      </c>
      <c r="B265" s="1914"/>
      <c r="C265" s="1914"/>
      <c r="D265" s="1914"/>
      <c r="E265" s="1914"/>
      <c r="F265" s="1914"/>
      <c r="G265" s="1914"/>
      <c r="H265" s="1914"/>
    </row>
    <row r="266" spans="1:8" x14ac:dyDescent="0.2">
      <c r="A266" s="1915" t="s">
        <v>1459</v>
      </c>
      <c r="B266" s="1914"/>
      <c r="C266" s="1914"/>
      <c r="D266" s="1914"/>
      <c r="E266" s="1914"/>
      <c r="F266" s="1914"/>
      <c r="G266" s="1914"/>
      <c r="H266" s="1914"/>
    </row>
    <row r="267" spans="1:8" x14ac:dyDescent="0.2">
      <c r="A267" s="1915" t="s">
        <v>1460</v>
      </c>
      <c r="B267" s="1914"/>
      <c r="C267" s="1914"/>
      <c r="D267" s="1914"/>
      <c r="E267" s="1914"/>
      <c r="F267" s="1914"/>
      <c r="G267" s="1914"/>
      <c r="H267" s="1914"/>
    </row>
    <row r="268" spans="1:8" x14ac:dyDescent="0.2">
      <c r="A268" s="1915" t="s">
        <v>1461</v>
      </c>
      <c r="B268" s="1914"/>
      <c r="C268" s="1914"/>
      <c r="D268" s="1914"/>
      <c r="E268" s="1914"/>
      <c r="F268" s="1914"/>
      <c r="G268" s="1914"/>
      <c r="H268" s="1914"/>
    </row>
    <row r="269" spans="1:8" x14ac:dyDescent="0.2">
      <c r="A269" s="1915" t="s">
        <v>1462</v>
      </c>
      <c r="B269" s="1914"/>
      <c r="C269" s="1914"/>
      <c r="D269" s="1914"/>
      <c r="E269" s="1914"/>
      <c r="F269" s="1914"/>
      <c r="G269" s="1914"/>
      <c r="H269" s="1914"/>
    </row>
    <row r="270" spans="1:8" x14ac:dyDescent="0.2">
      <c r="A270" s="1915" t="s">
        <v>1463</v>
      </c>
      <c r="B270" s="1914"/>
      <c r="C270" s="1914"/>
      <c r="D270" s="1914"/>
      <c r="E270" s="1914"/>
      <c r="F270" s="1914"/>
      <c r="G270" s="1914"/>
      <c r="H270" s="1914"/>
    </row>
    <row r="271" spans="1:8" x14ac:dyDescent="0.2">
      <c r="A271" s="1914"/>
      <c r="B271" s="1914"/>
      <c r="C271" s="1914"/>
      <c r="D271" s="1914"/>
      <c r="E271" s="1914"/>
      <c r="F271" s="1914"/>
      <c r="G271" s="1914"/>
      <c r="H271" s="1914"/>
    </row>
    <row r="272" spans="1:8" x14ac:dyDescent="0.2">
      <c r="A272" s="1915" t="s">
        <v>1441</v>
      </c>
      <c r="B272" s="1914"/>
      <c r="C272" s="1914"/>
      <c r="D272" s="1914"/>
      <c r="E272" s="1914"/>
      <c r="F272" s="1914"/>
      <c r="G272" s="1914"/>
      <c r="H272" s="1914"/>
    </row>
    <row r="273" spans="1:8" x14ac:dyDescent="0.2">
      <c r="A273" s="1915" t="s">
        <v>1442</v>
      </c>
      <c r="B273" s="1914"/>
      <c r="C273" s="1914"/>
      <c r="D273" s="1914"/>
      <c r="E273" s="1914"/>
      <c r="F273" s="1914"/>
      <c r="G273" s="1914"/>
      <c r="H273" s="1914"/>
    </row>
    <row r="274" spans="1:8" x14ac:dyDescent="0.2">
      <c r="A274" s="1915" t="s">
        <v>1443</v>
      </c>
      <c r="B274" s="1914"/>
      <c r="C274" s="1914"/>
      <c r="D274" s="1914"/>
      <c r="E274" s="1914"/>
      <c r="F274" s="1914"/>
      <c r="G274" s="1914"/>
      <c r="H274" s="1914"/>
    </row>
    <row r="275" spans="1:8" x14ac:dyDescent="0.2">
      <c r="A275" s="1915" t="s">
        <v>1444</v>
      </c>
      <c r="B275" s="1914"/>
      <c r="C275" s="1914"/>
      <c r="D275" s="1914"/>
      <c r="E275" s="1914"/>
      <c r="F275" s="1914"/>
      <c r="G275" s="1914"/>
      <c r="H275" s="1914"/>
    </row>
    <row r="276" spans="1:8" x14ac:dyDescent="0.2">
      <c r="A276" s="1915" t="s">
        <v>1445</v>
      </c>
      <c r="B276" s="1914"/>
      <c r="C276" s="1914"/>
      <c r="D276" s="1914"/>
      <c r="E276" s="1914"/>
      <c r="F276" s="1914"/>
      <c r="G276" s="1914"/>
      <c r="H276" s="1914"/>
    </row>
    <row r="277" spans="1:8" x14ac:dyDescent="0.2">
      <c r="A277" s="1915" t="s">
        <v>1446</v>
      </c>
      <c r="B277" s="1914"/>
      <c r="C277" s="1914"/>
      <c r="D277" s="1914"/>
      <c r="E277" s="1914"/>
      <c r="F277" s="1914"/>
      <c r="G277" s="1914"/>
      <c r="H277" s="1914"/>
    </row>
    <row r="278" spans="1:8" x14ac:dyDescent="0.2">
      <c r="A278" s="1915" t="s">
        <v>1447</v>
      </c>
      <c r="B278" s="1914"/>
      <c r="C278" s="1914"/>
      <c r="D278" s="1914"/>
      <c r="E278" s="1914"/>
      <c r="F278" s="1914"/>
      <c r="G278" s="1914"/>
      <c r="H278" s="1914"/>
    </row>
    <row r="279" spans="1:8" x14ac:dyDescent="0.2">
      <c r="A279" s="1914"/>
      <c r="B279" s="1914"/>
      <c r="C279" s="1914"/>
      <c r="D279" s="1914"/>
      <c r="E279" s="1914"/>
      <c r="F279" s="1914"/>
      <c r="G279" s="1914"/>
      <c r="H279" s="1914"/>
    </row>
    <row r="280" spans="1:8" x14ac:dyDescent="0.2">
      <c r="A280" s="1915" t="s">
        <v>1432</v>
      </c>
      <c r="B280" s="1914"/>
      <c r="C280" s="1914"/>
      <c r="D280" s="1914"/>
      <c r="E280" s="1914"/>
      <c r="F280" s="1914"/>
      <c r="G280" s="1914"/>
      <c r="H280" s="1914"/>
    </row>
    <row r="281" spans="1:8" x14ac:dyDescent="0.2">
      <c r="A281" s="1915" t="s">
        <v>1433</v>
      </c>
      <c r="B281" s="1914"/>
      <c r="C281" s="1914"/>
      <c r="D281" s="1914"/>
      <c r="E281" s="1914"/>
      <c r="F281" s="1914"/>
      <c r="G281" s="1914"/>
      <c r="H281" s="1914"/>
    </row>
    <row r="282" spans="1:8" x14ac:dyDescent="0.2">
      <c r="A282" s="1915" t="s">
        <v>1434</v>
      </c>
      <c r="B282" s="1914"/>
      <c r="C282" s="1914"/>
      <c r="D282" s="1914"/>
      <c r="E282" s="1914"/>
      <c r="F282" s="1914"/>
      <c r="G282" s="1914"/>
      <c r="H282" s="1914"/>
    </row>
    <row r="283" spans="1:8" x14ac:dyDescent="0.2">
      <c r="A283" s="1915" t="s">
        <v>1435</v>
      </c>
      <c r="B283" s="1914"/>
      <c r="C283" s="1914"/>
      <c r="D283" s="1914"/>
      <c r="E283" s="1914"/>
      <c r="F283" s="1914"/>
      <c r="G283" s="1914"/>
      <c r="H283" s="1914"/>
    </row>
    <row r="284" spans="1:8" x14ac:dyDescent="0.2">
      <c r="A284" s="1915" t="s">
        <v>1436</v>
      </c>
      <c r="B284" s="1914"/>
      <c r="C284" s="1914"/>
      <c r="D284" s="1914"/>
      <c r="E284" s="1914"/>
      <c r="F284" s="1914"/>
      <c r="G284" s="1914"/>
      <c r="H284" s="1914"/>
    </row>
    <row r="285" spans="1:8" x14ac:dyDescent="0.2">
      <c r="A285" s="1915" t="s">
        <v>1437</v>
      </c>
      <c r="B285" s="1914"/>
      <c r="C285" s="1914"/>
      <c r="D285" s="1914"/>
      <c r="E285" s="1914"/>
      <c r="F285" s="1914"/>
      <c r="G285" s="1914"/>
      <c r="H285" s="1914"/>
    </row>
    <row r="286" spans="1:8" x14ac:dyDescent="0.2">
      <c r="A286" s="1915" t="s">
        <v>1438</v>
      </c>
      <c r="B286" s="1914"/>
      <c r="C286" s="1914"/>
      <c r="D286" s="1914"/>
      <c r="E286" s="1914"/>
      <c r="F286" s="1914"/>
      <c r="G286" s="1914"/>
      <c r="H286" s="1914"/>
    </row>
    <row r="287" spans="1:8" x14ac:dyDescent="0.2">
      <c r="A287" s="1915" t="s">
        <v>1439</v>
      </c>
      <c r="B287" s="1914"/>
      <c r="C287" s="1914"/>
      <c r="D287" s="1914"/>
      <c r="E287" s="1914"/>
      <c r="F287" s="1914"/>
      <c r="G287" s="1914"/>
      <c r="H287" s="1914"/>
    </row>
    <row r="288" spans="1:8" x14ac:dyDescent="0.2">
      <c r="A288" s="1915" t="s">
        <v>1440</v>
      </c>
      <c r="B288" s="1914"/>
      <c r="C288" s="1914"/>
      <c r="D288" s="1914"/>
      <c r="E288" s="1914"/>
      <c r="F288" s="1914"/>
      <c r="G288" s="1914"/>
      <c r="H288" s="1914"/>
    </row>
    <row r="289" spans="1:8" x14ac:dyDescent="0.2">
      <c r="A289" s="1914"/>
      <c r="B289" s="1914"/>
      <c r="C289" s="1914"/>
      <c r="D289" s="1914"/>
      <c r="E289" s="1914"/>
      <c r="F289" s="1914"/>
      <c r="G289" s="1914"/>
      <c r="H289" s="1914"/>
    </row>
    <row r="290" spans="1:8" x14ac:dyDescent="0.2">
      <c r="A290" s="1915" t="s">
        <v>1425</v>
      </c>
      <c r="B290" s="1914"/>
      <c r="C290" s="1914"/>
      <c r="D290" s="1914"/>
      <c r="E290" s="1914"/>
      <c r="F290" s="1914"/>
      <c r="G290" s="1914"/>
      <c r="H290" s="1914"/>
    </row>
    <row r="291" spans="1:8" x14ac:dyDescent="0.2">
      <c r="A291" s="1915" t="s">
        <v>1426</v>
      </c>
      <c r="B291" s="1914"/>
      <c r="C291" s="1914"/>
      <c r="D291" s="1914"/>
      <c r="E291" s="1914"/>
      <c r="F291" s="1914"/>
      <c r="G291" s="1914"/>
      <c r="H291" s="1914"/>
    </row>
    <row r="292" spans="1:8" x14ac:dyDescent="0.2">
      <c r="A292" s="1915" t="s">
        <v>1427</v>
      </c>
      <c r="B292" s="1914"/>
      <c r="C292" s="1914"/>
      <c r="D292" s="1914"/>
      <c r="E292" s="1914"/>
      <c r="F292" s="1914"/>
      <c r="G292" s="1914"/>
      <c r="H292" s="1914"/>
    </row>
    <row r="293" spans="1:8" x14ac:dyDescent="0.2">
      <c r="A293" s="1915" t="s">
        <v>1428</v>
      </c>
      <c r="B293" s="1914"/>
      <c r="C293" s="1914"/>
      <c r="D293" s="1914"/>
      <c r="E293" s="1914"/>
      <c r="F293" s="1914"/>
      <c r="G293" s="1914"/>
      <c r="H293" s="1914"/>
    </row>
    <row r="294" spans="1:8" x14ac:dyDescent="0.2">
      <c r="A294" s="1915" t="s">
        <v>1429</v>
      </c>
      <c r="B294" s="1914"/>
      <c r="C294" s="1914"/>
      <c r="D294" s="1914"/>
      <c r="E294" s="1914"/>
      <c r="F294" s="1914"/>
      <c r="G294" s="1914"/>
      <c r="H294" s="1914"/>
    </row>
    <row r="295" spans="1:8" x14ac:dyDescent="0.2">
      <c r="A295" s="1915" t="s">
        <v>1430</v>
      </c>
      <c r="B295" s="1914"/>
      <c r="C295" s="1914"/>
      <c r="D295" s="1914"/>
      <c r="E295" s="1914"/>
      <c r="F295" s="1914"/>
      <c r="G295" s="1914"/>
      <c r="H295" s="1914"/>
    </row>
    <row r="296" spans="1:8" x14ac:dyDescent="0.2">
      <c r="A296" s="1915" t="s">
        <v>1431</v>
      </c>
      <c r="B296" s="1914"/>
      <c r="C296" s="1914"/>
      <c r="D296" s="1914"/>
      <c r="E296" s="1914"/>
      <c r="F296" s="1914"/>
      <c r="G296" s="1914"/>
      <c r="H296" s="1914"/>
    </row>
    <row r="297" spans="1:8" x14ac:dyDescent="0.2">
      <c r="A297" s="1914"/>
      <c r="B297" s="1914"/>
      <c r="C297" s="1914"/>
      <c r="D297" s="1914"/>
      <c r="E297" s="1914"/>
      <c r="F297" s="1914"/>
      <c r="G297" s="1914"/>
      <c r="H297" s="1914"/>
    </row>
    <row r="298" spans="1:8" x14ac:dyDescent="0.2">
      <c r="A298" s="1915" t="s">
        <v>1422</v>
      </c>
      <c r="B298" s="1914"/>
      <c r="C298" s="1914"/>
      <c r="D298" s="1914"/>
      <c r="E298" s="1914"/>
      <c r="F298" s="1914"/>
      <c r="G298" s="1914"/>
      <c r="H298" s="1914"/>
    </row>
    <row r="299" spans="1:8" x14ac:dyDescent="0.2">
      <c r="A299" s="1915" t="s">
        <v>1423</v>
      </c>
      <c r="B299" s="1914"/>
      <c r="C299" s="1914"/>
      <c r="D299" s="1914"/>
      <c r="E299" s="1914"/>
      <c r="F299" s="1914"/>
      <c r="G299" s="1914"/>
      <c r="H299" s="1914"/>
    </row>
    <row r="300" spans="1:8" x14ac:dyDescent="0.2">
      <c r="A300" s="1915" t="s">
        <v>1424</v>
      </c>
      <c r="B300" s="1914"/>
      <c r="C300" s="1914"/>
      <c r="D300" s="1914"/>
      <c r="E300" s="1914"/>
      <c r="F300" s="1914"/>
      <c r="G300" s="1914"/>
      <c r="H300" s="1914"/>
    </row>
    <row r="301" spans="1:8" x14ac:dyDescent="0.2">
      <c r="A301" s="1914"/>
      <c r="B301" s="1914"/>
      <c r="C301" s="1914"/>
      <c r="D301" s="1914"/>
      <c r="E301" s="1914"/>
      <c r="F301" s="1914"/>
      <c r="G301" s="1914"/>
      <c r="H301" s="1914"/>
    </row>
    <row r="302" spans="1:8" x14ac:dyDescent="0.2">
      <c r="A302" s="1915" t="s">
        <v>1420</v>
      </c>
      <c r="B302" s="1914"/>
      <c r="C302" s="1914"/>
      <c r="D302" s="1914"/>
      <c r="E302" s="1914"/>
      <c r="F302" s="1914"/>
      <c r="G302" s="1914"/>
      <c r="H302" s="1914"/>
    </row>
    <row r="303" spans="1:8" x14ac:dyDescent="0.2">
      <c r="A303" s="1915" t="s">
        <v>1421</v>
      </c>
      <c r="B303" s="1914"/>
      <c r="C303" s="1914"/>
      <c r="D303" s="1914"/>
      <c r="E303" s="1914"/>
      <c r="F303" s="1914"/>
      <c r="G303" s="1914"/>
      <c r="H303" s="1914"/>
    </row>
    <row r="304" spans="1:8" x14ac:dyDescent="0.2">
      <c r="A304" s="1914"/>
      <c r="B304" s="1914"/>
      <c r="C304" s="1914"/>
      <c r="D304" s="1914"/>
      <c r="E304" s="1914"/>
      <c r="F304" s="1914"/>
      <c r="G304" s="1914"/>
      <c r="H304" s="1914"/>
    </row>
    <row r="305" spans="1:8" x14ac:dyDescent="0.2">
      <c r="A305" s="1915" t="s">
        <v>1407</v>
      </c>
      <c r="B305" s="1914"/>
      <c r="C305" s="1914"/>
      <c r="D305" s="1914"/>
      <c r="E305" s="1914"/>
      <c r="F305" s="1914"/>
      <c r="G305" s="1914"/>
      <c r="H305" s="1914"/>
    </row>
    <row r="306" spans="1:8" x14ac:dyDescent="0.2">
      <c r="A306" s="1915" t="s">
        <v>1408</v>
      </c>
      <c r="B306" s="1914"/>
      <c r="C306" s="1914"/>
      <c r="D306" s="1914"/>
      <c r="E306" s="1914"/>
      <c r="F306" s="1914"/>
      <c r="G306" s="1914"/>
      <c r="H306" s="1914"/>
    </row>
    <row r="307" spans="1:8" x14ac:dyDescent="0.2">
      <c r="A307" s="1915" t="s">
        <v>1409</v>
      </c>
      <c r="B307" s="1914"/>
      <c r="C307" s="1914"/>
      <c r="D307" s="1914"/>
      <c r="E307" s="1914"/>
      <c r="F307" s="1914"/>
      <c r="G307" s="1914"/>
      <c r="H307" s="1914"/>
    </row>
    <row r="308" spans="1:8" x14ac:dyDescent="0.2">
      <c r="A308" s="1915" t="s">
        <v>1410</v>
      </c>
      <c r="B308" s="1914"/>
      <c r="C308" s="1914"/>
      <c r="D308" s="1914"/>
      <c r="E308" s="1914"/>
      <c r="F308" s="1914"/>
      <c r="G308" s="1914"/>
      <c r="H308" s="1914"/>
    </row>
    <row r="309" spans="1:8" x14ac:dyDescent="0.2">
      <c r="A309" s="1915" t="s">
        <v>1411</v>
      </c>
      <c r="B309" s="1914"/>
      <c r="C309" s="1914"/>
      <c r="D309" s="1914"/>
      <c r="E309" s="1914"/>
      <c r="F309" s="1914"/>
      <c r="G309" s="1914"/>
      <c r="H309" s="1914"/>
    </row>
    <row r="310" spans="1:8" x14ac:dyDescent="0.2">
      <c r="A310" s="1915" t="s">
        <v>1412</v>
      </c>
      <c r="B310" s="1914"/>
      <c r="C310" s="1914"/>
      <c r="D310" s="1914"/>
      <c r="E310" s="1914"/>
      <c r="F310" s="1914"/>
      <c r="G310" s="1914"/>
      <c r="H310" s="1914"/>
    </row>
    <row r="311" spans="1:8" x14ac:dyDescent="0.2">
      <c r="A311" s="1915" t="s">
        <v>1413</v>
      </c>
      <c r="B311" s="1914"/>
      <c r="C311" s="1914"/>
      <c r="D311" s="1914"/>
      <c r="E311" s="1914"/>
      <c r="F311" s="1914"/>
      <c r="G311" s="1914"/>
      <c r="H311" s="1914"/>
    </row>
    <row r="312" spans="1:8" x14ac:dyDescent="0.2">
      <c r="A312" s="1915" t="s">
        <v>1414</v>
      </c>
      <c r="B312" s="1914"/>
      <c r="C312" s="1914"/>
      <c r="D312" s="1914"/>
      <c r="E312" s="1914"/>
      <c r="F312" s="1914"/>
      <c r="G312" s="1914"/>
      <c r="H312" s="1914"/>
    </row>
    <row r="313" spans="1:8" x14ac:dyDescent="0.2">
      <c r="A313" s="1915" t="s">
        <v>1415</v>
      </c>
      <c r="B313" s="1914"/>
      <c r="C313" s="1914"/>
      <c r="D313" s="1914"/>
      <c r="E313" s="1914"/>
      <c r="F313" s="1914"/>
      <c r="G313" s="1914"/>
      <c r="H313" s="1914"/>
    </row>
    <row r="314" spans="1:8" x14ac:dyDescent="0.2">
      <c r="A314" s="1915" t="s">
        <v>1416</v>
      </c>
      <c r="B314" s="1914"/>
      <c r="C314" s="1914"/>
      <c r="D314" s="1914"/>
      <c r="E314" s="1914"/>
      <c r="F314" s="1914"/>
      <c r="G314" s="1914"/>
      <c r="H314" s="1914"/>
    </row>
    <row r="315" spans="1:8" x14ac:dyDescent="0.2">
      <c r="A315" s="1915" t="s">
        <v>1417</v>
      </c>
      <c r="B315" s="1914"/>
      <c r="C315" s="1914"/>
      <c r="D315" s="1914"/>
      <c r="E315" s="1914"/>
      <c r="F315" s="1914"/>
      <c r="G315" s="1914"/>
      <c r="H315" s="1914"/>
    </row>
    <row r="316" spans="1:8" x14ac:dyDescent="0.2">
      <c r="A316" s="1915" t="s">
        <v>1418</v>
      </c>
      <c r="B316" s="1914"/>
      <c r="C316" s="1914"/>
      <c r="D316" s="1914"/>
      <c r="E316" s="1914"/>
      <c r="F316" s="1914"/>
      <c r="G316" s="1914"/>
      <c r="H316" s="1914"/>
    </row>
    <row r="317" spans="1:8" x14ac:dyDescent="0.2">
      <c r="A317" s="1915" t="s">
        <v>1419</v>
      </c>
      <c r="B317" s="1914"/>
      <c r="C317" s="1914"/>
      <c r="D317" s="1914"/>
      <c r="E317" s="1914"/>
      <c r="F317" s="1914"/>
      <c r="G317" s="1914"/>
      <c r="H317" s="1914"/>
    </row>
    <row r="318" spans="1:8" x14ac:dyDescent="0.2">
      <c r="A318" s="1914"/>
      <c r="B318" s="1914"/>
      <c r="C318" s="1914"/>
      <c r="D318" s="1914"/>
      <c r="E318" s="1914"/>
      <c r="F318" s="1914"/>
      <c r="G318" s="1914"/>
      <c r="H318" s="1914"/>
    </row>
    <row r="319" spans="1:8" x14ac:dyDescent="0.2">
      <c r="A319" s="1915" t="s">
        <v>1399</v>
      </c>
      <c r="B319" s="1914"/>
      <c r="C319" s="1914"/>
      <c r="D319" s="1914"/>
      <c r="E319" s="1914"/>
      <c r="F319" s="1914"/>
      <c r="G319" s="1914"/>
      <c r="H319" s="1914"/>
    </row>
    <row r="320" spans="1:8" x14ac:dyDescent="0.2">
      <c r="A320" s="1915" t="s">
        <v>1400</v>
      </c>
      <c r="B320" s="1914"/>
      <c r="C320" s="1914"/>
      <c r="D320" s="1914"/>
      <c r="E320" s="1914"/>
      <c r="F320" s="1914"/>
      <c r="G320" s="1914"/>
      <c r="H320" s="1914"/>
    </row>
    <row r="321" spans="1:8" x14ac:dyDescent="0.2">
      <c r="A321" s="1915" t="s">
        <v>1401</v>
      </c>
      <c r="B321" s="1914"/>
      <c r="C321" s="1914"/>
      <c r="D321" s="1914"/>
      <c r="E321" s="1914"/>
      <c r="F321" s="1914"/>
      <c r="G321" s="1914"/>
      <c r="H321" s="1914"/>
    </row>
    <row r="322" spans="1:8" x14ac:dyDescent="0.2">
      <c r="A322" s="1915" t="s">
        <v>1402</v>
      </c>
      <c r="B322" s="1914"/>
      <c r="C322" s="1914"/>
      <c r="D322" s="1914"/>
      <c r="E322" s="1914"/>
      <c r="F322" s="1914"/>
      <c r="G322" s="1914"/>
      <c r="H322" s="1914"/>
    </row>
    <row r="323" spans="1:8" x14ac:dyDescent="0.2">
      <c r="A323" s="1915" t="s">
        <v>1403</v>
      </c>
      <c r="B323" s="1914"/>
      <c r="C323" s="1914"/>
      <c r="D323" s="1914"/>
      <c r="E323" s="1914"/>
      <c r="F323" s="1914"/>
      <c r="G323" s="1914"/>
      <c r="H323" s="1914"/>
    </row>
    <row r="324" spans="1:8" x14ac:dyDescent="0.2">
      <c r="A324" s="1915" t="s">
        <v>1404</v>
      </c>
      <c r="B324" s="1914"/>
      <c r="C324" s="1914"/>
      <c r="D324" s="1914"/>
      <c r="E324" s="1914"/>
      <c r="F324" s="1914"/>
      <c r="G324" s="1914"/>
      <c r="H324" s="1914"/>
    </row>
    <row r="325" spans="1:8" x14ac:dyDescent="0.2">
      <c r="A325" s="1915" t="s">
        <v>1405</v>
      </c>
      <c r="B325" s="1914"/>
      <c r="C325" s="1914"/>
      <c r="D325" s="1914"/>
      <c r="E325" s="1914"/>
      <c r="F325" s="1914"/>
      <c r="G325" s="1914"/>
      <c r="H325" s="1914"/>
    </row>
    <row r="326" spans="1:8" x14ac:dyDescent="0.2">
      <c r="A326" s="1915" t="s">
        <v>1406</v>
      </c>
      <c r="B326" s="1914"/>
      <c r="C326" s="1914"/>
      <c r="D326" s="1914"/>
      <c r="E326" s="1914"/>
      <c r="F326" s="1914"/>
      <c r="G326" s="1914"/>
      <c r="H326" s="1914"/>
    </row>
    <row r="327" spans="1:8" x14ac:dyDescent="0.2">
      <c r="A327" s="1914"/>
      <c r="B327" s="1914"/>
      <c r="C327" s="1914"/>
      <c r="D327" s="1914"/>
      <c r="E327" s="1914"/>
      <c r="F327" s="1914"/>
      <c r="G327" s="1914"/>
      <c r="H327" s="1914"/>
    </row>
    <row r="328" spans="1:8" x14ac:dyDescent="0.2">
      <c r="A328" s="1915" t="s">
        <v>1364</v>
      </c>
      <c r="B328" s="1914"/>
      <c r="C328" s="1914"/>
      <c r="D328" s="1914"/>
      <c r="E328" s="1914"/>
      <c r="F328" s="1914"/>
      <c r="G328" s="1914"/>
      <c r="H328" s="1914"/>
    </row>
    <row r="329" spans="1:8" x14ac:dyDescent="0.2">
      <c r="A329" s="1915" t="s">
        <v>1365</v>
      </c>
      <c r="B329" s="1914"/>
      <c r="C329" s="1914"/>
      <c r="D329" s="1914"/>
      <c r="E329" s="1914"/>
      <c r="F329" s="1914"/>
      <c r="G329" s="1914"/>
      <c r="H329" s="1914"/>
    </row>
    <row r="330" spans="1:8" x14ac:dyDescent="0.2">
      <c r="A330" s="1915" t="s">
        <v>1366</v>
      </c>
      <c r="B330" s="1914"/>
      <c r="C330" s="1914"/>
      <c r="D330" s="1914"/>
      <c r="E330" s="1914"/>
      <c r="F330" s="1914"/>
      <c r="G330" s="1914"/>
      <c r="H330" s="1914"/>
    </row>
    <row r="331" spans="1:8" x14ac:dyDescent="0.2">
      <c r="A331" s="1915" t="s">
        <v>1367</v>
      </c>
      <c r="B331" s="1914"/>
      <c r="C331" s="1914"/>
      <c r="D331" s="1914"/>
      <c r="E331" s="1914"/>
      <c r="F331" s="1914"/>
      <c r="G331" s="1914"/>
      <c r="H331" s="1914"/>
    </row>
    <row r="332" spans="1:8" x14ac:dyDescent="0.2">
      <c r="A332" s="1915" t="s">
        <v>1368</v>
      </c>
      <c r="B332" s="1914"/>
      <c r="C332" s="1914"/>
      <c r="D332" s="1914"/>
      <c r="E332" s="1914"/>
      <c r="F332" s="1914"/>
      <c r="G332" s="1914"/>
      <c r="H332" s="1914"/>
    </row>
    <row r="333" spans="1:8" x14ac:dyDescent="0.2">
      <c r="A333" s="1915" t="s">
        <v>1369</v>
      </c>
      <c r="B333" s="1914"/>
      <c r="C333" s="1914"/>
      <c r="D333" s="1914"/>
      <c r="E333" s="1914"/>
      <c r="F333" s="1914"/>
      <c r="G333" s="1914"/>
      <c r="H333" s="1914"/>
    </row>
    <row r="334" spans="1:8" x14ac:dyDescent="0.2">
      <c r="A334" s="1915" t="s">
        <v>1370</v>
      </c>
      <c r="B334" s="1914"/>
      <c r="C334" s="1914"/>
      <c r="D334" s="1914"/>
      <c r="E334" s="1914"/>
      <c r="F334" s="1914"/>
      <c r="G334" s="1914"/>
      <c r="H334" s="1914"/>
    </row>
    <row r="335" spans="1:8" x14ac:dyDescent="0.2">
      <c r="A335" s="1915" t="s">
        <v>1371</v>
      </c>
      <c r="B335" s="1914"/>
      <c r="C335" s="1914"/>
      <c r="D335" s="1914"/>
      <c r="E335" s="1914"/>
      <c r="F335" s="1914"/>
      <c r="G335" s="1914"/>
      <c r="H335" s="1914"/>
    </row>
    <row r="336" spans="1:8" x14ac:dyDescent="0.2">
      <c r="A336" s="1915" t="s">
        <v>1372</v>
      </c>
      <c r="B336" s="1914"/>
      <c r="C336" s="1914"/>
      <c r="D336" s="1914"/>
      <c r="E336" s="1914"/>
      <c r="F336" s="1914"/>
      <c r="G336" s="1914"/>
      <c r="H336" s="1914"/>
    </row>
    <row r="337" spans="1:8" x14ac:dyDescent="0.2">
      <c r="A337" s="1915" t="s">
        <v>1373</v>
      </c>
      <c r="B337" s="1914"/>
      <c r="C337" s="1914"/>
      <c r="D337" s="1914"/>
      <c r="E337" s="1914"/>
      <c r="F337" s="1914"/>
      <c r="G337" s="1914"/>
      <c r="H337" s="1914"/>
    </row>
    <row r="338" spans="1:8" x14ac:dyDescent="0.2">
      <c r="A338" s="1915" t="s">
        <v>1374</v>
      </c>
      <c r="B338" s="1914"/>
      <c r="C338" s="1914"/>
      <c r="D338" s="1914"/>
      <c r="E338" s="1914"/>
      <c r="F338" s="1914"/>
      <c r="G338" s="1914"/>
      <c r="H338" s="1914"/>
    </row>
    <row r="339" spans="1:8" x14ac:dyDescent="0.2">
      <c r="A339" s="1915" t="s">
        <v>1375</v>
      </c>
      <c r="B339" s="1914"/>
      <c r="C339" s="1914"/>
      <c r="D339" s="1914"/>
      <c r="E339" s="1914"/>
      <c r="F339" s="1914"/>
      <c r="G339" s="1914"/>
      <c r="H339" s="1914"/>
    </row>
    <row r="340" spans="1:8" x14ac:dyDescent="0.2">
      <c r="A340" s="1915" t="s">
        <v>1376</v>
      </c>
      <c r="B340" s="1914"/>
      <c r="C340" s="1914"/>
      <c r="D340" s="1914"/>
      <c r="E340" s="1914"/>
      <c r="F340" s="1914"/>
      <c r="G340" s="1914"/>
      <c r="H340" s="1914"/>
    </row>
    <row r="341" spans="1:8" x14ac:dyDescent="0.2">
      <c r="A341" s="1915" t="s">
        <v>1377</v>
      </c>
      <c r="B341" s="1914"/>
      <c r="C341" s="1914"/>
      <c r="D341" s="1914"/>
      <c r="E341" s="1914"/>
      <c r="F341" s="1914"/>
      <c r="G341" s="1914"/>
      <c r="H341" s="1914"/>
    </row>
    <row r="342" spans="1:8" x14ac:dyDescent="0.2">
      <c r="A342" s="1915" t="s">
        <v>1378</v>
      </c>
      <c r="B342" s="1914"/>
      <c r="C342" s="1914"/>
      <c r="D342" s="1914"/>
      <c r="E342" s="1914"/>
      <c r="F342" s="1914"/>
      <c r="G342" s="1914"/>
      <c r="H342" s="1914"/>
    </row>
    <row r="343" spans="1:8" x14ac:dyDescent="0.2">
      <c r="A343" s="1915" t="s">
        <v>1379</v>
      </c>
      <c r="B343" s="1914"/>
      <c r="C343" s="1914"/>
      <c r="D343" s="1914"/>
      <c r="E343" s="1914"/>
      <c r="F343" s="1914"/>
      <c r="G343" s="1914"/>
      <c r="H343" s="1914"/>
    </row>
    <row r="344" spans="1:8" x14ac:dyDescent="0.2">
      <c r="A344" s="1915" t="s">
        <v>1380</v>
      </c>
      <c r="B344" s="1914"/>
      <c r="C344" s="1914"/>
      <c r="D344" s="1914"/>
      <c r="E344" s="1914"/>
      <c r="F344" s="1914"/>
      <c r="G344" s="1914"/>
      <c r="H344" s="1914"/>
    </row>
    <row r="345" spans="1:8" x14ac:dyDescent="0.2">
      <c r="A345" s="1915" t="s">
        <v>1381</v>
      </c>
      <c r="B345" s="1914"/>
      <c r="C345" s="1914"/>
      <c r="D345" s="1914"/>
      <c r="E345" s="1914"/>
      <c r="F345" s="1914"/>
      <c r="G345" s="1914"/>
      <c r="H345" s="1914"/>
    </row>
    <row r="346" spans="1:8" x14ac:dyDescent="0.2">
      <c r="A346" s="1915" t="s">
        <v>1382</v>
      </c>
      <c r="B346" s="1914"/>
      <c r="C346" s="1914"/>
      <c r="D346" s="1914"/>
      <c r="E346" s="1914"/>
      <c r="F346" s="1914"/>
      <c r="G346" s="1914"/>
      <c r="H346" s="1914"/>
    </row>
    <row r="347" spans="1:8" x14ac:dyDescent="0.2">
      <c r="A347" s="1915" t="s">
        <v>1383</v>
      </c>
      <c r="B347" s="1914"/>
      <c r="C347" s="1914"/>
      <c r="D347" s="1914"/>
      <c r="E347" s="1914"/>
      <c r="F347" s="1914"/>
      <c r="G347" s="1914"/>
      <c r="H347" s="1914"/>
    </row>
    <row r="348" spans="1:8" x14ac:dyDescent="0.2">
      <c r="A348" s="1915" t="s">
        <v>1384</v>
      </c>
      <c r="B348" s="1914"/>
      <c r="C348" s="1914"/>
      <c r="D348" s="1914"/>
      <c r="E348" s="1914"/>
      <c r="F348" s="1914"/>
      <c r="G348" s="1914"/>
      <c r="H348" s="1914"/>
    </row>
    <row r="349" spans="1:8" x14ac:dyDescent="0.2">
      <c r="A349" s="1915" t="s">
        <v>1385</v>
      </c>
      <c r="B349" s="1914"/>
      <c r="C349" s="1914"/>
      <c r="D349" s="1914"/>
      <c r="E349" s="1914"/>
      <c r="F349" s="1914"/>
      <c r="G349" s="1914"/>
      <c r="H349" s="1914"/>
    </row>
    <row r="350" spans="1:8" x14ac:dyDescent="0.2">
      <c r="A350" s="1915" t="s">
        <v>1386</v>
      </c>
      <c r="B350" s="1914"/>
      <c r="C350" s="1914"/>
      <c r="D350" s="1914"/>
      <c r="E350" s="1914"/>
      <c r="F350" s="1914"/>
      <c r="G350" s="1914"/>
      <c r="H350" s="1914"/>
    </row>
    <row r="351" spans="1:8" x14ac:dyDescent="0.2">
      <c r="A351" s="1915" t="s">
        <v>1387</v>
      </c>
      <c r="B351" s="1914"/>
      <c r="C351" s="1914"/>
      <c r="D351" s="1914"/>
      <c r="E351" s="1914"/>
      <c r="F351" s="1914"/>
      <c r="G351" s="1914"/>
      <c r="H351" s="1914"/>
    </row>
    <row r="352" spans="1:8" x14ac:dyDescent="0.2">
      <c r="A352" s="1915" t="s">
        <v>1388</v>
      </c>
      <c r="B352" s="1914"/>
      <c r="C352" s="1914"/>
      <c r="D352" s="1914"/>
      <c r="E352" s="1914"/>
      <c r="F352" s="1914"/>
      <c r="G352" s="1914"/>
      <c r="H352" s="1914"/>
    </row>
    <row r="353" spans="1:8" x14ac:dyDescent="0.2">
      <c r="A353" s="1915" t="s">
        <v>1389</v>
      </c>
      <c r="B353" s="1914"/>
      <c r="C353" s="1914"/>
      <c r="D353" s="1914"/>
      <c r="E353" s="1914"/>
      <c r="F353" s="1914"/>
      <c r="G353" s="1914"/>
      <c r="H353" s="1914"/>
    </row>
    <row r="354" spans="1:8" x14ac:dyDescent="0.2">
      <c r="A354" s="1915" t="s">
        <v>1390</v>
      </c>
      <c r="B354" s="1914"/>
      <c r="C354" s="1914"/>
      <c r="D354" s="1914"/>
      <c r="E354" s="1914"/>
      <c r="F354" s="1914"/>
      <c r="G354" s="1914"/>
      <c r="H354" s="1914"/>
    </row>
    <row r="355" spans="1:8" x14ac:dyDescent="0.2">
      <c r="A355" s="1915" t="s">
        <v>1391</v>
      </c>
      <c r="B355" s="1914"/>
      <c r="C355" s="1914"/>
      <c r="D355" s="1914"/>
      <c r="E355" s="1914"/>
      <c r="F355" s="1914"/>
      <c r="G355" s="1914"/>
      <c r="H355" s="1914"/>
    </row>
    <row r="356" spans="1:8" x14ac:dyDescent="0.2">
      <c r="A356" s="1915" t="s">
        <v>1392</v>
      </c>
      <c r="B356" s="1914"/>
      <c r="C356" s="1914"/>
      <c r="D356" s="1914"/>
      <c r="E356" s="1914"/>
      <c r="F356" s="1914"/>
      <c r="G356" s="1914"/>
      <c r="H356" s="1914"/>
    </row>
    <row r="357" spans="1:8" x14ac:dyDescent="0.2">
      <c r="A357" s="1915" t="s">
        <v>1393</v>
      </c>
      <c r="B357" s="1914"/>
      <c r="C357" s="1914"/>
      <c r="D357" s="1914"/>
      <c r="E357" s="1914"/>
      <c r="F357" s="1914"/>
      <c r="G357" s="1914"/>
      <c r="H357" s="1914"/>
    </row>
    <row r="358" spans="1:8" x14ac:dyDescent="0.2">
      <c r="A358" s="1915" t="s">
        <v>1394</v>
      </c>
      <c r="B358" s="1914"/>
      <c r="C358" s="1914"/>
      <c r="D358" s="1914"/>
      <c r="E358" s="1914"/>
      <c r="F358" s="1914"/>
      <c r="G358" s="1914"/>
      <c r="H358" s="1914"/>
    </row>
    <row r="359" spans="1:8" x14ac:dyDescent="0.2">
      <c r="A359" s="1915" t="s">
        <v>1395</v>
      </c>
      <c r="B359" s="1914"/>
      <c r="C359" s="1914"/>
      <c r="D359" s="1914"/>
      <c r="E359" s="1914"/>
      <c r="F359" s="1914"/>
      <c r="G359" s="1914"/>
      <c r="H359" s="1914"/>
    </row>
    <row r="360" spans="1:8" x14ac:dyDescent="0.2">
      <c r="A360" s="1915" t="s">
        <v>1396</v>
      </c>
      <c r="B360" s="1914"/>
      <c r="C360" s="1914"/>
      <c r="D360" s="1914"/>
      <c r="E360" s="1914"/>
      <c r="F360" s="1914"/>
      <c r="G360" s="1914"/>
      <c r="H360" s="1914"/>
    </row>
    <row r="361" spans="1:8" x14ac:dyDescent="0.2">
      <c r="A361" s="1915" t="s">
        <v>1397</v>
      </c>
      <c r="B361" s="1914"/>
      <c r="C361" s="1914"/>
      <c r="D361" s="1914"/>
      <c r="E361" s="1914"/>
      <c r="F361" s="1914"/>
      <c r="G361" s="1914"/>
      <c r="H361" s="1914"/>
    </row>
    <row r="362" spans="1:8" x14ac:dyDescent="0.2">
      <c r="A362" s="1915" t="s">
        <v>1398</v>
      </c>
      <c r="B362" s="1914"/>
      <c r="C362" s="1914"/>
      <c r="D362" s="1914"/>
      <c r="E362" s="1914"/>
      <c r="F362" s="1914"/>
      <c r="G362" s="1914"/>
      <c r="H362" s="1914"/>
    </row>
    <row r="363" spans="1:8" x14ac:dyDescent="0.2">
      <c r="A363" s="1914"/>
      <c r="B363" s="1914"/>
      <c r="C363" s="1914"/>
      <c r="D363" s="1914"/>
      <c r="E363" s="1914"/>
      <c r="F363" s="1914"/>
      <c r="G363" s="1914"/>
      <c r="H363" s="1914"/>
    </row>
    <row r="364" spans="1:8" x14ac:dyDescent="0.2">
      <c r="A364" s="1915" t="s">
        <v>1356</v>
      </c>
      <c r="B364" s="1914"/>
      <c r="C364" s="1914"/>
      <c r="D364" s="1914"/>
      <c r="E364" s="1914"/>
      <c r="F364" s="1914"/>
      <c r="G364" s="1914"/>
      <c r="H364" s="1914"/>
    </row>
    <row r="365" spans="1:8" x14ac:dyDescent="0.2">
      <c r="A365" s="1915" t="s">
        <v>1360</v>
      </c>
      <c r="B365" s="1914"/>
      <c r="C365" s="1914"/>
      <c r="D365" s="1914"/>
      <c r="E365" s="1914"/>
      <c r="F365" s="1914"/>
      <c r="G365" s="1914"/>
      <c r="H365" s="1914"/>
    </row>
    <row r="366" spans="1:8" x14ac:dyDescent="0.2">
      <c r="A366" s="1915" t="s">
        <v>1361</v>
      </c>
      <c r="B366" s="1914"/>
      <c r="C366" s="1914"/>
      <c r="D366" s="1914"/>
      <c r="E366" s="1914"/>
      <c r="F366" s="1914"/>
      <c r="G366" s="1914"/>
      <c r="H366" s="1914"/>
    </row>
    <row r="367" spans="1:8" x14ac:dyDescent="0.2">
      <c r="A367" s="1915" t="s">
        <v>1362</v>
      </c>
      <c r="B367" s="1914"/>
      <c r="C367" s="1914"/>
      <c r="D367" s="1914"/>
      <c r="E367" s="1914"/>
      <c r="F367" s="1914"/>
      <c r="G367" s="1914"/>
      <c r="H367" s="1914"/>
    </row>
    <row r="368" spans="1:8" x14ac:dyDescent="0.2">
      <c r="A368" s="1915" t="s">
        <v>1363</v>
      </c>
      <c r="B368" s="1914"/>
      <c r="C368" s="1914"/>
      <c r="D368" s="1914"/>
      <c r="E368" s="1914"/>
      <c r="F368" s="1914"/>
      <c r="G368" s="1914"/>
      <c r="H368" s="1914"/>
    </row>
    <row r="369" spans="1:8" x14ac:dyDescent="0.2">
      <c r="A369" s="1914"/>
      <c r="B369" s="1914"/>
      <c r="C369" s="1914"/>
      <c r="D369" s="1914"/>
      <c r="E369" s="1914"/>
      <c r="F369" s="1914"/>
      <c r="G369" s="1914"/>
      <c r="H369" s="1914"/>
    </row>
    <row r="370" spans="1:8" x14ac:dyDescent="0.2">
      <c r="A370" s="1915" t="s">
        <v>1356</v>
      </c>
      <c r="B370" s="1914"/>
      <c r="C370" s="1914"/>
      <c r="D370" s="1914"/>
      <c r="E370" s="1914"/>
      <c r="F370" s="1914"/>
      <c r="G370" s="1914"/>
      <c r="H370" s="1914"/>
    </row>
    <row r="371" spans="1:8" x14ac:dyDescent="0.2">
      <c r="A371" s="1915" t="s">
        <v>1357</v>
      </c>
      <c r="B371" s="1914"/>
      <c r="C371" s="1914"/>
      <c r="D371" s="1914"/>
      <c r="E371" s="1914"/>
      <c r="F371" s="1914"/>
      <c r="G371" s="1914"/>
      <c r="H371" s="1914"/>
    </row>
    <row r="372" spans="1:8" x14ac:dyDescent="0.2">
      <c r="A372" s="1915" t="s">
        <v>1358</v>
      </c>
      <c r="B372" s="1914"/>
      <c r="C372" s="1914"/>
      <c r="D372" s="1914"/>
      <c r="E372" s="1914"/>
      <c r="F372" s="1914"/>
      <c r="G372" s="1914"/>
      <c r="H372" s="1914"/>
    </row>
    <row r="373" spans="1:8" x14ac:dyDescent="0.2">
      <c r="A373" s="1915" t="s">
        <v>1359</v>
      </c>
      <c r="B373" s="1914"/>
      <c r="C373" s="1914"/>
      <c r="D373" s="1914"/>
      <c r="E373" s="1914"/>
      <c r="F373" s="1914"/>
      <c r="G373" s="1914"/>
      <c r="H373" s="1914"/>
    </row>
    <row r="374" spans="1:8" x14ac:dyDescent="0.2">
      <c r="A374" s="1914"/>
      <c r="B374" s="1914"/>
      <c r="C374" s="1914"/>
      <c r="D374" s="1914"/>
      <c r="E374" s="1914"/>
      <c r="F374" s="1914"/>
      <c r="G374" s="1914"/>
      <c r="H374" s="1914"/>
    </row>
    <row r="375" spans="1:8" x14ac:dyDescent="0.2">
      <c r="A375" s="1915" t="s">
        <v>1350</v>
      </c>
      <c r="B375" s="1914"/>
      <c r="C375" s="1914"/>
      <c r="D375" s="1914"/>
      <c r="E375" s="1914"/>
      <c r="F375" s="1914"/>
      <c r="G375" s="1914"/>
      <c r="H375" s="1914"/>
    </row>
    <row r="376" spans="1:8" x14ac:dyDescent="0.2">
      <c r="A376" s="1915" t="s">
        <v>1351</v>
      </c>
      <c r="B376" s="1914"/>
      <c r="C376" s="1914"/>
      <c r="D376" s="1914"/>
      <c r="E376" s="1914"/>
      <c r="F376" s="1914"/>
      <c r="G376" s="1914"/>
      <c r="H376" s="1914"/>
    </row>
    <row r="377" spans="1:8" x14ac:dyDescent="0.2">
      <c r="A377" s="1915" t="s">
        <v>1352</v>
      </c>
      <c r="B377" s="1914"/>
      <c r="C377" s="1914"/>
      <c r="D377" s="1914"/>
      <c r="E377" s="1914"/>
      <c r="F377" s="1914"/>
      <c r="G377" s="1914"/>
      <c r="H377" s="1914"/>
    </row>
    <row r="378" spans="1:8" x14ac:dyDescent="0.2">
      <c r="A378" s="1915" t="s">
        <v>1353</v>
      </c>
      <c r="B378" s="1914"/>
      <c r="C378" s="1914"/>
      <c r="D378" s="1914"/>
      <c r="E378" s="1914"/>
      <c r="F378" s="1914"/>
      <c r="G378" s="1914"/>
      <c r="H378" s="1914"/>
    </row>
    <row r="379" spans="1:8" x14ac:dyDescent="0.2">
      <c r="A379" s="1915" t="s">
        <v>1354</v>
      </c>
      <c r="B379" s="1914"/>
      <c r="C379" s="1914"/>
      <c r="D379" s="1914"/>
      <c r="E379" s="1914"/>
      <c r="F379" s="1914"/>
      <c r="G379" s="1914"/>
      <c r="H379" s="1914"/>
    </row>
    <row r="380" spans="1:8" x14ac:dyDescent="0.2">
      <c r="A380" s="1915" t="s">
        <v>1355</v>
      </c>
      <c r="B380" s="1914"/>
      <c r="C380" s="1914"/>
      <c r="D380" s="1914"/>
      <c r="E380" s="1914"/>
      <c r="F380" s="1914"/>
      <c r="G380" s="1914"/>
      <c r="H380" s="1914"/>
    </row>
    <row r="381" spans="1:8" x14ac:dyDescent="0.2">
      <c r="A381" s="1914"/>
      <c r="B381" s="1914"/>
      <c r="C381" s="1914"/>
      <c r="D381" s="1914"/>
      <c r="E381" s="1914"/>
      <c r="F381" s="1914"/>
      <c r="G381" s="1914"/>
      <c r="H381" s="1914"/>
    </row>
    <row r="382" spans="1:8" x14ac:dyDescent="0.2">
      <c r="A382" s="1915" t="s">
        <v>1345</v>
      </c>
      <c r="B382" s="1914"/>
      <c r="C382" s="1914"/>
      <c r="D382" s="1914"/>
      <c r="E382" s="1914"/>
      <c r="F382" s="1914"/>
      <c r="G382" s="1914"/>
      <c r="H382" s="1914"/>
    </row>
    <row r="383" spans="1:8" x14ac:dyDescent="0.2">
      <c r="A383" s="1915" t="s">
        <v>1346</v>
      </c>
      <c r="B383" s="1914"/>
      <c r="C383" s="1914"/>
      <c r="D383" s="1914"/>
      <c r="E383" s="1914"/>
      <c r="F383" s="1914"/>
      <c r="G383" s="1914"/>
      <c r="H383" s="1914"/>
    </row>
    <row r="384" spans="1:8" x14ac:dyDescent="0.2">
      <c r="A384" s="1915" t="s">
        <v>1347</v>
      </c>
      <c r="B384" s="1914"/>
      <c r="C384" s="1914"/>
      <c r="D384" s="1914"/>
      <c r="E384" s="1914"/>
      <c r="F384" s="1914"/>
      <c r="G384" s="1914"/>
      <c r="H384" s="1914"/>
    </row>
    <row r="385" spans="1:8" x14ac:dyDescent="0.2">
      <c r="A385" s="1915" t="s">
        <v>1348</v>
      </c>
      <c r="B385" s="1914"/>
      <c r="C385" s="1914"/>
      <c r="D385" s="1914"/>
      <c r="E385" s="1914"/>
      <c r="F385" s="1914"/>
      <c r="G385" s="1914"/>
      <c r="H385" s="1914"/>
    </row>
    <row r="386" spans="1:8" x14ac:dyDescent="0.2">
      <c r="A386" s="1915" t="s">
        <v>1349</v>
      </c>
      <c r="B386" s="1914"/>
      <c r="C386" s="1914"/>
      <c r="D386" s="1914"/>
      <c r="E386" s="1914"/>
      <c r="F386" s="1914"/>
      <c r="G386" s="1914"/>
      <c r="H386" s="1914"/>
    </row>
    <row r="387" spans="1:8" x14ac:dyDescent="0.2">
      <c r="A387" s="1914"/>
      <c r="B387" s="1914"/>
      <c r="C387" s="1914"/>
      <c r="D387" s="1914"/>
      <c r="E387" s="1914"/>
      <c r="F387" s="1914"/>
      <c r="G387" s="1914"/>
      <c r="H387" s="1914"/>
    </row>
    <row r="388" spans="1:8" x14ac:dyDescent="0.2">
      <c r="A388" s="1915" t="s">
        <v>1343</v>
      </c>
      <c r="B388" s="1914"/>
      <c r="C388" s="1914"/>
      <c r="D388" s="1914"/>
      <c r="E388" s="1914"/>
      <c r="F388" s="1914"/>
      <c r="G388" s="1914"/>
      <c r="H388" s="1914"/>
    </row>
    <row r="389" spans="1:8" x14ac:dyDescent="0.2">
      <c r="A389" s="1915" t="s">
        <v>1344</v>
      </c>
      <c r="B389" s="1914"/>
      <c r="C389" s="1914"/>
      <c r="D389" s="1914"/>
      <c r="E389" s="1914"/>
      <c r="F389" s="1914"/>
      <c r="G389" s="1914"/>
      <c r="H389" s="1914"/>
    </row>
    <row r="391" spans="1:8" x14ac:dyDescent="0.2">
      <c r="A391" s="1910" t="s">
        <v>1599</v>
      </c>
    </row>
  </sheetData>
  <mergeCells count="12">
    <mergeCell ref="A129:H129"/>
    <mergeCell ref="A130:H130"/>
    <mergeCell ref="B122:C122"/>
    <mergeCell ref="D122:F122"/>
    <mergeCell ref="G122:H122"/>
    <mergeCell ref="A108:H108"/>
    <mergeCell ref="A109:H109"/>
    <mergeCell ref="A110:H110"/>
    <mergeCell ref="A111:H111"/>
    <mergeCell ref="A113:H113"/>
    <mergeCell ref="A114:H114"/>
    <mergeCell ref="A121:H121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theme="4"/>
    <pageSetUpPr autoPageBreaks="0" fitToPage="1"/>
  </sheetPr>
  <dimension ref="A1:JU464"/>
  <sheetViews>
    <sheetView showGridLines="0" zoomScale="110" zoomScaleNormal="110" zoomScaleSheetLayoutView="85" workbookViewId="0">
      <pane xSplit="2" ySplit="7" topLeftCell="EI8" activePane="bottomRight" state="frozen"/>
      <selection activeCell="B34" sqref="B34"/>
      <selection pane="topRight" activeCell="B34" sqref="B34"/>
      <selection pane="bottomLeft" activeCell="B34" sqref="B34"/>
      <selection pane="bottomRight" activeCell="EI8" sqref="EI8"/>
    </sheetView>
  </sheetViews>
  <sheetFormatPr defaultRowHeight="12.75" outlineLevelRow="2" outlineLevelCol="2" x14ac:dyDescent="0.2"/>
  <cols>
    <col min="1" max="1" width="34.7109375" customWidth="1"/>
    <col min="2" max="2" width="5.28515625" hidden="1" customWidth="1" outlineLevel="1"/>
    <col min="3" max="13" width="7.7109375" hidden="1" customWidth="1" outlineLevel="2"/>
    <col min="14" max="14" width="1.5703125" hidden="1" customWidth="1" outlineLevel="1"/>
    <col min="15" max="18" width="6.5703125" hidden="1" customWidth="1" outlineLevel="2"/>
    <col min="19" max="19" width="7.28515625" hidden="1" customWidth="1" outlineLevel="1"/>
    <col min="20" max="20" width="1.5703125" hidden="1" customWidth="1" outlineLevel="2"/>
    <col min="21" max="24" width="6.5703125" hidden="1" customWidth="1" outlineLevel="2"/>
    <col min="25" max="25" width="7.28515625" hidden="1" customWidth="1" outlineLevel="1"/>
    <col min="26" max="26" width="1.5703125" hidden="1" customWidth="1" outlineLevel="2"/>
    <col min="27" max="30" width="6.5703125" hidden="1" customWidth="1" outlineLevel="2"/>
    <col min="31" max="31" width="7.28515625" hidden="1" customWidth="1" outlineLevel="1"/>
    <col min="32" max="32" width="1.5703125" hidden="1" customWidth="1" outlineLevel="2"/>
    <col min="33" max="36" width="6.5703125" hidden="1" customWidth="1" outlineLevel="2"/>
    <col min="37" max="37" width="7.28515625" hidden="1" customWidth="1" outlineLevel="1"/>
    <col min="38" max="38" width="1.5703125" hidden="1" customWidth="1" outlineLevel="2"/>
    <col min="39" max="42" width="6.5703125" hidden="1" customWidth="1" outlineLevel="2"/>
    <col min="43" max="43" width="7.28515625" hidden="1" customWidth="1" outlineLevel="1"/>
    <col min="44" max="44" width="1.5703125" hidden="1" customWidth="1" outlineLevel="2"/>
    <col min="45" max="48" width="6.5703125" hidden="1" customWidth="1" outlineLevel="2"/>
    <col min="49" max="49" width="7.28515625" hidden="1" customWidth="1" outlineLevel="1"/>
    <col min="50" max="50" width="1.5703125" hidden="1" customWidth="1" outlineLevel="2"/>
    <col min="51" max="54" width="6.5703125" hidden="1" customWidth="1" outlineLevel="2"/>
    <col min="55" max="55" width="7.28515625" hidden="1" customWidth="1" outlineLevel="1"/>
    <col min="56" max="56" width="1.5703125" hidden="1" customWidth="1" outlineLevel="2"/>
    <col min="57" max="60" width="6.5703125" hidden="1" customWidth="1" outlineLevel="2"/>
    <col min="61" max="61" width="7.28515625" hidden="1" customWidth="1" outlineLevel="1"/>
    <col min="62" max="62" width="1.5703125" hidden="1" customWidth="1" outlineLevel="2"/>
    <col min="63" max="66" width="6.5703125" hidden="1" customWidth="1" outlineLevel="2"/>
    <col min="67" max="67" width="7.28515625" hidden="1" customWidth="1" outlineLevel="1"/>
    <col min="68" max="68" width="1.5703125" hidden="1" customWidth="1" outlineLevel="2"/>
    <col min="69" max="72" width="6.5703125" hidden="1" customWidth="1" outlineLevel="2"/>
    <col min="73" max="73" width="7.28515625" hidden="1" customWidth="1" outlineLevel="1"/>
    <col min="74" max="74" width="1.5703125" hidden="1" customWidth="1" outlineLevel="2"/>
    <col min="75" max="78" width="6.5703125" hidden="1" customWidth="1" outlineLevel="2"/>
    <col min="79" max="79" width="7.28515625" hidden="1" customWidth="1" outlineLevel="1"/>
    <col min="80" max="80" width="1.5703125" hidden="1" customWidth="1" outlineLevel="2"/>
    <col min="81" max="84" width="6.5703125" hidden="1" customWidth="1" outlineLevel="2"/>
    <col min="85" max="85" width="7.28515625" hidden="1" customWidth="1" outlineLevel="1"/>
    <col min="86" max="86" width="1.5703125" hidden="1" customWidth="1" outlineLevel="1" collapsed="1"/>
    <col min="87" max="90" width="6.5703125" hidden="1" customWidth="1" outlineLevel="2"/>
    <col min="91" max="91" width="7.28515625" hidden="1" customWidth="1" outlineLevel="1"/>
    <col min="92" max="92" width="1.5703125" hidden="1" customWidth="1" outlineLevel="1" collapsed="1"/>
    <col min="93" max="96" width="6.5703125" hidden="1" customWidth="1" outlineLevel="2"/>
    <col min="97" max="97" width="7.28515625" hidden="1" customWidth="1" outlineLevel="1"/>
    <col min="98" max="98" width="1.5703125" hidden="1" customWidth="1" outlineLevel="1" collapsed="1"/>
    <col min="99" max="102" width="6.5703125" hidden="1" customWidth="1" outlineLevel="2"/>
    <col min="103" max="103" width="7.5703125" hidden="1" customWidth="1" outlineLevel="1"/>
    <col min="104" max="104" width="1.5703125" hidden="1" customWidth="1" outlineLevel="1"/>
    <col min="105" max="108" width="6.5703125" hidden="1" customWidth="1" outlineLevel="2"/>
    <col min="109" max="109" width="8.140625" hidden="1" customWidth="1" outlineLevel="1"/>
    <col min="110" max="110" width="1.5703125" hidden="1" customWidth="1" outlineLevel="1"/>
    <col min="111" max="114" width="6.5703125" hidden="1" customWidth="1" outlineLevel="2"/>
    <col min="115" max="115" width="8.140625" hidden="1" customWidth="1" outlineLevel="1"/>
    <col min="116" max="116" width="1.5703125" hidden="1" customWidth="1" outlineLevel="1"/>
    <col min="117" max="119" width="6.5703125" hidden="1" customWidth="1" outlineLevel="2"/>
    <col min="120" max="120" width="6.7109375" hidden="1" customWidth="1" outlineLevel="2"/>
    <col min="121" max="121" width="8.140625" hidden="1" customWidth="1" outlineLevel="1"/>
    <col min="122" max="122" width="1.5703125" hidden="1" customWidth="1" collapsed="1"/>
    <col min="123" max="123" width="7.42578125" hidden="1" customWidth="1" outlineLevel="1"/>
    <col min="124" max="124" width="7.7109375" hidden="1" customWidth="1" outlineLevel="1"/>
    <col min="125" max="125" width="7.140625" hidden="1" customWidth="1" outlineLevel="1"/>
    <col min="126" max="126" width="7.28515625" hidden="1" customWidth="1" outlineLevel="1"/>
    <col min="127" max="127" width="7.5703125" hidden="1" customWidth="1" collapsed="1"/>
    <col min="128" max="128" width="1.5703125" hidden="1" customWidth="1"/>
    <col min="129" max="129" width="7.7109375" hidden="1" customWidth="1" outlineLevel="2"/>
    <col min="130" max="130" width="7.140625" hidden="1" customWidth="1" outlineLevel="2"/>
    <col min="131" max="131" width="7.7109375" hidden="1" customWidth="1" outlineLevel="2"/>
    <col min="132" max="132" width="7.85546875" hidden="1" customWidth="1" outlineLevel="2"/>
    <col min="133" max="133" width="8.7109375" hidden="1" customWidth="1" collapsed="1"/>
    <col min="134" max="134" width="1.5703125" hidden="1" customWidth="1"/>
    <col min="135" max="138" width="7.7109375" hidden="1" customWidth="1" outlineLevel="1"/>
    <col min="139" max="139" width="8.7109375" customWidth="1" collapsed="1"/>
    <col min="140" max="140" width="1.5703125" customWidth="1" outlineLevel="1"/>
    <col min="141" max="141" width="7.28515625" hidden="1" customWidth="1" outlineLevel="2"/>
    <col min="142" max="142" width="7.7109375" hidden="1" customWidth="1" outlineLevel="2"/>
    <col min="143" max="144" width="7.28515625" hidden="1" customWidth="1" outlineLevel="2"/>
    <col min="145" max="145" width="8.7109375" customWidth="1" outlineLevel="1" collapsed="1"/>
    <col min="146" max="146" width="1.5703125" customWidth="1" outlineLevel="1"/>
    <col min="147" max="150" width="7.42578125" hidden="1" customWidth="1" outlineLevel="2"/>
    <col min="151" max="151" width="8.7109375" customWidth="1" outlineLevel="1" collapsed="1"/>
    <col min="152" max="152" width="1.5703125" customWidth="1" outlineLevel="2"/>
    <col min="153" max="153" width="7.42578125" customWidth="1" outlineLevel="2"/>
    <col min="154" max="154" width="8.140625" customWidth="1" outlineLevel="2"/>
    <col min="155" max="156" width="7.42578125" customWidth="1" outlineLevel="2"/>
    <col min="157" max="157" width="9.28515625" customWidth="1" outlineLevel="1"/>
    <col min="158" max="158" width="1.5703125" customWidth="1" outlineLevel="1"/>
    <col min="159" max="162" width="7.42578125" customWidth="1" outlineLevel="2"/>
    <col min="163" max="163" width="8.7109375" customWidth="1" outlineLevel="1"/>
    <col min="164" max="164" width="1.5703125" customWidth="1" outlineLevel="1"/>
    <col min="165" max="168" width="7.42578125" hidden="1" customWidth="1" outlineLevel="2"/>
    <col min="169" max="169" width="8.7109375" customWidth="1" outlineLevel="1" collapsed="1"/>
    <col min="170" max="170" width="1.140625" customWidth="1"/>
    <col min="171" max="174" width="7.5703125" customWidth="1" outlineLevel="1"/>
    <col min="175" max="175" width="7.5703125" customWidth="1" outlineLevel="1" collapsed="1"/>
    <col min="176" max="178" width="7.5703125" customWidth="1" outlineLevel="1"/>
    <col min="179" max="188" width="7.5703125" customWidth="1"/>
    <col min="189" max="189" width="5.5703125" customWidth="1"/>
    <col min="190" max="190" width="43.7109375" customWidth="1"/>
    <col min="191" max="192" width="9.28515625" customWidth="1" outlineLevel="1"/>
    <col min="193" max="193" width="11.85546875" customWidth="1" outlineLevel="1"/>
    <col min="194" max="196" width="9.28515625" customWidth="1" outlineLevel="1"/>
    <col min="197" max="197" width="9.28515625" customWidth="1"/>
  </cols>
  <sheetData>
    <row r="1" spans="1:281" s="194" customFormat="1" ht="20.100000000000001" customHeight="1" x14ac:dyDescent="0.2">
      <c r="A1" s="1" t="s">
        <v>287</v>
      </c>
      <c r="B1" s="76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2"/>
      <c r="P1" s="3"/>
      <c r="Q1" s="2"/>
      <c r="R1" s="2"/>
      <c r="S1" s="3"/>
      <c r="T1" s="3"/>
      <c r="U1" s="2"/>
      <c r="V1" s="3"/>
      <c r="W1" s="2"/>
      <c r="X1" s="2"/>
      <c r="Y1" s="3"/>
      <c r="Z1" s="3"/>
      <c r="AA1" s="2"/>
      <c r="AB1" s="3"/>
      <c r="AC1" s="2"/>
      <c r="AD1" s="2"/>
      <c r="AE1" s="3"/>
      <c r="AF1" s="3"/>
      <c r="AG1" s="2"/>
      <c r="AH1" s="3"/>
      <c r="AI1" s="2"/>
      <c r="AJ1" s="2"/>
      <c r="AK1" s="3"/>
      <c r="AL1" s="3"/>
      <c r="AM1" s="2"/>
      <c r="AN1" s="3"/>
      <c r="AO1" s="2"/>
      <c r="AP1" s="2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2"/>
      <c r="BC1" s="3"/>
      <c r="BD1" s="3"/>
      <c r="BE1" s="3"/>
      <c r="BF1" s="3"/>
      <c r="BG1" s="3"/>
      <c r="BH1" s="2"/>
      <c r="BI1" s="2"/>
      <c r="BJ1" s="3"/>
      <c r="BK1" s="3"/>
      <c r="BL1" s="3"/>
      <c r="BM1" s="3"/>
      <c r="BN1" s="2"/>
      <c r="BO1" s="2"/>
      <c r="BP1" s="3"/>
      <c r="BQ1" s="2"/>
      <c r="BR1" s="2"/>
      <c r="BS1" s="2"/>
      <c r="BT1" s="2"/>
      <c r="BU1" s="3"/>
      <c r="BV1" s="3"/>
      <c r="BW1" s="2"/>
      <c r="BX1" s="2"/>
      <c r="BY1" s="2"/>
      <c r="BZ1" s="153"/>
      <c r="CA1" s="96"/>
      <c r="CB1" s="96"/>
      <c r="CC1" s="96"/>
      <c r="CD1" s="96"/>
      <c r="CE1" s="96"/>
      <c r="CF1" s="38"/>
      <c r="CG1" s="38"/>
      <c r="CH1" s="96"/>
      <c r="CI1" s="195"/>
      <c r="CJ1" s="96"/>
      <c r="CK1" s="96"/>
      <c r="CL1" s="96"/>
      <c r="CM1" s="96"/>
      <c r="CN1" s="196"/>
      <c r="CO1" s="197"/>
      <c r="CP1" s="198"/>
      <c r="CQ1" s="198"/>
      <c r="CR1" s="198"/>
      <c r="CS1" s="198"/>
      <c r="CT1" s="198"/>
      <c r="CU1" s="198"/>
      <c r="CV1" s="867"/>
      <c r="CW1" s="198"/>
      <c r="CX1" s="198"/>
      <c r="CY1" s="199"/>
      <c r="CZ1" s="198"/>
      <c r="DA1" s="198"/>
      <c r="DB1" s="198"/>
      <c r="DC1" s="868"/>
      <c r="DD1" s="868"/>
      <c r="DE1" s="199"/>
      <c r="DF1" s="198"/>
      <c r="DG1" s="1116"/>
      <c r="DH1" s="1116"/>
      <c r="DI1" s="1731"/>
      <c r="DJ1" s="198"/>
      <c r="DK1" s="198"/>
      <c r="DL1" s="198"/>
      <c r="DM1" s="198"/>
      <c r="DN1" s="867"/>
      <c r="DO1" s="1731"/>
      <c r="DP1" s="198"/>
      <c r="DQ1" s="1813"/>
      <c r="DR1" s="198"/>
      <c r="DS1" s="1694"/>
      <c r="DT1" s="1694"/>
      <c r="DU1" s="1731"/>
      <c r="DV1" s="1694"/>
      <c r="DW1" s="1813"/>
      <c r="DX1"/>
      <c r="DY1" s="1694"/>
      <c r="DZ1" s="1694"/>
      <c r="EA1" s="1731"/>
      <c r="EB1" s="1694"/>
      <c r="EC1" s="1813"/>
      <c r="ED1" s="945"/>
      <c r="EE1" s="1700"/>
      <c r="EF1" s="1700"/>
      <c r="EG1" s="1733"/>
      <c r="EH1" s="1741"/>
      <c r="EI1" s="1813"/>
      <c r="EJ1" s="945"/>
      <c r="EK1" s="1733"/>
      <c r="EL1" s="1815"/>
      <c r="EM1" s="1736"/>
      <c r="EN1" s="1811"/>
      <c r="EO1" s="1813"/>
      <c r="EP1" s="1813"/>
      <c r="EQ1" s="1868"/>
      <c r="ER1" s="1826"/>
      <c r="ES1" s="1839"/>
      <c r="ET1" s="1826"/>
      <c r="EU1" s="1841"/>
      <c r="EV1" s="1826"/>
      <c r="EW1" s="1868"/>
      <c r="EX1" s="1870"/>
      <c r="EY1" s="1826"/>
      <c r="EZ1" s="1826"/>
      <c r="FA1" s="1813"/>
      <c r="FB1" s="1826"/>
      <c r="FC1" s="1826"/>
      <c r="FD1" s="1826"/>
      <c r="FE1" s="1826"/>
      <c r="FF1" s="1826"/>
      <c r="FG1" s="1813"/>
      <c r="FH1" s="1813"/>
      <c r="FI1" s="1813"/>
      <c r="FJ1" s="1813"/>
      <c r="FK1" s="1813"/>
      <c r="FL1" s="1813"/>
      <c r="FM1" s="1813"/>
      <c r="FN1" s="3"/>
      <c r="FO1" s="3"/>
      <c r="FP1" s="3"/>
      <c r="FQ1" s="3"/>
      <c r="FR1" s="3"/>
      <c r="FS1" s="3"/>
      <c r="FT1" s="3"/>
      <c r="FU1" s="3"/>
      <c r="FV1" s="1699"/>
      <c r="FW1" s="1698"/>
      <c r="FX1" s="1698"/>
      <c r="FY1" s="1698"/>
      <c r="FZ1" s="1698"/>
      <c r="GA1" s="1810"/>
      <c r="GB1" s="1810"/>
      <c r="GC1" s="1810"/>
      <c r="GD1" s="1810"/>
      <c r="GE1" s="1810"/>
      <c r="GF1" s="1810"/>
      <c r="GG1" s="3"/>
      <c r="GH1" s="3"/>
      <c r="GI1"/>
      <c r="GJ1"/>
      <c r="GK1"/>
      <c r="GL1"/>
      <c r="GM1"/>
      <c r="GN1"/>
      <c r="GO1" s="869" t="s">
        <v>929</v>
      </c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</row>
    <row r="2" spans="1:281" s="7" customFormat="1" ht="20.25" x14ac:dyDescent="0.2">
      <c r="A2" s="5" t="s">
        <v>46</v>
      </c>
      <c r="B2" s="77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O2" s="6"/>
      <c r="P2" s="6"/>
      <c r="Q2" s="6"/>
      <c r="R2" s="6"/>
      <c r="S2" s="6"/>
      <c r="U2" s="6"/>
      <c r="V2" s="6"/>
      <c r="W2" s="6"/>
      <c r="X2" s="6"/>
      <c r="Y2" s="6"/>
      <c r="AA2" s="6"/>
      <c r="AB2" s="6"/>
      <c r="AC2" s="6"/>
      <c r="AD2" s="6"/>
      <c r="AE2" s="6"/>
      <c r="AG2" s="6"/>
      <c r="AH2" s="6"/>
      <c r="AI2" s="6"/>
      <c r="AJ2" s="6"/>
      <c r="AK2" s="6"/>
      <c r="AM2" s="6"/>
      <c r="AN2" s="6"/>
      <c r="AO2" s="6"/>
      <c r="AP2" s="6"/>
      <c r="AQ2" s="6"/>
      <c r="AS2" s="8"/>
      <c r="AU2" s="6"/>
      <c r="AW2" s="6"/>
      <c r="AY2" s="8"/>
      <c r="BA2" s="6"/>
      <c r="BB2" s="74"/>
      <c r="BC2" s="1204"/>
      <c r="BE2" s="8"/>
      <c r="BG2" s="39"/>
      <c r="BH2" s="74"/>
      <c r="BI2" s="1204"/>
      <c r="BL2" s="39"/>
      <c r="BM2" s="39"/>
      <c r="BN2" s="74"/>
      <c r="BO2" s="1204"/>
      <c r="BQ2" s="74"/>
      <c r="BR2" s="74"/>
      <c r="BS2" s="74"/>
      <c r="BT2" s="74"/>
      <c r="BU2" s="1204"/>
      <c r="BW2" s="39"/>
      <c r="BX2" s="39"/>
      <c r="BY2" s="39"/>
      <c r="BZ2" s="202"/>
      <c r="CA2" s="1204"/>
      <c r="CB2" s="203"/>
      <c r="CC2" s="203"/>
      <c r="CD2" s="204"/>
      <c r="CE2" s="203"/>
      <c r="CF2" s="203"/>
      <c r="CG2" s="1204"/>
      <c r="CH2" s="203"/>
      <c r="CI2" s="205"/>
      <c r="CJ2" s="203"/>
      <c r="CK2" s="203"/>
      <c r="CL2" s="203"/>
      <c r="CM2" s="1204"/>
      <c r="CN2" s="203"/>
      <c r="CO2" s="203"/>
      <c r="CP2" s="206"/>
      <c r="CQ2" s="1184"/>
      <c r="CR2" s="1184"/>
      <c r="CS2" s="1204"/>
      <c r="CT2" s="207"/>
      <c r="CU2" s="1184"/>
      <c r="CV2" s="1184"/>
      <c r="CW2" s="1184"/>
      <c r="CX2" s="1184"/>
      <c r="CY2" s="1204"/>
      <c r="DA2" s="1184"/>
      <c r="DB2" s="1184"/>
      <c r="DC2" s="1184"/>
      <c r="DD2" s="1184"/>
      <c r="DE2" s="1204"/>
      <c r="DG2" s="1115"/>
      <c r="DH2" s="1115"/>
      <c r="DI2" s="1075"/>
      <c r="DJ2" s="1200"/>
      <c r="DK2" s="1204"/>
      <c r="DL2" s="207"/>
      <c r="DM2" s="1184"/>
      <c r="DN2" s="1184"/>
      <c r="DO2" s="1075"/>
      <c r="DP2" s="1209"/>
      <c r="DQ2" s="1814"/>
      <c r="DS2" s="1666"/>
      <c r="DT2" s="1666"/>
      <c r="DU2" s="1075"/>
      <c r="DV2" s="1184"/>
      <c r="DW2" s="1814"/>
      <c r="DX2" s="1666"/>
      <c r="DY2" s="1674"/>
      <c r="DZ2" s="1674"/>
      <c r="EA2" s="1075"/>
      <c r="EB2" s="1666"/>
      <c r="EC2" s="1814"/>
      <c r="ED2" s="1666"/>
      <c r="EE2" s="1732"/>
      <c r="EF2" s="1666"/>
      <c r="EG2" s="1075"/>
      <c r="EH2" s="1674"/>
      <c r="EI2" s="1814"/>
      <c r="EJ2" s="1666"/>
      <c r="EK2" s="1666"/>
      <c r="EL2" s="1666"/>
      <c r="EM2" s="1666"/>
      <c r="EN2" s="1666"/>
      <c r="EO2" s="1814"/>
      <c r="EP2" s="1814"/>
      <c r="EQ2" s="1666"/>
      <c r="ER2" s="1666"/>
      <c r="ES2" s="1666"/>
      <c r="ET2" s="1666"/>
      <c r="EU2" s="1840"/>
      <c r="EV2" s="1814"/>
      <c r="EW2" s="1666"/>
      <c r="EX2" s="1666"/>
      <c r="EY2" s="1849"/>
      <c r="EZ2" s="1814"/>
      <c r="FA2" s="1075"/>
      <c r="FB2" s="1738"/>
      <c r="FC2" s="1814"/>
      <c r="FD2" s="1814"/>
      <c r="FE2" s="1849"/>
      <c r="FF2" s="1814"/>
      <c r="FG2" s="1738"/>
      <c r="FH2" s="1738"/>
      <c r="FI2" s="1738"/>
      <c r="FJ2" s="1738"/>
      <c r="FK2" s="1738"/>
      <c r="FL2" s="1738"/>
      <c r="FM2" s="1738"/>
      <c r="FO2" s="202"/>
      <c r="FY2" s="1735"/>
      <c r="GI2"/>
      <c r="GJ2"/>
      <c r="GK2"/>
      <c r="GL2"/>
      <c r="GM2"/>
      <c r="GN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</row>
    <row r="3" spans="1:281" ht="13.5" hidden="1" customHeight="1" outlineLevel="1" x14ac:dyDescent="0.2"/>
    <row r="4" spans="1:281" s="12" customFormat="1" collapsed="1" x14ac:dyDescent="0.2">
      <c r="A4" s="45"/>
      <c r="B4" s="78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S4" s="13"/>
      <c r="T4" s="13"/>
      <c r="Y4" s="13"/>
      <c r="Z4" s="13"/>
      <c r="AE4" s="13"/>
      <c r="AF4" s="13"/>
      <c r="AK4" s="13"/>
      <c r="AL4" s="13"/>
      <c r="AQ4" s="13"/>
      <c r="AR4" s="13"/>
      <c r="AW4" s="13"/>
      <c r="AX4" s="13"/>
      <c r="BC4" s="13"/>
      <c r="BD4" s="13"/>
      <c r="BI4" s="13"/>
      <c r="BJ4" s="13"/>
      <c r="BK4" s="13"/>
      <c r="BL4" s="66"/>
      <c r="BM4" s="13"/>
      <c r="BN4" s="13"/>
      <c r="BO4" s="13"/>
      <c r="BP4" s="13"/>
      <c r="BR4" s="66"/>
      <c r="BS4" s="66"/>
      <c r="BU4" s="13"/>
      <c r="BV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211"/>
      <c r="CN4" s="13"/>
      <c r="CQ4" s="212"/>
      <c r="CR4" s="212"/>
      <c r="CS4" s="212"/>
      <c r="CT4" s="66"/>
      <c r="CU4" s="212"/>
      <c r="CV4" s="213"/>
      <c r="CW4" s="213"/>
      <c r="CX4" s="213"/>
      <c r="CY4" s="13"/>
      <c r="CZ4" s="13"/>
      <c r="DA4" s="213"/>
      <c r="DE4" s="13"/>
      <c r="DF4" s="13"/>
      <c r="DG4" s="1116"/>
      <c r="DH4" s="1116"/>
      <c r="DI4" s="1116"/>
      <c r="DJ4" s="1116"/>
      <c r="DK4" s="13"/>
      <c r="DL4" s="13"/>
      <c r="DM4" s="13"/>
      <c r="DN4" s="13"/>
      <c r="DO4" s="13"/>
      <c r="DP4" s="13"/>
      <c r="DQ4" s="13"/>
      <c r="DR4" s="13"/>
      <c r="DS4" s="1642"/>
      <c r="DT4" s="1642"/>
      <c r="DU4" s="1642"/>
      <c r="DV4" s="1642"/>
      <c r="DW4" s="13"/>
      <c r="DX4" s="13"/>
      <c r="DY4" s="13"/>
      <c r="DZ4" s="13"/>
      <c r="EA4" s="13"/>
      <c r="EB4" s="13"/>
      <c r="EC4" s="13"/>
      <c r="ED4" s="13"/>
      <c r="EE4" s="1641"/>
      <c r="EF4" s="13"/>
      <c r="EG4" s="13"/>
      <c r="EH4" s="13"/>
      <c r="EI4" s="13"/>
      <c r="EJ4" s="13"/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GI4"/>
      <c r="GJ4"/>
      <c r="GK4"/>
      <c r="GL4"/>
      <c r="GM4"/>
      <c r="GN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</row>
    <row r="5" spans="1:281" s="63" customFormat="1" hidden="1" outlineLevel="1" x14ac:dyDescent="0.2">
      <c r="A5" s="46"/>
      <c r="B5" s="79"/>
      <c r="C5" s="46" t="s">
        <v>4</v>
      </c>
      <c r="D5" s="46" t="s">
        <v>5</v>
      </c>
      <c r="E5" s="46" t="s">
        <v>6</v>
      </c>
      <c r="F5" s="46" t="s">
        <v>7</v>
      </c>
      <c r="G5" s="46" t="s">
        <v>245</v>
      </c>
      <c r="H5" s="46" t="s">
        <v>246</v>
      </c>
      <c r="I5" s="46" t="s">
        <v>247</v>
      </c>
      <c r="J5" s="46" t="s">
        <v>248</v>
      </c>
      <c r="K5" s="46" t="s">
        <v>249</v>
      </c>
      <c r="L5" s="46" t="s">
        <v>250</v>
      </c>
      <c r="M5" s="46" t="s">
        <v>1010</v>
      </c>
      <c r="N5" s="46"/>
      <c r="O5" s="47" t="s">
        <v>1011</v>
      </c>
      <c r="P5" s="47" t="s">
        <v>1012</v>
      </c>
      <c r="Q5" s="47" t="s">
        <v>626</v>
      </c>
      <c r="R5" s="47" t="s">
        <v>627</v>
      </c>
      <c r="S5" s="46" t="s">
        <v>1005</v>
      </c>
      <c r="T5" s="46"/>
      <c r="U5" s="47" t="s">
        <v>1006</v>
      </c>
      <c r="V5" s="47" t="s">
        <v>1007</v>
      </c>
      <c r="W5" s="47" t="s">
        <v>1008</v>
      </c>
      <c r="X5" s="47" t="s">
        <v>1009</v>
      </c>
      <c r="Y5" s="46" t="s">
        <v>770</v>
      </c>
      <c r="Z5" s="46"/>
      <c r="AA5" s="47" t="s">
        <v>771</v>
      </c>
      <c r="AB5" s="47" t="s">
        <v>772</v>
      </c>
      <c r="AC5" s="47" t="s">
        <v>773</v>
      </c>
      <c r="AD5" s="47" t="s">
        <v>774</v>
      </c>
      <c r="AE5" s="46" t="s">
        <v>775</v>
      </c>
      <c r="AF5" s="46"/>
      <c r="AG5" s="47" t="s">
        <v>776</v>
      </c>
      <c r="AH5" s="47" t="s">
        <v>777</v>
      </c>
      <c r="AI5" s="47" t="s">
        <v>778</v>
      </c>
      <c r="AJ5" s="47" t="s">
        <v>779</v>
      </c>
      <c r="AK5" s="46" t="s">
        <v>780</v>
      </c>
      <c r="AL5" s="46"/>
      <c r="AM5" s="47" t="s">
        <v>1018</v>
      </c>
      <c r="AN5" s="47" t="s">
        <v>1019</v>
      </c>
      <c r="AO5" s="47" t="s">
        <v>1020</v>
      </c>
      <c r="AP5" s="47" t="s">
        <v>1021</v>
      </c>
      <c r="AQ5" s="46" t="s">
        <v>1022</v>
      </c>
      <c r="AR5" s="46"/>
      <c r="AS5" s="47" t="s">
        <v>1023</v>
      </c>
      <c r="AT5" s="47" t="s">
        <v>1024</v>
      </c>
      <c r="AU5" s="47" t="s">
        <v>1025</v>
      </c>
      <c r="AV5" s="47" t="s">
        <v>1026</v>
      </c>
      <c r="AW5" s="46" t="s">
        <v>1027</v>
      </c>
      <c r="AX5" s="46"/>
      <c r="AY5" s="47" t="s">
        <v>1028</v>
      </c>
      <c r="AZ5" s="47" t="s">
        <v>1029</v>
      </c>
      <c r="BA5" s="47" t="s">
        <v>1030</v>
      </c>
      <c r="BB5" s="47" t="s">
        <v>1031</v>
      </c>
      <c r="BC5" s="46" t="s">
        <v>322</v>
      </c>
      <c r="BD5" s="46"/>
      <c r="BE5" s="47" t="s">
        <v>323</v>
      </c>
      <c r="BF5" s="47" t="s">
        <v>324</v>
      </c>
      <c r="BG5" s="47" t="s">
        <v>325</v>
      </c>
      <c r="BH5" s="47" t="s">
        <v>326</v>
      </c>
      <c r="BI5" s="46" t="s">
        <v>327</v>
      </c>
      <c r="BJ5" s="46"/>
      <c r="BK5" s="47" t="s">
        <v>974</v>
      </c>
      <c r="BL5" s="47" t="s">
        <v>969</v>
      </c>
      <c r="BM5" s="47" t="s">
        <v>970</v>
      </c>
      <c r="BN5" s="47" t="s">
        <v>971</v>
      </c>
      <c r="BO5" s="46" t="s">
        <v>386</v>
      </c>
      <c r="BP5" s="46"/>
      <c r="BQ5" s="47" t="s">
        <v>972</v>
      </c>
      <c r="BR5" s="47" t="s">
        <v>973</v>
      </c>
      <c r="BS5" s="47" t="s">
        <v>545</v>
      </c>
      <c r="BT5" s="47" t="s">
        <v>546</v>
      </c>
      <c r="BU5" s="46" t="s">
        <v>387</v>
      </c>
      <c r="BV5" s="46"/>
      <c r="BW5" s="47" t="s">
        <v>547</v>
      </c>
      <c r="BX5" s="47" t="s">
        <v>548</v>
      </c>
      <c r="BY5" s="47" t="s">
        <v>201</v>
      </c>
      <c r="BZ5" s="47" t="s">
        <v>202</v>
      </c>
      <c r="CA5" s="46" t="s">
        <v>120</v>
      </c>
      <c r="CB5" s="46"/>
      <c r="CC5" s="47" t="s">
        <v>527</v>
      </c>
      <c r="CD5" s="47" t="s">
        <v>618</v>
      </c>
      <c r="CE5" s="47" t="s">
        <v>11</v>
      </c>
      <c r="CF5" s="47" t="s">
        <v>629</v>
      </c>
      <c r="CG5" s="46" t="s">
        <v>630</v>
      </c>
      <c r="CH5" s="46"/>
      <c r="CI5" s="47" t="s">
        <v>328</v>
      </c>
      <c r="CJ5" s="47" t="s">
        <v>329</v>
      </c>
      <c r="CK5" s="47" t="s">
        <v>330</v>
      </c>
      <c r="CL5" s="47" t="s">
        <v>331</v>
      </c>
      <c r="CM5" s="46" t="s">
        <v>332</v>
      </c>
      <c r="CN5" s="46"/>
      <c r="CO5" s="47" t="s">
        <v>333</v>
      </c>
      <c r="CP5" s="47" t="s">
        <v>334</v>
      </c>
      <c r="CQ5" s="47" t="s">
        <v>335</v>
      </c>
      <c r="CR5" s="47" t="s">
        <v>336</v>
      </c>
      <c r="CS5" s="46" t="s">
        <v>337</v>
      </c>
      <c r="CT5" s="46"/>
      <c r="CU5" s="47" t="s">
        <v>338</v>
      </c>
      <c r="CV5" s="47" t="s">
        <v>339</v>
      </c>
      <c r="CW5" s="47" t="s">
        <v>340</v>
      </c>
      <c r="CX5" s="47" t="s">
        <v>341</v>
      </c>
      <c r="CY5" s="46" t="s">
        <v>155</v>
      </c>
      <c r="CZ5" s="46"/>
      <c r="DA5" s="47" t="s">
        <v>986</v>
      </c>
      <c r="DB5" s="47" t="s">
        <v>987</v>
      </c>
      <c r="DC5" s="47" t="s">
        <v>988</v>
      </c>
      <c r="DD5" s="47" t="s">
        <v>989</v>
      </c>
      <c r="DE5" s="46" t="s">
        <v>990</v>
      </c>
      <c r="DF5" s="46"/>
      <c r="DG5" s="47" t="s">
        <v>74</v>
      </c>
      <c r="DH5" s="47" t="s">
        <v>75</v>
      </c>
      <c r="DI5" s="47" t="s">
        <v>431</v>
      </c>
      <c r="DJ5" s="47" t="s">
        <v>432</v>
      </c>
      <c r="DK5" s="46" t="s">
        <v>73</v>
      </c>
      <c r="DL5" s="46"/>
      <c r="DM5" s="47" t="s">
        <v>342</v>
      </c>
      <c r="DN5" s="47" t="s">
        <v>343</v>
      </c>
      <c r="DO5" s="47" t="s">
        <v>344</v>
      </c>
      <c r="DP5" s="47" t="s">
        <v>345</v>
      </c>
      <c r="DQ5" s="46" t="s">
        <v>346</v>
      </c>
      <c r="DR5" s="46"/>
      <c r="DS5" s="47" t="s">
        <v>230</v>
      </c>
      <c r="DT5" s="47" t="s">
        <v>231</v>
      </c>
      <c r="DU5" s="47" t="s">
        <v>232</v>
      </c>
      <c r="DV5" s="47" t="s">
        <v>233</v>
      </c>
      <c r="DW5" s="46" t="s">
        <v>234</v>
      </c>
      <c r="DX5" s="46"/>
      <c r="DY5" s="47" t="s">
        <v>538</v>
      </c>
      <c r="DZ5" s="47" t="s">
        <v>539</v>
      </c>
      <c r="EA5" s="47" t="s">
        <v>535</v>
      </c>
      <c r="EB5" s="47" t="s">
        <v>536</v>
      </c>
      <c r="EC5" s="46" t="s">
        <v>537</v>
      </c>
      <c r="ED5" s="46"/>
      <c r="EE5" s="47" t="s">
        <v>995</v>
      </c>
      <c r="EF5" s="47" t="s">
        <v>996</v>
      </c>
      <c r="EG5" s="47" t="s">
        <v>997</v>
      </c>
      <c r="EH5" s="47" t="s">
        <v>998</v>
      </c>
      <c r="EI5" s="46" t="s">
        <v>999</v>
      </c>
      <c r="EJ5" s="46"/>
      <c r="EK5" s="47" t="s">
        <v>1000</v>
      </c>
      <c r="EL5" s="47" t="s">
        <v>1001</v>
      </c>
      <c r="EM5" s="47" t="s">
        <v>1002</v>
      </c>
      <c r="EN5" s="47" t="s">
        <v>1003</v>
      </c>
      <c r="EO5" s="46" t="s">
        <v>1004</v>
      </c>
      <c r="EP5" s="46"/>
      <c r="EQ5" s="47" t="s">
        <v>474</v>
      </c>
      <c r="ER5" s="47" t="s">
        <v>915</v>
      </c>
      <c r="ES5" s="47" t="s">
        <v>1062</v>
      </c>
      <c r="ET5" s="47" t="s">
        <v>1063</v>
      </c>
      <c r="EU5" s="46" t="s">
        <v>1064</v>
      </c>
      <c r="EV5" s="46"/>
      <c r="EW5" s="47" t="s">
        <v>1137</v>
      </c>
      <c r="EX5" s="47" t="s">
        <v>1138</v>
      </c>
      <c r="EY5" s="47" t="s">
        <v>1134</v>
      </c>
      <c r="EZ5" s="47" t="s">
        <v>1135</v>
      </c>
      <c r="FA5" s="46" t="s">
        <v>1136</v>
      </c>
      <c r="FB5" s="46"/>
      <c r="FC5" s="47" t="s">
        <v>1196</v>
      </c>
      <c r="FD5" s="47" t="s">
        <v>1197</v>
      </c>
      <c r="FE5" s="47" t="s">
        <v>1198</v>
      </c>
      <c r="FF5" s="47" t="s">
        <v>1199</v>
      </c>
      <c r="FG5" s="46" t="s">
        <v>1200</v>
      </c>
      <c r="FH5" s="46"/>
      <c r="FI5" s="47" t="s">
        <v>1239</v>
      </c>
      <c r="FJ5" s="47" t="s">
        <v>1240</v>
      </c>
      <c r="FK5" s="47" t="s">
        <v>1241</v>
      </c>
      <c r="FL5" s="47" t="s">
        <v>1242</v>
      </c>
      <c r="FM5" s="46" t="s">
        <v>1243</v>
      </c>
      <c r="GI5"/>
      <c r="GJ5"/>
      <c r="GK5"/>
      <c r="GL5"/>
      <c r="GM5"/>
      <c r="GN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</row>
    <row r="6" spans="1:281" s="24" customFormat="1" ht="10.5" customHeight="1" collapsed="1" x14ac:dyDescent="0.2">
      <c r="A6" s="1247" t="s">
        <v>408</v>
      </c>
      <c r="B6" s="1248"/>
      <c r="C6" s="1249" t="s">
        <v>8</v>
      </c>
      <c r="D6" s="1249"/>
      <c r="E6" s="1249"/>
      <c r="F6" s="1249"/>
      <c r="G6" s="1249"/>
      <c r="H6" s="1250"/>
      <c r="I6" s="1250"/>
      <c r="J6" s="1250"/>
      <c r="K6" s="1250"/>
      <c r="L6" s="1250"/>
      <c r="M6" s="1251"/>
      <c r="N6" s="1252"/>
      <c r="O6" s="1249" t="s">
        <v>216</v>
      </c>
      <c r="P6" s="1253"/>
      <c r="Q6" s="1253"/>
      <c r="R6" s="1253"/>
      <c r="S6" s="1253"/>
      <c r="T6" s="1252"/>
      <c r="U6" s="1249" t="s">
        <v>1073</v>
      </c>
      <c r="V6" s="1253"/>
      <c r="W6" s="1253"/>
      <c r="X6" s="1253"/>
      <c r="Y6" s="1253"/>
      <c r="Z6" s="1252"/>
      <c r="AA6" s="1249" t="s">
        <v>708</v>
      </c>
      <c r="AB6" s="1253"/>
      <c r="AC6" s="1253"/>
      <c r="AD6" s="1253"/>
      <c r="AE6" s="1253"/>
      <c r="AF6" s="1252"/>
      <c r="AG6" s="1249" t="s">
        <v>709</v>
      </c>
      <c r="AH6" s="1253"/>
      <c r="AI6" s="1253"/>
      <c r="AJ6" s="1253"/>
      <c r="AK6" s="1253"/>
      <c r="AL6" s="1252"/>
      <c r="AM6" s="1249" t="s">
        <v>428</v>
      </c>
      <c r="AN6" s="1253"/>
      <c r="AO6" s="1253"/>
      <c r="AP6" s="1253"/>
      <c r="AQ6" s="1253"/>
      <c r="AR6" s="1252"/>
      <c r="AS6" s="1249" t="s">
        <v>429</v>
      </c>
      <c r="AT6" s="1253"/>
      <c r="AU6" s="1253"/>
      <c r="AV6" s="1253"/>
      <c r="AW6" s="1253"/>
      <c r="AX6" s="1252"/>
      <c r="AY6" s="1249" t="s">
        <v>1044</v>
      </c>
      <c r="AZ6" s="1253"/>
      <c r="BA6" s="1253"/>
      <c r="BB6" s="1253"/>
      <c r="BC6" s="1253"/>
      <c r="BD6" s="1252"/>
      <c r="BE6" s="1253" t="s">
        <v>35</v>
      </c>
      <c r="BF6" s="1253"/>
      <c r="BG6" s="1253"/>
      <c r="BH6" s="1253"/>
      <c r="BI6" s="1253"/>
      <c r="BJ6" s="1252"/>
      <c r="BK6" s="1253" t="s">
        <v>217</v>
      </c>
      <c r="BL6" s="1253"/>
      <c r="BM6" s="1253"/>
      <c r="BN6" s="1253"/>
      <c r="BO6" s="1253"/>
      <c r="BP6" s="1254"/>
      <c r="BQ6" s="1253" t="s">
        <v>872</v>
      </c>
      <c r="BR6" s="1253"/>
      <c r="BS6" s="1253"/>
      <c r="BT6" s="1253"/>
      <c r="BU6" s="1253"/>
      <c r="BV6" s="1254"/>
      <c r="BW6" s="1249" t="s">
        <v>462</v>
      </c>
      <c r="BX6" s="1253"/>
      <c r="BY6" s="1253"/>
      <c r="BZ6" s="1253"/>
      <c r="CA6" s="1253"/>
      <c r="CB6" s="1254"/>
      <c r="CC6" s="1249" t="s">
        <v>420</v>
      </c>
      <c r="CD6" s="1253"/>
      <c r="CE6" s="1253"/>
      <c r="CF6" s="1253"/>
      <c r="CG6" s="1253"/>
      <c r="CH6" s="1254"/>
      <c r="CI6" s="1249" t="s">
        <v>388</v>
      </c>
      <c r="CJ6" s="1253"/>
      <c r="CK6" s="1253"/>
      <c r="CL6" s="1253"/>
      <c r="CM6" s="1253"/>
      <c r="CN6" s="1254"/>
      <c r="CO6" s="1249" t="s">
        <v>693</v>
      </c>
      <c r="CP6" s="1253"/>
      <c r="CQ6" s="1253"/>
      <c r="CR6" s="1253"/>
      <c r="CS6" s="1253"/>
      <c r="CT6" s="1255"/>
      <c r="CU6" s="1256" t="s">
        <v>207</v>
      </c>
      <c r="CV6" s="1257"/>
      <c r="CW6" s="1257"/>
      <c r="CX6" s="1257"/>
      <c r="CY6" s="1257"/>
      <c r="CZ6" s="1255"/>
      <c r="DA6" s="1256" t="s">
        <v>21</v>
      </c>
      <c r="DB6" s="1257"/>
      <c r="DC6" s="1257"/>
      <c r="DD6" s="1257"/>
      <c r="DE6" s="1258"/>
      <c r="DF6" s="1255"/>
      <c r="DG6" s="1256" t="s">
        <v>525</v>
      </c>
      <c r="DH6" s="1257"/>
      <c r="DI6" s="1257"/>
      <c r="DJ6" s="1257"/>
      <c r="DK6" s="1258"/>
      <c r="DL6" s="1259"/>
      <c r="DM6" s="1256" t="s">
        <v>96</v>
      </c>
      <c r="DN6" s="1257"/>
      <c r="DO6" s="1257"/>
      <c r="DP6" s="1257"/>
      <c r="DQ6" s="1258"/>
      <c r="DR6" s="1859"/>
      <c r="DS6" s="1256" t="s">
        <v>747</v>
      </c>
      <c r="DT6" s="1257"/>
      <c r="DU6" s="1257"/>
      <c r="DV6" s="1257"/>
      <c r="DW6" s="1257"/>
      <c r="DX6" s="1259"/>
      <c r="DY6" s="1256" t="s">
        <v>1111</v>
      </c>
      <c r="DZ6" s="1257"/>
      <c r="EA6" s="1257"/>
      <c r="EB6" s="1257"/>
      <c r="EC6" s="1257"/>
      <c r="ED6" s="1859"/>
      <c r="EE6" s="1256" t="s">
        <v>1156</v>
      </c>
      <c r="EF6" s="1257"/>
      <c r="EG6" s="1257"/>
      <c r="EH6" s="1257"/>
      <c r="EI6" s="1257"/>
      <c r="EJ6" s="1259"/>
      <c r="EK6" s="1256" t="s">
        <v>1207</v>
      </c>
      <c r="EL6" s="1257"/>
      <c r="EM6" s="1257"/>
      <c r="EN6" s="1257"/>
      <c r="EO6" s="1257"/>
      <c r="EP6" s="1259"/>
      <c r="EQ6" s="1256" t="s">
        <v>1247</v>
      </c>
      <c r="ER6" s="1257"/>
      <c r="ES6" s="1257"/>
      <c r="ET6" s="1257"/>
      <c r="EU6" s="1257"/>
      <c r="EV6" s="1259"/>
      <c r="EW6" s="1256" t="s">
        <v>1139</v>
      </c>
      <c r="EX6" s="1257"/>
      <c r="EY6" s="1257"/>
      <c r="EZ6" s="1257"/>
      <c r="FA6" s="1257"/>
      <c r="FB6" s="1259"/>
      <c r="FC6" s="1256" t="s">
        <v>1190</v>
      </c>
      <c r="FD6" s="1257"/>
      <c r="FE6" s="1257"/>
      <c r="FF6" s="1257"/>
      <c r="FG6" s="1257"/>
      <c r="FH6" s="1259"/>
      <c r="FI6" s="1256" t="s">
        <v>1234</v>
      </c>
      <c r="FJ6" s="1257"/>
      <c r="FK6" s="1257"/>
      <c r="FL6" s="1257"/>
      <c r="FM6" s="1257"/>
      <c r="FN6" s="1227"/>
      <c r="FO6" s="1227"/>
      <c r="FP6" s="1227"/>
      <c r="FQ6" s="1227"/>
      <c r="FR6" s="1227"/>
      <c r="FS6" s="1706"/>
      <c r="FT6" s="1254"/>
      <c r="FU6" s="1254"/>
      <c r="FV6" s="1254"/>
      <c r="FW6" s="1254"/>
      <c r="FX6" s="1254"/>
      <c r="FY6" s="1254"/>
      <c r="FZ6" s="1254"/>
      <c r="GA6" s="1254"/>
      <c r="GB6" s="1393"/>
      <c r="GC6" s="1393"/>
      <c r="GD6" s="1393"/>
      <c r="GE6" s="1393"/>
      <c r="GF6" s="1393"/>
      <c r="GG6" s="27"/>
      <c r="GH6" s="27"/>
      <c r="GI6"/>
      <c r="GJ6"/>
      <c r="GK6"/>
      <c r="GL6"/>
      <c r="GM6"/>
      <c r="GN6"/>
      <c r="GO6" s="27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</row>
    <row r="7" spans="1:281" s="24" customFormat="1" ht="10.5" customHeight="1" x14ac:dyDescent="0.2">
      <c r="A7" s="1263"/>
      <c r="B7" s="1229"/>
      <c r="C7" s="1230" t="s">
        <v>947</v>
      </c>
      <c r="D7" s="1230" t="s">
        <v>946</v>
      </c>
      <c r="E7" s="1230" t="s">
        <v>406</v>
      </c>
      <c r="F7" s="1230" t="s">
        <v>302</v>
      </c>
      <c r="G7" s="1230" t="s">
        <v>303</v>
      </c>
      <c r="H7" s="1230" t="s">
        <v>304</v>
      </c>
      <c r="I7" s="1230" t="s">
        <v>305</v>
      </c>
      <c r="J7" s="1230" t="s">
        <v>639</v>
      </c>
      <c r="K7" s="1230" t="s">
        <v>640</v>
      </c>
      <c r="L7" s="1230" t="s">
        <v>641</v>
      </c>
      <c r="M7" s="1230" t="s">
        <v>550</v>
      </c>
      <c r="N7" s="1230"/>
      <c r="O7" s="1230" t="s">
        <v>292</v>
      </c>
      <c r="P7" s="1230" t="s">
        <v>293</v>
      </c>
      <c r="Q7" s="1230" t="s">
        <v>290</v>
      </c>
      <c r="R7" s="1230" t="s">
        <v>291</v>
      </c>
      <c r="S7" s="1230" t="s">
        <v>551</v>
      </c>
      <c r="T7" s="1230"/>
      <c r="U7" s="1230" t="s">
        <v>288</v>
      </c>
      <c r="V7" s="1230" t="s">
        <v>289</v>
      </c>
      <c r="W7" s="1230" t="s">
        <v>294</v>
      </c>
      <c r="X7" s="1230" t="s">
        <v>930</v>
      </c>
      <c r="Y7" s="1230" t="s">
        <v>402</v>
      </c>
      <c r="Z7" s="1230"/>
      <c r="AA7" s="1230" t="s">
        <v>931</v>
      </c>
      <c r="AB7" s="1230" t="s">
        <v>932</v>
      </c>
      <c r="AC7" s="1230" t="s">
        <v>933</v>
      </c>
      <c r="AD7" s="1230" t="s">
        <v>934</v>
      </c>
      <c r="AE7" s="1230" t="s">
        <v>403</v>
      </c>
      <c r="AF7" s="1230"/>
      <c r="AG7" s="1230" t="s">
        <v>935</v>
      </c>
      <c r="AH7" s="1230" t="s">
        <v>936</v>
      </c>
      <c r="AI7" s="1230" t="s">
        <v>937</v>
      </c>
      <c r="AJ7" s="1230" t="s">
        <v>938</v>
      </c>
      <c r="AK7" s="1230" t="s">
        <v>404</v>
      </c>
      <c r="AL7" s="1230"/>
      <c r="AM7" s="1230" t="s">
        <v>939</v>
      </c>
      <c r="AN7" s="1230" t="s">
        <v>144</v>
      </c>
      <c r="AO7" s="1230" t="s">
        <v>145</v>
      </c>
      <c r="AP7" s="1230" t="s">
        <v>146</v>
      </c>
      <c r="AQ7" s="1230" t="s">
        <v>405</v>
      </c>
      <c r="AR7" s="1230"/>
      <c r="AS7" s="1230" t="s">
        <v>147</v>
      </c>
      <c r="AT7" s="1230" t="s">
        <v>148</v>
      </c>
      <c r="AU7" s="1230" t="s">
        <v>149</v>
      </c>
      <c r="AV7" s="1230" t="s">
        <v>150</v>
      </c>
      <c r="AW7" s="1230" t="s">
        <v>552</v>
      </c>
      <c r="AX7" s="1230"/>
      <c r="AY7" s="1230" t="s">
        <v>151</v>
      </c>
      <c r="AZ7" s="1230" t="s">
        <v>152</v>
      </c>
      <c r="BA7" s="1230" t="s">
        <v>153</v>
      </c>
      <c r="BB7" s="1230" t="s">
        <v>154</v>
      </c>
      <c r="BC7" s="1230" t="s">
        <v>553</v>
      </c>
      <c r="BD7" s="1230"/>
      <c r="BE7" s="1230" t="s">
        <v>917</v>
      </c>
      <c r="BF7" s="1230" t="s">
        <v>586</v>
      </c>
      <c r="BG7" s="1230" t="s">
        <v>587</v>
      </c>
      <c r="BH7" s="1230" t="s">
        <v>588</v>
      </c>
      <c r="BI7" s="1230" t="s">
        <v>554</v>
      </c>
      <c r="BJ7" s="1230"/>
      <c r="BK7" s="1230" t="s">
        <v>589</v>
      </c>
      <c r="BL7" s="1230" t="s">
        <v>590</v>
      </c>
      <c r="BM7" s="1230" t="s">
        <v>591</v>
      </c>
      <c r="BN7" s="1230" t="s">
        <v>592</v>
      </c>
      <c r="BO7" s="1230" t="s">
        <v>555</v>
      </c>
      <c r="BP7" s="1231"/>
      <c r="BQ7" s="1230" t="s">
        <v>28</v>
      </c>
      <c r="BR7" s="1230" t="s">
        <v>1092</v>
      </c>
      <c r="BS7" s="1230" t="s">
        <v>252</v>
      </c>
      <c r="BT7" s="1230" t="s">
        <v>873</v>
      </c>
      <c r="BU7" s="1230" t="s">
        <v>874</v>
      </c>
      <c r="BV7" s="1231"/>
      <c r="BW7" s="1230" t="s">
        <v>366</v>
      </c>
      <c r="BX7" s="1230" t="s">
        <v>163</v>
      </c>
      <c r="BY7" s="1230" t="s">
        <v>526</v>
      </c>
      <c r="BZ7" s="1230" t="s">
        <v>347</v>
      </c>
      <c r="CA7" s="1230" t="s">
        <v>77</v>
      </c>
      <c r="CB7" s="1231"/>
      <c r="CC7" s="1230" t="s">
        <v>306</v>
      </c>
      <c r="CD7" s="1230" t="s">
        <v>696</v>
      </c>
      <c r="CE7" s="1230" t="s">
        <v>711</v>
      </c>
      <c r="CF7" s="1230" t="s">
        <v>421</v>
      </c>
      <c r="CG7" s="1232" t="s">
        <v>434</v>
      </c>
      <c r="CH7" s="1231"/>
      <c r="CI7" s="1230" t="s">
        <v>39</v>
      </c>
      <c r="CJ7" s="1230" t="s">
        <v>251</v>
      </c>
      <c r="CK7" s="1230" t="s">
        <v>389</v>
      </c>
      <c r="CL7" s="1230" t="s">
        <v>528</v>
      </c>
      <c r="CM7" s="1232" t="s">
        <v>656</v>
      </c>
      <c r="CN7" s="1231"/>
      <c r="CO7" s="1230" t="s">
        <v>574</v>
      </c>
      <c r="CP7" s="1230" t="s">
        <v>650</v>
      </c>
      <c r="CQ7" s="1230" t="s">
        <v>357</v>
      </c>
      <c r="CR7" s="1230" t="s">
        <v>694</v>
      </c>
      <c r="CS7" s="1232" t="s">
        <v>797</v>
      </c>
      <c r="CT7" s="1243"/>
      <c r="CU7" s="1244" t="s">
        <v>818</v>
      </c>
      <c r="CV7" s="1244" t="s">
        <v>952</v>
      </c>
      <c r="CW7" s="1244" t="s">
        <v>677</v>
      </c>
      <c r="CX7" s="1244" t="s">
        <v>348</v>
      </c>
      <c r="CY7" s="1244" t="s">
        <v>36</v>
      </c>
      <c r="CZ7" s="1261"/>
      <c r="DA7" s="1242" t="s">
        <v>949</v>
      </c>
      <c r="DB7" s="1242" t="s">
        <v>957</v>
      </c>
      <c r="DC7" s="1242" t="s">
        <v>665</v>
      </c>
      <c r="DD7" s="1262" t="s">
        <v>215</v>
      </c>
      <c r="DE7" s="1244" t="s">
        <v>37</v>
      </c>
      <c r="DF7" s="1261"/>
      <c r="DG7" s="1242" t="s">
        <v>511</v>
      </c>
      <c r="DH7" s="1242" t="s">
        <v>379</v>
      </c>
      <c r="DI7" s="1242" t="s">
        <v>835</v>
      </c>
      <c r="DJ7" s="1262" t="s">
        <v>87</v>
      </c>
      <c r="DK7" s="1244" t="s">
        <v>223</v>
      </c>
      <c r="DL7" s="1261"/>
      <c r="DM7" s="1242" t="s">
        <v>49</v>
      </c>
      <c r="DN7" s="1242" t="s">
        <v>300</v>
      </c>
      <c r="DO7" s="1242" t="s">
        <v>263</v>
      </c>
      <c r="DP7" s="1262" t="s">
        <v>95</v>
      </c>
      <c r="DQ7" s="1858" t="s">
        <v>224</v>
      </c>
      <c r="DR7" s="1395"/>
      <c r="DS7" s="1242" t="s">
        <v>761</v>
      </c>
      <c r="DT7" s="1242" t="s">
        <v>642</v>
      </c>
      <c r="DU7" s="1242" t="s">
        <v>365</v>
      </c>
      <c r="DV7" s="1262" t="s">
        <v>746</v>
      </c>
      <c r="DW7" s="1260" t="s">
        <v>385</v>
      </c>
      <c r="DX7" s="1261"/>
      <c r="DY7" s="1242" t="s">
        <v>792</v>
      </c>
      <c r="DZ7" s="1242" t="s">
        <v>1100</v>
      </c>
      <c r="EA7" s="1242" t="s">
        <v>1103</v>
      </c>
      <c r="EB7" s="1262" t="s">
        <v>1108</v>
      </c>
      <c r="EC7" s="1244" t="s">
        <v>225</v>
      </c>
      <c r="ED7" s="1904"/>
      <c r="EE7" s="1242" t="s">
        <v>1124</v>
      </c>
      <c r="EF7" s="1242" t="s">
        <v>1130</v>
      </c>
      <c r="EG7" s="1242" t="s">
        <v>1146</v>
      </c>
      <c r="EH7" s="1262" t="s">
        <v>1155</v>
      </c>
      <c r="EI7" s="1246" t="s">
        <v>226</v>
      </c>
      <c r="EJ7" s="1261"/>
      <c r="EK7" s="1242" t="s">
        <v>1160</v>
      </c>
      <c r="EL7" s="1242" t="s">
        <v>1168</v>
      </c>
      <c r="EM7" s="1242" t="s">
        <v>1173</v>
      </c>
      <c r="EN7" s="1262" t="s">
        <v>1204</v>
      </c>
      <c r="EO7" s="1244" t="s">
        <v>695</v>
      </c>
      <c r="EP7" s="1261"/>
      <c r="EQ7" s="1242" t="s">
        <v>1220</v>
      </c>
      <c r="ER7" s="1242" t="s">
        <v>1228</v>
      </c>
      <c r="ES7" s="1242" t="s">
        <v>1229</v>
      </c>
      <c r="ET7" s="1262" t="s">
        <v>1248</v>
      </c>
      <c r="EU7" s="1244" t="s">
        <v>198</v>
      </c>
      <c r="EV7" s="1261"/>
      <c r="EW7" s="1242" t="s">
        <v>1281</v>
      </c>
      <c r="EX7" s="1242" t="s">
        <v>1294</v>
      </c>
      <c r="EY7" s="1242" t="s">
        <v>1301</v>
      </c>
      <c r="EZ7" s="1260" t="s">
        <v>1141</v>
      </c>
      <c r="FA7" s="1244" t="s">
        <v>1142</v>
      </c>
      <c r="FB7" s="1261"/>
      <c r="FC7" s="1242" t="s">
        <v>1191</v>
      </c>
      <c r="FD7" s="1241" t="s">
        <v>1192</v>
      </c>
      <c r="FE7" s="1241" t="s">
        <v>1193</v>
      </c>
      <c r="FF7" s="1260" t="s">
        <v>1194</v>
      </c>
      <c r="FG7" s="1244" t="s">
        <v>1195</v>
      </c>
      <c r="FH7" s="1261"/>
      <c r="FI7" s="1242" t="s">
        <v>1235</v>
      </c>
      <c r="FJ7" s="1241" t="s">
        <v>1236</v>
      </c>
      <c r="FK7" s="1241" t="s">
        <v>1237</v>
      </c>
      <c r="FL7" s="1260" t="s">
        <v>1238</v>
      </c>
      <c r="FM7" s="1244" t="s">
        <v>1233</v>
      </c>
      <c r="FN7" s="1234"/>
      <c r="FO7" s="1235" t="s">
        <v>876</v>
      </c>
      <c r="FP7" s="1233" t="s">
        <v>877</v>
      </c>
      <c r="FQ7" s="1233" t="s">
        <v>164</v>
      </c>
      <c r="FR7" s="1233" t="s">
        <v>557</v>
      </c>
      <c r="FS7" s="1707" t="s">
        <v>558</v>
      </c>
      <c r="FT7" s="1244" t="s">
        <v>559</v>
      </c>
      <c r="FU7" s="1244" t="s">
        <v>316</v>
      </c>
      <c r="FV7" s="1244" t="s">
        <v>1106</v>
      </c>
      <c r="FW7" s="1244" t="s">
        <v>1203</v>
      </c>
      <c r="FX7" s="1244" t="s">
        <v>1202</v>
      </c>
      <c r="FY7" s="1244" t="s">
        <v>1230</v>
      </c>
      <c r="FZ7" s="1244" t="s">
        <v>1145</v>
      </c>
      <c r="GA7" s="1244" t="s">
        <v>1201</v>
      </c>
      <c r="GB7" s="1244" t="s">
        <v>1295</v>
      </c>
      <c r="GC7" s="1842"/>
      <c r="GD7" s="1842"/>
      <c r="GE7" s="1842"/>
      <c r="GF7" s="1842"/>
      <c r="GH7" s="27"/>
      <c r="GI7"/>
      <c r="GJ7"/>
      <c r="GK7"/>
      <c r="GL7"/>
      <c r="GM7"/>
      <c r="GN7"/>
      <c r="GO7" s="2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</row>
    <row r="8" spans="1:281" s="4" customFormat="1" ht="5.25" customHeight="1" x14ac:dyDescent="0.2">
      <c r="A8" s="9"/>
      <c r="B8" s="78"/>
      <c r="O8" s="10"/>
      <c r="U8" s="10"/>
      <c r="AA8" s="10"/>
      <c r="AG8" s="10"/>
      <c r="AM8" s="10"/>
      <c r="CG8" s="218"/>
      <c r="CM8" s="218"/>
      <c r="CS8" s="218"/>
      <c r="CY8" s="218"/>
      <c r="DE8" s="218"/>
      <c r="DK8" s="218"/>
      <c r="DQ8" s="218"/>
      <c r="DW8" s="218"/>
      <c r="EC8" s="218"/>
      <c r="EI8" s="218"/>
      <c r="EO8" s="218"/>
      <c r="EU8" s="218"/>
      <c r="FA8" s="218"/>
      <c r="FG8" s="218"/>
      <c r="FM8" s="218"/>
      <c r="FN8" s="218"/>
      <c r="FO8" s="219"/>
      <c r="FS8" s="219"/>
      <c r="GI8"/>
      <c r="GJ8"/>
      <c r="GK8"/>
      <c r="GL8"/>
      <c r="GM8"/>
      <c r="GN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</row>
    <row r="9" spans="1:281" s="222" customFormat="1" ht="10.5" hidden="1" customHeight="1" outlineLevel="1" x14ac:dyDescent="0.2">
      <c r="A9" s="56" t="s">
        <v>1074</v>
      </c>
      <c r="B9" s="948"/>
      <c r="C9" s="220"/>
      <c r="D9" s="220"/>
      <c r="E9" s="220"/>
      <c r="F9" s="220"/>
      <c r="G9" s="220"/>
      <c r="H9" s="220"/>
      <c r="I9" s="221"/>
      <c r="J9" s="220"/>
      <c r="K9" s="220"/>
      <c r="L9" s="220"/>
      <c r="M9" s="220"/>
      <c r="N9" s="220"/>
      <c r="O9" s="220"/>
      <c r="P9" s="220"/>
      <c r="Q9" s="220"/>
      <c r="R9" s="220"/>
      <c r="S9" s="220"/>
      <c r="T9" s="220"/>
      <c r="U9" s="220"/>
      <c r="V9" s="220"/>
      <c r="W9" s="220"/>
      <c r="X9" s="220"/>
      <c r="Y9" s="220"/>
      <c r="Z9" s="220"/>
      <c r="AA9" s="220"/>
      <c r="AB9" s="220"/>
      <c r="AC9" s="220"/>
      <c r="AD9" s="220"/>
      <c r="AE9" s="220"/>
      <c r="AF9" s="220"/>
      <c r="AG9" s="220"/>
      <c r="AH9" s="220"/>
      <c r="AI9" s="220"/>
      <c r="AJ9" s="220"/>
      <c r="AK9" s="220"/>
      <c r="AL9" s="220"/>
      <c r="AM9" s="220"/>
      <c r="AN9" s="220"/>
      <c r="AO9" s="220"/>
      <c r="AP9" s="220"/>
      <c r="AQ9" s="220"/>
      <c r="AR9" s="220"/>
      <c r="AS9" s="220"/>
      <c r="AT9" s="220"/>
      <c r="AU9" s="220"/>
      <c r="AV9" s="220"/>
      <c r="AW9" s="220"/>
      <c r="AX9" s="220"/>
      <c r="AY9" s="220"/>
      <c r="AZ9" s="220"/>
      <c r="BA9" s="220"/>
      <c r="BB9" s="220"/>
      <c r="BC9" s="220"/>
      <c r="BD9" s="220"/>
      <c r="BI9" s="220"/>
      <c r="BJ9" s="220"/>
      <c r="BO9" s="220"/>
      <c r="BP9" s="220"/>
      <c r="BU9" s="220"/>
      <c r="BV9" s="220"/>
      <c r="CA9" s="220"/>
      <c r="CB9" s="220"/>
      <c r="CG9" s="223"/>
      <c r="CH9" s="220"/>
      <c r="CM9" s="223"/>
      <c r="CN9" s="220"/>
      <c r="CS9" s="223"/>
      <c r="CT9" s="220"/>
      <c r="CY9" s="223"/>
      <c r="CZ9" s="220"/>
      <c r="DE9" s="223"/>
      <c r="DF9" s="220"/>
      <c r="DK9" s="223"/>
      <c r="DL9" s="220"/>
      <c r="DQ9" s="223"/>
      <c r="DR9" s="220"/>
      <c r="DW9" s="223"/>
      <c r="DX9" s="220"/>
      <c r="EC9" s="223"/>
      <c r="ED9" s="220"/>
      <c r="EI9" s="223"/>
      <c r="EJ9" s="220"/>
      <c r="EO9" s="143"/>
      <c r="EP9" s="220"/>
      <c r="EU9" s="223"/>
      <c r="EV9" s="220"/>
      <c r="FA9" s="223"/>
      <c r="FB9" s="220"/>
      <c r="FG9" s="223"/>
      <c r="FH9" s="220"/>
      <c r="FM9" s="223"/>
      <c r="FN9" s="1122"/>
      <c r="FO9" s="224"/>
      <c r="FS9" s="224"/>
      <c r="FT9" s="33"/>
      <c r="FU9" s="33"/>
      <c r="FV9" s="33"/>
      <c r="FW9" s="33"/>
      <c r="FX9" s="33"/>
      <c r="FY9" s="33"/>
      <c r="FZ9" s="33"/>
      <c r="GA9" s="33"/>
      <c r="GB9" s="33"/>
      <c r="GC9" s="33"/>
      <c r="GD9" s="33"/>
      <c r="GE9" s="33"/>
      <c r="GF9" s="33"/>
      <c r="GI9"/>
      <c r="GJ9"/>
      <c r="GK9"/>
      <c r="GL9"/>
      <c r="GM9"/>
      <c r="GN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</row>
    <row r="10" spans="1:281" s="33" customFormat="1" hidden="1" outlineLevel="1" x14ac:dyDescent="0.2">
      <c r="A10" s="225" t="s">
        <v>29</v>
      </c>
      <c r="B10" s="359" t="s">
        <v>560</v>
      </c>
      <c r="C10" s="243" t="str">
        <f>'Geographic Detail'!C12</f>
        <v>-</v>
      </c>
      <c r="D10" s="243" t="str">
        <f>'Geographic Detail'!D12</f>
        <v>-</v>
      </c>
      <c r="E10" s="243" t="str">
        <f>'Geographic Detail'!E12</f>
        <v>-</v>
      </c>
      <c r="F10" s="243" t="str">
        <f>'Geographic Detail'!F12</f>
        <v>-</v>
      </c>
      <c r="G10" s="243" t="str">
        <f>'Geographic Detail'!G12</f>
        <v>-</v>
      </c>
      <c r="H10" s="243">
        <f>'Geographic Detail'!H12</f>
        <v>301.66700000000003</v>
      </c>
      <c r="I10" s="243">
        <f>'Geographic Detail'!I12</f>
        <v>445.92099999999999</v>
      </c>
      <c r="J10" s="243">
        <f>'Geographic Detail'!J12</f>
        <v>394.27499999999998</v>
      </c>
      <c r="K10" s="243">
        <f>'Geographic Detail'!K12</f>
        <v>429.01200000000006</v>
      </c>
      <c r="L10" s="243">
        <f>'Geographic Detail'!L12</f>
        <v>553.48</v>
      </c>
      <c r="M10" s="243">
        <f>'Geographic Detail'!M12</f>
        <v>942.6690000000001</v>
      </c>
      <c r="N10" s="866"/>
      <c r="O10" s="243">
        <f>'Geographic Detail'!O12</f>
        <v>260.029</v>
      </c>
      <c r="P10" s="243">
        <f>'Geographic Detail'!P12</f>
        <v>311.875</v>
      </c>
      <c r="Q10" s="243">
        <f>'Geographic Detail'!Q12</f>
        <v>339.08499999999998</v>
      </c>
      <c r="R10" s="243">
        <f>'Geographic Detail'!R12</f>
        <v>505.17500000000001</v>
      </c>
      <c r="S10" s="243">
        <f>SUM(O10:R10)</f>
        <v>1416.164</v>
      </c>
      <c r="T10" s="243"/>
      <c r="U10" s="243">
        <f>'Geographic Detail'!U12</f>
        <v>375.495</v>
      </c>
      <c r="V10" s="243">
        <f>'Geographic Detail'!V12</f>
        <v>445.98124999999999</v>
      </c>
      <c r="W10" s="243">
        <f>'Geographic Detail'!W12</f>
        <v>496.49900000000002</v>
      </c>
      <c r="X10" s="243">
        <f>'Geographic Detail'!X12</f>
        <v>757.45299999999997</v>
      </c>
      <c r="Y10" s="243">
        <f>SUM(U10:X10)</f>
        <v>2075.4282499999999</v>
      </c>
      <c r="Z10" s="243"/>
      <c r="AA10" s="243">
        <f>'Geographic Detail'!AA12</f>
        <v>537.95299999999997</v>
      </c>
      <c r="AB10" s="243">
        <f>'Geographic Detail'!AB12</f>
        <v>666.70600000000002</v>
      </c>
      <c r="AC10" s="243">
        <f>'Geographic Detail'!AC12</f>
        <v>696.36400000000003</v>
      </c>
      <c r="AD10" s="243">
        <f>'Geographic Detail'!AD12</f>
        <v>1092.5519999999999</v>
      </c>
      <c r="AE10" s="243">
        <f>SUM(AA10:AD10)</f>
        <v>2993.5749999999998</v>
      </c>
      <c r="AF10" s="243"/>
      <c r="AG10" s="243">
        <f>'Geographic Detail'!AG12</f>
        <v>733.14700000000005</v>
      </c>
      <c r="AH10" s="243">
        <f>'Geographic Detail'!AH12</f>
        <v>861.66600000000005</v>
      </c>
      <c r="AI10" s="243">
        <f>'Geographic Detail'!AI12</f>
        <v>995.21900000000005</v>
      </c>
      <c r="AJ10" s="243">
        <f>'Geographic Detail'!AJ12</f>
        <v>1458.499</v>
      </c>
      <c r="AK10" s="243">
        <f>SUM(AG10:AJ10)</f>
        <v>4048.5309999999999</v>
      </c>
      <c r="AL10" s="243"/>
      <c r="AM10" s="243">
        <f>'Geographic Detail'!AM12</f>
        <v>1003.126</v>
      </c>
      <c r="AN10" s="243">
        <f>'Geographic Detail'!AN12</f>
        <v>1121.56</v>
      </c>
      <c r="AO10" s="243">
        <f>'Geographic Detail'!AO12</f>
        <v>1165.155</v>
      </c>
      <c r="AP10" s="243">
        <f>'Geographic Detail'!AP12</f>
        <v>1763.328</v>
      </c>
      <c r="AQ10" s="243">
        <f>SUM(AM10:AP10)</f>
        <v>5053.1689999999999</v>
      </c>
      <c r="AR10" s="243"/>
      <c r="AS10" s="243">
        <f>'Geographic Detail'!AS12</f>
        <v>1124.25</v>
      </c>
      <c r="AT10" s="243">
        <f>'Geographic Detail'!AT12</f>
        <v>1261.876</v>
      </c>
      <c r="AU10" s="243">
        <f>'Geographic Detail'!AU12</f>
        <v>1450.0920000000001</v>
      </c>
      <c r="AV10" s="243">
        <f>'Geographic Detail'!AV12</f>
        <v>2077.212</v>
      </c>
      <c r="AW10" s="243">
        <f>SUM(AS10:AV10)</f>
        <v>5913.43</v>
      </c>
      <c r="AX10" s="243"/>
      <c r="AY10" s="243">
        <f>'Geographic Detail'!AY12</f>
        <v>1315.5329999999999</v>
      </c>
      <c r="AZ10" s="243">
        <f>'Geographic Detail'!AZ12</f>
        <v>1534.47</v>
      </c>
      <c r="BA10" s="243">
        <f>'Geographic Detail'!BA12</f>
        <v>1559.626</v>
      </c>
      <c r="BB10" s="243">
        <f>'Geographic Detail'!BB12</f>
        <v>1940.299</v>
      </c>
      <c r="BC10" s="243">
        <f>SUM(AY10:BB10)</f>
        <v>6349.9279999999999</v>
      </c>
      <c r="BD10" s="243"/>
      <c r="BE10" s="243">
        <f>'Geographic Detail'!BE12</f>
        <v>1245.9760000000001</v>
      </c>
      <c r="BF10" s="243">
        <f>'Geographic Detail'!BF12</f>
        <v>1281.692</v>
      </c>
      <c r="BG10" s="243">
        <f>'Geographic Detail'!BG12</f>
        <v>1259.1769999999999</v>
      </c>
      <c r="BH10" s="243">
        <f>'Geographic Detail'!BH12</f>
        <v>1506.001</v>
      </c>
      <c r="BI10" s="243">
        <f>SUM(BE10:BH10)</f>
        <v>5292.8460000000005</v>
      </c>
      <c r="BJ10" s="243"/>
      <c r="BK10" s="243">
        <f>'Geographic Detail'!BK12</f>
        <v>1106</v>
      </c>
      <c r="BL10" s="243">
        <f>'Geographic Detail'!BL12</f>
        <v>1157</v>
      </c>
      <c r="BM10" s="243">
        <f>'Geographic Detail'!BM12</f>
        <v>1190</v>
      </c>
      <c r="BN10" s="243">
        <f>'Geographic Detail'!BN12</f>
        <v>1391</v>
      </c>
      <c r="BO10" s="243">
        <f>SUM(BK10:BN10)</f>
        <v>4844</v>
      </c>
      <c r="BP10" s="243"/>
      <c r="BQ10" s="243">
        <f>'Geographic Detail'!BQ12</f>
        <v>1042</v>
      </c>
      <c r="BR10" s="243">
        <f>'Geographic Detail'!BR12</f>
        <v>1250</v>
      </c>
      <c r="BS10" s="243">
        <f>'Geographic Detail'!BS12</f>
        <v>1216</v>
      </c>
      <c r="BT10" s="243">
        <f>'Geographic Detail'!BT12</f>
        <v>1475</v>
      </c>
      <c r="BU10" s="243">
        <f>SUM(BQ10:BT10)</f>
        <v>4983</v>
      </c>
      <c r="BV10" s="243"/>
      <c r="BW10" s="243">
        <f>'Geographic Detail'!BW12</f>
        <v>1091</v>
      </c>
      <c r="BX10" s="243">
        <f>'Geographic Detail'!BX12</f>
        <v>1292</v>
      </c>
      <c r="BY10" s="243">
        <f>'Geographic Detail'!BY12</f>
        <v>1522.8</v>
      </c>
      <c r="BZ10" s="243">
        <f>'Geographic Detail'!BZ12</f>
        <v>2083.2048</v>
      </c>
      <c r="CA10" s="243">
        <f>SUM(BW10:BZ10)</f>
        <v>5989.0048000000006</v>
      </c>
      <c r="CB10" s="243"/>
      <c r="CC10" s="243">
        <f>'Geographic Detail'!CC12</f>
        <v>1559.4</v>
      </c>
      <c r="CD10" s="243">
        <f>'Geographic Detail'!CD12</f>
        <v>1794.2</v>
      </c>
      <c r="CE10" s="243">
        <f>'Geographic Detail'!CE12</f>
        <v>1880.5</v>
      </c>
      <c r="CF10" s="243">
        <f>'Geographic Detail'!CF12</f>
        <v>2638</v>
      </c>
      <c r="CG10" s="143">
        <f>SUM(CC10:CF10)</f>
        <v>7872.1</v>
      </c>
      <c r="CH10" s="243"/>
      <c r="CI10" s="243">
        <f>'Geographic Detail'!CI12</f>
        <v>1991</v>
      </c>
      <c r="CJ10" s="243">
        <f>'Geographic Detail'!CJ12</f>
        <v>2196.5</v>
      </c>
      <c r="CK10" s="243">
        <f>'Geographic Detail'!CK12</f>
        <v>2332.5</v>
      </c>
      <c r="CL10" s="243">
        <f>'Geographic Detail'!CL12</f>
        <v>3045.5</v>
      </c>
      <c r="CM10" s="143">
        <f>SUM(CI10:CL10)</f>
        <v>9565.5</v>
      </c>
      <c r="CN10" s="243"/>
      <c r="CO10" s="243">
        <f>'Geographic Detail'!CO12</f>
        <v>2407</v>
      </c>
      <c r="CP10" s="243">
        <f>'Geographic Detail'!CP12</f>
        <v>2699.5</v>
      </c>
      <c r="CQ10" s="243">
        <f>'Geographic Detail'!CQ12</f>
        <v>2718</v>
      </c>
      <c r="CR10" s="243">
        <f>'Geographic Detail'!CR12</f>
        <v>3595</v>
      </c>
      <c r="CS10" s="143">
        <f>SUM(CO10:CR10)</f>
        <v>11419.5</v>
      </c>
      <c r="CT10" s="243"/>
      <c r="CU10" s="243">
        <f>'Geographic Detail'!CU12</f>
        <v>2732.5</v>
      </c>
      <c r="CV10" s="243">
        <f>'Geographic Detail'!CV12</f>
        <v>2944</v>
      </c>
      <c r="CW10" s="243">
        <f>'Geographic Detail'!CW12</f>
        <v>2846</v>
      </c>
      <c r="CX10" s="243">
        <f>'Geographic Detail'!CX12</f>
        <v>3463</v>
      </c>
      <c r="CY10" s="143">
        <f>SUM(CU10:CX10)</f>
        <v>11985.5</v>
      </c>
      <c r="CZ10" s="243"/>
      <c r="DA10" s="243">
        <f>'Geographic Detail'!DA12</f>
        <v>2671</v>
      </c>
      <c r="DB10" s="243">
        <f>'Geographic Detail'!DB12</f>
        <v>2979</v>
      </c>
      <c r="DC10" s="243">
        <f>'Geographic Detail'!DC12</f>
        <v>3284</v>
      </c>
      <c r="DD10" s="243">
        <f>'Geographic Detail'!DD12</f>
        <v>4886</v>
      </c>
      <c r="DE10" s="143">
        <f>SUM(DA10:DD10)</f>
        <v>13820</v>
      </c>
      <c r="DF10" s="243"/>
      <c r="DG10" s="243">
        <f>'Geographic Detail'!DG12</f>
        <v>3948.7539322847242</v>
      </c>
      <c r="DH10" s="243">
        <f>'Geographic Detail'!DH12</f>
        <v>4452</v>
      </c>
      <c r="DI10" s="243">
        <f>'Geographic Detail'!DI12</f>
        <v>4509</v>
      </c>
      <c r="DJ10" s="243">
        <f>'Geographic Detail'!DJ12</f>
        <v>5487</v>
      </c>
      <c r="DK10" s="143">
        <f>SUM(DG10:DJ10)</f>
        <v>18396.753932284722</v>
      </c>
      <c r="DL10" s="243"/>
      <c r="DM10" s="243">
        <f>'Geographic Detail'!DM12</f>
        <v>4226</v>
      </c>
      <c r="DN10" s="243">
        <f>'Geographic Detail'!DN12</f>
        <v>4532</v>
      </c>
      <c r="DO10" s="243">
        <f>'Geographic Detail'!DO12</f>
        <v>4707</v>
      </c>
      <c r="DP10" s="243">
        <f>'Geographic Detail'!DP12</f>
        <v>5771</v>
      </c>
      <c r="DQ10" s="143">
        <f>SUM(DM10:DP10)</f>
        <v>19236</v>
      </c>
      <c r="DR10" s="243"/>
      <c r="DS10" s="243">
        <f>'Geographic Detail'!DS12</f>
        <v>4324</v>
      </c>
      <c r="DT10" s="243">
        <f>'Geographic Detail'!DT12</f>
        <v>4787</v>
      </c>
      <c r="DU10" s="243">
        <f>'Geographic Detail'!DU12</f>
        <v>4698</v>
      </c>
      <c r="DV10" s="243">
        <f>'Geographic Detail'!DV12</f>
        <v>5911</v>
      </c>
      <c r="DW10" s="143">
        <f>SUM(DS10:DV10)</f>
        <v>19720</v>
      </c>
      <c r="DX10" s="243"/>
      <c r="DY10" s="243">
        <f>'Geographic Detail'!DY12</f>
        <v>4517</v>
      </c>
      <c r="DZ10" s="243">
        <f>'Geographic Detail'!DZ12</f>
        <v>4995</v>
      </c>
      <c r="EA10" s="243">
        <f>'Geographic Detail'!EA12</f>
        <v>4953</v>
      </c>
      <c r="EB10" s="243">
        <f>'Geographic Detail'!EB12</f>
        <v>5857</v>
      </c>
      <c r="EC10" s="143">
        <f>SUM(DY10:EB10)</f>
        <v>20322</v>
      </c>
      <c r="ED10" s="243"/>
      <c r="EE10" s="243">
        <f>'Geographic Detail'!EE12</f>
        <v>4620</v>
      </c>
      <c r="EF10" s="243">
        <f>'Geographic Detail'!EF12</f>
        <v>5221</v>
      </c>
      <c r="EG10" s="243">
        <f>'Geographic Detail'!EG12</f>
        <v>5134</v>
      </c>
      <c r="EH10" s="243">
        <f>'Geographic Detail'!EH12</f>
        <v>6133</v>
      </c>
      <c r="EI10" s="143">
        <f>SUM(EE10:EH10)</f>
        <v>21108</v>
      </c>
      <c r="EJ10" s="243"/>
      <c r="EK10" s="243">
        <f>'Geographic Detail'!EK12</f>
        <v>4716</v>
      </c>
      <c r="EL10" s="243">
        <f>'Geographic Detail'!EL12</f>
        <v>4960</v>
      </c>
      <c r="EM10" s="243">
        <f>'Geographic Detail'!EM12</f>
        <v>4942</v>
      </c>
      <c r="EN10" s="243">
        <v>5847</v>
      </c>
      <c r="EO10" s="143">
        <f>SUM(EK10:EN10)</f>
        <v>20465</v>
      </c>
      <c r="EP10" s="243"/>
      <c r="EQ10" s="243">
        <f>'Geographic Detail'!EQ12</f>
        <v>4817</v>
      </c>
      <c r="ER10" s="243">
        <f>'Geographic Detail'!ER12</f>
        <v>4935</v>
      </c>
      <c r="ES10" s="243">
        <f>'Geographic Detail'!ES12</f>
        <v>5219</v>
      </c>
      <c r="ET10" s="243">
        <f>'Geographic Detail'!ET12</f>
        <v>6147.8833766753351</v>
      </c>
      <c r="EU10" s="143">
        <f>SUM(EQ10:ET10)</f>
        <v>21118.883376675334</v>
      </c>
      <c r="EV10" s="243"/>
      <c r="EW10" s="243">
        <f>'Geographic Detail'!EW12</f>
        <v>5244.8771466314402</v>
      </c>
      <c r="EX10" s="243"/>
      <c r="EY10" s="243"/>
      <c r="EZ10" s="243"/>
      <c r="FA10" s="143"/>
      <c r="FB10" s="243"/>
      <c r="FC10" s="243"/>
      <c r="FD10" s="243"/>
      <c r="FE10" s="243"/>
      <c r="FF10" s="243"/>
      <c r="FG10" s="143"/>
      <c r="FH10" s="243"/>
      <c r="FI10" s="243"/>
      <c r="FJ10" s="243"/>
      <c r="FK10" s="243"/>
      <c r="FL10" s="243"/>
      <c r="FM10" s="143"/>
      <c r="FN10" s="226"/>
      <c r="FO10" s="227"/>
      <c r="FS10" s="227"/>
      <c r="GI10"/>
      <c r="GJ10"/>
      <c r="GK10"/>
      <c r="GL10"/>
      <c r="GM10"/>
      <c r="GN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</row>
    <row r="11" spans="1:281" s="33" customFormat="1" hidden="1" outlineLevel="1" x14ac:dyDescent="0.2">
      <c r="A11" s="225" t="s">
        <v>702</v>
      </c>
      <c r="B11" s="359" t="s">
        <v>561</v>
      </c>
      <c r="C11" s="243" t="str">
        <f>'Geographic Detail'!C13</f>
        <v>-</v>
      </c>
      <c r="D11" s="243" t="str">
        <f>'Geographic Detail'!D13</f>
        <v>-</v>
      </c>
      <c r="E11" s="243" t="str">
        <f>'Geographic Detail'!E13</f>
        <v>-</v>
      </c>
      <c r="F11" s="243" t="str">
        <f>'Geographic Detail'!F13</f>
        <v>-</v>
      </c>
      <c r="G11" s="243" t="str">
        <f>'Geographic Detail'!G13</f>
        <v>-</v>
      </c>
      <c r="H11" s="243">
        <f>'Geographic Detail'!H13</f>
        <v>192.928</v>
      </c>
      <c r="I11" s="243">
        <f>'Geographic Detail'!I13</f>
        <v>350.90899999999999</v>
      </c>
      <c r="J11" s="243">
        <f>'Geographic Detail'!J13</f>
        <v>506.21</v>
      </c>
      <c r="K11" s="243">
        <f>'Geographic Detail'!K13</f>
        <v>568.68100000000004</v>
      </c>
      <c r="L11" s="243">
        <f>'Geographic Detail'!L13</f>
        <v>686.56899999999996</v>
      </c>
      <c r="M11" s="243">
        <f>'Geographic Detail'!M13</f>
        <v>833.13599999999997</v>
      </c>
      <c r="N11" s="866"/>
      <c r="O11" s="243">
        <f>'Geographic Detail'!O13</f>
        <v>227.708</v>
      </c>
      <c r="P11" s="243">
        <f>'Geographic Detail'!P13</f>
        <v>271.87200000000001</v>
      </c>
      <c r="Q11" s="243">
        <f>'Geographic Detail'!Q13</f>
        <v>285.06400000000002</v>
      </c>
      <c r="R11" s="243">
        <f>'Geographic Detail'!R13</f>
        <v>380.75900000000001</v>
      </c>
      <c r="S11" s="243">
        <f>SUM(O11:R11)</f>
        <v>1165.403</v>
      </c>
      <c r="T11" s="243"/>
      <c r="U11" s="243">
        <f>'Geographic Detail'!U13</f>
        <v>280.47500000000002</v>
      </c>
      <c r="V11" s="243">
        <f>'Geographic Detail'!V13</f>
        <v>375.18335999999999</v>
      </c>
      <c r="W11" s="243">
        <f>'Geographic Detail'!W13</f>
        <v>372.27100000000002</v>
      </c>
      <c r="X11" s="243">
        <f>'Geographic Detail'!X13</f>
        <v>512.87</v>
      </c>
      <c r="Y11" s="243">
        <f>SUM(U11:X11)</f>
        <v>1540.79936</v>
      </c>
      <c r="Z11" s="243"/>
      <c r="AA11" s="243">
        <f>'Geographic Detail'!AA13</f>
        <v>354.23500000000001</v>
      </c>
      <c r="AB11" s="243">
        <f>'Geographic Detail'!AB13</f>
        <v>436.68900000000002</v>
      </c>
      <c r="AC11" s="243">
        <f>'Geographic Detail'!AC13</f>
        <v>476.01499999999999</v>
      </c>
      <c r="AD11" s="243">
        <f>'Geographic Detail'!AD13</f>
        <v>614.21799999999996</v>
      </c>
      <c r="AE11" s="243">
        <f>SUM(AA11:AD11)</f>
        <v>1881.1569999999997</v>
      </c>
      <c r="AF11" s="243"/>
      <c r="AG11" s="243">
        <f>'Geographic Detail'!AG13</f>
        <v>424.35199999999998</v>
      </c>
      <c r="AH11" s="243">
        <f>'Geographic Detail'!AH13</f>
        <v>541.19500000000005</v>
      </c>
      <c r="AI11" s="243">
        <f>'Geographic Detail'!AI13</f>
        <v>577.03899999999999</v>
      </c>
      <c r="AJ11" s="243">
        <f>'Geographic Detail'!AJ13</f>
        <v>754.75400000000002</v>
      </c>
      <c r="AK11" s="243">
        <f>SUM(AG11:AJ11)</f>
        <v>2297.34</v>
      </c>
      <c r="AL11" s="243"/>
      <c r="AM11" s="243">
        <f>'Geographic Detail'!AM13</f>
        <v>564.77300000000002</v>
      </c>
      <c r="AN11" s="243">
        <f>'Geographic Detail'!AN13</f>
        <v>709.51900000000001</v>
      </c>
      <c r="AO11" s="243">
        <f>'Geographic Detail'!AO13</f>
        <v>693.67499999999995</v>
      </c>
      <c r="AP11" s="243">
        <f>'Geographic Detail'!AP13</f>
        <v>887.26800000000003</v>
      </c>
      <c r="AQ11" s="243">
        <f>SUM(AM11:AP11)</f>
        <v>2855.2349999999997</v>
      </c>
      <c r="AR11" s="243"/>
      <c r="AS11" s="243">
        <f>'Geographic Detail'!AS13</f>
        <v>617.73500000000001</v>
      </c>
      <c r="AT11" s="243">
        <f>'Geographic Detail'!AT13</f>
        <v>755.71400000000006</v>
      </c>
      <c r="AU11" s="243">
        <f>'Geographic Detail'!AU13</f>
        <v>707.36099999999999</v>
      </c>
      <c r="AV11" s="243">
        <f>'Geographic Detail'!AV13</f>
        <v>902.33799999999997</v>
      </c>
      <c r="AW11" s="243">
        <f>SUM(AS11:AV11)</f>
        <v>2983.1480000000001</v>
      </c>
      <c r="AX11" s="243"/>
      <c r="AY11" s="243">
        <f>'Geographic Detail'!AY13</f>
        <v>644.35</v>
      </c>
      <c r="AZ11" s="243">
        <f>'Geographic Detail'!AZ13</f>
        <v>763.30100000000004</v>
      </c>
      <c r="BA11" s="243">
        <f>'Geographic Detail'!BA13</f>
        <v>785.94299999999998</v>
      </c>
      <c r="BB11" s="243">
        <f>'Geographic Detail'!BB13</f>
        <v>926.17499999999995</v>
      </c>
      <c r="BC11" s="243">
        <f>SUM(AY11:BB11)</f>
        <v>3119.7690000000002</v>
      </c>
      <c r="BD11" s="243"/>
      <c r="BE11" s="243">
        <f>'Geographic Detail'!BE13</f>
        <v>678.59799999999996</v>
      </c>
      <c r="BF11" s="243">
        <f>'Geographic Detail'!BF13</f>
        <v>752.56100000000004</v>
      </c>
      <c r="BG11" s="243">
        <f>'Geographic Detail'!BG13</f>
        <v>720.18299999999999</v>
      </c>
      <c r="BH11" s="243">
        <f>'Geographic Detail'!BH13</f>
        <v>898.97400000000005</v>
      </c>
      <c r="BI11" s="243">
        <f>SUM(BE11:BH11)</f>
        <v>3050.3160000000003</v>
      </c>
      <c r="BJ11" s="243"/>
      <c r="BK11" s="243">
        <f>'Geographic Detail'!BK13</f>
        <v>627</v>
      </c>
      <c r="BL11" s="243">
        <f>'Geographic Detail'!BL13</f>
        <v>818</v>
      </c>
      <c r="BM11" s="243">
        <f>'Geographic Detail'!BM13</f>
        <v>786</v>
      </c>
      <c r="BN11" s="243">
        <f>'Geographic Detail'!BN13</f>
        <v>1024</v>
      </c>
      <c r="BO11" s="243">
        <f>SUM(BK11:BN11)</f>
        <v>3255</v>
      </c>
      <c r="BP11" s="243"/>
      <c r="BQ11" s="243">
        <f>'Geographic Detail'!BQ13</f>
        <v>717</v>
      </c>
      <c r="BR11" s="243">
        <f>'Geographic Detail'!BR13</f>
        <v>881</v>
      </c>
      <c r="BS11" s="243">
        <f>'Geographic Detail'!BS13</f>
        <v>918</v>
      </c>
      <c r="BT11" s="243">
        <f>'Geographic Detail'!BT13</f>
        <v>1161</v>
      </c>
      <c r="BU11" s="243">
        <f>SUM(BQ11:BT11)</f>
        <v>3677</v>
      </c>
      <c r="BV11" s="243"/>
      <c r="BW11" s="243">
        <f>'Geographic Detail'!BW13</f>
        <v>778</v>
      </c>
      <c r="BX11" s="243">
        <f>'Geographic Detail'!BX13</f>
        <v>1062</v>
      </c>
      <c r="BY11" s="243">
        <f>'Geographic Detail'!BY13</f>
        <v>1139.48</v>
      </c>
      <c r="BZ11" s="243">
        <f>'Geographic Detail'!BZ13</f>
        <v>1424.72288</v>
      </c>
      <c r="CA11" s="243">
        <f>SUM(BW11:BZ11)</f>
        <v>4404.2028799999998</v>
      </c>
      <c r="CB11" s="243"/>
      <c r="CC11" s="243">
        <f>'Geographic Detail'!CC13</f>
        <v>917.75</v>
      </c>
      <c r="CD11" s="243">
        <f>'Geographic Detail'!CD13</f>
        <v>1115.5</v>
      </c>
      <c r="CE11" s="243">
        <f>'Geographic Detail'!CE13</f>
        <v>1186.75</v>
      </c>
      <c r="CF11" s="243">
        <f>'Geographic Detail'!CF13</f>
        <v>1602.1</v>
      </c>
      <c r="CG11" s="143">
        <f>SUM(CC11:CF11)</f>
        <v>4822.1000000000004</v>
      </c>
      <c r="CH11" s="243"/>
      <c r="CI11" s="243">
        <f>'Geographic Detail'!CI13</f>
        <v>1164.5</v>
      </c>
      <c r="CJ11" s="243">
        <f>'Geographic Detail'!CJ13</f>
        <v>1440.55</v>
      </c>
      <c r="CK11" s="243">
        <f>'Geographic Detail'!CK13</f>
        <v>1496.25</v>
      </c>
      <c r="CL11" s="243">
        <f>'Geographic Detail'!CL13</f>
        <v>2011.25</v>
      </c>
      <c r="CM11" s="143">
        <f>SUM(CI11:CL11)</f>
        <v>6112.55</v>
      </c>
      <c r="CN11" s="243"/>
      <c r="CO11" s="243">
        <f>'Geographic Detail'!CO13</f>
        <v>1552.4</v>
      </c>
      <c r="CP11" s="243">
        <f>'Geographic Detail'!CP13</f>
        <v>1882.85</v>
      </c>
      <c r="CQ11" s="243">
        <f>'Geographic Detail'!CQ13</f>
        <v>1878.7</v>
      </c>
      <c r="CR11" s="243">
        <f>'Geographic Detail'!CR13</f>
        <v>2693.7</v>
      </c>
      <c r="CS11" s="143">
        <f>SUM(CO11:CR11)</f>
        <v>8007.65</v>
      </c>
      <c r="CT11" s="243"/>
      <c r="CU11" s="243">
        <f>'Geographic Detail'!CU13</f>
        <v>1861.85</v>
      </c>
      <c r="CV11" s="243">
        <f>'Geographic Detail'!CV13</f>
        <v>1909</v>
      </c>
      <c r="CW11" s="243">
        <f>'Geographic Detail'!CW13</f>
        <v>1824</v>
      </c>
      <c r="CX11" s="243">
        <f>'Geographic Detail'!CX13</f>
        <v>2413</v>
      </c>
      <c r="CY11" s="143">
        <f>SUM(CU11:CX11)</f>
        <v>8007.85</v>
      </c>
      <c r="CZ11" s="243"/>
      <c r="DA11" s="243">
        <f>'Geographic Detail'!DA13</f>
        <v>1642</v>
      </c>
      <c r="DB11" s="243">
        <f>'Geographic Detail'!DB13</f>
        <v>1976</v>
      </c>
      <c r="DC11" s="243">
        <f>'Geographic Detail'!DC13</f>
        <v>2167</v>
      </c>
      <c r="DD11" s="243">
        <f>'Geographic Detail'!DD13</f>
        <v>3153</v>
      </c>
      <c r="DE11" s="143">
        <f>SUM(DA11:DD11)</f>
        <v>8938</v>
      </c>
      <c r="DF11" s="243"/>
      <c r="DG11" s="243">
        <f>'Geographic Detail'!DG13</f>
        <v>2408.294854705412</v>
      </c>
      <c r="DH11" s="243">
        <f>'Geographic Detail'!DH13</f>
        <v>2738</v>
      </c>
      <c r="DI11" s="243">
        <f>'Geographic Detail'!DI13</f>
        <v>2815</v>
      </c>
      <c r="DJ11" s="243">
        <f>'Geographic Detail'!DJ13</f>
        <v>3564</v>
      </c>
      <c r="DK11" s="143">
        <f>SUM(DG11:DJ11)</f>
        <v>11525.294854705411</v>
      </c>
      <c r="DL11" s="243"/>
      <c r="DM11" s="243">
        <f>'Geographic Detail'!DM13</f>
        <v>2704</v>
      </c>
      <c r="DN11" s="243">
        <f>'Geographic Detail'!DN13</f>
        <v>2756</v>
      </c>
      <c r="DO11" s="243">
        <f>'Geographic Detail'!DO13</f>
        <v>2787</v>
      </c>
      <c r="DP11" s="243">
        <f>'Geographic Detail'!DP13</f>
        <v>3314</v>
      </c>
      <c r="DQ11" s="143">
        <f>SUM(DM11:DP11)</f>
        <v>11561</v>
      </c>
      <c r="DR11" s="243"/>
      <c r="DS11" s="243">
        <f>'Geographic Detail'!DS13</f>
        <v>2383</v>
      </c>
      <c r="DT11" s="243">
        <f>'Geographic Detail'!DT13</f>
        <v>2701</v>
      </c>
      <c r="DU11" s="243">
        <f>'Geographic Detail'!DU13</f>
        <v>2745</v>
      </c>
      <c r="DV11" s="243">
        <f>'Geographic Detail'!DV13</f>
        <v>3328</v>
      </c>
      <c r="DW11" s="143">
        <f>SUM(DS11:DV11)</f>
        <v>11157</v>
      </c>
      <c r="DX11" s="243"/>
      <c r="DY11" s="243">
        <f>'Geographic Detail'!DY13</f>
        <v>2439</v>
      </c>
      <c r="DZ11" s="243">
        <f>'Geographic Detail'!DZ13</f>
        <v>2817</v>
      </c>
      <c r="EA11" s="243">
        <f>'Geographic Detail'!EA13</f>
        <v>2923</v>
      </c>
      <c r="EB11" s="243">
        <f>'Geographic Detail'!EB13</f>
        <v>3768</v>
      </c>
      <c r="EC11" s="143">
        <f>SUM(DY11:EB11)</f>
        <v>11947</v>
      </c>
      <c r="ED11" s="243"/>
      <c r="EE11" s="243">
        <f>'Geographic Detail'!EE13</f>
        <v>2589</v>
      </c>
      <c r="EF11" s="243">
        <f>'Geographic Detail'!EF13</f>
        <v>2911</v>
      </c>
      <c r="EG11" s="243">
        <f>'Geographic Detail'!EG13</f>
        <v>2813</v>
      </c>
      <c r="EH11" s="243">
        <f>'Geographic Detail'!EH13</f>
        <v>3067</v>
      </c>
      <c r="EI11" s="143">
        <f>SUM(EE11:EH11)</f>
        <v>11380</v>
      </c>
      <c r="EJ11" s="243"/>
      <c r="EK11" s="243">
        <f>'Geographic Detail'!EK13</f>
        <v>2456</v>
      </c>
      <c r="EL11" s="243">
        <f>'Geographic Detail'!EL13</f>
        <v>2645</v>
      </c>
      <c r="EM11" s="243">
        <f>'Geographic Detail'!EM13</f>
        <v>2661</v>
      </c>
      <c r="EN11" s="243">
        <v>3120</v>
      </c>
      <c r="EO11" s="143">
        <f>SUM(EK11:EN11)</f>
        <v>10882</v>
      </c>
      <c r="EP11" s="243"/>
      <c r="EQ11" s="243">
        <f>'Geographic Detail'!EQ13</f>
        <v>2413</v>
      </c>
      <c r="ER11" s="243">
        <f>'Geographic Detail'!ER13</f>
        <v>2558</v>
      </c>
      <c r="ES11" s="243">
        <f>'Geographic Detail'!ES13</f>
        <v>2558</v>
      </c>
      <c r="ET11" s="243">
        <f>'Geographic Detail'!ET13</f>
        <v>3108.9598919783953</v>
      </c>
      <c r="EU11" s="143">
        <f>SUM(EQ11:ET11)</f>
        <v>10637.959891978395</v>
      </c>
      <c r="EV11" s="243"/>
      <c r="EW11" s="243">
        <f>'Geographic Detail'!EW13</f>
        <v>2533.3829710580039</v>
      </c>
      <c r="EX11" s="243"/>
      <c r="EY11" s="243"/>
      <c r="EZ11" s="243"/>
      <c r="FA11" s="143"/>
      <c r="FB11" s="243"/>
      <c r="FC11" s="243"/>
      <c r="FD11" s="243"/>
      <c r="FE11" s="243"/>
      <c r="FF11" s="243"/>
      <c r="FG11" s="143"/>
      <c r="FH11" s="243"/>
      <c r="FI11" s="243"/>
      <c r="FJ11" s="243"/>
      <c r="FK11" s="243"/>
      <c r="FL11" s="243"/>
      <c r="FM11" s="143"/>
      <c r="FN11" s="226"/>
      <c r="FO11" s="227"/>
      <c r="FS11" s="227"/>
      <c r="GI11"/>
      <c r="GJ11"/>
      <c r="GK11"/>
      <c r="GL11"/>
      <c r="GM11"/>
      <c r="GN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</row>
    <row r="12" spans="1:281" s="33" customFormat="1" hidden="1" outlineLevel="1" x14ac:dyDescent="0.2">
      <c r="A12" s="225" t="s">
        <v>703</v>
      </c>
      <c r="B12" s="359" t="s">
        <v>562</v>
      </c>
      <c r="C12" s="243" t="str">
        <f>'Geographic Detail'!C14</f>
        <v>-</v>
      </c>
      <c r="D12" s="243" t="str">
        <f>'Geographic Detail'!D14</f>
        <v>-</v>
      </c>
      <c r="E12" s="243" t="str">
        <f>'Geographic Detail'!E14</f>
        <v>-</v>
      </c>
      <c r="F12" s="243" t="str">
        <f>'Geographic Detail'!F14</f>
        <v>-</v>
      </c>
      <c r="G12" s="243" t="str">
        <f>'Geographic Detail'!G14</f>
        <v>-</v>
      </c>
      <c r="H12" s="243">
        <f>'Geographic Detail'!H14</f>
        <v>89.204999999999927</v>
      </c>
      <c r="I12" s="243">
        <f>'Geographic Detail'!I14</f>
        <v>119.56</v>
      </c>
      <c r="J12" s="243">
        <f>'Geographic Detail'!J14</f>
        <v>127.46400000000011</v>
      </c>
      <c r="K12" s="243">
        <f>'Geographic Detail'!K14</f>
        <v>181.3069999999999</v>
      </c>
      <c r="L12" s="243">
        <f>'Geographic Detail'!L14</f>
        <v>262.95100000000002</v>
      </c>
      <c r="M12" s="243">
        <f>'Geographic Detail'!M14</f>
        <v>225.34199999999987</v>
      </c>
      <c r="N12" s="866"/>
      <c r="O12" s="243">
        <f>'Geographic Detail'!O14</f>
        <v>68.737000000000052</v>
      </c>
      <c r="P12" s="243">
        <f>'Geographic Detail'!P14</f>
        <v>86.532999999999959</v>
      </c>
      <c r="Q12" s="243">
        <f>'Geographic Detail'!Q14</f>
        <v>98.096000000000004</v>
      </c>
      <c r="R12" s="243">
        <f>'Geographic Detail'!R14</f>
        <v>131.94499999999994</v>
      </c>
      <c r="S12" s="243">
        <f>SUM(O12:R12)</f>
        <v>385.31099999999992</v>
      </c>
      <c r="T12" s="243"/>
      <c r="U12" s="243">
        <f>'Geographic Detail'!U14</f>
        <v>115.83299999999997</v>
      </c>
      <c r="V12" s="243">
        <f>'Geographic Detail'!V14</f>
        <v>145.83538999999996</v>
      </c>
      <c r="W12" s="243">
        <f>'Geographic Detail'!W14</f>
        <v>151.46899999999999</v>
      </c>
      <c r="X12" s="243">
        <f>'Geographic Detail'!X14</f>
        <v>193.75099999999986</v>
      </c>
      <c r="Y12" s="243">
        <f>SUM(U12:X12)</f>
        <v>606.88838999999984</v>
      </c>
      <c r="Z12" s="243"/>
      <c r="AA12" s="243">
        <f>'Geographic Detail'!AA14</f>
        <v>160.13099999999997</v>
      </c>
      <c r="AB12" s="243">
        <f>'Geographic Detail'!AB14</f>
        <v>207.97800000000001</v>
      </c>
      <c r="AC12" s="243">
        <f>'Geographic Detail'!AC14</f>
        <v>200.23399999999981</v>
      </c>
      <c r="AD12" s="243">
        <f>'Geographic Detail'!AD14</f>
        <v>241.26100000000008</v>
      </c>
      <c r="AE12" s="243">
        <f>SUM(AA12:AD12)</f>
        <v>809.60399999999993</v>
      </c>
      <c r="AF12" s="243"/>
      <c r="AG12" s="243">
        <f>'Geographic Detail'!AG14</f>
        <v>211.32899999999995</v>
      </c>
      <c r="AH12" s="243">
        <f>'Geographic Detail'!AH14</f>
        <v>210.86599999999976</v>
      </c>
      <c r="AI12" s="243">
        <f>'Geographic Detail'!AI14</f>
        <v>176.49900000000002</v>
      </c>
      <c r="AJ12" s="243">
        <f>'Geographic Detail'!AJ14</f>
        <v>199.29999999999984</v>
      </c>
      <c r="AK12" s="243">
        <f>SUM(AG12:AJ12)</f>
        <v>797.99399999999957</v>
      </c>
      <c r="AL12" s="243"/>
      <c r="AM12" s="243">
        <f>'Geographic Detail'!AM14</f>
        <v>181.2109999999999</v>
      </c>
      <c r="AN12" s="243">
        <f>'Geographic Detail'!AN14</f>
        <v>224.86500000000046</v>
      </c>
      <c r="AO12" s="243">
        <f>'Geographic Detail'!AO14</f>
        <v>220.09000000000015</v>
      </c>
      <c r="AP12" s="243">
        <f>'Geographic Detail'!AP14</f>
        <v>292.68199999999979</v>
      </c>
      <c r="AQ12" s="243">
        <f>SUM(AM12:AP12)</f>
        <v>918.8480000000003</v>
      </c>
      <c r="AR12" s="243"/>
      <c r="AS12" s="243">
        <f>'Geographic Detail'!AS14</f>
        <v>242.53200000000004</v>
      </c>
      <c r="AT12" s="243">
        <f>'Geographic Detail'!AT14</f>
        <v>304.29299999999978</v>
      </c>
      <c r="AU12" s="243">
        <f>'Geographic Detail'!AU14</f>
        <v>291.96499999999958</v>
      </c>
      <c r="AV12" s="243">
        <f>'Geographic Detail'!AV14</f>
        <v>394.76000000000045</v>
      </c>
      <c r="AW12" s="243">
        <f>SUM(AS12:AV12)</f>
        <v>1233.5499999999997</v>
      </c>
      <c r="AX12" s="243"/>
      <c r="AY12" s="243">
        <f>'Geographic Detail'!AY14</f>
        <v>328.10900000000026</v>
      </c>
      <c r="AZ12" s="243">
        <f>'Geographic Detail'!AZ14</f>
        <v>388.63699999999983</v>
      </c>
      <c r="BA12" s="243">
        <f>'Geographic Detail'!BA14</f>
        <v>350.49299999999994</v>
      </c>
      <c r="BB12" s="243">
        <f>'Geographic Detail'!BB14</f>
        <v>423.75600000000009</v>
      </c>
      <c r="BC12" s="243">
        <f>SUM(AY12:BB12)</f>
        <v>1490.9950000000001</v>
      </c>
      <c r="BD12" s="243"/>
      <c r="BE12" s="243">
        <f>'Geographic Detail'!BE14</f>
        <v>340.48099999999977</v>
      </c>
      <c r="BF12" s="243">
        <f>'Geographic Detail'!BF14</f>
        <v>346.18399999999986</v>
      </c>
      <c r="BG12" s="243">
        <f>'Geographic Detail'!BG14</f>
        <v>273.95999999999981</v>
      </c>
      <c r="BH12" s="243">
        <f>'Geographic Detail'!BH14</f>
        <v>369.0060000000002</v>
      </c>
      <c r="BI12" s="243">
        <f>SUM(BE12:BH12)</f>
        <v>1329.6309999999996</v>
      </c>
      <c r="BJ12" s="243"/>
      <c r="BK12" s="243">
        <f>'Geographic Detail'!BK14</f>
        <v>295</v>
      </c>
      <c r="BL12" s="243">
        <f>'Geographic Detail'!BL14</f>
        <v>334</v>
      </c>
      <c r="BM12" s="243">
        <f>'Geographic Detail'!BM14</f>
        <v>331</v>
      </c>
      <c r="BN12" s="243">
        <f>'Geographic Detail'!BN14</f>
        <v>416.40000000000009</v>
      </c>
      <c r="BO12" s="243">
        <f>SUM(BK12:BN12)</f>
        <v>1376.4</v>
      </c>
      <c r="BP12" s="243"/>
      <c r="BQ12" s="243">
        <f>'Geographic Detail'!BQ14</f>
        <v>313</v>
      </c>
      <c r="BR12" s="243">
        <f>'Geographic Detail'!BR14</f>
        <v>367</v>
      </c>
      <c r="BS12" s="243">
        <f>'Geographic Detail'!BS14</f>
        <v>375</v>
      </c>
      <c r="BT12" s="243">
        <f>'Geographic Detail'!BT14</f>
        <v>441</v>
      </c>
      <c r="BU12" s="243">
        <f>SUM(BQ12:BT12)</f>
        <v>1496</v>
      </c>
      <c r="BV12" s="243"/>
      <c r="BW12" s="243">
        <f>'Geographic Detail'!BW14</f>
        <v>346</v>
      </c>
      <c r="BX12" s="243">
        <f>'Geographic Detail'!BX14</f>
        <v>402</v>
      </c>
      <c r="BY12" s="243">
        <f>'Geographic Detail'!BY14</f>
        <v>430.72</v>
      </c>
      <c r="BZ12" s="243">
        <f>'Geographic Detail'!BZ14</f>
        <v>547.07231999999999</v>
      </c>
      <c r="CA12" s="243">
        <f>SUM(BW12:BZ12)</f>
        <v>1725.79232</v>
      </c>
      <c r="CB12" s="243"/>
      <c r="CC12" s="243">
        <f>'Geographic Detail'!CC14</f>
        <v>429.84999999999991</v>
      </c>
      <c r="CD12" s="243">
        <f>'Geographic Detail'!CD14</f>
        <v>484.29999999999995</v>
      </c>
      <c r="CE12" s="243">
        <f>'Geographic Detail'!CE14</f>
        <v>467.15000000000009</v>
      </c>
      <c r="CF12" s="243">
        <f>'Geographic Detail'!CF14</f>
        <v>696.90000000000009</v>
      </c>
      <c r="CG12" s="143">
        <f>SUM(CC12:CF12)</f>
        <v>2078.1999999999998</v>
      </c>
      <c r="CH12" s="243"/>
      <c r="CI12" s="243">
        <f>'Geographic Detail'!CI14</f>
        <v>505.5</v>
      </c>
      <c r="CJ12" s="243">
        <f>'Geographic Detail'!CJ14</f>
        <v>578.95000000000005</v>
      </c>
      <c r="CK12" s="243">
        <f>'Geographic Detail'!CK14</f>
        <v>620.25</v>
      </c>
      <c r="CL12" s="243">
        <f>'Geographic Detail'!CL14</f>
        <v>826.25</v>
      </c>
      <c r="CM12" s="143">
        <f>SUM(CI12:CL12)</f>
        <v>2530.9499999999998</v>
      </c>
      <c r="CN12" s="243"/>
      <c r="CO12" s="243">
        <f>'Geographic Detail'!CO14</f>
        <v>633.59999999999991</v>
      </c>
      <c r="CP12" s="243">
        <f>'Geographic Detail'!CP14</f>
        <v>781.65000000000009</v>
      </c>
      <c r="CQ12" s="243">
        <f>'Geographic Detail'!CQ14</f>
        <v>774.3</v>
      </c>
      <c r="CR12" s="243">
        <f>'Geographic Detail'!CR14</f>
        <v>992.30000000000018</v>
      </c>
      <c r="CS12" s="143">
        <f>SUM(CO12:CR12)</f>
        <v>3181.8500000000004</v>
      </c>
      <c r="CT12" s="243"/>
      <c r="CU12" s="243">
        <f>'Geographic Detail'!CU14</f>
        <v>827.65000000000009</v>
      </c>
      <c r="CV12" s="243">
        <f>'Geographic Detail'!CV14</f>
        <v>834</v>
      </c>
      <c r="CW12" s="243">
        <f>'Geographic Detail'!CW14</f>
        <v>783</v>
      </c>
      <c r="CX12" s="243">
        <f>'Geographic Detail'!CX14</f>
        <v>985</v>
      </c>
      <c r="CY12" s="143">
        <f>SUM(CU12:CX12)</f>
        <v>3429.65</v>
      </c>
      <c r="CZ12" s="243"/>
      <c r="DA12" s="243">
        <f>'Geographic Detail'!DA14</f>
        <v>750</v>
      </c>
      <c r="DB12" s="243">
        <f>'Geographic Detail'!DB14</f>
        <v>903</v>
      </c>
      <c r="DC12" s="243">
        <f>'Geographic Detail'!DC14</f>
        <v>953</v>
      </c>
      <c r="DD12" s="243">
        <f>'Geographic Detail'!DD14</f>
        <v>1466</v>
      </c>
      <c r="DE12" s="143">
        <f>SUM(DA12:DD12)</f>
        <v>4072</v>
      </c>
      <c r="DF12" s="243"/>
      <c r="DG12" s="243">
        <f>'Geographic Detail'!DG14</f>
        <v>1230.951213009864</v>
      </c>
      <c r="DH12" s="243">
        <f>'Geographic Detail'!DH14</f>
        <v>1392</v>
      </c>
      <c r="DI12" s="243">
        <f>'Geographic Detail'!DI14</f>
        <v>1440</v>
      </c>
      <c r="DJ12" s="243">
        <f>'Geographic Detail'!DJ14</f>
        <v>1724</v>
      </c>
      <c r="DK12" s="143">
        <f>SUM(DG12:DJ12)</f>
        <v>5786.9512130098637</v>
      </c>
      <c r="DL12" s="243"/>
      <c r="DM12" s="243">
        <f>'Geographic Detail'!DM14</f>
        <v>1444</v>
      </c>
      <c r="DN12" s="243">
        <f>'Geographic Detail'!DN14</f>
        <v>1504</v>
      </c>
      <c r="DO12" s="243">
        <f>'Geographic Detail'!DO14</f>
        <v>1545</v>
      </c>
      <c r="DP12" s="243">
        <f>'Geographic Detail'!DP14</f>
        <v>1831</v>
      </c>
      <c r="DQ12" s="143">
        <f>SUM(DM12:DP12)</f>
        <v>6324</v>
      </c>
      <c r="DR12" s="243"/>
      <c r="DS12" s="243">
        <f>'Geographic Detail'!DS14</f>
        <v>1474</v>
      </c>
      <c r="DT12" s="243">
        <f>'Geographic Detail'!DT14</f>
        <v>1606</v>
      </c>
      <c r="DU12" s="243">
        <f>'Geographic Detail'!DU14</f>
        <v>1515</v>
      </c>
      <c r="DV12" s="243">
        <f>'Geographic Detail'!DV14</f>
        <v>1708</v>
      </c>
      <c r="DW12" s="143">
        <f>SUM(DS12:DV12)</f>
        <v>6303</v>
      </c>
      <c r="DX12" s="243"/>
      <c r="DY12" s="243">
        <f>'Geographic Detail'!DY14</f>
        <v>1416</v>
      </c>
      <c r="DZ12" s="243">
        <f>'Geographic Detail'!DZ14</f>
        <v>1463</v>
      </c>
      <c r="EA12" s="243">
        <f>'Geographic Detail'!EA14</f>
        <v>1431</v>
      </c>
      <c r="EB12" s="243">
        <f>'Geographic Detail'!EB14</f>
        <v>1695</v>
      </c>
      <c r="EC12" s="143">
        <f>SUM(DY12:EB12)</f>
        <v>6005</v>
      </c>
      <c r="ED12" s="243"/>
      <c r="EE12" s="243">
        <f>'Geographic Detail'!EE14</f>
        <v>1387</v>
      </c>
      <c r="EF12" s="243">
        <f>'Geographic Detail'!EF14</f>
        <v>1466</v>
      </c>
      <c r="EG12" s="243">
        <f>'Geographic Detail'!EG14</f>
        <v>1380</v>
      </c>
      <c r="EH12" s="243">
        <f>'Geographic Detail'!EH14</f>
        <v>1506</v>
      </c>
      <c r="EI12" s="143">
        <f>SUM(EE12:EH12)</f>
        <v>5739</v>
      </c>
      <c r="EJ12" s="243"/>
      <c r="EK12" s="243">
        <f>'Geographic Detail'!EK14</f>
        <v>1276</v>
      </c>
      <c r="EL12" s="243">
        <f>'Geographic Detail'!EL14</f>
        <v>1388</v>
      </c>
      <c r="EM12" s="243">
        <f>'Geographic Detail'!EM14</f>
        <v>1409</v>
      </c>
      <c r="EN12" s="243">
        <v>1627</v>
      </c>
      <c r="EO12" s="143">
        <f>SUM(EK12:EN12)</f>
        <v>5700</v>
      </c>
      <c r="EP12" s="243"/>
      <c r="EQ12" s="243">
        <f>'Geographic Detail'!EQ14</f>
        <v>1365</v>
      </c>
      <c r="ER12" s="243">
        <f>'Geographic Detail'!ER14</f>
        <v>1542</v>
      </c>
      <c r="ES12" s="243">
        <f>'Geographic Detail'!ES14</f>
        <v>1428</v>
      </c>
      <c r="ET12" s="243">
        <f>'Geographic Detail'!ET14</f>
        <v>1684.1567313462692</v>
      </c>
      <c r="EU12" s="143">
        <f>SUM(EQ12:ET12)</f>
        <v>6019.1567313462692</v>
      </c>
      <c r="EV12" s="243"/>
      <c r="EW12" s="243">
        <f>'Geographic Detail'!EW14</f>
        <v>1433.7398823105559</v>
      </c>
      <c r="EX12" s="243"/>
      <c r="EY12" s="243"/>
      <c r="EZ12" s="243"/>
      <c r="FA12" s="143"/>
      <c r="FB12" s="243"/>
      <c r="FC12" s="243"/>
      <c r="FD12" s="1905"/>
      <c r="FE12" s="243"/>
      <c r="FF12" s="243"/>
      <c r="FG12" s="143"/>
      <c r="FH12" s="243"/>
      <c r="FI12" s="243"/>
      <c r="FJ12" s="243"/>
      <c r="FK12" s="243"/>
      <c r="FL12" s="243"/>
      <c r="FM12" s="143"/>
      <c r="FN12" s="226"/>
      <c r="FO12" s="227"/>
      <c r="FS12" s="227"/>
      <c r="GI12"/>
      <c r="GJ12"/>
      <c r="GK12"/>
      <c r="GL12"/>
      <c r="GM12"/>
      <c r="GN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</row>
    <row r="13" spans="1:281" s="33" customFormat="1" ht="6.75" customHeight="1" collapsed="1" x14ac:dyDescent="0.2">
      <c r="A13" s="41"/>
      <c r="B13" s="949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U13" s="34"/>
      <c r="BV13" s="34"/>
      <c r="CA13" s="34"/>
      <c r="CB13" s="34"/>
      <c r="CG13" s="228"/>
      <c r="CH13" s="34"/>
      <c r="CM13" s="228"/>
      <c r="CN13" s="34"/>
      <c r="CS13" s="228"/>
      <c r="CT13" s="34"/>
      <c r="CY13" s="228"/>
      <c r="CZ13" s="34"/>
      <c r="DE13" s="228"/>
      <c r="DF13" s="34"/>
      <c r="DK13" s="228"/>
      <c r="DL13" s="34"/>
      <c r="DQ13" s="228"/>
      <c r="DR13" s="34"/>
      <c r="DW13" s="228"/>
      <c r="DX13" s="34"/>
      <c r="EC13" s="228"/>
      <c r="ED13" s="34"/>
      <c r="EI13" s="228"/>
      <c r="EJ13" s="34"/>
      <c r="EO13" s="228"/>
      <c r="EP13" s="34"/>
      <c r="EU13" s="228"/>
      <c r="EV13" s="34"/>
      <c r="FA13" s="228"/>
      <c r="FB13" s="34"/>
      <c r="FG13" s="228"/>
      <c r="FH13" s="34"/>
      <c r="FM13" s="228"/>
      <c r="FN13" s="226"/>
      <c r="FO13" s="229"/>
      <c r="FP13" s="230"/>
      <c r="FQ13" s="230"/>
      <c r="FR13" s="230"/>
      <c r="FS13" s="229"/>
      <c r="FT13" s="230"/>
      <c r="FU13" s="230"/>
      <c r="FV13" s="230"/>
      <c r="FW13" s="230"/>
      <c r="FX13" s="230"/>
      <c r="FY13" s="230"/>
      <c r="FZ13" s="230"/>
      <c r="GA13" s="230"/>
      <c r="GB13" s="230"/>
      <c r="GI13"/>
      <c r="GJ13"/>
      <c r="GK13"/>
      <c r="GL13"/>
      <c r="GM13"/>
      <c r="GN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</row>
    <row r="14" spans="1:281" s="33" customFormat="1" ht="10.5" customHeight="1" x14ac:dyDescent="0.2">
      <c r="A14" s="1147" t="s">
        <v>1270</v>
      </c>
      <c r="B14" s="953" t="s">
        <v>463</v>
      </c>
      <c r="C14" s="1148">
        <v>12.715</v>
      </c>
      <c r="D14" s="1148">
        <v>23.150999999999996</v>
      </c>
      <c r="E14" s="1148">
        <v>55.344999999999999</v>
      </c>
      <c r="F14" s="1148">
        <v>131.249</v>
      </c>
      <c r="G14" s="1148">
        <v>205.435</v>
      </c>
      <c r="H14" s="1148">
        <v>417.93</v>
      </c>
      <c r="I14" s="895">
        <v>664.56399999999996</v>
      </c>
      <c r="J14" s="1148">
        <v>645.48500000000001</v>
      </c>
      <c r="K14" s="1149">
        <f>SUM(K39,K42)</f>
        <v>657</v>
      </c>
      <c r="L14" s="1149">
        <f>SUM(L39,L42)</f>
        <v>806</v>
      </c>
      <c r="M14" s="1149">
        <f>SUM(M39,M42)</f>
        <v>1099</v>
      </c>
      <c r="N14" s="1148"/>
      <c r="O14" s="1149">
        <f>SUM(O39,O42)</f>
        <v>280</v>
      </c>
      <c r="P14" s="1149">
        <f>SUM(P39,P42)</f>
        <v>343</v>
      </c>
      <c r="Q14" s="1149">
        <f>SUM(Q39,Q42)</f>
        <v>375</v>
      </c>
      <c r="R14" s="1149">
        <f>SUM(R39,R42)</f>
        <v>608</v>
      </c>
      <c r="S14" s="1148">
        <f>SUM(O14:R14)</f>
        <v>1606</v>
      </c>
      <c r="T14" s="1148"/>
      <c r="U14" s="1149">
        <f>SUM(U39,U42)</f>
        <v>350</v>
      </c>
      <c r="V14" s="1149">
        <f>SUM(V39,V42)</f>
        <v>485.09</v>
      </c>
      <c r="W14" s="1149">
        <f>SUM(W39,W42)</f>
        <v>515</v>
      </c>
      <c r="X14" s="1149">
        <f>SUM(X39,X42)</f>
        <v>883</v>
      </c>
      <c r="Y14" s="1148">
        <f>SUM(U14:X14)</f>
        <v>2233.09</v>
      </c>
      <c r="Z14" s="1148"/>
      <c r="AA14" s="1149">
        <f>SUM(AA39,AA42)</f>
        <v>444.31700000000001</v>
      </c>
      <c r="AB14" s="1149">
        <f>SUM(AB39,AB42)</f>
        <v>606.447</v>
      </c>
      <c r="AC14" s="1149">
        <f>SUM(AC39,AC42)</f>
        <v>664.25699999999995</v>
      </c>
      <c r="AD14" s="1149">
        <f>SUM(AD39,AD42)</f>
        <v>1107.4290000000001</v>
      </c>
      <c r="AE14" s="1148">
        <f>SUM(AA14:AD14)</f>
        <v>2822.4500000000003</v>
      </c>
      <c r="AF14" s="1148"/>
      <c r="AG14" s="1149">
        <f>SUM(AG39,AG42)</f>
        <v>505.37599999999998</v>
      </c>
      <c r="AH14" s="1149">
        <f>SUM(AH39,AH42)</f>
        <v>621.16800000000001</v>
      </c>
      <c r="AI14" s="1149">
        <f>SUM(AI39,AI42)</f>
        <v>753.19299999999998</v>
      </c>
      <c r="AJ14" s="1149">
        <f>SUM(AJ39,AJ42)</f>
        <v>1209.3229999999999</v>
      </c>
      <c r="AK14" s="1148">
        <f>SUM(AG14:AJ14)</f>
        <v>3089.0599999999995</v>
      </c>
      <c r="AL14" s="1148"/>
      <c r="AM14" s="1149">
        <f>SUM(AM39,AM42)</f>
        <v>557.61300000000006</v>
      </c>
      <c r="AN14" s="1149">
        <f>SUM(AN39,AN42)</f>
        <v>745.24700000000007</v>
      </c>
      <c r="AO14" s="1149">
        <f>SUM(AO39,AO42)</f>
        <v>804.60699999999997</v>
      </c>
      <c r="AP14" s="1149">
        <f>SUM(AP39,AP42)</f>
        <v>1483.4009999999998</v>
      </c>
      <c r="AQ14" s="1148">
        <f>SUM(AM14:AP14)</f>
        <v>3590.8679999999999</v>
      </c>
      <c r="AR14" s="1148"/>
      <c r="AS14" s="1149">
        <f>SUM(AS39,AS42)</f>
        <v>602.64599999999996</v>
      </c>
      <c r="AT14" s="1149">
        <f>SUM(AT39,AT42)</f>
        <v>877.17099999999994</v>
      </c>
      <c r="AU14" s="1149">
        <f>SUM(AU39,AU42)</f>
        <v>1043.2059999999999</v>
      </c>
      <c r="AV14" s="1149">
        <f>SUM(AV39,AV42)</f>
        <v>1792.0060000000001</v>
      </c>
      <c r="AW14" s="1148">
        <f>SUM(AS14:AV14)</f>
        <v>4315.0290000000005</v>
      </c>
      <c r="AX14" s="1148"/>
      <c r="AY14" s="1149">
        <f>SUM(AY39,AY42)</f>
        <v>771.24500000000012</v>
      </c>
      <c r="AZ14" s="1149">
        <f>SUM(AZ39,AZ42)</f>
        <v>1093.193</v>
      </c>
      <c r="BA14" s="1149">
        <f>SUM(BA39,BA42)</f>
        <v>1100.9650000000001</v>
      </c>
      <c r="BB14" s="1149">
        <f>SUM(BB39,BB42)</f>
        <v>1618.48</v>
      </c>
      <c r="BC14" s="1148">
        <f>SUM(AY14:BB14)</f>
        <v>4583.8829999999998</v>
      </c>
      <c r="BD14" s="1148"/>
      <c r="BE14" s="1149">
        <f>SUM(BE39,BE42)</f>
        <v>711.10800000000006</v>
      </c>
      <c r="BF14" s="1149">
        <f>SUM(BF39,BF42)</f>
        <v>803.39100000000008</v>
      </c>
      <c r="BG14" s="1149">
        <f>SUM(BG39,BG42)</f>
        <v>776.95299999999997</v>
      </c>
      <c r="BH14" s="1149">
        <f>SUM(BH39,BH42)</f>
        <v>1149.9780000000001</v>
      </c>
      <c r="BI14" s="1148">
        <f>SUM(BE14:BH14)</f>
        <v>3441.4300000000003</v>
      </c>
      <c r="BJ14" s="1148"/>
      <c r="BK14" s="1149">
        <f>SUM(BK39,BK42)</f>
        <v>563</v>
      </c>
      <c r="BL14" s="1149">
        <f>SUM(BL39,BL42)</f>
        <v>765</v>
      </c>
      <c r="BM14" s="1149">
        <f>SUM(BM39,BM42)</f>
        <v>755</v>
      </c>
      <c r="BN14" s="1149">
        <f>SUM(BN39,BN42)</f>
        <v>1187</v>
      </c>
      <c r="BO14" s="1148">
        <f>SUM(BK14:BN14)</f>
        <v>3270</v>
      </c>
      <c r="BP14" s="1148"/>
      <c r="BQ14" s="1149">
        <f>SUM(BQ39,BQ42)</f>
        <v>525</v>
      </c>
      <c r="BR14" s="1149">
        <f>SUM(BR39,BR42)</f>
        <v>855</v>
      </c>
      <c r="BS14" s="1149">
        <f>SUM(BS39,BS42)</f>
        <v>847</v>
      </c>
      <c r="BT14" s="1149">
        <f>SUM(BT39,BT42)</f>
        <v>1314</v>
      </c>
      <c r="BU14" s="1149">
        <f>SUM(BQ14:BT14)</f>
        <v>3541</v>
      </c>
      <c r="BV14" s="1148"/>
      <c r="BW14" s="1149">
        <f>SUM(BW39,BW42)</f>
        <v>563</v>
      </c>
      <c r="BX14" s="1149">
        <f>SUM(BX39,BX42)</f>
        <v>971</v>
      </c>
      <c r="BY14" s="1149">
        <f>SUM(BY39,BY42)</f>
        <v>947</v>
      </c>
      <c r="BZ14" s="1149">
        <f>SUM(BZ39,BZ42)</f>
        <v>1609</v>
      </c>
      <c r="CA14" s="1149">
        <f>SUM(BW14:BZ14)</f>
        <v>4090</v>
      </c>
      <c r="CB14" s="1324"/>
      <c r="CC14" s="1149">
        <f>SUM(CC39,CC42)</f>
        <v>629</v>
      </c>
      <c r="CD14" s="1149">
        <f>SUM(CD39,CD42)</f>
        <v>1058</v>
      </c>
      <c r="CE14" s="1149">
        <f>SUM(CE39,CE42)</f>
        <v>1096.4000000000001</v>
      </c>
      <c r="CF14" s="1149">
        <f>SUM(CF39,CF42)</f>
        <v>2121</v>
      </c>
      <c r="CG14" s="1151">
        <f>SUM(CC14:CF14)</f>
        <v>4904.3999999999996</v>
      </c>
      <c r="CH14" s="1148"/>
      <c r="CI14" s="1149">
        <f>SUM(CI39,CI42)</f>
        <v>804</v>
      </c>
      <c r="CJ14" s="1149">
        <f>SUM(CJ39,CJ42)</f>
        <v>1207</v>
      </c>
      <c r="CK14" s="1149">
        <f>SUM(CK39,CK42)</f>
        <v>1390</v>
      </c>
      <c r="CL14" s="1149">
        <f>SUM(CL39,CL42)</f>
        <v>2481</v>
      </c>
      <c r="CM14" s="1151">
        <f>SUM(CI14:CL14)</f>
        <v>5882</v>
      </c>
      <c r="CN14" s="1148"/>
      <c r="CO14" s="1149">
        <f>SUM(CO39,CO42)</f>
        <v>1087</v>
      </c>
      <c r="CP14" s="1149">
        <f>SUM(CP39,CP42)</f>
        <v>1668</v>
      </c>
      <c r="CQ14" s="1149">
        <f>SUM(CQ39,CQ42)</f>
        <v>1616</v>
      </c>
      <c r="CR14" s="1149">
        <f>SUM(CR39,CR42)</f>
        <v>3144</v>
      </c>
      <c r="CS14" s="1151">
        <f>SUM(CO14:CR14)</f>
        <v>7515</v>
      </c>
      <c r="CT14" s="1148"/>
      <c r="CU14" s="1149">
        <f>SUM(CU39,CU42)</f>
        <v>1235</v>
      </c>
      <c r="CV14" s="1149">
        <f>SUM(CV39,CV42)</f>
        <v>1626</v>
      </c>
      <c r="CW14" s="1149">
        <f>SUM(CW39,CW42)</f>
        <v>1516</v>
      </c>
      <c r="CX14" s="1149">
        <f>SUM(CX39,CX42)</f>
        <v>2744</v>
      </c>
      <c r="CY14" s="1151">
        <f>SUM(CU14:CX14)</f>
        <v>7121</v>
      </c>
      <c r="CZ14" s="1148"/>
      <c r="DA14" s="1149">
        <f>SUM(DA39,DA42)</f>
        <v>1028</v>
      </c>
      <c r="DB14" s="1149">
        <f>SUM(DB39,DB42)</f>
        <v>1653</v>
      </c>
      <c r="DC14" s="1149">
        <f>SUM(DC39,DC42)</f>
        <v>1718.4</v>
      </c>
      <c r="DD14" s="1149">
        <f>SUM(DD39,DD42)</f>
        <v>3135</v>
      </c>
      <c r="DE14" s="1151">
        <f>SUM(DA14:DD14)</f>
        <v>7534.4</v>
      </c>
      <c r="DF14" s="1148"/>
      <c r="DG14" s="1149">
        <f>SUM(DG39,DG42)</f>
        <v>1286</v>
      </c>
      <c r="DH14" s="1149">
        <f>SUM(DH39,DH42)</f>
        <v>1999</v>
      </c>
      <c r="DI14" s="1149">
        <f>SUM(DI39,DI42)</f>
        <v>2214</v>
      </c>
      <c r="DJ14" s="1149">
        <f>SUM(DJ39,DJ42)</f>
        <v>3736</v>
      </c>
      <c r="DK14" s="1151">
        <f>SUM(DG14:DJ14)</f>
        <v>9235</v>
      </c>
      <c r="DL14" s="1148"/>
      <c r="DM14" s="1149">
        <f>SUM(DM39,DM42)</f>
        <v>1498</v>
      </c>
      <c r="DN14" s="1149">
        <f>SUM(DN39,DN42)</f>
        <v>2048</v>
      </c>
      <c r="DO14" s="1149">
        <v>2374</v>
      </c>
      <c r="DP14" s="1149">
        <v>4007</v>
      </c>
      <c r="DQ14" s="1864">
        <f>SUM(DM14:DP14)</f>
        <v>9927</v>
      </c>
      <c r="DR14" s="1865"/>
      <c r="DS14" s="1149">
        <f>SUM(DS17,DS35,DS29)</f>
        <v>1712</v>
      </c>
      <c r="DT14" s="1149">
        <f>SUM(DT17,DT35,DT29)</f>
        <v>2515</v>
      </c>
      <c r="DU14" s="1149">
        <f>SUM(DU17,DU35,DU29)</f>
        <v>2448</v>
      </c>
      <c r="DV14" s="1149">
        <f>SUM(DV17,DV35,DV29)</f>
        <v>4147</v>
      </c>
      <c r="DW14" s="1151">
        <f>SUM(DS14:DV14)</f>
        <v>10822</v>
      </c>
      <c r="DX14" s="1160"/>
      <c r="DY14" s="1149">
        <f>SUM(DY17,DY35,DY29)</f>
        <v>1765</v>
      </c>
      <c r="DZ14" s="1149">
        <f>SUM(DZ17,DZ35,DZ29)</f>
        <v>2480</v>
      </c>
      <c r="EA14" s="1149">
        <f>SUM(EA17,EA35,EA29)</f>
        <v>2541</v>
      </c>
      <c r="EB14" s="1149">
        <f>SUM(EB17,EB35,EB29)</f>
        <v>4224</v>
      </c>
      <c r="EC14" s="1151">
        <f>SUM(DY14:EB14)</f>
        <v>11010</v>
      </c>
      <c r="ED14" s="1160"/>
      <c r="EE14" s="1149">
        <f>SUM(EE17,EE35,EE29)</f>
        <v>1847</v>
      </c>
      <c r="EF14" s="1149">
        <f>SUM(EF17,EF35,EF29)</f>
        <v>2564</v>
      </c>
      <c r="EG14" s="1689">
        <f>SUM(EG17,EG35,EG29)</f>
        <v>2512</v>
      </c>
      <c r="EH14" s="1149">
        <f>SUM(EH17,EH35,EH29)</f>
        <v>3717</v>
      </c>
      <c r="EI14" s="1151">
        <f>SUM(EE14:EH14)</f>
        <v>10640</v>
      </c>
      <c r="EJ14" s="1160"/>
      <c r="EK14" s="1149">
        <f>SUM(EK17,EK35,EK29)</f>
        <v>1763</v>
      </c>
      <c r="EL14" s="1149">
        <f>SUM(EL17,EL35,EL29)</f>
        <v>2329</v>
      </c>
      <c r="EM14" s="1149">
        <f>SUM(EM17,EM35,EM29)</f>
        <v>2417</v>
      </c>
      <c r="EN14" s="1149">
        <f>SUM(EN17,EN35,EN29)</f>
        <v>3626</v>
      </c>
      <c r="EO14" s="1151">
        <f>SUM(EK14:EN14)</f>
        <v>10135</v>
      </c>
      <c r="EP14" s="1160"/>
      <c r="EQ14" s="1149">
        <f>EQ17+EQ20</f>
        <v>2016</v>
      </c>
      <c r="ER14" s="1149">
        <f t="shared" ref="ER14:ET14" si="0">ER17+ER20</f>
        <v>2434</v>
      </c>
      <c r="ES14" s="1149">
        <f t="shared" si="0"/>
        <v>2672</v>
      </c>
      <c r="ET14" s="1149">
        <f t="shared" si="0"/>
        <v>4036</v>
      </c>
      <c r="EU14" s="1151">
        <f>SUM(EQ14:ET14)</f>
        <v>11158</v>
      </c>
      <c r="EV14" s="1160"/>
      <c r="EW14" s="1149">
        <f>EW17+EW20</f>
        <v>2458</v>
      </c>
      <c r="EX14" s="1149">
        <f t="shared" ref="EX14" si="1">EX17+EX20</f>
        <v>2881</v>
      </c>
      <c r="EY14" s="1149">
        <f>EY17+EY20</f>
        <v>2959</v>
      </c>
      <c r="EZ14" s="1149">
        <f t="shared" ref="EZ14" si="2">EZ17+EZ20</f>
        <v>4147.915</v>
      </c>
      <c r="FA14" s="1151">
        <f>SUM(EW14:EZ14)</f>
        <v>12445.915000000001</v>
      </c>
      <c r="FB14" s="1160"/>
      <c r="FC14" s="1149">
        <f>FC17+FC20</f>
        <v>2762.4468000000002</v>
      </c>
      <c r="FD14" s="1149">
        <f t="shared" ref="FD14:FF14" si="3">FD17+FD20</f>
        <v>3183.7200000000003</v>
      </c>
      <c r="FE14" s="1149">
        <f t="shared" si="3"/>
        <v>3275.6750000000002</v>
      </c>
      <c r="FF14" s="1149">
        <f t="shared" si="3"/>
        <v>4379.8607000000002</v>
      </c>
      <c r="FG14" s="1151">
        <f>SUM(FC14:FF14)</f>
        <v>13601.702500000003</v>
      </c>
      <c r="FH14" s="1160"/>
      <c r="FI14" s="1149">
        <f>FI17+FI20</f>
        <v>3113.7178200000003</v>
      </c>
      <c r="FJ14" s="1149">
        <f t="shared" ref="FJ14:FL14" si="4">FJ17+FJ20</f>
        <v>3521.9654</v>
      </c>
      <c r="FK14" s="1149">
        <f t="shared" si="4"/>
        <v>3613.6665499999999</v>
      </c>
      <c r="FL14" s="1149">
        <f t="shared" si="4"/>
        <v>4656.8482059999997</v>
      </c>
      <c r="FM14" s="1151">
        <f>SUM(FI14:FL14)</f>
        <v>14906.197975999999</v>
      </c>
      <c r="FN14" s="226"/>
      <c r="FO14" s="286">
        <f>CE14+CF14+CI14+CJ14</f>
        <v>5228.3999999999996</v>
      </c>
      <c r="FP14" s="284">
        <f>CK14+CL14+CO14+CP14</f>
        <v>6626</v>
      </c>
      <c r="FQ14" s="284">
        <f>CV14+CU14+CR14+CQ14</f>
        <v>7621</v>
      </c>
      <c r="FR14" s="284">
        <f>CW14+CX14+DA14+DB14</f>
        <v>6941</v>
      </c>
      <c r="FS14" s="1708">
        <f>DC14+DD14+DG14+DH14</f>
        <v>8138.4</v>
      </c>
      <c r="FT14" s="1709">
        <f>DI14+DJ14+DM14+DN14</f>
        <v>9496</v>
      </c>
      <c r="FU14" s="1709">
        <f>DO14+DP14+DS14+DT14</f>
        <v>10608</v>
      </c>
      <c r="FV14" s="1709">
        <f>DY14+DV14+DZ14+DU14</f>
        <v>10840</v>
      </c>
      <c r="FW14" s="1709">
        <f>EA14+EB14+EE14+EF14</f>
        <v>11176</v>
      </c>
      <c r="FX14" s="1709">
        <f>EG14+EH14+EK14+EL14</f>
        <v>10321</v>
      </c>
      <c r="FY14" s="1709">
        <f>EM14+EN14+EQ14+ER14</f>
        <v>10493</v>
      </c>
      <c r="FZ14" s="1709">
        <f>ES14+ET14+EW14+EX14</f>
        <v>12047</v>
      </c>
      <c r="GA14" s="1709">
        <f>EY14+EZ14+FC14+FD14</f>
        <v>13053.0818</v>
      </c>
      <c r="GB14" s="1709">
        <f>FE14+FF14+FI14+FJ14</f>
        <v>14291.218919999999</v>
      </c>
      <c r="GC14" s="243"/>
      <c r="GD14" s="243"/>
      <c r="GE14" s="243"/>
      <c r="GF14" s="243"/>
      <c r="GI14"/>
      <c r="GJ14"/>
      <c r="GK14"/>
      <c r="GL14"/>
      <c r="GM14"/>
      <c r="GN1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24"/>
      <c r="HD14" s="24"/>
      <c r="HE14" s="24"/>
      <c r="HF14" s="24"/>
      <c r="HG14" s="24"/>
      <c r="HH14" s="24"/>
      <c r="HI14" s="24"/>
      <c r="HJ14" s="24"/>
      <c r="HK14" s="24"/>
      <c r="HL14" s="24"/>
      <c r="HM14" s="24"/>
      <c r="HN14" s="24"/>
      <c r="HO14" s="24"/>
      <c r="HP14" s="24"/>
      <c r="HQ14" s="24"/>
      <c r="HR14" s="24"/>
      <c r="HS14" s="24"/>
      <c r="HT14" s="24"/>
      <c r="HU14" s="24"/>
      <c r="HV14" s="24"/>
      <c r="HW14" s="24"/>
      <c r="HX14" s="24"/>
      <c r="HY14" s="24"/>
      <c r="HZ14" s="24"/>
      <c r="IA14" s="24"/>
      <c r="IB14" s="24"/>
      <c r="IC14" s="24"/>
      <c r="ID14" s="24"/>
      <c r="IE14" s="24"/>
      <c r="IF14" s="24"/>
      <c r="IG14" s="24"/>
      <c r="IH14" s="24"/>
      <c r="II14" s="24"/>
      <c r="IJ14" s="24"/>
      <c r="IK14" s="24"/>
      <c r="IL14" s="24"/>
      <c r="IM14" s="24"/>
      <c r="IN14" s="24"/>
      <c r="IO14" s="24"/>
      <c r="IP14" s="24"/>
      <c r="IQ14" s="24"/>
      <c r="IR14" s="24"/>
      <c r="IS14" s="24"/>
      <c r="IT14" s="24"/>
      <c r="IU14" s="24"/>
      <c r="IV14" s="24"/>
      <c r="IW14" s="24"/>
      <c r="IX14" s="24"/>
      <c r="IY14" s="24"/>
      <c r="IZ14" s="24"/>
      <c r="JA14" s="24"/>
      <c r="JB14" s="24"/>
      <c r="JC14" s="24"/>
      <c r="JD14" s="24"/>
      <c r="JE14" s="24"/>
      <c r="JF14" s="24"/>
      <c r="JG14" s="24"/>
      <c r="JH14" s="24"/>
      <c r="JI14" s="24"/>
      <c r="JJ14" s="24"/>
      <c r="JK14" s="24"/>
      <c r="JL14" s="24"/>
      <c r="JM14" s="24"/>
      <c r="JN14" s="24"/>
      <c r="JO14" s="24"/>
      <c r="JP14" s="24"/>
      <c r="JQ14" s="24"/>
      <c r="JR14" s="24"/>
      <c r="JS14" s="24"/>
      <c r="JT14" s="24"/>
      <c r="JU14" s="24"/>
    </row>
    <row r="15" spans="1:281" s="37" customFormat="1" ht="10.5" customHeight="1" x14ac:dyDescent="0.2">
      <c r="A15" s="1264" t="s">
        <v>669</v>
      </c>
      <c r="B15" s="1265"/>
      <c r="C15" s="1266" t="s">
        <v>945</v>
      </c>
      <c r="D15" s="1267">
        <f t="shared" ref="D15:M15" si="5">D14/C14-1</f>
        <v>0.82076287848997209</v>
      </c>
      <c r="E15" s="1267">
        <f t="shared" si="5"/>
        <v>1.3906094769124446</v>
      </c>
      <c r="F15" s="1267">
        <f t="shared" si="5"/>
        <v>1.3714698708103712</v>
      </c>
      <c r="G15" s="1267">
        <f t="shared" si="5"/>
        <v>0.56523097318836713</v>
      </c>
      <c r="H15" s="1267">
        <f t="shared" si="5"/>
        <v>1.0343661011998928</v>
      </c>
      <c r="I15" s="1267">
        <f t="shared" si="5"/>
        <v>0.59013231880936989</v>
      </c>
      <c r="J15" s="1267">
        <f t="shared" si="5"/>
        <v>-2.8709048338459442E-2</v>
      </c>
      <c r="K15" s="1267">
        <f t="shared" si="5"/>
        <v>1.7839299131660713E-2</v>
      </c>
      <c r="L15" s="1267">
        <f t="shared" si="5"/>
        <v>0.22678843226788437</v>
      </c>
      <c r="M15" s="1267">
        <f t="shared" si="5"/>
        <v>0.36352357320099249</v>
      </c>
      <c r="N15" s="1268"/>
      <c r="O15" s="1269" t="s">
        <v>945</v>
      </c>
      <c r="P15" s="1269" t="s">
        <v>945</v>
      </c>
      <c r="Q15" s="1269" t="s">
        <v>945</v>
      </c>
      <c r="R15" s="1269" t="s">
        <v>945</v>
      </c>
      <c r="S15" s="1267">
        <f>S14/M14-1</f>
        <v>0.46132848043676078</v>
      </c>
      <c r="T15" s="1268"/>
      <c r="U15" s="1267">
        <f>U14/O14-1</f>
        <v>0.25</v>
      </c>
      <c r="V15" s="1267">
        <f>V14/P14-1</f>
        <v>0.41425655976676379</v>
      </c>
      <c r="W15" s="1267">
        <f>W14/Q14-1</f>
        <v>0.37333333333333329</v>
      </c>
      <c r="X15" s="1267">
        <f>X14/R14-1</f>
        <v>0.45230263157894735</v>
      </c>
      <c r="Y15" s="1267">
        <f>Y14/S14-1</f>
        <v>0.39046699875467006</v>
      </c>
      <c r="Z15" s="1268"/>
      <c r="AA15" s="1267">
        <f>AA14/U14-1</f>
        <v>0.26947714285714297</v>
      </c>
      <c r="AB15" s="1267">
        <f>AB14/V14-1</f>
        <v>0.25017419447937495</v>
      </c>
      <c r="AC15" s="1267">
        <f>AC14/W14-1</f>
        <v>0.28981941747572804</v>
      </c>
      <c r="AD15" s="1267">
        <f>AD14/X14-1</f>
        <v>0.25416647791619496</v>
      </c>
      <c r="AE15" s="1267">
        <f>AE14/Y14-1</f>
        <v>0.2639212929169894</v>
      </c>
      <c r="AF15" s="1268"/>
      <c r="AG15" s="1267">
        <f>AG14/AA14-1</f>
        <v>0.13742215580317652</v>
      </c>
      <c r="AH15" s="1267">
        <f>AH14/AB14-1</f>
        <v>2.4274174000366022E-2</v>
      </c>
      <c r="AI15" s="1267">
        <f>AI14/AC14-1</f>
        <v>0.1338879379517266</v>
      </c>
      <c r="AJ15" s="1267">
        <f>AJ14/AD14-1</f>
        <v>9.2009510316236831E-2</v>
      </c>
      <c r="AK15" s="1267">
        <f>AK14/AE14-1</f>
        <v>9.4460486456801496E-2</v>
      </c>
      <c r="AL15" s="1268"/>
      <c r="AM15" s="1267">
        <f>AM14/AG14-1</f>
        <v>0.1033626448426519</v>
      </c>
      <c r="AN15" s="1267">
        <f>AN14/AH14-1</f>
        <v>0.19975111403034296</v>
      </c>
      <c r="AO15" s="1267">
        <f>AO14/AI14-1</f>
        <v>6.8261388515294286E-2</v>
      </c>
      <c r="AP15" s="1267">
        <f>AP14/AJ14-1</f>
        <v>0.2266375484465275</v>
      </c>
      <c r="AQ15" s="1267">
        <f>AQ14/AK14-1</f>
        <v>0.16244682848504088</v>
      </c>
      <c r="AR15" s="1268"/>
      <c r="AS15" s="1267">
        <f>AS14/AM14-1</f>
        <v>8.0760312259577693E-2</v>
      </c>
      <c r="AT15" s="1267">
        <f>AT14/AN14-1</f>
        <v>0.17702050461122276</v>
      </c>
      <c r="AU15" s="1267">
        <f>AU14/AO14-1</f>
        <v>0.29654104426135985</v>
      </c>
      <c r="AV15" s="1267">
        <f>AV14/AP14-1</f>
        <v>0.20803882429633003</v>
      </c>
      <c r="AW15" s="1267">
        <f>AW14/AQ14-1</f>
        <v>0.20166739629526909</v>
      </c>
      <c r="AX15" s="1268"/>
      <c r="AY15" s="1267">
        <f>AY14/AS14-1</f>
        <v>0.27976457157269796</v>
      </c>
      <c r="AZ15" s="1267">
        <f>AZ14/AT14-1</f>
        <v>0.24627125155756402</v>
      </c>
      <c r="BA15" s="1267">
        <f>BA14/AU14-1</f>
        <v>5.5366821126412447E-2</v>
      </c>
      <c r="BB15" s="1267">
        <f>BB14/AV14-1</f>
        <v>-9.683338113823281E-2</v>
      </c>
      <c r="BC15" s="1267">
        <f>BC14/AW14-1</f>
        <v>6.2306417871119679E-2</v>
      </c>
      <c r="BD15" s="1268"/>
      <c r="BE15" s="1267">
        <f>BE14/AY14-1</f>
        <v>-7.7973925276663136E-2</v>
      </c>
      <c r="BF15" s="1267">
        <f>BF14/AZ14-1</f>
        <v>-0.26509683102617732</v>
      </c>
      <c r="BG15" s="1267">
        <f>BG14/BA14-1</f>
        <v>-0.29429818386597228</v>
      </c>
      <c r="BH15" s="1267">
        <f>BH14/BB14-1</f>
        <v>-0.2894703672581681</v>
      </c>
      <c r="BI15" s="1267">
        <f>BI14/BC14-1</f>
        <v>-0.24923258294332551</v>
      </c>
      <c r="BJ15" s="1268"/>
      <c r="BK15" s="1267">
        <f>BK14/BE14-1</f>
        <v>-0.20827778621531479</v>
      </c>
      <c r="BL15" s="1267">
        <f>BL14/BF14-1</f>
        <v>-4.7786196260600433E-2</v>
      </c>
      <c r="BM15" s="1267">
        <f>BM14/BG14-1</f>
        <v>-2.8255248386968024E-2</v>
      </c>
      <c r="BN15" s="1267">
        <f>BN14/BH14-1</f>
        <v>3.2193659356961613E-2</v>
      </c>
      <c r="BO15" s="1267">
        <f>BO14/BI14-1</f>
        <v>-4.9813594930014693E-2</v>
      </c>
      <c r="BP15" s="1268"/>
      <c r="BQ15" s="1267">
        <f>BQ14/BK14-1</f>
        <v>-6.7495559502664282E-2</v>
      </c>
      <c r="BR15" s="1267">
        <f>BR14/BL14-1</f>
        <v>0.11764705882352944</v>
      </c>
      <c r="BS15" s="1267">
        <f>BS14/BM14-1</f>
        <v>0.12185430463576163</v>
      </c>
      <c r="BT15" s="1267">
        <f>BT14/BN14-1</f>
        <v>0.10699241786015157</v>
      </c>
      <c r="BU15" s="1267">
        <f>BU14/BO14-1</f>
        <v>8.2874617737002998E-2</v>
      </c>
      <c r="BV15" s="1268"/>
      <c r="BW15" s="1267">
        <f>BW14/BQ14-1</f>
        <v>7.2380952380952435E-2</v>
      </c>
      <c r="BX15" s="1267">
        <f>BX14/BR14-1</f>
        <v>0.13567251461988294</v>
      </c>
      <c r="BY15" s="1267">
        <f>BY14/BS14-1</f>
        <v>0.11806375442739081</v>
      </c>
      <c r="BZ15" s="1267">
        <f>BZ14/BT14-1</f>
        <v>0.22450532724505323</v>
      </c>
      <c r="CA15" s="1267">
        <f>CA14/BU14-1</f>
        <v>0.15504094888449593</v>
      </c>
      <c r="CB15" s="1268"/>
      <c r="CC15" s="1267">
        <f>CC14/BW14-1</f>
        <v>0.1172291296625223</v>
      </c>
      <c r="CD15" s="1267">
        <f>CD14/BX14-1</f>
        <v>8.9598352214212085E-2</v>
      </c>
      <c r="CE15" s="1267">
        <f>CE14/BY14-1</f>
        <v>0.15776135163674776</v>
      </c>
      <c r="CF15" s="1267">
        <f>CF14/BZ14-1</f>
        <v>0.3182100683654443</v>
      </c>
      <c r="CG15" s="1270">
        <f>CG14/CA14-1</f>
        <v>0.19911980440097787</v>
      </c>
      <c r="CH15" s="1268"/>
      <c r="CI15" s="1267">
        <f>CI14/CC14-1</f>
        <v>0.27821939586645472</v>
      </c>
      <c r="CJ15" s="1267">
        <f>CJ14/CD14-1</f>
        <v>0.14083175803402637</v>
      </c>
      <c r="CK15" s="1267">
        <f>CK14/CE14-1</f>
        <v>0.26778547975191525</v>
      </c>
      <c r="CL15" s="1267">
        <f>CL14/CF14-1</f>
        <v>0.16973125884016982</v>
      </c>
      <c r="CM15" s="1270">
        <f>CM14/CG14-1</f>
        <v>0.19933121278851651</v>
      </c>
      <c r="CN15" s="1268"/>
      <c r="CO15" s="1267">
        <f>CO14/CI14-1</f>
        <v>0.35199004975124382</v>
      </c>
      <c r="CP15" s="1267">
        <f>CP14/CJ14-1</f>
        <v>0.38193869096934541</v>
      </c>
      <c r="CQ15" s="1267">
        <f>CQ14/CK14-1</f>
        <v>0.16258992805755401</v>
      </c>
      <c r="CR15" s="1267">
        <f>CR14/CL14-1</f>
        <v>0.26723095525997587</v>
      </c>
      <c r="CS15" s="1270">
        <f>CS14/CM14-1</f>
        <v>0.27762665759945593</v>
      </c>
      <c r="CT15" s="1268"/>
      <c r="CU15" s="1271">
        <f>CU14/CO14-1</f>
        <v>0.13615455381784725</v>
      </c>
      <c r="CV15" s="1271">
        <f>CV14/CP14-1</f>
        <v>-2.5179856115107868E-2</v>
      </c>
      <c r="CW15" s="1271">
        <f>CW14/CQ14-1</f>
        <v>-6.1881188118811936E-2</v>
      </c>
      <c r="CX15" s="1267">
        <f>CX14/CR14-1</f>
        <v>-0.12722646310432573</v>
      </c>
      <c r="CY15" s="1270">
        <f>CY14/CS14-1</f>
        <v>-5.2428476380572242E-2</v>
      </c>
      <c r="CZ15" s="1268"/>
      <c r="DA15" s="1267">
        <f>DA14/CU14-1</f>
        <v>-0.16761133603238865</v>
      </c>
      <c r="DB15" s="1267">
        <f>DB14/CV14-1</f>
        <v>1.6605166051660625E-2</v>
      </c>
      <c r="DC15" s="1267">
        <f>DC14/CW14-1</f>
        <v>0.13350923482849608</v>
      </c>
      <c r="DD15" s="1267">
        <f>DD14/CX14-1</f>
        <v>0.14249271137026231</v>
      </c>
      <c r="DE15" s="1270">
        <f>DE14/CY14-1</f>
        <v>5.8053644151102368E-2</v>
      </c>
      <c r="DF15" s="1268"/>
      <c r="DG15" s="1267">
        <f>DG14/DA14-1</f>
        <v>0.25097276264591439</v>
      </c>
      <c r="DH15" s="1267">
        <f>DH14/DB14-1</f>
        <v>0.20931639443436167</v>
      </c>
      <c r="DI15" s="1267">
        <f>DI14/DC14-1</f>
        <v>0.28840782122905018</v>
      </c>
      <c r="DJ15" s="1267">
        <f>DJ14/DD14-1</f>
        <v>0.19170653907496016</v>
      </c>
      <c r="DK15" s="1270">
        <f>DK14/DE14-1</f>
        <v>0.22571140369505205</v>
      </c>
      <c r="DL15" s="1268"/>
      <c r="DM15" s="1267">
        <f>DM14/DG14-1</f>
        <v>0.16485225505443224</v>
      </c>
      <c r="DN15" s="1267">
        <f>DN14/DH14-1</f>
        <v>2.4512256128063958E-2</v>
      </c>
      <c r="DO15" s="1267">
        <f>DO14/DI14-1</f>
        <v>7.2267389340560095E-2</v>
      </c>
      <c r="DP15" s="1267">
        <f>DP14/DJ14-1</f>
        <v>7.2537473233404759E-2</v>
      </c>
      <c r="DQ15" s="1270">
        <f>DQ14/DK14-1</f>
        <v>7.4932322685435926E-2</v>
      </c>
      <c r="DR15" s="1268"/>
      <c r="DS15" s="1267">
        <f>DS14/DM14-1</f>
        <v>0.14285714285714279</v>
      </c>
      <c r="DT15" s="1267">
        <f>DT14/DN14-1</f>
        <v>0.22802734375</v>
      </c>
      <c r="DU15" s="1267">
        <f>DU14/DO14-1</f>
        <v>3.1171019376579512E-2</v>
      </c>
      <c r="DV15" s="1267">
        <f>DV14/DP14-1</f>
        <v>3.4938857000249568E-2</v>
      </c>
      <c r="DW15" s="1270">
        <f>DW14/DQ14-1</f>
        <v>9.0158154528054757E-2</v>
      </c>
      <c r="DX15" s="1268"/>
      <c r="DY15" s="1267">
        <f>DY14/DS14-1</f>
        <v>3.0957943925233655E-2</v>
      </c>
      <c r="DZ15" s="1267">
        <f>DZ14/DT14-1</f>
        <v>-1.3916500994035741E-2</v>
      </c>
      <c r="EA15" s="1267">
        <f>EA14/DU14-1</f>
        <v>3.799019607843146E-2</v>
      </c>
      <c r="EB15" s="1267">
        <f>EB14/DV14-1</f>
        <v>1.8567639257294433E-2</v>
      </c>
      <c r="EC15" s="1270">
        <f>EC14/DW14-1</f>
        <v>1.7372019959342122E-2</v>
      </c>
      <c r="ED15" s="1267"/>
      <c r="EE15" s="1267">
        <f>EE14/DY14-1</f>
        <v>4.6458923512747941E-2</v>
      </c>
      <c r="EF15" s="1267">
        <f>EF14/DZ14-1</f>
        <v>3.3870967741935543E-2</v>
      </c>
      <c r="EG15" s="1267">
        <f>EG14/EA14-1</f>
        <v>-1.1412829594647733E-2</v>
      </c>
      <c r="EH15" s="1267">
        <f>EH14/EB14-1</f>
        <v>-0.12002840909090906</v>
      </c>
      <c r="EI15" s="1270">
        <f>EI14/EC14-1</f>
        <v>-3.3605812897366083E-2</v>
      </c>
      <c r="EJ15" s="1267"/>
      <c r="EK15" s="1267">
        <f>EK14/EE14-1</f>
        <v>-4.5479155387114223E-2</v>
      </c>
      <c r="EL15" s="1267">
        <f>EL14/EF14-1</f>
        <v>-9.1653666146645829E-2</v>
      </c>
      <c r="EM15" s="1267">
        <f>EM14/EG14-1</f>
        <v>-3.7818471337579651E-2</v>
      </c>
      <c r="EN15" s="1267">
        <f>EN14/EH14-1</f>
        <v>-2.4482109227871973E-2</v>
      </c>
      <c r="EO15" s="1270">
        <f>EO14/EI14-1</f>
        <v>-4.7462406015037595E-2</v>
      </c>
      <c r="EP15" s="1267"/>
      <c r="EQ15" s="1267">
        <f>EQ14/EK14-1</f>
        <v>0.14350538854225747</v>
      </c>
      <c r="ER15" s="1267">
        <f>ER14/EL14-1</f>
        <v>4.5083726921425482E-2</v>
      </c>
      <c r="ES15" s="1267">
        <f>ES14/EM14-1</f>
        <v>0.10550268928423656</v>
      </c>
      <c r="ET15" s="1267">
        <f>ET14/EN14-1</f>
        <v>0.11307225592939885</v>
      </c>
      <c r="EU15" s="1270">
        <f>EU14/EO14-1</f>
        <v>0.10093734583127767</v>
      </c>
      <c r="EV15" s="1267"/>
      <c r="EW15" s="1267">
        <f>EW14/EQ14-1</f>
        <v>0.21924603174603186</v>
      </c>
      <c r="EX15" s="1267">
        <f>EX14/ER14-1</f>
        <v>0.18364831552999172</v>
      </c>
      <c r="EY15" s="1267">
        <f>EY14/ES14-1</f>
        <v>0.10741017964071853</v>
      </c>
      <c r="EZ15" s="1267">
        <f>EZ14/ET14-1</f>
        <v>2.772918731417251E-2</v>
      </c>
      <c r="FA15" s="1270">
        <f>FA14/EU14-1</f>
        <v>0.11542525542211868</v>
      </c>
      <c r="FB15" s="1267"/>
      <c r="FC15" s="1267">
        <f>FC14/EW14-1</f>
        <v>0.12385956061838899</v>
      </c>
      <c r="FD15" s="1267">
        <f>FD14/EX14-1</f>
        <v>0.10507462686567171</v>
      </c>
      <c r="FE15" s="1267">
        <f>FE14/EY14-1</f>
        <v>0.10702095302467063</v>
      </c>
      <c r="FF15" s="1267">
        <f>FF14/EZ14-1</f>
        <v>5.5918624176242826E-2</v>
      </c>
      <c r="FG15" s="1270">
        <f>FG14/FA14-1</f>
        <v>9.2864807448870046E-2</v>
      </c>
      <c r="FH15" s="1267"/>
      <c r="FI15" s="1267">
        <f>FI14/FC14-1</f>
        <v>0.12715937914170872</v>
      </c>
      <c r="FJ15" s="1267">
        <f>FJ14/FD14-1</f>
        <v>0.10624219466536</v>
      </c>
      <c r="FK15" s="1267">
        <f>FK14/FE14-1</f>
        <v>0.10318226014485554</v>
      </c>
      <c r="FL15" s="1267">
        <f>FL14/FF14-1</f>
        <v>6.3241167921162411E-2</v>
      </c>
      <c r="FM15" s="1270">
        <f>FM14/FG14-1</f>
        <v>9.5906779022699284E-2</v>
      </c>
      <c r="FN15" s="1123"/>
      <c r="FO15" s="235"/>
      <c r="FP15" s="236">
        <f t="shared" ref="FP15:GB15" si="6">FP14/FO14-1</f>
        <v>0.26730931068778219</v>
      </c>
      <c r="FQ15" s="236">
        <f t="shared" si="6"/>
        <v>0.15016601267733165</v>
      </c>
      <c r="FR15" s="236">
        <f t="shared" si="6"/>
        <v>-8.9227135546516179E-2</v>
      </c>
      <c r="FS15" s="316">
        <f t="shared" si="6"/>
        <v>0.17251116553810686</v>
      </c>
      <c r="FT15" s="236">
        <f t="shared" si="6"/>
        <v>0.1668141157967169</v>
      </c>
      <c r="FU15" s="236">
        <f t="shared" si="6"/>
        <v>0.11710193765796117</v>
      </c>
      <c r="FV15" s="236">
        <f t="shared" si="6"/>
        <v>2.1870286576168851E-2</v>
      </c>
      <c r="FW15" s="236">
        <f t="shared" si="6"/>
        <v>3.0996309963099655E-2</v>
      </c>
      <c r="FX15" s="236">
        <f t="shared" si="6"/>
        <v>-7.6503221188260584E-2</v>
      </c>
      <c r="FY15" s="236">
        <f t="shared" si="6"/>
        <v>1.6665051836062483E-2</v>
      </c>
      <c r="FZ15" s="236">
        <f t="shared" si="6"/>
        <v>0.14809873248832561</v>
      </c>
      <c r="GA15" s="236">
        <f t="shared" si="6"/>
        <v>8.351305719266211E-2</v>
      </c>
      <c r="GB15" s="236">
        <f t="shared" si="6"/>
        <v>9.4854007580033706E-2</v>
      </c>
      <c r="GC15" s="236"/>
      <c r="GD15" s="236"/>
      <c r="GE15" s="236"/>
      <c r="GF15" s="236"/>
      <c r="GI15"/>
      <c r="GJ15"/>
      <c r="GK15"/>
      <c r="GL15"/>
      <c r="GM15"/>
      <c r="GN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</row>
    <row r="16" spans="1:281" s="37" customFormat="1" ht="10.5" customHeight="1" x14ac:dyDescent="0.2">
      <c r="A16" s="1272" t="s">
        <v>1101</v>
      </c>
      <c r="B16" s="1273"/>
      <c r="C16" s="1274" t="s">
        <v>945</v>
      </c>
      <c r="D16" s="1274" t="s">
        <v>945</v>
      </c>
      <c r="E16" s="1274" t="s">
        <v>945</v>
      </c>
      <c r="F16" s="1274" t="s">
        <v>945</v>
      </c>
      <c r="G16" s="1274" t="s">
        <v>945</v>
      </c>
      <c r="H16" s="1274" t="s">
        <v>945</v>
      </c>
      <c r="I16" s="1274" t="s">
        <v>945</v>
      </c>
      <c r="J16" s="1274" t="s">
        <v>945</v>
      </c>
      <c r="K16" s="1274" t="s">
        <v>945</v>
      </c>
      <c r="L16" s="1274" t="s">
        <v>945</v>
      </c>
      <c r="M16" s="1274" t="s">
        <v>945</v>
      </c>
      <c r="N16" s="1275"/>
      <c r="O16" s="1276" t="s">
        <v>945</v>
      </c>
      <c r="P16" s="1277">
        <f>P14/O14-1</f>
        <v>0.22500000000000009</v>
      </c>
      <c r="Q16" s="1277">
        <f>Q14/P14-1</f>
        <v>9.3294460641399457E-2</v>
      </c>
      <c r="R16" s="1277">
        <f>R14/Q14-1</f>
        <v>0.62133333333333329</v>
      </c>
      <c r="S16" s="1278" t="s">
        <v>945</v>
      </c>
      <c r="T16" s="1275"/>
      <c r="U16" s="1277">
        <f>U14/R14-1</f>
        <v>-0.42434210526315785</v>
      </c>
      <c r="V16" s="1277">
        <f>V14/U14-1</f>
        <v>0.38597142857142841</v>
      </c>
      <c r="W16" s="1277">
        <f>W14/V14-1</f>
        <v>6.165866127935038E-2</v>
      </c>
      <c r="X16" s="1277">
        <f>X14/W14-1</f>
        <v>0.71456310679611645</v>
      </c>
      <c r="Y16" s="1278" t="s">
        <v>945</v>
      </c>
      <c r="Z16" s="1275"/>
      <c r="AA16" s="1277">
        <f>AA14/X14-1</f>
        <v>-0.49680973952434881</v>
      </c>
      <c r="AB16" s="1277">
        <f>AB14/AA14-1</f>
        <v>0.36489713425324721</v>
      </c>
      <c r="AC16" s="1277">
        <f>AC14/AB14-1</f>
        <v>9.5325725083972523E-2</v>
      </c>
      <c r="AD16" s="1277">
        <f>AD14/AC14-1</f>
        <v>0.66716948410028065</v>
      </c>
      <c r="AE16" s="1278" t="s">
        <v>945</v>
      </c>
      <c r="AF16" s="1275"/>
      <c r="AG16" s="1277">
        <f>AG14/AD14-1</f>
        <v>-0.54364929941332596</v>
      </c>
      <c r="AH16" s="1277">
        <f>AH14/AG14-1</f>
        <v>0.22912049642246579</v>
      </c>
      <c r="AI16" s="1277">
        <f>AI14/AH14-1</f>
        <v>0.21254314452772838</v>
      </c>
      <c r="AJ16" s="1277">
        <f>AJ14/AI14-1</f>
        <v>0.60559511307194813</v>
      </c>
      <c r="AK16" s="1278" t="s">
        <v>945</v>
      </c>
      <c r="AL16" s="1275"/>
      <c r="AM16" s="1277">
        <f>AM14/AJ14-1</f>
        <v>-0.53890482526173722</v>
      </c>
      <c r="AN16" s="1277">
        <f>AN14/AM14-1</f>
        <v>0.33649502432690781</v>
      </c>
      <c r="AO16" s="1277">
        <f>AO14/AN14-1</f>
        <v>7.9651444420440365E-2</v>
      </c>
      <c r="AP16" s="1277">
        <f>AP14/AO14-1</f>
        <v>0.84363422142735511</v>
      </c>
      <c r="AQ16" s="1278" t="s">
        <v>945</v>
      </c>
      <c r="AR16" s="1275"/>
      <c r="AS16" s="1277">
        <f>AS14/AP14-1</f>
        <v>-0.59374033049728292</v>
      </c>
      <c r="AT16" s="1277">
        <f>AT14/AS14-1</f>
        <v>0.45553276716347568</v>
      </c>
      <c r="AU16" s="1277">
        <f>AU14/AT14-1</f>
        <v>0.18928464347316543</v>
      </c>
      <c r="AV16" s="1277">
        <f>AV14/AU14-1</f>
        <v>0.717787282665169</v>
      </c>
      <c r="AW16" s="1278" t="s">
        <v>945</v>
      </c>
      <c r="AX16" s="1275"/>
      <c r="AY16" s="1277">
        <f>AY14/AV14-1</f>
        <v>-0.56961918654290211</v>
      </c>
      <c r="AZ16" s="1277">
        <f>AZ14/AY14-1</f>
        <v>0.4174393351010377</v>
      </c>
      <c r="BA16" s="1277">
        <f>BA14/AZ14-1</f>
        <v>7.1094491091694412E-3</v>
      </c>
      <c r="BB16" s="1277">
        <f>BB14/BA14-1</f>
        <v>0.47005581467167423</v>
      </c>
      <c r="BC16" s="1278" t="s">
        <v>945</v>
      </c>
      <c r="BD16" s="1275"/>
      <c r="BE16" s="1277">
        <f>BE14/BB14-1</f>
        <v>-0.56063219811180853</v>
      </c>
      <c r="BF16" s="1277">
        <f>BF14/BE14-1</f>
        <v>0.1297735365092223</v>
      </c>
      <c r="BG16" s="1277">
        <f>BG14/BF14-1</f>
        <v>-3.2908011167663176E-2</v>
      </c>
      <c r="BH16" s="1277">
        <f>BH14/BG14-1</f>
        <v>0.48011269664960432</v>
      </c>
      <c r="BI16" s="1278" t="s">
        <v>945</v>
      </c>
      <c r="BJ16" s="1275"/>
      <c r="BK16" s="1277">
        <f>BK14/BH14-1</f>
        <v>-0.51042541683406117</v>
      </c>
      <c r="BL16" s="1277">
        <f>BL14/BK14-1</f>
        <v>0.3587921847246891</v>
      </c>
      <c r="BM16" s="1277">
        <f>BM14/BL14-1</f>
        <v>-1.3071895424836555E-2</v>
      </c>
      <c r="BN16" s="1277">
        <f>BN14/BM14-1</f>
        <v>0.57218543046357606</v>
      </c>
      <c r="BO16" s="1278" t="s">
        <v>945</v>
      </c>
      <c r="BP16" s="1275"/>
      <c r="BQ16" s="1277">
        <f>BQ14/BN14-1</f>
        <v>-0.55770850884582979</v>
      </c>
      <c r="BR16" s="1277">
        <f>BR14/BQ14-1</f>
        <v>0.62857142857142856</v>
      </c>
      <c r="BS16" s="1277">
        <f>BS14/BR14-1</f>
        <v>-9.3567251461987855E-3</v>
      </c>
      <c r="BT16" s="1277">
        <f>BT14/BS14-1</f>
        <v>0.55135773317591497</v>
      </c>
      <c r="BU16" s="1278" t="s">
        <v>945</v>
      </c>
      <c r="BV16" s="1275"/>
      <c r="BW16" s="1277">
        <f>BW14/BT14-1</f>
        <v>-0.57153729071537285</v>
      </c>
      <c r="BX16" s="1277">
        <f>BX14/BW14-1</f>
        <v>0.72468916518650084</v>
      </c>
      <c r="BY16" s="1277">
        <f>BY14/BX14-1</f>
        <v>-2.4716786817713721E-2</v>
      </c>
      <c r="BZ16" s="1277">
        <f>BZ14/BY14-1</f>
        <v>0.69904963041182677</v>
      </c>
      <c r="CA16" s="1278" t="s">
        <v>945</v>
      </c>
      <c r="CB16" s="1275"/>
      <c r="CC16" s="1277">
        <f>CC14/BZ14-1</f>
        <v>-0.60907395898073335</v>
      </c>
      <c r="CD16" s="1277">
        <f>CD14/CC14-1</f>
        <v>0.68203497615262321</v>
      </c>
      <c r="CE16" s="1277">
        <f>CE14/CD14-1</f>
        <v>3.6294896030245827E-2</v>
      </c>
      <c r="CF16" s="1277">
        <f>CF14/CE14-1</f>
        <v>0.93451295147756275</v>
      </c>
      <c r="CG16" s="1279" t="s">
        <v>945</v>
      </c>
      <c r="CH16" s="1275"/>
      <c r="CI16" s="1277">
        <f>CI14/CF14-1</f>
        <v>-0.62093352192362095</v>
      </c>
      <c r="CJ16" s="1277">
        <f>CJ14/CI14-1</f>
        <v>0.50124378109452739</v>
      </c>
      <c r="CK16" s="1277">
        <f>CK14/CJ14-1</f>
        <v>0.15161557580778795</v>
      </c>
      <c r="CL16" s="1277">
        <f>CL14/CK14-1</f>
        <v>0.78489208633093521</v>
      </c>
      <c r="CM16" s="1279" t="s">
        <v>945</v>
      </c>
      <c r="CN16" s="1275"/>
      <c r="CO16" s="1277">
        <f>CO14/CL14-1</f>
        <v>-0.56187021362353895</v>
      </c>
      <c r="CP16" s="1277">
        <f>CP14/CO14-1</f>
        <v>0.53449862005519777</v>
      </c>
      <c r="CQ16" s="1277">
        <f>CQ14/CP14-1</f>
        <v>-3.1175059952038398E-2</v>
      </c>
      <c r="CR16" s="1277">
        <f>CR14/CQ14-1</f>
        <v>0.9455445544554455</v>
      </c>
      <c r="CS16" s="1279" t="s">
        <v>945</v>
      </c>
      <c r="CT16" s="1275"/>
      <c r="CU16" s="1277">
        <f>CU14/CR14-1</f>
        <v>-0.60718829516539441</v>
      </c>
      <c r="CV16" s="1277">
        <f>CV14/CU14-1</f>
        <v>0.31659919028340089</v>
      </c>
      <c r="CW16" s="1277">
        <f>CW14/CV14-1</f>
        <v>-6.765067650676504E-2</v>
      </c>
      <c r="CX16" s="1277">
        <f>CX14/CW14-1</f>
        <v>0.81002638522427439</v>
      </c>
      <c r="CY16" s="1279" t="s">
        <v>945</v>
      </c>
      <c r="CZ16" s="1275"/>
      <c r="DA16" s="1277">
        <f>DA14/CX14-1</f>
        <v>-0.62536443148688048</v>
      </c>
      <c r="DB16" s="1277">
        <f>DB14/DA14-1</f>
        <v>0.60797665369649811</v>
      </c>
      <c r="DC16" s="1277">
        <f>DC14/DB14-1</f>
        <v>3.9564428312159672E-2</v>
      </c>
      <c r="DD16" s="1277">
        <f>DD14/DC14-1</f>
        <v>0.82437150837988815</v>
      </c>
      <c r="DE16" s="1279" t="s">
        <v>945</v>
      </c>
      <c r="DF16" s="1275"/>
      <c r="DG16" s="1277">
        <f>DG14/DD14-1</f>
        <v>-0.58979266347687398</v>
      </c>
      <c r="DH16" s="1277">
        <f>DH14/DG14-1</f>
        <v>0.55443234836702948</v>
      </c>
      <c r="DI16" s="1277">
        <f>DI14/DH14-1</f>
        <v>0.10755377688844425</v>
      </c>
      <c r="DJ16" s="1277">
        <f>DJ14/DI14-1</f>
        <v>0.68744354110207762</v>
      </c>
      <c r="DK16" s="1279" t="s">
        <v>945</v>
      </c>
      <c r="DL16" s="1275"/>
      <c r="DM16" s="1277">
        <f>DM14/DJ14-1</f>
        <v>-0.59903640256959312</v>
      </c>
      <c r="DN16" s="1277">
        <f>DN14/DM14-1</f>
        <v>0.36715620827770357</v>
      </c>
      <c r="DO16" s="1277">
        <f>DO14/DN14-1</f>
        <v>0.1591796875</v>
      </c>
      <c r="DP16" s="1277">
        <f>DP14/DO14-1</f>
        <v>0.68786857624262843</v>
      </c>
      <c r="DQ16" s="1279" t="s">
        <v>945</v>
      </c>
      <c r="DR16" s="1275"/>
      <c r="DS16" s="1277">
        <f>DS14/DP14-1</f>
        <v>-0.57274769153980531</v>
      </c>
      <c r="DT16" s="1277">
        <f>DT14/DS14-1</f>
        <v>0.46904205607476634</v>
      </c>
      <c r="DU16" s="1277">
        <f>DU14/DT14-1</f>
        <v>-2.6640159045725698E-2</v>
      </c>
      <c r="DV16" s="1277">
        <f>DV14/DU14-1</f>
        <v>0.69403594771241828</v>
      </c>
      <c r="DW16" s="1279" t="s">
        <v>945</v>
      </c>
      <c r="DX16" s="1275"/>
      <c r="DY16" s="1277">
        <f>DY14/DV14-1</f>
        <v>-0.57439112611526411</v>
      </c>
      <c r="DZ16" s="1277">
        <f>DZ14/DY14-1</f>
        <v>0.40509915014164299</v>
      </c>
      <c r="EA16" s="1277">
        <f>EA14/DZ14-1</f>
        <v>2.4596774193548443E-2</v>
      </c>
      <c r="EB16" s="1277">
        <f>EB14/EA14-1</f>
        <v>0.66233766233766245</v>
      </c>
      <c r="EC16" s="1279" t="s">
        <v>945</v>
      </c>
      <c r="ED16" s="1275"/>
      <c r="EE16" s="1277">
        <f>EE14/EB14-1</f>
        <v>-0.56273674242424243</v>
      </c>
      <c r="EF16" s="1277">
        <f>EF14/EE14-1</f>
        <v>0.38819707634001088</v>
      </c>
      <c r="EG16" s="1277">
        <f>EG14/EF14-1</f>
        <v>-2.0280811232449292E-2</v>
      </c>
      <c r="EH16" s="1277">
        <f>EH14/EG14-1</f>
        <v>0.47969745222929938</v>
      </c>
      <c r="EI16" s="1279" t="s">
        <v>945</v>
      </c>
      <c r="EJ16" s="1275"/>
      <c r="EK16" s="1277">
        <f>EK14/EH14-1</f>
        <v>-0.52569276298089851</v>
      </c>
      <c r="EL16" s="1277">
        <f>EL14/EK14-1</f>
        <v>0.32104367555303459</v>
      </c>
      <c r="EM16" s="1277">
        <f>EM14/EL14-1</f>
        <v>3.7784456848432901E-2</v>
      </c>
      <c r="EN16" s="1277">
        <f>EN14/EM14-1</f>
        <v>0.50020686801820435</v>
      </c>
      <c r="EO16" s="1279" t="s">
        <v>945</v>
      </c>
      <c r="EP16" s="1275"/>
      <c r="EQ16" s="1277">
        <f>EQ14/EN14-1</f>
        <v>-0.44401544401544402</v>
      </c>
      <c r="ER16" s="1277">
        <f>ER14/EQ14-1</f>
        <v>0.20734126984126977</v>
      </c>
      <c r="ES16" s="1277">
        <f>ES14/ER14-1</f>
        <v>9.7781429745275261E-2</v>
      </c>
      <c r="ET16" s="1277">
        <f>ET14/ES14-1</f>
        <v>0.51047904191616778</v>
      </c>
      <c r="EU16" s="1279" t="s">
        <v>945</v>
      </c>
      <c r="EV16" s="1275"/>
      <c r="EW16" s="1277">
        <f>EW14/ET14-1</f>
        <v>-0.3909811694747275</v>
      </c>
      <c r="EX16" s="1277">
        <f>EX14/EW14-1</f>
        <v>0.17209113100081375</v>
      </c>
      <c r="EY16" s="1277">
        <f>EY14/EX14-1</f>
        <v>2.7073932662269984E-2</v>
      </c>
      <c r="EZ16" s="1277">
        <f>EZ14/EY14-1</f>
        <v>0.40179621493747897</v>
      </c>
      <c r="FA16" s="1279" t="s">
        <v>945</v>
      </c>
      <c r="FB16" s="1275"/>
      <c r="FC16" s="1277">
        <f>FC14/EZ14-1</f>
        <v>-0.33401557167878315</v>
      </c>
      <c r="FD16" s="1277">
        <f>FD14/FC14-1</f>
        <v>0.15250002280586905</v>
      </c>
      <c r="FE16" s="1277">
        <f>FE14/FD14-1</f>
        <v>2.8882879147663632E-2</v>
      </c>
      <c r="FF16" s="1277">
        <f>FF14/FE14-1</f>
        <v>0.33708646309539247</v>
      </c>
      <c r="FG16" s="1279" t="s">
        <v>945</v>
      </c>
      <c r="FH16" s="1275"/>
      <c r="FI16" s="1277">
        <f>FI14/FF14-1</f>
        <v>-0.28908291078755077</v>
      </c>
      <c r="FJ16" s="1277">
        <f>FJ14/FI14-1</f>
        <v>0.13111258103664625</v>
      </c>
      <c r="FK16" s="1277">
        <f>FK14/FJ14-1</f>
        <v>2.6036925291770263E-2</v>
      </c>
      <c r="FL16" s="1277">
        <f>FL14/FK14-1</f>
        <v>0.28867678895276039</v>
      </c>
      <c r="FM16" s="1279" t="s">
        <v>945</v>
      </c>
      <c r="FN16" s="1123"/>
      <c r="FO16" s="241"/>
      <c r="FP16" s="238"/>
      <c r="FQ16" s="238"/>
      <c r="FR16" s="238"/>
      <c r="FS16" s="241"/>
      <c r="FT16" s="230"/>
      <c r="FU16" s="230"/>
      <c r="FV16" s="230"/>
      <c r="FW16" s="230"/>
      <c r="FX16" s="230"/>
      <c r="FY16" s="230"/>
      <c r="FZ16" s="230"/>
      <c r="GA16" s="230"/>
      <c r="GB16" s="230"/>
      <c r="GC16" s="33"/>
      <c r="GD16" s="33"/>
      <c r="GE16" s="33"/>
      <c r="GF16" s="33"/>
      <c r="GI16"/>
      <c r="GJ16"/>
      <c r="GK16"/>
      <c r="GL16"/>
      <c r="GM16"/>
      <c r="GN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</row>
    <row r="17" spans="1:281" s="33" customFormat="1" ht="10.5" customHeight="1" x14ac:dyDescent="0.2">
      <c r="A17" s="41" t="s">
        <v>426</v>
      </c>
      <c r="B17" s="949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145"/>
      <c r="V17" s="145"/>
      <c r="W17" s="145"/>
      <c r="X17" s="145"/>
      <c r="Y17" s="145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242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V17" s="34"/>
      <c r="CB17" s="34"/>
      <c r="CC17" s="243"/>
      <c r="CD17" s="243"/>
      <c r="CE17" s="243"/>
      <c r="CF17" s="243"/>
      <c r="CG17" s="143"/>
      <c r="CH17" s="244"/>
      <c r="CI17" s="243"/>
      <c r="CJ17" s="243"/>
      <c r="CK17" s="243"/>
      <c r="CL17" s="243"/>
      <c r="CM17" s="143"/>
      <c r="CN17" s="244"/>
      <c r="CO17" s="243"/>
      <c r="CP17" s="243"/>
      <c r="CQ17" s="243"/>
      <c r="CR17" s="243"/>
      <c r="CS17" s="143"/>
      <c r="CT17" s="244"/>
      <c r="CU17" s="243"/>
      <c r="CV17" s="243"/>
      <c r="CW17" s="243"/>
      <c r="CX17" s="243"/>
      <c r="CY17" s="143"/>
      <c r="CZ17" s="244"/>
      <c r="DA17" s="243"/>
      <c r="DB17" s="243"/>
      <c r="DC17" s="243"/>
      <c r="DD17" s="243"/>
      <c r="DE17" s="143"/>
      <c r="DF17" s="244"/>
      <c r="DG17" s="243"/>
      <c r="DH17" s="243"/>
      <c r="DI17" s="243"/>
      <c r="DJ17" s="243"/>
      <c r="DK17" s="143"/>
      <c r="DL17" s="244"/>
      <c r="DM17" s="243"/>
      <c r="DN17" s="243"/>
      <c r="DO17" s="243"/>
      <c r="DP17" s="243"/>
      <c r="DQ17" s="143"/>
      <c r="DR17" s="244"/>
      <c r="DS17" s="243">
        <v>1371</v>
      </c>
      <c r="DT17" s="243">
        <v>2171</v>
      </c>
      <c r="DU17" s="243">
        <v>2101</v>
      </c>
      <c r="DV17" s="243">
        <v>3769</v>
      </c>
      <c r="DW17" s="143">
        <f>SUM(DS17:DV17)</f>
        <v>9412</v>
      </c>
      <c r="DX17" s="244"/>
      <c r="DY17" s="243">
        <v>1399</v>
      </c>
      <c r="DZ17" s="243">
        <v>2121</v>
      </c>
      <c r="EA17" s="243">
        <v>2128</v>
      </c>
      <c r="EB17" s="243">
        <v>3769</v>
      </c>
      <c r="EC17" s="285">
        <f>SUM(DY17:EB17)</f>
        <v>9417</v>
      </c>
      <c r="ED17" s="244"/>
      <c r="EE17" s="243">
        <v>1370</v>
      </c>
      <c r="EF17" s="243">
        <v>2045</v>
      </c>
      <c r="EG17" s="243">
        <v>1982</v>
      </c>
      <c r="EH17" s="243">
        <v>3138</v>
      </c>
      <c r="EI17" s="285">
        <f>SUM(EE17:EH17)</f>
        <v>8535</v>
      </c>
      <c r="EJ17" s="244"/>
      <c r="EK17" s="243">
        <v>1151</v>
      </c>
      <c r="EL17" s="243">
        <v>1677</v>
      </c>
      <c r="EM17" s="243">
        <v>1680</v>
      </c>
      <c r="EN17" s="243">
        <v>2766</v>
      </c>
      <c r="EO17" s="285">
        <f>SUM(EK17:EN17)</f>
        <v>7274</v>
      </c>
      <c r="EP17" s="244"/>
      <c r="EQ17" s="243">
        <v>1030</v>
      </c>
      <c r="ER17" s="243">
        <v>1347</v>
      </c>
      <c r="ES17" s="243">
        <v>1414</v>
      </c>
      <c r="ET17" s="243">
        <v>2626</v>
      </c>
      <c r="EU17" s="285">
        <f>SUM(EQ17:ET17)</f>
        <v>6417</v>
      </c>
      <c r="EV17" s="244"/>
      <c r="EW17" s="243">
        <v>966</v>
      </c>
      <c r="EX17" s="243">
        <f>7834-1528-4953</f>
        <v>1353</v>
      </c>
      <c r="EY17" s="243">
        <v>1388</v>
      </c>
      <c r="EZ17" s="243">
        <f>ET17*(1+EZ18)</f>
        <v>2448.7449999999999</v>
      </c>
      <c r="FA17" s="285">
        <f>SUM(EW17:EZ17)</f>
        <v>6155.7449999999999</v>
      </c>
      <c r="FB17" s="244"/>
      <c r="FC17" s="243">
        <f>EW17*(1+FC18)</f>
        <v>956.34</v>
      </c>
      <c r="FD17" s="243">
        <f>EX17*(1+FD18)</f>
        <v>1271.82</v>
      </c>
      <c r="FE17" s="243">
        <f>EY17*(1+FE18)</f>
        <v>1290.8399999999999</v>
      </c>
      <c r="FF17" s="243">
        <f>EZ17*(1+FF18)</f>
        <v>2252.8454000000002</v>
      </c>
      <c r="FG17" s="285">
        <f>SUM(FC17:FF17)</f>
        <v>5771.8454000000002</v>
      </c>
      <c r="FH17" s="244"/>
      <c r="FI17" s="243">
        <f>FC17*(1+FI18)</f>
        <v>879.83280000000002</v>
      </c>
      <c r="FJ17" s="243">
        <f>FD17*(1+FJ18)</f>
        <v>1170.0744</v>
      </c>
      <c r="FK17" s="243">
        <f>FE17*(1+FK18)</f>
        <v>1187.5727999999999</v>
      </c>
      <c r="FL17" s="243">
        <f>FF17*(1+FL18)</f>
        <v>2072.6177680000001</v>
      </c>
      <c r="FM17" s="285">
        <f>SUM(FI17:FL17)</f>
        <v>5310.0977679999996</v>
      </c>
      <c r="FN17" s="226"/>
      <c r="FO17" s="245"/>
      <c r="FP17" s="243"/>
      <c r="FQ17" s="243"/>
      <c r="FR17" s="243"/>
      <c r="FS17" s="245">
        <f>DC17+DD17+DG17+DH17</f>
        <v>0</v>
      </c>
      <c r="FT17" s="243">
        <f>DI17+DJ17+DM17+DN17</f>
        <v>0</v>
      </c>
      <c r="FU17" s="243">
        <f>DO17+DP17+DS17+DT17</f>
        <v>3542</v>
      </c>
      <c r="FV17" s="1709">
        <f>DY17+DV17+DZ17+DU17</f>
        <v>9390</v>
      </c>
      <c r="FW17" s="1709">
        <f>EA17+EB17+EE17+EF17</f>
        <v>9312</v>
      </c>
      <c r="FX17" s="1709">
        <f>EG17+EH17+EK17+EL17</f>
        <v>7948</v>
      </c>
      <c r="FY17" s="1709">
        <f>EM17+EN17+EQ17+ER17</f>
        <v>6823</v>
      </c>
      <c r="FZ17" s="1709">
        <f>ES17+ET17+EW17+EX17</f>
        <v>6359</v>
      </c>
      <c r="GA17" s="1709">
        <f>EY17+EZ17+FC17+FD17</f>
        <v>6064.9049999999997</v>
      </c>
      <c r="GB17" s="1709">
        <f>FE17+FF17+FI17+FJ17</f>
        <v>5593.5925999999999</v>
      </c>
      <c r="GC17" s="243"/>
      <c r="GD17" s="243"/>
      <c r="GE17" s="243"/>
      <c r="GF17" s="243"/>
      <c r="GI17"/>
      <c r="GJ17"/>
      <c r="GK17"/>
      <c r="GL17"/>
      <c r="GM17"/>
      <c r="GN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</row>
    <row r="18" spans="1:281" s="37" customFormat="1" ht="10.5" customHeight="1" x14ac:dyDescent="0.2">
      <c r="A18" s="1288" t="s">
        <v>669</v>
      </c>
      <c r="B18" s="1280"/>
      <c r="C18" s="1266"/>
      <c r="D18" s="1281"/>
      <c r="E18" s="1281"/>
      <c r="F18" s="1281"/>
      <c r="G18" s="1281"/>
      <c r="H18" s="1281"/>
      <c r="I18" s="1281"/>
      <c r="J18" s="1281"/>
      <c r="K18" s="1281"/>
      <c r="L18" s="1282"/>
      <c r="M18" s="1282"/>
      <c r="N18" s="1283"/>
      <c r="O18" s="1284"/>
      <c r="P18" s="1284"/>
      <c r="Q18" s="1284"/>
      <c r="R18" s="1284"/>
      <c r="S18" s="1282"/>
      <c r="T18" s="1283"/>
      <c r="U18" s="1282"/>
      <c r="V18" s="1282"/>
      <c r="W18" s="1282"/>
      <c r="X18" s="1282"/>
      <c r="Y18" s="1282"/>
      <c r="Z18" s="1283"/>
      <c r="AA18" s="1282"/>
      <c r="AB18" s="1282"/>
      <c r="AC18" s="1282"/>
      <c r="AD18" s="1282"/>
      <c r="AE18" s="1282"/>
      <c r="AF18" s="1283"/>
      <c r="AG18" s="1282"/>
      <c r="AH18" s="1282"/>
      <c r="AI18" s="1282"/>
      <c r="AJ18" s="1282"/>
      <c r="AK18" s="1282"/>
      <c r="AL18" s="1283"/>
      <c r="AM18" s="1282"/>
      <c r="AN18" s="1282"/>
      <c r="AO18" s="1282"/>
      <c r="AP18" s="1282"/>
      <c r="AQ18" s="1282"/>
      <c r="AR18" s="1283"/>
      <c r="AS18" s="1282"/>
      <c r="AT18" s="1282"/>
      <c r="AU18" s="1282"/>
      <c r="AV18" s="1282"/>
      <c r="AW18" s="1282"/>
      <c r="AX18" s="1283"/>
      <c r="AY18" s="1282"/>
      <c r="AZ18" s="1282"/>
      <c r="BA18" s="1282"/>
      <c r="BB18" s="1282"/>
      <c r="BC18" s="1282"/>
      <c r="BD18" s="1283"/>
      <c r="BE18" s="1282"/>
      <c r="BF18" s="1282"/>
      <c r="BG18" s="1282"/>
      <c r="BH18" s="1282"/>
      <c r="BI18" s="1282"/>
      <c r="BJ18" s="1283"/>
      <c r="BK18" s="1282"/>
      <c r="BL18" s="1282"/>
      <c r="BM18" s="1282"/>
      <c r="BN18" s="1282"/>
      <c r="BO18" s="1282"/>
      <c r="BP18" s="1283"/>
      <c r="BQ18" s="1282"/>
      <c r="BR18" s="1282"/>
      <c r="BS18" s="1282"/>
      <c r="BT18" s="1282"/>
      <c r="BU18" s="1282"/>
      <c r="BV18" s="1283"/>
      <c r="BW18" s="1282"/>
      <c r="BX18" s="1282"/>
      <c r="BY18" s="1282"/>
      <c r="BZ18" s="1282"/>
      <c r="CA18" s="1285"/>
      <c r="CB18" s="1283"/>
      <c r="CC18" s="1285"/>
      <c r="CD18" s="1285"/>
      <c r="CE18" s="1285"/>
      <c r="CF18" s="1285"/>
      <c r="CG18" s="1286"/>
      <c r="CH18" s="1283"/>
      <c r="CI18" s="1285"/>
      <c r="CJ18" s="1285"/>
      <c r="CK18" s="1285"/>
      <c r="CL18" s="1285"/>
      <c r="CM18" s="1270"/>
      <c r="CN18" s="1283"/>
      <c r="CO18" s="1285"/>
      <c r="CP18" s="1285"/>
      <c r="CQ18" s="1285"/>
      <c r="CR18" s="1285"/>
      <c r="CS18" s="1270"/>
      <c r="CT18" s="1283"/>
      <c r="CU18" s="1282"/>
      <c r="CV18" s="1282"/>
      <c r="CW18" s="1282"/>
      <c r="CX18" s="1282"/>
      <c r="CY18" s="1270"/>
      <c r="CZ18" s="1283"/>
      <c r="DA18" s="1282"/>
      <c r="DB18" s="1282"/>
      <c r="DC18" s="1282"/>
      <c r="DD18" s="1282"/>
      <c r="DE18" s="1270"/>
      <c r="DF18" s="1283"/>
      <c r="DG18" s="1282"/>
      <c r="DH18" s="1282"/>
      <c r="DI18" s="1282"/>
      <c r="DJ18" s="1282"/>
      <c r="DK18" s="1270"/>
      <c r="DL18" s="1283"/>
      <c r="DM18" s="1282"/>
      <c r="DN18" s="1282"/>
      <c r="DO18" s="1282"/>
      <c r="DP18" s="1282"/>
      <c r="DQ18" s="1270"/>
      <c r="DR18" s="1283"/>
      <c r="DS18" s="1267"/>
      <c r="DT18" s="1267"/>
      <c r="DU18" s="1267"/>
      <c r="DV18" s="1267"/>
      <c r="DW18" s="1270"/>
      <c r="DX18" s="1283"/>
      <c r="DY18" s="1267">
        <f>DY17/DS17-1</f>
        <v>2.0423048869438354E-2</v>
      </c>
      <c r="DZ18" s="1267">
        <f>DZ17/DT17-1</f>
        <v>-2.3030861354214616E-2</v>
      </c>
      <c r="EA18" s="1267">
        <f>EA17/DU17-1</f>
        <v>1.2851023322227428E-2</v>
      </c>
      <c r="EB18" s="1267">
        <f>EB17/DV17-1</f>
        <v>0</v>
      </c>
      <c r="EC18" s="1270">
        <f>EC17/DW17-1</f>
        <v>5.3123671908195114E-4</v>
      </c>
      <c r="ED18" s="1283"/>
      <c r="EE18" s="1267">
        <f>EE17/DY17-1</f>
        <v>-2.0729092208720545E-2</v>
      </c>
      <c r="EF18" s="1267">
        <f>EF17/DZ17-1</f>
        <v>-3.5832154644035885E-2</v>
      </c>
      <c r="EG18" s="1267">
        <f>EG17/EA17-1</f>
        <v>-6.8609022556391008E-2</v>
      </c>
      <c r="EH18" s="1267">
        <f>EH17/EB17-1</f>
        <v>-0.16741841337224728</v>
      </c>
      <c r="EI18" s="1270">
        <f>EI17/EC17-1</f>
        <v>-9.3660401401720272E-2</v>
      </c>
      <c r="EJ18" s="1267"/>
      <c r="EK18" s="1267">
        <f>EK17/EE17-1</f>
        <v>-0.1598540145985401</v>
      </c>
      <c r="EL18" s="1267">
        <f>EL17/EF17-1</f>
        <v>-0.17995110024449879</v>
      </c>
      <c r="EM18" s="1267">
        <f>EM17/EG17-1</f>
        <v>-0.15237134207870839</v>
      </c>
      <c r="EN18" s="1267">
        <f>EN17/EH17-1</f>
        <v>-0.11854684512428293</v>
      </c>
      <c r="EO18" s="1270">
        <f>EO17/EI17-1</f>
        <v>-0.1477445811364968</v>
      </c>
      <c r="EP18" s="1283"/>
      <c r="EQ18" s="1267">
        <f>EQ17/EK17-1</f>
        <v>-0.10512597741094698</v>
      </c>
      <c r="ER18" s="1267">
        <f>ER17/EL17-1</f>
        <v>-0.19677996422182464</v>
      </c>
      <c r="ES18" s="1267">
        <f>ES17/EM17-1</f>
        <v>-0.15833333333333333</v>
      </c>
      <c r="ET18" s="1267">
        <f>ET17/EN17-1</f>
        <v>-5.0614605929139578E-2</v>
      </c>
      <c r="EU18" s="1270">
        <f>EU17/EO17-1</f>
        <v>-0.117816882045642</v>
      </c>
      <c r="EV18" s="1283"/>
      <c r="EW18" s="1267">
        <f>EW17/EQ17-1</f>
        <v>-6.2135922330097126E-2</v>
      </c>
      <c r="EX18" s="1267">
        <f>EX17/ER17-1</f>
        <v>4.4543429844097204E-3</v>
      </c>
      <c r="EY18" s="1267">
        <f>EY17/ES17-1</f>
        <v>-1.8387553041018356E-2</v>
      </c>
      <c r="EZ18" s="1287">
        <v>-6.7500000000000004E-2</v>
      </c>
      <c r="FA18" s="1270">
        <f>FA17/EU17-1</f>
        <v>-4.0712949976624557E-2</v>
      </c>
      <c r="FB18" s="1283"/>
      <c r="FC18" s="1287">
        <v>-0.01</v>
      </c>
      <c r="FD18" s="1287">
        <v>-0.06</v>
      </c>
      <c r="FE18" s="1287">
        <v>-7.0000000000000007E-2</v>
      </c>
      <c r="FF18" s="1287">
        <v>-0.08</v>
      </c>
      <c r="FG18" s="1270">
        <f>FG17/FA17-1</f>
        <v>-6.2364441671966531E-2</v>
      </c>
      <c r="FH18" s="1283"/>
      <c r="FI18" s="1287">
        <v>-0.08</v>
      </c>
      <c r="FJ18" s="1287">
        <v>-0.08</v>
      </c>
      <c r="FK18" s="1287">
        <v>-0.08</v>
      </c>
      <c r="FL18" s="1287">
        <v>-0.08</v>
      </c>
      <c r="FM18" s="1270">
        <f>FM17/FG17-1</f>
        <v>-8.0000000000000071E-2</v>
      </c>
      <c r="FN18" s="1123"/>
      <c r="FO18" s="235"/>
      <c r="FP18" s="236"/>
      <c r="FQ18" s="236"/>
      <c r="FR18" s="236"/>
      <c r="FS18" s="316"/>
      <c r="FT18" s="236"/>
      <c r="FU18" s="236"/>
      <c r="FV18" s="236"/>
      <c r="FW18" s="236">
        <f t="shared" ref="FW18:GB18" si="7">FW17/FV17-1</f>
        <v>-8.3067092651757379E-3</v>
      </c>
      <c r="FX18" s="236">
        <f t="shared" si="7"/>
        <v>-0.14647766323024058</v>
      </c>
      <c r="FY18" s="236">
        <f t="shared" si="7"/>
        <v>-0.14154504277805735</v>
      </c>
      <c r="FZ18" s="236">
        <f t="shared" si="7"/>
        <v>-6.8005276271434822E-2</v>
      </c>
      <c r="GA18" s="236">
        <f t="shared" si="7"/>
        <v>-4.6248623997483973E-2</v>
      </c>
      <c r="GB18" s="236">
        <f t="shared" si="7"/>
        <v>-7.7711423344635988E-2</v>
      </c>
      <c r="GC18" s="236"/>
      <c r="GD18" s="236"/>
      <c r="GE18" s="236"/>
      <c r="GF18" s="236"/>
      <c r="GI18"/>
      <c r="GJ18"/>
      <c r="GK18"/>
      <c r="GL18"/>
      <c r="GM18"/>
      <c r="GN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</row>
    <row r="19" spans="1:281" s="37" customFormat="1" ht="10.5" customHeight="1" x14ac:dyDescent="0.2">
      <c r="A19" s="1288" t="s">
        <v>1101</v>
      </c>
      <c r="B19" s="1280"/>
      <c r="C19" s="1266"/>
      <c r="D19" s="1266"/>
      <c r="E19" s="1266"/>
      <c r="F19" s="1266"/>
      <c r="G19" s="1266"/>
      <c r="H19" s="1266"/>
      <c r="I19" s="1266"/>
      <c r="J19" s="1266"/>
      <c r="K19" s="1266"/>
      <c r="L19" s="1266"/>
      <c r="M19" s="1266"/>
      <c r="N19" s="1283"/>
      <c r="O19" s="1284"/>
      <c r="P19" s="1282"/>
      <c r="Q19" s="1282"/>
      <c r="R19" s="1282"/>
      <c r="S19" s="1289"/>
      <c r="T19" s="1283"/>
      <c r="U19" s="1282"/>
      <c r="V19" s="1282"/>
      <c r="W19" s="1282"/>
      <c r="X19" s="1282"/>
      <c r="Y19" s="1289"/>
      <c r="Z19" s="1283"/>
      <c r="AA19" s="1282"/>
      <c r="AB19" s="1282"/>
      <c r="AC19" s="1282"/>
      <c r="AD19" s="1282"/>
      <c r="AE19" s="1289"/>
      <c r="AF19" s="1283"/>
      <c r="AG19" s="1282"/>
      <c r="AH19" s="1282"/>
      <c r="AI19" s="1282"/>
      <c r="AJ19" s="1282"/>
      <c r="AK19" s="1289"/>
      <c r="AL19" s="1283"/>
      <c r="AM19" s="1282"/>
      <c r="AN19" s="1282"/>
      <c r="AO19" s="1282"/>
      <c r="AP19" s="1282"/>
      <c r="AQ19" s="1289"/>
      <c r="AR19" s="1283"/>
      <c r="AS19" s="1282"/>
      <c r="AT19" s="1282"/>
      <c r="AU19" s="1282"/>
      <c r="AV19" s="1282"/>
      <c r="AW19" s="1289"/>
      <c r="AX19" s="1283"/>
      <c r="AY19" s="1282"/>
      <c r="AZ19" s="1282"/>
      <c r="BA19" s="1282"/>
      <c r="BB19" s="1282"/>
      <c r="BC19" s="1289"/>
      <c r="BD19" s="1283"/>
      <c r="BE19" s="1282"/>
      <c r="BF19" s="1282"/>
      <c r="BG19" s="1282"/>
      <c r="BH19" s="1282"/>
      <c r="BI19" s="1289"/>
      <c r="BJ19" s="1283"/>
      <c r="BK19" s="1282"/>
      <c r="BL19" s="1282"/>
      <c r="BM19" s="1282"/>
      <c r="BN19" s="1282"/>
      <c r="BO19" s="1289"/>
      <c r="BP19" s="1283"/>
      <c r="BQ19" s="1282"/>
      <c r="BR19" s="1282"/>
      <c r="BS19" s="1282"/>
      <c r="BT19" s="1282"/>
      <c r="BU19" s="1289"/>
      <c r="BV19" s="1283"/>
      <c r="BW19" s="1282"/>
      <c r="BX19" s="1282"/>
      <c r="BY19" s="1282"/>
      <c r="BZ19" s="1282"/>
      <c r="CA19" s="1289"/>
      <c r="CB19" s="1283"/>
      <c r="CC19" s="1282"/>
      <c r="CD19" s="1282"/>
      <c r="CE19" s="1282"/>
      <c r="CF19" s="1282"/>
      <c r="CG19" s="1290"/>
      <c r="CH19" s="1283"/>
      <c r="CI19" s="1282"/>
      <c r="CJ19" s="1282"/>
      <c r="CK19" s="1282"/>
      <c r="CL19" s="1282"/>
      <c r="CM19" s="1290"/>
      <c r="CN19" s="1283"/>
      <c r="CO19" s="1282"/>
      <c r="CP19" s="1282"/>
      <c r="CQ19" s="1282"/>
      <c r="CR19" s="1282"/>
      <c r="CS19" s="1290"/>
      <c r="CT19" s="1283"/>
      <c r="CU19" s="1282"/>
      <c r="CV19" s="1282"/>
      <c r="CW19" s="1282"/>
      <c r="CX19" s="1282"/>
      <c r="CY19" s="1290"/>
      <c r="CZ19" s="1283"/>
      <c r="DA19" s="1282"/>
      <c r="DB19" s="1282"/>
      <c r="DC19" s="1282"/>
      <c r="DD19" s="1282"/>
      <c r="DE19" s="1290"/>
      <c r="DF19" s="1283"/>
      <c r="DG19" s="1282"/>
      <c r="DH19" s="1282"/>
      <c r="DI19" s="1282"/>
      <c r="DJ19" s="1282"/>
      <c r="DK19" s="1290"/>
      <c r="DL19" s="1283"/>
      <c r="DM19" s="1282"/>
      <c r="DN19" s="1282"/>
      <c r="DO19" s="1282"/>
      <c r="DP19" s="1282"/>
      <c r="DQ19" s="1290"/>
      <c r="DR19" s="1283"/>
      <c r="DS19" s="1277"/>
      <c r="DT19" s="1277">
        <f>DT17/DS17-1</f>
        <v>0.58351568198395332</v>
      </c>
      <c r="DU19" s="1277">
        <f>DU17/DT17-1</f>
        <v>-3.2243205895900462E-2</v>
      </c>
      <c r="DV19" s="1277">
        <f>DV17/DU17-1</f>
        <v>0.79390766301761073</v>
      </c>
      <c r="DW19" s="1279" t="s">
        <v>945</v>
      </c>
      <c r="DX19" s="1283"/>
      <c r="DY19" s="1277">
        <f>DY17/DV17-1</f>
        <v>-0.62881400902096041</v>
      </c>
      <c r="DZ19" s="1277">
        <f>DZ17/DY17-1</f>
        <v>0.51608291636883497</v>
      </c>
      <c r="EA19" s="1277">
        <f>EA17/DZ17-1</f>
        <v>3.3003300330032292E-3</v>
      </c>
      <c r="EB19" s="1277">
        <f>EB17/EA17-1</f>
        <v>0.77114661654135341</v>
      </c>
      <c r="EC19" s="1279" t="s">
        <v>945</v>
      </c>
      <c r="ED19" s="1667"/>
      <c r="EE19" s="1277">
        <f>EE17/EB17-1</f>
        <v>-0.63650835765455027</v>
      </c>
      <c r="EF19" s="1277">
        <f>EF17/EE17-1</f>
        <v>0.4927007299270072</v>
      </c>
      <c r="EG19" s="1277">
        <f>EG17/EF17-1</f>
        <v>-3.0806845965770213E-2</v>
      </c>
      <c r="EH19" s="1668">
        <f>EH17/EG17-1</f>
        <v>0.5832492431886982</v>
      </c>
      <c r="EI19" s="1279" t="s">
        <v>945</v>
      </c>
      <c r="EJ19" s="1277"/>
      <c r="EK19" s="1277">
        <f>EK17/EH17-1</f>
        <v>-0.63320586360739317</v>
      </c>
      <c r="EL19" s="1277">
        <f>EL17/EK17-1</f>
        <v>0.45699391833188541</v>
      </c>
      <c r="EM19" s="1277">
        <f>EM17/EL17-1</f>
        <v>1.7889087656528524E-3</v>
      </c>
      <c r="EN19" s="1668">
        <f>EN17/EM17-1</f>
        <v>0.64642857142857135</v>
      </c>
      <c r="EO19" s="1279" t="s">
        <v>945</v>
      </c>
      <c r="EP19" s="1283"/>
      <c r="EQ19" s="1277">
        <f>EQ17/EN17-1</f>
        <v>-0.62762111352133043</v>
      </c>
      <c r="ER19" s="1277">
        <f>ER17/EQ17-1</f>
        <v>0.30776699029126209</v>
      </c>
      <c r="ES19" s="1277">
        <f>ES17/ER17-1</f>
        <v>4.9740163325909359E-2</v>
      </c>
      <c r="ET19" s="1668">
        <f>ET17/ES17-1</f>
        <v>0.85714285714285721</v>
      </c>
      <c r="EU19" s="1279" t="s">
        <v>945</v>
      </c>
      <c r="EV19" s="1283"/>
      <c r="EW19" s="1277">
        <f>EW17/ET17-1</f>
        <v>-0.6321401370906321</v>
      </c>
      <c r="EX19" s="1277">
        <f>EX17/EW17-1</f>
        <v>0.40062111801242239</v>
      </c>
      <c r="EY19" s="1277">
        <f>EY17/EX17-1</f>
        <v>2.5868440502586854E-2</v>
      </c>
      <c r="EZ19" s="1668">
        <f>EZ17/EY17-1</f>
        <v>0.76422550432276659</v>
      </c>
      <c r="FA19" s="1279" t="s">
        <v>945</v>
      </c>
      <c r="FB19" s="1283"/>
      <c r="FC19" s="1277">
        <f>FC17/EZ17-1</f>
        <v>-0.6094570892436737</v>
      </c>
      <c r="FD19" s="1277">
        <f>FD17/FC17-1</f>
        <v>0.32988267770876445</v>
      </c>
      <c r="FE19" s="1277">
        <f>FE17/FD17-1</f>
        <v>1.4954946454686979E-2</v>
      </c>
      <c r="FF19" s="1668">
        <f>FF17/FE17-1</f>
        <v>0.74525533760961871</v>
      </c>
      <c r="FG19" s="1279" t="s">
        <v>945</v>
      </c>
      <c r="FH19" s="1283"/>
      <c r="FI19" s="1277">
        <f>FI17/FF17-1</f>
        <v>-0.60945708924367381</v>
      </c>
      <c r="FJ19" s="1277">
        <f>FJ17/FI17-1</f>
        <v>0.32988267770876467</v>
      </c>
      <c r="FK19" s="1277">
        <f>FK17/FJ17-1</f>
        <v>1.4954946454686979E-2</v>
      </c>
      <c r="FL19" s="1668">
        <f>FL17/FK17-1</f>
        <v>0.74525533760961871</v>
      </c>
      <c r="FM19" s="1279" t="s">
        <v>945</v>
      </c>
      <c r="FN19" s="1123"/>
      <c r="FO19" s="235"/>
      <c r="FS19" s="227"/>
      <c r="FT19" s="33"/>
      <c r="FU19" s="33"/>
      <c r="FV19" s="33"/>
      <c r="FW19" s="33"/>
      <c r="FX19" s="33"/>
      <c r="FY19" s="33"/>
      <c r="FZ19" s="33"/>
      <c r="GA19" s="33"/>
      <c r="GB19" s="33"/>
      <c r="GC19" s="33"/>
      <c r="GD19" s="33"/>
      <c r="GE19" s="33"/>
      <c r="GF19" s="33"/>
      <c r="GI19"/>
      <c r="GJ19"/>
      <c r="GK19"/>
      <c r="GL19"/>
      <c r="GM19"/>
      <c r="GN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</row>
    <row r="20" spans="1:281" s="37" customFormat="1" ht="10.5" customHeight="1" x14ac:dyDescent="0.2">
      <c r="A20" s="127" t="s">
        <v>1261</v>
      </c>
      <c r="B20" s="949"/>
      <c r="C20" s="33"/>
      <c r="D20" s="33"/>
      <c r="E20" s="33"/>
      <c r="F20" s="33"/>
      <c r="G20" s="33"/>
      <c r="H20" s="33"/>
      <c r="I20" s="33"/>
      <c r="J20" s="33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145"/>
      <c r="V20" s="145"/>
      <c r="W20" s="145"/>
      <c r="X20" s="145"/>
      <c r="Y20" s="145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242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4"/>
      <c r="BO20" s="34"/>
      <c r="BP20" s="34"/>
      <c r="BQ20" s="33"/>
      <c r="BR20" s="33"/>
      <c r="BS20" s="33"/>
      <c r="BT20" s="33"/>
      <c r="BU20" s="33"/>
      <c r="BV20" s="34"/>
      <c r="BW20" s="33"/>
      <c r="BX20" s="33"/>
      <c r="BY20" s="33"/>
      <c r="BZ20" s="33"/>
      <c r="CA20" s="33"/>
      <c r="CB20" s="34"/>
      <c r="CC20" s="243"/>
      <c r="CD20" s="243"/>
      <c r="CE20" s="243"/>
      <c r="CF20" s="243"/>
      <c r="CG20" s="143"/>
      <c r="CH20" s="244"/>
      <c r="CI20" s="243"/>
      <c r="CJ20" s="243"/>
      <c r="CK20" s="243"/>
      <c r="CL20" s="243"/>
      <c r="CM20" s="143"/>
      <c r="CN20" s="244"/>
      <c r="CO20" s="243"/>
      <c r="CP20" s="243"/>
      <c r="CQ20" s="243"/>
      <c r="CR20" s="243"/>
      <c r="CS20" s="143"/>
      <c r="CT20" s="244"/>
      <c r="CU20" s="243"/>
      <c r="CV20" s="243"/>
      <c r="CW20" s="243"/>
      <c r="CX20" s="243"/>
      <c r="CY20" s="143"/>
      <c r="CZ20" s="244"/>
      <c r="DA20" s="243"/>
      <c r="DB20" s="243"/>
      <c r="DC20" s="243"/>
      <c r="DD20" s="243"/>
      <c r="DE20" s="143"/>
      <c r="DF20" s="244"/>
      <c r="DG20" s="243"/>
      <c r="DH20" s="243"/>
      <c r="DI20" s="243"/>
      <c r="DJ20" s="243"/>
      <c r="DK20" s="143"/>
      <c r="DL20" s="244"/>
      <c r="DM20" s="243"/>
      <c r="DN20" s="243"/>
      <c r="DO20" s="243"/>
      <c r="DP20" s="243"/>
      <c r="DQ20" s="143"/>
      <c r="DR20" s="244"/>
      <c r="DS20" s="1670">
        <f>DS35+DS29</f>
        <v>341</v>
      </c>
      <c r="DT20" s="1670">
        <f>DT35+DT29</f>
        <v>344</v>
      </c>
      <c r="DU20" s="1670">
        <f>DU35+DU29</f>
        <v>347</v>
      </c>
      <c r="DV20" s="1670">
        <f>DV35+DV29</f>
        <v>378</v>
      </c>
      <c r="DW20" s="285">
        <f>SUM(DS20:DV20)</f>
        <v>1410</v>
      </c>
      <c r="DX20" s="244"/>
      <c r="DY20" s="1670">
        <f>DY35+DY29</f>
        <v>366</v>
      </c>
      <c r="DZ20" s="1670">
        <f>DZ35+DZ29</f>
        <v>359</v>
      </c>
      <c r="EA20" s="1670">
        <f>EA35+EA29</f>
        <v>413</v>
      </c>
      <c r="EB20" s="1670">
        <f>EB35+EB29</f>
        <v>455</v>
      </c>
      <c r="EC20" s="285">
        <f>SUM(DY20:EB20)</f>
        <v>1593</v>
      </c>
      <c r="ED20" s="1669"/>
      <c r="EE20" s="1670">
        <f>EE35+EE29</f>
        <v>477</v>
      </c>
      <c r="EF20" s="1670">
        <f>EF35+EF29</f>
        <v>519</v>
      </c>
      <c r="EG20" s="1670">
        <f>EG35+EG29</f>
        <v>530</v>
      </c>
      <c r="EH20" s="1670">
        <f>EH35+EH29</f>
        <v>579</v>
      </c>
      <c r="EI20" s="285">
        <f>SUM(EE20:EH20)</f>
        <v>2105</v>
      </c>
      <c r="EJ20" s="1669"/>
      <c r="EK20" s="1670">
        <f>EK35+EK29</f>
        <v>612</v>
      </c>
      <c r="EL20" s="1670">
        <f>EL35+EL29</f>
        <v>652</v>
      </c>
      <c r="EM20" s="1670">
        <f>EM35+EM29</f>
        <v>737</v>
      </c>
      <c r="EN20" s="1670">
        <f>EN35+EN29</f>
        <v>860</v>
      </c>
      <c r="EO20" s="285">
        <f>SUM(EK20:EN20)</f>
        <v>2861</v>
      </c>
      <c r="EP20" s="244"/>
      <c r="EQ20" s="1670">
        <f>EQ35+EQ29</f>
        <v>986</v>
      </c>
      <c r="ER20" s="1670">
        <f>ER35+ER29</f>
        <v>1087</v>
      </c>
      <c r="ES20" s="1670">
        <f>ES35+ES29</f>
        <v>1258</v>
      </c>
      <c r="ET20" s="1670">
        <f>ET35+ET29</f>
        <v>1410</v>
      </c>
      <c r="EU20" s="285">
        <f>SUM(EQ20:ET20)</f>
        <v>4741</v>
      </c>
      <c r="EV20" s="244"/>
      <c r="EW20" s="1670">
        <f>EW35+EW29</f>
        <v>1492</v>
      </c>
      <c r="EX20" s="1670">
        <v>1528</v>
      </c>
      <c r="EY20" s="1670">
        <v>1571</v>
      </c>
      <c r="EZ20" s="243">
        <f>+EZ23+EZ32</f>
        <v>1699.1699999999998</v>
      </c>
      <c r="FA20" s="285">
        <f>SUM(EW20:EZ20)</f>
        <v>6290.17</v>
      </c>
      <c r="FB20" s="244"/>
      <c r="FC20" s="243">
        <f>+FC23+FC32</f>
        <v>1806.1068</v>
      </c>
      <c r="FD20" s="243">
        <f>+FD23+FD32</f>
        <v>1911.9</v>
      </c>
      <c r="FE20" s="243">
        <f>+FE23+FE32</f>
        <v>1984.835</v>
      </c>
      <c r="FF20" s="243">
        <f>+FF23+FF32</f>
        <v>2127.0153</v>
      </c>
      <c r="FG20" s="285">
        <f>SUM(FC20:FF20)</f>
        <v>7829.8571000000002</v>
      </c>
      <c r="FH20" s="244"/>
      <c r="FI20" s="243">
        <f>+FI23+FI32</f>
        <v>2233.8850200000002</v>
      </c>
      <c r="FJ20" s="243">
        <f>+FJ23+FJ32</f>
        <v>2351.8910000000001</v>
      </c>
      <c r="FK20" s="243">
        <f>+FK23+FK32</f>
        <v>2426.09375</v>
      </c>
      <c r="FL20" s="243">
        <f>+FL23+FL32</f>
        <v>2584.2304379999996</v>
      </c>
      <c r="FM20" s="285">
        <f>SUM(FI20:FL20)</f>
        <v>9596.1002079999998</v>
      </c>
      <c r="FN20" s="1123"/>
      <c r="FO20" s="235"/>
      <c r="FS20" s="227"/>
      <c r="FT20" s="33"/>
      <c r="FU20" s="33"/>
      <c r="FV20" s="33"/>
      <c r="FW20" s="879"/>
      <c r="FX20" s="33"/>
      <c r="FY20" s="33"/>
      <c r="FZ20" s="33"/>
      <c r="GA20" s="33"/>
      <c r="GB20" s="33"/>
      <c r="GC20" s="33"/>
      <c r="GD20" s="33"/>
      <c r="GE20" s="33"/>
      <c r="GF20" s="33"/>
      <c r="GI20"/>
      <c r="GJ20"/>
      <c r="GK20"/>
      <c r="GL20"/>
      <c r="GM20"/>
      <c r="GN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</row>
    <row r="21" spans="1:281" s="37" customFormat="1" ht="10.5" customHeight="1" x14ac:dyDescent="0.2">
      <c r="A21" s="1288" t="s">
        <v>669</v>
      </c>
      <c r="B21" s="1280"/>
      <c r="C21" s="1266"/>
      <c r="D21" s="1281"/>
      <c r="E21" s="1281"/>
      <c r="F21" s="1281"/>
      <c r="G21" s="1281"/>
      <c r="H21" s="1281"/>
      <c r="I21" s="1281"/>
      <c r="J21" s="1281"/>
      <c r="K21" s="1281"/>
      <c r="L21" s="1282"/>
      <c r="M21" s="1282"/>
      <c r="N21" s="1283"/>
      <c r="O21" s="1284"/>
      <c r="P21" s="1284"/>
      <c r="Q21" s="1284"/>
      <c r="R21" s="1284"/>
      <c r="S21" s="1282"/>
      <c r="T21" s="1283"/>
      <c r="U21" s="1282"/>
      <c r="V21" s="1282"/>
      <c r="W21" s="1282"/>
      <c r="X21" s="1282"/>
      <c r="Y21" s="1282"/>
      <c r="Z21" s="1283"/>
      <c r="AA21" s="1282"/>
      <c r="AB21" s="1282"/>
      <c r="AC21" s="1282"/>
      <c r="AD21" s="1282"/>
      <c r="AE21" s="1282"/>
      <c r="AF21" s="1283"/>
      <c r="AG21" s="1282"/>
      <c r="AH21" s="1282"/>
      <c r="AI21" s="1282"/>
      <c r="AJ21" s="1282"/>
      <c r="AK21" s="1282"/>
      <c r="AL21" s="1283"/>
      <c r="AM21" s="1282"/>
      <c r="AN21" s="1282"/>
      <c r="AO21" s="1282"/>
      <c r="AP21" s="1282"/>
      <c r="AQ21" s="1282"/>
      <c r="AR21" s="1283"/>
      <c r="AS21" s="1282"/>
      <c r="AT21" s="1282"/>
      <c r="AU21" s="1282"/>
      <c r="AV21" s="1282"/>
      <c r="AW21" s="1282"/>
      <c r="AX21" s="1283"/>
      <c r="AY21" s="1282"/>
      <c r="AZ21" s="1282"/>
      <c r="BA21" s="1282"/>
      <c r="BB21" s="1282"/>
      <c r="BC21" s="1282"/>
      <c r="BD21" s="1283"/>
      <c r="BE21" s="1282"/>
      <c r="BF21" s="1282"/>
      <c r="BG21" s="1282"/>
      <c r="BH21" s="1282"/>
      <c r="BI21" s="1282"/>
      <c r="BJ21" s="1283"/>
      <c r="BK21" s="1282"/>
      <c r="BL21" s="1282"/>
      <c r="BM21" s="1282"/>
      <c r="BN21" s="1282"/>
      <c r="BO21" s="1282"/>
      <c r="BP21" s="1283"/>
      <c r="BQ21" s="1282"/>
      <c r="BR21" s="1282"/>
      <c r="BS21" s="1282"/>
      <c r="BT21" s="1282"/>
      <c r="BU21" s="1282"/>
      <c r="BV21" s="1283"/>
      <c r="BW21" s="1282"/>
      <c r="BX21" s="1282"/>
      <c r="BY21" s="1282"/>
      <c r="BZ21" s="1282"/>
      <c r="CA21" s="1285"/>
      <c r="CB21" s="1283"/>
      <c r="CC21" s="1285"/>
      <c r="CD21" s="1285"/>
      <c r="CE21" s="1285"/>
      <c r="CF21" s="1285"/>
      <c r="CG21" s="1286"/>
      <c r="CH21" s="1283"/>
      <c r="CI21" s="1285"/>
      <c r="CJ21" s="1285"/>
      <c r="CK21" s="1285"/>
      <c r="CL21" s="1285"/>
      <c r="CM21" s="1270"/>
      <c r="CN21" s="1283"/>
      <c r="CO21" s="1285"/>
      <c r="CP21" s="1285"/>
      <c r="CQ21" s="1285"/>
      <c r="CR21" s="1285"/>
      <c r="CS21" s="1270"/>
      <c r="CT21" s="1283"/>
      <c r="CU21" s="1282"/>
      <c r="CV21" s="1282"/>
      <c r="CW21" s="1282"/>
      <c r="CX21" s="1282"/>
      <c r="CY21" s="1270"/>
      <c r="CZ21" s="1283"/>
      <c r="DA21" s="1282"/>
      <c r="DB21" s="1282"/>
      <c r="DC21" s="1282"/>
      <c r="DD21" s="1282"/>
      <c r="DE21" s="1270"/>
      <c r="DF21" s="1283"/>
      <c r="DG21" s="1282"/>
      <c r="DH21" s="1282"/>
      <c r="DI21" s="1282"/>
      <c r="DJ21" s="1282"/>
      <c r="DK21" s="1270"/>
      <c r="DL21" s="1283"/>
      <c r="DM21" s="1282"/>
      <c r="DN21" s="1282"/>
      <c r="DO21" s="1282"/>
      <c r="DP21" s="1282"/>
      <c r="DQ21" s="1270"/>
      <c r="DR21" s="1283"/>
      <c r="DS21" s="1267"/>
      <c r="DT21" s="1267"/>
      <c r="DU21" s="1267"/>
      <c r="DV21" s="1267"/>
      <c r="DW21" s="1270"/>
      <c r="DX21" s="1283"/>
      <c r="DY21" s="1267">
        <f>DY20/DS20-1</f>
        <v>7.3313782991202281E-2</v>
      </c>
      <c r="DZ21" s="1267">
        <f>DZ20/DT20-1</f>
        <v>4.3604651162790775E-2</v>
      </c>
      <c r="EA21" s="1267">
        <f>EA20/DU20-1</f>
        <v>0.19020172910662825</v>
      </c>
      <c r="EB21" s="1267">
        <f>EB20/DV20-1</f>
        <v>0.20370370370370372</v>
      </c>
      <c r="EC21" s="1270">
        <f>EC20/DW20-1</f>
        <v>0.12978723404255321</v>
      </c>
      <c r="ED21" s="1672"/>
      <c r="EE21" s="1267">
        <f>EE20/DY20-1</f>
        <v>0.30327868852459017</v>
      </c>
      <c r="EF21" s="1267">
        <f>EF20/DZ20-1</f>
        <v>0.44568245125348183</v>
      </c>
      <c r="EG21" s="1267">
        <f>EG20/EA20-1</f>
        <v>0.28329297820823252</v>
      </c>
      <c r="EH21" s="1267">
        <f>EH20/EB20-1</f>
        <v>0.27252747252747245</v>
      </c>
      <c r="EI21" s="1270">
        <f>EI20/EC20-1</f>
        <v>0.32140615191462651</v>
      </c>
      <c r="EJ21" s="1672"/>
      <c r="EK21" s="1267">
        <f>EK20/EE20-1</f>
        <v>0.28301886792452824</v>
      </c>
      <c r="EL21" s="1267">
        <f>EL20/EF20-1</f>
        <v>0.25626204238920991</v>
      </c>
      <c r="EM21" s="1267">
        <f>EM20/EG20-1</f>
        <v>0.39056603773584908</v>
      </c>
      <c r="EN21" s="1267">
        <f>EN20/EH20-1</f>
        <v>0.48531951640759941</v>
      </c>
      <c r="EO21" s="1270">
        <f>EO20/EI20-1</f>
        <v>0.359144893111639</v>
      </c>
      <c r="EP21" s="1283"/>
      <c r="EQ21" s="1267">
        <f>EQ20/EK20-1</f>
        <v>0.61111111111111116</v>
      </c>
      <c r="ER21" s="1267">
        <f>ER20/EL20-1</f>
        <v>0.66717791411042948</v>
      </c>
      <c r="ES21" s="1267">
        <f>ES20/EM20-1</f>
        <v>0.70691994572591588</v>
      </c>
      <c r="ET21" s="1267">
        <f>ET20/EN20-1</f>
        <v>0.63953488372093026</v>
      </c>
      <c r="EU21" s="1270">
        <f>EU20/EO20-1</f>
        <v>0.65711289758825586</v>
      </c>
      <c r="EV21" s="1283"/>
      <c r="EW21" s="1267">
        <f>EW20/EQ20-1</f>
        <v>0.51318458417849899</v>
      </c>
      <c r="EX21" s="1267">
        <f>EX20/ER20-1</f>
        <v>0.40570377184912609</v>
      </c>
      <c r="EY21" s="1267">
        <f>EY20/ES20-1</f>
        <v>0.24880763116057225</v>
      </c>
      <c r="EZ21" s="1267">
        <f>EZ20/ET20-1</f>
        <v>0.20508510638297861</v>
      </c>
      <c r="FA21" s="1270">
        <f>FA20/EU20-1</f>
        <v>0.32676017717781058</v>
      </c>
      <c r="FB21" s="1283"/>
      <c r="FC21" s="1267">
        <f>FC20/EW20-1</f>
        <v>0.21052734584450405</v>
      </c>
      <c r="FD21" s="1267">
        <f>FD20/EX20-1</f>
        <v>0.25124345549738236</v>
      </c>
      <c r="FE21" s="1267">
        <f>FE20/EY20-1</f>
        <v>0.26342138765117751</v>
      </c>
      <c r="FF21" s="1267">
        <f>FF20/EZ20-1</f>
        <v>0.25179664188986406</v>
      </c>
      <c r="FG21" s="1270">
        <f>FG20/FA20-1</f>
        <v>0.24477670714781952</v>
      </c>
      <c r="FH21" s="1283"/>
      <c r="FI21" s="1267">
        <f>FI20/FC20-1</f>
        <v>0.23685101013959975</v>
      </c>
      <c r="FJ21" s="1267">
        <f>FJ20/FD20-1</f>
        <v>0.23013285213661794</v>
      </c>
      <c r="FK21" s="1267">
        <f>FK20/FE20-1</f>
        <v>0.2223150790871784</v>
      </c>
      <c r="FL21" s="1267">
        <f>FL20/FF20-1</f>
        <v>0.21495620553364114</v>
      </c>
      <c r="FM21" s="1270">
        <f>FM20/FG20-1</f>
        <v>0.22557794930893427</v>
      </c>
      <c r="FN21" s="1123"/>
      <c r="FO21" s="235"/>
      <c r="FS21" s="227"/>
      <c r="FT21" s="33"/>
      <c r="FU21" s="33"/>
      <c r="FV21" s="33"/>
      <c r="FW21" s="33"/>
      <c r="FX21" s="33"/>
      <c r="FY21" s="33"/>
      <c r="FZ21" s="33"/>
      <c r="GA21" s="33"/>
      <c r="GB21" s="33"/>
      <c r="GC21" s="33"/>
      <c r="GD21" s="33"/>
      <c r="GE21" s="33"/>
      <c r="GF21" s="33"/>
      <c r="GI21"/>
      <c r="GJ21"/>
      <c r="GK21"/>
      <c r="GL21"/>
      <c r="GM21"/>
      <c r="GN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</row>
    <row r="22" spans="1:281" s="37" customFormat="1" ht="10.5" customHeight="1" x14ac:dyDescent="0.2">
      <c r="A22" s="1288" t="s">
        <v>1101</v>
      </c>
      <c r="B22" s="1280"/>
      <c r="C22" s="1266"/>
      <c r="D22" s="1266"/>
      <c r="E22" s="1266"/>
      <c r="F22" s="1266"/>
      <c r="G22" s="1266"/>
      <c r="H22" s="1266"/>
      <c r="I22" s="1266"/>
      <c r="J22" s="1266"/>
      <c r="K22" s="1266"/>
      <c r="L22" s="1266"/>
      <c r="M22" s="1266"/>
      <c r="N22" s="1283"/>
      <c r="O22" s="1284"/>
      <c r="P22" s="1282"/>
      <c r="Q22" s="1282"/>
      <c r="R22" s="1282"/>
      <c r="S22" s="1289"/>
      <c r="T22" s="1283"/>
      <c r="U22" s="1282"/>
      <c r="V22" s="1282"/>
      <c r="W22" s="1282"/>
      <c r="X22" s="1282"/>
      <c r="Y22" s="1289"/>
      <c r="Z22" s="1283"/>
      <c r="AA22" s="1282"/>
      <c r="AB22" s="1282"/>
      <c r="AC22" s="1282"/>
      <c r="AD22" s="1282"/>
      <c r="AE22" s="1289"/>
      <c r="AF22" s="1283"/>
      <c r="AG22" s="1282"/>
      <c r="AH22" s="1282"/>
      <c r="AI22" s="1282"/>
      <c r="AJ22" s="1282"/>
      <c r="AK22" s="1289"/>
      <c r="AL22" s="1283"/>
      <c r="AM22" s="1282"/>
      <c r="AN22" s="1282"/>
      <c r="AO22" s="1282"/>
      <c r="AP22" s="1282"/>
      <c r="AQ22" s="1289"/>
      <c r="AR22" s="1283"/>
      <c r="AS22" s="1282"/>
      <c r="AT22" s="1282"/>
      <c r="AU22" s="1282"/>
      <c r="AV22" s="1282"/>
      <c r="AW22" s="1289"/>
      <c r="AX22" s="1283"/>
      <c r="AY22" s="1282"/>
      <c r="AZ22" s="1282"/>
      <c r="BA22" s="1282"/>
      <c r="BB22" s="1282"/>
      <c r="BC22" s="1289"/>
      <c r="BD22" s="1283"/>
      <c r="BE22" s="1282"/>
      <c r="BF22" s="1282"/>
      <c r="BG22" s="1282"/>
      <c r="BH22" s="1282"/>
      <c r="BI22" s="1289"/>
      <c r="BJ22" s="1283"/>
      <c r="BK22" s="1282"/>
      <c r="BL22" s="1282"/>
      <c r="BM22" s="1282"/>
      <c r="BN22" s="1282"/>
      <c r="BO22" s="1289"/>
      <c r="BP22" s="1283"/>
      <c r="BQ22" s="1282"/>
      <c r="BR22" s="1282"/>
      <c r="BS22" s="1282"/>
      <c r="BT22" s="1282"/>
      <c r="BU22" s="1289"/>
      <c r="BV22" s="1283"/>
      <c r="BW22" s="1282"/>
      <c r="BX22" s="1282"/>
      <c r="BY22" s="1282"/>
      <c r="BZ22" s="1282"/>
      <c r="CA22" s="1289"/>
      <c r="CB22" s="1283"/>
      <c r="CC22" s="1282"/>
      <c r="CD22" s="1282"/>
      <c r="CE22" s="1282"/>
      <c r="CF22" s="1282"/>
      <c r="CG22" s="1290"/>
      <c r="CH22" s="1283"/>
      <c r="CI22" s="1282"/>
      <c r="CJ22" s="1282"/>
      <c r="CK22" s="1282"/>
      <c r="CL22" s="1282"/>
      <c r="CM22" s="1290"/>
      <c r="CN22" s="1283"/>
      <c r="CO22" s="1282"/>
      <c r="CP22" s="1282"/>
      <c r="CQ22" s="1282"/>
      <c r="CR22" s="1282"/>
      <c r="CS22" s="1290"/>
      <c r="CT22" s="1283"/>
      <c r="CU22" s="1282"/>
      <c r="CV22" s="1282"/>
      <c r="CW22" s="1282"/>
      <c r="CX22" s="1282"/>
      <c r="CY22" s="1290"/>
      <c r="CZ22" s="1283"/>
      <c r="DA22" s="1282"/>
      <c r="DB22" s="1282"/>
      <c r="DC22" s="1282"/>
      <c r="DD22" s="1282"/>
      <c r="DE22" s="1290"/>
      <c r="DF22" s="1283"/>
      <c r="DG22" s="1282"/>
      <c r="DH22" s="1282"/>
      <c r="DI22" s="1282"/>
      <c r="DJ22" s="1282"/>
      <c r="DK22" s="1290"/>
      <c r="DL22" s="1283"/>
      <c r="DM22" s="1282"/>
      <c r="DN22" s="1282"/>
      <c r="DO22" s="1282"/>
      <c r="DP22" s="1282"/>
      <c r="DQ22" s="1290"/>
      <c r="DR22" s="1283"/>
      <c r="DS22" s="1277"/>
      <c r="DT22" s="1277">
        <f>DT20/DS20-1</f>
        <v>8.7976539589442737E-3</v>
      </c>
      <c r="DU22" s="1277">
        <f>DU20/DT20-1</f>
        <v>8.720930232558155E-3</v>
      </c>
      <c r="DV22" s="1668">
        <f>DV20/DU20-1</f>
        <v>8.9337175792507217E-2</v>
      </c>
      <c r="DW22" s="1279" t="s">
        <v>945</v>
      </c>
      <c r="DX22" s="1283"/>
      <c r="DY22" s="1277">
        <f>DY20/DV20-1</f>
        <v>-3.1746031746031744E-2</v>
      </c>
      <c r="DZ22" s="1277">
        <f>DZ20/DY20-1</f>
        <v>-1.9125683060109311E-2</v>
      </c>
      <c r="EA22" s="1277">
        <f>EA20/DZ20-1</f>
        <v>0.15041782729805009</v>
      </c>
      <c r="EB22" s="1668">
        <f>EB20/EA20-1</f>
        <v>0.10169491525423724</v>
      </c>
      <c r="EC22" s="1279" t="s">
        <v>945</v>
      </c>
      <c r="ED22" s="1667"/>
      <c r="EE22" s="1277">
        <f>EE20/EB20-1</f>
        <v>4.8351648351648402E-2</v>
      </c>
      <c r="EF22" s="1277">
        <f>EF20/EE20-1</f>
        <v>8.8050314465408785E-2</v>
      </c>
      <c r="EG22" s="1277">
        <f>EG20/EF20-1</f>
        <v>2.1194605009633882E-2</v>
      </c>
      <c r="EH22" s="1668">
        <f>EH20/EG20-1</f>
        <v>9.2452830188679336E-2</v>
      </c>
      <c r="EI22" s="1279" t="s">
        <v>945</v>
      </c>
      <c r="EJ22" s="1667"/>
      <c r="EK22" s="1277">
        <f>EK20/EH20-1</f>
        <v>5.6994818652849721E-2</v>
      </c>
      <c r="EL22" s="1277">
        <f>EL20/EK20-1</f>
        <v>6.5359477124182996E-2</v>
      </c>
      <c r="EM22" s="1277">
        <f>EM20/EL20-1</f>
        <v>0.13036809815950923</v>
      </c>
      <c r="EN22" s="1668">
        <f>EN20/EM20-1</f>
        <v>0.16689280868385348</v>
      </c>
      <c r="EO22" s="1279" t="s">
        <v>945</v>
      </c>
      <c r="EP22" s="1283"/>
      <c r="EQ22" s="1277">
        <f>EQ20/EN20-1</f>
        <v>0.14651162790697669</v>
      </c>
      <c r="ER22" s="1277">
        <f>ER20/EQ20-1</f>
        <v>0.10243407707910746</v>
      </c>
      <c r="ES22" s="1277">
        <f>ES20/ER20-1</f>
        <v>0.15731370745170192</v>
      </c>
      <c r="ET22" s="1668">
        <f>ET20/ES20-1</f>
        <v>0.12082670906200321</v>
      </c>
      <c r="EU22" s="1279" t="s">
        <v>945</v>
      </c>
      <c r="EV22" s="1283"/>
      <c r="EW22" s="1277">
        <f>EW20/ET20-1</f>
        <v>5.8156028368794299E-2</v>
      </c>
      <c r="EX22" s="1277">
        <f>EX20/EW20-1</f>
        <v>2.4128686327077764E-2</v>
      </c>
      <c r="EY22" s="1277">
        <f>EY20/EX20-1</f>
        <v>2.8141361256544428E-2</v>
      </c>
      <c r="EZ22" s="1668">
        <f>EZ20/EY20-1</f>
        <v>8.158497772119655E-2</v>
      </c>
      <c r="FA22" s="1279" t="s">
        <v>945</v>
      </c>
      <c r="FB22" s="1283"/>
      <c r="FC22" s="1277">
        <f>FC20/EZ20-1</f>
        <v>6.2934726954925191E-2</v>
      </c>
      <c r="FD22" s="1277">
        <f>FD20/FC20-1</f>
        <v>5.8575273621692903E-2</v>
      </c>
      <c r="FE22" s="1277">
        <f>FE20/FD20-1</f>
        <v>3.814791568596676E-2</v>
      </c>
      <c r="FF22" s="1668">
        <f>FF20/FE20-1</f>
        <v>7.1633309569813175E-2</v>
      </c>
      <c r="FG22" s="1279" t="s">
        <v>945</v>
      </c>
      <c r="FH22" s="1283"/>
      <c r="FI22" s="1277">
        <f>FI20/FF20-1</f>
        <v>5.0243982730166614E-2</v>
      </c>
      <c r="FJ22" s="1277">
        <f>FJ20/FI20-1</f>
        <v>5.2825449359967358E-2</v>
      </c>
      <c r="FK22" s="1277">
        <f>FK20/FJ20-1</f>
        <v>3.1550250415516734E-2</v>
      </c>
      <c r="FL22" s="1668">
        <f>FL20/FK20-1</f>
        <v>6.5181606440394058E-2</v>
      </c>
      <c r="FM22" s="1279" t="s">
        <v>945</v>
      </c>
      <c r="FN22" s="1123"/>
      <c r="FO22" s="235"/>
      <c r="FS22" s="227"/>
      <c r="FT22" s="33"/>
      <c r="FU22" s="33"/>
      <c r="FV22" s="33"/>
      <c r="FW22" s="33"/>
      <c r="FX22" s="33"/>
      <c r="FY22" s="33"/>
      <c r="FZ22" s="33"/>
      <c r="GA22" s="33"/>
      <c r="GB22" s="33"/>
      <c r="GC22" s="33"/>
      <c r="GD22" s="33"/>
      <c r="GE22" s="33"/>
      <c r="GF22" s="33"/>
      <c r="GI22"/>
      <c r="GJ22"/>
      <c r="GK22"/>
      <c r="GL22"/>
      <c r="GM22"/>
      <c r="GN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</row>
    <row r="23" spans="1:281" s="37" customFormat="1" ht="10.5" customHeight="1" x14ac:dyDescent="0.2">
      <c r="A23" s="127" t="s">
        <v>1244</v>
      </c>
      <c r="B23" s="949"/>
      <c r="C23" s="33"/>
      <c r="D23" s="33"/>
      <c r="E23" s="33"/>
      <c r="F23" s="33"/>
      <c r="G23" s="33"/>
      <c r="H23" s="33"/>
      <c r="I23" s="33"/>
      <c r="J23" s="33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145"/>
      <c r="V23" s="145"/>
      <c r="W23" s="145"/>
      <c r="X23" s="145"/>
      <c r="Y23" s="145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242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3"/>
      <c r="BR23" s="33"/>
      <c r="BS23" s="33"/>
      <c r="BT23" s="33"/>
      <c r="BU23" s="33"/>
      <c r="BV23" s="34"/>
      <c r="BW23" s="33"/>
      <c r="BX23" s="33"/>
      <c r="BY23" s="33"/>
      <c r="BZ23" s="33"/>
      <c r="CA23" s="33"/>
      <c r="CB23" s="34"/>
      <c r="CC23" s="243"/>
      <c r="CD23" s="243"/>
      <c r="CE23" s="243"/>
      <c r="CF23" s="243"/>
      <c r="CG23" s="143"/>
      <c r="CH23" s="244"/>
      <c r="CI23" s="243"/>
      <c r="CJ23" s="243"/>
      <c r="CK23" s="243"/>
      <c r="CL23" s="243"/>
      <c r="CM23" s="143"/>
      <c r="CN23" s="244"/>
      <c r="CO23" s="243"/>
      <c r="CP23" s="243"/>
      <c r="CQ23" s="243"/>
      <c r="CR23" s="243"/>
      <c r="CS23" s="143"/>
      <c r="CT23" s="244"/>
      <c r="CU23" s="243"/>
      <c r="CV23" s="243"/>
      <c r="CW23" s="243"/>
      <c r="CX23" s="243"/>
      <c r="CY23" s="143"/>
      <c r="CZ23" s="244"/>
      <c r="DA23" s="243"/>
      <c r="DB23" s="243"/>
      <c r="DC23" s="243"/>
      <c r="DD23" s="243"/>
      <c r="DE23" s="143"/>
      <c r="DF23" s="244"/>
      <c r="DG23" s="243"/>
      <c r="DH23" s="243"/>
      <c r="DI23" s="243"/>
      <c r="DJ23" s="243"/>
      <c r="DK23" s="143"/>
      <c r="DL23" s="244"/>
      <c r="DM23" s="243"/>
      <c r="DN23" s="243"/>
      <c r="DO23" s="243"/>
      <c r="DP23" s="243"/>
      <c r="DQ23" s="143"/>
      <c r="DR23" s="244"/>
      <c r="DS23" s="243"/>
      <c r="DT23" s="243"/>
      <c r="DU23" s="243"/>
      <c r="DV23" s="243"/>
      <c r="DW23" s="143"/>
      <c r="DX23" s="244"/>
      <c r="DY23" s="243"/>
      <c r="DZ23" s="243"/>
      <c r="EA23" s="243"/>
      <c r="EB23" s="243">
        <v>325</v>
      </c>
      <c r="EC23" s="285"/>
      <c r="ED23" s="1669"/>
      <c r="EE23" s="1670">
        <v>339</v>
      </c>
      <c r="EF23" s="1670">
        <v>363</v>
      </c>
      <c r="EG23" s="1670">
        <v>373</v>
      </c>
      <c r="EH23" s="1671">
        <v>413</v>
      </c>
      <c r="EI23" s="285">
        <f>SUM(EE23:EH23)</f>
        <v>1488</v>
      </c>
      <c r="EJ23" s="1669"/>
      <c r="EK23" s="1670">
        <v>439</v>
      </c>
      <c r="EL23" s="1670">
        <v>464</v>
      </c>
      <c r="EM23" s="1670">
        <v>528</v>
      </c>
      <c r="EN23" s="1671">
        <v>577</v>
      </c>
      <c r="EO23" s="285">
        <f>SUM(EK23:EN23)</f>
        <v>2008</v>
      </c>
      <c r="EP23" s="244"/>
      <c r="EQ23" s="1670">
        <v>674</v>
      </c>
      <c r="ER23" s="1670">
        <v>760</v>
      </c>
      <c r="ES23" s="243">
        <v>934</v>
      </c>
      <c r="ET23" s="1671">
        <v>1007</v>
      </c>
      <c r="EU23" s="285">
        <f>SUM(EQ23:ET23)</f>
        <v>3375</v>
      </c>
      <c r="EV23" s="244"/>
      <c r="EW23" s="1670">
        <v>1089</v>
      </c>
      <c r="EX23" s="1670">
        <v>1130</v>
      </c>
      <c r="EY23" s="243">
        <v>1155</v>
      </c>
      <c r="EZ23" s="243">
        <f>ET23*(1+EZ24)</f>
        <v>1238.6099999999999</v>
      </c>
      <c r="FA23" s="285">
        <f>SUM(EW23:EZ23)</f>
        <v>4612.6099999999997</v>
      </c>
      <c r="FB23" s="244"/>
      <c r="FC23" s="243">
        <f>EW23*(1+FC24)</f>
        <v>1339.47</v>
      </c>
      <c r="FD23" s="243">
        <f>EX23*(1+FD24)</f>
        <v>1446.4</v>
      </c>
      <c r="FE23" s="243">
        <f>EY23*(1+FE24)</f>
        <v>1501.5</v>
      </c>
      <c r="FF23" s="243">
        <f>EZ23*(1+FF24)</f>
        <v>1597.8068999999998</v>
      </c>
      <c r="FG23" s="285">
        <f>SUM(FC23:FF23)</f>
        <v>5885.1768999999995</v>
      </c>
      <c r="FH23" s="244"/>
      <c r="FI23" s="243">
        <f>FC23*(1+FI24)</f>
        <v>1674.3375000000001</v>
      </c>
      <c r="FJ23" s="243">
        <f>FD23*(1+FJ24)</f>
        <v>1793.5360000000001</v>
      </c>
      <c r="FK23" s="243">
        <f>FE23*(1+FK24)</f>
        <v>1846.845</v>
      </c>
      <c r="FL23" s="243">
        <f>FF23*(1+FL24)</f>
        <v>1949.3244179999997</v>
      </c>
      <c r="FM23" s="285">
        <f>SUM(FI23:FL23)</f>
        <v>7264.0429179999992</v>
      </c>
      <c r="FN23" s="1123"/>
      <c r="FO23" s="235"/>
      <c r="FS23" s="235"/>
      <c r="FT23" s="33"/>
      <c r="FU23" s="33"/>
      <c r="FV23" s="33"/>
      <c r="FW23" s="33"/>
      <c r="FX23" s="33"/>
      <c r="FY23" s="1709">
        <f>EM23+EN23+EQ23+ER23</f>
        <v>2539</v>
      </c>
      <c r="FZ23" s="1709">
        <f>ES23+ET23+EW23+EX23</f>
        <v>4160</v>
      </c>
      <c r="GA23" s="1709">
        <f>EY23+EZ23+FC23+FD23</f>
        <v>5179.4799999999996</v>
      </c>
      <c r="GB23" s="1709">
        <f>FE23+FF23+FI23+FJ23</f>
        <v>6567.1803999999993</v>
      </c>
      <c r="GC23" s="33"/>
      <c r="GD23" s="33"/>
      <c r="GE23" s="33"/>
      <c r="GF23" s="33"/>
      <c r="GI23"/>
      <c r="GJ23"/>
      <c r="GK23"/>
      <c r="GL23"/>
      <c r="GM23"/>
      <c r="GN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</row>
    <row r="24" spans="1:281" s="37" customFormat="1" ht="10.5" customHeight="1" x14ac:dyDescent="0.2">
      <c r="A24" s="1288" t="s">
        <v>669</v>
      </c>
      <c r="B24" s="1280"/>
      <c r="C24" s="1266"/>
      <c r="D24" s="1281"/>
      <c r="E24" s="1281"/>
      <c r="F24" s="1281"/>
      <c r="G24" s="1281"/>
      <c r="H24" s="1281"/>
      <c r="I24" s="1281"/>
      <c r="J24" s="1281"/>
      <c r="K24" s="1281"/>
      <c r="L24" s="1282"/>
      <c r="M24" s="1282"/>
      <c r="N24" s="1283"/>
      <c r="O24" s="1284"/>
      <c r="P24" s="1284"/>
      <c r="Q24" s="1284"/>
      <c r="R24" s="1284"/>
      <c r="S24" s="1282"/>
      <c r="T24" s="1283"/>
      <c r="U24" s="1282"/>
      <c r="V24" s="1282"/>
      <c r="W24" s="1282"/>
      <c r="X24" s="1282"/>
      <c r="Y24" s="1282"/>
      <c r="Z24" s="1283"/>
      <c r="AA24" s="1282"/>
      <c r="AB24" s="1282"/>
      <c r="AC24" s="1282"/>
      <c r="AD24" s="1282"/>
      <c r="AE24" s="1282"/>
      <c r="AF24" s="1283"/>
      <c r="AG24" s="1282"/>
      <c r="AH24" s="1282"/>
      <c r="AI24" s="1282"/>
      <c r="AJ24" s="1282"/>
      <c r="AK24" s="1282"/>
      <c r="AL24" s="1283"/>
      <c r="AM24" s="1282"/>
      <c r="AN24" s="1282"/>
      <c r="AO24" s="1282"/>
      <c r="AP24" s="1282"/>
      <c r="AQ24" s="1282"/>
      <c r="AR24" s="1283"/>
      <c r="AS24" s="1282"/>
      <c r="AT24" s="1282"/>
      <c r="AU24" s="1282"/>
      <c r="AV24" s="1282"/>
      <c r="AW24" s="1282"/>
      <c r="AX24" s="1283"/>
      <c r="AY24" s="1282"/>
      <c r="AZ24" s="1282"/>
      <c r="BA24" s="1282"/>
      <c r="BB24" s="1282"/>
      <c r="BC24" s="1282"/>
      <c r="BD24" s="1283"/>
      <c r="BE24" s="1282"/>
      <c r="BF24" s="1282"/>
      <c r="BG24" s="1282"/>
      <c r="BH24" s="1282"/>
      <c r="BI24" s="1282"/>
      <c r="BJ24" s="1283"/>
      <c r="BK24" s="1282"/>
      <c r="BL24" s="1282"/>
      <c r="BM24" s="1282"/>
      <c r="BN24" s="1282"/>
      <c r="BO24" s="1282"/>
      <c r="BP24" s="1283"/>
      <c r="BQ24" s="1282"/>
      <c r="BR24" s="1282"/>
      <c r="BS24" s="1282"/>
      <c r="BT24" s="1282"/>
      <c r="BU24" s="1282"/>
      <c r="BV24" s="1283"/>
      <c r="BW24" s="1282"/>
      <c r="BX24" s="1282"/>
      <c r="BY24" s="1282"/>
      <c r="BZ24" s="1282"/>
      <c r="CA24" s="1285"/>
      <c r="CB24" s="1283"/>
      <c r="CC24" s="1285"/>
      <c r="CD24" s="1285"/>
      <c r="CE24" s="1285"/>
      <c r="CF24" s="1285"/>
      <c r="CG24" s="1286"/>
      <c r="CH24" s="1283"/>
      <c r="CI24" s="1285"/>
      <c r="CJ24" s="1285"/>
      <c r="CK24" s="1285"/>
      <c r="CL24" s="1285"/>
      <c r="CM24" s="1270"/>
      <c r="CN24" s="1283"/>
      <c r="CO24" s="1285"/>
      <c r="CP24" s="1285"/>
      <c r="CQ24" s="1285"/>
      <c r="CR24" s="1285"/>
      <c r="CS24" s="1270"/>
      <c r="CT24" s="1283"/>
      <c r="CU24" s="1282"/>
      <c r="CV24" s="1282"/>
      <c r="CW24" s="1282"/>
      <c r="CX24" s="1282"/>
      <c r="CY24" s="1270"/>
      <c r="CZ24" s="1283"/>
      <c r="DA24" s="1282"/>
      <c r="DB24" s="1282"/>
      <c r="DC24" s="1282"/>
      <c r="DD24" s="1282"/>
      <c r="DE24" s="1270"/>
      <c r="DF24" s="1283"/>
      <c r="DG24" s="1282"/>
      <c r="DH24" s="1282"/>
      <c r="DI24" s="1282"/>
      <c r="DJ24" s="1282"/>
      <c r="DK24" s="1270"/>
      <c r="DL24" s="1283"/>
      <c r="DM24" s="1282"/>
      <c r="DN24" s="1282"/>
      <c r="DO24" s="1282"/>
      <c r="DP24" s="1282"/>
      <c r="DQ24" s="1270"/>
      <c r="DR24" s="1283"/>
      <c r="DS24" s="1267"/>
      <c r="DT24" s="1267"/>
      <c r="DU24" s="1267"/>
      <c r="DV24" s="1267"/>
      <c r="DW24" s="1270"/>
      <c r="DX24" s="1283"/>
      <c r="DY24" s="1267"/>
      <c r="DZ24" s="1267"/>
      <c r="EA24" s="1267"/>
      <c r="EB24" s="1267"/>
      <c r="EC24" s="1270"/>
      <c r="ED24" s="1672"/>
      <c r="EE24" s="1267"/>
      <c r="EF24" s="1267"/>
      <c r="EG24" s="1267"/>
      <c r="EH24" s="1267">
        <f>EH23/EB23-1</f>
        <v>0.27076923076923087</v>
      </c>
      <c r="EI24" s="1270"/>
      <c r="EJ24" s="1283"/>
      <c r="EK24" s="1267">
        <f>EK23/EE23-1</f>
        <v>0.29498525073746307</v>
      </c>
      <c r="EL24" s="1267">
        <f>EL23/EF23-1</f>
        <v>0.278236914600551</v>
      </c>
      <c r="EM24" s="1267">
        <f>EM23/EG23-1</f>
        <v>0.41554959785522794</v>
      </c>
      <c r="EN24" s="1267">
        <f>EN23/EH23-1</f>
        <v>0.397094430992736</v>
      </c>
      <c r="EO24" s="1270">
        <f>EO23/EI23-1</f>
        <v>0.34946236559139776</v>
      </c>
      <c r="EP24" s="1283"/>
      <c r="EQ24" s="1267">
        <f>EQ23/EK23-1</f>
        <v>0.53530751708428248</v>
      </c>
      <c r="ER24" s="1267">
        <f>ER23/EL23-1</f>
        <v>0.63793103448275867</v>
      </c>
      <c r="ES24" s="1267">
        <f>ES23/EM23-1</f>
        <v>0.76893939393939403</v>
      </c>
      <c r="ET24" s="1267">
        <f>ET23/EN23-1</f>
        <v>0.74523396880415937</v>
      </c>
      <c r="EU24" s="1270">
        <f>EU23/EO23-1</f>
        <v>0.68077689243027883</v>
      </c>
      <c r="EV24" s="1283"/>
      <c r="EW24" s="1267">
        <f>EW23/EQ23-1</f>
        <v>0.61572700296735916</v>
      </c>
      <c r="EX24" s="1267">
        <f>EX23/ER23-1</f>
        <v>0.48684210526315796</v>
      </c>
      <c r="EY24" s="1267">
        <f>EY23/ES23-1</f>
        <v>0.2366167023554604</v>
      </c>
      <c r="EZ24" s="1287">
        <v>0.23</v>
      </c>
      <c r="FA24" s="1270">
        <f>FA23/EU23-1</f>
        <v>0.36669925925925906</v>
      </c>
      <c r="FB24" s="1283"/>
      <c r="FC24" s="1287">
        <v>0.23</v>
      </c>
      <c r="FD24" s="1287">
        <v>0.28000000000000003</v>
      </c>
      <c r="FE24" s="1287">
        <v>0.3</v>
      </c>
      <c r="FF24" s="1287">
        <v>0.28999999999999998</v>
      </c>
      <c r="FG24" s="1270">
        <f>FG23/FA23-1</f>
        <v>0.27588868341351214</v>
      </c>
      <c r="FH24" s="1283"/>
      <c r="FI24" s="1287">
        <v>0.25</v>
      </c>
      <c r="FJ24" s="1287">
        <v>0.24</v>
      </c>
      <c r="FK24" s="1287">
        <v>0.23</v>
      </c>
      <c r="FL24" s="1287">
        <v>0.22</v>
      </c>
      <c r="FM24" s="1270">
        <f>FM23/FG23-1</f>
        <v>0.23429474447913368</v>
      </c>
      <c r="FN24" s="1123"/>
      <c r="FO24" s="235"/>
      <c r="FS24" s="235"/>
      <c r="FT24" s="33"/>
      <c r="FU24" s="33"/>
      <c r="FV24" s="33"/>
      <c r="FW24" s="33"/>
      <c r="FX24" s="33"/>
      <c r="FY24" s="33"/>
      <c r="FZ24" s="236">
        <f t="shared" ref="FZ24" si="8">FZ23/FY23-1</f>
        <v>0.63844033083891305</v>
      </c>
      <c r="GA24" s="236">
        <f t="shared" ref="GA24" si="9">GA23/FZ23-1</f>
        <v>0.24506730769230756</v>
      </c>
      <c r="GB24" s="236">
        <f t="shared" ref="GB24" si="10">GB23/GA23-1</f>
        <v>0.26792272583348131</v>
      </c>
      <c r="GC24" s="33"/>
      <c r="GD24" s="33"/>
      <c r="GE24" s="33"/>
      <c r="GF24" s="33"/>
      <c r="GI24"/>
      <c r="GJ24"/>
      <c r="GK24"/>
      <c r="GL24"/>
      <c r="GM24"/>
      <c r="GN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</row>
    <row r="25" spans="1:281" s="37" customFormat="1" ht="10.5" customHeight="1" x14ac:dyDescent="0.2">
      <c r="A25" s="1288" t="s">
        <v>1101</v>
      </c>
      <c r="B25" s="1280"/>
      <c r="C25" s="1266"/>
      <c r="D25" s="1266"/>
      <c r="E25" s="1266"/>
      <c r="F25" s="1266"/>
      <c r="G25" s="1266"/>
      <c r="H25" s="1266"/>
      <c r="I25" s="1266"/>
      <c r="J25" s="1266"/>
      <c r="K25" s="1266"/>
      <c r="L25" s="1266"/>
      <c r="M25" s="1266"/>
      <c r="N25" s="1283"/>
      <c r="O25" s="1284"/>
      <c r="P25" s="1282"/>
      <c r="Q25" s="1282"/>
      <c r="R25" s="1282"/>
      <c r="S25" s="1289"/>
      <c r="T25" s="1283"/>
      <c r="U25" s="1282"/>
      <c r="V25" s="1282"/>
      <c r="W25" s="1282"/>
      <c r="X25" s="1282"/>
      <c r="Y25" s="1289"/>
      <c r="Z25" s="1283"/>
      <c r="AA25" s="1282"/>
      <c r="AB25" s="1282"/>
      <c r="AC25" s="1282"/>
      <c r="AD25" s="1282"/>
      <c r="AE25" s="1289"/>
      <c r="AF25" s="1283"/>
      <c r="AG25" s="1282"/>
      <c r="AH25" s="1282"/>
      <c r="AI25" s="1282"/>
      <c r="AJ25" s="1282"/>
      <c r="AK25" s="1289"/>
      <c r="AL25" s="1283"/>
      <c r="AM25" s="1282"/>
      <c r="AN25" s="1282"/>
      <c r="AO25" s="1282"/>
      <c r="AP25" s="1282"/>
      <c r="AQ25" s="1289"/>
      <c r="AR25" s="1283"/>
      <c r="AS25" s="1282"/>
      <c r="AT25" s="1282"/>
      <c r="AU25" s="1282"/>
      <c r="AV25" s="1282"/>
      <c r="AW25" s="1289"/>
      <c r="AX25" s="1283"/>
      <c r="AY25" s="1282"/>
      <c r="AZ25" s="1282"/>
      <c r="BA25" s="1282"/>
      <c r="BB25" s="1282"/>
      <c r="BC25" s="1289"/>
      <c r="BD25" s="1283"/>
      <c r="BE25" s="1282"/>
      <c r="BF25" s="1282"/>
      <c r="BG25" s="1282"/>
      <c r="BH25" s="1282"/>
      <c r="BI25" s="1289"/>
      <c r="BJ25" s="1283"/>
      <c r="BK25" s="1282"/>
      <c r="BL25" s="1282"/>
      <c r="BM25" s="1282"/>
      <c r="BN25" s="1282"/>
      <c r="BO25" s="1289"/>
      <c r="BP25" s="1283"/>
      <c r="BQ25" s="1282"/>
      <c r="BR25" s="1282"/>
      <c r="BS25" s="1282"/>
      <c r="BT25" s="1282"/>
      <c r="BU25" s="1289"/>
      <c r="BV25" s="1283"/>
      <c r="BW25" s="1282"/>
      <c r="BX25" s="1282"/>
      <c r="BY25" s="1282"/>
      <c r="BZ25" s="1282"/>
      <c r="CA25" s="1289"/>
      <c r="CB25" s="1283"/>
      <c r="CC25" s="1282"/>
      <c r="CD25" s="1282"/>
      <c r="CE25" s="1282"/>
      <c r="CF25" s="1282"/>
      <c r="CG25" s="1290"/>
      <c r="CH25" s="1283"/>
      <c r="CI25" s="1282"/>
      <c r="CJ25" s="1282"/>
      <c r="CK25" s="1282"/>
      <c r="CL25" s="1282"/>
      <c r="CM25" s="1290"/>
      <c r="CN25" s="1283"/>
      <c r="CO25" s="1282"/>
      <c r="CP25" s="1282"/>
      <c r="CQ25" s="1282"/>
      <c r="CR25" s="1282"/>
      <c r="CS25" s="1290"/>
      <c r="CT25" s="1283"/>
      <c r="CU25" s="1282"/>
      <c r="CV25" s="1282"/>
      <c r="CW25" s="1282"/>
      <c r="CX25" s="1282"/>
      <c r="CY25" s="1290"/>
      <c r="CZ25" s="1283"/>
      <c r="DA25" s="1282"/>
      <c r="DB25" s="1282"/>
      <c r="DC25" s="1282"/>
      <c r="DD25" s="1282"/>
      <c r="DE25" s="1290"/>
      <c r="DF25" s="1283"/>
      <c r="DG25" s="1282"/>
      <c r="DH25" s="1282"/>
      <c r="DI25" s="1282"/>
      <c r="DJ25" s="1282"/>
      <c r="DK25" s="1290"/>
      <c r="DL25" s="1283"/>
      <c r="DM25" s="1282"/>
      <c r="DN25" s="1282"/>
      <c r="DO25" s="1282"/>
      <c r="DP25" s="1282"/>
      <c r="DQ25" s="1290"/>
      <c r="DR25" s="1283"/>
      <c r="DS25" s="1277"/>
      <c r="DT25" s="1277"/>
      <c r="DU25" s="1277"/>
      <c r="DV25" s="1277"/>
      <c r="DW25" s="1279"/>
      <c r="DX25" s="1283"/>
      <c r="DY25" s="1277"/>
      <c r="DZ25" s="1277"/>
      <c r="EA25" s="1277"/>
      <c r="EB25" s="1277"/>
      <c r="EC25" s="1279"/>
      <c r="ED25" s="1667"/>
      <c r="EE25" s="1277"/>
      <c r="EF25" s="1277">
        <f>EF23/EE23-1</f>
        <v>7.079646017699126E-2</v>
      </c>
      <c r="EG25" s="1277">
        <f>EG23/EF23-1</f>
        <v>2.7548209366391241E-2</v>
      </c>
      <c r="EH25" s="1668">
        <f>EH23/EG23-1</f>
        <v>0.1072386058981234</v>
      </c>
      <c r="EI25" s="1279"/>
      <c r="EJ25" s="1283"/>
      <c r="EK25" s="1277">
        <f>EK23/EH23-1</f>
        <v>6.2953995157384979E-2</v>
      </c>
      <c r="EL25" s="1277">
        <f>EL23/EK23-1</f>
        <v>5.6947608200455635E-2</v>
      </c>
      <c r="EM25" s="1277">
        <f>EM23/EL23-1</f>
        <v>0.13793103448275867</v>
      </c>
      <c r="EN25" s="1668">
        <f>EN23/EM23-1</f>
        <v>9.2803030303030276E-2</v>
      </c>
      <c r="EO25" s="1279" t="s">
        <v>945</v>
      </c>
      <c r="EP25" s="1283"/>
      <c r="EQ25" s="1277">
        <f>EQ23/EN23-1</f>
        <v>0.16811091854419402</v>
      </c>
      <c r="ER25" s="1277">
        <f>ER23/EQ23-1</f>
        <v>0.12759643916913954</v>
      </c>
      <c r="ES25" s="1277">
        <f>ES23/ER23-1</f>
        <v>0.22894736842105257</v>
      </c>
      <c r="ET25" s="1668">
        <f>ET23/ES23-1</f>
        <v>7.8158458244111273E-2</v>
      </c>
      <c r="EU25" s="1279" t="s">
        <v>945</v>
      </c>
      <c r="EV25" s="1283"/>
      <c r="EW25" s="1277">
        <f>EW23/ET23-1</f>
        <v>8.1429990069513458E-2</v>
      </c>
      <c r="EX25" s="1277">
        <f>EX23/EW23-1</f>
        <v>3.7649219467401185E-2</v>
      </c>
      <c r="EY25" s="1277">
        <f>EY23/EX23-1</f>
        <v>2.2123893805309658E-2</v>
      </c>
      <c r="EZ25" s="1668">
        <f>EZ23/EY23-1</f>
        <v>7.2389610389610226E-2</v>
      </c>
      <c r="FA25" s="1279" t="s">
        <v>945</v>
      </c>
      <c r="FB25" s="1283"/>
      <c r="FC25" s="1277">
        <f>FC23/EZ23-1</f>
        <v>8.1429990069513458E-2</v>
      </c>
      <c r="FD25" s="1277">
        <f>FD23/FC23-1</f>
        <v>7.983008204737696E-2</v>
      </c>
      <c r="FE25" s="1277">
        <f>FE23/FD23-1</f>
        <v>3.8094579646017701E-2</v>
      </c>
      <c r="FF25" s="1668">
        <f>FF23/FE23-1</f>
        <v>6.4140459540459327E-2</v>
      </c>
      <c r="FG25" s="1279" t="s">
        <v>945</v>
      </c>
      <c r="FH25" s="1283"/>
      <c r="FI25" s="1277">
        <f>FI23/FF23-1</f>
        <v>4.7897277199141053E-2</v>
      </c>
      <c r="FJ25" s="1277">
        <f>FJ23/FI23-1</f>
        <v>7.1191441390997978E-2</v>
      </c>
      <c r="FK25" s="1277">
        <f>FK23/FJ23-1</f>
        <v>2.9722849165001453E-2</v>
      </c>
      <c r="FL25" s="1668">
        <f>FL23/FK23-1</f>
        <v>5.5488911088910964E-2</v>
      </c>
      <c r="FM25" s="1279" t="s">
        <v>945</v>
      </c>
      <c r="FN25" s="1123"/>
      <c r="FO25" s="235"/>
      <c r="FS25" s="235"/>
      <c r="FT25" s="33"/>
      <c r="FU25" s="33"/>
      <c r="FV25" s="33"/>
      <c r="FW25" s="33"/>
      <c r="FX25" s="33"/>
      <c r="FY25" s="33"/>
      <c r="FZ25" s="33"/>
      <c r="GA25" s="33"/>
      <c r="GB25" s="33"/>
      <c r="GC25" s="33"/>
      <c r="GD25" s="33"/>
      <c r="GE25" s="33"/>
      <c r="GF25" s="33"/>
      <c r="GI25"/>
      <c r="GJ25"/>
      <c r="GK25"/>
      <c r="GL25"/>
      <c r="GM25"/>
      <c r="GN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</row>
    <row r="26" spans="1:281" s="37" customFormat="1" ht="10.5" hidden="1" customHeight="1" outlineLevel="1" x14ac:dyDescent="0.2">
      <c r="A26" s="127" t="s">
        <v>1245</v>
      </c>
      <c r="B26" s="949"/>
      <c r="C26" s="33"/>
      <c r="D26" s="33"/>
      <c r="E26" s="33"/>
      <c r="F26" s="33"/>
      <c r="G26" s="33"/>
      <c r="H26" s="33"/>
      <c r="I26" s="33"/>
      <c r="J26" s="33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145"/>
      <c r="V26" s="145"/>
      <c r="W26" s="145"/>
      <c r="X26" s="145"/>
      <c r="Y26" s="145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242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3"/>
      <c r="BR26" s="33"/>
      <c r="BS26" s="33"/>
      <c r="BT26" s="33"/>
      <c r="BU26" s="33"/>
      <c r="BV26" s="34"/>
      <c r="BW26" s="33"/>
      <c r="BX26" s="33"/>
      <c r="BY26" s="33"/>
      <c r="BZ26" s="33"/>
      <c r="CA26" s="33"/>
      <c r="CB26" s="34"/>
      <c r="CC26" s="243"/>
      <c r="CD26" s="243"/>
      <c r="CE26" s="243"/>
      <c r="CF26" s="243"/>
      <c r="CG26" s="143"/>
      <c r="CH26" s="244"/>
      <c r="CI26" s="243"/>
      <c r="CJ26" s="243"/>
      <c r="CK26" s="243"/>
      <c r="CL26" s="243"/>
      <c r="CM26" s="143"/>
      <c r="CN26" s="244"/>
      <c r="CO26" s="243"/>
      <c r="CP26" s="243"/>
      <c r="CQ26" s="243"/>
      <c r="CR26" s="243"/>
      <c r="CS26" s="143"/>
      <c r="CT26" s="244"/>
      <c r="CU26" s="243"/>
      <c r="CV26" s="243"/>
      <c r="CW26" s="243"/>
      <c r="CX26" s="243"/>
      <c r="CY26" s="143"/>
      <c r="CZ26" s="244"/>
      <c r="DA26" s="243"/>
      <c r="DB26" s="243"/>
      <c r="DC26" s="243"/>
      <c r="DD26" s="243"/>
      <c r="DE26" s="143"/>
      <c r="DF26" s="244"/>
      <c r="DG26" s="243"/>
      <c r="DH26" s="243"/>
      <c r="DI26" s="243"/>
      <c r="DJ26" s="243"/>
      <c r="DK26" s="143"/>
      <c r="DL26" s="244"/>
      <c r="DM26" s="243"/>
      <c r="DN26" s="243"/>
      <c r="DO26" s="243"/>
      <c r="DP26" s="243"/>
      <c r="DQ26" s="143"/>
      <c r="DR26" s="244"/>
      <c r="DS26" s="243"/>
      <c r="DT26" s="243"/>
      <c r="DU26" s="243"/>
      <c r="DV26" s="243"/>
      <c r="DW26" s="143"/>
      <c r="DX26" s="244"/>
      <c r="DY26" s="243"/>
      <c r="DZ26" s="243"/>
      <c r="EA26" s="243"/>
      <c r="EB26" s="243">
        <f>EB35-EB23</f>
        <v>2</v>
      </c>
      <c r="EC26" s="285"/>
      <c r="ED26" s="1669"/>
      <c r="EE26" s="243">
        <f>EE35-EE23</f>
        <v>0</v>
      </c>
      <c r="EF26" s="243">
        <f>EF35-EF23</f>
        <v>1</v>
      </c>
      <c r="EG26" s="243">
        <f>EG35-EG23</f>
        <v>2</v>
      </c>
      <c r="EH26" s="243">
        <f>EH35-EH23</f>
        <v>6</v>
      </c>
      <c r="EI26" s="285">
        <f>SUM(EE26:EH26)</f>
        <v>9</v>
      </c>
      <c r="EJ26" s="1669"/>
      <c r="EK26" s="243">
        <f>EK35-EK23</f>
        <v>13</v>
      </c>
      <c r="EL26" s="243">
        <f>EL35-EL23</f>
        <v>23</v>
      </c>
      <c r="EM26" s="243">
        <f>EM35-EM23</f>
        <v>57</v>
      </c>
      <c r="EN26" s="243">
        <f>EN35-EN23</f>
        <v>114</v>
      </c>
      <c r="EO26" s="285">
        <f>SUM(EK26:EN26)</f>
        <v>207</v>
      </c>
      <c r="EP26" s="244"/>
      <c r="EQ26" s="243">
        <f>EQ35-EQ23</f>
        <v>141</v>
      </c>
      <c r="ER26" s="243">
        <f>ER35-ER23</f>
        <v>152</v>
      </c>
      <c r="ES26" s="243">
        <f>ES35-ES23</f>
        <v>146</v>
      </c>
      <c r="ET26" s="243">
        <f>ET35-ET23</f>
        <v>189</v>
      </c>
      <c r="EU26" s="285">
        <f>SUM(EQ26:ET26)</f>
        <v>628</v>
      </c>
      <c r="EV26" s="244"/>
      <c r="EW26" s="243">
        <f>EW32-EW29</f>
        <v>190.96</v>
      </c>
      <c r="EX26" s="243">
        <f>EX32-EX29</f>
        <v>188</v>
      </c>
      <c r="EY26" s="243">
        <f>EY32-EY29</f>
        <v>193.5</v>
      </c>
      <c r="EZ26" s="243">
        <f>ET26*(1+EZ27)</f>
        <v>223.01999999999998</v>
      </c>
      <c r="FA26" s="285">
        <f>SUM(EW26:EZ26)</f>
        <v>795.48</v>
      </c>
      <c r="FB26" s="244"/>
      <c r="FC26" s="243">
        <f>EW26*(1+FC27)</f>
        <v>229.15200000000002</v>
      </c>
      <c r="FD26" s="243">
        <f>EX26*(1+FD27)</f>
        <v>230.3</v>
      </c>
      <c r="FE26" s="243">
        <f>EY26*(1+FE27)</f>
        <v>234.13499999999999</v>
      </c>
      <c r="FF26" s="243">
        <f>EZ26*(1+FF27)</f>
        <v>263.16359999999997</v>
      </c>
      <c r="FG26" s="285">
        <f>SUM(FC26:FF26)</f>
        <v>956.75059999999996</v>
      </c>
      <c r="FH26" s="244"/>
      <c r="FI26" s="243">
        <f>FC26*(1+FI27)</f>
        <v>286.44</v>
      </c>
      <c r="FJ26" s="243">
        <f>FD26*(1+FJ27)</f>
        <v>287.875</v>
      </c>
      <c r="FK26" s="243">
        <f>FE26*(1+FK27)</f>
        <v>292.66874999999999</v>
      </c>
      <c r="FL26" s="243">
        <f>FF26*(1+FL27)</f>
        <v>328.95449999999994</v>
      </c>
      <c r="FM26" s="285">
        <f>SUM(FI26:FL26)</f>
        <v>1195.9382500000002</v>
      </c>
      <c r="FN26" s="1123"/>
      <c r="FO26" s="235"/>
      <c r="FS26" s="235"/>
      <c r="FT26" s="33"/>
      <c r="FU26" s="33"/>
      <c r="FV26" s="33"/>
      <c r="FW26" s="33"/>
      <c r="FX26" s="33"/>
      <c r="FY26" s="33"/>
      <c r="FZ26" s="33"/>
      <c r="GA26" s="33"/>
      <c r="GB26" s="33"/>
      <c r="GC26" s="33"/>
      <c r="GD26" s="33"/>
      <c r="GE26" s="33"/>
      <c r="GF26" s="33"/>
      <c r="GI26"/>
      <c r="GJ26"/>
      <c r="GK26"/>
      <c r="GL26"/>
      <c r="GM26"/>
      <c r="GN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</row>
    <row r="27" spans="1:281" s="37" customFormat="1" ht="10.5" hidden="1" customHeight="1" outlineLevel="1" x14ac:dyDescent="0.2">
      <c r="A27" s="1288" t="s">
        <v>669</v>
      </c>
      <c r="B27" s="1280"/>
      <c r="C27" s="1266"/>
      <c r="D27" s="1281"/>
      <c r="E27" s="1281"/>
      <c r="F27" s="1281"/>
      <c r="G27" s="1281"/>
      <c r="H27" s="1281"/>
      <c r="I27" s="1281"/>
      <c r="J27" s="1281"/>
      <c r="K27" s="1281"/>
      <c r="L27" s="1282"/>
      <c r="M27" s="1282"/>
      <c r="N27" s="1283"/>
      <c r="O27" s="1284"/>
      <c r="P27" s="1284"/>
      <c r="Q27" s="1284"/>
      <c r="R27" s="1284"/>
      <c r="S27" s="1282"/>
      <c r="T27" s="1283"/>
      <c r="U27" s="1282"/>
      <c r="V27" s="1282"/>
      <c r="W27" s="1282"/>
      <c r="X27" s="1282"/>
      <c r="Y27" s="1282"/>
      <c r="Z27" s="1283"/>
      <c r="AA27" s="1282"/>
      <c r="AB27" s="1282"/>
      <c r="AC27" s="1282"/>
      <c r="AD27" s="1282"/>
      <c r="AE27" s="1282"/>
      <c r="AF27" s="1283"/>
      <c r="AG27" s="1282"/>
      <c r="AH27" s="1282"/>
      <c r="AI27" s="1282"/>
      <c r="AJ27" s="1282"/>
      <c r="AK27" s="1282"/>
      <c r="AL27" s="1283"/>
      <c r="AM27" s="1282"/>
      <c r="AN27" s="1282"/>
      <c r="AO27" s="1282"/>
      <c r="AP27" s="1282"/>
      <c r="AQ27" s="1282"/>
      <c r="AR27" s="1283"/>
      <c r="AS27" s="1282"/>
      <c r="AT27" s="1282"/>
      <c r="AU27" s="1282"/>
      <c r="AV27" s="1282"/>
      <c r="AW27" s="1282"/>
      <c r="AX27" s="1283"/>
      <c r="AY27" s="1282"/>
      <c r="AZ27" s="1282"/>
      <c r="BA27" s="1282"/>
      <c r="BB27" s="1282"/>
      <c r="BC27" s="1282"/>
      <c r="BD27" s="1283"/>
      <c r="BE27" s="1282"/>
      <c r="BF27" s="1282"/>
      <c r="BG27" s="1282"/>
      <c r="BH27" s="1282"/>
      <c r="BI27" s="1282"/>
      <c r="BJ27" s="1283"/>
      <c r="BK27" s="1282"/>
      <c r="BL27" s="1282"/>
      <c r="BM27" s="1282"/>
      <c r="BN27" s="1282"/>
      <c r="BO27" s="1282"/>
      <c r="BP27" s="1283"/>
      <c r="BQ27" s="1282"/>
      <c r="BR27" s="1282"/>
      <c r="BS27" s="1282"/>
      <c r="BT27" s="1282"/>
      <c r="BU27" s="1282"/>
      <c r="BV27" s="1283"/>
      <c r="BW27" s="1282"/>
      <c r="BX27" s="1282"/>
      <c r="BY27" s="1282"/>
      <c r="BZ27" s="1282"/>
      <c r="CA27" s="1285"/>
      <c r="CB27" s="1283"/>
      <c r="CC27" s="1285"/>
      <c r="CD27" s="1285"/>
      <c r="CE27" s="1285"/>
      <c r="CF27" s="1285"/>
      <c r="CG27" s="1286"/>
      <c r="CH27" s="1283"/>
      <c r="CI27" s="1285"/>
      <c r="CJ27" s="1285"/>
      <c r="CK27" s="1285"/>
      <c r="CL27" s="1285"/>
      <c r="CM27" s="1270"/>
      <c r="CN27" s="1283"/>
      <c r="CO27" s="1285"/>
      <c r="CP27" s="1285"/>
      <c r="CQ27" s="1285"/>
      <c r="CR27" s="1285"/>
      <c r="CS27" s="1270"/>
      <c r="CT27" s="1283"/>
      <c r="CU27" s="1282"/>
      <c r="CV27" s="1282"/>
      <c r="CW27" s="1282"/>
      <c r="CX27" s="1282"/>
      <c r="CY27" s="1270"/>
      <c r="CZ27" s="1283"/>
      <c r="DA27" s="1282"/>
      <c r="DB27" s="1282"/>
      <c r="DC27" s="1282"/>
      <c r="DD27" s="1282"/>
      <c r="DE27" s="1270"/>
      <c r="DF27" s="1283"/>
      <c r="DG27" s="1282"/>
      <c r="DH27" s="1282"/>
      <c r="DI27" s="1282"/>
      <c r="DJ27" s="1282"/>
      <c r="DK27" s="1270"/>
      <c r="DL27" s="1283"/>
      <c r="DM27" s="1282"/>
      <c r="DN27" s="1282"/>
      <c r="DO27" s="1282"/>
      <c r="DP27" s="1282"/>
      <c r="DQ27" s="1270"/>
      <c r="DR27" s="1283"/>
      <c r="DS27" s="1267"/>
      <c r="DT27" s="1267"/>
      <c r="DU27" s="1267"/>
      <c r="DV27" s="1267"/>
      <c r="DW27" s="1270"/>
      <c r="DX27" s="1283"/>
      <c r="DY27" s="1267"/>
      <c r="DZ27" s="1267"/>
      <c r="EA27" s="1267"/>
      <c r="EB27" s="1267"/>
      <c r="EC27" s="1270"/>
      <c r="ED27" s="1672"/>
      <c r="EE27" s="1267"/>
      <c r="EF27" s="1267"/>
      <c r="EG27" s="1267"/>
      <c r="EH27" s="1267">
        <f>EH26/EB26-1</f>
        <v>2</v>
      </c>
      <c r="EI27" s="1270"/>
      <c r="EJ27" s="1672"/>
      <c r="EK27" s="1267" t="s">
        <v>943</v>
      </c>
      <c r="EL27" s="1267">
        <f>EL26/EF26-1</f>
        <v>22</v>
      </c>
      <c r="EM27" s="1267">
        <f>EM26/EG26-1</f>
        <v>27.5</v>
      </c>
      <c r="EN27" s="1267">
        <f>EN26/EH26-1</f>
        <v>18</v>
      </c>
      <c r="EO27" s="1270">
        <f>EO26/EI26-1</f>
        <v>22</v>
      </c>
      <c r="EP27" s="1283"/>
      <c r="EQ27" s="1267">
        <f>EQ26/EK26-1</f>
        <v>9.8461538461538467</v>
      </c>
      <c r="ER27" s="1267">
        <f>ER26/EL26-1</f>
        <v>5.6086956521739131</v>
      </c>
      <c r="ES27" s="1267">
        <f>ES26/EM26-1</f>
        <v>1.5614035087719298</v>
      </c>
      <c r="ET27" s="1267">
        <f>ET26/EN26-1</f>
        <v>0.65789473684210531</v>
      </c>
      <c r="EU27" s="1270">
        <f>EU26/EO26-1</f>
        <v>2.0338164251207731</v>
      </c>
      <c r="EV27" s="1283"/>
      <c r="EW27" s="1267">
        <f>EW26/EQ26-1</f>
        <v>0.35432624113475186</v>
      </c>
      <c r="EX27" s="1267">
        <f>EX26/ER26-1</f>
        <v>0.23684210526315796</v>
      </c>
      <c r="EY27" s="1267">
        <f>EY26/ES26-1</f>
        <v>0.32534246575342474</v>
      </c>
      <c r="EZ27" s="1287">
        <v>0.18</v>
      </c>
      <c r="FA27" s="1270">
        <f>FA26/EU26-1</f>
        <v>0.26668789808917204</v>
      </c>
      <c r="FB27" s="1283"/>
      <c r="FC27" s="1287">
        <v>0.2</v>
      </c>
      <c r="FD27" s="1287">
        <v>0.22500000000000001</v>
      </c>
      <c r="FE27" s="1287">
        <f>FD27-0.015</f>
        <v>0.21000000000000002</v>
      </c>
      <c r="FF27" s="1287">
        <f t="shared" ref="FF27" si="11">FE27-0.03</f>
        <v>0.18000000000000002</v>
      </c>
      <c r="FG27" s="1270">
        <f>FG26/FA26-1</f>
        <v>0.20273369537889074</v>
      </c>
      <c r="FH27" s="1283"/>
      <c r="FI27" s="1287">
        <v>0.25</v>
      </c>
      <c r="FJ27" s="1287">
        <v>0.25</v>
      </c>
      <c r="FK27" s="1287">
        <v>0.25</v>
      </c>
      <c r="FL27" s="1287">
        <v>0.25</v>
      </c>
      <c r="FM27" s="1270">
        <f>FM26/FG26-1</f>
        <v>0.25000000000000022</v>
      </c>
      <c r="FN27" s="1123"/>
      <c r="FO27" s="235"/>
      <c r="FS27" s="235"/>
      <c r="FT27" s="33"/>
      <c r="FU27" s="33"/>
      <c r="FV27" s="33"/>
      <c r="FW27" s="33"/>
      <c r="FX27" s="33"/>
      <c r="FY27" s="33"/>
      <c r="FZ27" s="33"/>
      <c r="GA27" s="33"/>
      <c r="GB27" s="33"/>
      <c r="GC27" s="33"/>
      <c r="GD27" s="33"/>
      <c r="GE27" s="33"/>
      <c r="GF27" s="33"/>
      <c r="GI27"/>
      <c r="GJ27"/>
      <c r="GK27"/>
      <c r="GL27"/>
      <c r="GM27"/>
      <c r="GN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</row>
    <row r="28" spans="1:281" s="37" customFormat="1" ht="10.5" hidden="1" customHeight="1" outlineLevel="1" x14ac:dyDescent="0.2">
      <c r="A28" s="1288" t="s">
        <v>1101</v>
      </c>
      <c r="B28" s="1280"/>
      <c r="C28" s="1266"/>
      <c r="D28" s="1266"/>
      <c r="E28" s="1266"/>
      <c r="F28" s="1266"/>
      <c r="G28" s="1266"/>
      <c r="H28" s="1266"/>
      <c r="I28" s="1266"/>
      <c r="J28" s="1266"/>
      <c r="K28" s="1266"/>
      <c r="L28" s="1266"/>
      <c r="M28" s="1266"/>
      <c r="N28" s="1283"/>
      <c r="O28" s="1284"/>
      <c r="P28" s="1282"/>
      <c r="Q28" s="1282"/>
      <c r="R28" s="1282"/>
      <c r="S28" s="1289"/>
      <c r="T28" s="1283"/>
      <c r="U28" s="1282"/>
      <c r="V28" s="1282"/>
      <c r="W28" s="1282"/>
      <c r="X28" s="1282"/>
      <c r="Y28" s="1289"/>
      <c r="Z28" s="1283"/>
      <c r="AA28" s="1282"/>
      <c r="AB28" s="1282"/>
      <c r="AC28" s="1282"/>
      <c r="AD28" s="1282"/>
      <c r="AE28" s="1289"/>
      <c r="AF28" s="1283"/>
      <c r="AG28" s="1282"/>
      <c r="AH28" s="1282"/>
      <c r="AI28" s="1282"/>
      <c r="AJ28" s="1282"/>
      <c r="AK28" s="1289"/>
      <c r="AL28" s="1283"/>
      <c r="AM28" s="1282"/>
      <c r="AN28" s="1282"/>
      <c r="AO28" s="1282"/>
      <c r="AP28" s="1282"/>
      <c r="AQ28" s="1289"/>
      <c r="AR28" s="1283"/>
      <c r="AS28" s="1282"/>
      <c r="AT28" s="1282"/>
      <c r="AU28" s="1282"/>
      <c r="AV28" s="1282"/>
      <c r="AW28" s="1289"/>
      <c r="AX28" s="1283"/>
      <c r="AY28" s="1282"/>
      <c r="AZ28" s="1282"/>
      <c r="BA28" s="1282"/>
      <c r="BB28" s="1282"/>
      <c r="BC28" s="1289"/>
      <c r="BD28" s="1283"/>
      <c r="BE28" s="1282"/>
      <c r="BF28" s="1282"/>
      <c r="BG28" s="1282"/>
      <c r="BH28" s="1282"/>
      <c r="BI28" s="1289"/>
      <c r="BJ28" s="1283"/>
      <c r="BK28" s="1282"/>
      <c r="BL28" s="1282"/>
      <c r="BM28" s="1282"/>
      <c r="BN28" s="1282"/>
      <c r="BO28" s="1289"/>
      <c r="BP28" s="1283"/>
      <c r="BQ28" s="1282"/>
      <c r="BR28" s="1282"/>
      <c r="BS28" s="1282"/>
      <c r="BT28" s="1282"/>
      <c r="BU28" s="1289"/>
      <c r="BV28" s="1283"/>
      <c r="BW28" s="1282"/>
      <c r="BX28" s="1282"/>
      <c r="BY28" s="1282"/>
      <c r="BZ28" s="1282"/>
      <c r="CA28" s="1289"/>
      <c r="CB28" s="1283"/>
      <c r="CC28" s="1282"/>
      <c r="CD28" s="1282"/>
      <c r="CE28" s="1282"/>
      <c r="CF28" s="1282"/>
      <c r="CG28" s="1290"/>
      <c r="CH28" s="1283"/>
      <c r="CI28" s="1282"/>
      <c r="CJ28" s="1282"/>
      <c r="CK28" s="1282"/>
      <c r="CL28" s="1282"/>
      <c r="CM28" s="1290"/>
      <c r="CN28" s="1283"/>
      <c r="CO28" s="1282"/>
      <c r="CP28" s="1282"/>
      <c r="CQ28" s="1282"/>
      <c r="CR28" s="1282"/>
      <c r="CS28" s="1290"/>
      <c r="CT28" s="1283"/>
      <c r="CU28" s="1282"/>
      <c r="CV28" s="1282"/>
      <c r="CW28" s="1282"/>
      <c r="CX28" s="1282"/>
      <c r="CY28" s="1290"/>
      <c r="CZ28" s="1283"/>
      <c r="DA28" s="1282"/>
      <c r="DB28" s="1282"/>
      <c r="DC28" s="1282"/>
      <c r="DD28" s="1282"/>
      <c r="DE28" s="1290"/>
      <c r="DF28" s="1283"/>
      <c r="DG28" s="1282"/>
      <c r="DH28" s="1282"/>
      <c r="DI28" s="1282"/>
      <c r="DJ28" s="1282"/>
      <c r="DK28" s="1290"/>
      <c r="DL28" s="1283"/>
      <c r="DM28" s="1282"/>
      <c r="DN28" s="1282"/>
      <c r="DO28" s="1282"/>
      <c r="DP28" s="1282"/>
      <c r="DQ28" s="1290"/>
      <c r="DR28" s="1283"/>
      <c r="DS28" s="1277"/>
      <c r="DT28" s="1277"/>
      <c r="DU28" s="1277"/>
      <c r="DV28" s="1277"/>
      <c r="DW28" s="1279"/>
      <c r="DX28" s="1283"/>
      <c r="DY28" s="1277"/>
      <c r="DZ28" s="1277"/>
      <c r="EA28" s="1277"/>
      <c r="EB28" s="1277"/>
      <c r="EC28" s="1279"/>
      <c r="ED28" s="1667"/>
      <c r="EE28" s="1277" t="s">
        <v>943</v>
      </c>
      <c r="EF28" s="1277" t="s">
        <v>943</v>
      </c>
      <c r="EG28" s="1277">
        <f>EG26/EF26-1</f>
        <v>1</v>
      </c>
      <c r="EH28" s="1668">
        <f>EH26/EG26-1</f>
        <v>2</v>
      </c>
      <c r="EI28" s="1279"/>
      <c r="EJ28" s="1667"/>
      <c r="EK28" s="1277">
        <f>EK26/EH26-1</f>
        <v>1.1666666666666665</v>
      </c>
      <c r="EL28" s="1277">
        <f>EL26/EK26-1</f>
        <v>0.76923076923076916</v>
      </c>
      <c r="EM28" s="1277">
        <f>EM26/EL26-1</f>
        <v>1.4782608695652173</v>
      </c>
      <c r="EN28" s="1668">
        <f>EN26/EM26-1</f>
        <v>1</v>
      </c>
      <c r="EO28" s="1279" t="s">
        <v>945</v>
      </c>
      <c r="EP28" s="1283"/>
      <c r="EQ28" s="1277">
        <f>EQ26/EN26-1</f>
        <v>0.23684210526315796</v>
      </c>
      <c r="ER28" s="1277">
        <f>ER26/EQ26-1</f>
        <v>7.8014184397163122E-2</v>
      </c>
      <c r="ES28" s="1277">
        <f>ES26/ER26-1</f>
        <v>-3.9473684210526327E-2</v>
      </c>
      <c r="ET28" s="1668">
        <f>ET26/ES26-1</f>
        <v>0.29452054794520555</v>
      </c>
      <c r="EU28" s="1279" t="s">
        <v>945</v>
      </c>
      <c r="EV28" s="1283"/>
      <c r="EW28" s="1277">
        <f>EW26/ET26-1</f>
        <v>1.0370370370370363E-2</v>
      </c>
      <c r="EX28" s="1277">
        <f>EX26/EW26-1</f>
        <v>-1.5500628403854244E-2</v>
      </c>
      <c r="EY28" s="1277">
        <f>EY26/EX26-1</f>
        <v>2.9255319148936199E-2</v>
      </c>
      <c r="EZ28" s="1668">
        <f>EZ26/EY26-1</f>
        <v>0.15255813953488362</v>
      </c>
      <c r="FA28" s="1279" t="s">
        <v>945</v>
      </c>
      <c r="FB28" s="1283"/>
      <c r="FC28" s="1277">
        <f>FC26/EZ26-1</f>
        <v>2.7495291902071672E-2</v>
      </c>
      <c r="FD28" s="1277">
        <f>FD26/FC26-1</f>
        <v>5.0097751710653782E-3</v>
      </c>
      <c r="FE28" s="1277">
        <f>FE26/FD26-1</f>
        <v>1.6652192792010245E-2</v>
      </c>
      <c r="FF28" s="1668">
        <f>FF26/FE26-1</f>
        <v>0.12398231789352288</v>
      </c>
      <c r="FG28" s="1279" t="s">
        <v>945</v>
      </c>
      <c r="FH28" s="1283"/>
      <c r="FI28" s="1277">
        <f>FI26/FF26-1</f>
        <v>8.8448402438635165E-2</v>
      </c>
      <c r="FJ28" s="1277">
        <f>FJ26/FI26-1</f>
        <v>5.0097751710656002E-3</v>
      </c>
      <c r="FK28" s="1277">
        <f>FK26/FJ26-1</f>
        <v>1.6652192792010467E-2</v>
      </c>
      <c r="FL28" s="1668">
        <f>FL26/FK26-1</f>
        <v>0.12398231789352288</v>
      </c>
      <c r="FM28" s="1279" t="s">
        <v>945</v>
      </c>
      <c r="FN28" s="1123"/>
      <c r="FO28" s="235"/>
      <c r="FS28" s="235"/>
      <c r="FT28" s="33"/>
      <c r="FU28" s="33"/>
      <c r="FV28" s="33"/>
      <c r="FW28" s="33"/>
      <c r="FX28" s="33"/>
      <c r="FY28" s="33"/>
      <c r="FZ28" s="33"/>
      <c r="GA28" s="33"/>
      <c r="GB28" s="33"/>
      <c r="GC28" s="33"/>
      <c r="GD28" s="33"/>
      <c r="GE28" s="33"/>
      <c r="GF28" s="33"/>
      <c r="GI28"/>
      <c r="GJ28"/>
      <c r="GK28"/>
      <c r="GL28"/>
      <c r="GM28"/>
      <c r="GN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</row>
    <row r="29" spans="1:281" s="33" customFormat="1" ht="10.5" hidden="1" customHeight="1" outlineLevel="1" x14ac:dyDescent="0.2">
      <c r="A29" s="127" t="s">
        <v>1112</v>
      </c>
      <c r="B29" s="949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145"/>
      <c r="V29" s="145"/>
      <c r="W29" s="145"/>
      <c r="X29" s="145"/>
      <c r="Y29" s="145"/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242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/>
      <c r="BM29" s="34"/>
      <c r="BN29" s="34"/>
      <c r="BO29" s="34"/>
      <c r="BP29" s="34"/>
      <c r="BV29" s="34"/>
      <c r="CB29" s="34"/>
      <c r="CC29" s="243"/>
      <c r="CD29" s="243"/>
      <c r="CE29" s="243"/>
      <c r="CF29" s="243"/>
      <c r="CG29" s="143"/>
      <c r="CH29" s="244"/>
      <c r="CI29" s="243"/>
      <c r="CJ29" s="243"/>
      <c r="CK29" s="243"/>
      <c r="CL29" s="243"/>
      <c r="CM29" s="143"/>
      <c r="CN29" s="244"/>
      <c r="CO29" s="243"/>
      <c r="CP29" s="243"/>
      <c r="CQ29" s="243"/>
      <c r="CR29" s="243"/>
      <c r="CS29" s="143"/>
      <c r="CT29" s="244"/>
      <c r="CU29" s="243"/>
      <c r="CV29" s="243"/>
      <c r="CW29" s="243"/>
      <c r="CX29" s="243"/>
      <c r="CY29" s="143"/>
      <c r="CZ29" s="244"/>
      <c r="DA29" s="243"/>
      <c r="DB29" s="243"/>
      <c r="DC29" s="243"/>
      <c r="DD29" s="243"/>
      <c r="DE29" s="143"/>
      <c r="DF29" s="244"/>
      <c r="DG29" s="243"/>
      <c r="DH29" s="243"/>
      <c r="DI29" s="243"/>
      <c r="DJ29" s="243"/>
      <c r="DK29" s="143"/>
      <c r="DL29" s="244"/>
      <c r="DM29" s="243"/>
      <c r="DN29" s="243"/>
      <c r="DO29" s="243"/>
      <c r="DP29" s="243"/>
      <c r="DQ29" s="143"/>
      <c r="DR29" s="244"/>
      <c r="DS29" s="243">
        <v>119</v>
      </c>
      <c r="DT29" s="243">
        <v>114</v>
      </c>
      <c r="DU29" s="243">
        <v>110</v>
      </c>
      <c r="DV29" s="243">
        <v>113</v>
      </c>
      <c r="DW29" s="143">
        <f>SUM(DS29:DV29)</f>
        <v>456</v>
      </c>
      <c r="DX29" s="244"/>
      <c r="DY29" s="243">
        <v>109</v>
      </c>
      <c r="DZ29" s="243">
        <v>97</v>
      </c>
      <c r="EA29" s="243">
        <v>121</v>
      </c>
      <c r="EB29" s="243">
        <v>128</v>
      </c>
      <c r="EC29" s="285">
        <f>SUM(DY29:EB29)</f>
        <v>455</v>
      </c>
      <c r="ED29" s="244"/>
      <c r="EE29" s="243">
        <v>138</v>
      </c>
      <c r="EF29" s="243">
        <v>155</v>
      </c>
      <c r="EG29" s="243">
        <v>155</v>
      </c>
      <c r="EH29" s="243">
        <v>160</v>
      </c>
      <c r="EI29" s="285">
        <f>SUM(EE29:EH29)</f>
        <v>608</v>
      </c>
      <c r="EJ29" s="244"/>
      <c r="EK29" s="243">
        <v>160</v>
      </c>
      <c r="EL29" s="243">
        <v>165</v>
      </c>
      <c r="EM29" s="243">
        <v>152</v>
      </c>
      <c r="EN29" s="243">
        <f>169</f>
        <v>169</v>
      </c>
      <c r="EO29" s="285">
        <f>SUM(EK29:EN29)</f>
        <v>646</v>
      </c>
      <c r="EP29" s="244"/>
      <c r="EQ29" s="243">
        <v>171</v>
      </c>
      <c r="ER29" s="243">
        <v>175</v>
      </c>
      <c r="ES29" s="243">
        <v>178</v>
      </c>
      <c r="ET29" s="243">
        <v>214</v>
      </c>
      <c r="EU29" s="285">
        <f>SUM(EQ29:ET29)</f>
        <v>738</v>
      </c>
      <c r="EV29" s="244"/>
      <c r="EW29" s="243">
        <f>EQ29*(1+EW30)</f>
        <v>212.04</v>
      </c>
      <c r="EX29" s="243">
        <f>ER29*(1+EX30)</f>
        <v>210</v>
      </c>
      <c r="EY29" s="243">
        <f>ES29*(1+EY30)</f>
        <v>222.5</v>
      </c>
      <c r="EZ29" s="243">
        <f>ET29*(1+EZ30)</f>
        <v>237.54000000000002</v>
      </c>
      <c r="FA29" s="285">
        <f>SUM(EW29:EZ29)</f>
        <v>882.07999999999993</v>
      </c>
      <c r="FB29" s="244"/>
      <c r="FC29" s="243">
        <f>EW29*(1+FC30)</f>
        <v>237.48480000000001</v>
      </c>
      <c r="FD29" s="243">
        <f>EX29*(1+FD30)</f>
        <v>235.20000000000002</v>
      </c>
      <c r="FE29" s="243">
        <f>EY29*(1+FE30)</f>
        <v>249.20000000000002</v>
      </c>
      <c r="FF29" s="243">
        <f>EZ29*(1+FF30)</f>
        <v>266.04480000000007</v>
      </c>
      <c r="FG29" s="285">
        <f>SUM(FC29:FF29)</f>
        <v>987.92960000000016</v>
      </c>
      <c r="FH29" s="244"/>
      <c r="FI29" s="243">
        <f>FC29*(1+FI30)</f>
        <v>273.10751999999997</v>
      </c>
      <c r="FJ29" s="243">
        <f>FD29*(1+FJ30)</f>
        <v>270.48</v>
      </c>
      <c r="FK29" s="243">
        <f>FE29*(1+FK30)</f>
        <v>286.58</v>
      </c>
      <c r="FL29" s="243">
        <f>FF29*(1+FL30)</f>
        <v>305.95152000000007</v>
      </c>
      <c r="FM29" s="285">
        <f>SUM(FI29:FL29)</f>
        <v>1136.11904</v>
      </c>
      <c r="FN29" s="226"/>
      <c r="FO29" s="245"/>
      <c r="FP29" s="243"/>
      <c r="FQ29" s="243"/>
      <c r="FR29" s="243"/>
      <c r="FS29" s="1708">
        <f>DC29+DD29+DG29+DH29</f>
        <v>0</v>
      </c>
      <c r="FT29" s="1709">
        <f>DI29+DJ29+DM29+DN29</f>
        <v>0</v>
      </c>
      <c r="FU29" s="1709">
        <f>DO29+DP29+DS29+DT29</f>
        <v>233</v>
      </c>
      <c r="FV29" s="1709">
        <f>DY29+DV29+DZ29+DU29</f>
        <v>429</v>
      </c>
      <c r="FW29" s="1709">
        <f>EA29+EB29+EE29+EF29</f>
        <v>542</v>
      </c>
      <c r="FX29" s="1709">
        <f>EG29+EH29+EK29+EL29</f>
        <v>640</v>
      </c>
      <c r="FY29" s="1709">
        <f>EM29+EN29+EQ29+ER29</f>
        <v>667</v>
      </c>
      <c r="FZ29" s="1709">
        <f>ES29+ET29+EW29+EX29</f>
        <v>814.04</v>
      </c>
      <c r="GA29" s="1709">
        <f>EY29+EZ29+FC29+FD29</f>
        <v>932.72480000000007</v>
      </c>
      <c r="GB29" s="1709">
        <f>FE29+FF29+FI29+FJ29</f>
        <v>1058.83232</v>
      </c>
      <c r="GC29" s="243"/>
      <c r="GD29" s="243"/>
      <c r="GE29" s="243"/>
      <c r="GF29" s="243"/>
      <c r="GI29"/>
      <c r="GJ29"/>
      <c r="GK29"/>
      <c r="GL29"/>
      <c r="GM29"/>
      <c r="GN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</row>
    <row r="30" spans="1:281" s="37" customFormat="1" ht="10.5" hidden="1" customHeight="1" outlineLevel="1" x14ac:dyDescent="0.2">
      <c r="A30" s="1288" t="s">
        <v>669</v>
      </c>
      <c r="B30" s="1280"/>
      <c r="C30" s="1266"/>
      <c r="D30" s="1281"/>
      <c r="E30" s="1281"/>
      <c r="F30" s="1281"/>
      <c r="G30" s="1281"/>
      <c r="H30" s="1281"/>
      <c r="I30" s="1281"/>
      <c r="J30" s="1281"/>
      <c r="K30" s="1281"/>
      <c r="L30" s="1282"/>
      <c r="M30" s="1282"/>
      <c r="N30" s="1283"/>
      <c r="O30" s="1284"/>
      <c r="P30" s="1284"/>
      <c r="Q30" s="1284"/>
      <c r="R30" s="1284"/>
      <c r="S30" s="1282"/>
      <c r="T30" s="1283"/>
      <c r="U30" s="1282"/>
      <c r="V30" s="1282"/>
      <c r="W30" s="1282"/>
      <c r="X30" s="1282"/>
      <c r="Y30" s="1282"/>
      <c r="Z30" s="1283"/>
      <c r="AA30" s="1282"/>
      <c r="AB30" s="1282"/>
      <c r="AC30" s="1282"/>
      <c r="AD30" s="1282"/>
      <c r="AE30" s="1282"/>
      <c r="AF30" s="1283"/>
      <c r="AG30" s="1282"/>
      <c r="AH30" s="1282"/>
      <c r="AI30" s="1282"/>
      <c r="AJ30" s="1282"/>
      <c r="AK30" s="1282"/>
      <c r="AL30" s="1283"/>
      <c r="AM30" s="1282"/>
      <c r="AN30" s="1282"/>
      <c r="AO30" s="1282"/>
      <c r="AP30" s="1282"/>
      <c r="AQ30" s="1282"/>
      <c r="AR30" s="1283"/>
      <c r="AS30" s="1282"/>
      <c r="AT30" s="1282"/>
      <c r="AU30" s="1282"/>
      <c r="AV30" s="1282"/>
      <c r="AW30" s="1282"/>
      <c r="AX30" s="1283"/>
      <c r="AY30" s="1282"/>
      <c r="AZ30" s="1282"/>
      <c r="BA30" s="1282"/>
      <c r="BB30" s="1282"/>
      <c r="BC30" s="1282"/>
      <c r="BD30" s="1283"/>
      <c r="BE30" s="1282"/>
      <c r="BF30" s="1282"/>
      <c r="BG30" s="1282"/>
      <c r="BH30" s="1282"/>
      <c r="BI30" s="1282"/>
      <c r="BJ30" s="1283"/>
      <c r="BK30" s="1282"/>
      <c r="BL30" s="1282"/>
      <c r="BM30" s="1282"/>
      <c r="BN30" s="1282"/>
      <c r="BO30" s="1282"/>
      <c r="BP30" s="1283"/>
      <c r="BQ30" s="1282"/>
      <c r="BR30" s="1282"/>
      <c r="BS30" s="1282"/>
      <c r="BT30" s="1282"/>
      <c r="BU30" s="1282"/>
      <c r="BV30" s="1283"/>
      <c r="BW30" s="1282"/>
      <c r="BX30" s="1282"/>
      <c r="BY30" s="1282"/>
      <c r="BZ30" s="1282"/>
      <c r="CA30" s="1285"/>
      <c r="CB30" s="1283"/>
      <c r="CC30" s="1285"/>
      <c r="CD30" s="1285"/>
      <c r="CE30" s="1285"/>
      <c r="CF30" s="1285"/>
      <c r="CG30" s="1286"/>
      <c r="CH30" s="1283"/>
      <c r="CI30" s="1285"/>
      <c r="CJ30" s="1285"/>
      <c r="CK30" s="1285"/>
      <c r="CL30" s="1285"/>
      <c r="CM30" s="1270"/>
      <c r="CN30" s="1283"/>
      <c r="CO30" s="1285"/>
      <c r="CP30" s="1285"/>
      <c r="CQ30" s="1285"/>
      <c r="CR30" s="1285"/>
      <c r="CS30" s="1270"/>
      <c r="CT30" s="1283"/>
      <c r="CU30" s="1282"/>
      <c r="CV30" s="1282"/>
      <c r="CW30" s="1282"/>
      <c r="CX30" s="1282"/>
      <c r="CY30" s="1270"/>
      <c r="CZ30" s="1283"/>
      <c r="DA30" s="1282"/>
      <c r="DB30" s="1282"/>
      <c r="DC30" s="1282"/>
      <c r="DD30" s="1282"/>
      <c r="DE30" s="1270"/>
      <c r="DF30" s="1283"/>
      <c r="DG30" s="1282"/>
      <c r="DH30" s="1282"/>
      <c r="DI30" s="1282"/>
      <c r="DJ30" s="1282"/>
      <c r="DK30" s="1270"/>
      <c r="DL30" s="1283"/>
      <c r="DM30" s="1282"/>
      <c r="DN30" s="1282"/>
      <c r="DO30" s="1282"/>
      <c r="DP30" s="1282"/>
      <c r="DQ30" s="1270"/>
      <c r="DR30" s="1283"/>
      <c r="DS30" s="1267"/>
      <c r="DT30" s="1267"/>
      <c r="DU30" s="1267"/>
      <c r="DV30" s="1267"/>
      <c r="DW30" s="1270"/>
      <c r="DX30" s="1283"/>
      <c r="DY30" s="1267">
        <f>DY29/DS29-1</f>
        <v>-8.4033613445378186E-2</v>
      </c>
      <c r="DZ30" s="1267">
        <f>DZ29/DT29-1</f>
        <v>-0.14912280701754388</v>
      </c>
      <c r="EA30" s="1267">
        <f>EA29/DU29-1</f>
        <v>0.10000000000000009</v>
      </c>
      <c r="EB30" s="1267">
        <f>EB29/DV29-1</f>
        <v>0.13274336283185839</v>
      </c>
      <c r="EC30" s="1270">
        <f>EC29/DW29-1</f>
        <v>-2.1929824561403022E-3</v>
      </c>
      <c r="ED30" s="1283"/>
      <c r="EE30" s="1267">
        <f>EE29/DY29-1</f>
        <v>0.26605504587155959</v>
      </c>
      <c r="EF30" s="1267">
        <f>EF29/DZ29-1</f>
        <v>0.597938144329897</v>
      </c>
      <c r="EG30" s="1267">
        <f>EG29/EA29-1</f>
        <v>0.28099173553719003</v>
      </c>
      <c r="EH30" s="1267">
        <f>EH29/EB29-1</f>
        <v>0.25</v>
      </c>
      <c r="EI30" s="1270">
        <f>EI29/EC29-1</f>
        <v>0.33626373626373618</v>
      </c>
      <c r="EJ30" s="1283"/>
      <c r="EK30" s="1267">
        <f>EK29/EE29-1</f>
        <v>0.15942028985507251</v>
      </c>
      <c r="EL30" s="1267">
        <f>EL29/EF29-1</f>
        <v>6.4516129032258007E-2</v>
      </c>
      <c r="EM30" s="1267">
        <f>EM29/EG29-1</f>
        <v>-1.9354838709677469E-2</v>
      </c>
      <c r="EN30" s="1267">
        <f>EN29/EH29-1</f>
        <v>5.6249999999999911E-2</v>
      </c>
      <c r="EO30" s="1270">
        <f>EO29/EI29-1</f>
        <v>6.25E-2</v>
      </c>
      <c r="EP30" s="1283"/>
      <c r="EQ30" s="1267">
        <f>EQ29/EK29-1</f>
        <v>6.8750000000000089E-2</v>
      </c>
      <c r="ER30" s="1267">
        <f>ER29/EL29-1</f>
        <v>6.0606060606060552E-2</v>
      </c>
      <c r="ES30" s="1267">
        <f>ES29/EM29-1</f>
        <v>0.17105263157894735</v>
      </c>
      <c r="ET30" s="1267">
        <f>ET29/EN29-1</f>
        <v>0.26627218934911245</v>
      </c>
      <c r="EU30" s="1270">
        <f>EU29/EO29-1</f>
        <v>0.14241486068111464</v>
      </c>
      <c r="EV30" s="1283"/>
      <c r="EW30" s="1287">
        <v>0.24</v>
      </c>
      <c r="EX30" s="1287">
        <v>0.2</v>
      </c>
      <c r="EY30" s="1287">
        <v>0.25</v>
      </c>
      <c r="EZ30" s="1287">
        <v>0.11</v>
      </c>
      <c r="FA30" s="1270">
        <f>FA29/EU29-1</f>
        <v>0.19523035230352304</v>
      </c>
      <c r="FB30" s="1283"/>
      <c r="FC30" s="1287">
        <v>0.12</v>
      </c>
      <c r="FD30" s="1287">
        <v>0.12</v>
      </c>
      <c r="FE30" s="1287">
        <v>0.12</v>
      </c>
      <c r="FF30" s="1287">
        <v>0.12</v>
      </c>
      <c r="FG30" s="1270">
        <f>FG29/FA29-1</f>
        <v>0.12000000000000033</v>
      </c>
      <c r="FH30" s="1283"/>
      <c r="FI30" s="1287">
        <v>0.15</v>
      </c>
      <c r="FJ30" s="1287">
        <v>0.15</v>
      </c>
      <c r="FK30" s="1287">
        <v>0.15</v>
      </c>
      <c r="FL30" s="1287">
        <v>0.15</v>
      </c>
      <c r="FM30" s="1270">
        <f>FM29/FG29-1</f>
        <v>0.14999999999999991</v>
      </c>
      <c r="FN30" s="1123"/>
      <c r="FO30" s="235"/>
      <c r="FP30" s="236"/>
      <c r="FQ30" s="236"/>
      <c r="FR30" s="236"/>
      <c r="FS30" s="316"/>
      <c r="FT30" s="236"/>
      <c r="FU30" s="236"/>
      <c r="FV30" s="236"/>
      <c r="FW30" s="236">
        <f t="shared" ref="FW30:GB30" si="12">FW29/FV29-1</f>
        <v>0.26340326340326348</v>
      </c>
      <c r="FX30" s="236">
        <f t="shared" si="12"/>
        <v>0.18081180811808117</v>
      </c>
      <c r="FY30" s="236">
        <f t="shared" si="12"/>
        <v>4.2187500000000044E-2</v>
      </c>
      <c r="FZ30" s="236">
        <f t="shared" si="12"/>
        <v>0.22044977511244368</v>
      </c>
      <c r="GA30" s="236">
        <f t="shared" si="12"/>
        <v>0.14579725811999422</v>
      </c>
      <c r="GB30" s="236">
        <f t="shared" si="12"/>
        <v>0.13520335258588578</v>
      </c>
      <c r="GC30" s="236"/>
      <c r="GD30" s="236"/>
      <c r="GE30" s="236"/>
      <c r="GF30" s="236"/>
      <c r="GI30"/>
      <c r="GJ30"/>
      <c r="GK30"/>
      <c r="GL30"/>
      <c r="GM30"/>
      <c r="GN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</row>
    <row r="31" spans="1:281" s="37" customFormat="1" ht="10.5" hidden="1" customHeight="1" outlineLevel="1" x14ac:dyDescent="0.2">
      <c r="A31" s="1288" t="s">
        <v>1101</v>
      </c>
      <c r="B31" s="1280"/>
      <c r="C31" s="1266"/>
      <c r="D31" s="1266"/>
      <c r="E31" s="1266"/>
      <c r="F31" s="1266"/>
      <c r="G31" s="1266"/>
      <c r="H31" s="1266"/>
      <c r="I31" s="1266"/>
      <c r="J31" s="1266"/>
      <c r="K31" s="1266"/>
      <c r="L31" s="1266"/>
      <c r="M31" s="1266"/>
      <c r="N31" s="1283"/>
      <c r="O31" s="1284"/>
      <c r="P31" s="1282"/>
      <c r="Q31" s="1282"/>
      <c r="R31" s="1282"/>
      <c r="S31" s="1289"/>
      <c r="T31" s="1283"/>
      <c r="U31" s="1282"/>
      <c r="V31" s="1282"/>
      <c r="W31" s="1282"/>
      <c r="X31" s="1282"/>
      <c r="Y31" s="1289"/>
      <c r="Z31" s="1283"/>
      <c r="AA31" s="1282"/>
      <c r="AB31" s="1282"/>
      <c r="AC31" s="1282"/>
      <c r="AD31" s="1282"/>
      <c r="AE31" s="1289"/>
      <c r="AF31" s="1283"/>
      <c r="AG31" s="1282"/>
      <c r="AH31" s="1282"/>
      <c r="AI31" s="1282"/>
      <c r="AJ31" s="1282"/>
      <c r="AK31" s="1289"/>
      <c r="AL31" s="1283"/>
      <c r="AM31" s="1282"/>
      <c r="AN31" s="1282"/>
      <c r="AO31" s="1282"/>
      <c r="AP31" s="1282"/>
      <c r="AQ31" s="1289"/>
      <c r="AR31" s="1283"/>
      <c r="AS31" s="1282"/>
      <c r="AT31" s="1282"/>
      <c r="AU31" s="1282"/>
      <c r="AV31" s="1282"/>
      <c r="AW31" s="1289"/>
      <c r="AX31" s="1283"/>
      <c r="AY31" s="1282"/>
      <c r="AZ31" s="1282"/>
      <c r="BA31" s="1282"/>
      <c r="BB31" s="1282"/>
      <c r="BC31" s="1289"/>
      <c r="BD31" s="1283"/>
      <c r="BE31" s="1282"/>
      <c r="BF31" s="1282"/>
      <c r="BG31" s="1282"/>
      <c r="BH31" s="1282"/>
      <c r="BI31" s="1289"/>
      <c r="BJ31" s="1283"/>
      <c r="BK31" s="1282"/>
      <c r="BL31" s="1282"/>
      <c r="BM31" s="1282"/>
      <c r="BN31" s="1282"/>
      <c r="BO31" s="1289"/>
      <c r="BP31" s="1283"/>
      <c r="BQ31" s="1282"/>
      <c r="BR31" s="1282"/>
      <c r="BS31" s="1282"/>
      <c r="BT31" s="1282"/>
      <c r="BU31" s="1289"/>
      <c r="BV31" s="1283"/>
      <c r="BW31" s="1282"/>
      <c r="BX31" s="1282"/>
      <c r="BY31" s="1282"/>
      <c r="BZ31" s="1282"/>
      <c r="CA31" s="1289"/>
      <c r="CB31" s="1283"/>
      <c r="CC31" s="1282"/>
      <c r="CD31" s="1282"/>
      <c r="CE31" s="1282"/>
      <c r="CF31" s="1282"/>
      <c r="CG31" s="1290"/>
      <c r="CH31" s="1283"/>
      <c r="CI31" s="1282"/>
      <c r="CJ31" s="1282"/>
      <c r="CK31" s="1282"/>
      <c r="CL31" s="1282"/>
      <c r="CM31" s="1290"/>
      <c r="CN31" s="1283"/>
      <c r="CO31" s="1282"/>
      <c r="CP31" s="1282"/>
      <c r="CQ31" s="1282"/>
      <c r="CR31" s="1282"/>
      <c r="CS31" s="1290"/>
      <c r="CT31" s="1283"/>
      <c r="CU31" s="1282"/>
      <c r="CV31" s="1282"/>
      <c r="CW31" s="1282"/>
      <c r="CX31" s="1282"/>
      <c r="CY31" s="1290"/>
      <c r="CZ31" s="1283"/>
      <c r="DA31" s="1282"/>
      <c r="DB31" s="1282"/>
      <c r="DC31" s="1282"/>
      <c r="DD31" s="1282"/>
      <c r="DE31" s="1290"/>
      <c r="DF31" s="1283"/>
      <c r="DG31" s="1282"/>
      <c r="DH31" s="1282"/>
      <c r="DI31" s="1282"/>
      <c r="DJ31" s="1282"/>
      <c r="DK31" s="1290"/>
      <c r="DL31" s="1283"/>
      <c r="DM31" s="1282"/>
      <c r="DN31" s="1282"/>
      <c r="DO31" s="1282"/>
      <c r="DP31" s="1282"/>
      <c r="DQ31" s="1290"/>
      <c r="DR31" s="1283"/>
      <c r="DS31" s="1277"/>
      <c r="DT31" s="1277">
        <f>DT29/DS29-1</f>
        <v>-4.2016806722689037E-2</v>
      </c>
      <c r="DU31" s="1277">
        <f>DU29/DT29-1</f>
        <v>-3.5087719298245612E-2</v>
      </c>
      <c r="DV31" s="1277">
        <f>DV29/DU29-1</f>
        <v>2.7272727272727337E-2</v>
      </c>
      <c r="DW31" s="1279" t="s">
        <v>945</v>
      </c>
      <c r="DX31" s="1283"/>
      <c r="DY31" s="1277">
        <f>DY29/DV29-1</f>
        <v>-3.539823008849563E-2</v>
      </c>
      <c r="DZ31" s="1277">
        <f>DZ29/DY29-1</f>
        <v>-0.11009174311926606</v>
      </c>
      <c r="EA31" s="1277">
        <f>EA29/DZ29-1</f>
        <v>0.24742268041237114</v>
      </c>
      <c r="EB31" s="1277">
        <f>EB29/EA29-1</f>
        <v>5.7851239669421517E-2</v>
      </c>
      <c r="EC31" s="1279" t="s">
        <v>945</v>
      </c>
      <c r="ED31" s="1667"/>
      <c r="EE31" s="1277">
        <f>EE29/EB29-1</f>
        <v>7.8125E-2</v>
      </c>
      <c r="EF31" s="1277">
        <f>EF29/EE29-1</f>
        <v>0.12318840579710155</v>
      </c>
      <c r="EG31" s="1277">
        <f>EG29/EF29-1</f>
        <v>0</v>
      </c>
      <c r="EH31" s="1668">
        <f>EH29/EG29-1</f>
        <v>3.2258064516129004E-2</v>
      </c>
      <c r="EI31" s="1279" t="s">
        <v>945</v>
      </c>
      <c r="EJ31" s="1667"/>
      <c r="EK31" s="1277">
        <f>EK29/EH29-1</f>
        <v>0</v>
      </c>
      <c r="EL31" s="1277">
        <f>EL29/EK29-1</f>
        <v>3.125E-2</v>
      </c>
      <c r="EM31" s="1277">
        <f>EM29/EL29-1</f>
        <v>-7.878787878787874E-2</v>
      </c>
      <c r="EN31" s="1668">
        <f>EN29/EM29-1</f>
        <v>0.11184210526315796</v>
      </c>
      <c r="EO31" s="1279" t="s">
        <v>945</v>
      </c>
      <c r="EP31" s="1283"/>
      <c r="EQ31" s="1277">
        <f>EQ29/EN29-1</f>
        <v>1.1834319526627279E-2</v>
      </c>
      <c r="ER31" s="1277">
        <f>ER29/EQ29-1</f>
        <v>2.3391812865497075E-2</v>
      </c>
      <c r="ES31" s="1277">
        <f>ES29/ER29-1</f>
        <v>1.7142857142857126E-2</v>
      </c>
      <c r="ET31" s="1668">
        <f>ET29/ES29-1</f>
        <v>0.202247191011236</v>
      </c>
      <c r="EU31" s="1279" t="s">
        <v>945</v>
      </c>
      <c r="EV31" s="1283"/>
      <c r="EW31" s="1277">
        <f>EW29/ET29-1</f>
        <v>-9.158878504672896E-3</v>
      </c>
      <c r="EX31" s="1277">
        <f>EX29/EW29-1</f>
        <v>-9.6208262591963578E-3</v>
      </c>
      <c r="EY31" s="1277">
        <f>EY29/EX29-1</f>
        <v>5.9523809523809534E-2</v>
      </c>
      <c r="EZ31" s="1668">
        <f>EZ29/EY29-1</f>
        <v>6.7595505617977558E-2</v>
      </c>
      <c r="FA31" s="1279" t="s">
        <v>945</v>
      </c>
      <c r="FB31" s="1283"/>
      <c r="FC31" s="1277">
        <f>FC29/EZ29-1</f>
        <v>-2.3238191462493507E-4</v>
      </c>
      <c r="FD31" s="1277">
        <f>FD29/FC29-1</f>
        <v>-9.6208262591963578E-3</v>
      </c>
      <c r="FE31" s="1277">
        <f>FE29/FD29-1</f>
        <v>5.9523809523809534E-2</v>
      </c>
      <c r="FF31" s="1668">
        <f>FF29/FE29-1</f>
        <v>6.759550561797778E-2</v>
      </c>
      <c r="FG31" s="1279" t="s">
        <v>945</v>
      </c>
      <c r="FH31" s="1283"/>
      <c r="FI31" s="1277">
        <f>FI29/FF29-1</f>
        <v>2.6547107855518615E-2</v>
      </c>
      <c r="FJ31" s="1277">
        <f>FJ29/FI29-1</f>
        <v>-9.6208262591961358E-3</v>
      </c>
      <c r="FK31" s="1277">
        <f>FK29/FJ29-1</f>
        <v>5.9523809523809312E-2</v>
      </c>
      <c r="FL31" s="1668">
        <f>FL29/FK29-1</f>
        <v>6.759550561797778E-2</v>
      </c>
      <c r="FM31" s="1279" t="s">
        <v>945</v>
      </c>
      <c r="FN31" s="1123"/>
      <c r="FO31" s="235"/>
      <c r="FS31" s="235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I31"/>
      <c r="GJ31"/>
      <c r="GK31"/>
      <c r="GL31"/>
      <c r="GM31"/>
      <c r="GN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</row>
    <row r="32" spans="1:281" s="37" customFormat="1" ht="10.5" customHeight="1" collapsed="1" x14ac:dyDescent="0.2">
      <c r="A32" s="127" t="s">
        <v>1246</v>
      </c>
      <c r="B32" s="949"/>
      <c r="C32" s="33"/>
      <c r="D32" s="33"/>
      <c r="E32" s="33"/>
      <c r="F32" s="33"/>
      <c r="G32" s="33"/>
      <c r="H32" s="33"/>
      <c r="I32" s="33"/>
      <c r="J32" s="33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145"/>
      <c r="V32" s="145"/>
      <c r="W32" s="145"/>
      <c r="X32" s="145"/>
      <c r="Y32" s="145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242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4"/>
      <c r="BO32" s="34"/>
      <c r="BP32" s="34"/>
      <c r="BQ32" s="33"/>
      <c r="BR32" s="33"/>
      <c r="BS32" s="33"/>
      <c r="BT32" s="33"/>
      <c r="BU32" s="33"/>
      <c r="BV32" s="34"/>
      <c r="BW32" s="33"/>
      <c r="BX32" s="33"/>
      <c r="BY32" s="33"/>
      <c r="BZ32" s="33"/>
      <c r="CA32" s="33"/>
      <c r="CB32" s="34"/>
      <c r="CC32" s="243"/>
      <c r="CD32" s="243"/>
      <c r="CE32" s="243"/>
      <c r="CF32" s="243"/>
      <c r="CG32" s="143"/>
      <c r="CH32" s="244"/>
      <c r="CI32" s="243"/>
      <c r="CJ32" s="243"/>
      <c r="CK32" s="243"/>
      <c r="CL32" s="243"/>
      <c r="CM32" s="143"/>
      <c r="CN32" s="244"/>
      <c r="CO32" s="243"/>
      <c r="CP32" s="243"/>
      <c r="CQ32" s="243"/>
      <c r="CR32" s="243"/>
      <c r="CS32" s="143"/>
      <c r="CT32" s="244"/>
      <c r="CU32" s="243"/>
      <c r="CV32" s="243"/>
      <c r="CW32" s="243"/>
      <c r="CX32" s="243"/>
      <c r="CY32" s="143"/>
      <c r="CZ32" s="244"/>
      <c r="DA32" s="243"/>
      <c r="DB32" s="243"/>
      <c r="DC32" s="243"/>
      <c r="DD32" s="243"/>
      <c r="DE32" s="143"/>
      <c r="DF32" s="244"/>
      <c r="DG32" s="243"/>
      <c r="DH32" s="243"/>
      <c r="DI32" s="243"/>
      <c r="DJ32" s="243"/>
      <c r="DK32" s="143"/>
      <c r="DL32" s="244"/>
      <c r="DM32" s="243"/>
      <c r="DN32" s="243"/>
      <c r="DO32" s="243"/>
      <c r="DP32" s="243"/>
      <c r="DQ32" s="143"/>
      <c r="DR32" s="244"/>
      <c r="DS32" s="243"/>
      <c r="DT32" s="243"/>
      <c r="DU32" s="243"/>
      <c r="DV32" s="243"/>
      <c r="DW32" s="143"/>
      <c r="DX32" s="244"/>
      <c r="DY32" s="243"/>
      <c r="DZ32" s="243"/>
      <c r="EA32" s="243"/>
      <c r="EB32" s="243">
        <v>129</v>
      </c>
      <c r="EC32" s="285"/>
      <c r="ED32" s="1669"/>
      <c r="EE32" s="1670">
        <v>139</v>
      </c>
      <c r="EF32" s="1670">
        <v>156</v>
      </c>
      <c r="EG32" s="1670">
        <v>157</v>
      </c>
      <c r="EH32" s="1671">
        <v>165</v>
      </c>
      <c r="EI32" s="285">
        <f>SUM(EE32:EH32)</f>
        <v>617</v>
      </c>
      <c r="EJ32" s="1669"/>
      <c r="EK32" s="1670">
        <v>173</v>
      </c>
      <c r="EL32" s="1670">
        <v>187</v>
      </c>
      <c r="EM32" s="1670">
        <v>209</v>
      </c>
      <c r="EN32" s="1671">
        <v>283</v>
      </c>
      <c r="EO32" s="285">
        <f>SUM(EK32:EN32)</f>
        <v>852</v>
      </c>
      <c r="EP32" s="244"/>
      <c r="EQ32" s="1670">
        <v>312</v>
      </c>
      <c r="ER32" s="1670">
        <v>328</v>
      </c>
      <c r="ES32" s="243">
        <v>324</v>
      </c>
      <c r="ET32" s="1671">
        <f>397+6</f>
        <v>403</v>
      </c>
      <c r="EU32" s="285">
        <f>SUM(EQ32:ET32)</f>
        <v>1367</v>
      </c>
      <c r="EV32" s="244"/>
      <c r="EW32" s="1670">
        <v>403</v>
      </c>
      <c r="EX32" s="1670">
        <v>398</v>
      </c>
      <c r="EY32" s="243">
        <v>416</v>
      </c>
      <c r="EZ32" s="243">
        <f>EZ26+EZ29</f>
        <v>460.56</v>
      </c>
      <c r="FA32" s="285">
        <f>SUM(EW32:EZ32)</f>
        <v>1677.56</v>
      </c>
      <c r="FB32" s="244"/>
      <c r="FC32" s="243">
        <f>FC26+FC29</f>
        <v>466.63679999999999</v>
      </c>
      <c r="FD32" s="243">
        <f>FD26+FD29</f>
        <v>465.5</v>
      </c>
      <c r="FE32" s="243">
        <f>FE26+FE29</f>
        <v>483.33500000000004</v>
      </c>
      <c r="FF32" s="243">
        <f>FF26+FF29</f>
        <v>529.20839999999998</v>
      </c>
      <c r="FG32" s="285">
        <f>SUM(FC32:FF32)</f>
        <v>1944.6802</v>
      </c>
      <c r="FH32" s="244"/>
      <c r="FI32" s="243">
        <f>FI26+FI29</f>
        <v>559.54751999999996</v>
      </c>
      <c r="FJ32" s="243">
        <f>FJ26+FJ29</f>
        <v>558.35500000000002</v>
      </c>
      <c r="FK32" s="243">
        <f>FK26+FK29</f>
        <v>579.24874999999997</v>
      </c>
      <c r="FL32" s="243">
        <f>FL26+FL29</f>
        <v>634.90602000000001</v>
      </c>
      <c r="FM32" s="285">
        <f>SUM(FI32:FL32)</f>
        <v>2332.0572900000002</v>
      </c>
      <c r="FN32" s="1123"/>
      <c r="FO32" s="235"/>
      <c r="FS32" s="235"/>
      <c r="FT32" s="33"/>
      <c r="FU32" s="33"/>
      <c r="FV32" s="33"/>
      <c r="FW32" s="33"/>
      <c r="FX32" s="33"/>
      <c r="FY32" s="1709">
        <f>EM32+EN32+EQ32+ER32</f>
        <v>1132</v>
      </c>
      <c r="FZ32" s="1709">
        <f>ES32+ET32+EW32+EX32</f>
        <v>1528</v>
      </c>
      <c r="GA32" s="1709">
        <f>EY32+EZ32+FC32+FD32</f>
        <v>1808.6967999999999</v>
      </c>
      <c r="GB32" s="1709">
        <f>FE32+FF32+FI32+FJ32</f>
        <v>2130.4459200000001</v>
      </c>
      <c r="GC32" s="33"/>
      <c r="GD32" s="33"/>
      <c r="GE32" s="33"/>
      <c r="GF32" s="33"/>
      <c r="GI32"/>
      <c r="GJ32"/>
      <c r="GK32"/>
      <c r="GL32"/>
      <c r="GM32"/>
      <c r="GN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</row>
    <row r="33" spans="1:281" s="37" customFormat="1" ht="10.5" customHeight="1" x14ac:dyDescent="0.2">
      <c r="A33" s="1288" t="s">
        <v>669</v>
      </c>
      <c r="B33" s="1280"/>
      <c r="C33" s="1266"/>
      <c r="D33" s="1281"/>
      <c r="E33" s="1281"/>
      <c r="F33" s="1281"/>
      <c r="G33" s="1281"/>
      <c r="H33" s="1281"/>
      <c r="I33" s="1281"/>
      <c r="J33" s="1281"/>
      <c r="K33" s="1281"/>
      <c r="L33" s="1282"/>
      <c r="M33" s="1282"/>
      <c r="N33" s="1283"/>
      <c r="O33" s="1284"/>
      <c r="P33" s="1284"/>
      <c r="Q33" s="1284"/>
      <c r="R33" s="1284"/>
      <c r="S33" s="1282"/>
      <c r="T33" s="1283"/>
      <c r="U33" s="1282"/>
      <c r="V33" s="1282"/>
      <c r="W33" s="1282"/>
      <c r="X33" s="1282"/>
      <c r="Y33" s="1282"/>
      <c r="Z33" s="1283"/>
      <c r="AA33" s="1282"/>
      <c r="AB33" s="1282"/>
      <c r="AC33" s="1282"/>
      <c r="AD33" s="1282"/>
      <c r="AE33" s="1282"/>
      <c r="AF33" s="1283"/>
      <c r="AG33" s="1282"/>
      <c r="AH33" s="1282"/>
      <c r="AI33" s="1282"/>
      <c r="AJ33" s="1282"/>
      <c r="AK33" s="1282"/>
      <c r="AL33" s="1283"/>
      <c r="AM33" s="1282"/>
      <c r="AN33" s="1282"/>
      <c r="AO33" s="1282"/>
      <c r="AP33" s="1282"/>
      <c r="AQ33" s="1282"/>
      <c r="AR33" s="1283"/>
      <c r="AS33" s="1282"/>
      <c r="AT33" s="1282"/>
      <c r="AU33" s="1282"/>
      <c r="AV33" s="1282"/>
      <c r="AW33" s="1282"/>
      <c r="AX33" s="1283"/>
      <c r="AY33" s="1282"/>
      <c r="AZ33" s="1282"/>
      <c r="BA33" s="1282"/>
      <c r="BB33" s="1282"/>
      <c r="BC33" s="1282"/>
      <c r="BD33" s="1283"/>
      <c r="BE33" s="1282"/>
      <c r="BF33" s="1282"/>
      <c r="BG33" s="1282"/>
      <c r="BH33" s="1282"/>
      <c r="BI33" s="1282"/>
      <c r="BJ33" s="1283"/>
      <c r="BK33" s="1282"/>
      <c r="BL33" s="1282"/>
      <c r="BM33" s="1282"/>
      <c r="BN33" s="1282"/>
      <c r="BO33" s="1282"/>
      <c r="BP33" s="1283"/>
      <c r="BQ33" s="1282"/>
      <c r="BR33" s="1282"/>
      <c r="BS33" s="1282"/>
      <c r="BT33" s="1282"/>
      <c r="BU33" s="1282"/>
      <c r="BV33" s="1283"/>
      <c r="BW33" s="1282"/>
      <c r="BX33" s="1282"/>
      <c r="BY33" s="1282"/>
      <c r="BZ33" s="1282"/>
      <c r="CA33" s="1285"/>
      <c r="CB33" s="1283"/>
      <c r="CC33" s="1285"/>
      <c r="CD33" s="1285"/>
      <c r="CE33" s="1285"/>
      <c r="CF33" s="1285"/>
      <c r="CG33" s="1286"/>
      <c r="CH33" s="1283"/>
      <c r="CI33" s="1285"/>
      <c r="CJ33" s="1285"/>
      <c r="CK33" s="1285"/>
      <c r="CL33" s="1285"/>
      <c r="CM33" s="1270"/>
      <c r="CN33" s="1283"/>
      <c r="CO33" s="1285"/>
      <c r="CP33" s="1285"/>
      <c r="CQ33" s="1285"/>
      <c r="CR33" s="1285"/>
      <c r="CS33" s="1270"/>
      <c r="CT33" s="1283"/>
      <c r="CU33" s="1282"/>
      <c r="CV33" s="1282"/>
      <c r="CW33" s="1282"/>
      <c r="CX33" s="1282"/>
      <c r="CY33" s="1270"/>
      <c r="CZ33" s="1283"/>
      <c r="DA33" s="1282"/>
      <c r="DB33" s="1282"/>
      <c r="DC33" s="1282"/>
      <c r="DD33" s="1282"/>
      <c r="DE33" s="1270"/>
      <c r="DF33" s="1283"/>
      <c r="DG33" s="1282"/>
      <c r="DH33" s="1282"/>
      <c r="DI33" s="1282"/>
      <c r="DJ33" s="1282"/>
      <c r="DK33" s="1270"/>
      <c r="DL33" s="1283"/>
      <c r="DM33" s="1282"/>
      <c r="DN33" s="1282"/>
      <c r="DO33" s="1282"/>
      <c r="DP33" s="1282"/>
      <c r="DQ33" s="1270"/>
      <c r="DR33" s="1283"/>
      <c r="DS33" s="1267"/>
      <c r="DT33" s="1267"/>
      <c r="DU33" s="1267"/>
      <c r="DV33" s="1267"/>
      <c r="DW33" s="1270"/>
      <c r="DX33" s="1283"/>
      <c r="DY33" s="1267"/>
      <c r="DZ33" s="1267"/>
      <c r="EA33" s="1267"/>
      <c r="EB33" s="1267"/>
      <c r="EC33" s="1270"/>
      <c r="ED33" s="1672"/>
      <c r="EE33" s="1267"/>
      <c r="EF33" s="1267"/>
      <c r="EG33" s="1267"/>
      <c r="EH33" s="1267">
        <f>EH32/EB32-1</f>
        <v>0.27906976744186052</v>
      </c>
      <c r="EI33" s="1270"/>
      <c r="EJ33" s="1672"/>
      <c r="EK33" s="1267">
        <f>EK32/EE32-1</f>
        <v>0.24460431654676262</v>
      </c>
      <c r="EL33" s="1267">
        <f>EL32/EF32-1</f>
        <v>0.19871794871794868</v>
      </c>
      <c r="EM33" s="1267">
        <f>EM32/EG32-1</f>
        <v>0.33121019108280247</v>
      </c>
      <c r="EN33" s="1267">
        <f>EN32/EH32-1</f>
        <v>0.71515151515151509</v>
      </c>
      <c r="EO33" s="1270">
        <f>EO32/EI32-1</f>
        <v>0.38087520259319296</v>
      </c>
      <c r="EP33" s="1283"/>
      <c r="EQ33" s="1267">
        <f>EQ32/EK32-1</f>
        <v>0.80346820809248554</v>
      </c>
      <c r="ER33" s="1267">
        <f>ER32/EL32-1</f>
        <v>0.75401069518716568</v>
      </c>
      <c r="ES33" s="1267">
        <f>ES32/EM32-1</f>
        <v>0.55023923444976086</v>
      </c>
      <c r="ET33" s="1267">
        <f>ET32/EN32-1</f>
        <v>0.42402826855123665</v>
      </c>
      <c r="EU33" s="1270">
        <f>EU32/EO32-1</f>
        <v>0.60446009389671351</v>
      </c>
      <c r="EV33" s="1283"/>
      <c r="EW33" s="1267">
        <f>EW32/EQ32-1</f>
        <v>0.29166666666666674</v>
      </c>
      <c r="EX33" s="1267">
        <f>EX32/ER32-1</f>
        <v>0.21341463414634143</v>
      </c>
      <c r="EY33" s="1267">
        <f>EY32/ES32-1</f>
        <v>0.28395061728395055</v>
      </c>
      <c r="EZ33" s="1267">
        <f>EZ32/ET32-1</f>
        <v>0.14282878411910671</v>
      </c>
      <c r="FA33" s="1270">
        <f>FA32/EU32-1</f>
        <v>0.22718361375274321</v>
      </c>
      <c r="FB33" s="1283"/>
      <c r="FC33" s="1267">
        <f>FC32/EW32-1</f>
        <v>0.1579076923076923</v>
      </c>
      <c r="FD33" s="1267">
        <f>FD32/EX32-1</f>
        <v>0.16959798994974884</v>
      </c>
      <c r="FE33" s="1267">
        <f>FE32/EY32-1</f>
        <v>0.16186298076923089</v>
      </c>
      <c r="FF33" s="1267">
        <f>FF32/EZ32-1</f>
        <v>0.1490541948931734</v>
      </c>
      <c r="FG33" s="1270">
        <f>FG32/FA32-1</f>
        <v>0.15923138367629175</v>
      </c>
      <c r="FH33" s="1283"/>
      <c r="FI33" s="1267">
        <f>FI32/FC32-1</f>
        <v>0.1991071428571427</v>
      </c>
      <c r="FJ33" s="1267">
        <f>FJ32/FD32-1</f>
        <v>0.19947368421052625</v>
      </c>
      <c r="FK33" s="1267">
        <f>FK32/FE32-1</f>
        <v>0.19844155709807887</v>
      </c>
      <c r="FL33" s="1267">
        <f>FL32/FF32-1</f>
        <v>0.1997277820986969</v>
      </c>
      <c r="FM33" s="1270">
        <f>FM32/FG32-1</f>
        <v>0.19919835148216158</v>
      </c>
      <c r="FN33" s="1123"/>
      <c r="FO33" s="235"/>
      <c r="FS33" s="235"/>
      <c r="FT33" s="33"/>
      <c r="FU33" s="33"/>
      <c r="FV33" s="33"/>
      <c r="FW33" s="33"/>
      <c r="FX33" s="33"/>
      <c r="FY33" s="33"/>
      <c r="FZ33" s="236">
        <f t="shared" ref="FZ33" si="13">FZ32/FY32-1</f>
        <v>0.34982332155477036</v>
      </c>
      <c r="GA33" s="236">
        <f t="shared" ref="GA33" si="14">GA32/FZ32-1</f>
        <v>0.18370209424083761</v>
      </c>
      <c r="GB33" s="236">
        <f t="shared" ref="GB33" si="15">GB32/GA32-1</f>
        <v>0.1778900255697915</v>
      </c>
      <c r="GC33" s="33"/>
      <c r="GD33" s="33"/>
      <c r="GE33" s="33"/>
      <c r="GF33" s="33"/>
      <c r="GI33"/>
      <c r="GJ33"/>
      <c r="GK33"/>
      <c r="GL33"/>
      <c r="GM33"/>
      <c r="GN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</row>
    <row r="34" spans="1:281" s="37" customFormat="1" ht="10.5" customHeight="1" x14ac:dyDescent="0.2">
      <c r="A34" s="1288" t="s">
        <v>1101</v>
      </c>
      <c r="B34" s="1280"/>
      <c r="C34" s="1266"/>
      <c r="D34" s="1266"/>
      <c r="E34" s="1266"/>
      <c r="F34" s="1266"/>
      <c r="G34" s="1266"/>
      <c r="H34" s="1266"/>
      <c r="I34" s="1266"/>
      <c r="J34" s="1266"/>
      <c r="K34" s="1266"/>
      <c r="L34" s="1266"/>
      <c r="M34" s="1266"/>
      <c r="N34" s="1283"/>
      <c r="O34" s="1284"/>
      <c r="P34" s="1282"/>
      <c r="Q34" s="1282"/>
      <c r="R34" s="1282"/>
      <c r="S34" s="1289"/>
      <c r="T34" s="1283"/>
      <c r="U34" s="1282"/>
      <c r="V34" s="1282"/>
      <c r="W34" s="1282"/>
      <c r="X34" s="1282"/>
      <c r="Y34" s="1289"/>
      <c r="Z34" s="1283"/>
      <c r="AA34" s="1282"/>
      <c r="AB34" s="1282"/>
      <c r="AC34" s="1282"/>
      <c r="AD34" s="1282"/>
      <c r="AE34" s="1289"/>
      <c r="AF34" s="1283"/>
      <c r="AG34" s="1282"/>
      <c r="AH34" s="1282"/>
      <c r="AI34" s="1282"/>
      <c r="AJ34" s="1282"/>
      <c r="AK34" s="1289"/>
      <c r="AL34" s="1283"/>
      <c r="AM34" s="1282"/>
      <c r="AN34" s="1282"/>
      <c r="AO34" s="1282"/>
      <c r="AP34" s="1282"/>
      <c r="AQ34" s="1289"/>
      <c r="AR34" s="1283"/>
      <c r="AS34" s="1282"/>
      <c r="AT34" s="1282"/>
      <c r="AU34" s="1282"/>
      <c r="AV34" s="1282"/>
      <c r="AW34" s="1289"/>
      <c r="AX34" s="1283"/>
      <c r="AY34" s="1282"/>
      <c r="AZ34" s="1282"/>
      <c r="BA34" s="1282"/>
      <c r="BB34" s="1282"/>
      <c r="BC34" s="1289"/>
      <c r="BD34" s="1283"/>
      <c r="BE34" s="1282"/>
      <c r="BF34" s="1282"/>
      <c r="BG34" s="1282"/>
      <c r="BH34" s="1282"/>
      <c r="BI34" s="1289"/>
      <c r="BJ34" s="1283"/>
      <c r="BK34" s="1282"/>
      <c r="BL34" s="1282"/>
      <c r="BM34" s="1282"/>
      <c r="BN34" s="1282"/>
      <c r="BO34" s="1289"/>
      <c r="BP34" s="1283"/>
      <c r="BQ34" s="1282"/>
      <c r="BR34" s="1282"/>
      <c r="BS34" s="1282"/>
      <c r="BT34" s="1282"/>
      <c r="BU34" s="1289"/>
      <c r="BV34" s="1283"/>
      <c r="BW34" s="1282"/>
      <c r="BX34" s="1282"/>
      <c r="BY34" s="1282"/>
      <c r="BZ34" s="1282"/>
      <c r="CA34" s="1289"/>
      <c r="CB34" s="1283"/>
      <c r="CC34" s="1282"/>
      <c r="CD34" s="1282"/>
      <c r="CE34" s="1282"/>
      <c r="CF34" s="1282"/>
      <c r="CG34" s="1290"/>
      <c r="CH34" s="1283"/>
      <c r="CI34" s="1282"/>
      <c r="CJ34" s="1282"/>
      <c r="CK34" s="1282"/>
      <c r="CL34" s="1282"/>
      <c r="CM34" s="1290"/>
      <c r="CN34" s="1283"/>
      <c r="CO34" s="1282"/>
      <c r="CP34" s="1282"/>
      <c r="CQ34" s="1282"/>
      <c r="CR34" s="1282"/>
      <c r="CS34" s="1290"/>
      <c r="CT34" s="1283"/>
      <c r="CU34" s="1282"/>
      <c r="CV34" s="1282"/>
      <c r="CW34" s="1282"/>
      <c r="CX34" s="1282"/>
      <c r="CY34" s="1290"/>
      <c r="CZ34" s="1283"/>
      <c r="DA34" s="1282"/>
      <c r="DB34" s="1282"/>
      <c r="DC34" s="1282"/>
      <c r="DD34" s="1282"/>
      <c r="DE34" s="1290"/>
      <c r="DF34" s="1283"/>
      <c r="DG34" s="1282"/>
      <c r="DH34" s="1282"/>
      <c r="DI34" s="1282"/>
      <c r="DJ34" s="1282"/>
      <c r="DK34" s="1290"/>
      <c r="DL34" s="1283"/>
      <c r="DM34" s="1282"/>
      <c r="DN34" s="1282"/>
      <c r="DO34" s="1282"/>
      <c r="DP34" s="1282"/>
      <c r="DQ34" s="1290"/>
      <c r="DR34" s="1283"/>
      <c r="DS34" s="1277"/>
      <c r="DT34" s="1277"/>
      <c r="DU34" s="1277"/>
      <c r="DV34" s="1277"/>
      <c r="DW34" s="1279"/>
      <c r="DX34" s="1283"/>
      <c r="DY34" s="1277"/>
      <c r="DZ34" s="1277"/>
      <c r="EA34" s="1277"/>
      <c r="EB34" s="1277"/>
      <c r="EC34" s="1279"/>
      <c r="ED34" s="1667"/>
      <c r="EE34" s="1277"/>
      <c r="EF34" s="1277">
        <f>EF32/EE32-1</f>
        <v>0.1223021582733812</v>
      </c>
      <c r="EG34" s="1277">
        <f>EG32/EF32-1</f>
        <v>6.4102564102563875E-3</v>
      </c>
      <c r="EH34" s="1668">
        <f>EH32/EG32-1</f>
        <v>5.0955414012738842E-2</v>
      </c>
      <c r="EI34" s="1279"/>
      <c r="EJ34" s="1667"/>
      <c r="EK34" s="1277">
        <f>EK32/EH32-1</f>
        <v>4.8484848484848575E-2</v>
      </c>
      <c r="EL34" s="1277">
        <f>EL32/EK32-1</f>
        <v>8.092485549132955E-2</v>
      </c>
      <c r="EM34" s="1277">
        <f>EM32/EL32-1</f>
        <v>0.11764705882352944</v>
      </c>
      <c r="EN34" s="1668">
        <f>EN32/EM32-1</f>
        <v>0.35406698564593309</v>
      </c>
      <c r="EO34" s="1279" t="s">
        <v>945</v>
      </c>
      <c r="EP34" s="1283"/>
      <c r="EQ34" s="1277">
        <f>EQ32/EN32-1</f>
        <v>0.10247349823321561</v>
      </c>
      <c r="ER34" s="1277">
        <f>ER32/EQ32-1</f>
        <v>5.1282051282051322E-2</v>
      </c>
      <c r="ES34" s="1277">
        <f>ES32/ER32-1</f>
        <v>-1.2195121951219523E-2</v>
      </c>
      <c r="ET34" s="1668">
        <f>ET32/ES32-1</f>
        <v>0.24382716049382713</v>
      </c>
      <c r="EU34" s="1279" t="s">
        <v>945</v>
      </c>
      <c r="EV34" s="1283"/>
      <c r="EW34" s="1277">
        <f>EW32/ET32-1</f>
        <v>0</v>
      </c>
      <c r="EX34" s="1277">
        <f>EX32/EW32-1</f>
        <v>-1.2406947890818865E-2</v>
      </c>
      <c r="EY34" s="1277">
        <f>EY32/EX32-1</f>
        <v>4.5226130653266416E-2</v>
      </c>
      <c r="EZ34" s="1668">
        <f>EZ32/EY32-1</f>
        <v>0.10711538461538472</v>
      </c>
      <c r="FA34" s="1279" t="s">
        <v>945</v>
      </c>
      <c r="FB34" s="1283"/>
      <c r="FC34" s="1277">
        <f>FC32/EZ32-1</f>
        <v>1.3194372068785709E-2</v>
      </c>
      <c r="FD34" s="1277">
        <f>FD32/FC32-1</f>
        <v>-2.4361559139784994E-3</v>
      </c>
      <c r="FE34" s="1277">
        <f>FE32/FD32-1</f>
        <v>3.8313641245972141E-2</v>
      </c>
      <c r="FF34" s="1668">
        <f>FF32/FE32-1</f>
        <v>9.4910155482222258E-2</v>
      </c>
      <c r="FG34" s="1279" t="s">
        <v>945</v>
      </c>
      <c r="FH34" s="1283"/>
      <c r="FI34" s="1277">
        <f>FI32/FF32-1</f>
        <v>5.7329248742083339E-2</v>
      </c>
      <c r="FJ34" s="1277">
        <f>FJ32/FI32-1</f>
        <v>-2.1312220273980165E-3</v>
      </c>
      <c r="FK34" s="1277">
        <f>FK32/FJ32-1</f>
        <v>3.7420189664281622E-2</v>
      </c>
      <c r="FL34" s="1668">
        <f>FL32/FK32-1</f>
        <v>9.6085265613434778E-2</v>
      </c>
      <c r="FM34" s="1279" t="s">
        <v>945</v>
      </c>
      <c r="FN34" s="1123"/>
      <c r="FO34" s="235"/>
      <c r="FS34" s="235"/>
      <c r="FT34" s="33"/>
      <c r="FU34" s="33"/>
      <c r="FV34" s="33"/>
      <c r="FW34" s="33"/>
      <c r="FX34" s="33"/>
      <c r="FY34" s="33"/>
      <c r="FZ34" s="33"/>
      <c r="GA34" s="33"/>
      <c r="GB34" s="33"/>
      <c r="GC34" s="33"/>
      <c r="GD34" s="33"/>
      <c r="GE34" s="33"/>
      <c r="GF34" s="33"/>
      <c r="GI34"/>
      <c r="GJ34"/>
      <c r="GK34"/>
      <c r="GL34"/>
      <c r="GM34"/>
      <c r="GN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</row>
    <row r="35" spans="1:281" s="33" customFormat="1" ht="10.5" hidden="1" customHeight="1" outlineLevel="1" x14ac:dyDescent="0.2">
      <c r="A35" s="127" t="s">
        <v>1110</v>
      </c>
      <c r="B35" s="949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145"/>
      <c r="V35" s="145"/>
      <c r="W35" s="145"/>
      <c r="X35" s="145"/>
      <c r="Y35" s="145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242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/>
      <c r="BM35" s="34"/>
      <c r="BN35" s="34"/>
      <c r="BO35" s="34"/>
      <c r="BP35" s="34"/>
      <c r="BV35" s="34"/>
      <c r="CB35" s="34"/>
      <c r="CC35" s="243"/>
      <c r="CD35" s="243"/>
      <c r="CE35" s="243"/>
      <c r="CF35" s="243"/>
      <c r="CG35" s="143"/>
      <c r="CH35" s="244"/>
      <c r="CI35" s="243"/>
      <c r="CJ35" s="243"/>
      <c r="CK35" s="243"/>
      <c r="CL35" s="243"/>
      <c r="CM35" s="143"/>
      <c r="CN35" s="244"/>
      <c r="CO35" s="243"/>
      <c r="CP35" s="243"/>
      <c r="CQ35" s="243"/>
      <c r="CR35" s="243"/>
      <c r="CS35" s="143"/>
      <c r="CT35" s="244"/>
      <c r="CU35" s="243"/>
      <c r="CV35" s="243"/>
      <c r="CW35" s="243"/>
      <c r="CX35" s="243"/>
      <c r="CY35" s="143"/>
      <c r="CZ35" s="244"/>
      <c r="DA35" s="243"/>
      <c r="DB35" s="243"/>
      <c r="DC35" s="243"/>
      <c r="DD35" s="243"/>
      <c r="DE35" s="143"/>
      <c r="DF35" s="244"/>
      <c r="DG35" s="243"/>
      <c r="DH35" s="243"/>
      <c r="DI35" s="243"/>
      <c r="DJ35" s="243"/>
      <c r="DK35" s="143"/>
      <c r="DL35" s="244"/>
      <c r="DM35" s="243"/>
      <c r="DN35" s="243"/>
      <c r="DO35" s="243"/>
      <c r="DP35" s="243"/>
      <c r="DQ35" s="143"/>
      <c r="DR35" s="244"/>
      <c r="DS35" s="243">
        <f>203+19</f>
        <v>222</v>
      </c>
      <c r="DT35" s="243">
        <f>218+12</f>
        <v>230</v>
      </c>
      <c r="DU35" s="243">
        <f>231+6</f>
        <v>237</v>
      </c>
      <c r="DV35" s="243">
        <f>257+8</f>
        <v>265</v>
      </c>
      <c r="DW35" s="143">
        <f>SUM(DS35:DV35)</f>
        <v>954</v>
      </c>
      <c r="DX35" s="244"/>
      <c r="DY35" s="243">
        <f>254+3</f>
        <v>257</v>
      </c>
      <c r="DZ35" s="243">
        <f>259+3</f>
        <v>262</v>
      </c>
      <c r="EA35" s="243">
        <f>287+5</f>
        <v>292</v>
      </c>
      <c r="EB35" s="243">
        <f>322+5</f>
        <v>327</v>
      </c>
      <c r="EC35" s="285">
        <f>SUM(DY35:EB35)</f>
        <v>1138</v>
      </c>
      <c r="ED35" s="1669"/>
      <c r="EE35" s="1670">
        <f>337+2</f>
        <v>339</v>
      </c>
      <c r="EF35" s="1670">
        <f>361+3</f>
        <v>364</v>
      </c>
      <c r="EG35" s="1670">
        <f>372+3</f>
        <v>375</v>
      </c>
      <c r="EH35" s="1671">
        <f>416+3</f>
        <v>419</v>
      </c>
      <c r="EI35" s="285">
        <f>SUM(EE35:EH35)</f>
        <v>1497</v>
      </c>
      <c r="EJ35" s="1669"/>
      <c r="EK35" s="1670">
        <f>451+1</f>
        <v>452</v>
      </c>
      <c r="EL35" s="1670">
        <v>487</v>
      </c>
      <c r="EM35" s="1670">
        <v>585</v>
      </c>
      <c r="EN35" s="1671">
        <f>690+1</f>
        <v>691</v>
      </c>
      <c r="EO35" s="285">
        <f>SUM(EK35:EN35)</f>
        <v>2215</v>
      </c>
      <c r="EP35" s="244"/>
      <c r="EQ35" s="1670">
        <f>798+17</f>
        <v>815</v>
      </c>
      <c r="ER35" s="1670">
        <v>912</v>
      </c>
      <c r="ES35" s="243">
        <v>1080</v>
      </c>
      <c r="ET35" s="1671">
        <v>1196</v>
      </c>
      <c r="EU35" s="285">
        <f>SUM(EQ35:ET35)</f>
        <v>4003</v>
      </c>
      <c r="EV35" s="244"/>
      <c r="EW35" s="1670">
        <f>EW26+EW23</f>
        <v>1279.96</v>
      </c>
      <c r="EX35" s="1670">
        <f>EX26+EX23</f>
        <v>1318</v>
      </c>
      <c r="EY35" s="1670">
        <f>EY26+EY23</f>
        <v>1348.5</v>
      </c>
      <c r="EZ35" s="243">
        <f>EZ23+EZ26</f>
        <v>1461.6299999999999</v>
      </c>
      <c r="FA35" s="285">
        <f>SUM(EW35:EZ35)</f>
        <v>5408.09</v>
      </c>
      <c r="FB35" s="244"/>
      <c r="FC35" s="243">
        <f>FC23+FC26</f>
        <v>1568.6220000000001</v>
      </c>
      <c r="FD35" s="243">
        <f>FD23+FD26</f>
        <v>1676.7</v>
      </c>
      <c r="FE35" s="243">
        <f>FE23+FE26</f>
        <v>1735.635</v>
      </c>
      <c r="FF35" s="243">
        <f>FF23+FF26</f>
        <v>1860.9704999999999</v>
      </c>
      <c r="FG35" s="285">
        <f>SUM(FC35:FF35)</f>
        <v>6841.9274999999998</v>
      </c>
      <c r="FH35" s="244"/>
      <c r="FI35" s="243">
        <f>FI23+FI26</f>
        <v>1960.7775000000001</v>
      </c>
      <c r="FJ35" s="243">
        <f>FJ23+FJ26</f>
        <v>2081.4110000000001</v>
      </c>
      <c r="FK35" s="243">
        <f>FK23+FK26</f>
        <v>2139.5137500000001</v>
      </c>
      <c r="FL35" s="243">
        <f>FL23+FL26</f>
        <v>2278.2789179999995</v>
      </c>
      <c r="FM35" s="285">
        <f>SUM(FI35:FL35)</f>
        <v>8459.9811680000003</v>
      </c>
      <c r="FN35" s="226"/>
      <c r="FO35" s="245"/>
      <c r="FP35" s="243"/>
      <c r="FQ35" s="243"/>
      <c r="FR35" s="243"/>
      <c r="FS35" s="1708">
        <f>DC35+DD35+DG35+DH35</f>
        <v>0</v>
      </c>
      <c r="FT35" s="1709">
        <f>DI35+DJ35+DM35+DN35</f>
        <v>0</v>
      </c>
      <c r="FU35" s="1709">
        <f>DO35+DP35+DS35+DT35</f>
        <v>452</v>
      </c>
      <c r="FV35" s="1709">
        <f>DY35+DV35+DZ35+DU35</f>
        <v>1021</v>
      </c>
      <c r="FW35" s="1709">
        <f>EA35+EB35+EE35+EF35</f>
        <v>1322</v>
      </c>
      <c r="FX35" s="1709">
        <f>EG35+EH35+EK35+EL35</f>
        <v>1733</v>
      </c>
      <c r="FY35" s="1709">
        <f>EM35+EN35+EQ35+ER35</f>
        <v>3003</v>
      </c>
      <c r="FZ35" s="1709">
        <f>ES35+ET35+EW35+EX35</f>
        <v>4873.96</v>
      </c>
      <c r="GA35" s="1709">
        <f>EY35+EZ35+FC35+FD35</f>
        <v>6055.4520000000002</v>
      </c>
      <c r="GB35" s="1709">
        <f>FE35+FF35+FI35+FJ35</f>
        <v>7638.7939999999999</v>
      </c>
      <c r="GC35" s="243"/>
      <c r="GD35" s="243"/>
      <c r="GE35" s="243"/>
      <c r="GF35" s="243"/>
      <c r="GI35"/>
      <c r="GJ35"/>
      <c r="GK35"/>
      <c r="GL35"/>
      <c r="GM35"/>
      <c r="GN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</row>
    <row r="36" spans="1:281" s="37" customFormat="1" ht="10.5" hidden="1" customHeight="1" outlineLevel="1" x14ac:dyDescent="0.2">
      <c r="A36" s="1288" t="s">
        <v>669</v>
      </c>
      <c r="B36" s="1280"/>
      <c r="C36" s="1266"/>
      <c r="D36" s="1281"/>
      <c r="E36" s="1281"/>
      <c r="F36" s="1281"/>
      <c r="G36" s="1281"/>
      <c r="H36" s="1281"/>
      <c r="I36" s="1281"/>
      <c r="J36" s="1281"/>
      <c r="K36" s="1281"/>
      <c r="L36" s="1282"/>
      <c r="M36" s="1282"/>
      <c r="N36" s="1283"/>
      <c r="O36" s="1284"/>
      <c r="P36" s="1284"/>
      <c r="Q36" s="1284"/>
      <c r="R36" s="1284"/>
      <c r="S36" s="1282"/>
      <c r="T36" s="1283"/>
      <c r="U36" s="1282"/>
      <c r="V36" s="1282"/>
      <c r="W36" s="1282"/>
      <c r="X36" s="1282"/>
      <c r="Y36" s="1282"/>
      <c r="Z36" s="1283"/>
      <c r="AA36" s="1282"/>
      <c r="AB36" s="1282"/>
      <c r="AC36" s="1282"/>
      <c r="AD36" s="1282"/>
      <c r="AE36" s="1282"/>
      <c r="AF36" s="1283"/>
      <c r="AG36" s="1282"/>
      <c r="AH36" s="1282"/>
      <c r="AI36" s="1282"/>
      <c r="AJ36" s="1282"/>
      <c r="AK36" s="1282"/>
      <c r="AL36" s="1283"/>
      <c r="AM36" s="1282"/>
      <c r="AN36" s="1282"/>
      <c r="AO36" s="1282"/>
      <c r="AP36" s="1282"/>
      <c r="AQ36" s="1282"/>
      <c r="AR36" s="1283"/>
      <c r="AS36" s="1282"/>
      <c r="AT36" s="1282"/>
      <c r="AU36" s="1282"/>
      <c r="AV36" s="1282"/>
      <c r="AW36" s="1282"/>
      <c r="AX36" s="1283"/>
      <c r="AY36" s="1282"/>
      <c r="AZ36" s="1282"/>
      <c r="BA36" s="1282"/>
      <c r="BB36" s="1282"/>
      <c r="BC36" s="1282"/>
      <c r="BD36" s="1283"/>
      <c r="BE36" s="1282"/>
      <c r="BF36" s="1282"/>
      <c r="BG36" s="1282"/>
      <c r="BH36" s="1282"/>
      <c r="BI36" s="1282"/>
      <c r="BJ36" s="1283"/>
      <c r="BK36" s="1282"/>
      <c r="BL36" s="1282"/>
      <c r="BM36" s="1282"/>
      <c r="BN36" s="1282"/>
      <c r="BO36" s="1282"/>
      <c r="BP36" s="1283"/>
      <c r="BQ36" s="1282"/>
      <c r="BR36" s="1282"/>
      <c r="BS36" s="1282"/>
      <c r="BT36" s="1282"/>
      <c r="BU36" s="1282"/>
      <c r="BV36" s="1283"/>
      <c r="BW36" s="1282"/>
      <c r="BX36" s="1282"/>
      <c r="BY36" s="1282"/>
      <c r="BZ36" s="1282"/>
      <c r="CA36" s="1285"/>
      <c r="CB36" s="1283"/>
      <c r="CC36" s="1285"/>
      <c r="CD36" s="1285"/>
      <c r="CE36" s="1285"/>
      <c r="CF36" s="1285"/>
      <c r="CG36" s="1286"/>
      <c r="CH36" s="1283"/>
      <c r="CI36" s="1285"/>
      <c r="CJ36" s="1285"/>
      <c r="CK36" s="1285"/>
      <c r="CL36" s="1285"/>
      <c r="CM36" s="1270"/>
      <c r="CN36" s="1283"/>
      <c r="CO36" s="1285"/>
      <c r="CP36" s="1285"/>
      <c r="CQ36" s="1285"/>
      <c r="CR36" s="1285"/>
      <c r="CS36" s="1270"/>
      <c r="CT36" s="1283"/>
      <c r="CU36" s="1282"/>
      <c r="CV36" s="1282"/>
      <c r="CW36" s="1282"/>
      <c r="CX36" s="1282"/>
      <c r="CY36" s="1270"/>
      <c r="CZ36" s="1283"/>
      <c r="DA36" s="1282"/>
      <c r="DB36" s="1282"/>
      <c r="DC36" s="1282"/>
      <c r="DD36" s="1282"/>
      <c r="DE36" s="1270"/>
      <c r="DF36" s="1283"/>
      <c r="DG36" s="1282"/>
      <c r="DH36" s="1282"/>
      <c r="DI36" s="1282"/>
      <c r="DJ36" s="1282"/>
      <c r="DK36" s="1270"/>
      <c r="DL36" s="1283"/>
      <c r="DM36" s="1282"/>
      <c r="DN36" s="1282"/>
      <c r="DO36" s="1282"/>
      <c r="DP36" s="1282"/>
      <c r="DQ36" s="1270"/>
      <c r="DR36" s="1283"/>
      <c r="DS36" s="1267"/>
      <c r="DT36" s="1267"/>
      <c r="DU36" s="1267"/>
      <c r="DV36" s="1267"/>
      <c r="DW36" s="1270"/>
      <c r="DX36" s="1283"/>
      <c r="DY36" s="1267">
        <f>DY35/DS35-1</f>
        <v>0.1576576576576576</v>
      </c>
      <c r="DZ36" s="1267">
        <f>DZ35/DT35-1</f>
        <v>0.13913043478260878</v>
      </c>
      <c r="EA36" s="1267">
        <f>EA35/DU35-1</f>
        <v>0.23206751054852326</v>
      </c>
      <c r="EB36" s="1267">
        <f>EB35/DV35-1</f>
        <v>0.23396226415094334</v>
      </c>
      <c r="EC36" s="1270">
        <f>EC35/DW35-1</f>
        <v>0.19287211740041932</v>
      </c>
      <c r="ED36" s="1672"/>
      <c r="EE36" s="1267">
        <f>EE35/DY35-1</f>
        <v>0.31906614785992216</v>
      </c>
      <c r="EF36" s="1267">
        <f>EF35/DZ35-1</f>
        <v>0.38931297709923673</v>
      </c>
      <c r="EG36" s="1267">
        <f>EG35/EA35-1</f>
        <v>0.28424657534246567</v>
      </c>
      <c r="EH36" s="1267">
        <f>EH35/EB35-1</f>
        <v>0.28134556574923542</v>
      </c>
      <c r="EI36" s="1270">
        <f>EI35/EC35-1</f>
        <v>0.31546572934973649</v>
      </c>
      <c r="EJ36" s="1672"/>
      <c r="EK36" s="1267">
        <f>EK35/EE35-1</f>
        <v>0.33333333333333326</v>
      </c>
      <c r="EL36" s="1267">
        <f>EL35/EF35-1</f>
        <v>0.33791208791208782</v>
      </c>
      <c r="EM36" s="1267">
        <f>EM35/EG35-1</f>
        <v>0.56000000000000005</v>
      </c>
      <c r="EN36" s="1267">
        <f>EN35/EH35-1</f>
        <v>0.64916467780429588</v>
      </c>
      <c r="EO36" s="1270">
        <f>EO35/EI35-1</f>
        <v>0.47962591850367398</v>
      </c>
      <c r="EP36" s="1283"/>
      <c r="EQ36" s="1267">
        <f>EQ35/EK35-1</f>
        <v>0.80309734513274345</v>
      </c>
      <c r="ER36" s="1267">
        <f>ER35/EL35-1</f>
        <v>0.87268993839835729</v>
      </c>
      <c r="ES36" s="1267">
        <f>ES35/EM35-1</f>
        <v>0.84615384615384626</v>
      </c>
      <c r="ET36" s="1267">
        <f>ET35/EN35-1</f>
        <v>0.73082489146164975</v>
      </c>
      <c r="EU36" s="1270">
        <f>EU35/EO35-1</f>
        <v>0.80722347629796842</v>
      </c>
      <c r="EV36" s="1283"/>
      <c r="EW36" s="1267">
        <f>EW35/EQ35-1</f>
        <v>0.57050306748466273</v>
      </c>
      <c r="EX36" s="1267">
        <f>EX35/ER35-1</f>
        <v>0.44517543859649122</v>
      </c>
      <c r="EY36" s="1267">
        <f>EY35/ES35-1</f>
        <v>0.24861111111111112</v>
      </c>
      <c r="EZ36" s="1267">
        <f>EZ35/ET35-1</f>
        <v>0.22209866220735774</v>
      </c>
      <c r="FA36" s="1270">
        <f>FA35/EU35-1</f>
        <v>0.35100924306769921</v>
      </c>
      <c r="FB36" s="1283"/>
      <c r="FC36" s="1267">
        <f>FC35/EW35-1</f>
        <v>0.22552423513234787</v>
      </c>
      <c r="FD36" s="1267">
        <f>FD35/EX35-1</f>
        <v>0.27215477996965109</v>
      </c>
      <c r="FE36" s="1267">
        <f>FE35/EY35-1</f>
        <v>0.2870856507230255</v>
      </c>
      <c r="FF36" s="1267">
        <f>FF35/EZ35-1</f>
        <v>0.27321586174339618</v>
      </c>
      <c r="FG36" s="1270">
        <f>FG35/FA35-1</f>
        <v>0.26512826154890168</v>
      </c>
      <c r="FH36" s="1283"/>
      <c r="FI36" s="1267">
        <f>FI35/FC35-1</f>
        <v>0.25</v>
      </c>
      <c r="FJ36" s="1267">
        <f>FJ35/FD35-1</f>
        <v>0.24137353134132522</v>
      </c>
      <c r="FK36" s="1267">
        <f>FK35/FE35-1</f>
        <v>0.23269797509268941</v>
      </c>
      <c r="FL36" s="1267">
        <f>FL35/FF35-1</f>
        <v>0.22424236063924696</v>
      </c>
      <c r="FM36" s="1270">
        <f>FM35/FG35-1</f>
        <v>0.23649091107732434</v>
      </c>
      <c r="FN36" s="1123"/>
      <c r="FO36" s="235"/>
      <c r="FP36" s="236"/>
      <c r="FQ36" s="236"/>
      <c r="FR36" s="236"/>
      <c r="FS36" s="316"/>
      <c r="FT36" s="236"/>
      <c r="FU36" s="236"/>
      <c r="FV36" s="236"/>
      <c r="FW36" s="236">
        <f t="shared" ref="FW36:GB36" si="16">FW35/FV35-1</f>
        <v>0.29480901077375132</v>
      </c>
      <c r="FX36" s="236">
        <f t="shared" si="16"/>
        <v>0.31089258698940991</v>
      </c>
      <c r="FY36" s="236">
        <f t="shared" si="16"/>
        <v>0.73283323716099247</v>
      </c>
      <c r="FZ36" s="236">
        <f t="shared" si="16"/>
        <v>0.62303030303030305</v>
      </c>
      <c r="GA36" s="236">
        <f t="shared" si="16"/>
        <v>0.24240904726341617</v>
      </c>
      <c r="GB36" s="236">
        <f t="shared" si="16"/>
        <v>0.26147379254265402</v>
      </c>
      <c r="GC36" s="236"/>
      <c r="GD36" s="236"/>
      <c r="GE36" s="236"/>
      <c r="GF36" s="236"/>
      <c r="GI36"/>
      <c r="GJ36"/>
      <c r="GK36"/>
      <c r="GL36"/>
      <c r="GM36"/>
      <c r="GN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</row>
    <row r="37" spans="1:281" s="37" customFormat="1" ht="10.5" hidden="1" customHeight="1" outlineLevel="1" x14ac:dyDescent="0.2">
      <c r="A37" s="1288" t="s">
        <v>1101</v>
      </c>
      <c r="B37" s="1280"/>
      <c r="C37" s="1266"/>
      <c r="D37" s="1266"/>
      <c r="E37" s="1266"/>
      <c r="F37" s="1266"/>
      <c r="G37" s="1266"/>
      <c r="H37" s="1266"/>
      <c r="I37" s="1266"/>
      <c r="J37" s="1266"/>
      <c r="K37" s="1266"/>
      <c r="L37" s="1266"/>
      <c r="M37" s="1266"/>
      <c r="N37" s="1283"/>
      <c r="O37" s="1284"/>
      <c r="P37" s="1282"/>
      <c r="Q37" s="1282"/>
      <c r="R37" s="1282"/>
      <c r="S37" s="1289"/>
      <c r="T37" s="1283"/>
      <c r="U37" s="1282"/>
      <c r="V37" s="1282"/>
      <c r="W37" s="1282"/>
      <c r="X37" s="1282"/>
      <c r="Y37" s="1289"/>
      <c r="Z37" s="1283"/>
      <c r="AA37" s="1282"/>
      <c r="AB37" s="1282"/>
      <c r="AC37" s="1282"/>
      <c r="AD37" s="1282"/>
      <c r="AE37" s="1289"/>
      <c r="AF37" s="1283"/>
      <c r="AG37" s="1282"/>
      <c r="AH37" s="1282"/>
      <c r="AI37" s="1282"/>
      <c r="AJ37" s="1282"/>
      <c r="AK37" s="1289"/>
      <c r="AL37" s="1283"/>
      <c r="AM37" s="1282"/>
      <c r="AN37" s="1282"/>
      <c r="AO37" s="1282"/>
      <c r="AP37" s="1282"/>
      <c r="AQ37" s="1289"/>
      <c r="AR37" s="1283"/>
      <c r="AS37" s="1282"/>
      <c r="AT37" s="1282"/>
      <c r="AU37" s="1282"/>
      <c r="AV37" s="1282"/>
      <c r="AW37" s="1289"/>
      <c r="AX37" s="1283"/>
      <c r="AY37" s="1282"/>
      <c r="AZ37" s="1282"/>
      <c r="BA37" s="1282"/>
      <c r="BB37" s="1282"/>
      <c r="BC37" s="1289"/>
      <c r="BD37" s="1283"/>
      <c r="BE37" s="1282"/>
      <c r="BF37" s="1282"/>
      <c r="BG37" s="1282"/>
      <c r="BH37" s="1282"/>
      <c r="BI37" s="1289"/>
      <c r="BJ37" s="1283"/>
      <c r="BK37" s="1282"/>
      <c r="BL37" s="1282"/>
      <c r="BM37" s="1282"/>
      <c r="BN37" s="1282"/>
      <c r="BO37" s="1289"/>
      <c r="BP37" s="1283"/>
      <c r="BQ37" s="1282"/>
      <c r="BR37" s="1282"/>
      <c r="BS37" s="1282"/>
      <c r="BT37" s="1282"/>
      <c r="BU37" s="1289"/>
      <c r="BV37" s="1283"/>
      <c r="BW37" s="1282"/>
      <c r="BX37" s="1282"/>
      <c r="BY37" s="1282"/>
      <c r="BZ37" s="1282"/>
      <c r="CA37" s="1289"/>
      <c r="CB37" s="1283"/>
      <c r="CC37" s="1282"/>
      <c r="CD37" s="1282"/>
      <c r="CE37" s="1282"/>
      <c r="CF37" s="1282"/>
      <c r="CG37" s="1290"/>
      <c r="CH37" s="1283"/>
      <c r="CI37" s="1282"/>
      <c r="CJ37" s="1282"/>
      <c r="CK37" s="1282"/>
      <c r="CL37" s="1282"/>
      <c r="CM37" s="1290"/>
      <c r="CN37" s="1283"/>
      <c r="CO37" s="1282"/>
      <c r="CP37" s="1282"/>
      <c r="CQ37" s="1282"/>
      <c r="CR37" s="1282"/>
      <c r="CS37" s="1290"/>
      <c r="CT37" s="1283"/>
      <c r="CU37" s="1282"/>
      <c r="CV37" s="1282"/>
      <c r="CW37" s="1282"/>
      <c r="CX37" s="1282"/>
      <c r="CY37" s="1290"/>
      <c r="CZ37" s="1283"/>
      <c r="DA37" s="1282"/>
      <c r="DB37" s="1282"/>
      <c r="DC37" s="1282"/>
      <c r="DD37" s="1282"/>
      <c r="DE37" s="1290"/>
      <c r="DF37" s="1283"/>
      <c r="DG37" s="1282"/>
      <c r="DH37" s="1282"/>
      <c r="DI37" s="1282"/>
      <c r="DJ37" s="1282"/>
      <c r="DK37" s="1290"/>
      <c r="DL37" s="1283"/>
      <c r="DM37" s="1282"/>
      <c r="DN37" s="1282"/>
      <c r="DO37" s="1282"/>
      <c r="DP37" s="1282"/>
      <c r="DQ37" s="1290"/>
      <c r="DR37" s="1283"/>
      <c r="DS37" s="1277"/>
      <c r="DT37" s="1277">
        <f>DT35/DS35-1</f>
        <v>3.6036036036036112E-2</v>
      </c>
      <c r="DU37" s="1277">
        <f>DU35/DT35-1</f>
        <v>3.0434782608695699E-2</v>
      </c>
      <c r="DV37" s="1277">
        <f>DV35/DU35-1</f>
        <v>0.1181434599156117</v>
      </c>
      <c r="DW37" s="1279" t="s">
        <v>945</v>
      </c>
      <c r="DX37" s="1283"/>
      <c r="DY37" s="1277">
        <f>DY35/DV35-1</f>
        <v>-3.0188679245283012E-2</v>
      </c>
      <c r="DZ37" s="1277">
        <f>DZ35/DY35-1</f>
        <v>1.9455252918287869E-2</v>
      </c>
      <c r="EA37" s="1277">
        <f>EA35/DZ35-1</f>
        <v>0.11450381679389321</v>
      </c>
      <c r="EB37" s="1277">
        <f>EB35/EA35-1</f>
        <v>0.11986301369863006</v>
      </c>
      <c r="EC37" s="1279" t="s">
        <v>945</v>
      </c>
      <c r="ED37" s="1667"/>
      <c r="EE37" s="1277">
        <f>EE35/EB35-1</f>
        <v>3.669724770642202E-2</v>
      </c>
      <c r="EF37" s="1277">
        <f>EF35/EE35-1</f>
        <v>7.3746312684365822E-2</v>
      </c>
      <c r="EG37" s="1277">
        <f>EG35/EF35-1</f>
        <v>3.0219780219780112E-2</v>
      </c>
      <c r="EH37" s="1668">
        <f>EH35/EG35-1</f>
        <v>0.11733333333333329</v>
      </c>
      <c r="EI37" s="1279" t="s">
        <v>945</v>
      </c>
      <c r="EJ37" s="1667"/>
      <c r="EK37" s="1277">
        <f>EK35/EH35-1</f>
        <v>7.8758949880668228E-2</v>
      </c>
      <c r="EL37" s="1277">
        <f>EL35/EK35-1</f>
        <v>7.7433628318584136E-2</v>
      </c>
      <c r="EM37" s="1277">
        <f>EM35/EL35-1</f>
        <v>0.20123203285420943</v>
      </c>
      <c r="EN37" s="1668">
        <f>EN35/EM35-1</f>
        <v>0.18119658119658122</v>
      </c>
      <c r="EO37" s="1279" t="s">
        <v>945</v>
      </c>
      <c r="EP37" s="1283"/>
      <c r="EQ37" s="1277">
        <f>EQ35/EN35-1</f>
        <v>0.17945007235890009</v>
      </c>
      <c r="ER37" s="1277">
        <f>ER35/EQ35-1</f>
        <v>0.11901840490797544</v>
      </c>
      <c r="ES37" s="1277">
        <f>ES35/ER35-1</f>
        <v>0.18421052631578938</v>
      </c>
      <c r="ET37" s="1668">
        <f>ET35/ES35-1</f>
        <v>0.1074074074074074</v>
      </c>
      <c r="EU37" s="1279" t="s">
        <v>945</v>
      </c>
      <c r="EV37" s="1283"/>
      <c r="EW37" s="1277">
        <f>EW35/ET35-1</f>
        <v>7.0200668896321039E-2</v>
      </c>
      <c r="EX37" s="1277">
        <f>EX35/EW35-1</f>
        <v>2.9719678739960509E-2</v>
      </c>
      <c r="EY37" s="1277">
        <f>EY35/EX35-1</f>
        <v>2.314112291350523E-2</v>
      </c>
      <c r="EZ37" s="1668">
        <f>EZ35/EY35-1</f>
        <v>8.3893214682980943E-2</v>
      </c>
      <c r="FA37" s="1279" t="s">
        <v>945</v>
      </c>
      <c r="FB37" s="1283"/>
      <c r="FC37" s="1277">
        <f>FC35/EZ35-1</f>
        <v>7.3200467970690353E-2</v>
      </c>
      <c r="FD37" s="1277">
        <f>FD35/FC35-1</f>
        <v>6.8899964427376448E-2</v>
      </c>
      <c r="FE37" s="1277">
        <f>FE35/FD35-1</f>
        <v>3.5149400608337711E-2</v>
      </c>
      <c r="FF37" s="1668">
        <f>FF35/FE35-1</f>
        <v>7.221305170730008E-2</v>
      </c>
      <c r="FG37" s="1279" t="s">
        <v>945</v>
      </c>
      <c r="FH37" s="1283"/>
      <c r="FI37" s="1277">
        <f>FI35/FF35-1</f>
        <v>5.3631693785581414E-2</v>
      </c>
      <c r="FJ37" s="1277">
        <f>FJ35/FI35-1</f>
        <v>6.1523298793463299E-2</v>
      </c>
      <c r="FK37" s="1277">
        <f>FK35/FJ35-1</f>
        <v>2.7915077800588106E-2</v>
      </c>
      <c r="FL37" s="1668">
        <f>FL35/FK35-1</f>
        <v>6.4858273521261278E-2</v>
      </c>
      <c r="FM37" s="1279" t="s">
        <v>945</v>
      </c>
      <c r="FN37" s="1123"/>
      <c r="FO37" s="235"/>
      <c r="FS37" s="235"/>
      <c r="FT37" s="33"/>
      <c r="FU37" s="33"/>
      <c r="FV37" s="33"/>
      <c r="FW37" s="33"/>
      <c r="FX37" s="33"/>
      <c r="FY37" s="33"/>
      <c r="FZ37" s="33"/>
      <c r="GA37" s="33"/>
      <c r="GB37" s="33"/>
      <c r="GC37" s="33"/>
      <c r="GD37" s="33"/>
      <c r="GE37" s="33"/>
      <c r="GF37" s="33"/>
      <c r="GI37"/>
      <c r="GJ37"/>
      <c r="GK37"/>
      <c r="GL37"/>
      <c r="GM37"/>
      <c r="GN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</row>
    <row r="38" spans="1:281" s="33" customFormat="1" ht="3.95" hidden="1" customHeight="1" outlineLevel="1" x14ac:dyDescent="0.2">
      <c r="A38" s="127"/>
      <c r="B38" s="949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U38" s="34"/>
      <c r="BV38" s="34"/>
      <c r="CA38" s="34"/>
      <c r="CB38" s="34"/>
      <c r="CG38" s="228"/>
      <c r="CH38" s="34"/>
      <c r="CM38" s="228"/>
      <c r="CN38" s="34"/>
      <c r="CS38" s="228"/>
      <c r="CT38" s="34"/>
      <c r="CY38" s="228"/>
      <c r="CZ38" s="34"/>
      <c r="DE38" s="228"/>
      <c r="DF38" s="34"/>
      <c r="DK38" s="228"/>
      <c r="DL38" s="34"/>
      <c r="DQ38" s="228"/>
      <c r="DR38" s="34"/>
      <c r="DW38" s="228"/>
      <c r="DX38" s="34"/>
      <c r="EC38" s="228"/>
      <c r="ED38" s="34"/>
      <c r="EI38" s="228"/>
      <c r="EJ38" s="34"/>
      <c r="EO38" s="228"/>
      <c r="EP38" s="34"/>
      <c r="EU38" s="228"/>
      <c r="EV38" s="34"/>
      <c r="FA38" s="228"/>
      <c r="FB38" s="34"/>
      <c r="FG38" s="228"/>
      <c r="FH38" s="34"/>
      <c r="FM38" s="228"/>
      <c r="FN38" s="226"/>
      <c r="FO38" s="227"/>
      <c r="FS38" s="227"/>
      <c r="GI38"/>
      <c r="GJ38"/>
      <c r="GK38"/>
      <c r="GL38"/>
      <c r="GM38"/>
      <c r="GN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</row>
    <row r="39" spans="1:281" s="33" customFormat="1" ht="10.5" hidden="1" customHeight="1" outlineLevel="1" x14ac:dyDescent="0.2">
      <c r="A39" s="127" t="s">
        <v>685</v>
      </c>
      <c r="B39" s="949" t="s">
        <v>121</v>
      </c>
      <c r="C39" s="33" t="s">
        <v>945</v>
      </c>
      <c r="D39" s="33" t="s">
        <v>945</v>
      </c>
      <c r="E39" s="33" t="s">
        <v>945</v>
      </c>
      <c r="F39" s="33" t="s">
        <v>945</v>
      </c>
      <c r="G39" s="33" t="s">
        <v>945</v>
      </c>
      <c r="H39" s="33" t="s">
        <v>945</v>
      </c>
      <c r="I39" s="33" t="s">
        <v>945</v>
      </c>
      <c r="J39" s="33" t="s">
        <v>945</v>
      </c>
      <c r="K39" s="34">
        <f>367+245</f>
        <v>612</v>
      </c>
      <c r="L39" s="34">
        <v>735</v>
      </c>
      <c r="M39" s="34">
        <v>1005</v>
      </c>
      <c r="N39" s="34"/>
      <c r="O39" s="34">
        <v>257</v>
      </c>
      <c r="P39" s="34">
        <v>316</v>
      </c>
      <c r="Q39" s="34">
        <v>342</v>
      </c>
      <c r="R39" s="34">
        <v>537</v>
      </c>
      <c r="S39" s="34">
        <f>SUM(O39:R39)</f>
        <v>1452</v>
      </c>
      <c r="T39" s="34"/>
      <c r="U39" s="145">
        <v>302</v>
      </c>
      <c r="V39" s="145">
        <v>428.09</v>
      </c>
      <c r="W39" s="145">
        <v>448</v>
      </c>
      <c r="X39" s="145">
        <v>760</v>
      </c>
      <c r="Y39" s="145">
        <f>SUM(U39:X39)</f>
        <v>1938.09</v>
      </c>
      <c r="Z39" s="34"/>
      <c r="AA39" s="34">
        <f>444.317-AA42</f>
        <v>393.90100000000001</v>
      </c>
      <c r="AB39" s="34">
        <f>606.447-AB42</f>
        <v>505.029</v>
      </c>
      <c r="AC39" s="34">
        <f>664.257-AC42</f>
        <v>556.43599999999992</v>
      </c>
      <c r="AD39" s="34">
        <f>1107.429-AD42</f>
        <v>888.82300000000009</v>
      </c>
      <c r="AE39" s="34">
        <f>SUM(AA39:AD39)</f>
        <v>2344.1890000000003</v>
      </c>
      <c r="AF39" s="34"/>
      <c r="AG39" s="34">
        <v>406.947</v>
      </c>
      <c r="AH39" s="34">
        <v>512.82799999999997</v>
      </c>
      <c r="AI39" s="34">
        <v>613.49300000000005</v>
      </c>
      <c r="AJ39" s="34">
        <v>993.51199999999994</v>
      </c>
      <c r="AK39" s="34">
        <f>SUM(AG39:AJ39)</f>
        <v>2526.7799999999997</v>
      </c>
      <c r="AL39" s="34"/>
      <c r="AM39" s="34">
        <v>459.52300000000002</v>
      </c>
      <c r="AN39" s="34">
        <v>616.79600000000005</v>
      </c>
      <c r="AO39" s="34">
        <v>657.25599999999997</v>
      </c>
      <c r="AP39" s="34">
        <v>1206.251</v>
      </c>
      <c r="AQ39" s="34">
        <f>SUM(AM39:AP39)</f>
        <v>2939.826</v>
      </c>
      <c r="AR39" s="34"/>
      <c r="AS39" s="34">
        <v>493.50299999999999</v>
      </c>
      <c r="AT39" s="34">
        <v>709.35299999999995</v>
      </c>
      <c r="AU39" s="34">
        <v>844.37599999999998</v>
      </c>
      <c r="AV39" s="34">
        <v>1344.5930000000001</v>
      </c>
      <c r="AW39" s="34">
        <f>SUM(AS39:AV39)</f>
        <v>3391.8249999999998</v>
      </c>
      <c r="AX39" s="34"/>
      <c r="AY39" s="34">
        <v>615.71900000000005</v>
      </c>
      <c r="AZ39" s="242">
        <v>813.92200000000003</v>
      </c>
      <c r="BA39" s="34">
        <v>851.54100000000005</v>
      </c>
      <c r="BB39" s="34">
        <v>1280.481</v>
      </c>
      <c r="BC39" s="34">
        <f>SUM(AY39:BB39)</f>
        <v>3561.6630000000005</v>
      </c>
      <c r="BD39" s="34"/>
      <c r="BE39" s="34">
        <v>565.17700000000002</v>
      </c>
      <c r="BF39" s="34">
        <v>640.25800000000004</v>
      </c>
      <c r="BG39" s="34">
        <v>629.08000000000004</v>
      </c>
      <c r="BH39" s="34">
        <v>904.27</v>
      </c>
      <c r="BI39" s="34">
        <f>SUM(BE39:BH39)</f>
        <v>2738.7849999999999</v>
      </c>
      <c r="BJ39" s="34"/>
      <c r="BK39" s="34">
        <f>438+14</f>
        <v>452</v>
      </c>
      <c r="BL39" s="34">
        <f>644+13</f>
        <v>657</v>
      </c>
      <c r="BM39" s="34">
        <f>603+12</f>
        <v>615</v>
      </c>
      <c r="BN39" s="34">
        <f>933+8</f>
        <v>941</v>
      </c>
      <c r="BO39" s="34">
        <f>SUM(BK39:BN39)</f>
        <v>2665</v>
      </c>
      <c r="BP39" s="34"/>
      <c r="BQ39" s="33">
        <f>408+10</f>
        <v>418</v>
      </c>
      <c r="BR39" s="33">
        <f>712+6</f>
        <v>718</v>
      </c>
      <c r="BS39" s="33">
        <f>700+7</f>
        <v>707</v>
      </c>
      <c r="BT39" s="33">
        <f>1073+10</f>
        <v>1083</v>
      </c>
      <c r="BU39" s="33">
        <f>SUM(BQ39:BT39)</f>
        <v>2926</v>
      </c>
      <c r="BV39" s="34"/>
      <c r="BW39" s="33">
        <f>486+8</f>
        <v>494</v>
      </c>
      <c r="BX39" s="33">
        <f>749+7</f>
        <v>756</v>
      </c>
      <c r="BY39" s="33">
        <f>782+13</f>
        <v>795</v>
      </c>
      <c r="BZ39" s="33">
        <f>1247+12</f>
        <v>1259</v>
      </c>
      <c r="CA39" s="33">
        <f>SUM(BW39:BZ39)</f>
        <v>3304</v>
      </c>
      <c r="CB39" s="34"/>
      <c r="CC39" s="243">
        <f>492+10</f>
        <v>502</v>
      </c>
      <c r="CD39" s="243">
        <f>785+7</f>
        <v>792</v>
      </c>
      <c r="CE39" s="243">
        <f>820.4+7</f>
        <v>827.4</v>
      </c>
      <c r="CF39" s="243">
        <f>1469+11</f>
        <v>1480</v>
      </c>
      <c r="CG39" s="143">
        <f>SUM(CC39:CF39)</f>
        <v>3601.4</v>
      </c>
      <c r="CH39" s="244"/>
      <c r="CI39" s="243">
        <f>565+11</f>
        <v>576</v>
      </c>
      <c r="CJ39" s="243">
        <f>859+8</f>
        <v>867</v>
      </c>
      <c r="CK39" s="243">
        <f>959+8</f>
        <v>967</v>
      </c>
      <c r="CL39" s="243">
        <f>1736+19</f>
        <v>1755</v>
      </c>
      <c r="CM39" s="143">
        <f>SUM(CI39:CL39)</f>
        <v>4165</v>
      </c>
      <c r="CN39" s="244"/>
      <c r="CO39" s="243">
        <f>694+17</f>
        <v>711</v>
      </c>
      <c r="CP39" s="243">
        <f>1102+13</f>
        <v>1115</v>
      </c>
      <c r="CQ39" s="243">
        <f>1165</f>
        <v>1165</v>
      </c>
      <c r="CR39" s="243">
        <f>2141+14</f>
        <v>2155</v>
      </c>
      <c r="CS39" s="143">
        <f>SUM(CO39:CR39)</f>
        <v>5146</v>
      </c>
      <c r="CT39" s="244"/>
      <c r="CU39" s="243">
        <f>888+16</f>
        <v>904</v>
      </c>
      <c r="CV39" s="243">
        <f>1157</f>
        <v>1157</v>
      </c>
      <c r="CW39" s="243">
        <v>1120</v>
      </c>
      <c r="CX39" s="243">
        <v>1939</v>
      </c>
      <c r="CY39" s="143">
        <f>SUM(CU39:CX39)</f>
        <v>5120</v>
      </c>
      <c r="CZ39" s="244"/>
      <c r="DA39" s="243">
        <v>711</v>
      </c>
      <c r="DB39" s="243">
        <v>1175</v>
      </c>
      <c r="DC39" s="243">
        <v>1241</v>
      </c>
      <c r="DD39" s="243">
        <v>2280</v>
      </c>
      <c r="DE39" s="143">
        <f>SUM(DA39:DD39)</f>
        <v>5407</v>
      </c>
      <c r="DF39" s="244"/>
      <c r="DG39" s="243">
        <v>937</v>
      </c>
      <c r="DH39" s="243">
        <v>1420</v>
      </c>
      <c r="DI39" s="243">
        <v>1575</v>
      </c>
      <c r="DJ39" s="243">
        <v>2694</v>
      </c>
      <c r="DK39" s="143">
        <f>SUM(DG39:DJ39)</f>
        <v>6626</v>
      </c>
      <c r="DL39" s="244"/>
      <c r="DM39" s="243">
        <v>1070</v>
      </c>
      <c r="DN39" s="243">
        <v>1479</v>
      </c>
      <c r="DO39" s="243">
        <v>1716</v>
      </c>
      <c r="DP39" s="243">
        <f>2706+15</f>
        <v>2721</v>
      </c>
      <c r="DQ39" s="143">
        <f>SUM(DM39:DP39)</f>
        <v>6986</v>
      </c>
      <c r="DR39" s="244"/>
      <c r="DS39" s="243">
        <f>DM39*(1+DS40)</f>
        <v>1102.1000000000001</v>
      </c>
      <c r="DT39" s="243">
        <f>DN39*(1+DT40)</f>
        <v>1641.69</v>
      </c>
      <c r="DU39" s="243">
        <f>DO39*(1+DU40)</f>
        <v>1801.8000000000002</v>
      </c>
      <c r="DV39" s="243">
        <f>DP39*(1+DV40)</f>
        <v>3020.3100000000004</v>
      </c>
      <c r="DW39" s="143">
        <f>SUM(DS39:DV39)</f>
        <v>7565.9000000000005</v>
      </c>
      <c r="DX39" s="244"/>
      <c r="DY39" s="243">
        <f>DS39*(1+DY40)</f>
        <v>1223.3310000000004</v>
      </c>
      <c r="DZ39" s="243">
        <f>DT39*(1+DZ40)</f>
        <v>1666.3153499999999</v>
      </c>
      <c r="EA39" s="243">
        <f>DU39*(1+EA40)</f>
        <v>1927.9260000000004</v>
      </c>
      <c r="EB39" s="243">
        <f>DV39*(1+EB40)</f>
        <v>3026.3506200000006</v>
      </c>
      <c r="EC39" s="143">
        <f>SUM(DY39:EB39)</f>
        <v>7843.9229700000014</v>
      </c>
      <c r="ED39" s="244"/>
      <c r="EE39" s="243">
        <f>DY39*(1+EE40)</f>
        <v>1211.0976900000003</v>
      </c>
      <c r="EF39" s="243">
        <f>DZ39*(1+EF40)</f>
        <v>1682.9785034999998</v>
      </c>
      <c r="EG39" s="243">
        <f>EA39*(1+EG40)</f>
        <v>1908.6467400000004</v>
      </c>
      <c r="EH39" s="243">
        <f>EB39*(1+EH40)</f>
        <v>2965.8236076000007</v>
      </c>
      <c r="EI39" s="143">
        <f>SUM(EE39:EH39)</f>
        <v>7768.5465411000005</v>
      </c>
      <c r="EJ39" s="244"/>
      <c r="EK39" s="243">
        <f>EE39*(1+EK40)</f>
        <v>1192.9312246500003</v>
      </c>
      <c r="EL39" s="243">
        <f>EF39*(1+EL40)</f>
        <v>1657.7338259474998</v>
      </c>
      <c r="EM39" s="243">
        <f>EG39*(1+EM40)</f>
        <v>1880.0170389000004</v>
      </c>
      <c r="EN39" s="243">
        <f>EH39*(1+EN40)</f>
        <v>2921.3362534860007</v>
      </c>
      <c r="EO39" s="143">
        <f>SUM(EK39:EN39)</f>
        <v>7652.0183429835015</v>
      </c>
      <c r="EP39" s="244"/>
      <c r="EQ39" s="243">
        <f>EK39*(1+EQ40)</f>
        <v>1175.0372562802504</v>
      </c>
      <c r="ER39" s="243">
        <f>EL39*(1+ER40)</f>
        <v>1690.8885024664498</v>
      </c>
      <c r="ES39" s="243">
        <f>EM39*(1+ES40)</f>
        <v>1927.0174648725003</v>
      </c>
      <c r="ET39" s="243">
        <f>EN39*(1+ET40)</f>
        <v>2877.5162096837107</v>
      </c>
      <c r="EU39" s="143">
        <f>SUM(EQ39:ET39)</f>
        <v>7670.4594333029108</v>
      </c>
      <c r="EV39" s="244"/>
      <c r="EW39" s="243">
        <f>EQ39*(1+EW40)</f>
        <v>1157.4116974360466</v>
      </c>
      <c r="EX39" s="243">
        <f>ER39*(1+EX40)</f>
        <v>1792.341812614437</v>
      </c>
      <c r="EY39" s="243">
        <f>ES39*(1+EY40)</f>
        <v>2081.1788620623006</v>
      </c>
      <c r="EZ39" s="243">
        <f>ET39*(1+EZ40)</f>
        <v>2949.4541149258034</v>
      </c>
      <c r="FA39" s="143">
        <f>SUM(EW39:EZ39)</f>
        <v>7980.3864870385878</v>
      </c>
      <c r="FB39" s="244"/>
      <c r="FC39" s="243">
        <f>EW39*(1+FC40)</f>
        <v>1186.3469898719477</v>
      </c>
      <c r="FD39" s="243">
        <f>EX39*(1+FD40)</f>
        <v>1837.1503579297978</v>
      </c>
      <c r="FE39" s="243">
        <f>EY39*(1+FE40)</f>
        <v>2133.208333613858</v>
      </c>
      <c r="FF39" s="243">
        <f>EZ39*(1+FF40)</f>
        <v>3023.1904677989482</v>
      </c>
      <c r="FG39" s="143">
        <f>SUM(FC39:FF39)</f>
        <v>8179.8961492145518</v>
      </c>
      <c r="FH39" s="244"/>
      <c r="FI39" s="243">
        <f>FC39*(1+FI40)</f>
        <v>1216.0056646187463</v>
      </c>
      <c r="FJ39" s="243">
        <f>FD39*(1+FJ40)</f>
        <v>1883.0791168780427</v>
      </c>
      <c r="FK39" s="243">
        <f>FE39*(1+FK40)</f>
        <v>2186.5385419542044</v>
      </c>
      <c r="FL39" s="243">
        <f>FF39*(1+FL40)</f>
        <v>3098.7702294939218</v>
      </c>
      <c r="FM39" s="143">
        <f>SUM(FI39:FL39)</f>
        <v>8384.3935529449154</v>
      </c>
      <c r="FN39" s="226"/>
      <c r="FO39" s="245">
        <f>CE39+CF39+CI39+CJ39</f>
        <v>3750.4</v>
      </c>
      <c r="FP39" s="243">
        <f>CK39+CL39+CO39+CP39</f>
        <v>4548</v>
      </c>
      <c r="FQ39" s="243">
        <f>CV39+CU39+CR39+CQ39</f>
        <v>5381</v>
      </c>
      <c r="FR39" s="243">
        <f>CW39+CX39+DA39+DB39</f>
        <v>4945</v>
      </c>
      <c r="FS39" s="245">
        <f>DC39+DD39+DG39+DH39</f>
        <v>5878</v>
      </c>
      <c r="FT39" s="243">
        <f>DI39+DJ39+DM39+DN39</f>
        <v>6818</v>
      </c>
      <c r="FU39" s="243">
        <f>DO39+DP39+DS39+DT39</f>
        <v>7180.7900000000009</v>
      </c>
      <c r="FV39" s="243">
        <f>DY39+DV39+DZ39+DU39</f>
        <v>7711.7563500000006</v>
      </c>
      <c r="FW39" s="243">
        <f>EA39+EB39+EE39+EF39</f>
        <v>7848.3528135000006</v>
      </c>
      <c r="FX39" s="243">
        <f>EG39+EH39+EK39+EL39</f>
        <v>7725.1353981975017</v>
      </c>
      <c r="FY39" s="243">
        <f>EM39+EN39+EQ39+ER39</f>
        <v>7667.2790511327012</v>
      </c>
      <c r="FZ39" s="243">
        <f>ES39+ET39+EW39+EX39</f>
        <v>7754.2871846066946</v>
      </c>
      <c r="GA39" s="243">
        <f>EY39+EZ39+FC39+FD39</f>
        <v>8054.1303247898495</v>
      </c>
      <c r="GB39" s="243">
        <f>FE39+FF39+FI39+FJ39</f>
        <v>8255.4835829095955</v>
      </c>
      <c r="GC39" s="243"/>
      <c r="GD39" s="243"/>
      <c r="GE39" s="243"/>
      <c r="GF39" s="243"/>
      <c r="GI39"/>
      <c r="GJ39"/>
      <c r="GK39"/>
      <c r="GL39"/>
      <c r="GM39"/>
      <c r="GN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</row>
    <row r="40" spans="1:281" s="37" customFormat="1" ht="10.5" hidden="1" customHeight="1" outlineLevel="1" x14ac:dyDescent="0.2">
      <c r="A40" s="1288" t="s">
        <v>669</v>
      </c>
      <c r="B40" s="1280"/>
      <c r="C40" s="1266" t="s">
        <v>945</v>
      </c>
      <c r="D40" s="1281" t="s">
        <v>945</v>
      </c>
      <c r="E40" s="1281" t="s">
        <v>945</v>
      </c>
      <c r="F40" s="1281" t="s">
        <v>945</v>
      </c>
      <c r="G40" s="1281" t="s">
        <v>945</v>
      </c>
      <c r="H40" s="1281" t="s">
        <v>945</v>
      </c>
      <c r="I40" s="1281" t="s">
        <v>945</v>
      </c>
      <c r="J40" s="1281" t="s">
        <v>945</v>
      </c>
      <c r="K40" s="1281" t="s">
        <v>945</v>
      </c>
      <c r="L40" s="1282">
        <f>L39/K39-1</f>
        <v>0.2009803921568627</v>
      </c>
      <c r="M40" s="1282">
        <f>M39/L39-1</f>
        <v>0.36734693877551017</v>
      </c>
      <c r="N40" s="1283"/>
      <c r="O40" s="1284" t="s">
        <v>945</v>
      </c>
      <c r="P40" s="1284" t="s">
        <v>945</v>
      </c>
      <c r="Q40" s="1284" t="s">
        <v>945</v>
      </c>
      <c r="R40" s="1284" t="s">
        <v>945</v>
      </c>
      <c r="S40" s="1282">
        <f>S39/M39-1</f>
        <v>0.44477611940298512</v>
      </c>
      <c r="T40" s="1283"/>
      <c r="U40" s="1282">
        <f>U39/O39-1</f>
        <v>0.17509727626459148</v>
      </c>
      <c r="V40" s="1282">
        <f>V39/P39-1</f>
        <v>0.35471518987341755</v>
      </c>
      <c r="W40" s="1282">
        <f>W39/Q39-1</f>
        <v>0.30994152046783618</v>
      </c>
      <c r="X40" s="1282">
        <f>X39/R39-1</f>
        <v>0.41527001862197399</v>
      </c>
      <c r="Y40" s="1282">
        <f>Y39/S39-1</f>
        <v>0.33477272727272722</v>
      </c>
      <c r="Z40" s="1283"/>
      <c r="AA40" s="1282">
        <f>AA39/U39-1</f>
        <v>0.30430794701986752</v>
      </c>
      <c r="AB40" s="1282">
        <f>AB39/V39-1</f>
        <v>0.17972622579364161</v>
      </c>
      <c r="AC40" s="1282">
        <f>AC39/W39-1</f>
        <v>0.24204464285714278</v>
      </c>
      <c r="AD40" s="1282">
        <f>AD39/X39-1</f>
        <v>0.16950394736842123</v>
      </c>
      <c r="AE40" s="1282">
        <f>AE39/Y39-1</f>
        <v>0.20953567687775099</v>
      </c>
      <c r="AF40" s="1283"/>
      <c r="AG40" s="1282">
        <f>AG39/AA39-1</f>
        <v>3.3119997156646042E-2</v>
      </c>
      <c r="AH40" s="1282">
        <f>AH39/AB39-1</f>
        <v>1.5442677549210027E-2</v>
      </c>
      <c r="AI40" s="1282">
        <f>AI39/AC39-1</f>
        <v>0.10254009445830281</v>
      </c>
      <c r="AJ40" s="1282">
        <f>AJ39/AD39-1</f>
        <v>0.11778385572830574</v>
      </c>
      <c r="AK40" s="1282">
        <f>AK39/AE39-1</f>
        <v>7.7890903847769755E-2</v>
      </c>
      <c r="AL40" s="1283"/>
      <c r="AM40" s="1282">
        <f>AM39/AG39-1</f>
        <v>0.12919618525262511</v>
      </c>
      <c r="AN40" s="1282">
        <f>AN39/AH39-1</f>
        <v>0.20273464007425512</v>
      </c>
      <c r="AO40" s="1282">
        <f>AO39/AI39-1</f>
        <v>7.1334147251883806E-2</v>
      </c>
      <c r="AP40" s="1282">
        <f>AP39/AJ39-1</f>
        <v>0.21412826417798692</v>
      </c>
      <c r="AQ40" s="1282">
        <f>AQ39/AK39-1</f>
        <v>0.16346733787666534</v>
      </c>
      <c r="AR40" s="1283"/>
      <c r="AS40" s="1282">
        <f>AS39/AM39-1</f>
        <v>7.3946244257632188E-2</v>
      </c>
      <c r="AT40" s="1282">
        <f>AT39/AN39-1</f>
        <v>0.15006096018780912</v>
      </c>
      <c r="AU40" s="1282">
        <f>AU39/AO39-1</f>
        <v>0.28469880837907913</v>
      </c>
      <c r="AV40" s="1282">
        <f>AV39/AP39-1</f>
        <v>0.11468757331600155</v>
      </c>
      <c r="AW40" s="1282">
        <f>AW39/AQ39-1</f>
        <v>0.15375025596752989</v>
      </c>
      <c r="AX40" s="1283"/>
      <c r="AY40" s="1282">
        <f>AY39/AS39-1</f>
        <v>0.24764996362737435</v>
      </c>
      <c r="AZ40" s="1282">
        <f>AZ39/AT39-1</f>
        <v>0.14741461585416582</v>
      </c>
      <c r="BA40" s="1282">
        <f>BA39/AU39-1</f>
        <v>8.4855561977128513E-3</v>
      </c>
      <c r="BB40" s="1282">
        <f>BB39/AV39-1</f>
        <v>-4.768134297887916E-2</v>
      </c>
      <c r="BC40" s="1282">
        <f>BC39/AW39-1</f>
        <v>5.0072748446633009E-2</v>
      </c>
      <c r="BD40" s="1283"/>
      <c r="BE40" s="1282">
        <f>BE39/AY39-1</f>
        <v>-8.2086146440178087E-2</v>
      </c>
      <c r="BF40" s="1282">
        <f>BF39/AZ39-1</f>
        <v>-0.21336688282169547</v>
      </c>
      <c r="BG40" s="1282">
        <f>BG39/BA39-1</f>
        <v>-0.2612452013467349</v>
      </c>
      <c r="BH40" s="1282">
        <f>BH39/BB39-1</f>
        <v>-0.29380443755120145</v>
      </c>
      <c r="BI40" s="1282">
        <f>BI39/BC39-1</f>
        <v>-0.23103757991702201</v>
      </c>
      <c r="BJ40" s="1283"/>
      <c r="BK40" s="1282">
        <f>BK39/BE39-1</f>
        <v>-0.20025054098096706</v>
      </c>
      <c r="BL40" s="1282">
        <f>BL39/BF39-1</f>
        <v>2.6148833751393985E-2</v>
      </c>
      <c r="BM40" s="1282">
        <f>BM39/BG39-1</f>
        <v>-2.2381891015451183E-2</v>
      </c>
      <c r="BN40" s="1282">
        <f>BN39/BH39-1</f>
        <v>4.0618399371868952E-2</v>
      </c>
      <c r="BO40" s="1282">
        <f>BO39/BI39-1</f>
        <v>-2.6940778483889649E-2</v>
      </c>
      <c r="BP40" s="1283"/>
      <c r="BQ40" s="1282">
        <f>BQ39/BK39-1</f>
        <v>-7.5221238938053103E-2</v>
      </c>
      <c r="BR40" s="1282">
        <f>BR39/BL39-1</f>
        <v>9.284627092846276E-2</v>
      </c>
      <c r="BS40" s="1282">
        <f>BS39/BM39-1</f>
        <v>0.14959349593495941</v>
      </c>
      <c r="BT40" s="1282">
        <f>BT39/BN39-1</f>
        <v>0.15090329436769401</v>
      </c>
      <c r="BU40" s="1282">
        <f>BU39/BO39-1</f>
        <v>9.7936210131332135E-2</v>
      </c>
      <c r="BV40" s="1283"/>
      <c r="BW40" s="1282">
        <f>BW39/BQ39-1</f>
        <v>0.18181818181818188</v>
      </c>
      <c r="BX40" s="1282">
        <f>BX39/BR39-1</f>
        <v>5.2924791086351064E-2</v>
      </c>
      <c r="BY40" s="1282">
        <f>BY39/BS39-1</f>
        <v>0.12446958981612455</v>
      </c>
      <c r="BZ40" s="1282">
        <f>BZ39/BT39-1</f>
        <v>0.16251154201292706</v>
      </c>
      <c r="CA40" s="1285">
        <f>CA39/BU39-1</f>
        <v>0.12918660287081329</v>
      </c>
      <c r="CB40" s="1283"/>
      <c r="CC40" s="1285">
        <f>CC39/BW39-1</f>
        <v>1.6194331983805599E-2</v>
      </c>
      <c r="CD40" s="1285">
        <f>CD39/BX39-1</f>
        <v>4.7619047619047672E-2</v>
      </c>
      <c r="CE40" s="1285">
        <f>CE39/BY39-1</f>
        <v>4.0754716981131978E-2</v>
      </c>
      <c r="CF40" s="1285">
        <f>CF39/BZ39-1</f>
        <v>0.17553613979348692</v>
      </c>
      <c r="CG40" s="1286">
        <f>CG39/CA39-1</f>
        <v>9.0012106537530334E-2</v>
      </c>
      <c r="CH40" s="1283"/>
      <c r="CI40" s="1285">
        <f>CI39/CC39-1</f>
        <v>0.14741035856573714</v>
      </c>
      <c r="CJ40" s="1285">
        <f>CJ39/CD39-1</f>
        <v>9.4696969696969724E-2</v>
      </c>
      <c r="CK40" s="1285">
        <f>CK39/CE39-1</f>
        <v>0.16872129562484894</v>
      </c>
      <c r="CL40" s="1285">
        <f>CL39/CF39-1</f>
        <v>0.18581081081081074</v>
      </c>
      <c r="CM40" s="1270">
        <f>CM39/CG39-1</f>
        <v>0.15649469650691405</v>
      </c>
      <c r="CN40" s="1283"/>
      <c r="CO40" s="1285">
        <f>CO39/CI39-1</f>
        <v>0.234375</v>
      </c>
      <c r="CP40" s="1285">
        <f>CP39/CJ39-1</f>
        <v>0.28604382929642447</v>
      </c>
      <c r="CQ40" s="1285">
        <f>CQ39/CK39-1</f>
        <v>0.20475698035160295</v>
      </c>
      <c r="CR40" s="1285">
        <f>CR39/CL39-1</f>
        <v>0.22792022792022792</v>
      </c>
      <c r="CS40" s="1270">
        <f>CS39/CM39-1</f>
        <v>0.23553421368547411</v>
      </c>
      <c r="CT40" s="1283"/>
      <c r="CU40" s="1282">
        <f>CU39/CO39-1</f>
        <v>0.27144866385372723</v>
      </c>
      <c r="CV40" s="1282">
        <f>CV39/CP39-1</f>
        <v>3.7668161434977643E-2</v>
      </c>
      <c r="CW40" s="1282">
        <f>CW39/CQ39-1</f>
        <v>-3.8626609442060089E-2</v>
      </c>
      <c r="CX40" s="1282">
        <f>CX39/CR39-1</f>
        <v>-0.10023201856148489</v>
      </c>
      <c r="CY40" s="1270">
        <f>CY39/CS39-1</f>
        <v>-5.0524679362611291E-3</v>
      </c>
      <c r="CZ40" s="1283"/>
      <c r="DA40" s="1282">
        <f>DA39/CU39-1</f>
        <v>-0.21349557522123896</v>
      </c>
      <c r="DB40" s="1282">
        <f>DB39/CV39-1</f>
        <v>1.5557476231633505E-2</v>
      </c>
      <c r="DC40" s="1282">
        <f>DC39/CW39-1</f>
        <v>0.10803571428571423</v>
      </c>
      <c r="DD40" s="1282">
        <f>DD39/CX39-1</f>
        <v>0.17586384734399174</v>
      </c>
      <c r="DE40" s="1270">
        <f>DE39/CY39-1</f>
        <v>5.6054687500000089E-2</v>
      </c>
      <c r="DF40" s="1283"/>
      <c r="DG40" s="1282">
        <f>DG39/DA39-1</f>
        <v>0.31786216596343175</v>
      </c>
      <c r="DH40" s="1282">
        <f>DH39/DB39-1</f>
        <v>0.20851063829787231</v>
      </c>
      <c r="DI40" s="1282">
        <f>DI39/DC39-1</f>
        <v>0.26913779210314259</v>
      </c>
      <c r="DJ40" s="1282">
        <f>DJ39/DD39-1</f>
        <v>0.18157894736842106</v>
      </c>
      <c r="DK40" s="1270">
        <f>DK39/DE39-1</f>
        <v>0.22544849269465517</v>
      </c>
      <c r="DL40" s="1283"/>
      <c r="DM40" s="1282">
        <f>DM39/DG39-1</f>
        <v>0.14194236926360726</v>
      </c>
      <c r="DN40" s="1282">
        <f>DN39/DH39-1</f>
        <v>4.1549295774647943E-2</v>
      </c>
      <c r="DO40" s="1282">
        <f>DO39/DI39-1</f>
        <v>8.9523809523809561E-2</v>
      </c>
      <c r="DP40" s="1282">
        <f>DP39/DJ39-1</f>
        <v>1.0022271714922093E-2</v>
      </c>
      <c r="DQ40" s="1270">
        <f>DQ39/DK39-1</f>
        <v>5.4331421672200397E-2</v>
      </c>
      <c r="DR40" s="1283"/>
      <c r="DS40" s="1287">
        <v>0.03</v>
      </c>
      <c r="DT40" s="1287">
        <v>0.11</v>
      </c>
      <c r="DU40" s="1287">
        <v>0.05</v>
      </c>
      <c r="DV40" s="1287">
        <v>0.11</v>
      </c>
      <c r="DW40" s="1270">
        <f>DW39/DQ39-1</f>
        <v>8.3008874892642526E-2</v>
      </c>
      <c r="DX40" s="1283"/>
      <c r="DY40" s="1287">
        <v>0.11</v>
      </c>
      <c r="DZ40" s="1287">
        <v>1.4999999999999999E-2</v>
      </c>
      <c r="EA40" s="1287">
        <v>7.0000000000000007E-2</v>
      </c>
      <c r="EB40" s="1287">
        <v>2E-3</v>
      </c>
      <c r="EC40" s="1270">
        <f>EC39/DW39-1</f>
        <v>3.6746847037365082E-2</v>
      </c>
      <c r="ED40" s="1283"/>
      <c r="EE40" s="1287">
        <v>-0.01</v>
      </c>
      <c r="EF40" s="1287">
        <v>0.01</v>
      </c>
      <c r="EG40" s="1287">
        <v>-0.01</v>
      </c>
      <c r="EH40" s="1287">
        <v>-0.02</v>
      </c>
      <c r="EI40" s="1270">
        <f>EI39/EC39-1</f>
        <v>-9.6095320145654917E-3</v>
      </c>
      <c r="EJ40" s="1283"/>
      <c r="EK40" s="1287">
        <v>-1.4999999999999999E-2</v>
      </c>
      <c r="EL40" s="1287">
        <v>-1.4999999999999999E-2</v>
      </c>
      <c r="EM40" s="1287">
        <v>-1.4999999999999999E-2</v>
      </c>
      <c r="EN40" s="1287">
        <v>-1.4999999999999999E-2</v>
      </c>
      <c r="EO40" s="1270">
        <f>EO39/EI39-1</f>
        <v>-1.4999999999999902E-2</v>
      </c>
      <c r="EP40" s="1283"/>
      <c r="EQ40" s="1287">
        <v>-1.4999999999999999E-2</v>
      </c>
      <c r="ER40" s="1287">
        <v>0.02</v>
      </c>
      <c r="ES40" s="1287">
        <v>2.5000000000000001E-2</v>
      </c>
      <c r="ET40" s="1287">
        <v>-1.4999999999999999E-2</v>
      </c>
      <c r="EU40" s="1270">
        <f>EU39/EO39-1</f>
        <v>2.4099642071975236E-3</v>
      </c>
      <c r="EV40" s="1283"/>
      <c r="EW40" s="1287">
        <v>-1.4999999999999999E-2</v>
      </c>
      <c r="EX40" s="1287">
        <v>0.06</v>
      </c>
      <c r="EY40" s="1287">
        <v>0.08</v>
      </c>
      <c r="EZ40" s="1287">
        <v>2.5000000000000001E-2</v>
      </c>
      <c r="FA40" s="1270">
        <f>FA39/EU39-1</f>
        <v>4.0405279035837571E-2</v>
      </c>
      <c r="FB40" s="1283"/>
      <c r="FC40" s="1287">
        <v>2.5000000000000001E-2</v>
      </c>
      <c r="FD40" s="1287">
        <v>2.5000000000000001E-2</v>
      </c>
      <c r="FE40" s="1287">
        <v>2.5000000000000001E-2</v>
      </c>
      <c r="FF40" s="1287">
        <v>2.5000000000000001E-2</v>
      </c>
      <c r="FG40" s="1270">
        <f>FG39/FA39-1</f>
        <v>2.4999999999999911E-2</v>
      </c>
      <c r="FH40" s="1283"/>
      <c r="FI40" s="1287">
        <v>2.5000000000000001E-2</v>
      </c>
      <c r="FJ40" s="1287">
        <v>2.5000000000000001E-2</v>
      </c>
      <c r="FK40" s="1287">
        <v>2.5000000000000001E-2</v>
      </c>
      <c r="FL40" s="1287">
        <v>2.5000000000000001E-2</v>
      </c>
      <c r="FM40" s="1270">
        <f>FM39/FG39-1</f>
        <v>2.4999999999999911E-2</v>
      </c>
      <c r="FN40" s="1123"/>
      <c r="FO40" s="235"/>
      <c r="FP40" s="236">
        <f t="shared" ref="FP40:GB40" si="17">FP39/FO39-1</f>
        <v>0.21267064846416384</v>
      </c>
      <c r="FQ40" s="236">
        <f t="shared" si="17"/>
        <v>0.18315743183817057</v>
      </c>
      <c r="FR40" s="236">
        <f t="shared" si="17"/>
        <v>-8.1025831629808587E-2</v>
      </c>
      <c r="FS40" s="316">
        <f t="shared" si="17"/>
        <v>0.18867542972699702</v>
      </c>
      <c r="FT40" s="236">
        <f t="shared" si="17"/>
        <v>0.15991833957128265</v>
      </c>
      <c r="FU40" s="236">
        <f t="shared" si="17"/>
        <v>5.3210618949838695E-2</v>
      </c>
      <c r="FV40" s="236">
        <f t="shared" si="17"/>
        <v>7.3942609378633728E-2</v>
      </c>
      <c r="FW40" s="236">
        <f t="shared" si="17"/>
        <v>1.7712756640710037E-2</v>
      </c>
      <c r="FX40" s="236">
        <f t="shared" si="17"/>
        <v>-1.5699780352706916E-2</v>
      </c>
      <c r="FY40" s="236">
        <f t="shared" si="17"/>
        <v>-7.4893634975381485E-3</v>
      </c>
      <c r="FZ40" s="236">
        <f t="shared" si="17"/>
        <v>1.1347980540911573E-2</v>
      </c>
      <c r="GA40" s="236">
        <f t="shared" si="17"/>
        <v>3.8668046855213634E-2</v>
      </c>
      <c r="GB40" s="236">
        <f t="shared" si="17"/>
        <v>2.4999999999999911E-2</v>
      </c>
      <c r="GC40" s="236"/>
      <c r="GD40" s="236"/>
      <c r="GE40" s="236"/>
      <c r="GF40" s="236"/>
      <c r="GI40"/>
      <c r="GJ40"/>
      <c r="GK40"/>
      <c r="GL40"/>
      <c r="GM40"/>
      <c r="GN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</row>
    <row r="41" spans="1:281" s="37" customFormat="1" ht="10.5" hidden="1" customHeight="1" outlineLevel="1" x14ac:dyDescent="0.2">
      <c r="A41" s="1288" t="s">
        <v>1101</v>
      </c>
      <c r="B41" s="1280"/>
      <c r="C41" s="1266" t="s">
        <v>945</v>
      </c>
      <c r="D41" s="1266" t="s">
        <v>945</v>
      </c>
      <c r="E41" s="1266" t="s">
        <v>945</v>
      </c>
      <c r="F41" s="1266" t="s">
        <v>945</v>
      </c>
      <c r="G41" s="1266" t="s">
        <v>945</v>
      </c>
      <c r="H41" s="1266" t="s">
        <v>945</v>
      </c>
      <c r="I41" s="1266" t="s">
        <v>945</v>
      </c>
      <c r="J41" s="1266" t="s">
        <v>945</v>
      </c>
      <c r="K41" s="1266" t="s">
        <v>945</v>
      </c>
      <c r="L41" s="1266" t="s">
        <v>945</v>
      </c>
      <c r="M41" s="1266" t="s">
        <v>945</v>
      </c>
      <c r="N41" s="1283"/>
      <c r="O41" s="1284" t="s">
        <v>945</v>
      </c>
      <c r="P41" s="1282">
        <f>P39/O39-1</f>
        <v>0.22957198443579774</v>
      </c>
      <c r="Q41" s="1282">
        <f>Q39/P39-1</f>
        <v>8.2278481012658222E-2</v>
      </c>
      <c r="R41" s="1282">
        <f>R39/Q39-1</f>
        <v>0.57017543859649122</v>
      </c>
      <c r="S41" s="1289" t="s">
        <v>945</v>
      </c>
      <c r="T41" s="1283"/>
      <c r="U41" s="1282">
        <f>U39/R39-1</f>
        <v>-0.43761638733705777</v>
      </c>
      <c r="V41" s="1282">
        <f>V39/U39-1</f>
        <v>0.41751655629139073</v>
      </c>
      <c r="W41" s="1282">
        <f>W39/V39-1</f>
        <v>4.6508911677451081E-2</v>
      </c>
      <c r="X41" s="1282">
        <f>X39/W39-1</f>
        <v>0.6964285714285714</v>
      </c>
      <c r="Y41" s="1289" t="s">
        <v>945</v>
      </c>
      <c r="Z41" s="1283"/>
      <c r="AA41" s="1282">
        <f>AA39/X39-1</f>
        <v>-0.48170921052631577</v>
      </c>
      <c r="AB41" s="1282">
        <f>AB39/AA39-1</f>
        <v>0.28212164985618204</v>
      </c>
      <c r="AC41" s="1282">
        <f>AC39/AB39-1</f>
        <v>0.10179019422647007</v>
      </c>
      <c r="AD41" s="1282">
        <f>AD39/AC39-1</f>
        <v>0.5973499198470269</v>
      </c>
      <c r="AE41" s="1289" t="s">
        <v>945</v>
      </c>
      <c r="AF41" s="1283"/>
      <c r="AG41" s="1282">
        <f>AG39/AD39-1</f>
        <v>-0.54215068691966795</v>
      </c>
      <c r="AH41" s="1282">
        <f>AH39/AG39-1</f>
        <v>0.26018375857298359</v>
      </c>
      <c r="AI41" s="1282">
        <f>AI39/AH39-1</f>
        <v>0.19629388410929227</v>
      </c>
      <c r="AJ41" s="1282">
        <f>AJ39/AI39-1</f>
        <v>0.61943494057796888</v>
      </c>
      <c r="AK41" s="1289" t="s">
        <v>945</v>
      </c>
      <c r="AL41" s="1283"/>
      <c r="AM41" s="1282">
        <f>AM39/AJ39-1</f>
        <v>-0.53747614523025389</v>
      </c>
      <c r="AN41" s="1282">
        <f>AN39/AM39-1</f>
        <v>0.34225272728459721</v>
      </c>
      <c r="AO41" s="1282">
        <f>AO39/AN39-1</f>
        <v>6.5597053158580554E-2</v>
      </c>
      <c r="AP41" s="1282">
        <f>AP39/AO39-1</f>
        <v>0.83528335990846792</v>
      </c>
      <c r="AQ41" s="1289" t="s">
        <v>945</v>
      </c>
      <c r="AR41" s="1283"/>
      <c r="AS41" s="1282">
        <f>AS39/AP39-1</f>
        <v>-0.59087868113684472</v>
      </c>
      <c r="AT41" s="1282">
        <f>AT39/AS39-1</f>
        <v>0.43738335937167561</v>
      </c>
      <c r="AU41" s="1282">
        <f>AU39/AT39-1</f>
        <v>0.19034669621471956</v>
      </c>
      <c r="AV41" s="1282">
        <f>AV39/AU39-1</f>
        <v>0.59241025325210583</v>
      </c>
      <c r="AW41" s="1289" t="s">
        <v>945</v>
      </c>
      <c r="AX41" s="1283"/>
      <c r="AY41" s="1282">
        <f>AY39/AV39-1</f>
        <v>-0.5420777885947643</v>
      </c>
      <c r="AZ41" s="1282">
        <f>AZ39/AY39-1</f>
        <v>0.32190495989241841</v>
      </c>
      <c r="BA41" s="1282">
        <f>BA39/AZ39-1</f>
        <v>4.6219416602573782E-2</v>
      </c>
      <c r="BB41" s="1282">
        <f>BB39/BA39-1</f>
        <v>0.50372207562524873</v>
      </c>
      <c r="BC41" s="1289" t="s">
        <v>945</v>
      </c>
      <c r="BD41" s="1283"/>
      <c r="BE41" s="1282">
        <f>BE39/BB39-1</f>
        <v>-0.55862133057811869</v>
      </c>
      <c r="BF41" s="1282">
        <f>BF39/BE39-1</f>
        <v>0.13284510870046029</v>
      </c>
      <c r="BG41" s="1282">
        <f>BG39/BF39-1</f>
        <v>-1.745858700711278E-2</v>
      </c>
      <c r="BH41" s="1282">
        <f>BH39/BG39-1</f>
        <v>0.43744833725440313</v>
      </c>
      <c r="BI41" s="1289" t="s">
        <v>945</v>
      </c>
      <c r="BJ41" s="1283"/>
      <c r="BK41" s="1282">
        <f>BK39/BH39-1</f>
        <v>-0.50014929169385247</v>
      </c>
      <c r="BL41" s="1282">
        <f>BL39/BK39-1</f>
        <v>0.45353982300884965</v>
      </c>
      <c r="BM41" s="1282">
        <f>BM39/BL39-1</f>
        <v>-6.3926940639269403E-2</v>
      </c>
      <c r="BN41" s="1282">
        <f>BN39/BM39-1</f>
        <v>0.53008130081300808</v>
      </c>
      <c r="BO41" s="1289" t="s">
        <v>945</v>
      </c>
      <c r="BP41" s="1283"/>
      <c r="BQ41" s="1282">
        <f>BQ39/BN39-1</f>
        <v>-0.55579171094580238</v>
      </c>
      <c r="BR41" s="1282">
        <f>BR39/BQ39-1</f>
        <v>0.71770334928229662</v>
      </c>
      <c r="BS41" s="1282">
        <f>BS39/BR39-1</f>
        <v>-1.5320334261838431E-2</v>
      </c>
      <c r="BT41" s="1282">
        <f>BT39/BS39-1</f>
        <v>0.53182461103253176</v>
      </c>
      <c r="BU41" s="1289" t="s">
        <v>945</v>
      </c>
      <c r="BV41" s="1283"/>
      <c r="BW41" s="1282">
        <f>BW39/BT39-1</f>
        <v>-0.54385964912280704</v>
      </c>
      <c r="BX41" s="1282">
        <f>BX39/BW39-1</f>
        <v>0.53036437246963564</v>
      </c>
      <c r="BY41" s="1282">
        <f>BY39/BX39-1</f>
        <v>5.1587301587301626E-2</v>
      </c>
      <c r="BZ41" s="1282">
        <f>BZ39/BY39-1</f>
        <v>0.58364779874213846</v>
      </c>
      <c r="CA41" s="1289" t="s">
        <v>945</v>
      </c>
      <c r="CB41" s="1283"/>
      <c r="CC41" s="1282">
        <f>CC39/BZ39-1</f>
        <v>-0.60127084988085788</v>
      </c>
      <c r="CD41" s="1282">
        <f>CD39/CC39-1</f>
        <v>0.57768924302788838</v>
      </c>
      <c r="CE41" s="1282">
        <f>CE39/CD39-1</f>
        <v>4.4696969696969679E-2</v>
      </c>
      <c r="CF41" s="1282">
        <f>CF39/CE39-1</f>
        <v>0.78873579888808321</v>
      </c>
      <c r="CG41" s="1290" t="s">
        <v>945</v>
      </c>
      <c r="CH41" s="1283"/>
      <c r="CI41" s="1282">
        <f>CI39/CF39-1</f>
        <v>-0.61081081081081079</v>
      </c>
      <c r="CJ41" s="1282">
        <f>CJ39/CI39-1</f>
        <v>0.50520833333333326</v>
      </c>
      <c r="CK41" s="1282">
        <f>CK39/CJ39-1</f>
        <v>0.11534025374855816</v>
      </c>
      <c r="CL41" s="1282">
        <f>CL39/CK39-1</f>
        <v>0.81489141675284382</v>
      </c>
      <c r="CM41" s="1290" t="s">
        <v>945</v>
      </c>
      <c r="CN41" s="1283"/>
      <c r="CO41" s="1282">
        <f>CO39/CL39-1</f>
        <v>-0.59487179487179487</v>
      </c>
      <c r="CP41" s="1282">
        <f>CP39/CO39-1</f>
        <v>0.56821378340365691</v>
      </c>
      <c r="CQ41" s="1282">
        <f>CQ39/CP39-1</f>
        <v>4.4843049327354167E-2</v>
      </c>
      <c r="CR41" s="1282">
        <f>CR39/CQ39-1</f>
        <v>0.84978540772532196</v>
      </c>
      <c r="CS41" s="1290" t="s">
        <v>945</v>
      </c>
      <c r="CT41" s="1283"/>
      <c r="CU41" s="1282">
        <f>CU39/CR39-1</f>
        <v>-0.58051044083526682</v>
      </c>
      <c r="CV41" s="1282">
        <f>CV39/CU39-1</f>
        <v>0.27986725663716805</v>
      </c>
      <c r="CW41" s="1282">
        <f>CW39/CV39-1</f>
        <v>-3.1979256698357772E-2</v>
      </c>
      <c r="CX41" s="1282">
        <f>CX39/CW39-1</f>
        <v>0.73124999999999996</v>
      </c>
      <c r="CY41" s="1290" t="s">
        <v>945</v>
      </c>
      <c r="CZ41" s="1283"/>
      <c r="DA41" s="1282">
        <f>DA39/CX39-1</f>
        <v>-0.63331614234141309</v>
      </c>
      <c r="DB41" s="1282">
        <f>DB39/DA39-1</f>
        <v>0.65260196905766521</v>
      </c>
      <c r="DC41" s="1282">
        <f>DC39/DB39-1</f>
        <v>5.617021276595735E-2</v>
      </c>
      <c r="DD41" s="1282">
        <f>DD39/DC39-1</f>
        <v>0.8372280419016922</v>
      </c>
      <c r="DE41" s="1290" t="s">
        <v>945</v>
      </c>
      <c r="DF41" s="1283"/>
      <c r="DG41" s="1282">
        <f>DG39/DD39-1</f>
        <v>-0.58903508771929824</v>
      </c>
      <c r="DH41" s="1282">
        <f>DH39/DG39-1</f>
        <v>0.51547491995731054</v>
      </c>
      <c r="DI41" s="1282">
        <f>DI39/DH39-1</f>
        <v>0.10915492957746475</v>
      </c>
      <c r="DJ41" s="1282">
        <f>DJ39/DI39-1</f>
        <v>0.71047619047619048</v>
      </c>
      <c r="DK41" s="1290" t="s">
        <v>945</v>
      </c>
      <c r="DL41" s="1283"/>
      <c r="DM41" s="1282">
        <f>DM39/DJ39-1</f>
        <v>-0.60282108389012623</v>
      </c>
      <c r="DN41" s="1282">
        <f>DN39/DM39-1</f>
        <v>0.38224299065420553</v>
      </c>
      <c r="DO41" s="1282">
        <f>DO39/DN39-1</f>
        <v>0.16024340770791068</v>
      </c>
      <c r="DP41" s="1282">
        <f>DP39/DO39-1</f>
        <v>0.58566433566433562</v>
      </c>
      <c r="DQ41" s="1290" t="s">
        <v>945</v>
      </c>
      <c r="DR41" s="1283"/>
      <c r="DS41" s="1282">
        <f>DS39/DP39-1</f>
        <v>-0.59496508636530687</v>
      </c>
      <c r="DT41" s="1282">
        <f>DT39/DS39-1</f>
        <v>0.48960166953996898</v>
      </c>
      <c r="DU41" s="1282">
        <f>DU39/DT39-1</f>
        <v>9.7527547831807615E-2</v>
      </c>
      <c r="DV41" s="1282">
        <f>DV39/DU39-1</f>
        <v>0.67627372627372639</v>
      </c>
      <c r="DW41" s="1290" t="s">
        <v>945</v>
      </c>
      <c r="DX41" s="1283"/>
      <c r="DY41" s="1282">
        <f>DY39/DV39-1</f>
        <v>-0.59496508636530687</v>
      </c>
      <c r="DZ41" s="1282">
        <f>DZ39/DY39-1</f>
        <v>0.36211323836312448</v>
      </c>
      <c r="EA41" s="1282">
        <f>EA39/DZ39-1</f>
        <v>0.1569994839212161</v>
      </c>
      <c r="EB41" s="1282">
        <f>EB39/EA39-1</f>
        <v>0.56974418105259228</v>
      </c>
      <c r="EC41" s="1290" t="s">
        <v>945</v>
      </c>
      <c r="ED41" s="1283"/>
      <c r="EE41" s="1282">
        <f>EE39/EB39-1</f>
        <v>-0.59981580389386613</v>
      </c>
      <c r="EF41" s="1282">
        <f>EF39/EE39-1</f>
        <v>0.38963067752197533</v>
      </c>
      <c r="EG41" s="1282">
        <f>EG39/EF39-1</f>
        <v>0.13408860305148917</v>
      </c>
      <c r="EH41" s="1282">
        <f>EH39/EG39-1</f>
        <v>0.5538881792237782</v>
      </c>
      <c r="EI41" s="1290" t="s">
        <v>945</v>
      </c>
      <c r="EJ41" s="1283"/>
      <c r="EK41" s="1282">
        <f>EK39/EH39-1</f>
        <v>-0.59777404779128374</v>
      </c>
      <c r="EL41" s="1282">
        <f>EL39/EK39-1</f>
        <v>0.38963067752197533</v>
      </c>
      <c r="EM41" s="1282">
        <f>EM39/EL39-1</f>
        <v>0.13408860305148917</v>
      </c>
      <c r="EN41" s="1282">
        <f>EN39/EM39-1</f>
        <v>0.5538881792237782</v>
      </c>
      <c r="EO41" s="1290" t="s">
        <v>945</v>
      </c>
      <c r="EP41" s="1283"/>
      <c r="EQ41" s="1282">
        <f>EQ39/EN39-1</f>
        <v>-0.59777404779128374</v>
      </c>
      <c r="ER41" s="1282">
        <f>ER39/EQ39-1</f>
        <v>0.43900841733240092</v>
      </c>
      <c r="ES41" s="1282">
        <f>ES39/ER39-1</f>
        <v>0.13964786090958459</v>
      </c>
      <c r="ET41" s="1282">
        <f>ET39/ES39-1</f>
        <v>0.49324864052236261</v>
      </c>
      <c r="EU41" s="1290" t="s">
        <v>945</v>
      </c>
      <c r="EV41" s="1283"/>
      <c r="EW41" s="1282">
        <f>EW39/ET39-1</f>
        <v>-0.59777404779128374</v>
      </c>
      <c r="EX41" s="1282">
        <f>EX39/EW39-1</f>
        <v>0.54857758616481744</v>
      </c>
      <c r="EY41" s="1282">
        <f>EY39/EX39-1</f>
        <v>0.16115065073806734</v>
      </c>
      <c r="EZ41" s="1282">
        <f>EZ39/EY39-1</f>
        <v>0.41720357086613102</v>
      </c>
      <c r="FA41" s="1290" t="s">
        <v>945</v>
      </c>
      <c r="FB41" s="1283"/>
      <c r="FC41" s="1282">
        <f>FC39/EZ39-1</f>
        <v>-0.59777404779128374</v>
      </c>
      <c r="FD41" s="1282">
        <f>FD39/FC39-1</f>
        <v>0.54857758616481744</v>
      </c>
      <c r="FE41" s="1282">
        <f>FE39/FD39-1</f>
        <v>0.16115065073806734</v>
      </c>
      <c r="FF41" s="1282">
        <f>FF39/FE39-1</f>
        <v>0.4172035708661308</v>
      </c>
      <c r="FG41" s="1290" t="s">
        <v>945</v>
      </c>
      <c r="FH41" s="1283"/>
      <c r="FI41" s="1282">
        <f>FI39/FF39-1</f>
        <v>-0.59777404779128374</v>
      </c>
      <c r="FJ41" s="1282">
        <f>FJ39/FI39-1</f>
        <v>0.54857758616481744</v>
      </c>
      <c r="FK41" s="1282">
        <f>FK39/FJ39-1</f>
        <v>0.16115065073806734</v>
      </c>
      <c r="FL41" s="1282">
        <f>FL39/FK39-1</f>
        <v>0.4172035708661308</v>
      </c>
      <c r="FM41" s="1290" t="s">
        <v>945</v>
      </c>
      <c r="FN41" s="1123"/>
      <c r="FO41" s="235"/>
      <c r="FS41" s="235"/>
      <c r="FT41" s="33"/>
      <c r="FU41" s="33"/>
      <c r="FV41" s="33"/>
      <c r="FW41" s="33"/>
      <c r="FX41" s="33"/>
      <c r="FY41" s="33"/>
      <c r="FZ41" s="33"/>
      <c r="GA41" s="33"/>
      <c r="GB41" s="33"/>
      <c r="GC41" s="33"/>
      <c r="GD41" s="33"/>
      <c r="GE41" s="33"/>
      <c r="GF41" s="33"/>
      <c r="GI41"/>
      <c r="GJ41"/>
      <c r="GK41"/>
      <c r="GL41"/>
      <c r="GM41"/>
      <c r="GN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</row>
    <row r="42" spans="1:281" s="33" customFormat="1" ht="10.5" hidden="1" customHeight="1" outlineLevel="1" x14ac:dyDescent="0.2">
      <c r="A42" s="127" t="s">
        <v>697</v>
      </c>
      <c r="B42" s="1216" t="s">
        <v>122</v>
      </c>
      <c r="C42" s="33" t="s">
        <v>945</v>
      </c>
      <c r="D42" s="33" t="s">
        <v>945</v>
      </c>
      <c r="E42" s="33" t="s">
        <v>945</v>
      </c>
      <c r="F42" s="33" t="s">
        <v>945</v>
      </c>
      <c r="G42" s="33" t="s">
        <v>945</v>
      </c>
      <c r="H42" s="33" t="s">
        <v>945</v>
      </c>
      <c r="I42" s="33" t="s">
        <v>945</v>
      </c>
      <c r="J42" s="33" t="s">
        <v>945</v>
      </c>
      <c r="K42" s="34">
        <v>45</v>
      </c>
      <c r="L42" s="34">
        <v>71</v>
      </c>
      <c r="M42" s="34">
        <v>94</v>
      </c>
      <c r="N42" s="34"/>
      <c r="O42" s="34">
        <v>23</v>
      </c>
      <c r="P42" s="34">
        <v>27</v>
      </c>
      <c r="Q42" s="34">
        <v>33</v>
      </c>
      <c r="R42" s="34">
        <v>71</v>
      </c>
      <c r="S42" s="34">
        <f>SUM(O42:R42)</f>
        <v>154</v>
      </c>
      <c r="T42" s="34"/>
      <c r="U42" s="145">
        <v>48</v>
      </c>
      <c r="V42" s="145">
        <v>57</v>
      </c>
      <c r="W42" s="145">
        <v>67</v>
      </c>
      <c r="X42" s="145">
        <v>123</v>
      </c>
      <c r="Y42" s="145">
        <f>SUM(U42:X42)</f>
        <v>295</v>
      </c>
      <c r="Z42" s="34"/>
      <c r="AA42" s="34">
        <v>50.415999999999997</v>
      </c>
      <c r="AB42" s="34">
        <v>101.41800000000001</v>
      </c>
      <c r="AC42" s="34">
        <v>107.821</v>
      </c>
      <c r="AD42" s="34">
        <v>218.60599999999999</v>
      </c>
      <c r="AE42" s="34">
        <f>SUM(AA42:AD42)</f>
        <v>478.26099999999997</v>
      </c>
      <c r="AF42" s="34"/>
      <c r="AG42" s="34">
        <v>98.429000000000002</v>
      </c>
      <c r="AH42" s="34">
        <v>108.34</v>
      </c>
      <c r="AI42" s="34">
        <v>139.69999999999999</v>
      </c>
      <c r="AJ42" s="34">
        <v>215.81100000000001</v>
      </c>
      <c r="AK42" s="34">
        <f>SUM(AG42:AJ42)</f>
        <v>562.28</v>
      </c>
      <c r="AL42" s="34"/>
      <c r="AM42" s="34">
        <v>98.09</v>
      </c>
      <c r="AN42" s="34">
        <v>128.45099999999999</v>
      </c>
      <c r="AO42" s="34">
        <v>147.351</v>
      </c>
      <c r="AP42" s="34">
        <v>277.14999999999998</v>
      </c>
      <c r="AQ42" s="34">
        <f>SUM(AM42:AP42)</f>
        <v>651.04199999999992</v>
      </c>
      <c r="AR42" s="34"/>
      <c r="AS42" s="34">
        <v>109.143</v>
      </c>
      <c r="AT42" s="34">
        <v>167.81800000000001</v>
      </c>
      <c r="AU42" s="34">
        <v>198.83</v>
      </c>
      <c r="AV42" s="34">
        <v>447.41300000000001</v>
      </c>
      <c r="AW42" s="34">
        <f>SUM(AS42:AV42)</f>
        <v>923.20400000000006</v>
      </c>
      <c r="AX42" s="34"/>
      <c r="AY42" s="34">
        <v>155.52600000000001</v>
      </c>
      <c r="AZ42" s="34">
        <v>279.27100000000002</v>
      </c>
      <c r="BA42" s="34">
        <v>249.42400000000001</v>
      </c>
      <c r="BB42" s="34">
        <v>337.99900000000002</v>
      </c>
      <c r="BC42" s="34">
        <f>SUM(AY42:BB42)</f>
        <v>1022.22</v>
      </c>
      <c r="BD42" s="34"/>
      <c r="BE42" s="34">
        <v>145.93100000000001</v>
      </c>
      <c r="BF42" s="34">
        <v>163.13300000000001</v>
      </c>
      <c r="BG42" s="34">
        <v>147.87299999999999</v>
      </c>
      <c r="BH42" s="34">
        <v>245.708</v>
      </c>
      <c r="BI42" s="34">
        <f>SUM(BE42:BH42)</f>
        <v>702.64499999999998</v>
      </c>
      <c r="BJ42" s="34"/>
      <c r="BK42" s="34">
        <v>111</v>
      </c>
      <c r="BL42" s="34">
        <v>108</v>
      </c>
      <c r="BM42" s="34">
        <v>140</v>
      </c>
      <c r="BN42" s="34">
        <v>246</v>
      </c>
      <c r="BO42" s="34">
        <f>SUM(BK42:BN42)</f>
        <v>605</v>
      </c>
      <c r="BP42" s="34"/>
      <c r="BQ42" s="33">
        <v>107</v>
      </c>
      <c r="BR42" s="33">
        <v>137</v>
      </c>
      <c r="BS42" s="33">
        <v>140</v>
      </c>
      <c r="BT42" s="33">
        <v>231</v>
      </c>
      <c r="BU42" s="33">
        <f>SUM(BQ42:BT42)</f>
        <v>615</v>
      </c>
      <c r="BV42" s="34"/>
      <c r="BW42" s="33">
        <v>69</v>
      </c>
      <c r="BX42" s="33">
        <v>215</v>
      </c>
      <c r="BY42" s="33">
        <v>152</v>
      </c>
      <c r="BZ42" s="33">
        <v>350</v>
      </c>
      <c r="CA42" s="33">
        <f>SUM(BW42:BZ42)</f>
        <v>786</v>
      </c>
      <c r="CB42" s="34"/>
      <c r="CC42" s="243">
        <v>127</v>
      </c>
      <c r="CD42" s="243">
        <v>266</v>
      </c>
      <c r="CE42" s="243">
        <v>269</v>
      </c>
      <c r="CF42" s="243">
        <v>641</v>
      </c>
      <c r="CG42" s="143">
        <f>SUM(CC42:CF42)</f>
        <v>1303</v>
      </c>
      <c r="CH42" s="244"/>
      <c r="CI42" s="243">
        <v>228</v>
      </c>
      <c r="CJ42" s="243">
        <v>340</v>
      </c>
      <c r="CK42" s="243">
        <v>423</v>
      </c>
      <c r="CL42" s="243">
        <v>726</v>
      </c>
      <c r="CM42" s="143">
        <f>SUM(CI42:CL42)</f>
        <v>1717</v>
      </c>
      <c r="CN42" s="244"/>
      <c r="CO42" s="243">
        <v>376</v>
      </c>
      <c r="CP42" s="243">
        <v>553</v>
      </c>
      <c r="CQ42" s="243">
        <v>451</v>
      </c>
      <c r="CR42" s="243">
        <v>989</v>
      </c>
      <c r="CS42" s="143">
        <f>SUM(CO42:CR42)</f>
        <v>2369</v>
      </c>
      <c r="CT42" s="244"/>
      <c r="CU42" s="243">
        <v>331</v>
      </c>
      <c r="CV42" s="243">
        <v>469</v>
      </c>
      <c r="CW42" s="243">
        <v>396</v>
      </c>
      <c r="CX42" s="243">
        <v>805</v>
      </c>
      <c r="CY42" s="143">
        <f>SUM(CU42:CX42)</f>
        <v>2001</v>
      </c>
      <c r="CZ42" s="244"/>
      <c r="DA42" s="243">
        <v>317</v>
      </c>
      <c r="DB42" s="243">
        <v>478</v>
      </c>
      <c r="DC42" s="243">
        <v>477.4</v>
      </c>
      <c r="DD42" s="243">
        <v>855</v>
      </c>
      <c r="DE42" s="143">
        <f>SUM(DA42:DD42)</f>
        <v>2127.4</v>
      </c>
      <c r="DF42" s="244"/>
      <c r="DG42" s="243">
        <v>349</v>
      </c>
      <c r="DH42" s="243">
        <v>579</v>
      </c>
      <c r="DI42" s="243">
        <v>639</v>
      </c>
      <c r="DJ42" s="243">
        <v>1042</v>
      </c>
      <c r="DK42" s="143">
        <f>SUM(DG42:DJ42)</f>
        <v>2609</v>
      </c>
      <c r="DL42" s="244"/>
      <c r="DM42" s="243">
        <v>428</v>
      </c>
      <c r="DN42" s="243">
        <v>569</v>
      </c>
      <c r="DO42" s="243">
        <f>DO14-DO39</f>
        <v>658</v>
      </c>
      <c r="DP42" s="243">
        <f>1279+7</f>
        <v>1286</v>
      </c>
      <c r="DQ42" s="143">
        <f>SUM(DM42:DP42)</f>
        <v>2941</v>
      </c>
      <c r="DR42" s="244"/>
      <c r="DS42" s="243">
        <f>DS14-DS39</f>
        <v>609.89999999999986</v>
      </c>
      <c r="DT42" s="243">
        <f>DT14-DT39</f>
        <v>873.31</v>
      </c>
      <c r="DU42" s="243">
        <f>DU14-DU39</f>
        <v>646.19999999999982</v>
      </c>
      <c r="DV42" s="243">
        <f>DV14-DV39</f>
        <v>1126.6899999999996</v>
      </c>
      <c r="DW42" s="143">
        <f>SUM(DS42:DV42)</f>
        <v>3256.0999999999995</v>
      </c>
      <c r="DX42" s="244"/>
      <c r="DY42" s="243">
        <f>DY14-DY39</f>
        <v>541.66899999999964</v>
      </c>
      <c r="DZ42" s="243">
        <f>DZ14-DZ39</f>
        <v>813.68465000000015</v>
      </c>
      <c r="EA42" s="243">
        <f>EA14-EA39</f>
        <v>613.07399999999961</v>
      </c>
      <c r="EB42" s="243">
        <f>EB14-EB39</f>
        <v>1197.6493799999994</v>
      </c>
      <c r="EC42" s="143">
        <f>SUM(DY42:EB42)</f>
        <v>3166.0770299999986</v>
      </c>
      <c r="ED42" s="244"/>
      <c r="EE42" s="243">
        <f>EE14-EE39</f>
        <v>635.90230999999972</v>
      </c>
      <c r="EF42" s="243">
        <f>EF14-EF39</f>
        <v>881.02149650000024</v>
      </c>
      <c r="EG42" s="243">
        <f>EG14-EG39</f>
        <v>603.35325999999964</v>
      </c>
      <c r="EH42" s="243">
        <f>EH14-EH39</f>
        <v>751.17639239999926</v>
      </c>
      <c r="EI42" s="143">
        <f>SUM(EE42:EH42)</f>
        <v>2871.4534588999991</v>
      </c>
      <c r="EJ42" s="244"/>
      <c r="EK42" s="243">
        <f>EK14-EK39</f>
        <v>570.06877534999967</v>
      </c>
      <c r="EL42" s="243">
        <f>EL14-EL39</f>
        <v>671.26617405250022</v>
      </c>
      <c r="EM42" s="243">
        <f>EM14-EM39</f>
        <v>536.98296109999956</v>
      </c>
      <c r="EN42" s="243">
        <f>EN14-EN39</f>
        <v>704.66374651399929</v>
      </c>
      <c r="EO42" s="143">
        <f>SUM(EK42:EN42)</f>
        <v>2482.9816570164985</v>
      </c>
      <c r="EP42" s="244"/>
      <c r="EQ42" s="243">
        <f>EQ14-EQ39</f>
        <v>840.9627437197496</v>
      </c>
      <c r="ER42" s="243">
        <f>ER14-ER39</f>
        <v>743.11149753355016</v>
      </c>
      <c r="ES42" s="243">
        <f>ES14-ES39</f>
        <v>744.98253512749966</v>
      </c>
      <c r="ET42" s="243">
        <f>ET14-ET39</f>
        <v>1158.4837903162893</v>
      </c>
      <c r="EU42" s="143">
        <f>SUM(EQ42:ET42)</f>
        <v>3487.5405666970887</v>
      </c>
      <c r="EV42" s="244"/>
      <c r="EW42" s="243">
        <f>EW14-EW39</f>
        <v>1300.5883025639534</v>
      </c>
      <c r="EX42" s="243">
        <f>EX14-EX39</f>
        <v>1088.658187385563</v>
      </c>
      <c r="EY42" s="243">
        <f>EY14-EY39</f>
        <v>877.8211379376994</v>
      </c>
      <c r="EZ42" s="243">
        <f>EZ14-EZ39</f>
        <v>1198.4608850741965</v>
      </c>
      <c r="FA42" s="143">
        <f>SUM(EW42:EZ42)</f>
        <v>4465.5285129614122</v>
      </c>
      <c r="FB42" s="244"/>
      <c r="FC42" s="243">
        <f>FC14-FC39</f>
        <v>1576.0998101280525</v>
      </c>
      <c r="FD42" s="243">
        <f>FD14-FD39</f>
        <v>1346.5696420702025</v>
      </c>
      <c r="FE42" s="243">
        <f>FE14-FE39</f>
        <v>1142.4666663861422</v>
      </c>
      <c r="FF42" s="243">
        <f>FF14-FF39</f>
        <v>1356.6702322010519</v>
      </c>
      <c r="FG42" s="143">
        <f>SUM(FC42:FF42)</f>
        <v>5421.8063507854495</v>
      </c>
      <c r="FH42" s="244"/>
      <c r="FI42" s="243">
        <f>FI14-FI39</f>
        <v>1897.712155381254</v>
      </c>
      <c r="FJ42" s="243">
        <f>FJ14-FJ39</f>
        <v>1638.8862831219574</v>
      </c>
      <c r="FK42" s="243">
        <f>FK14-FK39</f>
        <v>1427.1280080457955</v>
      </c>
      <c r="FL42" s="243">
        <f>FL14-FL39</f>
        <v>1558.0779765060779</v>
      </c>
      <c r="FM42" s="143">
        <f>SUM(FI42:FL42)</f>
        <v>6521.804423055085</v>
      </c>
      <c r="FN42" s="226"/>
      <c r="FO42" s="245">
        <f>CE42+CF42+CI42+CJ42</f>
        <v>1478</v>
      </c>
      <c r="FP42" s="243">
        <f>CK42+CL42+CO42+CP42</f>
        <v>2078</v>
      </c>
      <c r="FQ42" s="243">
        <f>CV42+CU42+CR42+CQ42</f>
        <v>2240</v>
      </c>
      <c r="FR42" s="243">
        <f>CW42+CX42+DA42+DB42</f>
        <v>1996</v>
      </c>
      <c r="FS42" s="245">
        <f>DC42+DD42+DG42+DH42</f>
        <v>2260.4</v>
      </c>
      <c r="FT42" s="243">
        <f>DI42+DJ42+DM42+DN42</f>
        <v>2678</v>
      </c>
      <c r="FU42" s="243">
        <f>DO42+DP42+DS42+DT42</f>
        <v>3427.2099999999996</v>
      </c>
      <c r="FV42" s="243">
        <f>DY42+DV42+DZ42+DU42</f>
        <v>3128.2436499999994</v>
      </c>
      <c r="FW42" s="243">
        <f>EA42+EB42+EE42+EF42</f>
        <v>3327.6471864999994</v>
      </c>
      <c r="FX42" s="243">
        <f>EG42+EH42+EK42+EL42</f>
        <v>2595.8646018024988</v>
      </c>
      <c r="FY42" s="243">
        <f>EM42+EN42+EQ42+ER42</f>
        <v>2825.7209488672988</v>
      </c>
      <c r="FZ42" s="243">
        <f>ES42+ET42+EW42+EX42</f>
        <v>4292.7128153933054</v>
      </c>
      <c r="GA42" s="243">
        <f>EY42+EZ42+FC42+FD42</f>
        <v>4998.9514752101513</v>
      </c>
      <c r="GB42" s="243">
        <f>FE42+FF42+FI42+FJ42</f>
        <v>6035.7353370904057</v>
      </c>
      <c r="GC42" s="243"/>
      <c r="GD42" s="243"/>
      <c r="GE42" s="243"/>
      <c r="GF42" s="243"/>
      <c r="GI42"/>
      <c r="GJ42"/>
      <c r="GK42"/>
      <c r="GL42"/>
      <c r="GM42"/>
      <c r="GN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</row>
    <row r="43" spans="1:281" s="37" customFormat="1" ht="10.5" hidden="1" customHeight="1" outlineLevel="1" x14ac:dyDescent="0.2">
      <c r="A43" s="1288" t="s">
        <v>669</v>
      </c>
      <c r="B43" s="1280"/>
      <c r="C43" s="1266" t="s">
        <v>945</v>
      </c>
      <c r="D43" s="1266" t="s">
        <v>945</v>
      </c>
      <c r="E43" s="1266" t="s">
        <v>945</v>
      </c>
      <c r="F43" s="1266" t="s">
        <v>945</v>
      </c>
      <c r="G43" s="1266" t="s">
        <v>945</v>
      </c>
      <c r="H43" s="1266" t="s">
        <v>945</v>
      </c>
      <c r="I43" s="1266" t="s">
        <v>945</v>
      </c>
      <c r="J43" s="1266" t="s">
        <v>945</v>
      </c>
      <c r="K43" s="1266" t="s">
        <v>945</v>
      </c>
      <c r="L43" s="1282">
        <f>L42/K42-1</f>
        <v>0.57777777777777772</v>
      </c>
      <c r="M43" s="1282">
        <f>M42/L42-1</f>
        <v>0.323943661971831</v>
      </c>
      <c r="N43" s="1283"/>
      <c r="O43" s="1284" t="s">
        <v>945</v>
      </c>
      <c r="P43" s="1284" t="s">
        <v>945</v>
      </c>
      <c r="Q43" s="1284" t="s">
        <v>945</v>
      </c>
      <c r="R43" s="1284" t="s">
        <v>945</v>
      </c>
      <c r="S43" s="1282">
        <f>S42/M42-1</f>
        <v>0.63829787234042556</v>
      </c>
      <c r="T43" s="1283"/>
      <c r="U43" s="1282">
        <f>U42/O42-1</f>
        <v>1.0869565217391304</v>
      </c>
      <c r="V43" s="1282">
        <f>V42/P42-1</f>
        <v>1.1111111111111112</v>
      </c>
      <c r="W43" s="1282">
        <f>W42/Q42-1</f>
        <v>1.0303030303030303</v>
      </c>
      <c r="X43" s="1282">
        <f>X42/R42-1</f>
        <v>0.73239436619718301</v>
      </c>
      <c r="Y43" s="1282">
        <f>Y42/S42-1</f>
        <v>0.9155844155844155</v>
      </c>
      <c r="Z43" s="1283"/>
      <c r="AA43" s="1282">
        <f>AA42/U42-1</f>
        <v>5.0333333333333341E-2</v>
      </c>
      <c r="AB43" s="1282">
        <f>AB42/V42-1</f>
        <v>0.77926315789473688</v>
      </c>
      <c r="AC43" s="1282">
        <f>AC42/W42-1</f>
        <v>0.60926865671641783</v>
      </c>
      <c r="AD43" s="1282">
        <f>AD42/X42-1</f>
        <v>0.77728455284552833</v>
      </c>
      <c r="AE43" s="1282">
        <f>AE42/Y42-1</f>
        <v>0.62122372881355914</v>
      </c>
      <c r="AF43" s="1283"/>
      <c r="AG43" s="1282">
        <f>AG42/AA42-1</f>
        <v>0.95233655982227883</v>
      </c>
      <c r="AH43" s="1282">
        <f>AH42/AB42-1</f>
        <v>6.8252184030448193E-2</v>
      </c>
      <c r="AI43" s="1282">
        <f>AI42/AC42-1</f>
        <v>0.29566596488624652</v>
      </c>
      <c r="AJ43" s="1282">
        <f>AJ42/AD42-1</f>
        <v>-1.2785559408250435E-2</v>
      </c>
      <c r="AK43" s="1282">
        <f>AK42/AE42-1</f>
        <v>0.17567604299744288</v>
      </c>
      <c r="AL43" s="1283"/>
      <c r="AM43" s="1282">
        <f>AM42/AG42-1</f>
        <v>-3.4441069197086449E-3</v>
      </c>
      <c r="AN43" s="1282">
        <f>AN42/AH42-1</f>
        <v>0.18562857670297195</v>
      </c>
      <c r="AO43" s="1282">
        <f>AO42/AI42-1</f>
        <v>5.4767358625626317E-2</v>
      </c>
      <c r="AP43" s="1282">
        <f>AP42/AJ42-1</f>
        <v>0.28422554920740817</v>
      </c>
      <c r="AQ43" s="1282">
        <f>AQ42/AK42-1</f>
        <v>0.15786085224443336</v>
      </c>
      <c r="AR43" s="1283"/>
      <c r="AS43" s="1282">
        <f>AS42/AM42-1</f>
        <v>0.11268223060454674</v>
      </c>
      <c r="AT43" s="1282">
        <f>AT42/AN42-1</f>
        <v>0.30647484254696367</v>
      </c>
      <c r="AU43" s="1282">
        <f>AU42/AO42-1</f>
        <v>0.34936308542188388</v>
      </c>
      <c r="AV43" s="1282">
        <f>AV42/AP42-1</f>
        <v>0.61433519754645527</v>
      </c>
      <c r="AW43" s="1282">
        <f>AW42/AQ42-1</f>
        <v>0.41804061796320391</v>
      </c>
      <c r="AX43" s="1283"/>
      <c r="AY43" s="1282">
        <f>AY42/AS42-1</f>
        <v>0.42497457464060928</v>
      </c>
      <c r="AZ43" s="1282">
        <f>AZ42/AT42-1</f>
        <v>0.66413018865675899</v>
      </c>
      <c r="BA43" s="1282">
        <f>BA42/AU42-1</f>
        <v>0.2544585827088468</v>
      </c>
      <c r="BB43" s="1282">
        <f>BB42/AV42-1</f>
        <v>-0.24454810208912126</v>
      </c>
      <c r="BC43" s="1282">
        <f>BC42/AW42-1</f>
        <v>0.10725256822977358</v>
      </c>
      <c r="BD43" s="1283"/>
      <c r="BE43" s="1282">
        <f>BE42/AY42-1</f>
        <v>-6.169386469143423E-2</v>
      </c>
      <c r="BF43" s="1282">
        <f>BF42/AZ42-1</f>
        <v>-0.41586129601713029</v>
      </c>
      <c r="BG43" s="1282">
        <f>BG42/BA42-1</f>
        <v>-0.40714205529540071</v>
      </c>
      <c r="BH43" s="1282">
        <f>BH42/BB42-1</f>
        <v>-0.27305110370149033</v>
      </c>
      <c r="BI43" s="1282">
        <f>BI42/BC42-1</f>
        <v>-0.3126283970182544</v>
      </c>
      <c r="BJ43" s="1283"/>
      <c r="BK43" s="1282">
        <f>BK42/BE42-1</f>
        <v>-0.23936654994483697</v>
      </c>
      <c r="BL43" s="1282">
        <f>BL42/BF42-1</f>
        <v>-0.33796350217307358</v>
      </c>
      <c r="BM43" s="1282">
        <f>BM42/BG42-1</f>
        <v>-5.3241633022931834E-2</v>
      </c>
      <c r="BN43" s="1282">
        <f>BN42/BH42-1</f>
        <v>1.1884024940171933E-3</v>
      </c>
      <c r="BO43" s="1282">
        <f>BO42/BI42-1</f>
        <v>-0.13896775754470603</v>
      </c>
      <c r="BP43" s="1283"/>
      <c r="BQ43" s="1282">
        <f>BQ42/BK42-1</f>
        <v>-3.6036036036036001E-2</v>
      </c>
      <c r="BR43" s="1282">
        <f>BR42/BL42-1</f>
        <v>0.2685185185185186</v>
      </c>
      <c r="BS43" s="1282">
        <f>BS42/BM42-1</f>
        <v>0</v>
      </c>
      <c r="BT43" s="1282">
        <f>BT42/BN42-1</f>
        <v>-6.0975609756097615E-2</v>
      </c>
      <c r="BU43" s="1282">
        <f>BU42/BO42-1</f>
        <v>1.6528925619834656E-2</v>
      </c>
      <c r="BV43" s="1283"/>
      <c r="BW43" s="1282">
        <f>BW42/BQ42-1</f>
        <v>-0.35514018691588789</v>
      </c>
      <c r="BX43" s="1282">
        <f>BX42/BR42-1</f>
        <v>0.56934306569343063</v>
      </c>
      <c r="BY43" s="1282">
        <f>BY42/BS42-1</f>
        <v>8.5714285714285632E-2</v>
      </c>
      <c r="BZ43" s="1282">
        <f>BZ42/BT42-1</f>
        <v>0.51515151515151514</v>
      </c>
      <c r="CA43" s="1282">
        <f>CA42/BU42-1</f>
        <v>0.2780487804878049</v>
      </c>
      <c r="CB43" s="1283"/>
      <c r="CC43" s="1282">
        <f>CC42/BW42-1</f>
        <v>0.84057971014492749</v>
      </c>
      <c r="CD43" s="1282">
        <f>CD42/BX42-1</f>
        <v>0.23720930232558146</v>
      </c>
      <c r="CE43" s="1282">
        <f>CE42/BY42-1</f>
        <v>0.76973684210526305</v>
      </c>
      <c r="CF43" s="1282">
        <f>CF42/BZ42-1</f>
        <v>0.83142857142857141</v>
      </c>
      <c r="CG43" s="1270">
        <f>CG42/CA42-1</f>
        <v>0.65776081424936383</v>
      </c>
      <c r="CH43" s="1283"/>
      <c r="CI43" s="1282">
        <f>CI42/CC42-1</f>
        <v>0.79527559055118102</v>
      </c>
      <c r="CJ43" s="1282">
        <f>CJ42/CD42-1</f>
        <v>0.27819548872180455</v>
      </c>
      <c r="CK43" s="1282">
        <f>CK42/CE42-1</f>
        <v>0.57249070631970267</v>
      </c>
      <c r="CL43" s="1282">
        <f>CL42/CF42-1</f>
        <v>0.13260530421216843</v>
      </c>
      <c r="CM43" s="1270">
        <f>CM42/CG42-1</f>
        <v>0.31772831926323875</v>
      </c>
      <c r="CN43" s="1283"/>
      <c r="CO43" s="1282">
        <f>CO42/CI42-1</f>
        <v>0.64912280701754388</v>
      </c>
      <c r="CP43" s="1282">
        <f>CP42/CJ42-1</f>
        <v>0.62647058823529411</v>
      </c>
      <c r="CQ43" s="1282">
        <f>CQ42/CK42-1</f>
        <v>6.6193853427896077E-2</v>
      </c>
      <c r="CR43" s="1282">
        <f>CR42/CL42-1</f>
        <v>0.36225895316804402</v>
      </c>
      <c r="CS43" s="1270">
        <f>CS42/CM42-1</f>
        <v>0.37973209085614434</v>
      </c>
      <c r="CT43" s="1283"/>
      <c r="CU43" s="1282">
        <f>CU42/CO42-1</f>
        <v>-0.11968085106382975</v>
      </c>
      <c r="CV43" s="1282">
        <f>CV42/CP42-1</f>
        <v>-0.15189873417721522</v>
      </c>
      <c r="CW43" s="1282">
        <f>CW42/CQ42-1</f>
        <v>-0.12195121951219512</v>
      </c>
      <c r="CX43" s="1282">
        <f>CX42/CR42-1</f>
        <v>-0.18604651162790697</v>
      </c>
      <c r="CY43" s="1270">
        <f>CY42/CS42-1</f>
        <v>-0.15533980582524276</v>
      </c>
      <c r="CZ43" s="1283"/>
      <c r="DA43" s="1282">
        <f>DA42/CU42-1</f>
        <v>-4.2296072507552851E-2</v>
      </c>
      <c r="DB43" s="1282">
        <f>DB42/CV42-1</f>
        <v>1.9189765458422103E-2</v>
      </c>
      <c r="DC43" s="1282">
        <f>DC42/CW42-1</f>
        <v>0.20555555555555549</v>
      </c>
      <c r="DD43" s="1282">
        <f>DD42/CX42-1</f>
        <v>6.211180124223592E-2</v>
      </c>
      <c r="DE43" s="1270">
        <f>DE42/CY42-1</f>
        <v>6.3168415792103971E-2</v>
      </c>
      <c r="DF43" s="1283"/>
      <c r="DG43" s="1282">
        <f>DG42/DA42-1</f>
        <v>0.10094637223974767</v>
      </c>
      <c r="DH43" s="1282">
        <f>DH42/DB42-1</f>
        <v>0.21129707112970708</v>
      </c>
      <c r="DI43" s="1282">
        <f>DI42/DC42-1</f>
        <v>0.33850020946795145</v>
      </c>
      <c r="DJ43" s="1282">
        <f>DJ42/DD42-1</f>
        <v>0.21871345029239775</v>
      </c>
      <c r="DK43" s="1270">
        <f>DK42/DE42-1</f>
        <v>0.22637961831343412</v>
      </c>
      <c r="DL43" s="1283"/>
      <c r="DM43" s="1282">
        <f>DM42/DG42-1</f>
        <v>0.22636103151862463</v>
      </c>
      <c r="DN43" s="1282">
        <f>DN42/DH42-1</f>
        <v>-1.7271157167530249E-2</v>
      </c>
      <c r="DO43" s="1282">
        <f>DO42/DI42-1</f>
        <v>2.9733959311424085E-2</v>
      </c>
      <c r="DP43" s="1282">
        <f>DP42/DJ42-1</f>
        <v>0.23416506717850294</v>
      </c>
      <c r="DQ43" s="1270">
        <f>DQ42/DK42-1</f>
        <v>0.12725182062092766</v>
      </c>
      <c r="DR43" s="1283"/>
      <c r="DS43" s="1282">
        <f>DS42/DM42-1</f>
        <v>0.4249999999999996</v>
      </c>
      <c r="DT43" s="1282">
        <f>DT42/DN42-1</f>
        <v>0.53481546572934957</v>
      </c>
      <c r="DU43" s="1282">
        <f>DU42/DO42-1</f>
        <v>-1.7933130699088418E-2</v>
      </c>
      <c r="DV43" s="1282">
        <f>DV42/DP42-1</f>
        <v>-0.12388024883359283</v>
      </c>
      <c r="DW43" s="1270">
        <f>DW42/DQ42-1</f>
        <v>0.10714042842570537</v>
      </c>
      <c r="DX43" s="1283"/>
      <c r="DY43" s="1282">
        <f>DY42/DS42-1</f>
        <v>-0.11187243810460767</v>
      </c>
      <c r="DZ43" s="1282">
        <f>DZ42/DT42-1</f>
        <v>-6.8275125671296344E-2</v>
      </c>
      <c r="EA43" s="1282">
        <f>EA42/DU42-1</f>
        <v>-5.1262766945218474E-2</v>
      </c>
      <c r="EB43" s="1282">
        <f>EB42/DV42-1</f>
        <v>6.2980393897167586E-2</v>
      </c>
      <c r="EC43" s="1270">
        <f>EC42/DW42-1</f>
        <v>-2.7647483185406108E-2</v>
      </c>
      <c r="ED43" s="1283"/>
      <c r="EE43" s="1282">
        <f>EE42/DY42-1</f>
        <v>0.17396843828980457</v>
      </c>
      <c r="EF43" s="1282">
        <f>EF42/DZ42-1</f>
        <v>8.275545876403112E-2</v>
      </c>
      <c r="EG43" s="1282">
        <f>EG42/EA42-1</f>
        <v>-1.585573682785435E-2</v>
      </c>
      <c r="EH43" s="1282">
        <f>EH42/EB42-1</f>
        <v>-0.37279106477723922</v>
      </c>
      <c r="EI43" s="1270">
        <f>EI42/EC42-1</f>
        <v>-9.3056349642889002E-2</v>
      </c>
      <c r="EJ43" s="1283"/>
      <c r="EK43" s="1282">
        <f>EK42/EE42-1</f>
        <v>-0.10352774886129923</v>
      </c>
      <c r="EL43" s="1282">
        <f>EL42/EF42-1</f>
        <v>-0.23808195745596084</v>
      </c>
      <c r="EM43" s="1282">
        <f>EM42/EG42-1</f>
        <v>-0.11000238715872712</v>
      </c>
      <c r="EN43" s="1282">
        <f>EN42/EH42-1</f>
        <v>-6.1919738634746868E-2</v>
      </c>
      <c r="EO43" s="1270">
        <f>EO42/EI42-1</f>
        <v>-0.13528751464852817</v>
      </c>
      <c r="EP43" s="1283"/>
      <c r="EQ43" s="1282">
        <f>EQ42/EK42-1</f>
        <v>0.4751952397382786</v>
      </c>
      <c r="ER43" s="1282">
        <f>ER42/EL42-1</f>
        <v>0.10702956034163402</v>
      </c>
      <c r="ES43" s="1282">
        <f>ES42/EM42-1</f>
        <v>0.38734855497354492</v>
      </c>
      <c r="ET43" s="1282">
        <f>ET42/EN42-1</f>
        <v>0.64402354463012546</v>
      </c>
      <c r="EU43" s="1270">
        <f>EU42/EO42-1</f>
        <v>0.4045776604276845</v>
      </c>
      <c r="EV43" s="1283"/>
      <c r="EW43" s="1282">
        <f>EW42/EQ42-1</f>
        <v>0.54654687413521597</v>
      </c>
      <c r="EX43" s="1282">
        <f>EX42/ER42-1</f>
        <v>0.46499978939756881</v>
      </c>
      <c r="EY43" s="1282">
        <f>EY42/ES42-1</f>
        <v>0.17831102951623579</v>
      </c>
      <c r="EZ43" s="1282">
        <f>EZ42/ET42-1</f>
        <v>3.4508117499850943E-2</v>
      </c>
      <c r="FA43" s="1270">
        <f>FA42/EU42-1</f>
        <v>0.2804233893659156</v>
      </c>
      <c r="FB43" s="1283"/>
      <c r="FC43" s="1282">
        <f>FC42/EW42-1</f>
        <v>0.21183606451093029</v>
      </c>
      <c r="FD43" s="1282">
        <f>FD42/EX42-1</f>
        <v>0.23690765170656514</v>
      </c>
      <c r="FE43" s="1282">
        <f>FE42/EY42-1</f>
        <v>0.30148001342299091</v>
      </c>
      <c r="FF43" s="1282">
        <f>FF42/EZ42-1</f>
        <v>0.13201043863610162</v>
      </c>
      <c r="FG43" s="1270">
        <f>FG42/FA42-1</f>
        <v>0.2141466200581621</v>
      </c>
      <c r="FH43" s="1283"/>
      <c r="FI43" s="1282">
        <f>FI42/FC42-1</f>
        <v>0.20405582386757071</v>
      </c>
      <c r="FJ43" s="1282">
        <f>FJ42/FD42-1</f>
        <v>0.21708245301175078</v>
      </c>
      <c r="FK43" s="1282">
        <f>FK42/FE42-1</f>
        <v>0.24916380498005775</v>
      </c>
      <c r="FL43" s="1282">
        <f>FL42/FF42-1</f>
        <v>0.1484574066155071</v>
      </c>
      <c r="FM43" s="1270">
        <f>FM42/FG42-1</f>
        <v>0.20288405765548601</v>
      </c>
      <c r="FN43" s="1123"/>
      <c r="FO43" s="235"/>
      <c r="FP43" s="236">
        <f t="shared" ref="FP43:GB43" si="18">FP42/FO42-1</f>
        <v>0.40595399188092007</v>
      </c>
      <c r="FQ43" s="236">
        <f t="shared" si="18"/>
        <v>7.7959576515880702E-2</v>
      </c>
      <c r="FR43" s="236">
        <f t="shared" si="18"/>
        <v>-0.10892857142857137</v>
      </c>
      <c r="FS43" s="316">
        <f t="shared" si="18"/>
        <v>0.13246492985971958</v>
      </c>
      <c r="FT43" s="236">
        <f t="shared" si="18"/>
        <v>0.1847460626437798</v>
      </c>
      <c r="FU43" s="236">
        <f t="shared" si="18"/>
        <v>0.27976474981329336</v>
      </c>
      <c r="FV43" s="236">
        <f t="shared" si="18"/>
        <v>-8.7233157582990328E-2</v>
      </c>
      <c r="FW43" s="236">
        <f t="shared" si="18"/>
        <v>6.3742968518452736E-2</v>
      </c>
      <c r="FX43" s="236">
        <f t="shared" si="18"/>
        <v>-0.21990990741635241</v>
      </c>
      <c r="FY43" s="236">
        <f t="shared" si="18"/>
        <v>8.8547124879007066E-2</v>
      </c>
      <c r="FZ43" s="236">
        <f t="shared" si="18"/>
        <v>0.51915666588169507</v>
      </c>
      <c r="GA43" s="236">
        <f t="shared" si="18"/>
        <v>0.16452036047795549</v>
      </c>
      <c r="GB43" s="236">
        <f t="shared" si="18"/>
        <v>0.20740026523995603</v>
      </c>
      <c r="GC43" s="236"/>
      <c r="GD43" s="236"/>
      <c r="GE43" s="236"/>
      <c r="GF43" s="236"/>
      <c r="GI43"/>
      <c r="GJ43"/>
      <c r="GK43"/>
      <c r="GL43"/>
      <c r="GM43"/>
      <c r="GN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</row>
    <row r="44" spans="1:281" s="37" customFormat="1" ht="10.5" hidden="1" customHeight="1" outlineLevel="1" x14ac:dyDescent="0.2">
      <c r="A44" s="1288" t="s">
        <v>1101</v>
      </c>
      <c r="B44" s="1280"/>
      <c r="C44" s="1266" t="s">
        <v>945</v>
      </c>
      <c r="D44" s="1266" t="s">
        <v>945</v>
      </c>
      <c r="E44" s="1266" t="s">
        <v>945</v>
      </c>
      <c r="F44" s="1266" t="s">
        <v>945</v>
      </c>
      <c r="G44" s="1266" t="s">
        <v>945</v>
      </c>
      <c r="H44" s="1266" t="s">
        <v>945</v>
      </c>
      <c r="I44" s="1266" t="s">
        <v>945</v>
      </c>
      <c r="J44" s="1266" t="s">
        <v>945</v>
      </c>
      <c r="K44" s="1266" t="s">
        <v>945</v>
      </c>
      <c r="L44" s="1266" t="s">
        <v>945</v>
      </c>
      <c r="M44" s="1266" t="s">
        <v>945</v>
      </c>
      <c r="N44" s="1283"/>
      <c r="O44" s="1284" t="s">
        <v>945</v>
      </c>
      <c r="P44" s="1282">
        <f>P42/O42-1</f>
        <v>0.17391304347826098</v>
      </c>
      <c r="Q44" s="1282">
        <f>Q42/P42-1</f>
        <v>0.22222222222222232</v>
      </c>
      <c r="R44" s="1282">
        <f>R42/Q42-1</f>
        <v>1.1515151515151514</v>
      </c>
      <c r="S44" s="1289" t="s">
        <v>945</v>
      </c>
      <c r="T44" s="1283"/>
      <c r="U44" s="1282">
        <f>U42/R42-1</f>
        <v>-0.323943661971831</v>
      </c>
      <c r="V44" s="1282">
        <f>V42/U42-1</f>
        <v>0.1875</v>
      </c>
      <c r="W44" s="1282">
        <f>W42/V42-1</f>
        <v>0.17543859649122817</v>
      </c>
      <c r="X44" s="1282">
        <f>X42/W42-1</f>
        <v>0.83582089552238803</v>
      </c>
      <c r="Y44" s="1289" t="s">
        <v>945</v>
      </c>
      <c r="Z44" s="1283"/>
      <c r="AA44" s="1282">
        <f>AA42/X42-1</f>
        <v>-0.59011382113821143</v>
      </c>
      <c r="AB44" s="1282">
        <f>AB42/AA42-1</f>
        <v>1.01162329419232</v>
      </c>
      <c r="AC44" s="1282">
        <f>AC42/AB42-1</f>
        <v>6.3134749255556066E-2</v>
      </c>
      <c r="AD44" s="1282">
        <f>AD42/AC42-1</f>
        <v>1.0274900065849879</v>
      </c>
      <c r="AE44" s="1289" t="s">
        <v>945</v>
      </c>
      <c r="AF44" s="1283"/>
      <c r="AG44" s="1282">
        <f>AG42/AD42-1</f>
        <v>-0.54974245903589103</v>
      </c>
      <c r="AH44" s="1282">
        <f>AH42/AG42-1</f>
        <v>0.10069186926617157</v>
      </c>
      <c r="AI44" s="1282">
        <f>AI42/AH42-1</f>
        <v>0.28945911020860238</v>
      </c>
      <c r="AJ44" s="1282">
        <f>AJ42/AI42-1</f>
        <v>0.54481746599856851</v>
      </c>
      <c r="AK44" s="1289" t="s">
        <v>945</v>
      </c>
      <c r="AL44" s="1283"/>
      <c r="AM44" s="1282">
        <f>AM42/AJ42-1</f>
        <v>-0.54548192631515535</v>
      </c>
      <c r="AN44" s="1282">
        <f>AN42/AM42-1</f>
        <v>0.30952186767254553</v>
      </c>
      <c r="AO44" s="1282">
        <f>AO42/AN42-1</f>
        <v>0.14713781909054813</v>
      </c>
      <c r="AP44" s="1282">
        <f>AP42/AO42-1</f>
        <v>0.88088306153334539</v>
      </c>
      <c r="AQ44" s="1289" t="s">
        <v>945</v>
      </c>
      <c r="AR44" s="1283"/>
      <c r="AS44" s="1282">
        <f>AS42/AP42-1</f>
        <v>-0.60619520115460945</v>
      </c>
      <c r="AT44" s="1282">
        <f>AT42/AS42-1</f>
        <v>0.53759746387766527</v>
      </c>
      <c r="AU44" s="1282">
        <f>AU42/AT42-1</f>
        <v>0.18479543314781499</v>
      </c>
      <c r="AV44" s="1282">
        <f>AV42/AU42-1</f>
        <v>1.2502288387064326</v>
      </c>
      <c r="AW44" s="1289" t="s">
        <v>945</v>
      </c>
      <c r="AX44" s="1283"/>
      <c r="AY44" s="1282">
        <f>AY42/AV42-1</f>
        <v>-0.6523882855437817</v>
      </c>
      <c r="AZ44" s="1282">
        <f>AZ42/AY42-1</f>
        <v>0.79565474583027918</v>
      </c>
      <c r="BA44" s="1282">
        <f>BA42/AZ42-1</f>
        <v>-0.10687468444629056</v>
      </c>
      <c r="BB44" s="1282">
        <f>BB42/BA42-1</f>
        <v>0.35511819231509412</v>
      </c>
      <c r="BC44" s="1289" t="s">
        <v>945</v>
      </c>
      <c r="BD44" s="1283"/>
      <c r="BE44" s="1282">
        <f>BE42/BB42-1</f>
        <v>-0.56825020192367437</v>
      </c>
      <c r="BF44" s="1282">
        <f>BF42/BE42-1</f>
        <v>0.11787762709773797</v>
      </c>
      <c r="BG44" s="1282">
        <f>BG42/BF42-1</f>
        <v>-9.3543305155915801E-2</v>
      </c>
      <c r="BH44" s="1282">
        <f>BH42/BG42-1</f>
        <v>0.66161503452286774</v>
      </c>
      <c r="BI44" s="1289" t="s">
        <v>945</v>
      </c>
      <c r="BJ44" s="1283"/>
      <c r="BK44" s="1282">
        <f>BK42/BH42-1</f>
        <v>-0.54824425741123606</v>
      </c>
      <c r="BL44" s="1282">
        <f>BL42/BK42-1</f>
        <v>-2.7027027027026973E-2</v>
      </c>
      <c r="BM44" s="1282">
        <f>BM42/BL42-1</f>
        <v>0.29629629629629628</v>
      </c>
      <c r="BN44" s="1282">
        <f>BN42/BM42-1</f>
        <v>0.75714285714285712</v>
      </c>
      <c r="BO44" s="1289" t="s">
        <v>945</v>
      </c>
      <c r="BP44" s="1283"/>
      <c r="BQ44" s="1282">
        <f>BQ42/BN42-1</f>
        <v>-0.56504065040650409</v>
      </c>
      <c r="BR44" s="1282">
        <f>BR42/BQ42-1</f>
        <v>0.28037383177570097</v>
      </c>
      <c r="BS44" s="1282">
        <f>BS42/BR42-1</f>
        <v>2.1897810218978186E-2</v>
      </c>
      <c r="BT44" s="1282">
        <f>BT42/BS42-1</f>
        <v>0.64999999999999991</v>
      </c>
      <c r="BU44" s="1289" t="s">
        <v>945</v>
      </c>
      <c r="BV44" s="1283"/>
      <c r="BW44" s="1282">
        <f>BW42/BT42-1</f>
        <v>-0.70129870129870131</v>
      </c>
      <c r="BX44" s="1282">
        <f>BX42/BW42-1</f>
        <v>2.1159420289855073</v>
      </c>
      <c r="BY44" s="1282">
        <f>BY42/BX42-1</f>
        <v>-0.2930232558139535</v>
      </c>
      <c r="BZ44" s="1282">
        <f>BZ42/BY42-1</f>
        <v>1.3026315789473686</v>
      </c>
      <c r="CA44" s="1289" t="s">
        <v>945</v>
      </c>
      <c r="CB44" s="1283"/>
      <c r="CC44" s="1282">
        <f>CC42/BZ42-1</f>
        <v>-0.63714285714285712</v>
      </c>
      <c r="CD44" s="1282">
        <f>CD42/CC42-1</f>
        <v>1.0944881889763778</v>
      </c>
      <c r="CE44" s="1282">
        <f>CE42/CD42-1</f>
        <v>1.1278195488721776E-2</v>
      </c>
      <c r="CF44" s="1282">
        <f>CF42/CE42-1</f>
        <v>1.3828996282527881</v>
      </c>
      <c r="CG44" s="1290" t="s">
        <v>945</v>
      </c>
      <c r="CH44" s="1283"/>
      <c r="CI44" s="1282">
        <f>CI42/CF42-1</f>
        <v>-0.64430577223088925</v>
      </c>
      <c r="CJ44" s="1282">
        <f>CJ42/CI42-1</f>
        <v>0.49122807017543857</v>
      </c>
      <c r="CK44" s="1282">
        <f>CK42/CJ42-1</f>
        <v>0.24411764705882355</v>
      </c>
      <c r="CL44" s="1282">
        <f>CL42/CK42-1</f>
        <v>0.71631205673758869</v>
      </c>
      <c r="CM44" s="1290" t="s">
        <v>945</v>
      </c>
      <c r="CN44" s="1283"/>
      <c r="CO44" s="1282">
        <f>CO42/CL42-1</f>
        <v>-0.48209366391184572</v>
      </c>
      <c r="CP44" s="1282">
        <f>CP42/CO42-1</f>
        <v>0.4707446808510638</v>
      </c>
      <c r="CQ44" s="1282">
        <f>CQ42/CP42-1</f>
        <v>-0.18444846292947559</v>
      </c>
      <c r="CR44" s="1282">
        <f>CR42/CQ42-1</f>
        <v>1.1929046563192904</v>
      </c>
      <c r="CS44" s="1290" t="s">
        <v>945</v>
      </c>
      <c r="CT44" s="1283"/>
      <c r="CU44" s="1282">
        <f>CU42/CR42-1</f>
        <v>-0.66531850353892819</v>
      </c>
      <c r="CV44" s="1282">
        <f>CV42/CU42-1</f>
        <v>0.41691842900302123</v>
      </c>
      <c r="CW44" s="1282">
        <f>CW42/CV42-1</f>
        <v>-0.15565031982942434</v>
      </c>
      <c r="CX44" s="1282">
        <f>CX42/CW42-1</f>
        <v>1.0328282828282829</v>
      </c>
      <c r="CY44" s="1290" t="s">
        <v>945</v>
      </c>
      <c r="CZ44" s="1283"/>
      <c r="DA44" s="1282">
        <f>DA42/CX42-1</f>
        <v>-0.60621118012422359</v>
      </c>
      <c r="DB44" s="1282">
        <f>DB42/DA42-1</f>
        <v>0.50788643533123023</v>
      </c>
      <c r="DC44" s="1282">
        <f>DC42/DB42-1</f>
        <v>-1.255230125523088E-3</v>
      </c>
      <c r="DD44" s="1282">
        <f>DD42/DC42-1</f>
        <v>0.79095098449937162</v>
      </c>
      <c r="DE44" s="1290" t="s">
        <v>945</v>
      </c>
      <c r="DF44" s="1283"/>
      <c r="DG44" s="1282">
        <f>DG42/DD42-1</f>
        <v>-0.59181286549707601</v>
      </c>
      <c r="DH44" s="1282">
        <f>DH42/DG42-1</f>
        <v>0.65902578796561606</v>
      </c>
      <c r="DI44" s="1282">
        <f>DI42/DH42-1</f>
        <v>0.10362694300518127</v>
      </c>
      <c r="DJ44" s="1282">
        <f>DJ42/DI42-1</f>
        <v>0.63067292644757433</v>
      </c>
      <c r="DK44" s="1290" t="s">
        <v>945</v>
      </c>
      <c r="DL44" s="1283"/>
      <c r="DM44" s="1282">
        <f>DM42/DJ42-1</f>
        <v>-0.58925143953934733</v>
      </c>
      <c r="DN44" s="1282">
        <f>DN42/DM42-1</f>
        <v>0.32943925233644866</v>
      </c>
      <c r="DO44" s="1282">
        <f>DO42/DN42-1</f>
        <v>0.15641476274165211</v>
      </c>
      <c r="DP44" s="1282">
        <f>DP42/DO42-1</f>
        <v>0.95440729483282682</v>
      </c>
      <c r="DQ44" s="1290" t="s">
        <v>945</v>
      </c>
      <c r="DR44" s="1283"/>
      <c r="DS44" s="1282">
        <f>DS42/DP42-1</f>
        <v>-0.52573872472783845</v>
      </c>
      <c r="DT44" s="1282">
        <f>DT42/DS42-1</f>
        <v>0.43189047384817214</v>
      </c>
      <c r="DU44" s="1282">
        <f>DU42/DT42-1</f>
        <v>-0.26005656639681229</v>
      </c>
      <c r="DV44" s="1282">
        <f>DV42/DU42-1</f>
        <v>0.74356236459300518</v>
      </c>
      <c r="DW44" s="1290" t="s">
        <v>945</v>
      </c>
      <c r="DX44" s="1283"/>
      <c r="DY44" s="1282">
        <f>DY42/DV42-1</f>
        <v>-0.51923865482075837</v>
      </c>
      <c r="DZ44" s="1282">
        <f>DZ42/DY42-1</f>
        <v>0.50218057522213888</v>
      </c>
      <c r="EA44" s="1282">
        <f>EA42/DZ42-1</f>
        <v>-0.24654594381250827</v>
      </c>
      <c r="EB44" s="1282">
        <f>EB42/EA42-1</f>
        <v>0.95351520371113452</v>
      </c>
      <c r="EC44" s="1290" t="s">
        <v>945</v>
      </c>
      <c r="ED44" s="1283"/>
      <c r="EE44" s="1282">
        <f>EE42/EB42-1</f>
        <v>-0.46904133996211805</v>
      </c>
      <c r="EF44" s="1282">
        <f>EF42/EE42-1</f>
        <v>0.3854667338761526</v>
      </c>
      <c r="EG44" s="1282">
        <f>EG42/EF42-1</f>
        <v>-0.31516624464111531</v>
      </c>
      <c r="EH44" s="1282">
        <f>EH42/EG42-1</f>
        <v>0.24500262483043467</v>
      </c>
      <c r="EI44" s="1290" t="s">
        <v>945</v>
      </c>
      <c r="EJ44" s="1283"/>
      <c r="EK44" s="1282">
        <f>EK42/EH42-1</f>
        <v>-0.24109865390120022</v>
      </c>
      <c r="EL44" s="1282">
        <f>EL42/EK42-1</f>
        <v>0.17751787692698895</v>
      </c>
      <c r="EM44" s="1282">
        <f>EM42/EL42-1</f>
        <v>-0.20004465909822278</v>
      </c>
      <c r="EN44" s="1282">
        <f>EN42/EM42-1</f>
        <v>0.31226462953407075</v>
      </c>
      <c r="EO44" s="1290" t="s">
        <v>945</v>
      </c>
      <c r="EP44" s="1283"/>
      <c r="EQ44" s="1282">
        <f>EQ42/EN42-1</f>
        <v>0.19342416561094145</v>
      </c>
      <c r="ER44" s="1282">
        <f>ER42/EQ42-1</f>
        <v>-0.11635622019756009</v>
      </c>
      <c r="ES44" s="1282">
        <f>ES42/ER42-1</f>
        <v>2.5178423428511287E-3</v>
      </c>
      <c r="ET44" s="1282">
        <f>ET42/ES42-1</f>
        <v>0.55504825373929223</v>
      </c>
      <c r="EU44" s="1290" t="s">
        <v>945</v>
      </c>
      <c r="EV44" s="1283"/>
      <c r="EW44" s="1282">
        <f>EW42/ET42-1</f>
        <v>0.12266422148976885</v>
      </c>
      <c r="EX44" s="1282">
        <f>EX42/EW42-1</f>
        <v>-0.16294942431866855</v>
      </c>
      <c r="EY44" s="1282">
        <f>EY42/EX42-1</f>
        <v>-0.19366689369616874</v>
      </c>
      <c r="EZ44" s="1282">
        <f>EZ42/EY42-1</f>
        <v>0.36526774450862387</v>
      </c>
      <c r="FA44" s="1290" t="s">
        <v>945</v>
      </c>
      <c r="FB44" s="1283"/>
      <c r="FC44" s="1282">
        <f>FC42/EZ42-1</f>
        <v>0.31510325431311537</v>
      </c>
      <c r="FD44" s="1282">
        <f>FD42/FC42-1</f>
        <v>-0.14563174653209399</v>
      </c>
      <c r="FE44" s="1282">
        <f>FE42/FD42-1</f>
        <v>-0.15157253610015631</v>
      </c>
      <c r="FF44" s="1282">
        <f>FF42/FE42-1</f>
        <v>0.18749217996222134</v>
      </c>
      <c r="FG44" s="1290" t="s">
        <v>945</v>
      </c>
      <c r="FH44" s="1283"/>
      <c r="FI44" s="1282">
        <f>FI42/FF42-1</f>
        <v>0.39880135226555358</v>
      </c>
      <c r="FJ44" s="1282">
        <f>FJ42/FI42-1</f>
        <v>-0.13638837245435564</v>
      </c>
      <c r="FK44" s="1282">
        <f>FK42/FJ42-1</f>
        <v>-0.1292086444660322</v>
      </c>
      <c r="FL44" s="1282">
        <f>FL42/FK42-1</f>
        <v>9.1757689374757367E-2</v>
      </c>
      <c r="FM44" s="1290" t="s">
        <v>945</v>
      </c>
      <c r="FN44" s="1123"/>
      <c r="FO44" s="235"/>
      <c r="FS44" s="235"/>
      <c r="FT44" s="33"/>
      <c r="FU44" s="33"/>
      <c r="FV44" s="33"/>
      <c r="FW44" s="33"/>
      <c r="FX44" s="33"/>
      <c r="FY44" s="33"/>
      <c r="FZ44" s="33"/>
      <c r="GA44" s="33"/>
      <c r="GB44" s="33"/>
      <c r="GC44" s="33"/>
      <c r="GD44" s="33"/>
      <c r="GE44" s="33"/>
      <c r="GF44" s="33"/>
      <c r="GI44"/>
      <c r="GJ44"/>
      <c r="GK44"/>
      <c r="GL44"/>
      <c r="GM44"/>
      <c r="GN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</row>
    <row r="45" spans="1:281" s="33" customFormat="1" ht="4.5" hidden="1" customHeight="1" outlineLevel="1" x14ac:dyDescent="0.2">
      <c r="A45" s="127"/>
      <c r="B45" s="1312"/>
      <c r="C45" s="272"/>
      <c r="D45" s="272"/>
      <c r="E45" s="272"/>
      <c r="F45" s="272"/>
      <c r="G45" s="272"/>
      <c r="H45" s="272"/>
      <c r="I45" s="272"/>
      <c r="J45" s="272"/>
      <c r="K45" s="272"/>
      <c r="L45" s="272"/>
      <c r="M45" s="37"/>
      <c r="N45" s="242"/>
      <c r="O45" s="272"/>
      <c r="P45" s="272"/>
      <c r="Q45" s="272"/>
      <c r="R45" s="272"/>
      <c r="S45" s="272"/>
      <c r="T45" s="242"/>
      <c r="U45" s="272"/>
      <c r="V45" s="272"/>
      <c r="W45" s="272"/>
      <c r="X45" s="272"/>
      <c r="Y45" s="272"/>
      <c r="Z45" s="242"/>
      <c r="AA45" s="64"/>
      <c r="AB45" s="64"/>
      <c r="AC45" s="64"/>
      <c r="AD45" s="64"/>
      <c r="AE45" s="64"/>
      <c r="AF45" s="242"/>
      <c r="AG45" s="64"/>
      <c r="AH45" s="64"/>
      <c r="AI45" s="64"/>
      <c r="AJ45" s="64"/>
      <c r="AK45" s="64"/>
      <c r="AL45" s="242"/>
      <c r="AM45" s="64"/>
      <c r="AN45" s="64"/>
      <c r="AO45" s="64"/>
      <c r="AP45" s="64"/>
      <c r="AQ45" s="64"/>
      <c r="AR45" s="242"/>
      <c r="AS45" s="64"/>
      <c r="AT45" s="64"/>
      <c r="AU45" s="64"/>
      <c r="AV45" s="64"/>
      <c r="AW45" s="64"/>
      <c r="AX45" s="242"/>
      <c r="AY45" s="64"/>
      <c r="AZ45" s="64"/>
      <c r="BA45" s="64"/>
      <c r="BB45" s="64"/>
      <c r="BC45" s="64"/>
      <c r="BD45" s="242"/>
      <c r="BE45" s="64"/>
      <c r="BF45" s="64"/>
      <c r="BG45" s="64"/>
      <c r="BH45" s="64"/>
      <c r="BI45" s="64"/>
      <c r="BJ45" s="242"/>
      <c r="BK45" s="64"/>
      <c r="BL45" s="64"/>
      <c r="BM45" s="64"/>
      <c r="BN45" s="64"/>
      <c r="BO45" s="64"/>
      <c r="BP45" s="242"/>
      <c r="BQ45" s="64"/>
      <c r="BR45" s="64"/>
      <c r="BS45" s="64"/>
      <c r="BT45" s="64"/>
      <c r="BU45" s="64"/>
      <c r="BV45" s="242"/>
      <c r="BW45" s="64"/>
      <c r="BX45" s="64"/>
      <c r="BY45" s="64"/>
      <c r="BZ45" s="64"/>
      <c r="CA45" s="64"/>
      <c r="CB45" s="242"/>
      <c r="CC45" s="64"/>
      <c r="CD45" s="64"/>
      <c r="CE45" s="64"/>
      <c r="CF45" s="64"/>
      <c r="CG45" s="360"/>
      <c r="CH45" s="242"/>
      <c r="CI45" s="64"/>
      <c r="CJ45" s="64"/>
      <c r="CK45" s="64"/>
      <c r="CL45" s="64"/>
      <c r="CM45" s="360"/>
      <c r="CN45" s="242"/>
      <c r="CO45" s="64"/>
      <c r="CP45" s="64"/>
      <c r="CQ45" s="64"/>
      <c r="CR45" s="64"/>
      <c r="CS45" s="360"/>
      <c r="CT45" s="242"/>
      <c r="CU45" s="64"/>
      <c r="CV45" s="64"/>
      <c r="CW45" s="64"/>
      <c r="CX45" s="64"/>
      <c r="CY45" s="360"/>
      <c r="CZ45" s="242"/>
      <c r="DA45" s="64"/>
      <c r="DB45" s="64"/>
      <c r="DC45" s="64"/>
      <c r="DD45" s="64"/>
      <c r="DE45" s="360"/>
      <c r="DF45" s="242"/>
      <c r="DG45" s="64"/>
      <c r="DH45" s="64"/>
      <c r="DI45" s="64"/>
      <c r="DJ45" s="64"/>
      <c r="DK45" s="360"/>
      <c r="DL45" s="242"/>
      <c r="DM45" s="64"/>
      <c r="DN45" s="64"/>
      <c r="DO45" s="64"/>
      <c r="DP45" s="64"/>
      <c r="DQ45" s="360"/>
      <c r="DR45" s="242"/>
      <c r="DS45" s="64"/>
      <c r="DT45" s="64"/>
      <c r="DU45" s="64"/>
      <c r="DV45" s="64"/>
      <c r="DW45" s="360"/>
      <c r="DX45" s="242"/>
      <c r="DY45" s="64"/>
      <c r="DZ45" s="64"/>
      <c r="EA45" s="64"/>
      <c r="EB45" s="64"/>
      <c r="EC45" s="360"/>
      <c r="ED45" s="242"/>
      <c r="EE45" s="64"/>
      <c r="EF45" s="64"/>
      <c r="EG45" s="64"/>
      <c r="EH45" s="64"/>
      <c r="EI45" s="360"/>
      <c r="EJ45" s="242"/>
      <c r="EK45" s="64"/>
      <c r="EL45" s="64"/>
      <c r="EM45" s="64"/>
      <c r="EN45" s="64"/>
      <c r="EO45" s="360"/>
      <c r="EP45" s="242"/>
      <c r="EQ45" s="64"/>
      <c r="ER45" s="64"/>
      <c r="ES45" s="64"/>
      <c r="ET45" s="64"/>
      <c r="EU45" s="360"/>
      <c r="EV45" s="242"/>
      <c r="EW45" s="64"/>
      <c r="EX45" s="64"/>
      <c r="EY45" s="64"/>
      <c r="EZ45" s="64"/>
      <c r="FA45" s="360"/>
      <c r="FB45" s="242"/>
      <c r="FC45" s="64"/>
      <c r="FD45" s="64"/>
      <c r="FE45" s="64"/>
      <c r="FF45" s="64"/>
      <c r="FG45" s="360"/>
      <c r="FH45" s="242"/>
      <c r="FI45" s="64"/>
      <c r="FJ45" s="64"/>
      <c r="FK45" s="64"/>
      <c r="FL45" s="64"/>
      <c r="FM45" s="360"/>
      <c r="FN45" s="226"/>
      <c r="FO45" s="227"/>
      <c r="FS45" s="227"/>
      <c r="GI45"/>
      <c r="GJ45"/>
      <c r="GK45"/>
      <c r="GL45"/>
      <c r="GM45"/>
      <c r="GN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</row>
    <row r="46" spans="1:281" s="33" customFormat="1" ht="10.5" customHeight="1" collapsed="1" x14ac:dyDescent="0.2">
      <c r="A46" s="127" t="s">
        <v>644</v>
      </c>
      <c r="B46" s="1216" t="s">
        <v>684</v>
      </c>
      <c r="C46" s="259" t="s">
        <v>945</v>
      </c>
      <c r="D46" s="259" t="s">
        <v>945</v>
      </c>
      <c r="E46" s="259" t="s">
        <v>945</v>
      </c>
      <c r="F46" s="259" t="s">
        <v>945</v>
      </c>
      <c r="G46" s="259" t="s">
        <v>945</v>
      </c>
      <c r="H46" s="259" t="s">
        <v>945</v>
      </c>
      <c r="I46" s="259" t="s">
        <v>945</v>
      </c>
      <c r="J46" s="259" t="s">
        <v>945</v>
      </c>
      <c r="K46" s="259" t="s">
        <v>945</v>
      </c>
      <c r="L46" s="259" t="s">
        <v>945</v>
      </c>
      <c r="M46" s="37" t="s">
        <v>945</v>
      </c>
      <c r="N46" s="34"/>
      <c r="O46" s="259" t="s">
        <v>945</v>
      </c>
      <c r="P46" s="259" t="s">
        <v>945</v>
      </c>
      <c r="Q46" s="259" t="s">
        <v>945</v>
      </c>
      <c r="R46" s="259" t="s">
        <v>945</v>
      </c>
      <c r="S46" s="259" t="s">
        <v>945</v>
      </c>
      <c r="T46" s="34"/>
      <c r="U46" s="259" t="s">
        <v>945</v>
      </c>
      <c r="V46" s="259" t="s">
        <v>945</v>
      </c>
      <c r="W46" s="259" t="s">
        <v>945</v>
      </c>
      <c r="X46" s="259" t="s">
        <v>945</v>
      </c>
      <c r="Y46" s="259" t="s">
        <v>945</v>
      </c>
      <c r="Z46" s="34"/>
      <c r="AA46" s="34">
        <v>287.28500000000003</v>
      </c>
      <c r="AB46" s="34">
        <v>317.42</v>
      </c>
      <c r="AC46" s="34">
        <v>332.738</v>
      </c>
      <c r="AD46" s="34">
        <v>382.50700000000001</v>
      </c>
      <c r="AE46" s="34">
        <f>SUM(AA46:AD46)</f>
        <v>1319.95</v>
      </c>
      <c r="AF46" s="34"/>
      <c r="AG46" s="34">
        <v>405.12900000000002</v>
      </c>
      <c r="AH46" s="34">
        <v>427.75599999999997</v>
      </c>
      <c r="AI46" s="34">
        <v>447.995</v>
      </c>
      <c r="AJ46" s="34">
        <v>513.23699999999997</v>
      </c>
      <c r="AK46" s="34">
        <f>SUM(AG46:AJ46)</f>
        <v>1794.1170000000002</v>
      </c>
      <c r="AL46" s="34"/>
      <c r="AM46" s="34">
        <v>524.85599999999999</v>
      </c>
      <c r="AN46" s="34">
        <v>566.44000000000005</v>
      </c>
      <c r="AO46" s="34">
        <v>583.596</v>
      </c>
      <c r="AP46" s="34">
        <v>670.63199999999995</v>
      </c>
      <c r="AQ46" s="34">
        <f>SUM(AM46:AP46)</f>
        <v>2345.5239999999999</v>
      </c>
      <c r="AR46" s="34"/>
      <c r="AS46" s="34">
        <v>667.41499999999996</v>
      </c>
      <c r="AT46" s="34">
        <v>720.34199999999998</v>
      </c>
      <c r="AU46" s="34">
        <v>754.41300000000001</v>
      </c>
      <c r="AV46" s="34">
        <v>836.70299999999997</v>
      </c>
      <c r="AW46" s="34">
        <f>SUM(AS46:AV46)</f>
        <v>2978.873</v>
      </c>
      <c r="AX46" s="34"/>
      <c r="AY46" s="34">
        <f>512.681+326.637</f>
        <v>839.31799999999998</v>
      </c>
      <c r="AZ46" s="34">
        <f>553.898+318.9</f>
        <v>872.798</v>
      </c>
      <c r="BA46" s="34">
        <f>561.283+345.236</f>
        <v>906.51900000000001</v>
      </c>
      <c r="BB46" s="34">
        <f>576.637+374.907</f>
        <v>951.54399999999987</v>
      </c>
      <c r="BC46" s="34">
        <f>SUM(AY46:BB46)</f>
        <v>3570.1790000000001</v>
      </c>
      <c r="BD46" s="43"/>
      <c r="BE46" s="34">
        <v>843.16499999999996</v>
      </c>
      <c r="BF46" s="34">
        <v>881.13499999999999</v>
      </c>
      <c r="BG46" s="34">
        <v>866.39700000000005</v>
      </c>
      <c r="BH46" s="34">
        <v>949.53899999999999</v>
      </c>
      <c r="BI46" s="34">
        <f>SUM(BE46:BH46)</f>
        <v>3540.2359999999999</v>
      </c>
      <c r="BJ46" s="34"/>
      <c r="BK46" s="34">
        <v>905</v>
      </c>
      <c r="BL46" s="34">
        <v>954</v>
      </c>
      <c r="BM46" s="34">
        <v>1005</v>
      </c>
      <c r="BN46" s="34">
        <v>1065.4000000000001</v>
      </c>
      <c r="BO46" s="34">
        <f>SUM(BK46:BN46)</f>
        <v>3929.4</v>
      </c>
      <c r="BP46" s="34"/>
      <c r="BQ46" s="33">
        <v>1034</v>
      </c>
      <c r="BR46" s="33">
        <v>1114</v>
      </c>
      <c r="BS46" s="33">
        <v>1176</v>
      </c>
      <c r="BT46" s="33">
        <v>1205</v>
      </c>
      <c r="BU46" s="33">
        <f>SUM(BQ46:BT46)</f>
        <v>4529</v>
      </c>
      <c r="BV46" s="34"/>
      <c r="BW46" s="33">
        <v>1176</v>
      </c>
      <c r="BX46" s="33">
        <v>1252</v>
      </c>
      <c r="BY46" s="33">
        <f>1389+143</f>
        <v>1532</v>
      </c>
      <c r="BZ46" s="33">
        <f>1514+177</f>
        <v>1691</v>
      </c>
      <c r="CA46" s="33">
        <f>SUM(BW46:BZ46)</f>
        <v>5651</v>
      </c>
      <c r="CB46" s="34"/>
      <c r="CC46" s="243">
        <v>1641</v>
      </c>
      <c r="CD46" s="243">
        <v>1661</v>
      </c>
      <c r="CE46" s="243">
        <v>1767</v>
      </c>
      <c r="CF46" s="243">
        <v>1959</v>
      </c>
      <c r="CG46" s="143">
        <f>SUM(CC46:CF46)</f>
        <v>7028</v>
      </c>
      <c r="CH46" s="244"/>
      <c r="CI46" s="243">
        <v>2011</v>
      </c>
      <c r="CJ46" s="243">
        <v>2060</v>
      </c>
      <c r="CK46" s="243">
        <v>2143</v>
      </c>
      <c r="CL46" s="243">
        <f>2272+55</f>
        <v>2327</v>
      </c>
      <c r="CM46" s="143">
        <f>SUM(CI46:CL46)</f>
        <v>8541</v>
      </c>
      <c r="CN46" s="244"/>
      <c r="CO46" s="243">
        <f>2383+64</f>
        <v>2447</v>
      </c>
      <c r="CP46" s="243">
        <v>2542</v>
      </c>
      <c r="CQ46" s="243">
        <f>2624+22</f>
        <v>2646</v>
      </c>
      <c r="CR46" s="243">
        <f>2830+42</f>
        <v>2872</v>
      </c>
      <c r="CS46" s="143">
        <f>SUM(CO46:CR46)</f>
        <v>10507</v>
      </c>
      <c r="CT46" s="244"/>
      <c r="CU46" s="243">
        <f>2935+92</f>
        <v>3027</v>
      </c>
      <c r="CV46" s="243">
        <v>2930</v>
      </c>
      <c r="CW46" s="243">
        <v>2968</v>
      </c>
      <c r="CX46" s="243">
        <v>3072</v>
      </c>
      <c r="CY46" s="143">
        <f>SUM(CU46:CX46)</f>
        <v>11997</v>
      </c>
      <c r="CZ46" s="244"/>
      <c r="DA46" s="243">
        <f>3117+9</f>
        <v>3126</v>
      </c>
      <c r="DB46" s="243">
        <v>3261</v>
      </c>
      <c r="DC46" s="243">
        <v>3323</v>
      </c>
      <c r="DD46" s="243">
        <v>3467</v>
      </c>
      <c r="DE46" s="143">
        <f>SUM(DA46:DD46)</f>
        <v>13177</v>
      </c>
      <c r="DF46" s="244"/>
      <c r="DG46" s="243">
        <v>3475</v>
      </c>
      <c r="DH46" s="243">
        <v>3712</v>
      </c>
      <c r="DI46" s="243">
        <v>3756</v>
      </c>
      <c r="DJ46" s="243">
        <v>3978</v>
      </c>
      <c r="DK46" s="143">
        <f>SUM(DG46:DJ46)</f>
        <v>14921</v>
      </c>
      <c r="DL46" s="244"/>
      <c r="DM46" s="243">
        <v>4035</v>
      </c>
      <c r="DN46" s="243">
        <f>3996</f>
        <v>3996</v>
      </c>
      <c r="DO46" s="243">
        <v>4068</v>
      </c>
      <c r="DP46" s="243">
        <v>4160</v>
      </c>
      <c r="DQ46" s="143">
        <f>SUM(DM46:DP46)</f>
        <v>16259</v>
      </c>
      <c r="DR46" s="244"/>
      <c r="DS46" s="243">
        <v>4145</v>
      </c>
      <c r="DT46" s="243">
        <f>4260+4</f>
        <v>4264</v>
      </c>
      <c r="DU46" s="243">
        <f>4340+4</f>
        <v>4344</v>
      </c>
      <c r="DV46" s="243">
        <f>4402+2</f>
        <v>4404</v>
      </c>
      <c r="DW46" s="143">
        <f>SUM(DS46:DV46)</f>
        <v>17157</v>
      </c>
      <c r="DX46" s="244"/>
      <c r="DY46" s="243">
        <f>4431+1</f>
        <v>4432</v>
      </c>
      <c r="DZ46" s="243">
        <f>4516+1</f>
        <v>4517</v>
      </c>
      <c r="EA46" s="243">
        <f>4564+1</f>
        <v>4565</v>
      </c>
      <c r="EB46" s="243">
        <v>4695</v>
      </c>
      <c r="EC46" s="143">
        <f>SUM(DY46:EB46)</f>
        <v>18209</v>
      </c>
      <c r="ED46" s="244"/>
      <c r="EE46" s="243">
        <v>4731</v>
      </c>
      <c r="EF46" s="243">
        <f>4768+5</f>
        <v>4773</v>
      </c>
      <c r="EG46" s="1528">
        <f>4661+3</f>
        <v>4664</v>
      </c>
      <c r="EH46" s="243">
        <f>4686+2</f>
        <v>4688</v>
      </c>
      <c r="EI46" s="143">
        <f>SUM(EE46:EH46)</f>
        <v>18856</v>
      </c>
      <c r="EJ46" s="244"/>
      <c r="EK46" s="243">
        <f>4696+1</f>
        <v>4697</v>
      </c>
      <c r="EL46" s="243">
        <v>4683</v>
      </c>
      <c r="EM46" s="243">
        <v>4669</v>
      </c>
      <c r="EN46" s="243">
        <f>4814+1</f>
        <v>4815</v>
      </c>
      <c r="EO46" s="143">
        <f>SUM(EK46:EN46)</f>
        <v>18864</v>
      </c>
      <c r="EP46" s="244"/>
      <c r="EQ46" s="243">
        <f>4792+1</f>
        <v>4793</v>
      </c>
      <c r="ER46" s="243">
        <v>4778</v>
      </c>
      <c r="ES46" s="243">
        <v>4762</v>
      </c>
      <c r="ET46" s="243">
        <v>4897</v>
      </c>
      <c r="EU46" s="143">
        <f>SUM(EQ46:ET46)</f>
        <v>19230</v>
      </c>
      <c r="EV46" s="244"/>
      <c r="EW46" s="243">
        <v>4951</v>
      </c>
      <c r="EX46" s="243">
        <v>4953</v>
      </c>
      <c r="EY46" s="243">
        <v>5027</v>
      </c>
      <c r="EZ46" s="243">
        <f>(EY46)*EZ50+(EY17)*EZ49/4</f>
        <v>5100.8785660977192</v>
      </c>
      <c r="FA46" s="143">
        <f>SUM(EW46:EZ46)</f>
        <v>20031.878566097719</v>
      </c>
      <c r="FB46" s="244"/>
      <c r="FC46" s="243">
        <f>(EZ46)*FC50+(EZ17)*FC49/4</f>
        <v>5130.0453609200986</v>
      </c>
      <c r="FD46" s="243">
        <f>(FC46)*FD50+(FC17)*FD49/4</f>
        <v>5129.8879920631807</v>
      </c>
      <c r="FE46" s="243">
        <f>(FD46)*FE50+(FD17)*FE49/4</f>
        <v>5187.2310515600275</v>
      </c>
      <c r="FF46" s="243">
        <f>(FE46)*FF50+(FE17)*FF49/4</f>
        <v>5243.4262902487244</v>
      </c>
      <c r="FG46" s="143">
        <f>SUM(FC46:FF46)</f>
        <v>20690.59069479203</v>
      </c>
      <c r="FH46" s="244"/>
      <c r="FI46" s="243">
        <f>(FF46)*FI50+(FF17)*FI49/4</f>
        <v>5260.1915950466428</v>
      </c>
      <c r="FJ46" s="243">
        <f>(FI46)*FJ50+(FI17)*FJ49/4</f>
        <v>5254.9917846627486</v>
      </c>
      <c r="FK46" s="243">
        <f>(FJ46)*FK50+(FJ17)*FK49/4</f>
        <v>5307.0951941557878</v>
      </c>
      <c r="FL46" s="243">
        <f>(FK46)*FL50+(FK17)*FL49/4</f>
        <v>5357.9341997339388</v>
      </c>
      <c r="FM46" s="143">
        <f>SUM(FI46:FL46)</f>
        <v>21180.21277359912</v>
      </c>
      <c r="FN46" s="226"/>
      <c r="FO46" s="245">
        <f>CE46+CF46+CI46+CJ46</f>
        <v>7797</v>
      </c>
      <c r="FP46" s="243">
        <f>CK46+CL46+CO46+CP46</f>
        <v>9459</v>
      </c>
      <c r="FQ46" s="243">
        <f>CV46+CU46+CR46+CQ46</f>
        <v>11475</v>
      </c>
      <c r="FR46" s="243">
        <f>CW46+CX46+DA46+DB46</f>
        <v>12427</v>
      </c>
      <c r="FS46" s="245">
        <f>DC46+DD46+DG46+DH46</f>
        <v>13977</v>
      </c>
      <c r="FT46" s="243">
        <f>DI46+DJ46+DM46+DN46</f>
        <v>15765</v>
      </c>
      <c r="FU46" s="243">
        <f>DO46+DP46+DS46+DT46</f>
        <v>16637</v>
      </c>
      <c r="FV46" s="243">
        <f>DY46+DV46+DZ46+DU46</f>
        <v>17697</v>
      </c>
      <c r="FW46" s="243">
        <f>EA46+EB46+EE46+EF46</f>
        <v>18764</v>
      </c>
      <c r="FX46" s="243">
        <f>EG46+EH46+EK46+EL46</f>
        <v>18732</v>
      </c>
      <c r="FY46" s="243">
        <f>EM46+EN46+EQ46+ER46</f>
        <v>19055</v>
      </c>
      <c r="FZ46" s="243">
        <f>ES46+ET46+EW46+EX46</f>
        <v>19563</v>
      </c>
      <c r="GA46" s="243">
        <f>EY46+EZ46+FC46+FD46</f>
        <v>20387.811919080999</v>
      </c>
      <c r="GB46" s="243">
        <f>FE46+FF46+FI46+FJ46</f>
        <v>20945.840721518143</v>
      </c>
      <c r="GC46" s="243"/>
      <c r="GD46" s="243"/>
      <c r="GE46" s="243"/>
      <c r="GF46" s="243"/>
      <c r="GI46"/>
      <c r="GJ46"/>
      <c r="GK46"/>
      <c r="GL46"/>
      <c r="GM46"/>
      <c r="GN46"/>
      <c r="GP46" s="24"/>
      <c r="GQ46" s="24"/>
      <c r="GR46" s="24"/>
      <c r="GS46" s="24"/>
      <c r="GT46" s="24"/>
      <c r="GU46" s="24"/>
      <c r="GV46" s="24"/>
      <c r="GW46" s="24"/>
      <c r="GX46" s="24"/>
      <c r="GY46" s="24"/>
      <c r="GZ46" s="24"/>
      <c r="HA46" s="24"/>
      <c r="HB46" s="24"/>
      <c r="HC46" s="24"/>
      <c r="HD46" s="24"/>
      <c r="HE46" s="24"/>
      <c r="HF46" s="24"/>
      <c r="HG46" s="24"/>
      <c r="HH46" s="24"/>
      <c r="HI46" s="24"/>
      <c r="HJ46" s="24"/>
      <c r="HK46" s="24"/>
      <c r="HL46" s="24"/>
      <c r="HM46" s="24"/>
      <c r="HN46" s="24"/>
      <c r="HO46" s="24"/>
      <c r="HP46" s="24"/>
      <c r="HQ46" s="24"/>
      <c r="HR46" s="24"/>
      <c r="HS46" s="24"/>
      <c r="HT46" s="24"/>
      <c r="HU46" s="24"/>
      <c r="HV46" s="24"/>
      <c r="HW46" s="24"/>
      <c r="HX46" s="24"/>
      <c r="HY46" s="24"/>
      <c r="HZ46" s="24"/>
      <c r="IA46" s="24"/>
      <c r="IB46" s="24"/>
      <c r="IC46" s="24"/>
      <c r="ID46" s="24"/>
      <c r="IE46" s="24"/>
      <c r="IF46" s="24"/>
      <c r="IG46" s="24"/>
      <c r="IH46" s="24"/>
      <c r="II46" s="24"/>
      <c r="IJ46" s="24"/>
      <c r="IK46" s="24"/>
      <c r="IL46" s="24"/>
      <c r="IM46" s="24"/>
      <c r="IN46" s="24"/>
      <c r="IO46" s="24"/>
      <c r="IP46" s="24"/>
      <c r="IQ46" s="24"/>
      <c r="IR46" s="24"/>
      <c r="IS46" s="24"/>
      <c r="IT46" s="24"/>
      <c r="IU46" s="24"/>
      <c r="IV46" s="24"/>
      <c r="IW46" s="24"/>
      <c r="IX46" s="24"/>
      <c r="IY46" s="24"/>
      <c r="IZ46" s="24"/>
      <c r="JA46" s="24"/>
      <c r="JB46" s="24"/>
      <c r="JC46" s="24"/>
      <c r="JD46" s="24"/>
      <c r="JE46" s="24"/>
      <c r="JF46" s="24"/>
      <c r="JG46" s="24"/>
      <c r="JH46" s="24"/>
      <c r="JI46" s="24"/>
      <c r="JJ46" s="24"/>
      <c r="JK46" s="24"/>
      <c r="JL46" s="24"/>
      <c r="JM46" s="24"/>
      <c r="JN46" s="24"/>
      <c r="JO46" s="24"/>
      <c r="JP46" s="24"/>
      <c r="JQ46" s="24"/>
      <c r="JR46" s="24"/>
      <c r="JS46" s="24"/>
      <c r="JT46" s="24"/>
      <c r="JU46" s="24"/>
    </row>
    <row r="47" spans="1:281" s="37" customFormat="1" ht="10.5" customHeight="1" x14ac:dyDescent="0.2">
      <c r="A47" s="1860" t="s">
        <v>669</v>
      </c>
      <c r="B47" s="1310"/>
      <c r="C47" s="1289"/>
      <c r="D47" s="1289"/>
      <c r="E47" s="1289"/>
      <c r="F47" s="1289"/>
      <c r="G47" s="1289"/>
      <c r="H47" s="1289"/>
      <c r="I47" s="1289"/>
      <c r="J47" s="1289"/>
      <c r="K47" s="1289"/>
      <c r="L47" s="1289"/>
      <c r="M47" s="1266"/>
      <c r="N47" s="1283"/>
      <c r="O47" s="1289"/>
      <c r="P47" s="1289"/>
      <c r="Q47" s="1289"/>
      <c r="R47" s="1289"/>
      <c r="S47" s="1289"/>
      <c r="T47" s="1283"/>
      <c r="U47" s="1289"/>
      <c r="V47" s="1289"/>
      <c r="W47" s="1289"/>
      <c r="X47" s="1289"/>
      <c r="Y47" s="1289"/>
      <c r="Z47" s="1283"/>
      <c r="AA47" s="1307"/>
      <c r="AB47" s="1307"/>
      <c r="AC47" s="1307"/>
      <c r="AD47" s="1307"/>
      <c r="AE47" s="1307"/>
      <c r="AF47" s="1283"/>
      <c r="AG47" s="1307">
        <f>AG46/AA46-1</f>
        <v>0.41019893137476715</v>
      </c>
      <c r="AH47" s="1307">
        <f>AH46/AB46-1</f>
        <v>0.3476025455232814</v>
      </c>
      <c r="AI47" s="1307">
        <f>AI46/AC46-1</f>
        <v>0.34638965191832605</v>
      </c>
      <c r="AJ47" s="1307">
        <f>AJ46/AD46-1</f>
        <v>0.34177152313552428</v>
      </c>
      <c r="AK47" s="1307">
        <f>AK46/AE46-1</f>
        <v>0.35923103147846525</v>
      </c>
      <c r="AL47" s="1283"/>
      <c r="AM47" s="1307">
        <f>AM46/AG46-1</f>
        <v>0.29552809105247957</v>
      </c>
      <c r="AN47" s="1307">
        <f>AN46/AH46-1</f>
        <v>0.32421286901878665</v>
      </c>
      <c r="AO47" s="1307">
        <f>AO46/AI46-1</f>
        <v>0.30268418174309986</v>
      </c>
      <c r="AP47" s="1307">
        <f>AP46/AJ46-1</f>
        <v>0.30667118699548168</v>
      </c>
      <c r="AQ47" s="1307">
        <f>AQ46/AK46-1</f>
        <v>0.30734171740193061</v>
      </c>
      <c r="AR47" s="1283"/>
      <c r="AS47" s="1307">
        <f>AS46/AM46-1</f>
        <v>0.27161545261938502</v>
      </c>
      <c r="AT47" s="1307">
        <f>AT46/AN46-1</f>
        <v>0.27170044488383582</v>
      </c>
      <c r="AU47" s="1307">
        <f>AU46/AO46-1</f>
        <v>0.29269734542388903</v>
      </c>
      <c r="AV47" s="1307">
        <f>AV46/AP46-1</f>
        <v>0.24763357549296794</v>
      </c>
      <c r="AW47" s="1307">
        <f>AW46/AQ46-1</f>
        <v>0.27002452330481375</v>
      </c>
      <c r="AX47" s="1283"/>
      <c r="AY47" s="1307">
        <f>AY46/AS46-1</f>
        <v>0.25756538285774222</v>
      </c>
      <c r="AZ47" s="1307">
        <f>AZ46/AT46-1</f>
        <v>0.21164391358549128</v>
      </c>
      <c r="BA47" s="1307">
        <f>BA46/AU46-1</f>
        <v>0.20162165816336675</v>
      </c>
      <c r="BB47" s="1307">
        <f>BB46/AV46-1</f>
        <v>0.13725419892124191</v>
      </c>
      <c r="BC47" s="1307">
        <f>BC46/AW46-1</f>
        <v>0.19849990247989768</v>
      </c>
      <c r="BD47" s="1283"/>
      <c r="BE47" s="1307">
        <f>BE46/AY46-1</f>
        <v>4.5834832566440387E-3</v>
      </c>
      <c r="BF47" s="1307">
        <f>BF46/AZ46-1</f>
        <v>9.5520383868890057E-3</v>
      </c>
      <c r="BG47" s="1307">
        <f>BG46/BA46-1</f>
        <v>-4.4259414309021583E-2</v>
      </c>
      <c r="BH47" s="1307">
        <f>BH46/BB46-1</f>
        <v>-2.107101720992266E-3</v>
      </c>
      <c r="BI47" s="1307">
        <f>BI46/BC46-1</f>
        <v>-8.3869744346152242E-3</v>
      </c>
      <c r="BJ47" s="1283"/>
      <c r="BK47" s="1307">
        <f>BK46/BE46-1</f>
        <v>7.3336772755036028E-2</v>
      </c>
      <c r="BL47" s="1307">
        <f>BL46/BF46-1</f>
        <v>8.2694479279565636E-2</v>
      </c>
      <c r="BM47" s="1307">
        <f>BM46/BG46-1</f>
        <v>0.15997631570746429</v>
      </c>
      <c r="BN47" s="1307">
        <f>BN46/BH46-1</f>
        <v>0.1220181582852311</v>
      </c>
      <c r="BO47" s="1307">
        <f>BO46/BI46-1</f>
        <v>0.10992600493300464</v>
      </c>
      <c r="BP47" s="1283"/>
      <c r="BQ47" s="1307">
        <f>BQ46/BK46-1</f>
        <v>0.14254143646408846</v>
      </c>
      <c r="BR47" s="1307">
        <f>BR46/BL46-1</f>
        <v>0.16771488469601681</v>
      </c>
      <c r="BS47" s="1307">
        <f>BS46/BM46-1</f>
        <v>0.17014925373134338</v>
      </c>
      <c r="BT47" s="1307">
        <f>BT46/BN46-1</f>
        <v>0.13103059883611778</v>
      </c>
      <c r="BU47" s="1307">
        <f>BU46/BO46-1</f>
        <v>0.15259327123733901</v>
      </c>
      <c r="BV47" s="1283"/>
      <c r="BW47" s="1307">
        <f>BW46/BQ46-1</f>
        <v>0.13733075435203101</v>
      </c>
      <c r="BX47" s="1307">
        <f>BX46/BR46-1</f>
        <v>0.12387791741472176</v>
      </c>
      <c r="BY47" s="1307">
        <f>BY46/BS46-1</f>
        <v>0.30272108843537415</v>
      </c>
      <c r="BZ47" s="1307">
        <f>BZ46/BT46-1</f>
        <v>0.4033195020746887</v>
      </c>
      <c r="CA47" s="1307">
        <f>CA46/BU46-1</f>
        <v>0.24773680724221681</v>
      </c>
      <c r="CB47" s="1283"/>
      <c r="CC47" s="1307">
        <f>CC46/BW46-1</f>
        <v>0.39540816326530615</v>
      </c>
      <c r="CD47" s="1307">
        <f>CD46/BX46-1</f>
        <v>0.32667731629392982</v>
      </c>
      <c r="CE47" s="1307">
        <f>CE46/BY46-1</f>
        <v>0.1533942558746737</v>
      </c>
      <c r="CF47" s="1307">
        <f>CF46/BZ46-1</f>
        <v>0.1584861028976936</v>
      </c>
      <c r="CG47" s="1308">
        <f>CG46/CA46-1</f>
        <v>0.24367368607326134</v>
      </c>
      <c r="CH47" s="1283"/>
      <c r="CI47" s="1307">
        <f>CI46/CC46-1</f>
        <v>0.22547227300426576</v>
      </c>
      <c r="CJ47" s="1307">
        <f>CJ46/CD46-1</f>
        <v>0.24021673690547862</v>
      </c>
      <c r="CK47" s="1307">
        <f>CK46/CE46-1</f>
        <v>0.21279003961516696</v>
      </c>
      <c r="CL47" s="1307">
        <f>CL46/CF46-1</f>
        <v>0.187850944359367</v>
      </c>
      <c r="CM47" s="1311">
        <f>CM46/CG46-1</f>
        <v>0.21528173022196917</v>
      </c>
      <c r="CN47" s="1283"/>
      <c r="CO47" s="1307">
        <f>CO46/CI46-1</f>
        <v>0.21680755842864241</v>
      </c>
      <c r="CP47" s="1307">
        <f>CP46/CJ46-1</f>
        <v>0.23398058252427179</v>
      </c>
      <c r="CQ47" s="1307">
        <f>CQ46/CK46-1</f>
        <v>0.23471768548763405</v>
      </c>
      <c r="CR47" s="1307">
        <f>CR46/CL46-1</f>
        <v>0.23420713364847434</v>
      </c>
      <c r="CS47" s="1311">
        <f>CS46/CM46-1</f>
        <v>0.23018381922491504</v>
      </c>
      <c r="CT47" s="1283"/>
      <c r="CU47" s="1307">
        <f>CU46/CO46-1</f>
        <v>0.2370249284838577</v>
      </c>
      <c r="CV47" s="1307">
        <f>CV46/CP46-1</f>
        <v>0.15263571990558611</v>
      </c>
      <c r="CW47" s="1307">
        <f>CW46/CQ46-1</f>
        <v>0.12169312169312163</v>
      </c>
      <c r="CX47" s="1307">
        <f>CX46/CR46-1</f>
        <v>6.9637883008356605E-2</v>
      </c>
      <c r="CY47" s="1311">
        <f>CY46/CS46-1</f>
        <v>0.14181022175692393</v>
      </c>
      <c r="CZ47" s="1283"/>
      <c r="DA47" s="1307">
        <f>DA46/CU46-1</f>
        <v>3.2705649157581673E-2</v>
      </c>
      <c r="DB47" s="1307">
        <f>DB46/CV46-1</f>
        <v>0.11296928327645062</v>
      </c>
      <c r="DC47" s="1307">
        <f>DC46/CW46-1</f>
        <v>0.11960916442048508</v>
      </c>
      <c r="DD47" s="1307">
        <f>DD46/CX46-1</f>
        <v>0.12858072916666674</v>
      </c>
      <c r="DE47" s="1308">
        <f>DE46/CY46-1</f>
        <v>9.8357922814036769E-2</v>
      </c>
      <c r="DF47" s="1283"/>
      <c r="DG47" s="1307">
        <f>DG46/DA46-1</f>
        <v>0.11164427383237374</v>
      </c>
      <c r="DH47" s="1307">
        <f>DH46/DB46-1</f>
        <v>0.13830113462128191</v>
      </c>
      <c r="DI47" s="1307">
        <f>DI46/DC46-1</f>
        <v>0.13030394222088471</v>
      </c>
      <c r="DJ47" s="1307">
        <f>DJ46/DD46-1</f>
        <v>0.14738967406980108</v>
      </c>
      <c r="DK47" s="1308">
        <f>DK46/DE46-1</f>
        <v>0.13235182514988231</v>
      </c>
      <c r="DL47" s="1283"/>
      <c r="DM47" s="1307">
        <f>DM46/DG46-1</f>
        <v>0.16115107913669058</v>
      </c>
      <c r="DN47" s="1307">
        <f>DN46/DH46-1</f>
        <v>7.6508620689655249E-2</v>
      </c>
      <c r="DO47" s="1307">
        <f>DO46/DI46-1</f>
        <v>8.3067092651757157E-2</v>
      </c>
      <c r="DP47" s="1307">
        <f>DP46/DJ46-1</f>
        <v>4.5751633986928164E-2</v>
      </c>
      <c r="DQ47" s="1308">
        <f>DQ46/DK46-1</f>
        <v>8.9672273976274974E-2</v>
      </c>
      <c r="DR47" s="1283"/>
      <c r="DS47" s="1307">
        <f>DS46/DM46-1</f>
        <v>2.7261462205700138E-2</v>
      </c>
      <c r="DT47" s="1307">
        <f>DT46/DN46-1</f>
        <v>6.7067067067066999E-2</v>
      </c>
      <c r="DU47" s="1307">
        <f>DU46/DO46-1</f>
        <v>6.7846607669616477E-2</v>
      </c>
      <c r="DV47" s="1307">
        <f>DV46/DP46-1</f>
        <v>5.8653846153846168E-2</v>
      </c>
      <c r="DW47" s="1308">
        <f>DW46/DQ46-1</f>
        <v>5.5230949012854413E-2</v>
      </c>
      <c r="DX47" s="1283"/>
      <c r="DY47" s="1307">
        <f>DY46/DS46-1</f>
        <v>6.9240048250904795E-2</v>
      </c>
      <c r="DZ47" s="1307">
        <f>DZ46/DT46-1</f>
        <v>5.9333958724202551E-2</v>
      </c>
      <c r="EA47" s="1307">
        <f>EA46/DU46-1</f>
        <v>5.0874769797421671E-2</v>
      </c>
      <c r="EB47" s="1307">
        <f>EB46/DV46-1</f>
        <v>6.607629427792916E-2</v>
      </c>
      <c r="EC47" s="1308">
        <f>EC46/DW46-1</f>
        <v>6.1316080899924241E-2</v>
      </c>
      <c r="ED47" s="1283"/>
      <c r="EE47" s="1307">
        <f>EE46/DY46-1</f>
        <v>6.746389891696758E-2</v>
      </c>
      <c r="EF47" s="1307">
        <f>EF46/DZ46-1</f>
        <v>5.6674784148771362E-2</v>
      </c>
      <c r="EG47" s="1307">
        <f>EG46/EA46-1</f>
        <v>2.168674698795181E-2</v>
      </c>
      <c r="EH47" s="1307">
        <f>EH46/EB46-1</f>
        <v>-1.49094781682646E-3</v>
      </c>
      <c r="EI47" s="1308">
        <f>EI46/EC46-1</f>
        <v>3.5531879839639791E-2</v>
      </c>
      <c r="EJ47" s="1283"/>
      <c r="EK47" s="1271">
        <f>EK46/EE46-1</f>
        <v>-7.1866413020502673E-3</v>
      </c>
      <c r="EL47" s="1271">
        <f>EL46/EF46-1</f>
        <v>-1.8856065367693242E-2</v>
      </c>
      <c r="EM47" s="1792">
        <f>EM46/EG46-1</f>
        <v>1.0720411663807106E-3</v>
      </c>
      <c r="EN47" s="1792">
        <f>EN46/EH46-1</f>
        <v>2.7090443686006882E-2</v>
      </c>
      <c r="EO47" s="1311">
        <f>EO46/EI46-1</f>
        <v>4.2426813746287984E-4</v>
      </c>
      <c r="EP47" s="1285"/>
      <c r="EQ47" s="1271">
        <f>EQ46/EK46-1</f>
        <v>2.0438577815627079E-2</v>
      </c>
      <c r="ER47" s="1271">
        <f>ER46/EL46-1</f>
        <v>2.0286141362374499E-2</v>
      </c>
      <c r="ES47" s="1792">
        <f>ES46/EM46-1</f>
        <v>1.9918612122510115E-2</v>
      </c>
      <c r="ET47" s="1792">
        <f>ET46/EN46-1</f>
        <v>1.7030114226376014E-2</v>
      </c>
      <c r="EU47" s="1311">
        <f>EU46/EO46-1</f>
        <v>1.9402035623409697E-2</v>
      </c>
      <c r="EV47" s="1285"/>
      <c r="EW47" s="1271">
        <f>EW46/EQ46-1</f>
        <v>3.2964740246192337E-2</v>
      </c>
      <c r="EX47" s="1271">
        <f>EX46/ER46-1</f>
        <v>3.662620343239853E-2</v>
      </c>
      <c r="EY47" s="1792">
        <f>EY46/ES46-1</f>
        <v>5.5648887022259563E-2</v>
      </c>
      <c r="EZ47" s="1792">
        <f>EZ46/ET46-1</f>
        <v>4.1633360444704781E-2</v>
      </c>
      <c r="FA47" s="1311">
        <f>FA46/EU46-1</f>
        <v>4.1699353411217777E-2</v>
      </c>
      <c r="FB47" s="1285"/>
      <c r="FC47" s="1792">
        <f>FC46/EW46-1</f>
        <v>3.6163474231488246E-2</v>
      </c>
      <c r="FD47" s="1792">
        <f>FD46/EX46-1</f>
        <v>3.5713303465209068E-2</v>
      </c>
      <c r="FE47" s="1792">
        <f>FE46/EY46-1</f>
        <v>3.1874090224791596E-2</v>
      </c>
      <c r="FF47" s="1792">
        <f>FF46/EZ46-1</f>
        <v>2.794571999781148E-2</v>
      </c>
      <c r="FG47" s="1311">
        <f>FG46/FA46-1</f>
        <v>3.2883192982665399E-2</v>
      </c>
      <c r="FH47" s="1285"/>
      <c r="FI47" s="1792">
        <f>FI46/FC46-1</f>
        <v>2.5369411958416244E-2</v>
      </c>
      <c r="FJ47" s="1792">
        <f>FJ46/FD46-1</f>
        <v>2.4387236679070723E-2</v>
      </c>
      <c r="FK47" s="1792">
        <f>FK46/FE46-1</f>
        <v>2.3107538762845659E-2</v>
      </c>
      <c r="FL47" s="1792">
        <f>FL46/FF46-1</f>
        <v>2.1838374975951647E-2</v>
      </c>
      <c r="FM47" s="1311">
        <f>FM46/FG46-1</f>
        <v>2.3663997129397041E-2</v>
      </c>
      <c r="FN47" s="1123"/>
      <c r="FO47" s="235"/>
      <c r="FS47" s="235"/>
      <c r="GI47"/>
      <c r="GJ47"/>
      <c r="GK47"/>
      <c r="GL47"/>
      <c r="GM47"/>
      <c r="GN47"/>
      <c r="GP47" s="614"/>
      <c r="GQ47" s="614"/>
      <c r="GR47" s="614"/>
      <c r="GS47" s="614"/>
      <c r="GT47" s="614"/>
      <c r="GU47" s="614"/>
      <c r="GV47" s="614"/>
      <c r="GW47" s="614"/>
      <c r="GX47" s="614"/>
      <c r="GY47" s="614"/>
      <c r="GZ47" s="614"/>
      <c r="HA47" s="614"/>
      <c r="HB47" s="614"/>
      <c r="HC47" s="614"/>
      <c r="HD47" s="614"/>
      <c r="HE47" s="614"/>
      <c r="HF47" s="614"/>
      <c r="HG47" s="614"/>
      <c r="HH47" s="614"/>
      <c r="HI47" s="614"/>
      <c r="HJ47" s="614"/>
      <c r="HK47" s="614"/>
      <c r="HL47" s="614"/>
      <c r="HM47" s="614"/>
      <c r="HN47" s="614"/>
      <c r="HO47" s="614"/>
      <c r="HP47" s="614"/>
      <c r="HQ47" s="614"/>
      <c r="HR47" s="614"/>
      <c r="HS47" s="614"/>
      <c r="HT47" s="614"/>
      <c r="HU47" s="614"/>
      <c r="HV47" s="614"/>
      <c r="HW47" s="614"/>
      <c r="HX47" s="614"/>
      <c r="HY47" s="614"/>
      <c r="HZ47" s="614"/>
      <c r="IA47" s="614"/>
      <c r="IB47" s="614"/>
      <c r="IC47" s="614"/>
      <c r="ID47" s="614"/>
      <c r="IE47" s="614"/>
      <c r="IF47" s="614"/>
      <c r="IG47" s="614"/>
      <c r="IH47" s="614"/>
      <c r="II47" s="614"/>
      <c r="IJ47" s="614"/>
      <c r="IK47" s="614"/>
      <c r="IL47" s="614"/>
      <c r="IM47" s="614"/>
      <c r="IN47" s="614"/>
      <c r="IO47" s="614"/>
      <c r="IP47" s="614"/>
      <c r="IQ47" s="614"/>
      <c r="IR47" s="614"/>
      <c r="IS47" s="614"/>
      <c r="IT47" s="614"/>
      <c r="IU47" s="614"/>
      <c r="IV47" s="614"/>
      <c r="IW47" s="614"/>
      <c r="IX47" s="614"/>
      <c r="IY47" s="614"/>
      <c r="IZ47" s="614"/>
      <c r="JA47" s="614"/>
      <c r="JB47" s="614"/>
      <c r="JC47" s="614"/>
      <c r="JD47" s="614"/>
      <c r="JE47" s="614"/>
      <c r="JF47" s="614"/>
      <c r="JG47" s="614"/>
      <c r="JH47" s="614"/>
      <c r="JI47" s="614"/>
      <c r="JJ47" s="614"/>
      <c r="JK47" s="614"/>
      <c r="JL47" s="614"/>
      <c r="JM47" s="614"/>
      <c r="JN47" s="614"/>
      <c r="JO47" s="614"/>
      <c r="JP47" s="614"/>
      <c r="JQ47" s="614"/>
      <c r="JR47" s="614"/>
      <c r="JS47" s="614"/>
      <c r="JT47" s="614"/>
      <c r="JU47" s="614"/>
    </row>
    <row r="48" spans="1:281" s="37" customFormat="1" ht="10.5" customHeight="1" x14ac:dyDescent="0.2">
      <c r="A48" s="1860" t="s">
        <v>1101</v>
      </c>
      <c r="B48" s="1310"/>
      <c r="C48" s="1289"/>
      <c r="D48" s="1289"/>
      <c r="E48" s="1289"/>
      <c r="F48" s="1289"/>
      <c r="G48" s="1289"/>
      <c r="H48" s="1289"/>
      <c r="I48" s="1289"/>
      <c r="J48" s="1289"/>
      <c r="K48" s="1289"/>
      <c r="L48" s="1289"/>
      <c r="M48" s="1266"/>
      <c r="N48" s="1283"/>
      <c r="O48" s="1289"/>
      <c r="P48" s="1289"/>
      <c r="Q48" s="1289"/>
      <c r="R48" s="1289"/>
      <c r="S48" s="1289"/>
      <c r="T48" s="1283"/>
      <c r="U48" s="1289"/>
      <c r="V48" s="1289"/>
      <c r="W48" s="1289"/>
      <c r="X48" s="1289"/>
      <c r="Y48" s="1289"/>
      <c r="Z48" s="1283"/>
      <c r="AA48" s="1307"/>
      <c r="AB48" s="1307"/>
      <c r="AC48" s="1307"/>
      <c r="AD48" s="1307"/>
      <c r="AE48" s="1307"/>
      <c r="AF48" s="1283"/>
      <c r="AG48" s="1307">
        <f>AG46/AD46-1</f>
        <v>5.9141401333831833E-2</v>
      </c>
      <c r="AH48" s="1307">
        <f>AH46/AG46-1</f>
        <v>5.585134611444742E-2</v>
      </c>
      <c r="AI48" s="1307">
        <f>AI46/AH46-1</f>
        <v>4.7314356782838907E-2</v>
      </c>
      <c r="AJ48" s="1307">
        <f>AJ46/AI46-1</f>
        <v>0.14563108963269666</v>
      </c>
      <c r="AK48" s="1307"/>
      <c r="AL48" s="1283"/>
      <c r="AM48" s="1307">
        <f>AM46/AJ46-1</f>
        <v>2.2638664009025034E-2</v>
      </c>
      <c r="AN48" s="1307">
        <f>AN46/AM46-1</f>
        <v>7.9229350526620834E-2</v>
      </c>
      <c r="AO48" s="1307">
        <f>AO46/AN46-1</f>
        <v>3.0287409081279471E-2</v>
      </c>
      <c r="AP48" s="1307">
        <f>AP46/AO46-1</f>
        <v>0.14913741698023975</v>
      </c>
      <c r="AQ48" s="1307"/>
      <c r="AR48" s="1283"/>
      <c r="AS48" s="1307">
        <f>AS46/AP46-1</f>
        <v>-4.7969676364980618E-3</v>
      </c>
      <c r="AT48" s="1307">
        <f>AT46/AS46-1</f>
        <v>7.9301484084115526E-2</v>
      </c>
      <c r="AU48" s="1307">
        <f>AU46/AT46-1</f>
        <v>4.7298366609193954E-2</v>
      </c>
      <c r="AV48" s="1307">
        <f>AV46/AU46-1</f>
        <v>0.10907818396554658</v>
      </c>
      <c r="AW48" s="1307"/>
      <c r="AX48" s="1283"/>
      <c r="AY48" s="1307">
        <f>AY46/AV46-1</f>
        <v>3.1253622850642149E-3</v>
      </c>
      <c r="AZ48" s="1307">
        <f>AZ46/AY46-1</f>
        <v>3.9889529355977116E-2</v>
      </c>
      <c r="BA48" s="1307">
        <f>BA46/AZ46-1</f>
        <v>3.8635514746825805E-2</v>
      </c>
      <c r="BB48" s="1307">
        <f>BB46/BA46-1</f>
        <v>4.9668015783452812E-2</v>
      </c>
      <c r="BC48" s="1307"/>
      <c r="BD48" s="1283"/>
      <c r="BE48" s="1307">
        <f>BE46/BB46-1</f>
        <v>-0.1138980436007162</v>
      </c>
      <c r="BF48" s="1307">
        <f>BF46/BE46-1</f>
        <v>4.5032704156363179E-2</v>
      </c>
      <c r="BG48" s="1307">
        <f>BG46/BF46-1</f>
        <v>-1.6726154335033772E-2</v>
      </c>
      <c r="BH48" s="1307">
        <f>BH46/BG46-1</f>
        <v>9.5962936159751155E-2</v>
      </c>
      <c r="BI48" s="1307"/>
      <c r="BJ48" s="1283"/>
      <c r="BK48" s="1307">
        <f>BK46/BH46-1</f>
        <v>-4.6905919609410485E-2</v>
      </c>
      <c r="BL48" s="1307">
        <f>BL46/BK46-1</f>
        <v>5.4143646408839841E-2</v>
      </c>
      <c r="BM48" s="1307">
        <f>BM46/BL46-1</f>
        <v>5.3459119496855445E-2</v>
      </c>
      <c r="BN48" s="1307">
        <f>BN46/BM46-1</f>
        <v>6.0099502487562351E-2</v>
      </c>
      <c r="BO48" s="1307"/>
      <c r="BP48" s="1283"/>
      <c r="BQ48" s="1307">
        <f>BQ46/BN46-1</f>
        <v>-2.9472498592078122E-2</v>
      </c>
      <c r="BR48" s="1307">
        <f>BR46/BQ46-1</f>
        <v>7.7369439071566681E-2</v>
      </c>
      <c r="BS48" s="1307">
        <f>BS46/BR46-1</f>
        <v>5.5655296229802476E-2</v>
      </c>
      <c r="BT48" s="1307">
        <f>BT46/BS46-1</f>
        <v>2.4659863945578175E-2</v>
      </c>
      <c r="BU48" s="1307"/>
      <c r="BV48" s="1283"/>
      <c r="BW48" s="1307">
        <f>BW46/BT46-1</f>
        <v>-2.4066390041493801E-2</v>
      </c>
      <c r="BX48" s="1307">
        <f>BX46/BW46-1</f>
        <v>6.4625850340136015E-2</v>
      </c>
      <c r="BY48" s="1307">
        <f>BY46/BX46-1</f>
        <v>0.22364217252396168</v>
      </c>
      <c r="BZ48" s="1307">
        <f>BZ46/BY46-1</f>
        <v>0.10378590078328975</v>
      </c>
      <c r="CA48" s="1307"/>
      <c r="CB48" s="1283"/>
      <c r="CC48" s="1307">
        <f>CC46/BZ46-1</f>
        <v>-2.9568302779420463E-2</v>
      </c>
      <c r="CD48" s="1307">
        <f>CD46/CC46-1</f>
        <v>1.218769043266299E-2</v>
      </c>
      <c r="CE48" s="1307">
        <f>CE46/CD46-1</f>
        <v>6.3816977724262536E-2</v>
      </c>
      <c r="CF48" s="1307">
        <f>CF46/CE46-1</f>
        <v>0.10865874363327666</v>
      </c>
      <c r="CG48" s="1308"/>
      <c r="CH48" s="1283"/>
      <c r="CI48" s="1307">
        <f>CI46/CF46-1</f>
        <v>2.654415518121489E-2</v>
      </c>
      <c r="CJ48" s="1307">
        <f>CJ46/CI46-1</f>
        <v>2.4365987071108819E-2</v>
      </c>
      <c r="CK48" s="1307">
        <f>CK46/CJ46-1</f>
        <v>4.0291262135922379E-2</v>
      </c>
      <c r="CL48" s="1307">
        <f>CL46/CK46-1</f>
        <v>8.5860942603826373E-2</v>
      </c>
      <c r="CM48" s="1308"/>
      <c r="CN48" s="1283"/>
      <c r="CO48" s="1307">
        <f>CO46/CL46-1</f>
        <v>5.1568543188655003E-2</v>
      </c>
      <c r="CP48" s="1307">
        <f>CP46/CO46-1</f>
        <v>3.8823048630976631E-2</v>
      </c>
      <c r="CQ48" s="1307">
        <f>CQ46/CP46-1</f>
        <v>4.0912667191188135E-2</v>
      </c>
      <c r="CR48" s="1307">
        <f>CR46/CQ46-1</f>
        <v>8.5411942554799669E-2</v>
      </c>
      <c r="CS48" s="1308"/>
      <c r="CT48" s="1283"/>
      <c r="CU48" s="1307">
        <f>CU46/CR46-1</f>
        <v>5.3969359331476285E-2</v>
      </c>
      <c r="CV48" s="1307">
        <f>CV46/CU46-1</f>
        <v>-3.2044928972580156E-2</v>
      </c>
      <c r="CW48" s="1307">
        <f>CW46/CV46-1</f>
        <v>1.2969283276450527E-2</v>
      </c>
      <c r="CX48" s="1307">
        <f>CX46/CW46-1</f>
        <v>3.5040431266846417E-2</v>
      </c>
      <c r="CY48" s="1308"/>
      <c r="CZ48" s="1283"/>
      <c r="DA48" s="1307">
        <f>DA46/CX46-1</f>
        <v>1.7578125E-2</v>
      </c>
      <c r="DB48" s="1307">
        <f>DB46/DA46-1</f>
        <v>4.3186180422264853E-2</v>
      </c>
      <c r="DC48" s="1307">
        <f>DC46/DB46-1</f>
        <v>1.9012572830420016E-2</v>
      </c>
      <c r="DD48" s="1307">
        <f>DD46/DC46-1</f>
        <v>4.3334336442973242E-2</v>
      </c>
      <c r="DE48" s="1308"/>
      <c r="DF48" s="1283"/>
      <c r="DG48" s="1307">
        <f>DG46/DD46-1</f>
        <v>2.3074704355350306E-3</v>
      </c>
      <c r="DH48" s="1307">
        <f>DH46/DG46-1</f>
        <v>6.8201438848920937E-2</v>
      </c>
      <c r="DI48" s="1307">
        <f>DI46/DH46-1</f>
        <v>1.18534482758621E-2</v>
      </c>
      <c r="DJ48" s="1307">
        <f>DJ46/DI46-1</f>
        <v>5.9105431309904199E-2</v>
      </c>
      <c r="DK48" s="1308"/>
      <c r="DL48" s="1283"/>
      <c r="DM48" s="1307">
        <f>DM46/DJ46-1</f>
        <v>1.4328808446455454E-2</v>
      </c>
      <c r="DN48" s="1307">
        <f>DN46/DM46-1</f>
        <v>-9.665427509293667E-3</v>
      </c>
      <c r="DO48" s="1307">
        <f>DO46/DN46-1</f>
        <v>1.8018018018018056E-2</v>
      </c>
      <c r="DP48" s="1307">
        <f>DP46/DO46-1</f>
        <v>2.2615535889872085E-2</v>
      </c>
      <c r="DQ48" s="1308"/>
      <c r="DR48" s="1283"/>
      <c r="DS48" s="1307">
        <f>DS46/DP46-1</f>
        <v>-3.6057692307692735E-3</v>
      </c>
      <c r="DT48" s="1307">
        <f>DT46/DS46-1</f>
        <v>2.8709288299155533E-2</v>
      </c>
      <c r="DU48" s="1307">
        <f>DU46/DT46-1</f>
        <v>1.8761726078799335E-2</v>
      </c>
      <c r="DV48" s="1307">
        <f>DV46/DU46-1</f>
        <v>1.3812154696132506E-2</v>
      </c>
      <c r="DW48" s="1308"/>
      <c r="DX48" s="1283"/>
      <c r="DY48" s="1307">
        <f>DY46/DV46-1</f>
        <v>6.357856494096259E-3</v>
      </c>
      <c r="DZ48" s="1307">
        <f>DZ46/DY46-1</f>
        <v>1.9178700361010881E-2</v>
      </c>
      <c r="EA48" s="1307">
        <f>EA46/DZ46-1</f>
        <v>1.0626522027894714E-2</v>
      </c>
      <c r="EB48" s="1307">
        <f>EB46/EA46-1</f>
        <v>2.8477546549835697E-2</v>
      </c>
      <c r="EC48" s="1308"/>
      <c r="ED48" s="1283"/>
      <c r="EE48" s="1307">
        <f>EE46/EB46-1</f>
        <v>7.6677316293929376E-3</v>
      </c>
      <c r="EF48" s="1307">
        <f>EF46/EE46-1</f>
        <v>8.8776157260621602E-3</v>
      </c>
      <c r="EG48" s="1307">
        <f>EG46/EF46-1</f>
        <v>-2.2836790278650709E-2</v>
      </c>
      <c r="EH48" s="1307">
        <f>EH46/EG46-1</f>
        <v>5.145797598627766E-3</v>
      </c>
      <c r="EI48" s="1308"/>
      <c r="EJ48" s="1283"/>
      <c r="EK48" s="1271">
        <f>EK46/EH46-1</f>
        <v>1.9197952218430459E-3</v>
      </c>
      <c r="EL48" s="1792">
        <f>EL46/EK46-1</f>
        <v>-2.9806259314456574E-3</v>
      </c>
      <c r="EM48" s="1792">
        <f>EM46/EL46-1</f>
        <v>-2.989536621823663E-3</v>
      </c>
      <c r="EN48" s="1792">
        <f>EN46/EM46-1</f>
        <v>3.1270079246091154E-2</v>
      </c>
      <c r="EO48" s="1311"/>
      <c r="EP48" s="1285"/>
      <c r="EQ48" s="1271">
        <f>EQ46/EN46-1</f>
        <v>-4.5690550363447491E-3</v>
      </c>
      <c r="ER48" s="1792">
        <f>ER46/EQ46-1</f>
        <v>-3.1295639474233639E-3</v>
      </c>
      <c r="ES48" s="1792">
        <f>ES46/ER46-1</f>
        <v>-3.3486814566764389E-3</v>
      </c>
      <c r="ET48" s="1792">
        <f>ET46/ES46-1</f>
        <v>2.8349433011339853E-2</v>
      </c>
      <c r="EU48" s="1311"/>
      <c r="EV48" s="1285"/>
      <c r="EW48" s="1271">
        <f>EW46/ET46-1</f>
        <v>1.1027159485399229E-2</v>
      </c>
      <c r="EX48" s="1792">
        <f>EX46/EW46-1</f>
        <v>4.0395879620280795E-4</v>
      </c>
      <c r="EY48" s="1792">
        <f>EY46/EX46-1</f>
        <v>1.4940440137290567E-2</v>
      </c>
      <c r="EZ48" s="1792">
        <f>EZ46/EY46-1</f>
        <v>1.469635291380933E-2</v>
      </c>
      <c r="FA48" s="1311"/>
      <c r="FB48" s="1285"/>
      <c r="FC48" s="1792">
        <f>FC46/EZ46-1</f>
        <v>5.7179943502738695E-3</v>
      </c>
      <c r="FD48" s="1792">
        <f>FD46/FC46-1</f>
        <v>-3.0675919187150846E-5</v>
      </c>
      <c r="FE48" s="1792">
        <f>FE46/FD46-1</f>
        <v>1.1178228371762966E-2</v>
      </c>
      <c r="FF48" s="1792">
        <f>FF46/FE46-1</f>
        <v>1.0833378758364098E-2</v>
      </c>
      <c r="FG48" s="1311"/>
      <c r="FH48" s="1285"/>
      <c r="FI48" s="1792">
        <f>FI46/FF46-1</f>
        <v>3.1973949608288255E-3</v>
      </c>
      <c r="FJ48" s="1792">
        <f>FJ46/FI46-1</f>
        <v>-9.8852110040836827E-4</v>
      </c>
      <c r="FK48" s="1792">
        <f>FK46/FJ46-1</f>
        <v>9.9150315791374233E-3</v>
      </c>
      <c r="FL48" s="1792">
        <f>FL46/FK46-1</f>
        <v>9.5794410535796626E-3</v>
      </c>
      <c r="FM48" s="1311"/>
      <c r="FN48" s="1123"/>
      <c r="FO48" s="235"/>
      <c r="FS48" s="235"/>
      <c r="GI48"/>
      <c r="GJ48"/>
      <c r="GK48"/>
      <c r="GL48"/>
      <c r="GM48"/>
      <c r="GN48"/>
      <c r="GP48" s="614"/>
      <c r="GQ48" s="614"/>
      <c r="GR48" s="614"/>
      <c r="GS48" s="614"/>
      <c r="GT48" s="614"/>
      <c r="GU48" s="614"/>
      <c r="GV48" s="614"/>
      <c r="GW48" s="614"/>
      <c r="GX48" s="614"/>
      <c r="GY48" s="614"/>
      <c r="GZ48" s="614"/>
      <c r="HA48" s="614"/>
      <c r="HB48" s="614"/>
      <c r="HC48" s="614"/>
      <c r="HD48" s="614"/>
      <c r="HE48" s="614"/>
      <c r="HF48" s="614"/>
      <c r="HG48" s="614"/>
      <c r="HH48" s="614"/>
      <c r="HI48" s="614"/>
      <c r="HJ48" s="614"/>
      <c r="HK48" s="614"/>
      <c r="HL48" s="614"/>
      <c r="HM48" s="614"/>
      <c r="HN48" s="614"/>
      <c r="HO48" s="614"/>
      <c r="HP48" s="614"/>
      <c r="HQ48" s="614"/>
      <c r="HR48" s="614"/>
      <c r="HS48" s="614"/>
      <c r="HT48" s="614"/>
      <c r="HU48" s="614"/>
      <c r="HV48" s="614"/>
      <c r="HW48" s="614"/>
      <c r="HX48" s="614"/>
      <c r="HY48" s="614"/>
      <c r="HZ48" s="614"/>
      <c r="IA48" s="614"/>
      <c r="IB48" s="614"/>
      <c r="IC48" s="614"/>
      <c r="ID48" s="614"/>
      <c r="IE48" s="614"/>
      <c r="IF48" s="614"/>
      <c r="IG48" s="614"/>
      <c r="IH48" s="614"/>
      <c r="II48" s="614"/>
      <c r="IJ48" s="614"/>
      <c r="IK48" s="614"/>
      <c r="IL48" s="614"/>
      <c r="IM48" s="614"/>
      <c r="IN48" s="614"/>
      <c r="IO48" s="614"/>
      <c r="IP48" s="614"/>
      <c r="IQ48" s="614"/>
      <c r="IR48" s="614"/>
      <c r="IS48" s="614"/>
      <c r="IT48" s="614"/>
      <c r="IU48" s="614"/>
      <c r="IV48" s="614"/>
      <c r="IW48" s="614"/>
      <c r="IX48" s="614"/>
      <c r="IY48" s="614"/>
      <c r="IZ48" s="614"/>
      <c r="JA48" s="614"/>
      <c r="JB48" s="614"/>
      <c r="JC48" s="614"/>
      <c r="JD48" s="614"/>
      <c r="JE48" s="614"/>
      <c r="JF48" s="614"/>
      <c r="JG48" s="614"/>
      <c r="JH48" s="614"/>
      <c r="JI48" s="614"/>
      <c r="JJ48" s="614"/>
      <c r="JK48" s="614"/>
      <c r="JL48" s="614"/>
      <c r="JM48" s="614"/>
      <c r="JN48" s="614"/>
      <c r="JO48" s="614"/>
      <c r="JP48" s="614"/>
      <c r="JQ48" s="614"/>
      <c r="JR48" s="614"/>
      <c r="JS48" s="614"/>
      <c r="JT48" s="614"/>
      <c r="JU48" s="614"/>
    </row>
    <row r="49" spans="1:281" s="33" customFormat="1" ht="10.5" customHeight="1" x14ac:dyDescent="0.2">
      <c r="A49" s="1861" t="s">
        <v>256</v>
      </c>
      <c r="B49" s="1296"/>
      <c r="C49" s="1297"/>
      <c r="D49" s="1297"/>
      <c r="E49" s="1297"/>
      <c r="F49" s="1297"/>
      <c r="G49" s="1297"/>
      <c r="H49" s="1297"/>
      <c r="I49" s="1297"/>
      <c r="J49" s="1297"/>
      <c r="K49" s="1297"/>
      <c r="L49" s="1297"/>
      <c r="M49" s="1266"/>
      <c r="N49" s="1298"/>
      <c r="O49" s="1297"/>
      <c r="P49" s="1297"/>
      <c r="Q49" s="1297"/>
      <c r="R49" s="1297"/>
      <c r="S49" s="1297"/>
      <c r="T49" s="1298"/>
      <c r="U49" s="1297"/>
      <c r="V49" s="1297"/>
      <c r="W49" s="1297"/>
      <c r="X49" s="1297"/>
      <c r="Y49" s="1297"/>
      <c r="Z49" s="1298"/>
      <c r="AA49" s="1299"/>
      <c r="AB49" s="1299"/>
      <c r="AC49" s="1299"/>
      <c r="AD49" s="1299"/>
      <c r="AE49" s="1299"/>
      <c r="AF49" s="1298"/>
      <c r="AG49" s="1299">
        <v>0.2</v>
      </c>
      <c r="AH49" s="1299">
        <v>0.2</v>
      </c>
      <c r="AI49" s="1299">
        <v>0.2</v>
      </c>
      <c r="AJ49" s="1299">
        <v>0.2</v>
      </c>
      <c r="AK49" s="1299">
        <v>0.2</v>
      </c>
      <c r="AL49" s="1298"/>
      <c r="AM49" s="1299">
        <v>0.2</v>
      </c>
      <c r="AN49" s="1299">
        <v>0.2</v>
      </c>
      <c r="AO49" s="1299">
        <v>0.2</v>
      </c>
      <c r="AP49" s="1299">
        <v>0.2</v>
      </c>
      <c r="AQ49" s="1299">
        <v>0.2</v>
      </c>
      <c r="AR49" s="1298"/>
      <c r="AS49" s="1299">
        <v>0.2</v>
      </c>
      <c r="AT49" s="1299">
        <v>0.2</v>
      </c>
      <c r="AU49" s="1299">
        <v>0.2</v>
      </c>
      <c r="AV49" s="1299">
        <v>0.2</v>
      </c>
      <c r="AW49" s="1299">
        <v>0.2</v>
      </c>
      <c r="AX49" s="1298"/>
      <c r="AY49" s="1299">
        <v>0.2</v>
      </c>
      <c r="AZ49" s="1299">
        <v>0.2</v>
      </c>
      <c r="BA49" s="1299">
        <v>0.2</v>
      </c>
      <c r="BB49" s="1299">
        <v>0.2</v>
      </c>
      <c r="BC49" s="1299">
        <v>0.2</v>
      </c>
      <c r="BD49" s="1298"/>
      <c r="BE49" s="1299">
        <v>0.2</v>
      </c>
      <c r="BF49" s="1299">
        <v>0.2</v>
      </c>
      <c r="BG49" s="1299">
        <v>0.2</v>
      </c>
      <c r="BH49" s="1299">
        <v>0.2</v>
      </c>
      <c r="BI49" s="1299">
        <v>0.2</v>
      </c>
      <c r="BJ49" s="1298"/>
      <c r="BK49" s="1299">
        <v>0.2</v>
      </c>
      <c r="BL49" s="1299">
        <v>0.2</v>
      </c>
      <c r="BM49" s="1299">
        <v>0.2</v>
      </c>
      <c r="BN49" s="1299">
        <v>0.2</v>
      </c>
      <c r="BO49" s="1299">
        <v>0.2</v>
      </c>
      <c r="BP49" s="1298"/>
      <c r="BQ49" s="1299">
        <v>0.2</v>
      </c>
      <c r="BR49" s="1299">
        <v>0.2</v>
      </c>
      <c r="BS49" s="1299">
        <v>0.2</v>
      </c>
      <c r="BT49" s="1299">
        <v>0.2</v>
      </c>
      <c r="BU49" s="1299">
        <v>0.2</v>
      </c>
      <c r="BV49" s="1298"/>
      <c r="BW49" s="1299">
        <v>0.2</v>
      </c>
      <c r="BX49" s="1299">
        <v>0.2</v>
      </c>
      <c r="BY49" s="1299">
        <v>0.2</v>
      </c>
      <c r="BZ49" s="1299">
        <v>0.2</v>
      </c>
      <c r="CA49" s="1299">
        <v>0.2</v>
      </c>
      <c r="CB49" s="1298"/>
      <c r="CC49" s="1299">
        <v>0.2</v>
      </c>
      <c r="CD49" s="1299">
        <v>0.2</v>
      </c>
      <c r="CE49" s="1299">
        <v>0.2</v>
      </c>
      <c r="CF49" s="1299">
        <v>0.2</v>
      </c>
      <c r="CG49" s="1300">
        <v>0.2</v>
      </c>
      <c r="CH49" s="1298"/>
      <c r="CI49" s="1299">
        <v>0.2</v>
      </c>
      <c r="CJ49" s="1299">
        <v>0.2</v>
      </c>
      <c r="CK49" s="1299">
        <v>0.2</v>
      </c>
      <c r="CL49" s="1299">
        <v>0.2</v>
      </c>
      <c r="CM49" s="1300">
        <v>0.2</v>
      </c>
      <c r="CN49" s="1298"/>
      <c r="CO49" s="1299">
        <v>0.2</v>
      </c>
      <c r="CP49" s="1299">
        <v>0.2</v>
      </c>
      <c r="CQ49" s="1299">
        <v>0.2</v>
      </c>
      <c r="CR49" s="1307">
        <v>0.2</v>
      </c>
      <c r="CS49" s="1308">
        <v>0.2</v>
      </c>
      <c r="CT49" s="1283"/>
      <c r="CU49" s="1307">
        <v>0.2</v>
      </c>
      <c r="CV49" s="1307">
        <v>0.2</v>
      </c>
      <c r="CW49" s="1307">
        <v>0.2</v>
      </c>
      <c r="CX49" s="1307">
        <v>0.2</v>
      </c>
      <c r="CY49" s="1300">
        <v>0.2</v>
      </c>
      <c r="CZ49" s="1298"/>
      <c r="DA49" s="1299">
        <v>0.2</v>
      </c>
      <c r="DB49" s="1299">
        <v>0.2</v>
      </c>
      <c r="DC49" s="1307">
        <v>0.2</v>
      </c>
      <c r="DD49" s="1299">
        <v>0.2</v>
      </c>
      <c r="DE49" s="1300">
        <v>0.2</v>
      </c>
      <c r="DF49" s="1298"/>
      <c r="DG49" s="1299">
        <v>0.2</v>
      </c>
      <c r="DH49" s="1299">
        <v>0.2</v>
      </c>
      <c r="DI49" s="1299">
        <v>0.2</v>
      </c>
      <c r="DJ49" s="1299">
        <v>0.2</v>
      </c>
      <c r="DK49" s="1300">
        <v>0.2</v>
      </c>
      <c r="DL49" s="1298"/>
      <c r="DM49" s="1309">
        <v>0.2</v>
      </c>
      <c r="DN49" s="1309">
        <v>0.2</v>
      </c>
      <c r="DO49" s="1309">
        <v>0.2</v>
      </c>
      <c r="DP49" s="1309">
        <v>0.2</v>
      </c>
      <c r="DQ49" s="1300">
        <v>0.2</v>
      </c>
      <c r="DR49" s="1298"/>
      <c r="DS49" s="1309">
        <v>0.2</v>
      </c>
      <c r="DT49" s="1309">
        <v>0.2</v>
      </c>
      <c r="DU49" s="1309">
        <v>0.2</v>
      </c>
      <c r="DV49" s="1309">
        <v>0.2</v>
      </c>
      <c r="DW49" s="1300">
        <v>0.2</v>
      </c>
      <c r="DX49" s="1298"/>
      <c r="DY49" s="1309">
        <f>DS49</f>
        <v>0.2</v>
      </c>
      <c r="DZ49" s="1309">
        <f>DT49</f>
        <v>0.2</v>
      </c>
      <c r="EA49" s="1309">
        <f>DU49</f>
        <v>0.2</v>
      </c>
      <c r="EB49" s="1309">
        <f>DV49</f>
        <v>0.2</v>
      </c>
      <c r="EC49" s="1300">
        <v>0.2</v>
      </c>
      <c r="ED49" s="1298"/>
      <c r="EE49" s="1309">
        <v>0.2</v>
      </c>
      <c r="EF49" s="1309">
        <v>0.2</v>
      </c>
      <c r="EG49" s="1309">
        <v>0.2</v>
      </c>
      <c r="EH49" s="1309">
        <v>0.2</v>
      </c>
      <c r="EI49" s="1300">
        <v>0.2</v>
      </c>
      <c r="EJ49" s="1298"/>
      <c r="EK49" s="1309">
        <v>0.2</v>
      </c>
      <c r="EL49" s="1309">
        <v>0.2</v>
      </c>
      <c r="EM49" s="1309">
        <v>0.2</v>
      </c>
      <c r="EN49" s="1309">
        <v>0.2</v>
      </c>
      <c r="EO49" s="1300">
        <v>0.2</v>
      </c>
      <c r="EP49" s="1298"/>
      <c r="EQ49" s="1309">
        <v>0.2</v>
      </c>
      <c r="ER49" s="1309">
        <v>0.2</v>
      </c>
      <c r="ES49" s="1309">
        <v>0.2</v>
      </c>
      <c r="ET49" s="1309">
        <v>0.2</v>
      </c>
      <c r="EU49" s="1300">
        <v>0.2</v>
      </c>
      <c r="EV49" s="1298"/>
      <c r="EW49" s="1309">
        <v>0.2</v>
      </c>
      <c r="EX49" s="1309">
        <v>0.2</v>
      </c>
      <c r="EY49" s="1309">
        <v>0.2</v>
      </c>
      <c r="EZ49" s="1309">
        <v>0.2</v>
      </c>
      <c r="FA49" s="1300">
        <v>0.2</v>
      </c>
      <c r="FB49" s="1298"/>
      <c r="FC49" s="1309">
        <v>0.2</v>
      </c>
      <c r="FD49" s="1309">
        <v>0.2</v>
      </c>
      <c r="FE49" s="1309">
        <v>0.2</v>
      </c>
      <c r="FF49" s="1309">
        <v>0.2</v>
      </c>
      <c r="FG49" s="1300">
        <v>0.2</v>
      </c>
      <c r="FH49" s="1298"/>
      <c r="FI49" s="1309">
        <v>0.2</v>
      </c>
      <c r="FJ49" s="1309">
        <v>0.2</v>
      </c>
      <c r="FK49" s="1309">
        <v>0.2</v>
      </c>
      <c r="FL49" s="1309">
        <v>0.2</v>
      </c>
      <c r="FM49" s="1300">
        <v>0.2</v>
      </c>
      <c r="FN49" s="226"/>
      <c r="FO49" s="227"/>
      <c r="FS49" s="227"/>
      <c r="GI49"/>
      <c r="GJ49"/>
      <c r="GK49"/>
      <c r="GL49"/>
      <c r="GM49"/>
      <c r="GN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</row>
    <row r="50" spans="1:281" s="33" customFormat="1" ht="10.5" customHeight="1" x14ac:dyDescent="0.2">
      <c r="A50" s="1861" t="s">
        <v>1102</v>
      </c>
      <c r="B50" s="1296"/>
      <c r="C50" s="1297"/>
      <c r="D50" s="1297"/>
      <c r="E50" s="1297"/>
      <c r="F50" s="1297"/>
      <c r="G50" s="1297"/>
      <c r="H50" s="1297"/>
      <c r="I50" s="1297"/>
      <c r="J50" s="1297"/>
      <c r="K50" s="1297"/>
      <c r="L50" s="1297"/>
      <c r="M50" s="1266"/>
      <c r="N50" s="1298"/>
      <c r="O50" s="1297"/>
      <c r="P50" s="1297"/>
      <c r="Q50" s="1297"/>
      <c r="R50" s="1297"/>
      <c r="S50" s="1297"/>
      <c r="T50" s="1298"/>
      <c r="U50" s="1297"/>
      <c r="V50" s="1297"/>
      <c r="W50" s="1297"/>
      <c r="X50" s="1297"/>
      <c r="Y50" s="1297"/>
      <c r="Z50" s="1298"/>
      <c r="AA50" s="1299"/>
      <c r="AB50" s="1299"/>
      <c r="AC50" s="1299"/>
      <c r="AD50" s="1299"/>
      <c r="AE50" s="1299"/>
      <c r="AF50" s="1298"/>
      <c r="AG50" s="1299">
        <f>AG46/(AD46+(AD14*AG49/4))</f>
        <v>0.92520881080126227</v>
      </c>
      <c r="AH50" s="1299">
        <f>AH46/(AG46+(AG14*AH49/4))</f>
        <v>0.99386195747283079</v>
      </c>
      <c r="AI50" s="1299">
        <f>AI46/(AH46+(AH14*AI49/4))</f>
        <v>0.97641878720458652</v>
      </c>
      <c r="AJ50" s="1299">
        <f>AJ46/(AI46+(AI14*AJ49/4))</f>
        <v>1.0567941643305587</v>
      </c>
      <c r="AK50" s="1299">
        <f>AK46/(AE46+((AD14+AG14+AH14+AI14)*AK49))</f>
        <v>0.93571123393591848</v>
      </c>
      <c r="AL50" s="1298"/>
      <c r="AM50" s="1299">
        <f>AM46/(AJ46+(AJ14*AM49/4))</f>
        <v>0.91485640265353263</v>
      </c>
      <c r="AN50" s="1299">
        <f>AN46/(AM46+(AM14*AN49/4))</f>
        <v>1.0247918244610703</v>
      </c>
      <c r="AO50" s="1299">
        <f>AO46/(AN46+(AN14*AO49/4))</f>
        <v>0.96669492838648052</v>
      </c>
      <c r="AP50" s="1299">
        <f>AP46/(AO46+(AO14*AP49/4))</f>
        <v>1.0750299342116598</v>
      </c>
      <c r="AQ50" s="1299">
        <f>AQ46/(AK46+((AJ14+AM14+AN14+AO14)*AQ49))</f>
        <v>0.95444470442222185</v>
      </c>
      <c r="AR50" s="1298"/>
      <c r="AS50" s="1299">
        <f>AS46/(AP46+(AP14*AS49/4))</f>
        <v>0.89609715762731867</v>
      </c>
      <c r="AT50" s="1299">
        <f>AT46/(AS46+(AS14*AT49/4))</f>
        <v>1.0326783574389866</v>
      </c>
      <c r="AU50" s="1299">
        <f>AU46/(AT46+(AT14*AU49/4))</f>
        <v>0.98719243266705314</v>
      </c>
      <c r="AV50" s="1299">
        <f>AV46/(AU46+(AU14*AV49/4))</f>
        <v>1.0373551914004591</v>
      </c>
      <c r="AW50" s="1299">
        <f>AW46/(AQ46+((AP14+AS14+AT14+AU14)*AW49))</f>
        <v>0.94663298259493878</v>
      </c>
      <c r="AX50" s="1298"/>
      <c r="AY50" s="1299">
        <f>AY46/(AV46+(AV14*AY49/4))</f>
        <v>0.90609414864440185</v>
      </c>
      <c r="AZ50" s="1299">
        <f>AZ46/(AY46+(AY14*AZ49/4))</f>
        <v>0.99421077077426001</v>
      </c>
      <c r="BA50" s="1299">
        <f>BA46/(AZ46+(AZ14*BA49/4))</f>
        <v>0.97742360527189565</v>
      </c>
      <c r="BB50" s="1299">
        <f>BB46/(BA46+(BA14*BB49/4))</f>
        <v>0.98957613209060502</v>
      </c>
      <c r="BC50" s="1299">
        <f>BC46/(AW46+((AV14+AY14+AZ14+BA14)*BC49))</f>
        <v>0.90836048694636928</v>
      </c>
      <c r="BD50" s="1298"/>
      <c r="BE50" s="1299">
        <f>BE46/(BB46+(BB14*BE49/4))</f>
        <v>0.81665000755471362</v>
      </c>
      <c r="BF50" s="1299">
        <f>BF46/(BE46+(BE14*BF49/4))</f>
        <v>1.0027478592735528</v>
      </c>
      <c r="BG50" s="1299">
        <f>BG46/(BF46+(BF14*BG49/4))</f>
        <v>0.94040238919909824</v>
      </c>
      <c r="BH50" s="1299">
        <f>BH46/(BG46+(BG14*BH49/4))</f>
        <v>1.0489308056114994</v>
      </c>
      <c r="BI50" s="1299">
        <f>BI46/(BC46+((BB14+BE14+BF14+BG14)*BI49))</f>
        <v>0.81344243028998853</v>
      </c>
      <c r="BJ50" s="1298"/>
      <c r="BK50" s="1299">
        <f>BK46/(BH46+(BH14*BK49/4))</f>
        <v>0.89867521371340642</v>
      </c>
      <c r="BL50" s="1299">
        <f>BL46/(BK46+(BK14*BL49/4))</f>
        <v>1.0223436746503778</v>
      </c>
      <c r="BM50" s="1299">
        <f>BM46/(BL46+(BL14*BM49/4))</f>
        <v>1.0128495842781557</v>
      </c>
      <c r="BN50" s="1299">
        <f>BN46/(BM46+(BM14*BN49/4))</f>
        <v>1.0217214097338769</v>
      </c>
      <c r="BO50" s="1299">
        <f>BO46/(BI46+((BH14+BK14+BL14+BM14)*BO49))</f>
        <v>0.9385139827453296</v>
      </c>
      <c r="BP50" s="1298"/>
      <c r="BQ50" s="1299">
        <f>BQ46/(BN46+(BN14*BQ49/4))</f>
        <v>0.9193154034229829</v>
      </c>
      <c r="BR50" s="1299">
        <f>BR46/(BQ46+(BQ14*BR49/4))</f>
        <v>1.0506955906625797</v>
      </c>
      <c r="BS50" s="1299">
        <f>BS46/(BR46+(BR14*BS49/4))</f>
        <v>1.0166414523449319</v>
      </c>
      <c r="BT50" s="1299">
        <f>BT46/(BS46+(BS14*BT49/4))</f>
        <v>0.98904255755735226</v>
      </c>
      <c r="BU50" s="1299">
        <f>BU46/(BO46+((BN14+BQ14+BR14+BS14)*BU49))</f>
        <v>0.98196088634491141</v>
      </c>
      <c r="BV50" s="1298"/>
      <c r="BW50" s="1299">
        <f>BW46/(BT46+(BT14*BW49/4))</f>
        <v>0.92547414810734241</v>
      </c>
      <c r="BX50" s="1299">
        <f>BX46/(BW46+(BW14*BX49/4))</f>
        <v>1.0397375742224806</v>
      </c>
      <c r="BY50" s="1299">
        <f>BY46/(BX46+(BX14*BY49/4))</f>
        <v>1.1779631694283188</v>
      </c>
      <c r="BZ50" s="1299">
        <f>BZ46/(BY46+(BY14*BZ49/4))</f>
        <v>1.0706936397885207</v>
      </c>
      <c r="CA50" s="1299">
        <f>CA46/(BU46+((BT14+BW14+BX14+BY14)*CA49))</f>
        <v>1.0686459909228441</v>
      </c>
      <c r="CB50" s="1298"/>
      <c r="CC50" s="1299">
        <f>CC46/(BZ46+(BZ14*CC49/4))</f>
        <v>0.92635976177707524</v>
      </c>
      <c r="CD50" s="1299">
        <f>CD46/(CC46+(CC14*CD49/4))</f>
        <v>0.99315375646506621</v>
      </c>
      <c r="CE50" s="1299">
        <f>CE46/(CD46+(CD14*CE49/4))</f>
        <v>1.0309819709434622</v>
      </c>
      <c r="CF50" s="1299">
        <f>CF46/(CE46+(CE14*CF49/4))</f>
        <v>1.0752983280455808</v>
      </c>
      <c r="CG50" s="1300">
        <f>CG46/(CA46+((BZ14+CC14+CD14+CE14)*CG49))</f>
        <v>1.0763491120272979</v>
      </c>
      <c r="CH50" s="1298"/>
      <c r="CI50" s="1299">
        <v>0.93</v>
      </c>
      <c r="CJ50" s="1299">
        <v>0.99</v>
      </c>
      <c r="CK50" s="1299">
        <v>0.995</v>
      </c>
      <c r="CL50" s="1299">
        <v>1</v>
      </c>
      <c r="CM50" s="1300">
        <f>CM46/(CG46+((CF14+CI14+CJ14+CK14)*CM49))</f>
        <v>1.0502434705621957</v>
      </c>
      <c r="CN50" s="1298"/>
      <c r="CO50" s="1299">
        <v>0.95</v>
      </c>
      <c r="CP50" s="1299">
        <v>0.995</v>
      </c>
      <c r="CQ50" s="1299">
        <v>0.995</v>
      </c>
      <c r="CR50" s="1307">
        <v>1.01</v>
      </c>
      <c r="CS50" s="1308">
        <f>CS46/(CM46+((CL14+CO14+CP14+CQ14)*CS49))</f>
        <v>1.0600924188308414</v>
      </c>
      <c r="CT50" s="1283"/>
      <c r="CU50" s="1307">
        <v>0.98</v>
      </c>
      <c r="CV50" s="1307">
        <v>0.98299999999999998</v>
      </c>
      <c r="CW50" s="1307">
        <v>0.95</v>
      </c>
      <c r="CX50" s="1307">
        <v>0.98</v>
      </c>
      <c r="CY50" s="1300">
        <f>CY46/(CS46+((CR14+CU14+CV14+CW14)*CY49))</f>
        <v>0.99881777008125738</v>
      </c>
      <c r="CZ50" s="1298"/>
      <c r="DA50" s="1299">
        <v>0.98</v>
      </c>
      <c r="DB50" s="1299">
        <v>0.99</v>
      </c>
      <c r="DC50" s="1307">
        <v>0.95</v>
      </c>
      <c r="DD50" s="1299">
        <v>1.01</v>
      </c>
      <c r="DE50" s="1300">
        <f>DE46/(CY46+((CX14+DA14+DB14+DC14)*DE49))</f>
        <v>0.98147728830122571</v>
      </c>
      <c r="DF50" s="1298"/>
      <c r="DG50" s="1299">
        <f>(DG46-(DD14*DG49/4))/DD46</f>
        <v>0.95709547158927022</v>
      </c>
      <c r="DH50" s="1299">
        <f>(DH46-(DG14*DH49/4))/DG46</f>
        <v>1.0496978417266187</v>
      </c>
      <c r="DI50" s="1299">
        <f>(DI46-(DH14*DI49/4))/DH46</f>
        <v>0.9849272629310345</v>
      </c>
      <c r="DJ50" s="1299">
        <f>(DJ46-(DI14*DJ49/4))/DI46</f>
        <v>1.029632587859425</v>
      </c>
      <c r="DK50" s="1300">
        <f>DK46/(DE46+((DD14+DG14+DH14+DI14)*DK49))</f>
        <v>1.0011540680900173</v>
      </c>
      <c r="DL50" s="1298"/>
      <c r="DM50" s="1299">
        <f>(DM46-(DJ14*DM49/4))/DJ46</f>
        <v>0.96737053795877326</v>
      </c>
      <c r="DN50" s="1299">
        <f>(DN46-((DM14-Metrics!DM$23)*DN49/4))/DM46</f>
        <v>0.97282527881040892</v>
      </c>
      <c r="DO50" s="1299">
        <f>(DO46-((DN14-Metrics!DN$23)*DO49/4))/DN46</f>
        <v>0.99350600600600603</v>
      </c>
      <c r="DP50" s="1299">
        <f>(DP46-((DO14-Metrics!DO$23)*DP49/4))/DO46</f>
        <v>0.99478859390363816</v>
      </c>
      <c r="DQ50" s="1300">
        <f>DQ46/(DK46+((DJ14+DM14+DN14+DO14-(Metrics!DJ23+Metrics!DM23+Metrics!DN23+Metrics!DO23))*DQ49))</f>
        <v>0.9680626838300963</v>
      </c>
      <c r="DR50" s="1298"/>
      <c r="DS50" s="1299">
        <f>(DS46-((DP14-Metrics!DP23)*DS49/4))/DP46</f>
        <v>0.95056490384615377</v>
      </c>
      <c r="DT50" s="1299">
        <f>(DT46-((DS17)*DT49/4))/DS46</f>
        <v>1.0121712907117009</v>
      </c>
      <c r="DU50" s="1299">
        <f>(DU46-((DT17)*DU49/4))/DT46</f>
        <v>0.99330440900562844</v>
      </c>
      <c r="DV50" s="1299">
        <f>(DV46-((DU17)*DV49/4))/DU46</f>
        <v>0.98962937384898708</v>
      </c>
      <c r="DW50" s="1300">
        <f>DW46/(DQ46+((DP14+DS17+DT17+DU17-(Metrics!DP23))*DW49))</f>
        <v>0.94527883990259054</v>
      </c>
      <c r="DX50" s="1298"/>
      <c r="DY50" s="1299">
        <f>(DY46-((DV17)*DY49/4))/DV46</f>
        <v>0.96356721162579473</v>
      </c>
      <c r="DZ50" s="1299">
        <f>(DZ46-((DY17)*DZ49/4))/DY46</f>
        <v>1.0033957581227437</v>
      </c>
      <c r="EA50" s="1299">
        <f>(EA46-((DZ17)*EA49/4))/DZ46</f>
        <v>0.98714854992251488</v>
      </c>
      <c r="EB50" s="1299">
        <f>(EB46-((EA17)*EB49/4))/EA46</f>
        <v>1.0051697699890472</v>
      </c>
      <c r="EC50" s="1300">
        <f>EC46/(DW46+((DV17+DY17+DZ17+EA17)*EC49))</f>
        <v>0.95633495094640864</v>
      </c>
      <c r="ED50" s="1298"/>
      <c r="EE50" s="1299">
        <f>(EE46-((EB17)*EE49/4))/EB46</f>
        <v>0.96752928647497338</v>
      </c>
      <c r="EF50" s="1299">
        <f>(EF46-((EE17)*EF49/4))/EE46</f>
        <v>0.99439864722046079</v>
      </c>
      <c r="EG50" s="1299">
        <f>(EG46-((EF17)*EG49/4))/EF46</f>
        <v>0.95574062434527551</v>
      </c>
      <c r="EH50" s="1299">
        <f>(EH46-((EG17)*EH49/4))/EG46</f>
        <v>0.98389794168096045</v>
      </c>
      <c r="EI50" s="1300">
        <f>EI46/(EC46+((EB17+EE17+EF17+EG17)*EI49))</f>
        <v>0.94081488060192986</v>
      </c>
      <c r="EJ50" s="1298"/>
      <c r="EK50" s="1299">
        <f>(EK46-((EH17)*EK49/4))/EH46</f>
        <v>0.96845136518771335</v>
      </c>
      <c r="EL50" s="1299">
        <f>(EL46-((EK17)*EL49/4))/EK46</f>
        <v>0.98476687247179051</v>
      </c>
      <c r="EM50" s="1299">
        <f>(EM46-((EL17)*EM49/4))/EL46</f>
        <v>0.9791052743967541</v>
      </c>
      <c r="EN50" s="1299">
        <f>(EN46-((EM17)*EN49/4))/EM46</f>
        <v>1.0132790747483402</v>
      </c>
      <c r="EO50" s="1300">
        <f>EO46/(EI46+((EH17+EK17+EL17+EM17)*EO49))</f>
        <v>0.92537723446421916</v>
      </c>
      <c r="EP50" s="1298"/>
      <c r="EQ50" s="1299">
        <f>(EQ46-((EN17)*EQ49/4))/EN46</f>
        <v>0.96670820353063336</v>
      </c>
      <c r="ER50" s="1299">
        <f>(ER46-((EQ17)*ER49/4))/EQ46</f>
        <v>0.98612559983308989</v>
      </c>
      <c r="ES50" s="1299">
        <f>(ES46-((ER17)*ES49/4))/ER46</f>
        <v>0.98255546253662618</v>
      </c>
      <c r="ET50" s="1299">
        <f>(ET46-((ES17)*ET49/4))/ES46</f>
        <v>1.0135027299454011</v>
      </c>
      <c r="EU50" s="1300">
        <f>EU46/(EO46+((EN17+EQ17+ER17+ES17)*EU49))</f>
        <v>0.95314095383486819</v>
      </c>
      <c r="EV50" s="1298"/>
      <c r="EW50" s="1299">
        <f>(EW46-((ET17)*EW49/4))/ET46</f>
        <v>0.98421482540330807</v>
      </c>
      <c r="EX50" s="1299">
        <f>(EX46-((EW17)*EX49/4))/EW46</f>
        <v>0.9906483538679054</v>
      </c>
      <c r="EY50" s="1299">
        <f>(EY46-((EX17)*EY49/4))/EX46</f>
        <v>1.0012820512820513</v>
      </c>
      <c r="EZ50" s="1309">
        <f>AVERAGE(ET50,EN50)-1.25%</f>
        <v>1.0008909023468708</v>
      </c>
      <c r="FA50" s="1300">
        <f>FA46/(EU46+((ET17+EW17+EX17+EY17)*FA49))</f>
        <v>0.97732690134450206</v>
      </c>
      <c r="FB50" s="1336"/>
      <c r="FC50" s="1309">
        <f>EW50-0.0025</f>
        <v>0.98171482540330812</v>
      </c>
      <c r="FD50" s="1309">
        <f>EX50</f>
        <v>0.9906483538679054</v>
      </c>
      <c r="FE50" s="1309">
        <f t="shared" ref="FE50:FF50" si="19">EY50-0.0025</f>
        <v>0.99878205128205133</v>
      </c>
      <c r="FF50" s="1309">
        <f t="shared" si="19"/>
        <v>0.99839090234687089</v>
      </c>
      <c r="FG50" s="1300">
        <f>FG46/(FA46+((EZ17+FC17+FD17+FE17)*FG49))</f>
        <v>0.97480206843230077</v>
      </c>
      <c r="FH50" s="1336"/>
      <c r="FI50" s="1309">
        <f>FC50</f>
        <v>0.98171482540330812</v>
      </c>
      <c r="FJ50" s="1309">
        <f>FD50</f>
        <v>0.9906483538679054</v>
      </c>
      <c r="FK50" s="1309">
        <f>FE50</f>
        <v>0.99878205128205133</v>
      </c>
      <c r="FL50" s="1309">
        <f>FF50</f>
        <v>0.99839090234687089</v>
      </c>
      <c r="FM50" s="1300">
        <f>FM46/(FG46+((FF17+FI17+FJ17+FK17)*FM49))</f>
        <v>0.97207523917575323</v>
      </c>
      <c r="FN50" s="226"/>
      <c r="FO50" s="227"/>
      <c r="FS50" s="227"/>
      <c r="GI50"/>
      <c r="GJ50"/>
      <c r="GK50"/>
      <c r="GL50"/>
      <c r="GM50"/>
      <c r="GN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</row>
    <row r="51" spans="1:281" s="33" customFormat="1" ht="4.5" customHeight="1" x14ac:dyDescent="0.2">
      <c r="A51" s="127"/>
      <c r="B51" s="1312"/>
      <c r="C51" s="272"/>
      <c r="D51" s="272"/>
      <c r="E51" s="272"/>
      <c r="F51" s="272"/>
      <c r="G51" s="272"/>
      <c r="H51" s="272"/>
      <c r="I51" s="272"/>
      <c r="J51" s="272"/>
      <c r="K51" s="272"/>
      <c r="L51" s="272"/>
      <c r="M51" s="37"/>
      <c r="N51" s="242"/>
      <c r="O51" s="272"/>
      <c r="P51" s="272"/>
      <c r="Q51" s="272"/>
      <c r="R51" s="272"/>
      <c r="S51" s="272"/>
      <c r="T51" s="242"/>
      <c r="U51" s="272"/>
      <c r="V51" s="272"/>
      <c r="W51" s="272"/>
      <c r="X51" s="272"/>
      <c r="Y51" s="272"/>
      <c r="Z51" s="242"/>
      <c r="AA51" s="64"/>
      <c r="AB51" s="64"/>
      <c r="AC51" s="64"/>
      <c r="AD51" s="64"/>
      <c r="AE51" s="64"/>
      <c r="AF51" s="242"/>
      <c r="AG51" s="64"/>
      <c r="AH51" s="64"/>
      <c r="AI51" s="64"/>
      <c r="AJ51" s="64"/>
      <c r="AK51" s="64"/>
      <c r="AL51" s="242"/>
      <c r="AM51" s="64"/>
      <c r="AN51" s="64"/>
      <c r="AO51" s="64"/>
      <c r="AP51" s="64"/>
      <c r="AQ51" s="64"/>
      <c r="AR51" s="242"/>
      <c r="AS51" s="64"/>
      <c r="AT51" s="64"/>
      <c r="AU51" s="64"/>
      <c r="AV51" s="64"/>
      <c r="AW51" s="64"/>
      <c r="AX51" s="242"/>
      <c r="AY51" s="64"/>
      <c r="AZ51" s="64"/>
      <c r="BA51" s="64"/>
      <c r="BB51" s="64"/>
      <c r="BC51" s="64"/>
      <c r="BD51" s="242"/>
      <c r="BE51" s="64"/>
      <c r="BF51" s="64"/>
      <c r="BG51" s="64"/>
      <c r="BH51" s="64"/>
      <c r="BI51" s="64"/>
      <c r="BJ51" s="242"/>
      <c r="BK51" s="64"/>
      <c r="BL51" s="64"/>
      <c r="BM51" s="64"/>
      <c r="BN51" s="64"/>
      <c r="BO51" s="64"/>
      <c r="BP51" s="242"/>
      <c r="BQ51" s="64"/>
      <c r="BR51" s="64"/>
      <c r="BS51" s="64"/>
      <c r="BT51" s="64"/>
      <c r="BU51" s="64"/>
      <c r="BV51" s="242"/>
      <c r="BW51" s="64"/>
      <c r="BX51" s="64"/>
      <c r="BY51" s="64"/>
      <c r="BZ51" s="64"/>
      <c r="CA51" s="64"/>
      <c r="CB51" s="242"/>
      <c r="CC51" s="64"/>
      <c r="CD51" s="64"/>
      <c r="CE51" s="64"/>
      <c r="CF51" s="64"/>
      <c r="CG51" s="360"/>
      <c r="CH51" s="242"/>
      <c r="CI51" s="64"/>
      <c r="CJ51" s="64"/>
      <c r="CK51" s="64"/>
      <c r="CL51" s="64"/>
      <c r="CM51" s="360"/>
      <c r="CN51" s="242"/>
      <c r="CO51" s="64"/>
      <c r="CP51" s="64"/>
      <c r="CQ51" s="64"/>
      <c r="CR51" s="64"/>
      <c r="CS51" s="360"/>
      <c r="CT51" s="242"/>
      <c r="CU51" s="64"/>
      <c r="CV51" s="64"/>
      <c r="CW51" s="64"/>
      <c r="CX51" s="64"/>
      <c r="CY51" s="360"/>
      <c r="CZ51" s="242"/>
      <c r="DA51" s="64"/>
      <c r="DB51" s="64"/>
      <c r="DC51" s="64"/>
      <c r="DD51" s="64"/>
      <c r="DE51" s="360"/>
      <c r="DF51" s="242"/>
      <c r="DG51" s="64"/>
      <c r="DH51" s="64"/>
      <c r="DI51" s="64"/>
      <c r="DJ51" s="64"/>
      <c r="DK51" s="360"/>
      <c r="DL51" s="242"/>
      <c r="DM51" s="64"/>
      <c r="DN51" s="64"/>
      <c r="DO51" s="64"/>
      <c r="DP51" s="64"/>
      <c r="DQ51" s="360"/>
      <c r="DR51" s="242"/>
      <c r="DS51" s="64"/>
      <c r="DT51" s="64"/>
      <c r="DU51" s="64"/>
      <c r="DV51" s="64"/>
      <c r="DW51" s="360"/>
      <c r="DX51" s="242"/>
      <c r="DY51" s="64"/>
      <c r="DZ51" s="64"/>
      <c r="EA51" s="64"/>
      <c r="EB51" s="64"/>
      <c r="EC51" s="360"/>
      <c r="ED51" s="242"/>
      <c r="EE51" s="64"/>
      <c r="EF51" s="64"/>
      <c r="EG51" s="64"/>
      <c r="EH51" s="64"/>
      <c r="EI51" s="360"/>
      <c r="EJ51" s="242"/>
      <c r="EK51" s="64"/>
      <c r="EL51" s="64"/>
      <c r="EM51" s="64"/>
      <c r="EN51" s="64"/>
      <c r="EO51" s="360"/>
      <c r="EP51" s="242"/>
      <c r="EQ51" s="64"/>
      <c r="ER51" s="64"/>
      <c r="ES51" s="64"/>
      <c r="ET51" s="64"/>
      <c r="EU51" s="360"/>
      <c r="EV51" s="242"/>
      <c r="EW51" s="64"/>
      <c r="EX51" s="64"/>
      <c r="EY51" s="64"/>
      <c r="EZ51" s="64"/>
      <c r="FA51" s="360"/>
      <c r="FB51" s="242"/>
      <c r="FC51" s="64"/>
      <c r="FD51" s="64"/>
      <c r="FE51" s="64"/>
      <c r="FF51" s="64"/>
      <c r="FG51" s="360"/>
      <c r="FH51" s="242"/>
      <c r="FI51" s="64"/>
      <c r="FJ51" s="64"/>
      <c r="FK51" s="64"/>
      <c r="FL51" s="64"/>
      <c r="FM51" s="360"/>
      <c r="FN51" s="226"/>
      <c r="FO51" s="227"/>
      <c r="FS51" s="227"/>
      <c r="GI51"/>
      <c r="GJ51"/>
      <c r="GK51"/>
      <c r="GL51"/>
      <c r="GM51"/>
      <c r="GN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</row>
    <row r="52" spans="1:281" s="48" customFormat="1" ht="10.5" customHeight="1" x14ac:dyDescent="0.2">
      <c r="A52" s="126" t="s">
        <v>88</v>
      </c>
      <c r="B52" s="1312"/>
      <c r="C52" s="272"/>
      <c r="D52" s="272"/>
      <c r="E52" s="272"/>
      <c r="F52" s="272"/>
      <c r="G52" s="272"/>
      <c r="H52" s="272"/>
      <c r="I52" s="272"/>
      <c r="J52" s="272"/>
      <c r="K52" s="272"/>
      <c r="L52" s="272"/>
      <c r="M52" s="37"/>
      <c r="N52" s="242"/>
      <c r="O52" s="272"/>
      <c r="P52" s="272"/>
      <c r="Q52" s="272"/>
      <c r="R52" s="272"/>
      <c r="S52" s="272"/>
      <c r="T52" s="242"/>
      <c r="U52" s="272"/>
      <c r="V52" s="272"/>
      <c r="W52" s="272"/>
      <c r="X52" s="272"/>
      <c r="Y52" s="272"/>
      <c r="Z52" s="242"/>
      <c r="AA52" s="243">
        <f>AA46+AA14</f>
        <v>731.60200000000009</v>
      </c>
      <c r="AB52" s="243">
        <f>AB46+AB14</f>
        <v>923.86699999999996</v>
      </c>
      <c r="AC52" s="243">
        <f>AC46+AC14</f>
        <v>996.99499999999989</v>
      </c>
      <c r="AD52" s="243">
        <f>AD46+AD14</f>
        <v>1489.9360000000001</v>
      </c>
      <c r="AE52" s="243">
        <f>SUM(AA52:AD52)</f>
        <v>4142.3999999999996</v>
      </c>
      <c r="AF52" s="242"/>
      <c r="AG52" s="243">
        <f>AG46+AG14</f>
        <v>910.505</v>
      </c>
      <c r="AH52" s="243">
        <f>AH46+AH14</f>
        <v>1048.924</v>
      </c>
      <c r="AI52" s="243">
        <f>AI46+AI14</f>
        <v>1201.1880000000001</v>
      </c>
      <c r="AJ52" s="243">
        <f>AJ46+AJ14</f>
        <v>1722.56</v>
      </c>
      <c r="AK52" s="243">
        <f>SUM(AG52:AJ52)</f>
        <v>4883.1769999999997</v>
      </c>
      <c r="AL52" s="242"/>
      <c r="AM52" s="243">
        <f>AM46+AM14</f>
        <v>1082.4690000000001</v>
      </c>
      <c r="AN52" s="243">
        <f>AN46+AN14</f>
        <v>1311.6870000000001</v>
      </c>
      <c r="AO52" s="243">
        <f>AO46+AO14</f>
        <v>1388.203</v>
      </c>
      <c r="AP52" s="243">
        <f>AP46+AP14</f>
        <v>2154.0329999999999</v>
      </c>
      <c r="AQ52" s="243">
        <f>SUM(AM52:AP52)</f>
        <v>5936.3919999999998</v>
      </c>
      <c r="AR52" s="242"/>
      <c r="AS52" s="243">
        <f>AS46+AS14</f>
        <v>1270.0609999999999</v>
      </c>
      <c r="AT52" s="243">
        <f>AT46+AT14</f>
        <v>1597.5129999999999</v>
      </c>
      <c r="AU52" s="243">
        <f>AU46+AU14</f>
        <v>1797.6189999999999</v>
      </c>
      <c r="AV52" s="243">
        <f>AV46+AV14</f>
        <v>2628.7089999999998</v>
      </c>
      <c r="AW52" s="243">
        <f>SUM(AS52:AV52)</f>
        <v>7293.9019999999991</v>
      </c>
      <c r="AX52" s="242"/>
      <c r="AY52" s="243">
        <f>AY46+AY14</f>
        <v>1610.5630000000001</v>
      </c>
      <c r="AZ52" s="243">
        <f>AZ46+AZ14</f>
        <v>1965.991</v>
      </c>
      <c r="BA52" s="243">
        <f>BA46+BA14</f>
        <v>2007.4840000000002</v>
      </c>
      <c r="BB52" s="243">
        <f>BB46+BB14</f>
        <v>2570.0239999999999</v>
      </c>
      <c r="BC52" s="243">
        <f>SUM(AY52:BB52)</f>
        <v>8154.0619999999999</v>
      </c>
      <c r="BD52" s="242"/>
      <c r="BE52" s="243">
        <f>BE46+BE14</f>
        <v>1554.2730000000001</v>
      </c>
      <c r="BF52" s="243">
        <f>BF46+BF14</f>
        <v>1684.5260000000001</v>
      </c>
      <c r="BG52" s="243">
        <f>BG46+BG14</f>
        <v>1643.35</v>
      </c>
      <c r="BH52" s="243">
        <f>BH46+BH14</f>
        <v>2099.5169999999998</v>
      </c>
      <c r="BI52" s="243">
        <f>SUM(BE52:BH52)</f>
        <v>6981.6659999999993</v>
      </c>
      <c r="BJ52" s="242"/>
      <c r="BK52" s="243">
        <f>BK46+BK14</f>
        <v>1468</v>
      </c>
      <c r="BL52" s="243">
        <f>BL46+BL14</f>
        <v>1719</v>
      </c>
      <c r="BM52" s="243">
        <f>BM46+BM14</f>
        <v>1760</v>
      </c>
      <c r="BN52" s="243">
        <f>BN46+BN14</f>
        <v>2252.4</v>
      </c>
      <c r="BO52" s="243">
        <f>SUM(BK52:BN52)</f>
        <v>7199.4</v>
      </c>
      <c r="BP52" s="242"/>
      <c r="BQ52" s="243">
        <f>BQ46+BQ14</f>
        <v>1559</v>
      </c>
      <c r="BR52" s="243">
        <f>BR46+BR14</f>
        <v>1969</v>
      </c>
      <c r="BS52" s="243">
        <f>BS46+BS14</f>
        <v>2023</v>
      </c>
      <c r="BT52" s="243">
        <f>BT46+BT14</f>
        <v>2519</v>
      </c>
      <c r="BU52" s="243">
        <f>SUM(BQ52:BT52)</f>
        <v>8070</v>
      </c>
      <c r="BV52" s="242"/>
      <c r="BW52" s="243">
        <f>BW46+BW14</f>
        <v>1739</v>
      </c>
      <c r="BX52" s="243">
        <f>BX46+BX14</f>
        <v>2223</v>
      </c>
      <c r="BY52" s="243">
        <f>BY46+BY14</f>
        <v>2479</v>
      </c>
      <c r="BZ52" s="243">
        <f>BZ46+BZ14</f>
        <v>3300</v>
      </c>
      <c r="CA52" s="243">
        <f>SUM(BW52:BZ52)</f>
        <v>9741</v>
      </c>
      <c r="CB52" s="242"/>
      <c r="CC52" s="243">
        <f>CC46+CC14</f>
        <v>2270</v>
      </c>
      <c r="CD52" s="243">
        <f>CD46+CD14</f>
        <v>2719</v>
      </c>
      <c r="CE52" s="243">
        <f>CE46+CE14</f>
        <v>2863.4</v>
      </c>
      <c r="CF52" s="243">
        <f>CF46+CF14</f>
        <v>4080</v>
      </c>
      <c r="CG52" s="143">
        <f>SUM(CC52:CF52)</f>
        <v>11932.4</v>
      </c>
      <c r="CH52" s="60"/>
      <c r="CI52" s="243">
        <f>CI46+CI14</f>
        <v>2815</v>
      </c>
      <c r="CJ52" s="243">
        <f>CJ46+CJ14</f>
        <v>3267</v>
      </c>
      <c r="CK52" s="243">
        <f>CK46+CK14</f>
        <v>3533</v>
      </c>
      <c r="CL52" s="243">
        <f>CL46+CL14</f>
        <v>4808</v>
      </c>
      <c r="CM52" s="143">
        <f>SUM(CI52:CL52)</f>
        <v>14423</v>
      </c>
      <c r="CN52" s="60"/>
      <c r="CO52" s="243">
        <f>CO46+CO14</f>
        <v>3534</v>
      </c>
      <c r="CP52" s="243">
        <f>CP46+CP14</f>
        <v>4210</v>
      </c>
      <c r="CQ52" s="243">
        <f>CQ46+CQ14</f>
        <v>4262</v>
      </c>
      <c r="CR52" s="243">
        <f>CR46+CR14</f>
        <v>6016</v>
      </c>
      <c r="CS52" s="143">
        <f>SUM(CO52:CR52)</f>
        <v>18022</v>
      </c>
      <c r="CT52" s="60"/>
      <c r="CU52" s="243">
        <f>CU46+CU14</f>
        <v>4262</v>
      </c>
      <c r="CV52" s="243">
        <f>CV46+CV14</f>
        <v>4556</v>
      </c>
      <c r="CW52" s="243">
        <f>CW46+CW14</f>
        <v>4484</v>
      </c>
      <c r="CX52" s="243">
        <f>CX46+CX14</f>
        <v>5816</v>
      </c>
      <c r="CY52" s="143">
        <f>SUM(CU52:CX52)</f>
        <v>19118</v>
      </c>
      <c r="CZ52" s="60"/>
      <c r="DA52" s="243">
        <f>DA46+DA14</f>
        <v>4154</v>
      </c>
      <c r="DB52" s="243">
        <f>DB46+DB14</f>
        <v>4914</v>
      </c>
      <c r="DC52" s="243">
        <f>DC46+DC14</f>
        <v>5041.3999999999996</v>
      </c>
      <c r="DD52" s="243">
        <f>DD46+DD14</f>
        <v>6602</v>
      </c>
      <c r="DE52" s="143">
        <f>SUM(DA52:DD52)</f>
        <v>20711.400000000001</v>
      </c>
      <c r="DF52" s="60"/>
      <c r="DG52" s="243">
        <f>DG46+DG14</f>
        <v>4761</v>
      </c>
      <c r="DH52" s="243">
        <f>DH46+DH14</f>
        <v>5711</v>
      </c>
      <c r="DI52" s="243">
        <f>DI46+DI14</f>
        <v>5970</v>
      </c>
      <c r="DJ52" s="243">
        <f>DJ46+DJ14</f>
        <v>7714</v>
      </c>
      <c r="DK52" s="143">
        <f>SUM(DG52:DJ52)</f>
        <v>24156</v>
      </c>
      <c r="DL52" s="60"/>
      <c r="DM52" s="243">
        <f>DM46+DM14</f>
        <v>5533</v>
      </c>
      <c r="DN52" s="243">
        <f>DN46+DN14</f>
        <v>6044</v>
      </c>
      <c r="DO52" s="243">
        <f>DO46+DO14</f>
        <v>6442</v>
      </c>
      <c r="DP52" s="243">
        <f>DP46+DP14</f>
        <v>8167</v>
      </c>
      <c r="DQ52" s="143">
        <f>SUM(DM52:DP52)</f>
        <v>26186</v>
      </c>
      <c r="DR52" s="60"/>
      <c r="DS52" s="243">
        <f>DS46+DS14</f>
        <v>5857</v>
      </c>
      <c r="DT52" s="243">
        <f>DT46+DT14</f>
        <v>6779</v>
      </c>
      <c r="DU52" s="243">
        <f>DU46+DU14</f>
        <v>6792</v>
      </c>
      <c r="DV52" s="243">
        <f>DV46+DV14</f>
        <v>8551</v>
      </c>
      <c r="DW52" s="143">
        <f>SUM(DS52:DV52)</f>
        <v>27979</v>
      </c>
      <c r="DX52" s="60"/>
      <c r="DY52" s="243">
        <f>DY46+DY14</f>
        <v>6197</v>
      </c>
      <c r="DZ52" s="243">
        <f>DZ46+DZ14</f>
        <v>6997</v>
      </c>
      <c r="EA52" s="243">
        <f>EA46+EA14</f>
        <v>7106</v>
      </c>
      <c r="EB52" s="243">
        <f>EB46+EB14</f>
        <v>8919</v>
      </c>
      <c r="EC52" s="143">
        <f>SUM(DY52:EB52)</f>
        <v>29219</v>
      </c>
      <c r="ED52" s="60"/>
      <c r="EE52" s="243">
        <f>EE46+EE14</f>
        <v>6578</v>
      </c>
      <c r="EF52" s="243">
        <f>EF46+EF14</f>
        <v>7337</v>
      </c>
      <c r="EG52" s="243">
        <f>EG46+EG14</f>
        <v>7176</v>
      </c>
      <c r="EH52" s="243">
        <f>EH46+EH14</f>
        <v>8405</v>
      </c>
      <c r="EI52" s="143">
        <f>SUM(EE52:EH52)</f>
        <v>29496</v>
      </c>
      <c r="EJ52" s="60"/>
      <c r="EK52" s="243">
        <f>EK46+EK14</f>
        <v>6460</v>
      </c>
      <c r="EL52" s="243">
        <f>EL46+EL14</f>
        <v>7012</v>
      </c>
      <c r="EM52" s="243">
        <f>EM46+EM14</f>
        <v>7086</v>
      </c>
      <c r="EN52" s="243">
        <f>EN46+EN14</f>
        <v>8441</v>
      </c>
      <c r="EO52" s="143">
        <f>SUM(EK52:EN52)</f>
        <v>28999</v>
      </c>
      <c r="EP52" s="60"/>
      <c r="EQ52" s="243">
        <f>EQ46+EQ14</f>
        <v>6809</v>
      </c>
      <c r="ER52" s="243">
        <f>ER46+ER14</f>
        <v>7212</v>
      </c>
      <c r="ES52" s="243">
        <f>ES46+ES14</f>
        <v>7434</v>
      </c>
      <c r="ET52" s="243">
        <f>ET46+ET14</f>
        <v>8933</v>
      </c>
      <c r="EU52" s="143">
        <f>SUM(EQ52:ET52)</f>
        <v>30388</v>
      </c>
      <c r="EV52" s="60"/>
      <c r="EW52" s="243">
        <f>EW46+EW14</f>
        <v>7409</v>
      </c>
      <c r="EX52" s="243">
        <f>EX46+EX14</f>
        <v>7834</v>
      </c>
      <c r="EY52" s="243">
        <f>EY46+EY14</f>
        <v>7986</v>
      </c>
      <c r="EZ52" s="243">
        <f>EZ46+EZ14</f>
        <v>9248.79356609772</v>
      </c>
      <c r="FA52" s="143">
        <f>SUM(EW52:EZ52)</f>
        <v>32477.79356609772</v>
      </c>
      <c r="FB52" s="60"/>
      <c r="FC52" s="243">
        <f>FC46+FC14</f>
        <v>7892.4921609200992</v>
      </c>
      <c r="FD52" s="243">
        <f>FD46+FD14</f>
        <v>8313.6079920631819</v>
      </c>
      <c r="FE52" s="243">
        <f>FE46+FE14</f>
        <v>8462.9060515600286</v>
      </c>
      <c r="FF52" s="243">
        <f>FF46+FF14</f>
        <v>9623.2869902487255</v>
      </c>
      <c r="FG52" s="143">
        <f>SUM(FC52:FF52)</f>
        <v>34292.29319479203</v>
      </c>
      <c r="FH52" s="60"/>
      <c r="FI52" s="243">
        <f>FI46+FI14</f>
        <v>8373.9094150466426</v>
      </c>
      <c r="FJ52" s="243">
        <f>FJ46+FJ14</f>
        <v>8776.9571846627477</v>
      </c>
      <c r="FK52" s="243">
        <f>FK46+FK14</f>
        <v>8920.7617441557886</v>
      </c>
      <c r="FL52" s="243">
        <f>FL46+FL14</f>
        <v>10014.782405733939</v>
      </c>
      <c r="FM52" s="143">
        <f>SUM(FI52:FL52)</f>
        <v>36086.410749599119</v>
      </c>
      <c r="FN52" s="1124"/>
      <c r="FO52" s="978"/>
      <c r="FS52" s="245">
        <f>DC52+DD52+DG52+DH52</f>
        <v>22115.4</v>
      </c>
      <c r="FT52" s="243">
        <f>DI52+DJ52+DM52+DN52</f>
        <v>25261</v>
      </c>
      <c r="FU52" s="243">
        <f>DO52+DP52+DS52+DT52</f>
        <v>27245</v>
      </c>
      <c r="FV52" s="243">
        <f>DY52+DV52+DZ52+DU52</f>
        <v>28537</v>
      </c>
      <c r="FW52" s="243">
        <f>EA52+EB52+EE52+EF52</f>
        <v>29940</v>
      </c>
      <c r="FX52" s="243">
        <f>EG52+EH52+EK52+EL52</f>
        <v>29053</v>
      </c>
      <c r="FY52" s="243">
        <f>EM52+EN52+EQ52+ER52</f>
        <v>29548</v>
      </c>
      <c r="FZ52" s="243">
        <f>ES52+ET52+EW52+EX52</f>
        <v>31610</v>
      </c>
      <c r="GA52" s="243">
        <f>EY52+EZ52+FC52+FD52</f>
        <v>33440.893719081003</v>
      </c>
      <c r="GB52" s="243">
        <f>FE52+FF52+FI52+FJ52</f>
        <v>35237.05964151815</v>
      </c>
      <c r="GC52" s="243"/>
      <c r="GD52" s="243"/>
      <c r="GE52" s="243"/>
      <c r="GF52" s="243"/>
      <c r="GI52"/>
      <c r="GJ52"/>
      <c r="GK52"/>
      <c r="GL52"/>
      <c r="GM52"/>
      <c r="GN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</row>
    <row r="53" spans="1:281" s="37" customFormat="1" ht="10.5" customHeight="1" x14ac:dyDescent="0.2">
      <c r="A53" s="1860" t="s">
        <v>669</v>
      </c>
      <c r="B53" s="1310"/>
      <c r="C53" s="1289"/>
      <c r="D53" s="1289"/>
      <c r="E53" s="1289"/>
      <c r="F53" s="1289"/>
      <c r="G53" s="1289"/>
      <c r="H53" s="1289"/>
      <c r="I53" s="1289"/>
      <c r="J53" s="1289"/>
      <c r="K53" s="1289"/>
      <c r="L53" s="1289"/>
      <c r="M53" s="1266"/>
      <c r="N53" s="1283"/>
      <c r="O53" s="1289"/>
      <c r="P53" s="1289"/>
      <c r="Q53" s="1289"/>
      <c r="R53" s="1289"/>
      <c r="S53" s="1289"/>
      <c r="T53" s="1283"/>
      <c r="U53" s="1289"/>
      <c r="V53" s="1289"/>
      <c r="W53" s="1289"/>
      <c r="X53" s="1289"/>
      <c r="Y53" s="1289"/>
      <c r="Z53" s="1283"/>
      <c r="AA53" s="1307"/>
      <c r="AB53" s="1307"/>
      <c r="AC53" s="1307"/>
      <c r="AD53" s="1307"/>
      <c r="AE53" s="1307"/>
      <c r="AF53" s="1283"/>
      <c r="AG53" s="1307">
        <f>AG52/AA52-1</f>
        <v>0.2445359635430191</v>
      </c>
      <c r="AH53" s="1307">
        <f>AH52/AB52-1</f>
        <v>0.13536255759757632</v>
      </c>
      <c r="AI53" s="1307">
        <f>AI52/AC52-1</f>
        <v>0.20480844939041853</v>
      </c>
      <c r="AJ53" s="1307">
        <f>AJ52/AD52-1</f>
        <v>0.1561301961963466</v>
      </c>
      <c r="AK53" s="1307">
        <f>AK52/AE52-1</f>
        <v>0.17882797412128237</v>
      </c>
      <c r="AL53" s="1283"/>
      <c r="AM53" s="1307">
        <f>AM52/AG52-1</f>
        <v>0.18886661797573878</v>
      </c>
      <c r="AN53" s="1307">
        <f>AN52/AH52-1</f>
        <v>0.25050718641198033</v>
      </c>
      <c r="AO53" s="1307">
        <f>AO52/AI52-1</f>
        <v>0.1556916985517669</v>
      </c>
      <c r="AP53" s="1307">
        <f>AP52/AJ52-1</f>
        <v>0.25048358257477243</v>
      </c>
      <c r="AQ53" s="1307">
        <f>AQ52/AK52-1</f>
        <v>0.21568233140023385</v>
      </c>
      <c r="AR53" s="1283"/>
      <c r="AS53" s="1307">
        <f>AS52/AM52-1</f>
        <v>0.17330011298245007</v>
      </c>
      <c r="AT53" s="1307">
        <f>AT52/AN52-1</f>
        <v>0.2179071684022178</v>
      </c>
      <c r="AU53" s="1307">
        <f>AU52/AO52-1</f>
        <v>0.29492516584390027</v>
      </c>
      <c r="AV53" s="1307">
        <f>AV52/AP52-1</f>
        <v>0.22036616894912942</v>
      </c>
      <c r="AW53" s="1307">
        <f>AW52/AQ52-1</f>
        <v>0.2286759364947597</v>
      </c>
      <c r="AX53" s="1283"/>
      <c r="AY53" s="1307">
        <f>AY52/AS52-1</f>
        <v>0.26809893383073735</v>
      </c>
      <c r="AZ53" s="1307">
        <f>AZ52/AT52-1</f>
        <v>0.23065727790634583</v>
      </c>
      <c r="BA53" s="1307">
        <f>BA52/AU52-1</f>
        <v>0.11674609580784368</v>
      </c>
      <c r="BB53" s="1307">
        <f>BB52/AV52-1</f>
        <v>-2.2324646813321691E-2</v>
      </c>
      <c r="BC53" s="1307">
        <f>BC52/AW52-1</f>
        <v>0.11792864779373247</v>
      </c>
      <c r="BD53" s="1283"/>
      <c r="BE53" s="1307">
        <f>BE52/AY52-1</f>
        <v>-3.4950511094567482E-2</v>
      </c>
      <c r="BF53" s="1307">
        <f>BF52/AZ52-1</f>
        <v>-0.14316698296177344</v>
      </c>
      <c r="BG53" s="1307">
        <f>BG52/BA52-1</f>
        <v>-0.1813882451865122</v>
      </c>
      <c r="BH53" s="1307">
        <f>BH52/BB52-1</f>
        <v>-0.18307494404721514</v>
      </c>
      <c r="BI53" s="1307">
        <f>BI52/BC52-1</f>
        <v>-0.14378060897746436</v>
      </c>
      <c r="BJ53" s="1283"/>
      <c r="BK53" s="1307">
        <f>BK52/BE52-1</f>
        <v>-5.5506979790551636E-2</v>
      </c>
      <c r="BL53" s="1307">
        <f>BL52/BF52-1</f>
        <v>2.0465104130182654E-2</v>
      </c>
      <c r="BM53" s="1307">
        <f>BM52/BG52-1</f>
        <v>7.0983052910214006E-2</v>
      </c>
      <c r="BN53" s="1307">
        <f>BN52/BH52-1</f>
        <v>7.2818176752081687E-2</v>
      </c>
      <c r="BO53" s="1307">
        <f>BO52/BI52-1</f>
        <v>3.1186539144095526E-2</v>
      </c>
      <c r="BP53" s="1283"/>
      <c r="BQ53" s="1307">
        <f>BQ52/BK52-1</f>
        <v>6.1989100817438691E-2</v>
      </c>
      <c r="BR53" s="1307">
        <f>BR52/BL52-1</f>
        <v>0.14543339150668988</v>
      </c>
      <c r="BS53" s="1307">
        <f>BS52/BM52-1</f>
        <v>0.14943181818181817</v>
      </c>
      <c r="BT53" s="1307">
        <f>BT52/BN52-1</f>
        <v>0.11836263541111691</v>
      </c>
      <c r="BU53" s="1307">
        <f>BU52/BO52-1</f>
        <v>0.12092674389532476</v>
      </c>
      <c r="BV53" s="1283"/>
      <c r="BW53" s="1307">
        <f>BW52/BQ52-1</f>
        <v>0.11545862732520851</v>
      </c>
      <c r="BX53" s="1307">
        <f>BX52/BR52-1</f>
        <v>0.12899949212798378</v>
      </c>
      <c r="BY53" s="1307">
        <f>BY52/BS52-1</f>
        <v>0.22540781018289668</v>
      </c>
      <c r="BZ53" s="1307">
        <f>BZ52/BT52-1</f>
        <v>0.31004366812227069</v>
      </c>
      <c r="CA53" s="1307">
        <f>CA52/BU52-1</f>
        <v>0.20706319702602238</v>
      </c>
      <c r="CB53" s="1283"/>
      <c r="CC53" s="1307">
        <f>CC52/BW52-1</f>
        <v>0.30534790109258192</v>
      </c>
      <c r="CD53" s="1307">
        <f>CD52/BX52-1</f>
        <v>0.22312190733243376</v>
      </c>
      <c r="CE53" s="1307">
        <f>CE52/BY52-1</f>
        <v>0.15506252521177899</v>
      </c>
      <c r="CF53" s="1307">
        <f>CF52/BZ52-1</f>
        <v>0.23636363636363633</v>
      </c>
      <c r="CG53" s="1308">
        <f>CG52/CA52-1</f>
        <v>0.22496663586900723</v>
      </c>
      <c r="CH53" s="1283"/>
      <c r="CI53" s="1307">
        <f>CI52/CC52-1</f>
        <v>0.24008810572687223</v>
      </c>
      <c r="CJ53" s="1307">
        <f>CJ52/CD52-1</f>
        <v>0.20154468554615668</v>
      </c>
      <c r="CK53" s="1307">
        <f>CK52/CE52-1</f>
        <v>0.23384787315778444</v>
      </c>
      <c r="CL53" s="1307">
        <f>CL52/CF52-1</f>
        <v>0.17843137254901964</v>
      </c>
      <c r="CM53" s="1308">
        <f>CM52/CG52-1</f>
        <v>0.20872582213133994</v>
      </c>
      <c r="CN53" s="1283"/>
      <c r="CO53" s="1307">
        <f>CO52/CI52-1</f>
        <v>0.25541740674955604</v>
      </c>
      <c r="CP53" s="1307">
        <f>CP52/CJ52-1</f>
        <v>0.28864401591674316</v>
      </c>
      <c r="CQ53" s="1307">
        <f>CQ52/CK52-1</f>
        <v>0.20634022077554492</v>
      </c>
      <c r="CR53" s="1307">
        <f>CR52/CL52-1</f>
        <v>0.25124792013311148</v>
      </c>
      <c r="CS53" s="1308">
        <f>CS52/CM52-1</f>
        <v>0.24953199750398669</v>
      </c>
      <c r="CT53" s="1283"/>
      <c r="CU53" s="1307">
        <f>CU52/CO52-1</f>
        <v>0.2059988681380871</v>
      </c>
      <c r="CV53" s="1307">
        <f>CV52/CP52-1</f>
        <v>8.2185273159144812E-2</v>
      </c>
      <c r="CW53" s="1307">
        <f>CW52/CQ52-1</f>
        <v>5.2088221492257114E-2</v>
      </c>
      <c r="CX53" s="1307">
        <f>CX52/CR52-1</f>
        <v>-3.3244680851063801E-2</v>
      </c>
      <c r="CY53" s="1308">
        <f>CY52/CS52-1</f>
        <v>6.0814559982243832E-2</v>
      </c>
      <c r="CZ53" s="1283"/>
      <c r="DA53" s="1307">
        <f>DA52/CU52-1</f>
        <v>-2.5340215861098025E-2</v>
      </c>
      <c r="DB53" s="1307">
        <f>DB52/CV52-1</f>
        <v>7.8577699736610995E-2</v>
      </c>
      <c r="DC53" s="1307">
        <f>DC52/CW52-1</f>
        <v>0.12430865298840321</v>
      </c>
      <c r="DD53" s="1307">
        <f>DD52/CX52-1</f>
        <v>0.13514442916093539</v>
      </c>
      <c r="DE53" s="1308">
        <f>DE52/CY52-1</f>
        <v>8.3345538236217154E-2</v>
      </c>
      <c r="DF53" s="1283"/>
      <c r="DG53" s="1307">
        <f>DG52/DA52-1</f>
        <v>0.14612421762156957</v>
      </c>
      <c r="DH53" s="1307">
        <f>DH52/DB52-1</f>
        <v>0.16218966218966213</v>
      </c>
      <c r="DI53" s="1307">
        <f>DI52/DC52-1</f>
        <v>0.1841948665053359</v>
      </c>
      <c r="DJ53" s="1307">
        <f>DJ52/DD52-1</f>
        <v>0.1684338079369887</v>
      </c>
      <c r="DK53" s="1308">
        <f>DK52/DE52-1</f>
        <v>0.1663142037718357</v>
      </c>
      <c r="DL53" s="1283"/>
      <c r="DM53" s="1307">
        <f>DM52/DG52-1</f>
        <v>0.16215080865364428</v>
      </c>
      <c r="DN53" s="1307">
        <f>DN52/DH52-1</f>
        <v>5.8308527403256871E-2</v>
      </c>
      <c r="DO53" s="1307">
        <f>DO52/DI52-1</f>
        <v>7.9061976549413826E-2</v>
      </c>
      <c r="DP53" s="1307">
        <f>DP52/DJ52-1</f>
        <v>5.8724397199896305E-2</v>
      </c>
      <c r="DQ53" s="1308">
        <f>DQ52/DK52-1</f>
        <v>8.4037092233813615E-2</v>
      </c>
      <c r="DR53" s="1283"/>
      <c r="DS53" s="1307">
        <f>DS52/DM52-1</f>
        <v>5.8557744442436332E-2</v>
      </c>
      <c r="DT53" s="1307">
        <f>DT52/DN52-1</f>
        <v>0.12160820648577109</v>
      </c>
      <c r="DU53" s="1307">
        <f>DU52/DO52-1</f>
        <v>5.4330953120149017E-2</v>
      </c>
      <c r="DV53" s="1307">
        <f>DV52/DP52-1</f>
        <v>4.7018489041263711E-2</v>
      </c>
      <c r="DW53" s="1308">
        <f>DW52/DQ52-1</f>
        <v>6.8471702436416315E-2</v>
      </c>
      <c r="DX53" s="1283"/>
      <c r="DY53" s="1307">
        <f>DY52/DS52-1</f>
        <v>5.8050196346252303E-2</v>
      </c>
      <c r="DZ53" s="1307">
        <f>DZ52/DT52-1</f>
        <v>3.2158135418203226E-2</v>
      </c>
      <c r="EA53" s="1307">
        <f>EA52/DU52-1</f>
        <v>4.6230859835100224E-2</v>
      </c>
      <c r="EB53" s="1307">
        <f>EB52/DV52-1</f>
        <v>4.3035902233656831E-2</v>
      </c>
      <c r="EC53" s="1308">
        <f>EC52/DW52-1</f>
        <v>4.4318953500839919E-2</v>
      </c>
      <c r="ED53" s="1283"/>
      <c r="EE53" s="1307">
        <f>EE52/DY52-1</f>
        <v>6.1481361949330404E-2</v>
      </c>
      <c r="EF53" s="1307">
        <f>EF52/DZ52-1</f>
        <v>4.8592253823066978E-2</v>
      </c>
      <c r="EG53" s="1307">
        <f>EG52/EA52-1</f>
        <v>9.8508302842668094E-3</v>
      </c>
      <c r="EH53" s="1307">
        <f>EH52/EB52-1</f>
        <v>-5.7629779123220093E-2</v>
      </c>
      <c r="EI53" s="1308">
        <f>EI52/EC52-1</f>
        <v>9.4801327903075716E-3</v>
      </c>
      <c r="EJ53" s="1283"/>
      <c r="EK53" s="1307">
        <f>EK52/EE52-1</f>
        <v>-1.7938583155974408E-2</v>
      </c>
      <c r="EL53" s="1792">
        <f>EL52/EF52-1</f>
        <v>-4.429603380128122E-2</v>
      </c>
      <c r="EM53" s="1307">
        <f>EM52/EG52-1</f>
        <v>-1.2541806020066937E-2</v>
      </c>
      <c r="EN53" s="1307">
        <f>EN52/EH52-1</f>
        <v>4.283164782867388E-3</v>
      </c>
      <c r="EO53" s="1308">
        <f>EO52/EI52-1</f>
        <v>-1.6849742337944118E-2</v>
      </c>
      <c r="EP53" s="1283"/>
      <c r="EQ53" s="1307">
        <f>EQ52/EK52-1</f>
        <v>5.4024767801857498E-2</v>
      </c>
      <c r="ER53" s="1792">
        <f>ER52/EL52-1</f>
        <v>2.8522532800912659E-2</v>
      </c>
      <c r="ES53" s="1307">
        <f>ES52/EM52-1</f>
        <v>4.9110922946655311E-2</v>
      </c>
      <c r="ET53" s="1307">
        <f>ET52/EN52-1</f>
        <v>5.8286932827863902E-2</v>
      </c>
      <c r="EU53" s="1308">
        <f>EU52/EO52-1</f>
        <v>4.7898203386323557E-2</v>
      </c>
      <c r="EV53" s="1283"/>
      <c r="EW53" s="1307">
        <f>EW52/EQ52-1</f>
        <v>8.8118666470847318E-2</v>
      </c>
      <c r="EX53" s="1792">
        <f>EX52/ER52-1</f>
        <v>8.6245146977260045E-2</v>
      </c>
      <c r="EY53" s="1307">
        <f>EY52/ES52-1</f>
        <v>7.4253430185633684E-2</v>
      </c>
      <c r="EZ53" s="1307">
        <f>EZ52/ET52-1</f>
        <v>3.5351345135757217E-2</v>
      </c>
      <c r="FA53" s="1308">
        <f>FA52/EU52-1</f>
        <v>6.8770355604110822E-2</v>
      </c>
      <c r="FB53" s="1283"/>
      <c r="FC53" s="1307">
        <f>FC52/EW52-1</f>
        <v>6.5257411380766461E-2</v>
      </c>
      <c r="FD53" s="1307">
        <f>FD52/EX52-1</f>
        <v>6.1221341851312561E-2</v>
      </c>
      <c r="FE53" s="1307">
        <f>FE52/EY52-1</f>
        <v>5.9717762529430063E-2</v>
      </c>
      <c r="FF53" s="1307">
        <f>FF52/EZ52-1</f>
        <v>4.0491056641565049E-2</v>
      </c>
      <c r="FG53" s="1308">
        <f>FG52/FA52-1</f>
        <v>5.5868931644063258E-2</v>
      </c>
      <c r="FH53" s="1283"/>
      <c r="FI53" s="1307">
        <f>FI52/FC52-1</f>
        <v>6.0996861867065766E-2</v>
      </c>
      <c r="FJ53" s="1307">
        <f>FJ52/FD52-1</f>
        <v>5.5733827363752875E-2</v>
      </c>
      <c r="FK53" s="1307">
        <f>FK52/FE52-1</f>
        <v>5.4101474104319092E-2</v>
      </c>
      <c r="FL53" s="1307">
        <f>FL52/FF52-1</f>
        <v>4.0682088758437152E-2</v>
      </c>
      <c r="FM53" s="1308">
        <f>FM52/FG52-1</f>
        <v>5.2318389575636948E-2</v>
      </c>
      <c r="FN53" s="1123"/>
      <c r="FO53" s="235"/>
      <c r="FS53" s="235"/>
      <c r="FT53" s="236">
        <f t="shared" ref="FT53:GB53" si="20">FT52/FS52-1</f>
        <v>0.14223572714036359</v>
      </c>
      <c r="FU53" s="236">
        <f t="shared" si="20"/>
        <v>7.854004196191755E-2</v>
      </c>
      <c r="FV53" s="236">
        <f t="shared" si="20"/>
        <v>4.7421545237658291E-2</v>
      </c>
      <c r="FW53" s="236">
        <f t="shared" si="20"/>
        <v>4.916424291270971E-2</v>
      </c>
      <c r="FX53" s="236">
        <f t="shared" si="20"/>
        <v>-2.962591850367402E-2</v>
      </c>
      <c r="FY53" s="236">
        <f t="shared" si="20"/>
        <v>1.7037827418855178E-2</v>
      </c>
      <c r="FZ53" s="236">
        <f t="shared" si="20"/>
        <v>6.9784757005550313E-2</v>
      </c>
      <c r="GA53" s="236">
        <f t="shared" si="20"/>
        <v>5.7921345114868794E-2</v>
      </c>
      <c r="GB53" s="236">
        <f t="shared" si="20"/>
        <v>5.3711660266193118E-2</v>
      </c>
      <c r="GC53" s="236"/>
      <c r="GD53" s="236"/>
      <c r="GE53" s="236"/>
      <c r="GF53" s="236"/>
      <c r="GI53"/>
      <c r="GJ53"/>
      <c r="GK53"/>
      <c r="GL53"/>
      <c r="GM53"/>
      <c r="GN53"/>
      <c r="GP53" s="614"/>
      <c r="GQ53" s="614"/>
      <c r="GR53" s="614"/>
      <c r="GS53" s="614"/>
      <c r="GT53" s="614"/>
      <c r="GU53" s="614"/>
      <c r="GV53" s="614"/>
      <c r="GW53" s="614"/>
      <c r="GX53" s="614"/>
      <c r="GY53" s="614"/>
      <c r="GZ53" s="614"/>
      <c r="HA53" s="614"/>
      <c r="HB53" s="614"/>
      <c r="HC53" s="614"/>
      <c r="HD53" s="614"/>
      <c r="HE53" s="614"/>
      <c r="HF53" s="614"/>
      <c r="HG53" s="614"/>
      <c r="HH53" s="614"/>
      <c r="HI53" s="614"/>
      <c r="HJ53" s="614"/>
      <c r="HK53" s="614"/>
      <c r="HL53" s="614"/>
      <c r="HM53" s="614"/>
      <c r="HN53" s="614"/>
      <c r="HO53" s="614"/>
      <c r="HP53" s="614"/>
      <c r="HQ53" s="614"/>
      <c r="HR53" s="614"/>
      <c r="HS53" s="614"/>
      <c r="HT53" s="614"/>
      <c r="HU53" s="614"/>
      <c r="HV53" s="614"/>
      <c r="HW53" s="614"/>
      <c r="HX53" s="614"/>
      <c r="HY53" s="614"/>
      <c r="HZ53" s="614"/>
      <c r="IA53" s="614"/>
      <c r="IB53" s="614"/>
      <c r="IC53" s="614"/>
      <c r="ID53" s="614"/>
      <c r="IE53" s="614"/>
      <c r="IF53" s="614"/>
      <c r="IG53" s="614"/>
      <c r="IH53" s="614"/>
      <c r="II53" s="614"/>
      <c r="IJ53" s="614"/>
      <c r="IK53" s="614"/>
      <c r="IL53" s="614"/>
      <c r="IM53" s="614"/>
      <c r="IN53" s="614"/>
      <c r="IO53" s="614"/>
      <c r="IP53" s="614"/>
      <c r="IQ53" s="614"/>
      <c r="IR53" s="614"/>
      <c r="IS53" s="614"/>
      <c r="IT53" s="614"/>
      <c r="IU53" s="614"/>
      <c r="IV53" s="614"/>
      <c r="IW53" s="614"/>
      <c r="IX53" s="614"/>
      <c r="IY53" s="614"/>
      <c r="IZ53" s="614"/>
      <c r="JA53" s="614"/>
      <c r="JB53" s="614"/>
      <c r="JC53" s="614"/>
      <c r="JD53" s="614"/>
      <c r="JE53" s="614"/>
      <c r="JF53" s="614"/>
      <c r="JG53" s="614"/>
      <c r="JH53" s="614"/>
      <c r="JI53" s="614"/>
      <c r="JJ53" s="614"/>
      <c r="JK53" s="614"/>
      <c r="JL53" s="614"/>
      <c r="JM53" s="614"/>
      <c r="JN53" s="614"/>
      <c r="JO53" s="614"/>
      <c r="JP53" s="614"/>
      <c r="JQ53" s="614"/>
      <c r="JR53" s="614"/>
      <c r="JS53" s="614"/>
      <c r="JT53" s="614"/>
      <c r="JU53" s="614"/>
    </row>
    <row r="54" spans="1:281" s="37" customFormat="1" ht="10.5" customHeight="1" x14ac:dyDescent="0.2">
      <c r="A54" s="1860" t="s">
        <v>1101</v>
      </c>
      <c r="B54" s="1310"/>
      <c r="C54" s="1289"/>
      <c r="D54" s="1289"/>
      <c r="E54" s="1289"/>
      <c r="F54" s="1289"/>
      <c r="G54" s="1289"/>
      <c r="H54" s="1289"/>
      <c r="I54" s="1289"/>
      <c r="J54" s="1289"/>
      <c r="K54" s="1289"/>
      <c r="L54" s="1289"/>
      <c r="M54" s="1266"/>
      <c r="N54" s="1283"/>
      <c r="O54" s="1289"/>
      <c r="P54" s="1289"/>
      <c r="Q54" s="1289"/>
      <c r="R54" s="1289"/>
      <c r="S54" s="1289"/>
      <c r="T54" s="1283"/>
      <c r="U54" s="1289"/>
      <c r="V54" s="1289"/>
      <c r="W54" s="1289"/>
      <c r="X54" s="1289"/>
      <c r="Y54" s="1289"/>
      <c r="Z54" s="1283"/>
      <c r="AA54" s="1307"/>
      <c r="AB54" s="1307"/>
      <c r="AC54" s="1307"/>
      <c r="AD54" s="1307"/>
      <c r="AE54" s="1307"/>
      <c r="AF54" s="1283"/>
      <c r="AG54" s="1307">
        <f>AG52/AD52-1</f>
        <v>-0.38889657005401579</v>
      </c>
      <c r="AH54" s="1307">
        <f>AH52/AG52-1</f>
        <v>0.15202442600534871</v>
      </c>
      <c r="AI54" s="1307">
        <f>AI52/AH52-1</f>
        <v>0.1451620899130921</v>
      </c>
      <c r="AJ54" s="1307">
        <f>AJ52/AI52-1</f>
        <v>0.43404696017609212</v>
      </c>
      <c r="AK54" s="1307">
        <f>AK52/AJ52-1</f>
        <v>1.8348371029165893</v>
      </c>
      <c r="AL54" s="1283"/>
      <c r="AM54" s="1307">
        <f>AM52/AJ52-1</f>
        <v>-0.37159286178710749</v>
      </c>
      <c r="AN54" s="1307">
        <f>AN52/AM52-1</f>
        <v>0.21175479390171925</v>
      </c>
      <c r="AO54" s="1307">
        <f>AO52/AN52-1</f>
        <v>5.8334038532058319E-2</v>
      </c>
      <c r="AP54" s="1307">
        <f>AP52/AO52-1</f>
        <v>0.55167003673093906</v>
      </c>
      <c r="AQ54" s="1307">
        <f>AQ52/AP52-1</f>
        <v>1.7559429219515206</v>
      </c>
      <c r="AR54" s="1283"/>
      <c r="AS54" s="1307">
        <f>AS52/AP52-1</f>
        <v>-0.41037997096609014</v>
      </c>
      <c r="AT54" s="1307">
        <f>AT52/AS52-1</f>
        <v>0.25782383680783827</v>
      </c>
      <c r="AU54" s="1307">
        <f>AU52/AT52-1</f>
        <v>0.12526095249303126</v>
      </c>
      <c r="AV54" s="1307">
        <f>AV52/AU52-1</f>
        <v>0.46232822416763497</v>
      </c>
      <c r="AW54" s="1307">
        <f>AW52/AV52-1</f>
        <v>1.7747088019252035</v>
      </c>
      <c r="AX54" s="1283"/>
      <c r="AY54" s="1307">
        <f>AY52/AV52-1</f>
        <v>-0.38731788113480792</v>
      </c>
      <c r="AZ54" s="1307">
        <f>AZ52/AY52-1</f>
        <v>0.22068556150861518</v>
      </c>
      <c r="BA54" s="1307">
        <f>BA52/AZ52-1</f>
        <v>2.1105386545513305E-2</v>
      </c>
      <c r="BB54" s="1307">
        <f>BB52/BA52-1</f>
        <v>0.28022141147824819</v>
      </c>
      <c r="BC54" s="1307">
        <f>BC52/BB52-1</f>
        <v>2.1727571415675495</v>
      </c>
      <c r="BD54" s="1283"/>
      <c r="BE54" s="1307">
        <f>BE52/BB52-1</f>
        <v>-0.39523016127475841</v>
      </c>
      <c r="BF54" s="1307">
        <f>BF52/BE52-1</f>
        <v>8.3803167139878232E-2</v>
      </c>
      <c r="BG54" s="1307">
        <f>BG52/BF52-1</f>
        <v>-2.4443671394801969E-2</v>
      </c>
      <c r="BH54" s="1307">
        <f>BH52/BG52-1</f>
        <v>0.2775835944868712</v>
      </c>
      <c r="BI54" s="1307">
        <f>BI52/BH52-1</f>
        <v>2.3253676917119508</v>
      </c>
      <c r="BJ54" s="1283"/>
      <c r="BK54" s="1307">
        <f>BK52/BH52-1</f>
        <v>-0.3007915630118736</v>
      </c>
      <c r="BL54" s="1307">
        <f>BL52/BK52-1</f>
        <v>0.17098092643051777</v>
      </c>
      <c r="BM54" s="1307">
        <f>BM52/BL52-1</f>
        <v>2.3851076207097144E-2</v>
      </c>
      <c r="BN54" s="1307">
        <f>BN52/BM52-1</f>
        <v>0.27977272727272728</v>
      </c>
      <c r="BO54" s="1307">
        <f>BO52/BN52-1</f>
        <v>2.1963239211507721</v>
      </c>
      <c r="BP54" s="1283"/>
      <c r="BQ54" s="1307">
        <f>BQ52/BN52-1</f>
        <v>-0.30784940507902681</v>
      </c>
      <c r="BR54" s="1307">
        <f>BR52/BQ52-1</f>
        <v>0.2629890955740859</v>
      </c>
      <c r="BS54" s="1307">
        <f>BS52/BR52-1</f>
        <v>2.7425088877602866E-2</v>
      </c>
      <c r="BT54" s="1307">
        <f>BT52/BS52-1</f>
        <v>0.24518042511122107</v>
      </c>
      <c r="BU54" s="1307">
        <f>BU52/BT52-1</f>
        <v>2.2036522429535528</v>
      </c>
      <c r="BV54" s="1283"/>
      <c r="BW54" s="1307">
        <f>BW52/BT52-1</f>
        <v>-0.30964668519253669</v>
      </c>
      <c r="BX54" s="1307">
        <f>BX52/BW52-1</f>
        <v>0.27832087406555495</v>
      </c>
      <c r="BY54" s="1307">
        <f>BY52/BX52-1</f>
        <v>0.1151596941070625</v>
      </c>
      <c r="BZ54" s="1307">
        <f>BZ52/BY52-1</f>
        <v>0.33118192819685355</v>
      </c>
      <c r="CA54" s="1307">
        <f>CA52/BZ52-1</f>
        <v>1.9518181818181817</v>
      </c>
      <c r="CB54" s="1283"/>
      <c r="CC54" s="1307">
        <f>CC52/BZ52-1</f>
        <v>-0.31212121212121213</v>
      </c>
      <c r="CD54" s="1307">
        <f>CD52/CC52-1</f>
        <v>0.19779735682819388</v>
      </c>
      <c r="CE54" s="1307">
        <f>CE52/CD52-1</f>
        <v>5.3107760205958199E-2</v>
      </c>
      <c r="CF54" s="1307">
        <f>CF52/CE52-1</f>
        <v>0.4248795138646364</v>
      </c>
      <c r="CG54" s="1308">
        <f>CG52/CF52-1</f>
        <v>1.9246078431372546</v>
      </c>
      <c r="CH54" s="1283"/>
      <c r="CI54" s="1307">
        <f>CI52/CF52-1</f>
        <v>-0.31004901960784315</v>
      </c>
      <c r="CJ54" s="1307">
        <f>CJ52/CI52-1</f>
        <v>0.16056838365896975</v>
      </c>
      <c r="CK54" s="1307">
        <f>CK52/CJ52-1</f>
        <v>8.142026323844509E-2</v>
      </c>
      <c r="CL54" s="1307">
        <f>CL52/CK52-1</f>
        <v>0.36088310217945097</v>
      </c>
      <c r="CM54" s="1308">
        <f>CM52/CL52-1</f>
        <v>1.999792013311148</v>
      </c>
      <c r="CN54" s="1283"/>
      <c r="CO54" s="1307">
        <f>CO52/CL52-1</f>
        <v>-0.26497504159733776</v>
      </c>
      <c r="CP54" s="1307">
        <f>CP52/CO52-1</f>
        <v>0.19128466327108096</v>
      </c>
      <c r="CQ54" s="1307">
        <f>CQ52/CP52-1</f>
        <v>1.2351543942992871E-2</v>
      </c>
      <c r="CR54" s="1307">
        <f>CR52/CQ52-1</f>
        <v>0.41154387611450027</v>
      </c>
      <c r="CS54" s="1308">
        <f>CS52/CR52-1</f>
        <v>1.9956781914893615</v>
      </c>
      <c r="CT54" s="1283"/>
      <c r="CU54" s="1307">
        <f>CU52/CR52-1</f>
        <v>-0.29155585106382975</v>
      </c>
      <c r="CV54" s="1307">
        <f>CV52/CU52-1</f>
        <v>6.8981698732989205E-2</v>
      </c>
      <c r="CW54" s="1307">
        <f>CW52/CV52-1</f>
        <v>-1.5803336259877065E-2</v>
      </c>
      <c r="CX54" s="1307">
        <f>CX52/CW52-1</f>
        <v>0.29705619982158793</v>
      </c>
      <c r="CY54" s="1308"/>
      <c r="CZ54" s="1283"/>
      <c r="DA54" s="1307">
        <f>DA52/CX52-1</f>
        <v>-0.28576341127922966</v>
      </c>
      <c r="DB54" s="1307">
        <f>DB52/DA52-1</f>
        <v>0.18295618680789594</v>
      </c>
      <c r="DC54" s="1307">
        <f>DC52/DB52-1</f>
        <v>2.5925925925925908E-2</v>
      </c>
      <c r="DD54" s="1307">
        <f>DD52/DC52-1</f>
        <v>0.30955686912365632</v>
      </c>
      <c r="DE54" s="1308"/>
      <c r="DF54" s="1283"/>
      <c r="DG54" s="1307">
        <f>DG52/DD52-1</f>
        <v>-0.27885489245683126</v>
      </c>
      <c r="DH54" s="1307">
        <f>DH52/DG52-1</f>
        <v>0.19953791220331873</v>
      </c>
      <c r="DI54" s="1307">
        <f>DI52/DH52-1</f>
        <v>4.5351076869199813E-2</v>
      </c>
      <c r="DJ54" s="1307">
        <f>DJ52/DI52-1</f>
        <v>0.29212730318257951</v>
      </c>
      <c r="DK54" s="1308"/>
      <c r="DL54" s="1283"/>
      <c r="DM54" s="1307">
        <f>DM52/DJ52-1</f>
        <v>-0.28273269380347421</v>
      </c>
      <c r="DN54" s="1307">
        <f>DN52/DM52-1</f>
        <v>9.2354961142237402E-2</v>
      </c>
      <c r="DO54" s="1307">
        <f>DO52/DN52-1</f>
        <v>6.5850430178689523E-2</v>
      </c>
      <c r="DP54" s="1307">
        <f>DP52/DO52-1</f>
        <v>0.26777398323502011</v>
      </c>
      <c r="DQ54" s="1308"/>
      <c r="DR54" s="1283"/>
      <c r="DS54" s="1307">
        <f>DS52/DP52-1</f>
        <v>-0.28284559813885146</v>
      </c>
      <c r="DT54" s="1307">
        <f>DT52/DS52-1</f>
        <v>0.15741847362130779</v>
      </c>
      <c r="DU54" s="1307">
        <f>DU52/DT52-1</f>
        <v>1.9176869744799152E-3</v>
      </c>
      <c r="DV54" s="1307">
        <f>DV52/DU52-1</f>
        <v>0.25898115429917556</v>
      </c>
      <c r="DW54" s="1308"/>
      <c r="DX54" s="1283"/>
      <c r="DY54" s="1307">
        <f>DY52/DV52-1</f>
        <v>-0.27528943983159859</v>
      </c>
      <c r="DZ54" s="1307">
        <f>DZ52/DY52-1</f>
        <v>0.12909472325318694</v>
      </c>
      <c r="EA54" s="1307">
        <f>EA52/DZ52-1</f>
        <v>1.5578104902100876E-2</v>
      </c>
      <c r="EB54" s="1307">
        <f>EB52/EA52-1</f>
        <v>0.25513650436251045</v>
      </c>
      <c r="EC54" s="1308"/>
      <c r="ED54" s="1283"/>
      <c r="EE54" s="1307">
        <f>EE52/EB52-1</f>
        <v>-0.26247337145419891</v>
      </c>
      <c r="EF54" s="1307">
        <f>EF52/EE52-1</f>
        <v>0.11538461538461542</v>
      </c>
      <c r="EG54" s="1307">
        <f>EG52/EF52-1</f>
        <v>-2.1943573667711602E-2</v>
      </c>
      <c r="EH54" s="1307">
        <f>EH52/EG52-1</f>
        <v>0.17126532887402446</v>
      </c>
      <c r="EI54" s="1308"/>
      <c r="EJ54" s="1283"/>
      <c r="EK54" s="1307">
        <f>EK52/EH52-1</f>
        <v>-0.2314098750743605</v>
      </c>
      <c r="EL54" s="1307">
        <f>EL52/EK52-1</f>
        <v>8.5448916408668696E-2</v>
      </c>
      <c r="EM54" s="1307">
        <f>EM52/EL52-1</f>
        <v>1.055333713633777E-2</v>
      </c>
      <c r="EN54" s="1307">
        <f>EN52/EM52-1</f>
        <v>0.1912221281399944</v>
      </c>
      <c r="EO54" s="1308"/>
      <c r="EP54" s="1283"/>
      <c r="EQ54" s="1307">
        <f>EQ52/EN52-1</f>
        <v>-0.19334202108754883</v>
      </c>
      <c r="ER54" s="1307">
        <f>ER52/EQ52-1</f>
        <v>5.9186370979585901E-2</v>
      </c>
      <c r="ES54" s="1307">
        <f>ES52/ER52-1</f>
        <v>3.0782029950083167E-2</v>
      </c>
      <c r="ET54" s="1307">
        <f>ET52/ES52-1</f>
        <v>0.20164110842076943</v>
      </c>
      <c r="EU54" s="1308"/>
      <c r="EV54" s="1283"/>
      <c r="EW54" s="1307">
        <f>EW52/ET52-1</f>
        <v>-0.17060338072316128</v>
      </c>
      <c r="EX54" s="1307">
        <f>EX52/EW52-1</f>
        <v>5.7362667026589209E-2</v>
      </c>
      <c r="EY54" s="1307">
        <f>EY52/EX52-1</f>
        <v>1.94026040336992E-2</v>
      </c>
      <c r="EZ54" s="1307">
        <f>EZ52/EY52-1</f>
        <v>0.15812591611541693</v>
      </c>
      <c r="FA54" s="1308"/>
      <c r="FB54" s="1283"/>
      <c r="FC54" s="1307">
        <f>FC52/EZ52-1</f>
        <v>-0.14664630532454148</v>
      </c>
      <c r="FD54" s="1307">
        <f>FD52/FC52-1</f>
        <v>5.3356509269435914E-2</v>
      </c>
      <c r="FE54" s="1307">
        <f>FE52/FD52-1</f>
        <v>1.7958275112247124E-2</v>
      </c>
      <c r="FF54" s="1307">
        <f>FF52/FE52-1</f>
        <v>0.13711376820433863</v>
      </c>
      <c r="FG54" s="1308"/>
      <c r="FH54" s="1283"/>
      <c r="FI54" s="1307">
        <f>FI52/FF52-1</f>
        <v>-0.12982856860323055</v>
      </c>
      <c r="FJ54" s="1307">
        <f>FJ52/FI52-1</f>
        <v>4.8131374444042807E-2</v>
      </c>
      <c r="FK54" s="1307">
        <f>FK52/FJ52-1</f>
        <v>1.6384329610759751E-2</v>
      </c>
      <c r="FL54" s="1307">
        <f>FL52/FK52-1</f>
        <v>0.12263758330894436</v>
      </c>
      <c r="FM54" s="1308"/>
      <c r="FN54" s="1123"/>
      <c r="FO54" s="235"/>
      <c r="FS54" s="235"/>
      <c r="GI54"/>
      <c r="GJ54"/>
      <c r="GK54"/>
      <c r="GL54"/>
      <c r="GM54"/>
      <c r="GN54"/>
      <c r="GP54" s="614"/>
      <c r="GQ54" s="614"/>
      <c r="GR54" s="614"/>
      <c r="GS54" s="614"/>
      <c r="GT54" s="614"/>
      <c r="GU54" s="614"/>
      <c r="GV54" s="614"/>
      <c r="GW54" s="614"/>
      <c r="GX54" s="614"/>
      <c r="GY54" s="614"/>
      <c r="GZ54" s="614"/>
      <c r="HA54" s="614"/>
      <c r="HB54" s="614"/>
      <c r="HC54" s="614"/>
      <c r="HD54" s="614"/>
      <c r="HE54" s="614"/>
      <c r="HF54" s="614"/>
      <c r="HG54" s="614"/>
      <c r="HH54" s="614"/>
      <c r="HI54" s="614"/>
      <c r="HJ54" s="614"/>
      <c r="HK54" s="614"/>
      <c r="HL54" s="614"/>
      <c r="HM54" s="614"/>
      <c r="HN54" s="614"/>
      <c r="HO54" s="614"/>
      <c r="HP54" s="614"/>
      <c r="HQ54" s="614"/>
      <c r="HR54" s="614"/>
      <c r="HS54" s="614"/>
      <c r="HT54" s="614"/>
      <c r="HU54" s="614"/>
      <c r="HV54" s="614"/>
      <c r="HW54" s="614"/>
      <c r="HX54" s="614"/>
      <c r="HY54" s="614"/>
      <c r="HZ54" s="614"/>
      <c r="IA54" s="614"/>
      <c r="IB54" s="614"/>
      <c r="IC54" s="614"/>
      <c r="ID54" s="614"/>
      <c r="IE54" s="614"/>
      <c r="IF54" s="614"/>
      <c r="IG54" s="614"/>
      <c r="IH54" s="614"/>
      <c r="II54" s="614"/>
      <c r="IJ54" s="614"/>
      <c r="IK54" s="614"/>
      <c r="IL54" s="614"/>
      <c r="IM54" s="614"/>
      <c r="IN54" s="614"/>
      <c r="IO54" s="614"/>
      <c r="IP54" s="614"/>
      <c r="IQ54" s="614"/>
      <c r="IR54" s="614"/>
      <c r="IS54" s="614"/>
      <c r="IT54" s="614"/>
      <c r="IU54" s="614"/>
      <c r="IV54" s="614"/>
      <c r="IW54" s="614"/>
      <c r="IX54" s="614"/>
      <c r="IY54" s="614"/>
      <c r="IZ54" s="614"/>
      <c r="JA54" s="614"/>
      <c r="JB54" s="614"/>
      <c r="JC54" s="614"/>
      <c r="JD54" s="614"/>
      <c r="JE54" s="614"/>
      <c r="JF54" s="614"/>
      <c r="JG54" s="614"/>
      <c r="JH54" s="614"/>
      <c r="JI54" s="614"/>
      <c r="JJ54" s="614"/>
      <c r="JK54" s="614"/>
      <c r="JL54" s="614"/>
      <c r="JM54" s="614"/>
      <c r="JN54" s="614"/>
      <c r="JO54" s="614"/>
      <c r="JP54" s="614"/>
      <c r="JQ54" s="614"/>
      <c r="JR54" s="614"/>
      <c r="JS54" s="614"/>
      <c r="JT54" s="614"/>
      <c r="JU54" s="614"/>
    </row>
    <row r="55" spans="1:281" s="33" customFormat="1" ht="3.95" customHeight="1" x14ac:dyDescent="0.2">
      <c r="A55" s="127"/>
      <c r="B55" s="949"/>
      <c r="C55" s="272"/>
      <c r="D55" s="272"/>
      <c r="E55" s="272"/>
      <c r="F55" s="272"/>
      <c r="G55" s="272"/>
      <c r="H55" s="272"/>
      <c r="I55" s="272"/>
      <c r="J55" s="272"/>
      <c r="K55" s="272"/>
      <c r="L55" s="272"/>
      <c r="M55" s="37"/>
      <c r="N55" s="242"/>
      <c r="O55" s="272"/>
      <c r="P55" s="272"/>
      <c r="Q55" s="272"/>
      <c r="R55" s="272"/>
      <c r="S55" s="272"/>
      <c r="T55" s="242"/>
      <c r="U55" s="272"/>
      <c r="V55" s="272"/>
      <c r="W55" s="272"/>
      <c r="X55" s="272"/>
      <c r="Y55" s="272"/>
      <c r="Z55" s="242"/>
      <c r="AA55" s="64"/>
      <c r="AB55" s="64"/>
      <c r="AC55" s="64"/>
      <c r="AD55" s="64"/>
      <c r="AE55" s="64"/>
      <c r="AF55" s="242"/>
      <c r="AG55" s="64"/>
      <c r="AH55" s="64"/>
      <c r="AI55" s="64"/>
      <c r="AJ55" s="64"/>
      <c r="AK55" s="64"/>
      <c r="AL55" s="242"/>
      <c r="AM55" s="64"/>
      <c r="AN55" s="64"/>
      <c r="AO55" s="64"/>
      <c r="AP55" s="64"/>
      <c r="AQ55" s="64"/>
      <c r="AR55" s="242"/>
      <c r="AS55" s="64"/>
      <c r="AT55" s="64"/>
      <c r="AU55" s="64"/>
      <c r="AV55" s="64"/>
      <c r="AW55" s="64"/>
      <c r="AX55" s="242"/>
      <c r="AY55" s="64"/>
      <c r="AZ55" s="64"/>
      <c r="BA55" s="64"/>
      <c r="BB55" s="64"/>
      <c r="BC55" s="64"/>
      <c r="BD55" s="242"/>
      <c r="BE55" s="64"/>
      <c r="BF55" s="64"/>
      <c r="BG55" s="64"/>
      <c r="BH55" s="64"/>
      <c r="BI55" s="64"/>
      <c r="BJ55" s="242"/>
      <c r="BK55" s="64"/>
      <c r="BL55" s="64"/>
      <c r="BM55" s="64"/>
      <c r="BN55" s="64"/>
      <c r="BO55" s="64"/>
      <c r="BP55" s="242"/>
      <c r="BQ55" s="64"/>
      <c r="BR55" s="64"/>
      <c r="BS55" s="64"/>
      <c r="BT55" s="64"/>
      <c r="BU55" s="64"/>
      <c r="BV55" s="242"/>
      <c r="BW55" s="64"/>
      <c r="BX55" s="64"/>
      <c r="BY55" s="64"/>
      <c r="BZ55" s="64"/>
      <c r="CA55" s="64"/>
      <c r="CB55" s="242"/>
      <c r="CC55" s="64"/>
      <c r="CD55" s="64"/>
      <c r="CE55" s="64"/>
      <c r="CF55" s="64"/>
      <c r="CG55" s="360"/>
      <c r="CH55" s="242"/>
      <c r="CI55" s="64"/>
      <c r="CJ55" s="64"/>
      <c r="CK55" s="64"/>
      <c r="CL55" s="64"/>
      <c r="CM55" s="360"/>
      <c r="CN55" s="242"/>
      <c r="CO55" s="64"/>
      <c r="CP55" s="64"/>
      <c r="CQ55" s="64"/>
      <c r="CR55" s="64"/>
      <c r="CS55" s="360"/>
      <c r="CT55" s="242"/>
      <c r="CU55" s="64"/>
      <c r="CV55" s="64"/>
      <c r="CW55" s="64"/>
      <c r="CX55" s="64"/>
      <c r="CY55" s="360"/>
      <c r="CZ55" s="242"/>
      <c r="DA55" s="64"/>
      <c r="DB55" s="64"/>
      <c r="DC55" s="243"/>
      <c r="DD55" s="243"/>
      <c r="DE55" s="143"/>
      <c r="DF55" s="242"/>
      <c r="DG55" s="243"/>
      <c r="DH55" s="243"/>
      <c r="DI55" s="243"/>
      <c r="DJ55" s="243"/>
      <c r="DK55" s="143"/>
      <c r="DL55" s="242"/>
      <c r="DM55" s="243"/>
      <c r="DN55" s="243"/>
      <c r="DO55" s="243"/>
      <c r="DP55" s="243"/>
      <c r="DQ55" s="143"/>
      <c r="DR55" s="242"/>
      <c r="DS55" s="243"/>
      <c r="DT55" s="243"/>
      <c r="DU55" s="243"/>
      <c r="DV55" s="243"/>
      <c r="DW55" s="143"/>
      <c r="DX55" s="242"/>
      <c r="DY55" s="243"/>
      <c r="DZ55" s="243"/>
      <c r="EA55" s="243"/>
      <c r="EB55" s="243"/>
      <c r="EC55" s="143"/>
      <c r="ED55" s="242"/>
      <c r="EE55" s="243"/>
      <c r="EF55" s="243"/>
      <c r="EG55" s="243"/>
      <c r="EH55" s="243"/>
      <c r="EI55" s="143"/>
      <c r="EJ55" s="242"/>
      <c r="EK55" s="243"/>
      <c r="EL55" s="243"/>
      <c r="EM55" s="243"/>
      <c r="EN55" s="243"/>
      <c r="EO55" s="143"/>
      <c r="EP55" s="242"/>
      <c r="EQ55" s="243"/>
      <c r="ER55" s="243"/>
      <c r="ES55" s="243"/>
      <c r="ET55" s="243"/>
      <c r="EU55" s="143"/>
      <c r="EV55" s="242"/>
      <c r="EW55" s="243"/>
      <c r="EX55" s="243"/>
      <c r="EY55" s="243"/>
      <c r="EZ55" s="243"/>
      <c r="FA55" s="143"/>
      <c r="FB55" s="242"/>
      <c r="FC55" s="243"/>
      <c r="FD55" s="243"/>
      <c r="FE55" s="243"/>
      <c r="FF55" s="243"/>
      <c r="FG55" s="143"/>
      <c r="FH55" s="242"/>
      <c r="FI55" s="243"/>
      <c r="FJ55" s="243"/>
      <c r="FK55" s="243"/>
      <c r="FL55" s="243"/>
      <c r="FM55" s="143"/>
      <c r="FN55" s="226"/>
      <c r="FO55" s="227"/>
      <c r="FS55" s="227"/>
      <c r="GI55"/>
      <c r="GJ55"/>
      <c r="GK55"/>
      <c r="GL55"/>
      <c r="GM55"/>
      <c r="GN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</row>
    <row r="56" spans="1:281" s="48" customFormat="1" ht="10.5" customHeight="1" x14ac:dyDescent="0.2">
      <c r="A56" s="126" t="s">
        <v>1254</v>
      </c>
      <c r="B56" s="1312"/>
      <c r="C56" s="272"/>
      <c r="D56" s="272"/>
      <c r="E56" s="272"/>
      <c r="F56" s="272"/>
      <c r="G56" s="272"/>
      <c r="H56" s="272"/>
      <c r="I56" s="272"/>
      <c r="J56" s="272"/>
      <c r="K56" s="272"/>
      <c r="L56" s="272"/>
      <c r="M56" s="37"/>
      <c r="N56" s="242"/>
      <c r="O56" s="272"/>
      <c r="P56" s="272"/>
      <c r="Q56" s="272"/>
      <c r="R56" s="272"/>
      <c r="S56" s="272"/>
      <c r="T56" s="242"/>
      <c r="U56" s="272"/>
      <c r="V56" s="272"/>
      <c r="W56" s="272"/>
      <c r="X56" s="272"/>
      <c r="Y56" s="272"/>
      <c r="Z56" s="242"/>
      <c r="AA56" s="243"/>
      <c r="AB56" s="243"/>
      <c r="AC56" s="243"/>
      <c r="AD56" s="243"/>
      <c r="AE56" s="243"/>
      <c r="AF56" s="242"/>
      <c r="AG56" s="243"/>
      <c r="AH56" s="243"/>
      <c r="AI56" s="243"/>
      <c r="AJ56" s="243"/>
      <c r="AK56" s="243"/>
      <c r="AL56" s="242"/>
      <c r="AM56" s="243"/>
      <c r="AN56" s="243"/>
      <c r="AO56" s="243"/>
      <c r="AP56" s="243"/>
      <c r="AQ56" s="243"/>
      <c r="AR56" s="242"/>
      <c r="AS56" s="243"/>
      <c r="AT56" s="243"/>
      <c r="AU56" s="243"/>
      <c r="AV56" s="243"/>
      <c r="AW56" s="243"/>
      <c r="AX56" s="242"/>
      <c r="AY56" s="243"/>
      <c r="AZ56" s="243"/>
      <c r="BA56" s="243"/>
      <c r="BB56" s="243"/>
      <c r="BC56" s="243"/>
      <c r="BD56" s="242"/>
      <c r="BE56" s="243"/>
      <c r="BF56" s="243"/>
      <c r="BG56" s="243"/>
      <c r="BH56" s="243"/>
      <c r="BI56" s="243"/>
      <c r="BJ56" s="242"/>
      <c r="BK56" s="243"/>
      <c r="BL56" s="243"/>
      <c r="BM56" s="243"/>
      <c r="BN56" s="243"/>
      <c r="BO56" s="243"/>
      <c r="BP56" s="242"/>
      <c r="BQ56" s="243"/>
      <c r="BR56" s="243"/>
      <c r="BS56" s="243"/>
      <c r="BT56" s="243"/>
      <c r="BU56" s="243"/>
      <c r="BV56" s="242"/>
      <c r="BW56" s="243"/>
      <c r="BX56" s="243"/>
      <c r="BY56" s="243"/>
      <c r="BZ56" s="243"/>
      <c r="CA56" s="243"/>
      <c r="CB56" s="242"/>
      <c r="CC56" s="243"/>
      <c r="CD56" s="243"/>
      <c r="CE56" s="243"/>
      <c r="CF56" s="243"/>
      <c r="CG56" s="143"/>
      <c r="CH56" s="60"/>
      <c r="CI56" s="243"/>
      <c r="CJ56" s="243"/>
      <c r="CK56" s="243"/>
      <c r="CL56" s="243"/>
      <c r="CM56" s="143"/>
      <c r="CN56" s="60"/>
      <c r="CO56" s="243"/>
      <c r="CP56" s="243"/>
      <c r="CQ56" s="243"/>
      <c r="CR56" s="243"/>
      <c r="CS56" s="143"/>
      <c r="CT56" s="60"/>
      <c r="CU56" s="243"/>
      <c r="CV56" s="243"/>
      <c r="CW56" s="243"/>
      <c r="CX56" s="243"/>
      <c r="CY56" s="143"/>
      <c r="CZ56" s="60"/>
      <c r="DA56" s="243"/>
      <c r="DB56" s="243"/>
      <c r="DC56" s="243"/>
      <c r="DD56" s="243"/>
      <c r="DE56" s="143"/>
      <c r="DF56" s="60"/>
      <c r="DG56" s="243"/>
      <c r="DH56" s="243"/>
      <c r="DI56" s="243"/>
      <c r="DJ56" s="243"/>
      <c r="DK56" s="143"/>
      <c r="DL56" s="60"/>
      <c r="DM56" s="243"/>
      <c r="DN56" s="243"/>
      <c r="DO56" s="243"/>
      <c r="DP56" s="243"/>
      <c r="DQ56" s="143"/>
      <c r="DR56" s="60"/>
      <c r="DS56" s="243">
        <f>DS60+DS67</f>
        <v>1357</v>
      </c>
      <c r="DT56" s="243">
        <f t="shared" ref="DT56:DV56" si="21">DT60+DT67</f>
        <v>1324</v>
      </c>
      <c r="DU56" s="243">
        <f t="shared" si="21"/>
        <v>1243</v>
      </c>
      <c r="DV56" s="243">
        <f t="shared" si="21"/>
        <v>1435</v>
      </c>
      <c r="DW56" s="143">
        <f>SUM(DS56:DV56)</f>
        <v>5359</v>
      </c>
      <c r="DX56" s="60"/>
      <c r="DY56" s="243">
        <f>DY60+DY67</f>
        <v>1266</v>
      </c>
      <c r="DZ56" s="243">
        <f t="shared" ref="DZ56:EB56" si="22">DZ60+DZ67</f>
        <v>1327</v>
      </c>
      <c r="EA56" s="243">
        <f t="shared" si="22"/>
        <v>1325</v>
      </c>
      <c r="EB56" s="243">
        <f t="shared" si="22"/>
        <v>1467</v>
      </c>
      <c r="EC56" s="143">
        <f>SUM(DY56:EB56)</f>
        <v>5385</v>
      </c>
      <c r="ED56" s="60"/>
      <c r="EE56" s="243">
        <f>EE60+EE67</f>
        <v>1166</v>
      </c>
      <c r="EF56" s="243">
        <f t="shared" ref="EF56:EH56" si="23">EF60+EF67</f>
        <v>1336</v>
      </c>
      <c r="EG56" s="243">
        <f t="shared" si="23"/>
        <v>1300</v>
      </c>
      <c r="EH56" s="243">
        <f t="shared" si="23"/>
        <v>1408</v>
      </c>
      <c r="EI56" s="143">
        <f>SUM(EE56:EH56)</f>
        <v>5210</v>
      </c>
      <c r="EJ56" s="60"/>
      <c r="EK56" s="243">
        <f>EK60+EK67</f>
        <v>1129</v>
      </c>
      <c r="EL56" s="243">
        <f t="shared" ref="EL56:EN56" si="24">EL60+EL67</f>
        <v>1123</v>
      </c>
      <c r="EM56" s="243">
        <f t="shared" si="24"/>
        <v>1135</v>
      </c>
      <c r="EN56" s="243">
        <f t="shared" si="24"/>
        <v>1283</v>
      </c>
      <c r="EO56" s="143">
        <f>SUM(EK56:EN56)</f>
        <v>4670</v>
      </c>
      <c r="EP56" s="60"/>
      <c r="EQ56" s="243">
        <f>EQ60+EQ67</f>
        <v>996</v>
      </c>
      <c r="ER56" s="243">
        <f t="shared" ref="ER56:ET56" si="25">ER60+ER67</f>
        <v>1014</v>
      </c>
      <c r="ES56" s="243">
        <f t="shared" si="25"/>
        <v>1028</v>
      </c>
      <c r="ET56" s="243">
        <f t="shared" si="25"/>
        <v>1114</v>
      </c>
      <c r="EU56" s="143">
        <f>SUM(EQ56:ET56)</f>
        <v>4152</v>
      </c>
      <c r="EV56" s="60"/>
      <c r="EW56" s="243">
        <v>943</v>
      </c>
      <c r="EX56" s="243">
        <v>940</v>
      </c>
      <c r="EY56" s="243">
        <v>994</v>
      </c>
      <c r="EZ56" s="243">
        <f t="shared" ref="EZ56" si="26">EZ60+EZ67</f>
        <v>1028.9991</v>
      </c>
      <c r="FA56" s="143">
        <f>SUM(EW56:EZ56)</f>
        <v>3905.9991</v>
      </c>
      <c r="FB56" s="60"/>
      <c r="FC56" s="243">
        <f>FC60+FC67</f>
        <v>796.9024981972708</v>
      </c>
      <c r="FD56" s="243">
        <f t="shared" ref="FD56:FF56" si="27">FD60+FD67</f>
        <v>812.2690399999999</v>
      </c>
      <c r="FE56" s="243">
        <f t="shared" si="27"/>
        <v>832.92944000000011</v>
      </c>
      <c r="FF56" s="243">
        <f t="shared" si="27"/>
        <v>868.31020000000001</v>
      </c>
      <c r="FG56" s="143">
        <f>SUM(FC56:FF56)</f>
        <v>3310.4111781972706</v>
      </c>
      <c r="FH56" s="60"/>
      <c r="FI56" s="243">
        <f>FI60+FI67</f>
        <v>705.6851173</v>
      </c>
      <c r="FJ56" s="243">
        <f t="shared" ref="FJ56:FL56" si="28">FJ60+FJ67</f>
        <v>709.89641860000006</v>
      </c>
      <c r="FK56" s="243">
        <f t="shared" si="28"/>
        <v>723.24637460000008</v>
      </c>
      <c r="FL56" s="243">
        <f t="shared" si="28"/>
        <v>749.73727987500001</v>
      </c>
      <c r="FM56" s="143">
        <f>SUM(FI56:FL56)</f>
        <v>2888.5651903750004</v>
      </c>
      <c r="FN56" s="1124"/>
      <c r="FO56" s="978"/>
      <c r="FS56" s="245"/>
      <c r="FT56" s="243"/>
      <c r="FU56" s="243"/>
      <c r="FV56" s="243"/>
      <c r="FW56" s="243"/>
      <c r="FX56" s="243"/>
      <c r="FY56" s="243"/>
      <c r="FZ56" s="243"/>
      <c r="GA56" s="243"/>
      <c r="GB56" s="243"/>
      <c r="GC56" s="243"/>
      <c r="GD56" s="243"/>
      <c r="GE56" s="243"/>
      <c r="GF56" s="243"/>
      <c r="GI56"/>
      <c r="GJ56"/>
      <c r="GK56"/>
      <c r="GL56"/>
      <c r="GM56"/>
      <c r="GN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</row>
    <row r="57" spans="1:281" s="37" customFormat="1" ht="10.5" customHeight="1" x14ac:dyDescent="0.2">
      <c r="A57" s="1860" t="s">
        <v>669</v>
      </c>
      <c r="B57" s="1310"/>
      <c r="C57" s="1289"/>
      <c r="D57" s="1289"/>
      <c r="E57" s="1289"/>
      <c r="F57" s="1289"/>
      <c r="G57" s="1289"/>
      <c r="H57" s="1289"/>
      <c r="I57" s="1289"/>
      <c r="J57" s="1289"/>
      <c r="K57" s="1289"/>
      <c r="L57" s="1289"/>
      <c r="M57" s="1266"/>
      <c r="N57" s="1283"/>
      <c r="O57" s="1289"/>
      <c r="P57" s="1289"/>
      <c r="Q57" s="1289"/>
      <c r="R57" s="1289"/>
      <c r="S57" s="1289"/>
      <c r="T57" s="1283"/>
      <c r="U57" s="1289"/>
      <c r="V57" s="1289"/>
      <c r="W57" s="1289"/>
      <c r="X57" s="1289"/>
      <c r="Y57" s="1289"/>
      <c r="Z57" s="1283"/>
      <c r="AA57" s="1307"/>
      <c r="AB57" s="1307"/>
      <c r="AC57" s="1307"/>
      <c r="AD57" s="1307"/>
      <c r="AE57" s="1307"/>
      <c r="AF57" s="1283"/>
      <c r="AG57" s="1307"/>
      <c r="AH57" s="1307"/>
      <c r="AI57" s="1307"/>
      <c r="AJ57" s="1307"/>
      <c r="AK57" s="1307"/>
      <c r="AL57" s="1283"/>
      <c r="AM57" s="1307"/>
      <c r="AN57" s="1307"/>
      <c r="AO57" s="1307"/>
      <c r="AP57" s="1307"/>
      <c r="AQ57" s="1307"/>
      <c r="AR57" s="1283"/>
      <c r="AS57" s="1307"/>
      <c r="AT57" s="1307"/>
      <c r="AU57" s="1307"/>
      <c r="AV57" s="1307"/>
      <c r="AW57" s="1307"/>
      <c r="AX57" s="1283"/>
      <c r="AY57" s="1307"/>
      <c r="AZ57" s="1307"/>
      <c r="BA57" s="1307"/>
      <c r="BB57" s="1307"/>
      <c r="BC57" s="1307"/>
      <c r="BD57" s="1283"/>
      <c r="BE57" s="1307"/>
      <c r="BF57" s="1307"/>
      <c r="BG57" s="1307"/>
      <c r="BH57" s="1307"/>
      <c r="BI57" s="1307"/>
      <c r="BJ57" s="1283"/>
      <c r="BK57" s="1307"/>
      <c r="BL57" s="1307"/>
      <c r="BM57" s="1307"/>
      <c r="BN57" s="1307"/>
      <c r="BO57" s="1307"/>
      <c r="BP57" s="1283"/>
      <c r="BQ57" s="1307"/>
      <c r="BR57" s="1307"/>
      <c r="BS57" s="1307"/>
      <c r="BT57" s="1307"/>
      <c r="BU57" s="1307"/>
      <c r="BV57" s="1283"/>
      <c r="BW57" s="1307"/>
      <c r="BX57" s="1307"/>
      <c r="BY57" s="1307"/>
      <c r="BZ57" s="1307"/>
      <c r="CA57" s="1307"/>
      <c r="CB57" s="1283"/>
      <c r="CC57" s="1307"/>
      <c r="CD57" s="1307"/>
      <c r="CE57" s="1307"/>
      <c r="CF57" s="1307"/>
      <c r="CG57" s="1308"/>
      <c r="CH57" s="1283"/>
      <c r="CI57" s="1307"/>
      <c r="CJ57" s="1307"/>
      <c r="CK57" s="1307"/>
      <c r="CL57" s="1307"/>
      <c r="CM57" s="1308"/>
      <c r="CN57" s="1283"/>
      <c r="CO57" s="1307"/>
      <c r="CP57" s="1307"/>
      <c r="CQ57" s="1307"/>
      <c r="CR57" s="1307"/>
      <c r="CS57" s="1308"/>
      <c r="CT57" s="1283"/>
      <c r="CU57" s="1307"/>
      <c r="CV57" s="1307"/>
      <c r="CW57" s="1307"/>
      <c r="CX57" s="1307"/>
      <c r="CY57" s="1308"/>
      <c r="CZ57" s="1283"/>
      <c r="DA57" s="1307"/>
      <c r="DB57" s="1307"/>
      <c r="DC57" s="1307"/>
      <c r="DD57" s="1307"/>
      <c r="DE57" s="1308"/>
      <c r="DF57" s="1283"/>
      <c r="DG57" s="1307"/>
      <c r="DH57" s="1307"/>
      <c r="DI57" s="1307"/>
      <c r="DJ57" s="1307"/>
      <c r="DK57" s="1308"/>
      <c r="DL57" s="1283"/>
      <c r="DM57" s="1307"/>
      <c r="DN57" s="1307"/>
      <c r="DO57" s="1307"/>
      <c r="DP57" s="1307"/>
      <c r="DQ57" s="1308"/>
      <c r="DR57" s="1283"/>
      <c r="DS57" s="1307" t="e">
        <f>DS56/DM56-1</f>
        <v>#DIV/0!</v>
      </c>
      <c r="DT57" s="1307" t="e">
        <f>DT56/DN56-1</f>
        <v>#DIV/0!</v>
      </c>
      <c r="DU57" s="1307" t="e">
        <f>DU56/DO56-1</f>
        <v>#DIV/0!</v>
      </c>
      <c r="DV57" s="1307" t="e">
        <f>DV56/DP56-1</f>
        <v>#DIV/0!</v>
      </c>
      <c r="DW57" s="1308"/>
      <c r="DX57" s="1283"/>
      <c r="DY57" s="1307">
        <f>DY56/DS56-1</f>
        <v>-6.7059690493736168E-2</v>
      </c>
      <c r="DZ57" s="1307">
        <f>DZ56/DT56-1</f>
        <v>2.2658610271903967E-3</v>
      </c>
      <c r="EA57" s="1307">
        <f>EA56/DU56-1</f>
        <v>6.5969428801287311E-2</v>
      </c>
      <c r="EB57" s="1307">
        <f>EB56/DV56-1</f>
        <v>2.2299651567944334E-2</v>
      </c>
      <c r="EC57" s="1308">
        <f>EC56/DW56-1</f>
        <v>4.8516514275052103E-3</v>
      </c>
      <c r="ED57" s="1283"/>
      <c r="EE57" s="1307">
        <f>EE56/DY56-1</f>
        <v>-7.8988941548183256E-2</v>
      </c>
      <c r="EF57" s="1307">
        <f>EF56/DZ56-1</f>
        <v>6.7822155237378112E-3</v>
      </c>
      <c r="EG57" s="1307">
        <f>EG56/EA56-1</f>
        <v>-1.8867924528301883E-2</v>
      </c>
      <c r="EH57" s="1307">
        <f>EH56/EB56-1</f>
        <v>-4.0218132242672122E-2</v>
      </c>
      <c r="EI57" s="1308">
        <f>EI56/EC56-1</f>
        <v>-3.2497678737233082E-2</v>
      </c>
      <c r="EJ57" s="1283"/>
      <c r="EK57" s="1307">
        <f>EK56/EE56-1</f>
        <v>-3.1732418524871409E-2</v>
      </c>
      <c r="EL57" s="1792">
        <f>EL56/EF56-1</f>
        <v>-0.15943113772455086</v>
      </c>
      <c r="EM57" s="1307">
        <f>EM56/EG56-1</f>
        <v>-0.12692307692307692</v>
      </c>
      <c r="EN57" s="1307">
        <f>EN56/EH56-1</f>
        <v>-8.8778409090909061E-2</v>
      </c>
      <c r="EO57" s="1308">
        <f>EO56/EI56-1</f>
        <v>-0.10364683301343569</v>
      </c>
      <c r="EP57" s="1283"/>
      <c r="EQ57" s="1307">
        <f>EQ56/EK56-1</f>
        <v>-0.1178033658104517</v>
      </c>
      <c r="ER57" s="1792">
        <f>ER56/EL56-1</f>
        <v>-9.7061442564559175E-2</v>
      </c>
      <c r="ES57" s="1307">
        <f>ES56/EM56-1</f>
        <v>-9.4273127753303987E-2</v>
      </c>
      <c r="ET57" s="1307">
        <f>ET56/EN56-1</f>
        <v>-0.13172252533125484</v>
      </c>
      <c r="EU57" s="1308">
        <f>EU56/EO56-1</f>
        <v>-0.11092077087794427</v>
      </c>
      <c r="EV57" s="1283"/>
      <c r="EW57" s="1307">
        <f>EW56/EQ56-1</f>
        <v>-5.3212851405622486E-2</v>
      </c>
      <c r="EX57" s="1307">
        <f>EX56/ER56-1</f>
        <v>-7.2978303747534556E-2</v>
      </c>
      <c r="EY57" s="1307">
        <f>EY56/ES56-1</f>
        <v>-3.3073929961089488E-2</v>
      </c>
      <c r="EZ57" s="1307">
        <f>EZ56/ET56-1</f>
        <v>-7.6302423698384247E-2</v>
      </c>
      <c r="FA57" s="1308">
        <f>FA56/EU56-1</f>
        <v>-5.9248771676300604E-2</v>
      </c>
      <c r="FB57" s="1283"/>
      <c r="FC57" s="1307">
        <f>FC56/EW56-1</f>
        <v>-0.1549284218480691</v>
      </c>
      <c r="FD57" s="1307">
        <f>FD56/EX56-1</f>
        <v>-0.13588400000000012</v>
      </c>
      <c r="FE57" s="1307">
        <f>FE56/EY56-1</f>
        <v>-0.16204281690140832</v>
      </c>
      <c r="FF57" s="1307">
        <f>FF56/EZ56-1</f>
        <v>-0.15616038925592834</v>
      </c>
      <c r="FG57" s="1308">
        <f>FG56/FA56-1</f>
        <v>-0.15248030185227879</v>
      </c>
      <c r="FH57" s="1283"/>
      <c r="FI57" s="1307">
        <f>FI56/FC56-1</f>
        <v>-0.11446492024258936</v>
      </c>
      <c r="FJ57" s="1307">
        <f>FJ56/FD56-1</f>
        <v>-0.12603289841011278</v>
      </c>
      <c r="FK57" s="1307">
        <f>FK56/FE56-1</f>
        <v>-0.13168350178617771</v>
      </c>
      <c r="FL57" s="1307">
        <f>FL56/FF56-1</f>
        <v>-0.13655594524284065</v>
      </c>
      <c r="FM57" s="1308">
        <f>FM56/FG56-1</f>
        <v>-0.12743008802066458</v>
      </c>
      <c r="FN57" s="1123"/>
      <c r="FO57" s="235"/>
      <c r="FS57" s="235"/>
      <c r="FT57" s="236"/>
      <c r="FU57" s="236"/>
      <c r="FV57" s="236"/>
      <c r="FW57" s="236"/>
      <c r="FX57" s="236"/>
      <c r="FY57" s="236"/>
      <c r="FZ57" s="236"/>
      <c r="GA57" s="236"/>
      <c r="GB57" s="236"/>
      <c r="GC57" s="236"/>
      <c r="GD57" s="236"/>
      <c r="GE57" s="236"/>
      <c r="GF57" s="236"/>
      <c r="GI57"/>
      <c r="GJ57"/>
      <c r="GK57"/>
      <c r="GL57"/>
      <c r="GM57"/>
      <c r="GN57"/>
      <c r="GP57" s="614"/>
      <c r="GQ57" s="614"/>
      <c r="GR57" s="614"/>
      <c r="GS57" s="614"/>
      <c r="GT57" s="614"/>
      <c r="GU57" s="614"/>
      <c r="GV57" s="614"/>
      <c r="GW57" s="614"/>
      <c r="GX57" s="614"/>
      <c r="GY57" s="614"/>
      <c r="GZ57" s="614"/>
      <c r="HA57" s="614"/>
      <c r="HB57" s="614"/>
      <c r="HC57" s="614"/>
      <c r="HD57" s="614"/>
      <c r="HE57" s="614"/>
      <c r="HF57" s="614"/>
      <c r="HG57" s="614"/>
      <c r="HH57" s="614"/>
      <c r="HI57" s="614"/>
      <c r="HJ57" s="614"/>
      <c r="HK57" s="614"/>
      <c r="HL57" s="614"/>
      <c r="HM57" s="614"/>
      <c r="HN57" s="614"/>
      <c r="HO57" s="614"/>
      <c r="HP57" s="614"/>
      <c r="HQ57" s="614"/>
      <c r="HR57" s="614"/>
      <c r="HS57" s="614"/>
      <c r="HT57" s="614"/>
      <c r="HU57" s="614"/>
      <c r="HV57" s="614"/>
      <c r="HW57" s="614"/>
      <c r="HX57" s="614"/>
      <c r="HY57" s="614"/>
      <c r="HZ57" s="614"/>
      <c r="IA57" s="614"/>
      <c r="IB57" s="614"/>
      <c r="IC57" s="614"/>
      <c r="ID57" s="614"/>
      <c r="IE57" s="614"/>
      <c r="IF57" s="614"/>
      <c r="IG57" s="614"/>
      <c r="IH57" s="614"/>
      <c r="II57" s="614"/>
      <c r="IJ57" s="614"/>
      <c r="IK57" s="614"/>
      <c r="IL57" s="614"/>
      <c r="IM57" s="614"/>
      <c r="IN57" s="614"/>
      <c r="IO57" s="614"/>
      <c r="IP57" s="614"/>
      <c r="IQ57" s="614"/>
      <c r="IR57" s="614"/>
      <c r="IS57" s="614"/>
      <c r="IT57" s="614"/>
      <c r="IU57" s="614"/>
      <c r="IV57" s="614"/>
      <c r="IW57" s="614"/>
      <c r="IX57" s="614"/>
      <c r="IY57" s="614"/>
      <c r="IZ57" s="614"/>
      <c r="JA57" s="614"/>
      <c r="JB57" s="614"/>
      <c r="JC57" s="614"/>
      <c r="JD57" s="614"/>
      <c r="JE57" s="614"/>
      <c r="JF57" s="614"/>
      <c r="JG57" s="614"/>
      <c r="JH57" s="614"/>
      <c r="JI57" s="614"/>
      <c r="JJ57" s="614"/>
      <c r="JK57" s="614"/>
      <c r="JL57" s="614"/>
      <c r="JM57" s="614"/>
      <c r="JN57" s="614"/>
      <c r="JO57" s="614"/>
      <c r="JP57" s="614"/>
      <c r="JQ57" s="614"/>
      <c r="JR57" s="614"/>
      <c r="JS57" s="614"/>
      <c r="JT57" s="614"/>
      <c r="JU57" s="614"/>
    </row>
    <row r="58" spans="1:281" s="37" customFormat="1" ht="10.5" customHeight="1" x14ac:dyDescent="0.2">
      <c r="A58" s="1860" t="s">
        <v>1101</v>
      </c>
      <c r="B58" s="1310"/>
      <c r="C58" s="1289"/>
      <c r="D58" s="1289"/>
      <c r="E58" s="1289"/>
      <c r="F58" s="1289"/>
      <c r="G58" s="1289"/>
      <c r="H58" s="1289"/>
      <c r="I58" s="1289"/>
      <c r="J58" s="1289"/>
      <c r="K58" s="1289"/>
      <c r="L58" s="1289"/>
      <c r="M58" s="1266"/>
      <c r="N58" s="1283"/>
      <c r="O58" s="1289"/>
      <c r="P58" s="1289"/>
      <c r="Q58" s="1289"/>
      <c r="R58" s="1289"/>
      <c r="S58" s="1289"/>
      <c r="T58" s="1283"/>
      <c r="U58" s="1289"/>
      <c r="V58" s="1289"/>
      <c r="W58" s="1289"/>
      <c r="X58" s="1289"/>
      <c r="Y58" s="1289"/>
      <c r="Z58" s="1283"/>
      <c r="AA58" s="1307"/>
      <c r="AB58" s="1307"/>
      <c r="AC58" s="1307"/>
      <c r="AD58" s="1307"/>
      <c r="AE58" s="1307"/>
      <c r="AF58" s="1283"/>
      <c r="AG58" s="1307"/>
      <c r="AH58" s="1307"/>
      <c r="AI58" s="1307"/>
      <c r="AJ58" s="1307"/>
      <c r="AK58" s="1307"/>
      <c r="AL58" s="1283"/>
      <c r="AM58" s="1307"/>
      <c r="AN58" s="1307"/>
      <c r="AO58" s="1307"/>
      <c r="AP58" s="1307"/>
      <c r="AQ58" s="1307"/>
      <c r="AR58" s="1283"/>
      <c r="AS58" s="1307"/>
      <c r="AT58" s="1307"/>
      <c r="AU58" s="1307"/>
      <c r="AV58" s="1307"/>
      <c r="AW58" s="1307"/>
      <c r="AX58" s="1283"/>
      <c r="AY58" s="1307"/>
      <c r="AZ58" s="1307"/>
      <c r="BA58" s="1307"/>
      <c r="BB58" s="1307"/>
      <c r="BC58" s="1307"/>
      <c r="BD58" s="1283"/>
      <c r="BE58" s="1307"/>
      <c r="BF58" s="1307"/>
      <c r="BG58" s="1307"/>
      <c r="BH58" s="1307"/>
      <c r="BI58" s="1307"/>
      <c r="BJ58" s="1283"/>
      <c r="BK58" s="1307"/>
      <c r="BL58" s="1307"/>
      <c r="BM58" s="1307"/>
      <c r="BN58" s="1307"/>
      <c r="BO58" s="1307"/>
      <c r="BP58" s="1283"/>
      <c r="BQ58" s="1307"/>
      <c r="BR58" s="1307"/>
      <c r="BS58" s="1307"/>
      <c r="BT58" s="1307"/>
      <c r="BU58" s="1307"/>
      <c r="BV58" s="1283"/>
      <c r="BW58" s="1307"/>
      <c r="BX58" s="1307"/>
      <c r="BY58" s="1307"/>
      <c r="BZ58" s="1307"/>
      <c r="CA58" s="1307"/>
      <c r="CB58" s="1283"/>
      <c r="CC58" s="1307"/>
      <c r="CD58" s="1307"/>
      <c r="CE58" s="1307"/>
      <c r="CF58" s="1307"/>
      <c r="CG58" s="1308"/>
      <c r="CH58" s="1283"/>
      <c r="CI58" s="1307"/>
      <c r="CJ58" s="1307"/>
      <c r="CK58" s="1307"/>
      <c r="CL58" s="1307"/>
      <c r="CM58" s="1308"/>
      <c r="CN58" s="1283"/>
      <c r="CO58" s="1307"/>
      <c r="CP58" s="1307"/>
      <c r="CQ58" s="1307"/>
      <c r="CR58" s="1307"/>
      <c r="CS58" s="1308"/>
      <c r="CT58" s="1283"/>
      <c r="CU58" s="1307"/>
      <c r="CV58" s="1307"/>
      <c r="CW58" s="1307"/>
      <c r="CX58" s="1307"/>
      <c r="CY58" s="1308"/>
      <c r="CZ58" s="1283"/>
      <c r="DA58" s="1307"/>
      <c r="DB58" s="1307"/>
      <c r="DC58" s="1307"/>
      <c r="DD58" s="1307"/>
      <c r="DE58" s="1308"/>
      <c r="DF58" s="1283"/>
      <c r="DG58" s="1307"/>
      <c r="DH58" s="1307"/>
      <c r="DI58" s="1307"/>
      <c r="DJ58" s="1307"/>
      <c r="DK58" s="1308"/>
      <c r="DL58" s="1283"/>
      <c r="DM58" s="1307"/>
      <c r="DN58" s="1307"/>
      <c r="DO58" s="1307"/>
      <c r="DP58" s="1307"/>
      <c r="DQ58" s="1308"/>
      <c r="DR58" s="1283"/>
      <c r="DS58" s="1307" t="e">
        <f>DS56/DP56-1</f>
        <v>#DIV/0!</v>
      </c>
      <c r="DT58" s="1307">
        <f>DT56/DS56-1</f>
        <v>-2.4318349299926267E-2</v>
      </c>
      <c r="DU58" s="1307">
        <f>DU56/DT56-1</f>
        <v>-6.1178247734138935E-2</v>
      </c>
      <c r="DV58" s="1307">
        <f>DV56/DU56-1</f>
        <v>0.15446500402252616</v>
      </c>
      <c r="DW58" s="1308"/>
      <c r="DX58" s="1283"/>
      <c r="DY58" s="1307">
        <f>DY56/DV56-1</f>
        <v>-0.11777003484320558</v>
      </c>
      <c r="DZ58" s="1307">
        <f>DZ56/DY56-1</f>
        <v>4.8183254344391857E-2</v>
      </c>
      <c r="EA58" s="1307">
        <f>EA56/DZ56-1</f>
        <v>-1.5071590052750938E-3</v>
      </c>
      <c r="EB58" s="1307">
        <f>EB56/EA56-1</f>
        <v>0.10716981132075465</v>
      </c>
      <c r="EC58" s="1308"/>
      <c r="ED58" s="1283"/>
      <c r="EE58" s="1307">
        <f>EE56/EB56-1</f>
        <v>-0.20518064076346287</v>
      </c>
      <c r="EF58" s="1307">
        <f>EF56/EE56-1</f>
        <v>0.14579759862778729</v>
      </c>
      <c r="EG58" s="1307">
        <f>EG56/EF56-1</f>
        <v>-2.6946107784431184E-2</v>
      </c>
      <c r="EH58" s="1307">
        <f>EH56/EG56-1</f>
        <v>8.3076923076923048E-2</v>
      </c>
      <c r="EI58" s="1308"/>
      <c r="EJ58" s="1283"/>
      <c r="EK58" s="1307">
        <f>EK56/EH56-1</f>
        <v>-0.19815340909090906</v>
      </c>
      <c r="EL58" s="1307">
        <f>EL56/EK56-1</f>
        <v>-5.3144375553587642E-3</v>
      </c>
      <c r="EM58" s="1307">
        <f>EM56/EL56-1</f>
        <v>1.0685663401602818E-2</v>
      </c>
      <c r="EN58" s="1307">
        <f>EN56/EM56-1</f>
        <v>0.13039647577092506</v>
      </c>
      <c r="EO58" s="1308"/>
      <c r="EP58" s="1283"/>
      <c r="EQ58" s="1307">
        <f>EQ56/EN56-1</f>
        <v>-0.22369446609508958</v>
      </c>
      <c r="ER58" s="1307">
        <f>ER56/EQ56-1</f>
        <v>1.8072289156626509E-2</v>
      </c>
      <c r="ES58" s="1307">
        <f>ES56/ER56-1</f>
        <v>1.3806706114398493E-2</v>
      </c>
      <c r="ET58" s="1307">
        <f>ET56/ES56-1</f>
        <v>8.3657587548638057E-2</v>
      </c>
      <c r="EU58" s="1308"/>
      <c r="EV58" s="1283"/>
      <c r="EW58" s="1307">
        <f>EW56/ET56-1</f>
        <v>-0.15350089766606823</v>
      </c>
      <c r="EX58" s="1307">
        <f>EX56/EW56-1</f>
        <v>-3.1813361611876534E-3</v>
      </c>
      <c r="EY58" s="1307">
        <f>EY56/EX56-1</f>
        <v>5.7446808510638325E-2</v>
      </c>
      <c r="EZ58" s="1307">
        <f>EZ56/EY56-1</f>
        <v>3.521036217303819E-2</v>
      </c>
      <c r="FA58" s="1308"/>
      <c r="FB58" s="1283"/>
      <c r="FC58" s="1307">
        <f>FC56/EZ56-1</f>
        <v>-0.22555568979868801</v>
      </c>
      <c r="FD58" s="1307">
        <f>FD56/FC56-1</f>
        <v>1.9282838035381777E-2</v>
      </c>
      <c r="FE58" s="1307">
        <f>FE56/FD56-1</f>
        <v>2.543541484727796E-2</v>
      </c>
      <c r="FF58" s="1307">
        <f>FF56/FE56-1</f>
        <v>4.2477499654712592E-2</v>
      </c>
      <c r="FG58" s="1308"/>
      <c r="FH58" s="1283"/>
      <c r="FI58" s="1307">
        <f>FI56/FF56-1</f>
        <v>-0.18728915392218126</v>
      </c>
      <c r="FJ58" s="1307">
        <f>FJ56/FI56-1</f>
        <v>5.9676776465298342E-3</v>
      </c>
      <c r="FK58" s="1307">
        <f>FK56/FJ56-1</f>
        <v>1.8805498450503055E-2</v>
      </c>
      <c r="FL58" s="1307">
        <f>FL56/FK56-1</f>
        <v>3.6627774718747785E-2</v>
      </c>
      <c r="FM58" s="1308"/>
      <c r="FN58" s="1123"/>
      <c r="FO58" s="235"/>
      <c r="FS58" s="235"/>
      <c r="GI58"/>
      <c r="GJ58"/>
      <c r="GK58"/>
      <c r="GL58"/>
      <c r="GM58"/>
      <c r="GN58"/>
      <c r="GP58" s="614"/>
      <c r="GQ58" s="614"/>
      <c r="GR58" s="614"/>
      <c r="GS58" s="614"/>
      <c r="GT58" s="614"/>
      <c r="GU58" s="614"/>
      <c r="GV58" s="614"/>
      <c r="GW58" s="614"/>
      <c r="GX58" s="614"/>
      <c r="GY58" s="614"/>
      <c r="GZ58" s="614"/>
      <c r="HA58" s="614"/>
      <c r="HB58" s="614"/>
      <c r="HC58" s="614"/>
      <c r="HD58" s="614"/>
      <c r="HE58" s="614"/>
      <c r="HF58" s="614"/>
      <c r="HG58" s="614"/>
      <c r="HH58" s="614"/>
      <c r="HI58" s="614"/>
      <c r="HJ58" s="614"/>
      <c r="HK58" s="614"/>
      <c r="HL58" s="614"/>
      <c r="HM58" s="614"/>
      <c r="HN58" s="614"/>
      <c r="HO58" s="614"/>
      <c r="HP58" s="614"/>
      <c r="HQ58" s="614"/>
      <c r="HR58" s="614"/>
      <c r="HS58" s="614"/>
      <c r="HT58" s="614"/>
      <c r="HU58" s="614"/>
      <c r="HV58" s="614"/>
      <c r="HW58" s="614"/>
      <c r="HX58" s="614"/>
      <c r="HY58" s="614"/>
      <c r="HZ58" s="614"/>
      <c r="IA58" s="614"/>
      <c r="IB58" s="614"/>
      <c r="IC58" s="614"/>
      <c r="ID58" s="614"/>
      <c r="IE58" s="614"/>
      <c r="IF58" s="614"/>
      <c r="IG58" s="614"/>
      <c r="IH58" s="614"/>
      <c r="II58" s="614"/>
      <c r="IJ58" s="614"/>
      <c r="IK58" s="614"/>
      <c r="IL58" s="614"/>
      <c r="IM58" s="614"/>
      <c r="IN58" s="614"/>
      <c r="IO58" s="614"/>
      <c r="IP58" s="614"/>
      <c r="IQ58" s="614"/>
      <c r="IR58" s="614"/>
      <c r="IS58" s="614"/>
      <c r="IT58" s="614"/>
      <c r="IU58" s="614"/>
      <c r="IV58" s="614"/>
      <c r="IW58" s="614"/>
      <c r="IX58" s="614"/>
      <c r="IY58" s="614"/>
      <c r="IZ58" s="614"/>
      <c r="JA58" s="614"/>
      <c r="JB58" s="614"/>
      <c r="JC58" s="614"/>
      <c r="JD58" s="614"/>
      <c r="JE58" s="614"/>
      <c r="JF58" s="614"/>
      <c r="JG58" s="614"/>
      <c r="JH58" s="614"/>
      <c r="JI58" s="614"/>
      <c r="JJ58" s="614"/>
      <c r="JK58" s="614"/>
      <c r="JL58" s="614"/>
      <c r="JM58" s="614"/>
      <c r="JN58" s="614"/>
      <c r="JO58" s="614"/>
      <c r="JP58" s="614"/>
      <c r="JQ58" s="614"/>
      <c r="JR58" s="614"/>
      <c r="JS58" s="614"/>
      <c r="JT58" s="614"/>
      <c r="JU58" s="614"/>
    </row>
    <row r="59" spans="1:281" s="33" customFormat="1" ht="3.95" customHeight="1" x14ac:dyDescent="0.2">
      <c r="A59" s="127"/>
      <c r="B59" s="949"/>
      <c r="C59" s="272"/>
      <c r="D59" s="272"/>
      <c r="E59" s="272"/>
      <c r="F59" s="272"/>
      <c r="G59" s="272"/>
      <c r="H59" s="272"/>
      <c r="I59" s="272"/>
      <c r="J59" s="272"/>
      <c r="K59" s="272"/>
      <c r="L59" s="272"/>
      <c r="M59" s="37"/>
      <c r="N59" s="242"/>
      <c r="O59" s="272"/>
      <c r="P59" s="272"/>
      <c r="Q59" s="272"/>
      <c r="R59" s="272"/>
      <c r="S59" s="272"/>
      <c r="T59" s="242"/>
      <c r="U59" s="272"/>
      <c r="V59" s="272"/>
      <c r="W59" s="272"/>
      <c r="X59" s="272"/>
      <c r="Y59" s="272"/>
      <c r="Z59" s="242"/>
      <c r="AA59" s="64"/>
      <c r="AB59" s="64"/>
      <c r="AC59" s="64"/>
      <c r="AD59" s="64"/>
      <c r="AE59" s="64"/>
      <c r="AF59" s="242"/>
      <c r="AG59" s="64"/>
      <c r="AH59" s="64"/>
      <c r="AI59" s="64"/>
      <c r="AJ59" s="64"/>
      <c r="AK59" s="64"/>
      <c r="AL59" s="242"/>
      <c r="AM59" s="64"/>
      <c r="AN59" s="64"/>
      <c r="AO59" s="64"/>
      <c r="AP59" s="64"/>
      <c r="AQ59" s="64"/>
      <c r="AR59" s="242"/>
      <c r="AS59" s="64"/>
      <c r="AT59" s="64"/>
      <c r="AU59" s="64"/>
      <c r="AV59" s="64"/>
      <c r="AW59" s="64"/>
      <c r="AX59" s="242"/>
      <c r="AY59" s="64"/>
      <c r="AZ59" s="64"/>
      <c r="BA59" s="64"/>
      <c r="BB59" s="64"/>
      <c r="BC59" s="64"/>
      <c r="BD59" s="242"/>
      <c r="BE59" s="64"/>
      <c r="BF59" s="64"/>
      <c r="BG59" s="64"/>
      <c r="BH59" s="64"/>
      <c r="BI59" s="64"/>
      <c r="BJ59" s="242"/>
      <c r="BK59" s="64"/>
      <c r="BL59" s="64"/>
      <c r="BM59" s="64"/>
      <c r="BN59" s="64"/>
      <c r="BO59" s="64"/>
      <c r="BP59" s="242"/>
      <c r="BQ59" s="64"/>
      <c r="BR59" s="64"/>
      <c r="BS59" s="64"/>
      <c r="BT59" s="64"/>
      <c r="BU59" s="64"/>
      <c r="BV59" s="242"/>
      <c r="BW59" s="64"/>
      <c r="BX59" s="64"/>
      <c r="BY59" s="64"/>
      <c r="BZ59" s="64"/>
      <c r="CA59" s="64"/>
      <c r="CB59" s="242"/>
      <c r="CC59" s="64"/>
      <c r="CD59" s="64"/>
      <c r="CE59" s="64"/>
      <c r="CF59" s="64"/>
      <c r="CG59" s="360"/>
      <c r="CH59" s="242"/>
      <c r="CI59" s="64"/>
      <c r="CJ59" s="64"/>
      <c r="CK59" s="64"/>
      <c r="CL59" s="64"/>
      <c r="CM59" s="360"/>
      <c r="CN59" s="242"/>
      <c r="CO59" s="64"/>
      <c r="CP59" s="64"/>
      <c r="CQ59" s="64"/>
      <c r="CR59" s="64"/>
      <c r="CS59" s="360"/>
      <c r="CT59" s="242"/>
      <c r="CU59" s="64"/>
      <c r="CV59" s="64"/>
      <c r="CW59" s="64"/>
      <c r="CX59" s="64"/>
      <c r="CY59" s="360"/>
      <c r="CZ59" s="242"/>
      <c r="DA59" s="64"/>
      <c r="DB59" s="64"/>
      <c r="DC59" s="243"/>
      <c r="DD59" s="243"/>
      <c r="DE59" s="143"/>
      <c r="DF59" s="242"/>
      <c r="DG59" s="243"/>
      <c r="DH59" s="243"/>
      <c r="DI59" s="243"/>
      <c r="DJ59" s="243"/>
      <c r="DK59" s="143"/>
      <c r="DL59" s="242"/>
      <c r="DM59" s="243"/>
      <c r="DN59" s="243"/>
      <c r="DO59" s="243"/>
      <c r="DP59" s="243"/>
      <c r="DQ59" s="143"/>
      <c r="DR59" s="242"/>
      <c r="DS59" s="243"/>
      <c r="DT59" s="243"/>
      <c r="DU59" s="243"/>
      <c r="DV59" s="243"/>
      <c r="DW59" s="143"/>
      <c r="DX59" s="242"/>
      <c r="DY59" s="243"/>
      <c r="DZ59" s="243"/>
      <c r="EA59" s="243"/>
      <c r="EB59" s="243"/>
      <c r="EC59" s="143"/>
      <c r="ED59" s="242"/>
      <c r="EE59" s="243"/>
      <c r="EF59" s="243"/>
      <c r="EG59" s="243"/>
      <c r="EH59" s="243"/>
      <c r="EI59" s="143"/>
      <c r="EJ59" s="242"/>
      <c r="EK59" s="243"/>
      <c r="EL59" s="243"/>
      <c r="EM59" s="243"/>
      <c r="EN59" s="243"/>
      <c r="EO59" s="143"/>
      <c r="EP59" s="242"/>
      <c r="EQ59" s="243"/>
      <c r="ER59" s="243"/>
      <c r="ES59" s="243"/>
      <c r="ET59" s="243"/>
      <c r="EU59" s="143"/>
      <c r="EV59" s="242"/>
      <c r="EW59" s="243"/>
      <c r="EX59" s="243"/>
      <c r="EY59" s="243"/>
      <c r="EZ59" s="243"/>
      <c r="FA59" s="143"/>
      <c r="FB59" s="242"/>
      <c r="FC59" s="243"/>
      <c r="FD59" s="243"/>
      <c r="FE59" s="243"/>
      <c r="FF59" s="243"/>
      <c r="FG59" s="143"/>
      <c r="FH59" s="242"/>
      <c r="FI59" s="243"/>
      <c r="FJ59" s="243"/>
      <c r="FK59" s="243"/>
      <c r="FL59" s="243"/>
      <c r="FM59" s="143"/>
      <c r="FN59" s="226"/>
      <c r="FO59" s="227"/>
      <c r="FS59" s="227"/>
      <c r="GI59"/>
      <c r="GJ59"/>
      <c r="GK59"/>
      <c r="GL59"/>
      <c r="GM59"/>
      <c r="GN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</row>
    <row r="60" spans="1:281" s="37" customFormat="1" ht="10.5" hidden="1" customHeight="1" outlineLevel="1" x14ac:dyDescent="0.2">
      <c r="A60" s="1862" t="s">
        <v>643</v>
      </c>
      <c r="B60" s="1152" t="s">
        <v>97</v>
      </c>
      <c r="C60" s="1325"/>
      <c r="D60" s="1325"/>
      <c r="E60" s="1325"/>
      <c r="F60" s="1325"/>
      <c r="G60" s="1325"/>
      <c r="H60" s="1325"/>
      <c r="I60" s="1325"/>
      <c r="J60" s="1325"/>
      <c r="K60" s="1325"/>
      <c r="L60" s="1325"/>
      <c r="M60" s="1325"/>
      <c r="N60" s="1324"/>
      <c r="O60" s="1326"/>
      <c r="P60" s="1327"/>
      <c r="Q60" s="1327"/>
      <c r="R60" s="1327"/>
      <c r="S60" s="1328"/>
      <c r="T60" s="1324"/>
      <c r="U60" s="1327"/>
      <c r="V60" s="1327"/>
      <c r="W60" s="1327"/>
      <c r="X60" s="1327"/>
      <c r="Y60" s="1328"/>
      <c r="Z60" s="1324"/>
      <c r="AA60" s="1327"/>
      <c r="AB60" s="1327"/>
      <c r="AC60" s="1327"/>
      <c r="AD60" s="1327"/>
      <c r="AE60" s="1328"/>
      <c r="AF60" s="1324"/>
      <c r="AG60" s="1327"/>
      <c r="AH60" s="1327"/>
      <c r="AI60" s="1327"/>
      <c r="AJ60" s="1327"/>
      <c r="AK60" s="1328"/>
      <c r="AL60" s="1324"/>
      <c r="AM60" s="1327"/>
      <c r="AN60" s="1327"/>
      <c r="AO60" s="1327"/>
      <c r="AP60" s="1327"/>
      <c r="AQ60" s="1328"/>
      <c r="AR60" s="1324"/>
      <c r="AS60" s="1327"/>
      <c r="AT60" s="1327"/>
      <c r="AU60" s="1327"/>
      <c r="AV60" s="1327"/>
      <c r="AW60" s="1328"/>
      <c r="AX60" s="1324"/>
      <c r="AY60" s="1327"/>
      <c r="AZ60" s="1327"/>
      <c r="BA60" s="1327"/>
      <c r="BB60" s="1327"/>
      <c r="BC60" s="1328"/>
      <c r="BD60" s="1324"/>
      <c r="BE60" s="1327"/>
      <c r="BF60" s="1327"/>
      <c r="BG60" s="1327"/>
      <c r="BH60" s="1327"/>
      <c r="BI60" s="1328"/>
      <c r="BJ60" s="1324"/>
      <c r="BK60" s="1327"/>
      <c r="BL60" s="1327"/>
      <c r="BM60" s="1327"/>
      <c r="BN60" s="1327"/>
      <c r="BO60" s="1328"/>
      <c r="BP60" s="1324"/>
      <c r="BQ60" s="1327"/>
      <c r="BR60" s="1327"/>
      <c r="BS60" s="1327"/>
      <c r="BT60" s="1327"/>
      <c r="BU60" s="1328"/>
      <c r="BV60" s="1324"/>
      <c r="BW60" s="1327"/>
      <c r="BX60" s="1327"/>
      <c r="BY60" s="1327"/>
      <c r="BZ60" s="1327"/>
      <c r="CA60" s="1328"/>
      <c r="CB60" s="1324"/>
      <c r="CC60" s="1327"/>
      <c r="CD60" s="1327"/>
      <c r="CE60" s="1327"/>
      <c r="CF60" s="1327"/>
      <c r="CG60" s="1329"/>
      <c r="CH60" s="1324"/>
      <c r="CI60" s="1330">
        <v>1959.4790945059335</v>
      </c>
      <c r="CJ60" s="1330">
        <v>2260.0028128841691</v>
      </c>
      <c r="CK60" s="1330">
        <v>2059.7374969895491</v>
      </c>
      <c r="CL60" s="1331">
        <v>2492.2946203874772</v>
      </c>
      <c r="CM60" s="1332"/>
      <c r="CN60" s="1333"/>
      <c r="CO60" s="1330">
        <v>1980.1494455159589</v>
      </c>
      <c r="CP60" s="1330">
        <v>2249.124097046581</v>
      </c>
      <c r="CQ60" s="1330">
        <v>2003.3927164671668</v>
      </c>
      <c r="CR60" s="1331">
        <v>2385.7029060167797</v>
      </c>
      <c r="CS60" s="1332"/>
      <c r="CT60" s="1333"/>
      <c r="CU60" s="1330">
        <v>1763.6694399238518</v>
      </c>
      <c r="CV60" s="1330">
        <v>1939.3743479011277</v>
      </c>
      <c r="CW60" s="1330">
        <v>1519.4883922874196</v>
      </c>
      <c r="CX60" s="1331">
        <v>1482.1293021673114</v>
      </c>
      <c r="CY60" s="1332"/>
      <c r="CZ60" s="1324"/>
      <c r="DA60" s="1330">
        <v>1187</v>
      </c>
      <c r="DB60" s="1330">
        <v>1467.5</v>
      </c>
      <c r="DC60" s="1149">
        <v>273</v>
      </c>
      <c r="DD60" s="1149">
        <v>1233</v>
      </c>
      <c r="DE60" s="1151">
        <f>SUM(DC60:DD60)</f>
        <v>1506</v>
      </c>
      <c r="DF60" s="1148"/>
      <c r="DG60" s="1149">
        <v>1079</v>
      </c>
      <c r="DH60" s="1149">
        <v>1112</v>
      </c>
      <c r="DI60" s="1149">
        <v>1035</v>
      </c>
      <c r="DJ60" s="1149">
        <v>1157</v>
      </c>
      <c r="DK60" s="1151">
        <f>SUM(DG60:DJ60)</f>
        <v>4383</v>
      </c>
      <c r="DL60" s="1148"/>
      <c r="DM60" s="1149">
        <v>1029</v>
      </c>
      <c r="DN60" s="1149">
        <v>953</v>
      </c>
      <c r="DO60" s="1149">
        <v>869</v>
      </c>
      <c r="DP60" s="1149">
        <v>977</v>
      </c>
      <c r="DQ60" s="1151">
        <f>SUM(DM60:DP60)</f>
        <v>3828</v>
      </c>
      <c r="DR60" s="1160"/>
      <c r="DS60" s="1149">
        <v>779</v>
      </c>
      <c r="DT60" s="1149">
        <v>734</v>
      </c>
      <c r="DU60" s="1149">
        <f>671</f>
        <v>671</v>
      </c>
      <c r="DV60" s="1149">
        <f>849</f>
        <v>849</v>
      </c>
      <c r="DW60" s="1151">
        <f>SUM(DS60:DV60)</f>
        <v>3033</v>
      </c>
      <c r="DX60" s="1160"/>
      <c r="DY60" s="1149">
        <v>669</v>
      </c>
      <c r="DZ60" s="1149">
        <f>714</f>
        <v>714</v>
      </c>
      <c r="EA60" s="1149">
        <f>725</f>
        <v>725</v>
      </c>
      <c r="EB60" s="1149">
        <v>870</v>
      </c>
      <c r="EC60" s="1151">
        <f>SUM(DY60:EB60)</f>
        <v>2978</v>
      </c>
      <c r="ED60" s="1160"/>
      <c r="EE60" s="1149">
        <v>578</v>
      </c>
      <c r="EF60" s="1149">
        <v>717</v>
      </c>
      <c r="EG60" s="1689">
        <v>712</v>
      </c>
      <c r="EH60" s="1149">
        <v>818</v>
      </c>
      <c r="EI60" s="1151">
        <f>SUM(EE60:EH60)</f>
        <v>2825</v>
      </c>
      <c r="EJ60" s="1160"/>
      <c r="EK60" s="1149">
        <v>570</v>
      </c>
      <c r="EL60" s="1149">
        <v>573</v>
      </c>
      <c r="EM60" s="1149">
        <v>604</v>
      </c>
      <c r="EN60" s="1149">
        <v>725</v>
      </c>
      <c r="EO60" s="1151">
        <f>SUM(EK60:EN60)</f>
        <v>2472</v>
      </c>
      <c r="EP60" s="1160"/>
      <c r="EQ60" s="1149">
        <v>462</v>
      </c>
      <c r="ER60" s="1149">
        <v>497</v>
      </c>
      <c r="ES60" s="1149">
        <v>520</v>
      </c>
      <c r="ET60" s="1149">
        <v>597</v>
      </c>
      <c r="EU60" s="1151">
        <f>SUM(EQ60:ET60)</f>
        <v>2076</v>
      </c>
      <c r="EV60" s="1160"/>
      <c r="EW60" s="1866">
        <f>EQ60*(1+EW61)</f>
        <v>388.08</v>
      </c>
      <c r="EX60" s="1866">
        <f>ER60*(1+EX61)</f>
        <v>417.47999999999996</v>
      </c>
      <c r="EY60" s="1866">
        <f>ES60*(1+EY61)</f>
        <v>457.6</v>
      </c>
      <c r="EZ60" s="1149">
        <f>ET60*(1+EZ61)</f>
        <v>519.39</v>
      </c>
      <c r="FA60" s="1151">
        <f>SUM(EW60:EZ60)</f>
        <v>1782.5499999999997</v>
      </c>
      <c r="FB60" s="1160"/>
      <c r="FC60" s="1149">
        <f>EW60*(1+FC61)</f>
        <v>329.86799999999999</v>
      </c>
      <c r="FD60" s="1149">
        <f>EX60*(1+FD61)</f>
        <v>354.85799999999995</v>
      </c>
      <c r="FE60" s="1149">
        <f>EY60*(1+FE61)</f>
        <v>388.96000000000004</v>
      </c>
      <c r="FF60" s="1149">
        <f>EZ60*(1+FF61)</f>
        <v>441.48149999999998</v>
      </c>
      <c r="FG60" s="1151">
        <f>SUM(FC60:FF60)</f>
        <v>1515.1675</v>
      </c>
      <c r="FH60" s="1160"/>
      <c r="FI60" s="1149">
        <f>FC60*(1+FI61)</f>
        <v>280.38779999999997</v>
      </c>
      <c r="FJ60" s="1149">
        <f>FD60*(1+FJ61)</f>
        <v>301.62929999999994</v>
      </c>
      <c r="FK60" s="1149">
        <f>FE60*(1+FK61)</f>
        <v>330.61600000000004</v>
      </c>
      <c r="FL60" s="1149">
        <f>FF60*(1+FL61)</f>
        <v>375.259275</v>
      </c>
      <c r="FM60" s="1151">
        <f>SUM(FI60:FL60)</f>
        <v>1287.8923749999999</v>
      </c>
      <c r="FN60" s="264"/>
      <c r="FO60" s="286"/>
      <c r="FP60" s="284"/>
      <c r="FQ60" s="284"/>
      <c r="FR60" s="284"/>
      <c r="FS60" s="1708">
        <f>DC60+DD60+DG60+DH60</f>
        <v>3697</v>
      </c>
      <c r="FT60" s="1709">
        <f>DI60+DJ60+DM60+DN60</f>
        <v>4174</v>
      </c>
      <c r="FU60" s="1709">
        <f>DO60+DP60+DS60+DT60</f>
        <v>3359</v>
      </c>
      <c r="FV60" s="1709">
        <f>DY60+DV60+DZ60+DU60</f>
        <v>2903</v>
      </c>
      <c r="FW60" s="1709">
        <f>EA60+EB60+EE60+EF60</f>
        <v>2890</v>
      </c>
      <c r="FX60" s="1709">
        <f>EG60+EH60+EK60+EL60</f>
        <v>2673</v>
      </c>
      <c r="FY60" s="1709">
        <f>EM60+EN60+EQ60+ER60</f>
        <v>2288</v>
      </c>
      <c r="FZ60" s="1709">
        <f>ES60+ET60+EW60+EX60</f>
        <v>1922.56</v>
      </c>
      <c r="GA60" s="1709">
        <f>EY60+EZ60+FC60+FD60</f>
        <v>1661.7159999999999</v>
      </c>
      <c r="GB60" s="1709">
        <f>FE60+FF60+FI60+FJ60</f>
        <v>1412.4585999999999</v>
      </c>
      <c r="GC60" s="243"/>
      <c r="GD60" s="243"/>
      <c r="GE60" s="243"/>
      <c r="GF60" s="243"/>
      <c r="GI60"/>
      <c r="GJ60"/>
      <c r="GK60"/>
      <c r="GL60"/>
      <c r="GM60"/>
      <c r="GN60"/>
      <c r="GP60" s="24"/>
      <c r="GQ60" s="24"/>
      <c r="GR60" s="24"/>
      <c r="GS60" s="24"/>
      <c r="GT60" s="24"/>
      <c r="GU60" s="24"/>
      <c r="GV60" s="24"/>
      <c r="GW60" s="24"/>
      <c r="GX60" s="24"/>
      <c r="GY60" s="24"/>
      <c r="GZ60" s="24"/>
      <c r="HA60" s="24"/>
      <c r="HB60" s="24"/>
      <c r="HC60" s="24"/>
      <c r="HD60" s="24"/>
      <c r="HE60" s="24"/>
      <c r="HF60" s="24"/>
      <c r="HG60" s="24"/>
      <c r="HH60" s="24"/>
      <c r="HI60" s="24"/>
      <c r="HJ60" s="24"/>
      <c r="HK60" s="24"/>
      <c r="HL60" s="24"/>
      <c r="HM60" s="24"/>
      <c r="HN60" s="24"/>
      <c r="HO60" s="24"/>
      <c r="HP60" s="24"/>
      <c r="HQ60" s="24"/>
      <c r="HR60" s="24"/>
      <c r="HS60" s="24"/>
      <c r="HT60" s="24"/>
      <c r="HU60" s="24"/>
      <c r="HV60" s="24"/>
      <c r="HW60" s="24"/>
      <c r="HX60" s="24"/>
      <c r="HY60" s="24"/>
      <c r="HZ60" s="24"/>
      <c r="IA60" s="24"/>
      <c r="IB60" s="24"/>
      <c r="IC60" s="24"/>
      <c r="ID60" s="24"/>
      <c r="IE60" s="24"/>
      <c r="IF60" s="24"/>
      <c r="IG60" s="24"/>
      <c r="IH60" s="24"/>
      <c r="II60" s="24"/>
      <c r="IJ60" s="24"/>
      <c r="IK60" s="24"/>
      <c r="IL60" s="24"/>
      <c r="IM60" s="24"/>
      <c r="IN60" s="24"/>
      <c r="IO60" s="24"/>
      <c r="IP60" s="24"/>
      <c r="IQ60" s="24"/>
      <c r="IR60" s="24"/>
      <c r="IS60" s="24"/>
      <c r="IT60" s="24"/>
      <c r="IU60" s="24"/>
      <c r="IV60" s="24"/>
      <c r="IW60" s="24"/>
      <c r="IX60" s="24"/>
      <c r="IY60" s="24"/>
      <c r="IZ60" s="24"/>
      <c r="JA60" s="24"/>
      <c r="JB60" s="24"/>
      <c r="JC60" s="24"/>
      <c r="JD60" s="24"/>
      <c r="JE60" s="24"/>
      <c r="JF60" s="24"/>
      <c r="JG60" s="24"/>
      <c r="JH60" s="24"/>
      <c r="JI60" s="24"/>
      <c r="JJ60" s="24"/>
      <c r="JK60" s="24"/>
      <c r="JL60" s="24"/>
      <c r="JM60" s="24"/>
      <c r="JN60" s="24"/>
      <c r="JO60" s="24"/>
      <c r="JP60" s="24"/>
      <c r="JQ60" s="24"/>
      <c r="JR60" s="24"/>
      <c r="JS60" s="24"/>
      <c r="JT60" s="24"/>
      <c r="JU60" s="24"/>
    </row>
    <row r="61" spans="1:281" s="37" customFormat="1" ht="10.5" hidden="1" customHeight="1" outlineLevel="1" x14ac:dyDescent="0.2">
      <c r="A61" s="1288" t="s">
        <v>669</v>
      </c>
      <c r="B61" s="1265"/>
      <c r="C61" s="1266"/>
      <c r="D61" s="1266"/>
      <c r="E61" s="1266"/>
      <c r="F61" s="1266"/>
      <c r="G61" s="1266"/>
      <c r="H61" s="1266"/>
      <c r="I61" s="1266"/>
      <c r="J61" s="1266"/>
      <c r="K61" s="1266"/>
      <c r="L61" s="1266"/>
      <c r="M61" s="1266"/>
      <c r="N61" s="1268"/>
      <c r="O61" s="1269"/>
      <c r="P61" s="1267"/>
      <c r="Q61" s="1267"/>
      <c r="R61" s="1267"/>
      <c r="S61" s="1291"/>
      <c r="T61" s="1268"/>
      <c r="U61" s="1267"/>
      <c r="V61" s="1267"/>
      <c r="W61" s="1267"/>
      <c r="X61" s="1267"/>
      <c r="Y61" s="1291"/>
      <c r="Z61" s="1268"/>
      <c r="AA61" s="1267"/>
      <c r="AB61" s="1267"/>
      <c r="AC61" s="1267"/>
      <c r="AD61" s="1267"/>
      <c r="AE61" s="1291"/>
      <c r="AF61" s="1268"/>
      <c r="AG61" s="1267"/>
      <c r="AH61" s="1267"/>
      <c r="AI61" s="1267"/>
      <c r="AJ61" s="1267"/>
      <c r="AK61" s="1291"/>
      <c r="AL61" s="1268"/>
      <c r="AM61" s="1267"/>
      <c r="AN61" s="1267"/>
      <c r="AO61" s="1267"/>
      <c r="AP61" s="1267"/>
      <c r="AQ61" s="1291"/>
      <c r="AR61" s="1268"/>
      <c r="AS61" s="1267"/>
      <c r="AT61" s="1267"/>
      <c r="AU61" s="1267"/>
      <c r="AV61" s="1267"/>
      <c r="AW61" s="1291"/>
      <c r="AX61" s="1268"/>
      <c r="AY61" s="1267"/>
      <c r="AZ61" s="1267"/>
      <c r="BA61" s="1267"/>
      <c r="BB61" s="1267"/>
      <c r="BC61" s="1291"/>
      <c r="BD61" s="1268"/>
      <c r="BE61" s="1267"/>
      <c r="BF61" s="1267"/>
      <c r="BG61" s="1267"/>
      <c r="BH61" s="1267"/>
      <c r="BI61" s="1291"/>
      <c r="BJ61" s="1268"/>
      <c r="BK61" s="1267"/>
      <c r="BL61" s="1267"/>
      <c r="BM61" s="1267"/>
      <c r="BN61" s="1267"/>
      <c r="BO61" s="1291"/>
      <c r="BP61" s="1268"/>
      <c r="BQ61" s="1267"/>
      <c r="BR61" s="1267"/>
      <c r="BS61" s="1267"/>
      <c r="BT61" s="1267"/>
      <c r="BU61" s="1291"/>
      <c r="BV61" s="1268"/>
      <c r="BW61" s="1267"/>
      <c r="BX61" s="1267"/>
      <c r="BY61" s="1267"/>
      <c r="BZ61" s="1267"/>
      <c r="CA61" s="1291"/>
      <c r="CB61" s="1268"/>
      <c r="CC61" s="1267"/>
      <c r="CD61" s="1267"/>
      <c r="CE61" s="1267"/>
      <c r="CF61" s="1267"/>
      <c r="CG61" s="1290"/>
      <c r="CH61" s="1268"/>
      <c r="CI61" s="1267"/>
      <c r="CJ61" s="1267"/>
      <c r="CK61" s="1267"/>
      <c r="CL61" s="1267"/>
      <c r="CM61" s="1290"/>
      <c r="CN61" s="1268"/>
      <c r="CO61" s="1267"/>
      <c r="CP61" s="1267"/>
      <c r="CQ61" s="1267"/>
      <c r="CR61" s="1267"/>
      <c r="CS61" s="1290"/>
      <c r="CT61" s="1268"/>
      <c r="CU61" s="1267"/>
      <c r="CV61" s="1267"/>
      <c r="CW61" s="1267"/>
      <c r="CX61" s="1267"/>
      <c r="CY61" s="1290"/>
      <c r="CZ61" s="1268"/>
      <c r="DA61" s="1292"/>
      <c r="DB61" s="1292"/>
      <c r="DC61" s="1292"/>
      <c r="DD61" s="1292"/>
      <c r="DE61" s="1270"/>
      <c r="DF61" s="1268"/>
      <c r="DG61" s="1267"/>
      <c r="DH61" s="1267"/>
      <c r="DI61" s="1267"/>
      <c r="DJ61" s="1267">
        <f>DJ60/DD60-1</f>
        <v>-6.1638280616382768E-2</v>
      </c>
      <c r="DK61" s="1270">
        <f>DK60/DE60-1</f>
        <v>1.9103585657370519</v>
      </c>
      <c r="DL61" s="1268"/>
      <c r="DM61" s="1267">
        <f>DM60/DG60-1</f>
        <v>-4.6339202965709037E-2</v>
      </c>
      <c r="DN61" s="1267">
        <f>DN60/DH60-1</f>
        <v>-0.14298561151079137</v>
      </c>
      <c r="DO61" s="1267">
        <f>DO60/DI60-1</f>
        <v>-0.16038647342995171</v>
      </c>
      <c r="DP61" s="1267">
        <f>DP60/DJ60-1</f>
        <v>-0.15557476231633538</v>
      </c>
      <c r="DQ61" s="1270">
        <f>DQ60/DK60-1</f>
        <v>-0.12662559890485969</v>
      </c>
      <c r="DR61" s="1268"/>
      <c r="DS61" s="1267">
        <f>DS60/DM60-1</f>
        <v>-0.24295432458697763</v>
      </c>
      <c r="DT61" s="1267">
        <f>DT60/DN60-1</f>
        <v>-0.22980062959076597</v>
      </c>
      <c r="DU61" s="1267">
        <f>DU60/DO60-1</f>
        <v>-0.22784810126582278</v>
      </c>
      <c r="DV61" s="1267">
        <f>DV60/DP60-1</f>
        <v>-0.13101330603889461</v>
      </c>
      <c r="DW61" s="1270">
        <f>DW60/DQ60-1</f>
        <v>-0.20768025078369901</v>
      </c>
      <c r="DX61" s="1268"/>
      <c r="DY61" s="1267">
        <f>DY60/DS60-1</f>
        <v>-0.14120667522464703</v>
      </c>
      <c r="DZ61" s="1267">
        <f>DZ60/DT60-1</f>
        <v>-2.7247956403269713E-2</v>
      </c>
      <c r="EA61" s="1267">
        <f>EA60/DU60-1</f>
        <v>8.0476900149031305E-2</v>
      </c>
      <c r="EB61" s="1267">
        <f>EB60/DV60-1</f>
        <v>2.4734982332155431E-2</v>
      </c>
      <c r="EC61" s="1270">
        <f>EC60/DW60-1</f>
        <v>-1.8133860863831175E-2</v>
      </c>
      <c r="ED61" s="1268"/>
      <c r="EE61" s="1267">
        <f>EE60/DY60-1</f>
        <v>-0.13602391629297461</v>
      </c>
      <c r="EF61" s="1267">
        <f>EF60/DZ60-1</f>
        <v>4.2016806722688926E-3</v>
      </c>
      <c r="EG61" s="1267">
        <f>EG60/EA60-1</f>
        <v>-1.7931034482758568E-2</v>
      </c>
      <c r="EH61" s="1267">
        <f>EH60/EB60-1</f>
        <v>-5.9770114942528707E-2</v>
      </c>
      <c r="EI61" s="1270">
        <f>EI60/EC60-1</f>
        <v>-5.1376762928139641E-2</v>
      </c>
      <c r="EJ61" s="1268"/>
      <c r="EK61" s="1267">
        <f>EK60/EE60-1</f>
        <v>-1.384083044982698E-2</v>
      </c>
      <c r="EL61" s="1267">
        <f>EL60/EF60-1</f>
        <v>-0.20083682008368198</v>
      </c>
      <c r="EM61" s="1267">
        <f>EM60/EG60-1</f>
        <v>-0.151685393258427</v>
      </c>
      <c r="EN61" s="1267">
        <f>EN60/EH60-1</f>
        <v>-0.11369193154034229</v>
      </c>
      <c r="EO61" s="1270">
        <f>EO60/EI60-1</f>
        <v>-0.12495575221238941</v>
      </c>
      <c r="EP61" s="1268"/>
      <c r="EQ61" s="1267">
        <f>EQ60/EK60-1</f>
        <v>-0.18947368421052635</v>
      </c>
      <c r="ER61" s="1267">
        <f>ER60/EL60-1</f>
        <v>-0.13263525305410118</v>
      </c>
      <c r="ES61" s="1267">
        <f>ES60/EM60-1</f>
        <v>-0.13907284768211925</v>
      </c>
      <c r="ET61" s="1267">
        <f>ET60/EN60-1</f>
        <v>-0.17655172413793108</v>
      </c>
      <c r="EU61" s="1270">
        <f>EU60/EO60-1</f>
        <v>-0.16019417475728159</v>
      </c>
      <c r="EV61" s="1268"/>
      <c r="EW61" s="1293">
        <v>-0.16</v>
      </c>
      <c r="EX61" s="1293">
        <v>-0.16</v>
      </c>
      <c r="EY61" s="1293">
        <v>-0.12</v>
      </c>
      <c r="EZ61" s="1293">
        <v>-0.13</v>
      </c>
      <c r="FA61" s="1270">
        <f>FA60/EU60-1</f>
        <v>-0.14135356454720627</v>
      </c>
      <c r="FB61" s="1268"/>
      <c r="FC61" s="1293">
        <v>-0.15</v>
      </c>
      <c r="FD61" s="1293">
        <f>FC61</f>
        <v>-0.15</v>
      </c>
      <c r="FE61" s="1293">
        <f>FD61</f>
        <v>-0.15</v>
      </c>
      <c r="FF61" s="1293">
        <f>FE61</f>
        <v>-0.15</v>
      </c>
      <c r="FG61" s="1270">
        <f>FG60/FA60-1</f>
        <v>-0.14999999999999991</v>
      </c>
      <c r="FH61" s="1268"/>
      <c r="FI61" s="1293">
        <v>-0.15</v>
      </c>
      <c r="FJ61" s="1293">
        <f>FI61</f>
        <v>-0.15</v>
      </c>
      <c r="FK61" s="1293">
        <f>FJ61</f>
        <v>-0.15</v>
      </c>
      <c r="FL61" s="1293">
        <f>FK61</f>
        <v>-0.15</v>
      </c>
      <c r="FM61" s="1270">
        <f>FM60/FG60-1</f>
        <v>-0.15000000000000002</v>
      </c>
      <c r="FN61" s="264"/>
      <c r="FO61" s="235"/>
      <c r="FP61" s="236"/>
      <c r="FQ61" s="236"/>
      <c r="FR61" s="236"/>
      <c r="FS61" s="316"/>
      <c r="FT61" s="236">
        <f t="shared" ref="FT61:GB61" si="29">FT60/FS60-1</f>
        <v>0.12902353259399524</v>
      </c>
      <c r="FU61" s="236">
        <f t="shared" si="29"/>
        <v>-0.19525634882606613</v>
      </c>
      <c r="FV61" s="236">
        <f t="shared" si="29"/>
        <v>-0.13575468889550457</v>
      </c>
      <c r="FW61" s="236">
        <f t="shared" si="29"/>
        <v>-4.4781260764725772E-3</v>
      </c>
      <c r="FX61" s="236">
        <f t="shared" si="29"/>
        <v>-7.5086505190311459E-2</v>
      </c>
      <c r="FY61" s="236">
        <f t="shared" si="29"/>
        <v>-0.1440329218106996</v>
      </c>
      <c r="FZ61" s="236">
        <f t="shared" si="29"/>
        <v>-0.15972027972027969</v>
      </c>
      <c r="GA61" s="236">
        <f t="shared" si="29"/>
        <v>-0.13567534953395477</v>
      </c>
      <c r="GB61" s="236">
        <f t="shared" si="29"/>
        <v>-0.15000000000000002</v>
      </c>
      <c r="GC61" s="236"/>
      <c r="GD61" s="236"/>
      <c r="GE61" s="236"/>
      <c r="GF61" s="236"/>
      <c r="GI61"/>
      <c r="GJ61"/>
      <c r="GK61"/>
      <c r="GL61"/>
      <c r="GM61"/>
      <c r="GN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</row>
    <row r="62" spans="1:281" s="37" customFormat="1" ht="10.5" hidden="1" customHeight="1" outlineLevel="1" x14ac:dyDescent="0.2">
      <c r="A62" s="1863" t="s">
        <v>1101</v>
      </c>
      <c r="B62" s="1273"/>
      <c r="C62" s="1274"/>
      <c r="D62" s="1274"/>
      <c r="E62" s="1274"/>
      <c r="F62" s="1274"/>
      <c r="G62" s="1274"/>
      <c r="H62" s="1274"/>
      <c r="I62" s="1274"/>
      <c r="J62" s="1274"/>
      <c r="K62" s="1274"/>
      <c r="L62" s="1274"/>
      <c r="M62" s="1274"/>
      <c r="N62" s="1275"/>
      <c r="O62" s="1276"/>
      <c r="P62" s="1277"/>
      <c r="Q62" s="1277"/>
      <c r="R62" s="1277"/>
      <c r="S62" s="1278"/>
      <c r="T62" s="1275"/>
      <c r="U62" s="1277"/>
      <c r="V62" s="1277"/>
      <c r="W62" s="1277"/>
      <c r="X62" s="1277"/>
      <c r="Y62" s="1278"/>
      <c r="Z62" s="1275"/>
      <c r="AA62" s="1277"/>
      <c r="AB62" s="1277"/>
      <c r="AC62" s="1277"/>
      <c r="AD62" s="1277"/>
      <c r="AE62" s="1278"/>
      <c r="AF62" s="1275"/>
      <c r="AG62" s="1277"/>
      <c r="AH62" s="1277"/>
      <c r="AI62" s="1277"/>
      <c r="AJ62" s="1277"/>
      <c r="AK62" s="1278"/>
      <c r="AL62" s="1275"/>
      <c r="AM62" s="1277"/>
      <c r="AN62" s="1277"/>
      <c r="AO62" s="1277"/>
      <c r="AP62" s="1277"/>
      <c r="AQ62" s="1278"/>
      <c r="AR62" s="1275"/>
      <c r="AS62" s="1277"/>
      <c r="AT62" s="1277"/>
      <c r="AU62" s="1277"/>
      <c r="AV62" s="1277"/>
      <c r="AW62" s="1278"/>
      <c r="AX62" s="1275"/>
      <c r="AY62" s="1277"/>
      <c r="AZ62" s="1277"/>
      <c r="BA62" s="1277"/>
      <c r="BB62" s="1277"/>
      <c r="BC62" s="1278"/>
      <c r="BD62" s="1275"/>
      <c r="BE62" s="1277"/>
      <c r="BF62" s="1277"/>
      <c r="BG62" s="1277"/>
      <c r="BH62" s="1277"/>
      <c r="BI62" s="1278"/>
      <c r="BJ62" s="1275"/>
      <c r="BK62" s="1277"/>
      <c r="BL62" s="1277"/>
      <c r="BM62" s="1277"/>
      <c r="BN62" s="1277"/>
      <c r="BO62" s="1278"/>
      <c r="BP62" s="1275"/>
      <c r="BQ62" s="1277"/>
      <c r="BR62" s="1277"/>
      <c r="BS62" s="1277"/>
      <c r="BT62" s="1277"/>
      <c r="BU62" s="1278"/>
      <c r="BV62" s="1275"/>
      <c r="BW62" s="1277"/>
      <c r="BX62" s="1277"/>
      <c r="BY62" s="1277"/>
      <c r="BZ62" s="1277"/>
      <c r="CA62" s="1278"/>
      <c r="CB62" s="1275"/>
      <c r="CC62" s="1277"/>
      <c r="CD62" s="1277"/>
      <c r="CE62" s="1277"/>
      <c r="CF62" s="1277"/>
      <c r="CG62" s="1279"/>
      <c r="CH62" s="1275"/>
      <c r="CI62" s="1277"/>
      <c r="CJ62" s="1277"/>
      <c r="CK62" s="1277"/>
      <c r="CL62" s="1277"/>
      <c r="CM62" s="1279"/>
      <c r="CN62" s="1275"/>
      <c r="CO62" s="1277"/>
      <c r="CP62" s="1277"/>
      <c r="CQ62" s="1277"/>
      <c r="CR62" s="1277"/>
      <c r="CS62" s="1279"/>
      <c r="CT62" s="1275"/>
      <c r="CU62" s="1277"/>
      <c r="CV62" s="1277"/>
      <c r="CW62" s="1277"/>
      <c r="CX62" s="1277"/>
      <c r="CY62" s="1279"/>
      <c r="CZ62" s="1275"/>
      <c r="DA62" s="1294"/>
      <c r="DB62" s="1294"/>
      <c r="DC62" s="1294"/>
      <c r="DD62" s="1294"/>
      <c r="DE62" s="1279"/>
      <c r="DF62" s="1275"/>
      <c r="DG62" s="1277">
        <f>DG60/DD60-1</f>
        <v>-0.12489862124898621</v>
      </c>
      <c r="DH62" s="1277">
        <f>DH60/DG60-1</f>
        <v>3.0583873957367835E-2</v>
      </c>
      <c r="DI62" s="1277">
        <f>DI60/DH60-1</f>
        <v>-6.9244604316546776E-2</v>
      </c>
      <c r="DJ62" s="1277">
        <f>DJ60/DI60-1</f>
        <v>0.11787439613526574</v>
      </c>
      <c r="DK62" s="1279" t="s">
        <v>945</v>
      </c>
      <c r="DL62" s="1275"/>
      <c r="DM62" s="1277">
        <f>DM60/DJ60-1</f>
        <v>-0.11063094209161628</v>
      </c>
      <c r="DN62" s="1277">
        <f>DN60/DM60-1</f>
        <v>-7.3858114674441255E-2</v>
      </c>
      <c r="DO62" s="1277">
        <f>DO60/DN60-1</f>
        <v>-8.8142707240293827E-2</v>
      </c>
      <c r="DP62" s="1277">
        <f>DP60/DO60-1</f>
        <v>0.12428078250863051</v>
      </c>
      <c r="DQ62" s="1279" t="s">
        <v>945</v>
      </c>
      <c r="DR62" s="1275"/>
      <c r="DS62" s="1277">
        <f>DS60/DP60-1</f>
        <v>-0.20266120777891505</v>
      </c>
      <c r="DT62" s="1277">
        <f>DT60/DS60-1</f>
        <v>-5.7766367137355612E-2</v>
      </c>
      <c r="DU62" s="1277">
        <f>DU60/DT60-1</f>
        <v>-8.5831062670299718E-2</v>
      </c>
      <c r="DV62" s="1277">
        <f>DV60/DU60-1</f>
        <v>0.26527570789865873</v>
      </c>
      <c r="DW62" s="1279" t="s">
        <v>945</v>
      </c>
      <c r="DX62" s="1275"/>
      <c r="DY62" s="1277">
        <f>DY60/DV60-1</f>
        <v>-0.21201413427561833</v>
      </c>
      <c r="DZ62" s="1277">
        <f>DZ60/DY60-1</f>
        <v>6.7264573991031362E-2</v>
      </c>
      <c r="EA62" s="1277">
        <f>EA60/DZ60-1</f>
        <v>1.540616246498594E-2</v>
      </c>
      <c r="EB62" s="1277">
        <f>EB60/EA60-1</f>
        <v>0.19999999999999996</v>
      </c>
      <c r="EC62" s="1279" t="s">
        <v>945</v>
      </c>
      <c r="ED62" s="1275"/>
      <c r="EE62" s="1277">
        <f>EE60/EB60-1</f>
        <v>-0.33563218390804594</v>
      </c>
      <c r="EF62" s="1277">
        <f>EF60/EE60-1</f>
        <v>0.24048442906574397</v>
      </c>
      <c r="EG62" s="1277">
        <f>EG60/EF60-1</f>
        <v>-6.9735006973500324E-3</v>
      </c>
      <c r="EH62" s="1277">
        <f>EH60/EG60-1</f>
        <v>0.148876404494382</v>
      </c>
      <c r="EI62" s="1279" t="s">
        <v>945</v>
      </c>
      <c r="EJ62" s="1275"/>
      <c r="EK62" s="1277">
        <f>EK60/EH60-1</f>
        <v>-0.30317848410757942</v>
      </c>
      <c r="EL62" s="1277">
        <f>EL60/EK60-1</f>
        <v>5.2631578947368585E-3</v>
      </c>
      <c r="EM62" s="1277">
        <f>EM60/EL60-1</f>
        <v>5.4101221640488584E-2</v>
      </c>
      <c r="EN62" s="1277">
        <f>EN60/EM60-1</f>
        <v>0.20033112582781465</v>
      </c>
      <c r="EO62" s="1279" t="s">
        <v>945</v>
      </c>
      <c r="EP62" s="1275"/>
      <c r="EQ62" s="1277">
        <f>EQ60/EN60-1</f>
        <v>-0.36275862068965514</v>
      </c>
      <c r="ER62" s="1277">
        <f>ER60/EQ60-1</f>
        <v>7.575757575757569E-2</v>
      </c>
      <c r="ES62" s="1277">
        <f>ES60/ER60-1</f>
        <v>4.6277665995975825E-2</v>
      </c>
      <c r="ET62" s="1277">
        <f>ET60/ES60-1</f>
        <v>0.14807692307692299</v>
      </c>
      <c r="EU62" s="1279" t="s">
        <v>945</v>
      </c>
      <c r="EV62" s="1275"/>
      <c r="EW62" s="1277">
        <f>EW60/ET60-1</f>
        <v>-0.34994974874371865</v>
      </c>
      <c r="EX62" s="1277">
        <f>EX60/EW60-1</f>
        <v>7.575757575757569E-2</v>
      </c>
      <c r="EY62" s="1277">
        <f>EY60/EX60-1</f>
        <v>9.6100411995784452E-2</v>
      </c>
      <c r="EZ62" s="1277">
        <f>EZ60/EY60-1</f>
        <v>0.13503059440559428</v>
      </c>
      <c r="FA62" s="1279" t="s">
        <v>945</v>
      </c>
      <c r="FB62" s="1275"/>
      <c r="FC62" s="1277">
        <f>FC60/EZ60-1</f>
        <v>-0.36489343268064456</v>
      </c>
      <c r="FD62" s="1277">
        <f>FD60/FC60-1</f>
        <v>7.575757575757569E-2</v>
      </c>
      <c r="FE62" s="1277">
        <f>FE60/FD60-1</f>
        <v>9.6100411995784452E-2</v>
      </c>
      <c r="FF62" s="1277">
        <f>FF60/FE60-1</f>
        <v>0.13503059440559428</v>
      </c>
      <c r="FG62" s="1279" t="s">
        <v>945</v>
      </c>
      <c r="FH62" s="1275"/>
      <c r="FI62" s="1277">
        <f>FI60/FF60-1</f>
        <v>-0.36489343268064467</v>
      </c>
      <c r="FJ62" s="1277">
        <f>FJ60/FI60-1</f>
        <v>7.575757575757569E-2</v>
      </c>
      <c r="FK62" s="1277">
        <f>FK60/FJ60-1</f>
        <v>9.6100411995784674E-2</v>
      </c>
      <c r="FL62" s="1277">
        <f>FL60/FK60-1</f>
        <v>0.13503059440559428</v>
      </c>
      <c r="FM62" s="1279" t="s">
        <v>945</v>
      </c>
      <c r="FN62" s="264"/>
      <c r="FO62" s="241"/>
      <c r="FP62" s="238"/>
      <c r="FQ62" s="238"/>
      <c r="FR62" s="238"/>
      <c r="FS62" s="241"/>
      <c r="FT62" s="230"/>
      <c r="FU62" s="230"/>
      <c r="FV62" s="230"/>
      <c r="FW62" s="230"/>
      <c r="FX62" s="230"/>
      <c r="FY62" s="230"/>
      <c r="FZ62" s="230"/>
      <c r="GA62" s="230"/>
      <c r="GB62" s="230"/>
      <c r="GC62" s="33"/>
      <c r="GD62" s="33"/>
      <c r="GE62" s="33"/>
      <c r="GF62" s="33"/>
      <c r="GI62"/>
      <c r="GJ62"/>
      <c r="GK62"/>
      <c r="GL62"/>
      <c r="GM62"/>
      <c r="GN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</row>
    <row r="63" spans="1:281" s="37" customFormat="1" ht="3.95" hidden="1" customHeight="1" outlineLevel="1" x14ac:dyDescent="0.2">
      <c r="A63" s="256"/>
      <c r="B63" s="950"/>
      <c r="N63" s="232"/>
      <c r="O63" s="233"/>
      <c r="P63" s="103"/>
      <c r="Q63" s="103"/>
      <c r="R63" s="103"/>
      <c r="S63" s="255"/>
      <c r="T63" s="232"/>
      <c r="U63" s="103"/>
      <c r="V63" s="103"/>
      <c r="W63" s="103"/>
      <c r="X63" s="103"/>
      <c r="Y63" s="255"/>
      <c r="Z63" s="232"/>
      <c r="AA63" s="103"/>
      <c r="AB63" s="103"/>
      <c r="AC63" s="103"/>
      <c r="AD63" s="103"/>
      <c r="AE63" s="255"/>
      <c r="AF63" s="232"/>
      <c r="AG63" s="103"/>
      <c r="AH63" s="103"/>
      <c r="AI63" s="103"/>
      <c r="AJ63" s="103"/>
      <c r="AK63" s="255"/>
      <c r="AL63" s="232"/>
      <c r="AM63" s="103"/>
      <c r="AN63" s="103"/>
      <c r="AO63" s="103"/>
      <c r="AP63" s="103"/>
      <c r="AQ63" s="255"/>
      <c r="AR63" s="232"/>
      <c r="AS63" s="103"/>
      <c r="AT63" s="103"/>
      <c r="AU63" s="103"/>
      <c r="AV63" s="103"/>
      <c r="AW63" s="255"/>
      <c r="AX63" s="232"/>
      <c r="AY63" s="103"/>
      <c r="AZ63" s="103"/>
      <c r="BA63" s="103"/>
      <c r="BB63" s="103"/>
      <c r="BC63" s="255"/>
      <c r="BD63" s="232"/>
      <c r="BE63" s="103"/>
      <c r="BF63" s="103"/>
      <c r="BG63" s="103"/>
      <c r="BH63" s="103"/>
      <c r="BI63" s="255"/>
      <c r="BJ63" s="232"/>
      <c r="BK63" s="103"/>
      <c r="BL63" s="103"/>
      <c r="BM63" s="103"/>
      <c r="BN63" s="103"/>
      <c r="BO63" s="255"/>
      <c r="BP63" s="232"/>
      <c r="BQ63" s="103"/>
      <c r="BR63" s="103"/>
      <c r="BS63" s="103"/>
      <c r="BT63" s="103"/>
      <c r="BU63" s="255"/>
      <c r="BV63" s="232"/>
      <c r="BW63" s="103"/>
      <c r="BX63" s="103"/>
      <c r="BY63" s="103"/>
      <c r="BZ63" s="103"/>
      <c r="CA63" s="255"/>
      <c r="CB63" s="232"/>
      <c r="CC63" s="103"/>
      <c r="CD63" s="103"/>
      <c r="CE63" s="103"/>
      <c r="CF63" s="103"/>
      <c r="CG63" s="251"/>
      <c r="CH63" s="232"/>
      <c r="CI63" s="103"/>
      <c r="CJ63" s="103"/>
      <c r="CK63" s="103"/>
      <c r="CL63" s="103"/>
      <c r="CM63" s="251"/>
      <c r="CN63" s="232"/>
      <c r="CO63" s="103"/>
      <c r="CP63" s="103"/>
      <c r="CQ63" s="103"/>
      <c r="CR63" s="103"/>
      <c r="CS63" s="251"/>
      <c r="CT63" s="232"/>
      <c r="CU63" s="103"/>
      <c r="CV63" s="103"/>
      <c r="CW63" s="103"/>
      <c r="CX63" s="103"/>
      <c r="CY63" s="251"/>
      <c r="CZ63" s="232"/>
      <c r="DA63" s="103"/>
      <c r="DB63" s="103"/>
      <c r="DC63" s="103"/>
      <c r="DD63" s="103"/>
      <c r="DE63" s="251"/>
      <c r="DF63" s="232"/>
      <c r="DG63" s="103"/>
      <c r="DH63" s="103"/>
      <c r="DI63" s="103"/>
      <c r="DJ63" s="103"/>
      <c r="DK63" s="251"/>
      <c r="DL63" s="232"/>
      <c r="DM63" s="103"/>
      <c r="DN63" s="103"/>
      <c r="DO63" s="103"/>
      <c r="DP63" s="103"/>
      <c r="DQ63" s="251"/>
      <c r="DR63" s="232"/>
      <c r="DS63" s="103"/>
      <c r="DT63" s="103"/>
      <c r="DU63" s="103"/>
      <c r="DV63" s="103"/>
      <c r="DW63" s="251"/>
      <c r="DX63" s="232"/>
      <c r="DY63" s="103"/>
      <c r="DZ63" s="103"/>
      <c r="EA63" s="103"/>
      <c r="EB63" s="103"/>
      <c r="EC63" s="251"/>
      <c r="ED63" s="232"/>
      <c r="EE63" s="103"/>
      <c r="EF63" s="103"/>
      <c r="EG63" s="103"/>
      <c r="EH63" s="103"/>
      <c r="EI63" s="251"/>
      <c r="EJ63" s="232"/>
      <c r="EK63" s="103"/>
      <c r="EL63" s="103"/>
      <c r="EM63" s="103"/>
      <c r="EN63" s="103"/>
      <c r="EO63" s="251"/>
      <c r="EP63" s="232"/>
      <c r="EQ63" s="103"/>
      <c r="ER63" s="103"/>
      <c r="ES63" s="103"/>
      <c r="ET63" s="103"/>
      <c r="EU63" s="251"/>
      <c r="EV63" s="232"/>
      <c r="EW63" s="103"/>
      <c r="EX63" s="103"/>
      <c r="EY63" s="103"/>
      <c r="EZ63" s="103"/>
      <c r="FA63" s="251"/>
      <c r="FB63" s="232"/>
      <c r="FC63" s="103"/>
      <c r="FD63" s="103"/>
      <c r="FE63" s="103"/>
      <c r="FF63" s="103"/>
      <c r="FG63" s="251"/>
      <c r="FH63" s="232"/>
      <c r="FI63" s="103"/>
      <c r="FJ63" s="103"/>
      <c r="FK63" s="103"/>
      <c r="FL63" s="103"/>
      <c r="FM63" s="251"/>
      <c r="FN63" s="264"/>
      <c r="FO63" s="235"/>
      <c r="FS63" s="235"/>
      <c r="FT63" s="33"/>
      <c r="FU63" s="33"/>
      <c r="FV63" s="33"/>
      <c r="FW63" s="33"/>
      <c r="FX63" s="33"/>
      <c r="FY63" s="33"/>
      <c r="FZ63" s="33"/>
      <c r="GA63" s="33"/>
      <c r="GB63" s="33"/>
      <c r="GC63" s="33"/>
      <c r="GD63" s="33"/>
      <c r="GE63" s="33"/>
      <c r="GF63" s="33"/>
      <c r="GI63"/>
      <c r="GJ63"/>
      <c r="GK63"/>
      <c r="GL63"/>
      <c r="GM63"/>
      <c r="GN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</row>
    <row r="64" spans="1:281" s="37" customFormat="1" ht="10.5" hidden="1" customHeight="1" outlineLevel="1" x14ac:dyDescent="0.2">
      <c r="A64" s="257" t="s">
        <v>295</v>
      </c>
      <c r="B64" s="950"/>
      <c r="N64" s="232"/>
      <c r="O64" s="233"/>
      <c r="P64" s="103"/>
      <c r="Q64" s="103"/>
      <c r="R64" s="103"/>
      <c r="S64" s="255"/>
      <c r="T64" s="232"/>
      <c r="U64" s="103"/>
      <c r="V64" s="103"/>
      <c r="W64" s="103"/>
      <c r="X64" s="103"/>
      <c r="Y64" s="255"/>
      <c r="Z64" s="232"/>
      <c r="AA64" s="103"/>
      <c r="AB64" s="103"/>
      <c r="AC64" s="103"/>
      <c r="AD64" s="103"/>
      <c r="AE64" s="255"/>
      <c r="AF64" s="232"/>
      <c r="AG64" s="103"/>
      <c r="AH64" s="103"/>
      <c r="AI64" s="103"/>
      <c r="AJ64" s="103"/>
      <c r="AK64" s="255"/>
      <c r="AL64" s="232"/>
      <c r="AM64" s="103"/>
      <c r="AN64" s="103"/>
      <c r="AO64" s="103"/>
      <c r="AP64" s="103"/>
      <c r="AQ64" s="255"/>
      <c r="AR64" s="232"/>
      <c r="AS64" s="103"/>
      <c r="AT64" s="103"/>
      <c r="AU64" s="103"/>
      <c r="AV64" s="103"/>
      <c r="AW64" s="255"/>
      <c r="AX64" s="232"/>
      <c r="AY64" s="103"/>
      <c r="AZ64" s="103"/>
      <c r="BA64" s="103"/>
      <c r="BB64" s="103"/>
      <c r="BC64" s="255"/>
      <c r="BD64" s="232"/>
      <c r="BE64" s="103"/>
      <c r="BF64" s="103"/>
      <c r="BG64" s="103"/>
      <c r="BH64" s="103"/>
      <c r="BI64" s="255"/>
      <c r="BJ64" s="232"/>
      <c r="BK64" s="103"/>
      <c r="BL64" s="103"/>
      <c r="BM64" s="103"/>
      <c r="BN64" s="103"/>
      <c r="BO64" s="255"/>
      <c r="BP64" s="232"/>
      <c r="BQ64" s="103"/>
      <c r="BR64" s="103"/>
      <c r="BS64" s="103"/>
      <c r="BT64" s="103"/>
      <c r="BU64" s="255"/>
      <c r="BV64" s="232"/>
      <c r="BW64" s="103"/>
      <c r="BX64" s="103"/>
      <c r="BY64" s="103"/>
      <c r="BZ64" s="103"/>
      <c r="CA64" s="255"/>
      <c r="CB64" s="232"/>
      <c r="CC64" s="103"/>
      <c r="CD64" s="103"/>
      <c r="CE64" s="103"/>
      <c r="CF64" s="103"/>
      <c r="CG64" s="251"/>
      <c r="CH64" s="232"/>
      <c r="CI64" s="103"/>
      <c r="CJ64" s="103"/>
      <c r="CK64" s="103"/>
      <c r="CL64" s="103"/>
      <c r="CM64" s="251"/>
      <c r="CN64" s="232"/>
      <c r="CO64" s="103"/>
      <c r="CP64" s="103"/>
      <c r="CQ64" s="103"/>
      <c r="CR64" s="103"/>
      <c r="CS64" s="251"/>
      <c r="CT64" s="232"/>
      <c r="CU64" s="103"/>
      <c r="CV64" s="103"/>
      <c r="CW64" s="103"/>
      <c r="CX64" s="103"/>
      <c r="CY64" s="251"/>
      <c r="CZ64" s="232"/>
      <c r="DA64" s="243"/>
      <c r="DB64" s="243"/>
      <c r="DC64" s="243">
        <v>174</v>
      </c>
      <c r="DD64" s="243">
        <v>801</v>
      </c>
      <c r="DE64" s="143">
        <f>SUM(DA64:DD64)</f>
        <v>975</v>
      </c>
      <c r="DF64" s="243"/>
      <c r="DG64" s="243">
        <v>704</v>
      </c>
      <c r="DH64" s="243">
        <v>703</v>
      </c>
      <c r="DI64" s="243">
        <v>632</v>
      </c>
      <c r="DJ64" s="243">
        <f>DD64*(1+DJ61)</f>
        <v>751.62773722627742</v>
      </c>
      <c r="DK64" s="143">
        <f>SUM(DG64:DJ64)</f>
        <v>2790.6277372262775</v>
      </c>
      <c r="DL64" s="243"/>
      <c r="DM64" s="243">
        <f>DG64*(1+DM61)</f>
        <v>671.37720111214082</v>
      </c>
      <c r="DN64" s="243">
        <f>DH64*(1+DN61)</f>
        <v>602.48111510791364</v>
      </c>
      <c r="DO64" s="243">
        <f>DI64*(1+DO61)</f>
        <v>530.63574879227053</v>
      </c>
      <c r="DP64" s="243">
        <f>DJ64*(1+DP61)</f>
        <v>634.69343065693431</v>
      </c>
      <c r="DQ64" s="143">
        <f>SUM(DM64:DP64)</f>
        <v>2439.1874956692591</v>
      </c>
      <c r="DR64" s="243"/>
      <c r="DS64" s="243">
        <f>DM64*(1+DS61)</f>
        <v>508.26320667284523</v>
      </c>
      <c r="DT64" s="243">
        <f>DN64*(1+DT61)</f>
        <v>464.03057553956836</v>
      </c>
      <c r="DU64" s="243">
        <f>DO64*(1+DU61)</f>
        <v>409.73140096618357</v>
      </c>
      <c r="DV64" s="243">
        <f>DP64*(1+DV61)</f>
        <v>551.54014598540141</v>
      </c>
      <c r="DW64" s="143">
        <f>SUM(DS64:DV64)</f>
        <v>1933.5653291639987</v>
      </c>
      <c r="DX64" s="243"/>
      <c r="DY64" s="243">
        <f>DS64*(1+DY61)</f>
        <v>436.49304911955511</v>
      </c>
      <c r="DZ64" s="243">
        <f>DT64*(1+DZ61)</f>
        <v>451.38669064748206</v>
      </c>
      <c r="EA64" s="243">
        <f>DU64*(1+EA61)</f>
        <v>442.70531400966183</v>
      </c>
      <c r="EB64" s="243">
        <f>DV64*(1+EB61)</f>
        <v>565.18248175182475</v>
      </c>
      <c r="EC64" s="143">
        <f>SUM(DY64:EB64)</f>
        <v>1895.7675355285237</v>
      </c>
      <c r="ED64" s="243"/>
      <c r="EE64" s="243">
        <f>DY64*(1+EE61)</f>
        <v>377.1195551436515</v>
      </c>
      <c r="EF64" s="243">
        <f>DZ64*(1+EF61)</f>
        <v>453.28327338129498</v>
      </c>
      <c r="EG64" s="243">
        <f>EA64*(1+EG61)</f>
        <v>434.76714975845414</v>
      </c>
      <c r="EH64" s="243">
        <f>EB64*(1+EH61)</f>
        <v>531.40145985401455</v>
      </c>
      <c r="EI64" s="143">
        <f>SUM(EE64:EH64)</f>
        <v>1796.5714381374153</v>
      </c>
      <c r="EJ64" s="243"/>
      <c r="EK64" s="243">
        <f>EE64*(1+EK61)</f>
        <v>371.89990732159401</v>
      </c>
      <c r="EL64" s="243">
        <f>EF64*(1+EL61)</f>
        <v>362.24730215827338</v>
      </c>
      <c r="EM64" s="243">
        <f>EG64*(1+EM61)</f>
        <v>368.81932367149761</v>
      </c>
      <c r="EN64" s="243">
        <f>EH64*(1+EN61)</f>
        <v>470.98540145985396</v>
      </c>
      <c r="EO64" s="143">
        <f>SUM(EK64:EN64)</f>
        <v>1573.9519346112188</v>
      </c>
      <c r="EP64" s="243"/>
      <c r="EQ64" s="243">
        <f>EK64*(1+EQ61)</f>
        <v>301.43466172381829</v>
      </c>
      <c r="ER64" s="243">
        <f>EL64*(1+ER61)</f>
        <v>314.20053956834533</v>
      </c>
      <c r="ES64" s="243">
        <f>EM64*(1+ES61)</f>
        <v>317.52657004830917</v>
      </c>
      <c r="ET64" s="243">
        <f>EN64*(1+ET61)</f>
        <v>387.83211678832112</v>
      </c>
      <c r="EU64" s="143">
        <f>SUM(EQ64:ET64)</f>
        <v>1320.993888128794</v>
      </c>
      <c r="EV64" s="243"/>
      <c r="EW64" s="243">
        <f>EQ64*(1+EW61)</f>
        <v>253.20511584800735</v>
      </c>
      <c r="EX64" s="243">
        <f>ER64*(1+EX61)</f>
        <v>263.92845323741005</v>
      </c>
      <c r="EY64" s="243">
        <f>ES64*(1+EY61)</f>
        <v>279.42338164251208</v>
      </c>
      <c r="EZ64" s="243">
        <f>ET64*(1+EZ61)</f>
        <v>337.41394160583934</v>
      </c>
      <c r="FA64" s="143">
        <f>SUM(EW64:EZ64)</f>
        <v>1133.9708923337689</v>
      </c>
      <c r="FB64" s="243"/>
      <c r="FC64" s="243">
        <f>EW64*(1+FC61)</f>
        <v>215.22434847080623</v>
      </c>
      <c r="FD64" s="243">
        <f>EX64*(1+FD61)</f>
        <v>224.33918525179854</v>
      </c>
      <c r="FE64" s="243">
        <f>EY64*(1+FE61)</f>
        <v>237.50987439613527</v>
      </c>
      <c r="FF64" s="243">
        <f>EZ64*(1+FF61)</f>
        <v>286.80185036496346</v>
      </c>
      <c r="FG64" s="143">
        <f>SUM(FC64:FF64)</f>
        <v>963.87525848370353</v>
      </c>
      <c r="FH64" s="243"/>
      <c r="FI64" s="243">
        <f>FC64*(1+FI61)</f>
        <v>182.9406962001853</v>
      </c>
      <c r="FJ64" s="243">
        <f>FD64*(1+FJ61)</f>
        <v>190.68830746402875</v>
      </c>
      <c r="FK64" s="243">
        <f>FE64*(1+FK61)</f>
        <v>201.88339323671497</v>
      </c>
      <c r="FL64" s="243">
        <f>FF64*(1+FL61)</f>
        <v>243.78157281021893</v>
      </c>
      <c r="FM64" s="143">
        <f>SUM(FI64:FL64)</f>
        <v>819.29396971114795</v>
      </c>
      <c r="FN64" s="264"/>
      <c r="FO64" s="235"/>
      <c r="FS64" s="245">
        <f>DC64+DD64+DG64+DH64</f>
        <v>2382</v>
      </c>
      <c r="FT64" s="243">
        <f>DI64+DJ64+DM64+DN64</f>
        <v>2657.4860534463323</v>
      </c>
      <c r="FU64" s="243">
        <f>DO64+DP64+DS64+DT64</f>
        <v>2137.6229616616183</v>
      </c>
      <c r="FV64" s="243">
        <f>DY64+DV64+DZ64+DU64</f>
        <v>1849.1512867186223</v>
      </c>
      <c r="FW64" s="243">
        <f>EA64+EB64+EE64+EF64</f>
        <v>1838.2906242864331</v>
      </c>
      <c r="FX64" s="243">
        <f>EG64+EH64+EK64+EL64</f>
        <v>1700.3158190923361</v>
      </c>
      <c r="FY64" s="243">
        <f>EM64+EN64+EQ64+ER64</f>
        <v>1455.4399264235153</v>
      </c>
      <c r="FZ64" s="243">
        <f>ES64+ET64+EW64+EX64</f>
        <v>1222.4922559220477</v>
      </c>
      <c r="GA64" s="243">
        <f>EY64+EZ64+FC64+FD64</f>
        <v>1056.4008569709563</v>
      </c>
      <c r="GB64" s="243">
        <f>FE64+FF64+FI64+FJ64</f>
        <v>897.94072842531284</v>
      </c>
      <c r="GC64" s="243"/>
      <c r="GD64" s="243"/>
      <c r="GE64" s="243"/>
      <c r="GF64" s="243"/>
      <c r="GI64"/>
      <c r="GJ64"/>
      <c r="GK64"/>
      <c r="GL64"/>
      <c r="GM64"/>
      <c r="GN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</row>
    <row r="65" spans="1:281" s="37" customFormat="1" ht="10.5" hidden="1" customHeight="1" outlineLevel="1" x14ac:dyDescent="0.2">
      <c r="A65" s="257" t="s">
        <v>296</v>
      </c>
      <c r="B65" s="952"/>
      <c r="N65" s="36"/>
      <c r="O65" s="42"/>
      <c r="P65" s="22"/>
      <c r="Q65" s="22"/>
      <c r="R65" s="22"/>
      <c r="S65" s="250"/>
      <c r="T65" s="36"/>
      <c r="U65" s="22"/>
      <c r="V65" s="22"/>
      <c r="W65" s="22"/>
      <c r="X65" s="22"/>
      <c r="Y65" s="250"/>
      <c r="Z65" s="36"/>
      <c r="AA65" s="22"/>
      <c r="AB65" s="22"/>
      <c r="AC65" s="22"/>
      <c r="AD65" s="22"/>
      <c r="AE65" s="250"/>
      <c r="AF65" s="36"/>
      <c r="AG65" s="22"/>
      <c r="AH65" s="22"/>
      <c r="AI65" s="22"/>
      <c r="AJ65" s="22"/>
      <c r="AK65" s="250"/>
      <c r="AL65" s="36"/>
      <c r="AM65" s="22"/>
      <c r="AN65" s="22"/>
      <c r="AO65" s="22"/>
      <c r="AP65" s="22"/>
      <c r="AQ65" s="250"/>
      <c r="AR65" s="36"/>
      <c r="AS65" s="22"/>
      <c r="AT65" s="22"/>
      <c r="AU65" s="22"/>
      <c r="AV65" s="22"/>
      <c r="AW65" s="250"/>
      <c r="AX65" s="36"/>
      <c r="AY65" s="22"/>
      <c r="AZ65" s="22"/>
      <c r="BA65" s="22"/>
      <c r="BB65" s="22"/>
      <c r="BC65" s="250"/>
      <c r="BD65" s="36"/>
      <c r="BE65" s="22"/>
      <c r="BF65" s="22"/>
      <c r="BG65" s="22"/>
      <c r="BH65" s="22"/>
      <c r="BI65" s="250"/>
      <c r="BJ65" s="36"/>
      <c r="BK65" s="22"/>
      <c r="BL65" s="22"/>
      <c r="BM65" s="22"/>
      <c r="BN65" s="22"/>
      <c r="BO65" s="250"/>
      <c r="BP65" s="36"/>
      <c r="BQ65" s="22"/>
      <c r="BR65" s="22"/>
      <c r="BS65" s="22"/>
      <c r="BT65" s="22"/>
      <c r="BU65" s="250"/>
      <c r="BV65" s="36"/>
      <c r="BW65" s="22"/>
      <c r="BX65" s="22"/>
      <c r="BY65" s="22"/>
      <c r="BZ65" s="22"/>
      <c r="CA65" s="250"/>
      <c r="CB65" s="36"/>
      <c r="CC65" s="22"/>
      <c r="CD65" s="22"/>
      <c r="CE65" s="22"/>
      <c r="CF65" s="22"/>
      <c r="CG65" s="251"/>
      <c r="CH65" s="36"/>
      <c r="CI65" s="22"/>
      <c r="CJ65" s="22"/>
      <c r="CK65" s="22"/>
      <c r="CL65" s="22"/>
      <c r="CM65" s="251"/>
      <c r="CN65" s="36"/>
      <c r="CO65" s="22"/>
      <c r="CP65" s="22"/>
      <c r="CQ65" s="22"/>
      <c r="CR65" s="22"/>
      <c r="CS65" s="251"/>
      <c r="CT65" s="36"/>
      <c r="CU65" s="22"/>
      <c r="CV65" s="22"/>
      <c r="CW65" s="22"/>
      <c r="CX65" s="22"/>
      <c r="CY65" s="251"/>
      <c r="CZ65" s="36"/>
      <c r="DA65" s="243"/>
      <c r="DB65" s="243"/>
      <c r="DC65" s="243">
        <v>99</v>
      </c>
      <c r="DD65" s="243">
        <v>432</v>
      </c>
      <c r="DE65" s="143">
        <f>SUM(DA65:DD65)</f>
        <v>531</v>
      </c>
      <c r="DF65" s="243"/>
      <c r="DG65" s="243">
        <v>375</v>
      </c>
      <c r="DH65" s="243">
        <v>409</v>
      </c>
      <c r="DI65" s="243">
        <v>403</v>
      </c>
      <c r="DJ65" s="243">
        <f>DD65*(1+DJ61)</f>
        <v>405.37226277372264</v>
      </c>
      <c r="DK65" s="143">
        <f>SUM(DG65:DJ65)</f>
        <v>1592.3722627737227</v>
      </c>
      <c r="DL65" s="243"/>
      <c r="DM65" s="243">
        <f>DG65*(1+DM61)</f>
        <v>357.62279888785912</v>
      </c>
      <c r="DN65" s="243">
        <f>DH65*(1+DN61)</f>
        <v>350.51888489208631</v>
      </c>
      <c r="DO65" s="243">
        <f>DI65*(1+DO61)</f>
        <v>338.36425120772947</v>
      </c>
      <c r="DP65" s="243">
        <f>DJ65*(1+DP61)</f>
        <v>342.30656934306569</v>
      </c>
      <c r="DQ65" s="143">
        <f>SUM(DM65:DP65)</f>
        <v>1388.8125043307405</v>
      </c>
      <c r="DR65" s="243"/>
      <c r="DS65" s="243">
        <f>DM65*(1+DS61)</f>
        <v>270.73679332715477</v>
      </c>
      <c r="DT65" s="243">
        <f>DN65*(1+DT61)</f>
        <v>269.96942446043164</v>
      </c>
      <c r="DU65" s="243">
        <f>DO65*(1+DU61)</f>
        <v>261.26859903381643</v>
      </c>
      <c r="DV65" s="243">
        <f>DP65*(1+DV61)</f>
        <v>297.45985401459853</v>
      </c>
      <c r="DW65" s="143">
        <f>SUM(DS65:DV65)</f>
        <v>1099.4346708360013</v>
      </c>
      <c r="DX65" s="243"/>
      <c r="DY65" s="243">
        <f>DS65*(1+DY61)</f>
        <v>232.50695088044483</v>
      </c>
      <c r="DZ65" s="243">
        <f>DT65*(1+DZ61)</f>
        <v>262.613309352518</v>
      </c>
      <c r="EA65" s="243">
        <f>DU65*(1+EA61)</f>
        <v>282.29468599033817</v>
      </c>
      <c r="EB65" s="243">
        <f>DV65*(1+EB61)</f>
        <v>304.81751824817519</v>
      </c>
      <c r="EC65" s="143">
        <f>SUM(DY65:EB65)</f>
        <v>1082.2324644714763</v>
      </c>
      <c r="ED65" s="243"/>
      <c r="EE65" s="243">
        <f>DY65*(1+EE61)</f>
        <v>200.88044485634845</v>
      </c>
      <c r="EF65" s="243">
        <f>DZ65*(1+EF61)</f>
        <v>263.71672661870502</v>
      </c>
      <c r="EG65" s="243">
        <f>EA65*(1+EG61)</f>
        <v>277.23285024154592</v>
      </c>
      <c r="EH65" s="243">
        <f>EB65*(1+EH61)</f>
        <v>286.5985401459854</v>
      </c>
      <c r="EI65" s="143">
        <f>SUM(EE65:EH65)</f>
        <v>1028.4285618625847</v>
      </c>
      <c r="EJ65" s="243"/>
      <c r="EK65" s="243">
        <f>EE65*(1+EK61)</f>
        <v>198.1000926784059</v>
      </c>
      <c r="EL65" s="243">
        <f>EF65*(1+EL61)</f>
        <v>210.75269784172662</v>
      </c>
      <c r="EM65" s="243">
        <f>EG65*(1+EM61)</f>
        <v>235.18067632850241</v>
      </c>
      <c r="EN65" s="243">
        <f>EH65*(1+EN61)</f>
        <v>254.01459854014598</v>
      </c>
      <c r="EO65" s="143">
        <f>SUM(EK65:EN65)</f>
        <v>898.04806538878097</v>
      </c>
      <c r="EP65" s="243"/>
      <c r="EQ65" s="243">
        <f>EK65*(1+EQ61)</f>
        <v>160.56533827618162</v>
      </c>
      <c r="ER65" s="243">
        <f>EL65*(1+ER61)</f>
        <v>182.79946043165469</v>
      </c>
      <c r="ES65" s="243">
        <f>EM65*(1+ES61)</f>
        <v>202.4734299516908</v>
      </c>
      <c r="ET65" s="243">
        <f>EN65*(1+ET61)</f>
        <v>209.16788321167883</v>
      </c>
      <c r="EU65" s="143">
        <f>SUM(EQ65:ET65)</f>
        <v>755.00611187120592</v>
      </c>
      <c r="EV65" s="243"/>
      <c r="EW65" s="243">
        <f>EQ65*(1+EW61)</f>
        <v>134.87488415199255</v>
      </c>
      <c r="EX65" s="243">
        <f>ER65*(1+EX61)</f>
        <v>153.55154676258994</v>
      </c>
      <c r="EY65" s="243">
        <f>ES65*(1+EY61)</f>
        <v>178.17661835748791</v>
      </c>
      <c r="EZ65" s="243">
        <f>ET65*(1+EZ61)</f>
        <v>181.97605839416059</v>
      </c>
      <c r="FA65" s="143">
        <f>SUM(EW65:EZ65)</f>
        <v>648.57910766623104</v>
      </c>
      <c r="FB65" s="243"/>
      <c r="FC65" s="243">
        <f>EW65*(1+FC61)</f>
        <v>114.64365152919366</v>
      </c>
      <c r="FD65" s="243">
        <f>EX65*(1+FD61)</f>
        <v>130.51881474820144</v>
      </c>
      <c r="FE65" s="243">
        <f>EY65*(1+FE61)</f>
        <v>151.45012560386473</v>
      </c>
      <c r="FF65" s="243">
        <f>EZ65*(1+FF61)</f>
        <v>154.6796496350365</v>
      </c>
      <c r="FG65" s="143">
        <f>SUM(FC65:FF65)</f>
        <v>551.29224151629637</v>
      </c>
      <c r="FH65" s="243"/>
      <c r="FI65" s="243">
        <f>FC65*(1+FI61)</f>
        <v>97.447103799814613</v>
      </c>
      <c r="FJ65" s="243">
        <f>FD65*(1+FJ61)</f>
        <v>110.94099253597122</v>
      </c>
      <c r="FK65" s="243">
        <f>FE65*(1+FK61)</f>
        <v>128.73260676328502</v>
      </c>
      <c r="FL65" s="243">
        <f>FF65*(1+FL61)</f>
        <v>131.47770218978101</v>
      </c>
      <c r="FM65" s="143">
        <f>SUM(FI65:FL65)</f>
        <v>468.59840528885184</v>
      </c>
      <c r="FN65" s="264"/>
      <c r="FO65" s="235"/>
      <c r="FS65" s="245">
        <f>DC65+DD65+DG65+DH65</f>
        <v>1315</v>
      </c>
      <c r="FT65" s="243">
        <f>DI65+DJ65+DM65+DN65</f>
        <v>1516.5139465536681</v>
      </c>
      <c r="FU65" s="243">
        <f>DO65+DP65+DS65+DT65</f>
        <v>1221.3770383383815</v>
      </c>
      <c r="FV65" s="243">
        <f>DY65+DV65+DZ65+DU65</f>
        <v>1053.8487132813777</v>
      </c>
      <c r="FW65" s="243">
        <f>EA65+EB65+EE65+EF65</f>
        <v>1051.7093757135669</v>
      </c>
      <c r="FX65" s="243">
        <f>EG65+EH65+EK65+EL65</f>
        <v>972.68418090766386</v>
      </c>
      <c r="FY65" s="243">
        <f>EM65+EN65+EQ65+ER65</f>
        <v>832.56007357648468</v>
      </c>
      <c r="FZ65" s="243">
        <f>ES65+ET65+EW65+EX65</f>
        <v>700.06774407795217</v>
      </c>
      <c r="GA65" s="243">
        <f>EY65+EZ65+FC65+FD65</f>
        <v>605.31514302904361</v>
      </c>
      <c r="GB65" s="243">
        <f>FE65+FF65+FI65+FJ65</f>
        <v>514.51787157468709</v>
      </c>
      <c r="GC65" s="243"/>
      <c r="GD65" s="243"/>
      <c r="GE65" s="243"/>
      <c r="GF65" s="243"/>
      <c r="GI65"/>
      <c r="GJ65"/>
      <c r="GK65"/>
      <c r="GL65"/>
      <c r="GM65"/>
      <c r="GN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</row>
    <row r="66" spans="1:281" s="33" customFormat="1" ht="4.5" hidden="1" customHeight="1" outlineLevel="1" x14ac:dyDescent="0.2">
      <c r="A66" s="257"/>
      <c r="B66" s="413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6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U66" s="34"/>
      <c r="BV66" s="34"/>
      <c r="CA66" s="34"/>
      <c r="CB66" s="34"/>
      <c r="CG66" s="228"/>
      <c r="CH66" s="34"/>
      <c r="CM66" s="228"/>
      <c r="CN66" s="34"/>
      <c r="CS66" s="228"/>
      <c r="CT66" s="34"/>
      <c r="CY66" s="228"/>
      <c r="CZ66" s="34"/>
      <c r="DE66" s="228"/>
      <c r="DF66" s="34"/>
      <c r="DK66" s="228"/>
      <c r="DL66" s="34"/>
      <c r="DQ66" s="228"/>
      <c r="DR66" s="34"/>
      <c r="DW66" s="228"/>
      <c r="DX66" s="34"/>
      <c r="EC66" s="228"/>
      <c r="ED66" s="34"/>
      <c r="EI66" s="228"/>
      <c r="EJ66" s="34"/>
      <c r="EO66" s="228"/>
      <c r="EP66" s="34"/>
      <c r="EU66" s="228"/>
      <c r="EV66" s="34"/>
      <c r="FA66" s="228"/>
      <c r="FB66" s="34"/>
      <c r="FG66" s="228"/>
      <c r="FH66" s="34"/>
      <c r="FM66" s="228"/>
      <c r="FN66" s="226"/>
      <c r="FO66" s="227"/>
      <c r="FS66" s="245"/>
      <c r="FT66" s="243"/>
      <c r="FU66" s="243"/>
      <c r="FV66" s="243"/>
      <c r="FW66" s="243"/>
      <c r="FX66" s="243"/>
      <c r="FY66" s="243"/>
      <c r="FZ66" s="243"/>
      <c r="GA66" s="243"/>
      <c r="GB66" s="243"/>
      <c r="GC66" s="243"/>
      <c r="GD66" s="243"/>
      <c r="GE66" s="243"/>
      <c r="GF66" s="243"/>
      <c r="GI66"/>
      <c r="GJ66"/>
      <c r="GK66"/>
      <c r="GL66"/>
      <c r="GM66"/>
      <c r="GN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</row>
    <row r="67" spans="1:281" s="33" customFormat="1" ht="10.5" hidden="1" customHeight="1" outlineLevel="1" x14ac:dyDescent="0.2">
      <c r="A67" s="127" t="s">
        <v>513</v>
      </c>
      <c r="B67" s="949"/>
      <c r="C67" s="272"/>
      <c r="D67" s="272"/>
      <c r="E67" s="272"/>
      <c r="F67" s="272"/>
      <c r="G67" s="272"/>
      <c r="H67" s="272"/>
      <c r="I67" s="272"/>
      <c r="J67" s="272"/>
      <c r="K67" s="272"/>
      <c r="L67" s="272"/>
      <c r="M67" s="37"/>
      <c r="N67" s="242"/>
      <c r="O67" s="272"/>
      <c r="P67" s="272"/>
      <c r="Q67" s="272"/>
      <c r="R67" s="272"/>
      <c r="S67" s="272"/>
      <c r="T67" s="242"/>
      <c r="U67" s="272"/>
      <c r="V67" s="272"/>
      <c r="W67" s="272"/>
      <c r="X67" s="272"/>
      <c r="Y67" s="272"/>
      <c r="Z67" s="242"/>
      <c r="AA67" s="64"/>
      <c r="AB67" s="64"/>
      <c r="AC67" s="64"/>
      <c r="AD67" s="64"/>
      <c r="AE67" s="64"/>
      <c r="AF67" s="242"/>
      <c r="AG67" s="64"/>
      <c r="AH67" s="64"/>
      <c r="AI67" s="64"/>
      <c r="AJ67" s="64"/>
      <c r="AK67" s="64"/>
      <c r="AL67" s="242"/>
      <c r="AM67" s="64"/>
      <c r="AN67" s="64"/>
      <c r="AO67" s="64"/>
      <c r="AP67" s="64"/>
      <c r="AQ67" s="64"/>
      <c r="AR67" s="242"/>
      <c r="AS67" s="64"/>
      <c r="AT67" s="64"/>
      <c r="AU67" s="64"/>
      <c r="AV67" s="64"/>
      <c r="AW67" s="64"/>
      <c r="AX67" s="242"/>
      <c r="AY67" s="64"/>
      <c r="AZ67" s="64"/>
      <c r="BA67" s="64"/>
      <c r="BB67" s="64"/>
      <c r="BC67" s="64"/>
      <c r="BD67" s="242"/>
      <c r="BE67" s="64"/>
      <c r="BF67" s="64"/>
      <c r="BG67" s="64"/>
      <c r="BH67" s="64"/>
      <c r="BI67" s="64"/>
      <c r="BJ67" s="242"/>
      <c r="BK67" s="64"/>
      <c r="BL67" s="64"/>
      <c r="BM67" s="64"/>
      <c r="BN67" s="64"/>
      <c r="BO67" s="64"/>
      <c r="BP67" s="242"/>
      <c r="BQ67" s="64"/>
      <c r="BR67" s="64"/>
      <c r="BS67" s="64"/>
      <c r="BT67" s="64"/>
      <c r="BU67" s="64"/>
      <c r="BV67" s="242"/>
      <c r="BW67" s="64"/>
      <c r="BX67" s="64"/>
      <c r="BY67" s="64"/>
      <c r="BZ67" s="64"/>
      <c r="CA67" s="64"/>
      <c r="CB67" s="242"/>
      <c r="CC67" s="64"/>
      <c r="CD67" s="64"/>
      <c r="CE67" s="64"/>
      <c r="CF67" s="64"/>
      <c r="CG67" s="360"/>
      <c r="CH67" s="242"/>
      <c r="CI67" s="64"/>
      <c r="CJ67" s="64"/>
      <c r="CK67" s="64"/>
      <c r="CL67" s="64"/>
      <c r="CM67" s="360"/>
      <c r="CN67" s="242"/>
      <c r="CO67" s="64"/>
      <c r="CP67" s="64"/>
      <c r="CQ67" s="64"/>
      <c r="CR67" s="64"/>
      <c r="CS67" s="360"/>
      <c r="CT67" s="242"/>
      <c r="CU67" s="64"/>
      <c r="CV67" s="64"/>
      <c r="CW67" s="64"/>
      <c r="CX67" s="64"/>
      <c r="CY67" s="360"/>
      <c r="CZ67" s="242"/>
      <c r="DA67" s="64"/>
      <c r="DB67" s="64"/>
      <c r="DC67" s="243">
        <v>224</v>
      </c>
      <c r="DD67" s="243">
        <v>688</v>
      </c>
      <c r="DE67" s="143">
        <f>SUM(DA67:DD67)</f>
        <v>912</v>
      </c>
      <c r="DF67" s="242"/>
      <c r="DG67" s="243">
        <v>680</v>
      </c>
      <c r="DH67" s="243">
        <v>686</v>
      </c>
      <c r="DI67" s="243">
        <v>656</v>
      </c>
      <c r="DJ67" s="243">
        <v>687</v>
      </c>
      <c r="DK67" s="143">
        <f>SUM(DG67:DJ67)</f>
        <v>2709</v>
      </c>
      <c r="DL67" s="242"/>
      <c r="DM67" s="243">
        <v>656</v>
      </c>
      <c r="DN67" s="243">
        <v>634</v>
      </c>
      <c r="DO67" s="243">
        <v>610</v>
      </c>
      <c r="DP67" s="243">
        <v>604</v>
      </c>
      <c r="DQ67" s="143">
        <f>SUM(DM67:DP67)</f>
        <v>2504</v>
      </c>
      <c r="DR67" s="242"/>
      <c r="DS67" s="243">
        <v>578</v>
      </c>
      <c r="DT67" s="243">
        <f>587+3</f>
        <v>590</v>
      </c>
      <c r="DU67" s="243">
        <f>570+2</f>
        <v>572</v>
      </c>
      <c r="DV67" s="243">
        <f>582+4</f>
        <v>586</v>
      </c>
      <c r="DW67" s="143">
        <f>SUM(DS67:DV67)</f>
        <v>2326</v>
      </c>
      <c r="DX67" s="242"/>
      <c r="DY67" s="243">
        <f>592+5</f>
        <v>597</v>
      </c>
      <c r="DZ67" s="243">
        <f>609+4</f>
        <v>613</v>
      </c>
      <c r="EA67" s="243">
        <f>598+2</f>
        <v>600</v>
      </c>
      <c r="EB67" s="243">
        <f>596+1</f>
        <v>597</v>
      </c>
      <c r="EC67" s="143">
        <f>SUM(DY67:EB67)</f>
        <v>2407</v>
      </c>
      <c r="ED67" s="242"/>
      <c r="EE67" s="243">
        <f>587+1</f>
        <v>588</v>
      </c>
      <c r="EF67" s="243">
        <f>617+2</f>
        <v>619</v>
      </c>
      <c r="EG67" s="1528">
        <f>587+1</f>
        <v>588</v>
      </c>
      <c r="EH67" s="243">
        <f>589+1</f>
        <v>590</v>
      </c>
      <c r="EI67" s="143">
        <f>SUM(EE67:EH67)</f>
        <v>2385</v>
      </c>
      <c r="EJ67" s="242"/>
      <c r="EK67" s="243">
        <f>558+1</f>
        <v>559</v>
      </c>
      <c r="EL67" s="243">
        <v>550</v>
      </c>
      <c r="EM67" s="243">
        <v>531</v>
      </c>
      <c r="EN67" s="243">
        <v>558</v>
      </c>
      <c r="EO67" s="143">
        <f>SUM(EK67:EN67)</f>
        <v>2198</v>
      </c>
      <c r="EP67" s="242"/>
      <c r="EQ67" s="243">
        <v>534</v>
      </c>
      <c r="ER67" s="243">
        <v>517</v>
      </c>
      <c r="ES67" s="243">
        <v>508</v>
      </c>
      <c r="ET67" s="243">
        <v>517</v>
      </c>
      <c r="EU67" s="143">
        <f>SUM(EQ67:ET67)</f>
        <v>2076</v>
      </c>
      <c r="EV67" s="242"/>
      <c r="EW67" s="243">
        <f>EW56-EW60</f>
        <v>554.92000000000007</v>
      </c>
      <c r="EX67" s="243">
        <f>EX56-EX60</f>
        <v>522.52</v>
      </c>
      <c r="EY67" s="243">
        <f>EY56-EY60</f>
        <v>536.4</v>
      </c>
      <c r="EZ67" s="243">
        <f>EZ70*SUM(DY60:EB60,EE60:EH60,EK60:EN60,EQ60:ET60,EW60:EZ60)</f>
        <v>509.60910000000001</v>
      </c>
      <c r="FA67" s="143">
        <f>SUM(EW67:EZ67)</f>
        <v>2123.4491000000003</v>
      </c>
      <c r="FB67" s="242"/>
      <c r="FC67" s="243">
        <f>FC70*SUM(DZ60:EB60,EE60:EH60,EK60:EN60,EQ60:ET60,EW60:EZ60,FC60,)</f>
        <v>467.03449819727081</v>
      </c>
      <c r="FD67" s="243">
        <f>FD70*SUM(EA60:EB60,EE60:EH60,EK60:EN60,EQ60:ET60,EW60:EZ60,FC60:FD60)</f>
        <v>457.41104000000001</v>
      </c>
      <c r="FE67" s="243">
        <f>FE70*SUM(EB60,EE60:EH60,EK60:EN60,EQ60:ET60,EW60:EZ60,FC60:FE60)</f>
        <v>443.96944000000002</v>
      </c>
      <c r="FF67" s="243">
        <f>FF70*SUM(EE60:EH60,EK60:EN60,EQ60:ET60,EW60:EZ60,FC60:FF60)</f>
        <v>426.82870000000003</v>
      </c>
      <c r="FG67" s="143">
        <f>SUM(FC67:FF67)</f>
        <v>1795.2436781972708</v>
      </c>
      <c r="FH67" s="242"/>
      <c r="FI67" s="243">
        <f>FI70*SUM(EF60:EH60,EK60:EN60,EQ60:ET60,EW60:EZ60,FC60:FF60,FI60,)</f>
        <v>425.29731730000009</v>
      </c>
      <c r="FJ67" s="243">
        <f>FJ70*SUM(EG60:EH60,EK60:EN60,EQ60:ET60,EW60:EZ60,FC60:FF60,FI60:FJ60)</f>
        <v>408.26711860000006</v>
      </c>
      <c r="FK67" s="243">
        <f>FK70*SUM(EH60,EK60:EN60,EQ60:ET60,EW60:EZ60,FC60:FF60,FI60:FK60)</f>
        <v>392.6303746000001</v>
      </c>
      <c r="FL67" s="243">
        <f>FL70*SUM(EK60:EN60,EQ60:ET60,EW60:EZ60,FC60:FF60,FI60:FL60)</f>
        <v>374.47800487500007</v>
      </c>
      <c r="FM67" s="143">
        <f>SUM(FI67:FL67)</f>
        <v>1600.6728153750003</v>
      </c>
      <c r="FN67" s="226"/>
      <c r="FO67" s="227"/>
      <c r="FS67" s="245">
        <f>DC67+DD67+DG67+DH67</f>
        <v>2278</v>
      </c>
      <c r="FT67" s="243">
        <f>DI67+DJ67+DM67+DN67</f>
        <v>2633</v>
      </c>
      <c r="FU67" s="243">
        <f>DO67+DP67+DS67+DT67</f>
        <v>2382</v>
      </c>
      <c r="FV67" s="243">
        <f>DY67+DV67+DZ67+DU67</f>
        <v>2368</v>
      </c>
      <c r="FW67" s="243">
        <f>EA67+EB67+EE67+EF67</f>
        <v>2404</v>
      </c>
      <c r="FX67" s="243">
        <f>EG67+EH67+EK67+EL67</f>
        <v>2287</v>
      </c>
      <c r="FY67" s="243">
        <f>EM67+EN67+EQ67+ER67</f>
        <v>2140</v>
      </c>
      <c r="FZ67" s="243">
        <f>ES67+ET67+EW67+EX67</f>
        <v>2102.44</v>
      </c>
      <c r="GA67" s="243">
        <f>EY67+EZ67+FC67+FD67</f>
        <v>1970.4546381972707</v>
      </c>
      <c r="GB67" s="243">
        <f>FE67+FF67+FI67+FJ67</f>
        <v>1704.3625759000001</v>
      </c>
      <c r="GC67" s="243"/>
      <c r="GD67" s="243"/>
      <c r="GE67" s="243"/>
      <c r="GF67" s="243"/>
      <c r="GI67"/>
      <c r="GJ67"/>
      <c r="GK67"/>
      <c r="GL67"/>
      <c r="GM67"/>
      <c r="GN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</row>
    <row r="68" spans="1:281" s="33" customFormat="1" ht="10.5" hidden="1" customHeight="1" outlineLevel="1" x14ac:dyDescent="0.2">
      <c r="A68" s="1288" t="s">
        <v>669</v>
      </c>
      <c r="B68" s="1296"/>
      <c r="C68" s="1297"/>
      <c r="D68" s="1297"/>
      <c r="E68" s="1297"/>
      <c r="F68" s="1297"/>
      <c r="G68" s="1297"/>
      <c r="H68" s="1297"/>
      <c r="I68" s="1297"/>
      <c r="J68" s="1297"/>
      <c r="K68" s="1297"/>
      <c r="L68" s="1297"/>
      <c r="M68" s="1266"/>
      <c r="N68" s="1298"/>
      <c r="O68" s="1297"/>
      <c r="P68" s="1297"/>
      <c r="Q68" s="1297"/>
      <c r="R68" s="1297"/>
      <c r="S68" s="1297"/>
      <c r="T68" s="1298"/>
      <c r="U68" s="1297"/>
      <c r="V68" s="1297"/>
      <c r="W68" s="1297"/>
      <c r="X68" s="1297"/>
      <c r="Y68" s="1297"/>
      <c r="Z68" s="1298"/>
      <c r="AA68" s="1299"/>
      <c r="AB68" s="1299"/>
      <c r="AC68" s="1299"/>
      <c r="AD68" s="1299"/>
      <c r="AE68" s="1299"/>
      <c r="AF68" s="1298"/>
      <c r="AG68" s="1299"/>
      <c r="AH68" s="1299"/>
      <c r="AI68" s="1299"/>
      <c r="AJ68" s="1299"/>
      <c r="AK68" s="1299"/>
      <c r="AL68" s="1298"/>
      <c r="AM68" s="1299"/>
      <c r="AN68" s="1299"/>
      <c r="AO68" s="1299"/>
      <c r="AP68" s="1299"/>
      <c r="AQ68" s="1299"/>
      <c r="AR68" s="1298"/>
      <c r="AS68" s="1299"/>
      <c r="AT68" s="1299"/>
      <c r="AU68" s="1299"/>
      <c r="AV68" s="1299"/>
      <c r="AW68" s="1299"/>
      <c r="AX68" s="1298"/>
      <c r="AY68" s="1299"/>
      <c r="AZ68" s="1299"/>
      <c r="BA68" s="1299"/>
      <c r="BB68" s="1299"/>
      <c r="BC68" s="1299"/>
      <c r="BD68" s="1298"/>
      <c r="BE68" s="1299"/>
      <c r="BF68" s="1299"/>
      <c r="BG68" s="1299"/>
      <c r="BH68" s="1299"/>
      <c r="BI68" s="1299"/>
      <c r="BJ68" s="1298"/>
      <c r="BK68" s="1299"/>
      <c r="BL68" s="1299"/>
      <c r="BM68" s="1299"/>
      <c r="BN68" s="1299"/>
      <c r="BO68" s="1299"/>
      <c r="BP68" s="1298"/>
      <c r="BQ68" s="1299"/>
      <c r="BR68" s="1299"/>
      <c r="BS68" s="1299"/>
      <c r="BT68" s="1299"/>
      <c r="BU68" s="1299"/>
      <c r="BV68" s="1298"/>
      <c r="BW68" s="1299"/>
      <c r="BX68" s="1299"/>
      <c r="BY68" s="1299"/>
      <c r="BZ68" s="1299"/>
      <c r="CA68" s="1299"/>
      <c r="CB68" s="1298"/>
      <c r="CC68" s="1299"/>
      <c r="CD68" s="1299"/>
      <c r="CE68" s="1299"/>
      <c r="CF68" s="1299"/>
      <c r="CG68" s="1300"/>
      <c r="CH68" s="1298"/>
      <c r="CI68" s="1299"/>
      <c r="CJ68" s="1299"/>
      <c r="CK68" s="1299"/>
      <c r="CL68" s="1299"/>
      <c r="CM68" s="1300"/>
      <c r="CN68" s="1298"/>
      <c r="CO68" s="1299"/>
      <c r="CP68" s="1299"/>
      <c r="CQ68" s="1299"/>
      <c r="CR68" s="1299"/>
      <c r="CS68" s="1300"/>
      <c r="CT68" s="1298"/>
      <c r="CU68" s="1299"/>
      <c r="CV68" s="1299"/>
      <c r="CW68" s="1299"/>
      <c r="CX68" s="1299"/>
      <c r="CY68" s="1300"/>
      <c r="CZ68" s="1298"/>
      <c r="DA68" s="1299"/>
      <c r="DB68" s="1299"/>
      <c r="DC68" s="1301"/>
      <c r="DD68" s="1301"/>
      <c r="DE68" s="1302"/>
      <c r="DF68" s="1298"/>
      <c r="DG68" s="1301"/>
      <c r="DH68" s="1301"/>
      <c r="DI68" s="1301"/>
      <c r="DJ68" s="1303">
        <f>DJ67/DD67-1</f>
        <v>-1.4534883720930258E-3</v>
      </c>
      <c r="DK68" s="1304"/>
      <c r="DL68" s="1298"/>
      <c r="DM68" s="1303">
        <f>DM67/DG67-1</f>
        <v>-3.5294117647058809E-2</v>
      </c>
      <c r="DN68" s="1303">
        <f>DN67/DH67-1</f>
        <v>-7.5801749271137031E-2</v>
      </c>
      <c r="DO68" s="1303">
        <f>DO67/DI67-1</f>
        <v>-7.0121951219512146E-2</v>
      </c>
      <c r="DP68" s="1303">
        <f>DP67/DJ67-1</f>
        <v>-0.12081513828238721</v>
      </c>
      <c r="DQ68" s="1304">
        <f>DQ67/DK67-1</f>
        <v>-7.5673680324843118E-2</v>
      </c>
      <c r="DR68" s="1298"/>
      <c r="DS68" s="1303">
        <f>DS67/DM67-1</f>
        <v>-0.11890243902439024</v>
      </c>
      <c r="DT68" s="1303">
        <f>DT67/DN67-1</f>
        <v>-6.9400630914826511E-2</v>
      </c>
      <c r="DU68" s="1303">
        <f>DU67/DO67-1</f>
        <v>-6.2295081967213117E-2</v>
      </c>
      <c r="DV68" s="1303">
        <f>DV67/DP67-1</f>
        <v>-2.9801324503311299E-2</v>
      </c>
      <c r="DW68" s="1304">
        <f>DW67/DQ67-1</f>
        <v>-7.1086261980830678E-2</v>
      </c>
      <c r="DX68" s="1298"/>
      <c r="DY68" s="1303">
        <f>DY67/DS67-1</f>
        <v>3.2871972318339049E-2</v>
      </c>
      <c r="DZ68" s="1303">
        <f>DZ67/DT67-1</f>
        <v>3.8983050847457568E-2</v>
      </c>
      <c r="EA68" s="1303">
        <f>EA67/DU67-1</f>
        <v>4.8951048951048959E-2</v>
      </c>
      <c r="EB68" s="1303">
        <f>EB67/DV67-1</f>
        <v>1.8771331058020424E-2</v>
      </c>
      <c r="EC68" s="1304">
        <f>EC67/DW67-1</f>
        <v>3.4823731728288898E-2</v>
      </c>
      <c r="ED68" s="1298"/>
      <c r="EE68" s="1303">
        <f>EE67/DY67-1</f>
        <v>-1.5075376884422065E-2</v>
      </c>
      <c r="EF68" s="1303">
        <f>EF67/DZ67-1</f>
        <v>9.7879282218598096E-3</v>
      </c>
      <c r="EG68" s="1303">
        <f>EG67/EA67-1</f>
        <v>-2.0000000000000018E-2</v>
      </c>
      <c r="EH68" s="1303">
        <f>EH67/EB67-1</f>
        <v>-1.1725293132328285E-2</v>
      </c>
      <c r="EI68" s="1304">
        <f>EI67/EC67-1</f>
        <v>-9.1400083090984463E-3</v>
      </c>
      <c r="EJ68" s="1298"/>
      <c r="EK68" s="1303">
        <f>EK67/EE67-1</f>
        <v>-4.9319727891156462E-2</v>
      </c>
      <c r="EL68" s="1303">
        <f>EL67/EF67-1</f>
        <v>-0.11147011308562194</v>
      </c>
      <c r="EM68" s="1303">
        <f>EM67/EG67-1</f>
        <v>-9.6938775510204134E-2</v>
      </c>
      <c r="EN68" s="1303">
        <f>EN67/EH67-1</f>
        <v>-5.4237288135593253E-2</v>
      </c>
      <c r="EO68" s="1304">
        <f>EO67/EI67-1</f>
        <v>-7.8406708595387786E-2</v>
      </c>
      <c r="EP68" s="1298"/>
      <c r="EQ68" s="1303">
        <f>EQ67/EK67-1</f>
        <v>-4.4722719141323752E-2</v>
      </c>
      <c r="ER68" s="1303">
        <f>ER67/EL67-1</f>
        <v>-6.0000000000000053E-2</v>
      </c>
      <c r="ES68" s="1303">
        <f>ES67/EM67-1</f>
        <v>-4.3314500941619594E-2</v>
      </c>
      <c r="ET68" s="1303">
        <f>ET67/EN67-1</f>
        <v>-7.3476702508960545E-2</v>
      </c>
      <c r="EU68" s="1304">
        <f>EU67/EO67-1</f>
        <v>-5.5505004549590509E-2</v>
      </c>
      <c r="EV68" s="1298"/>
      <c r="EW68" s="1303">
        <f>EW67/EQ67-1</f>
        <v>3.9176029962546988E-2</v>
      </c>
      <c r="EX68" s="1303">
        <f>EX67/ER67-1</f>
        <v>1.0676982591876216E-2</v>
      </c>
      <c r="EY68" s="1303">
        <f>EY67/ES67-1</f>
        <v>5.5905511811023656E-2</v>
      </c>
      <c r="EZ68" s="1303">
        <f>EZ67/ET67-1</f>
        <v>-1.4295744680851041E-2</v>
      </c>
      <c r="FA68" s="1304">
        <f>FA67/EU67-1</f>
        <v>2.2856021194605169E-2</v>
      </c>
      <c r="FB68" s="1298"/>
      <c r="FC68" s="1303">
        <f>FC67/EW67-1</f>
        <v>-0.15837508434139924</v>
      </c>
      <c r="FD68" s="1303">
        <f>FD67/EX67-1</f>
        <v>-0.12460568016535245</v>
      </c>
      <c r="FE68" s="1303">
        <f>FE67/EY67-1</f>
        <v>-0.17231648023862778</v>
      </c>
      <c r="FF68" s="1303">
        <f>FF67/EZ67-1</f>
        <v>-0.16243901453094145</v>
      </c>
      <c r="FG68" s="1304">
        <f>FG67/FA67-1</f>
        <v>-0.15456241536598614</v>
      </c>
      <c r="FH68" s="1298"/>
      <c r="FI68" s="1303">
        <f>FI67/FC67-1</f>
        <v>-8.9366376698882144E-2</v>
      </c>
      <c r="FJ68" s="1303">
        <f>FJ67/FD67-1</f>
        <v>-0.10743929879786018</v>
      </c>
      <c r="FK68" s="1303">
        <f>FK67/FE67-1</f>
        <v>-0.11563648479949418</v>
      </c>
      <c r="FL68" s="1303">
        <f>FL67/FF67-1</f>
        <v>-0.1226503633073408</v>
      </c>
      <c r="FM68" s="1304">
        <f>FM67/FG67-1</f>
        <v>-0.10838131067402101</v>
      </c>
      <c r="FN68" s="226"/>
      <c r="FO68" s="227"/>
      <c r="FS68" s="227"/>
      <c r="FT68" s="236"/>
      <c r="FU68" s="236"/>
      <c r="FV68" s="236"/>
      <c r="FW68" s="236"/>
      <c r="FX68" s="236"/>
      <c r="FY68" s="236"/>
      <c r="FZ68" s="236"/>
      <c r="GA68" s="236"/>
      <c r="GB68" s="236"/>
      <c r="GC68" s="236"/>
      <c r="GD68" s="236"/>
      <c r="GE68" s="236"/>
      <c r="GF68" s="236"/>
      <c r="GI68"/>
      <c r="GJ68"/>
      <c r="GK68"/>
      <c r="GL68"/>
      <c r="GM68"/>
      <c r="GN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</row>
    <row r="69" spans="1:281" s="33" customFormat="1" ht="10.5" hidden="1" customHeight="1" outlineLevel="1" x14ac:dyDescent="0.2">
      <c r="A69" s="1288" t="s">
        <v>1101</v>
      </c>
      <c r="B69" s="1296"/>
      <c r="C69" s="1297"/>
      <c r="D69" s="1297"/>
      <c r="E69" s="1297"/>
      <c r="F69" s="1297"/>
      <c r="G69" s="1297"/>
      <c r="H69" s="1297"/>
      <c r="I69" s="1297"/>
      <c r="J69" s="1297"/>
      <c r="K69" s="1297"/>
      <c r="L69" s="1297"/>
      <c r="M69" s="1266"/>
      <c r="N69" s="1298"/>
      <c r="O69" s="1297"/>
      <c r="P69" s="1297"/>
      <c r="Q69" s="1297"/>
      <c r="R69" s="1297"/>
      <c r="S69" s="1297"/>
      <c r="T69" s="1298"/>
      <c r="U69" s="1297"/>
      <c r="V69" s="1297"/>
      <c r="W69" s="1297"/>
      <c r="X69" s="1297"/>
      <c r="Y69" s="1297"/>
      <c r="Z69" s="1298"/>
      <c r="AA69" s="1299"/>
      <c r="AB69" s="1299"/>
      <c r="AC69" s="1299"/>
      <c r="AD69" s="1299"/>
      <c r="AE69" s="1299"/>
      <c r="AF69" s="1298"/>
      <c r="AG69" s="1299"/>
      <c r="AH69" s="1299"/>
      <c r="AI69" s="1299"/>
      <c r="AJ69" s="1299"/>
      <c r="AK69" s="1299"/>
      <c r="AL69" s="1298"/>
      <c r="AM69" s="1299"/>
      <c r="AN69" s="1299"/>
      <c r="AO69" s="1299"/>
      <c r="AP69" s="1299"/>
      <c r="AQ69" s="1299"/>
      <c r="AR69" s="1298"/>
      <c r="AS69" s="1299"/>
      <c r="AT69" s="1299"/>
      <c r="AU69" s="1299"/>
      <c r="AV69" s="1299"/>
      <c r="AW69" s="1299"/>
      <c r="AX69" s="1298"/>
      <c r="AY69" s="1299"/>
      <c r="AZ69" s="1299"/>
      <c r="BA69" s="1299"/>
      <c r="BB69" s="1299"/>
      <c r="BC69" s="1299"/>
      <c r="BD69" s="1298"/>
      <c r="BE69" s="1299"/>
      <c r="BF69" s="1299"/>
      <c r="BG69" s="1299"/>
      <c r="BH69" s="1299"/>
      <c r="BI69" s="1299"/>
      <c r="BJ69" s="1298"/>
      <c r="BK69" s="1299"/>
      <c r="BL69" s="1299"/>
      <c r="BM69" s="1299"/>
      <c r="BN69" s="1299"/>
      <c r="BO69" s="1299"/>
      <c r="BP69" s="1298"/>
      <c r="BQ69" s="1299"/>
      <c r="BR69" s="1299"/>
      <c r="BS69" s="1299"/>
      <c r="BT69" s="1299"/>
      <c r="BU69" s="1299"/>
      <c r="BV69" s="1298"/>
      <c r="BW69" s="1299"/>
      <c r="BX69" s="1299"/>
      <c r="BY69" s="1299"/>
      <c r="BZ69" s="1299"/>
      <c r="CA69" s="1299"/>
      <c r="CB69" s="1298"/>
      <c r="CC69" s="1299"/>
      <c r="CD69" s="1299"/>
      <c r="CE69" s="1299"/>
      <c r="CF69" s="1299"/>
      <c r="CG69" s="1300"/>
      <c r="CH69" s="1298"/>
      <c r="CI69" s="1299"/>
      <c r="CJ69" s="1299"/>
      <c r="CK69" s="1299"/>
      <c r="CL69" s="1299"/>
      <c r="CM69" s="1300"/>
      <c r="CN69" s="1298"/>
      <c r="CO69" s="1299"/>
      <c r="CP69" s="1299"/>
      <c r="CQ69" s="1299"/>
      <c r="CR69" s="1299"/>
      <c r="CS69" s="1300"/>
      <c r="CT69" s="1298"/>
      <c r="CU69" s="1299"/>
      <c r="CV69" s="1299"/>
      <c r="CW69" s="1299"/>
      <c r="CX69" s="1299"/>
      <c r="CY69" s="1300"/>
      <c r="CZ69" s="1298"/>
      <c r="DA69" s="1299"/>
      <c r="DB69" s="1299"/>
      <c r="DC69" s="1301"/>
      <c r="DD69" s="1301"/>
      <c r="DE69" s="1302"/>
      <c r="DF69" s="1298"/>
      <c r="DG69" s="1303">
        <f>DG67/DD67-1</f>
        <v>-1.1627906976744207E-2</v>
      </c>
      <c r="DH69" s="1303">
        <f>DH67/DG67-1</f>
        <v>8.8235294117646745E-3</v>
      </c>
      <c r="DI69" s="1303">
        <f>DI67/DH67-1</f>
        <v>-4.3731778425656009E-2</v>
      </c>
      <c r="DJ69" s="1303">
        <f>DJ67/DI67-1</f>
        <v>4.7256097560975707E-2</v>
      </c>
      <c r="DK69" s="1302"/>
      <c r="DL69" s="1298"/>
      <c r="DM69" s="1303">
        <f>DM67/DJ67-1</f>
        <v>-4.5123726346433801E-2</v>
      </c>
      <c r="DN69" s="1303">
        <f>DN67/DM67-1</f>
        <v>-3.3536585365853688E-2</v>
      </c>
      <c r="DO69" s="1303">
        <f>DO67/DN67-1</f>
        <v>-3.7854889589905349E-2</v>
      </c>
      <c r="DP69" s="1303">
        <f>DP67/DO67-1</f>
        <v>-9.8360655737704805E-3</v>
      </c>
      <c r="DQ69" s="1302"/>
      <c r="DR69" s="1298"/>
      <c r="DS69" s="1303">
        <f>DS67/DP67-1</f>
        <v>-4.3046357615894038E-2</v>
      </c>
      <c r="DT69" s="1303">
        <f>DT67/DS67-1</f>
        <v>2.076124567474058E-2</v>
      </c>
      <c r="DU69" s="1303">
        <f>DU67/DT67-1</f>
        <v>-3.050847457627115E-2</v>
      </c>
      <c r="DV69" s="1303">
        <f>DV67/DU67-1</f>
        <v>2.4475524475524368E-2</v>
      </c>
      <c r="DW69" s="1302"/>
      <c r="DX69" s="1298"/>
      <c r="DY69" s="1303">
        <f>DY67/DV67-1</f>
        <v>1.8771331058020424E-2</v>
      </c>
      <c r="DZ69" s="1303">
        <f>DZ67/DY67-1</f>
        <v>2.6800670016750461E-2</v>
      </c>
      <c r="EA69" s="1303">
        <f>EA67/DZ67-1</f>
        <v>-2.1207177814029365E-2</v>
      </c>
      <c r="EB69" s="1303">
        <f>EB67/EA67-1</f>
        <v>-5.0000000000000044E-3</v>
      </c>
      <c r="EC69" s="1302"/>
      <c r="ED69" s="1298"/>
      <c r="EE69" s="1303">
        <f>EE67/EB67-1</f>
        <v>-1.5075376884422065E-2</v>
      </c>
      <c r="EF69" s="1303">
        <f>EF67/EE67-1</f>
        <v>5.2721088435374153E-2</v>
      </c>
      <c r="EG69" s="1303">
        <f>EG67/EF67-1</f>
        <v>-5.0080775444264924E-2</v>
      </c>
      <c r="EH69" s="1303">
        <f>EH67/EG67-1</f>
        <v>3.4013605442175798E-3</v>
      </c>
      <c r="EI69" s="1302"/>
      <c r="EJ69" s="1298"/>
      <c r="EK69" s="1303">
        <f>EK67/EH67-1</f>
        <v>-5.2542372881355881E-2</v>
      </c>
      <c r="EL69" s="1303">
        <f>EL67/EK67-1</f>
        <v>-1.610017889087656E-2</v>
      </c>
      <c r="EM69" s="1303">
        <f>EM67/EL67-1</f>
        <v>-3.4545454545454546E-2</v>
      </c>
      <c r="EN69" s="1303">
        <f>EN67/EM67-1</f>
        <v>5.0847457627118731E-2</v>
      </c>
      <c r="EO69" s="1302"/>
      <c r="EP69" s="1298"/>
      <c r="EQ69" s="1303">
        <f>EQ67/EN67-1</f>
        <v>-4.3010752688172005E-2</v>
      </c>
      <c r="ER69" s="1303">
        <f>ER67/EQ67-1</f>
        <v>-3.183520599250933E-2</v>
      </c>
      <c r="ES69" s="1303">
        <f>ES67/ER67-1</f>
        <v>-1.740812379110257E-2</v>
      </c>
      <c r="ET69" s="1303">
        <f>ET67/ES67-1</f>
        <v>1.7716535433070835E-2</v>
      </c>
      <c r="EU69" s="1302"/>
      <c r="EV69" s="1298"/>
      <c r="EW69" s="1303">
        <f>EW67/ET67-1</f>
        <v>7.3346228239845379E-2</v>
      </c>
      <c r="EX69" s="1303">
        <f>EX67/EW67-1</f>
        <v>-5.8386794492900074E-2</v>
      </c>
      <c r="EY69" s="1303">
        <f>EY67/EX67-1</f>
        <v>2.6563576513817688E-2</v>
      </c>
      <c r="EZ69" s="1303">
        <f>EZ67/EY67-1</f>
        <v>-4.9945749440715836E-2</v>
      </c>
      <c r="FA69" s="1302"/>
      <c r="FB69" s="1298"/>
      <c r="FC69" s="1303">
        <f>FC67/EZ67-1</f>
        <v>-8.3543645124722454E-2</v>
      </c>
      <c r="FD69" s="1303">
        <f>FD67/FC67-1</f>
        <v>-2.0605454702847137E-2</v>
      </c>
      <c r="FE69" s="1303">
        <f>FE67/FD67-1</f>
        <v>-2.9386260550248178E-2</v>
      </c>
      <c r="FF69" s="1303">
        <f>FF67/FE67-1</f>
        <v>-3.8607927608711123E-2</v>
      </c>
      <c r="FG69" s="1302"/>
      <c r="FH69" s="1298"/>
      <c r="FI69" s="1303">
        <f>FI67/FF67-1</f>
        <v>-3.5878156740629663E-3</v>
      </c>
      <c r="FJ69" s="1303">
        <f>FJ67/FI67-1</f>
        <v>-4.0043042848509458E-2</v>
      </c>
      <c r="FK69" s="1303">
        <f>FK67/FJ67-1</f>
        <v>-3.830027765552213E-2</v>
      </c>
      <c r="FL69" s="1303">
        <f>FL67/FK67-1</f>
        <v>-4.6232718860564792E-2</v>
      </c>
      <c r="FM69" s="1302"/>
      <c r="FN69" s="226"/>
      <c r="FO69" s="227"/>
      <c r="FS69" s="227"/>
      <c r="GI69"/>
      <c r="GJ69"/>
      <c r="GK69"/>
      <c r="GL69"/>
      <c r="GM69"/>
      <c r="GN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</row>
    <row r="70" spans="1:281" s="33" customFormat="1" ht="10.5" hidden="1" customHeight="1" outlineLevel="1" x14ac:dyDescent="0.2">
      <c r="A70" s="127" t="s">
        <v>264</v>
      </c>
      <c r="B70" s="949"/>
      <c r="C70" s="272"/>
      <c r="D70" s="272"/>
      <c r="E70" s="272"/>
      <c r="F70" s="272"/>
      <c r="G70" s="272"/>
      <c r="H70" s="272"/>
      <c r="I70" s="272"/>
      <c r="J70" s="272"/>
      <c r="K70" s="272"/>
      <c r="L70" s="272"/>
      <c r="M70" s="37"/>
      <c r="N70" s="242"/>
      <c r="O70" s="272"/>
      <c r="P70" s="272"/>
      <c r="Q70" s="272"/>
      <c r="R70" s="272"/>
      <c r="S70" s="272"/>
      <c r="T70" s="242"/>
      <c r="U70" s="272"/>
      <c r="V70" s="272"/>
      <c r="W70" s="272"/>
      <c r="X70" s="272"/>
      <c r="Y70" s="272"/>
      <c r="Z70" s="242"/>
      <c r="AA70" s="64"/>
      <c r="AB70" s="64"/>
      <c r="AC70" s="64"/>
      <c r="AD70" s="64"/>
      <c r="AE70" s="64"/>
      <c r="AF70" s="242"/>
      <c r="AG70" s="64"/>
      <c r="AH70" s="64"/>
      <c r="AI70" s="64"/>
      <c r="AJ70" s="64"/>
      <c r="AK70" s="64"/>
      <c r="AL70" s="242"/>
      <c r="AM70" s="64"/>
      <c r="AN70" s="64"/>
      <c r="AO70" s="64"/>
      <c r="AP70" s="64"/>
      <c r="AQ70" s="64"/>
      <c r="AR70" s="242"/>
      <c r="AS70" s="64"/>
      <c r="AT70" s="64"/>
      <c r="AU70" s="64"/>
      <c r="AV70" s="64"/>
      <c r="AW70" s="64"/>
      <c r="AX70" s="242"/>
      <c r="AY70" s="64"/>
      <c r="AZ70" s="64"/>
      <c r="BA70" s="64"/>
      <c r="BB70" s="64"/>
      <c r="BC70" s="64"/>
      <c r="BD70" s="242"/>
      <c r="BE70" s="64"/>
      <c r="BF70" s="64"/>
      <c r="BG70" s="64"/>
      <c r="BH70" s="64"/>
      <c r="BI70" s="64"/>
      <c r="BJ70" s="242"/>
      <c r="BK70" s="64"/>
      <c r="BL70" s="64"/>
      <c r="BM70" s="64"/>
      <c r="BN70" s="64"/>
      <c r="BO70" s="64"/>
      <c r="BP70" s="242"/>
      <c r="BQ70" s="64"/>
      <c r="BR70" s="64"/>
      <c r="BS70" s="64"/>
      <c r="BT70" s="64"/>
      <c r="BU70" s="64"/>
      <c r="BV70" s="242"/>
      <c r="BW70" s="64"/>
      <c r="BX70" s="64"/>
      <c r="BY70" s="64"/>
      <c r="BZ70" s="64"/>
      <c r="CA70" s="64"/>
      <c r="CB70" s="242"/>
      <c r="CC70" s="64"/>
      <c r="CD70" s="64"/>
      <c r="CE70" s="64"/>
      <c r="CF70" s="64"/>
      <c r="CG70" s="360"/>
      <c r="CH70" s="242"/>
      <c r="CI70" s="64"/>
      <c r="CJ70" s="64"/>
      <c r="CK70" s="64"/>
      <c r="CL70" s="64"/>
      <c r="CM70" s="360"/>
      <c r="CN70" s="242"/>
      <c r="CO70" s="64"/>
      <c r="CP70" s="64"/>
      <c r="CQ70" s="64"/>
      <c r="CR70" s="64"/>
      <c r="CS70" s="360"/>
      <c r="CT70" s="242"/>
      <c r="CU70" s="64"/>
      <c r="CV70" s="64"/>
      <c r="CW70" s="64"/>
      <c r="CX70" s="64"/>
      <c r="CY70" s="360"/>
      <c r="CZ70" s="242"/>
      <c r="DA70" s="64"/>
      <c r="DB70" s="64"/>
      <c r="DC70" s="243"/>
      <c r="DD70" s="243"/>
      <c r="DE70" s="143"/>
      <c r="DF70" s="242"/>
      <c r="DG70" s="243"/>
      <c r="DH70" s="243"/>
      <c r="DI70" s="243"/>
      <c r="DJ70" s="1179">
        <f>DJ67/(SUM(DG60:DJ60,DA60:DD60,CU60:CX60,CO60:CR60,CI60:CL60)+1200)</f>
        <v>2.0302591555078176E-2</v>
      </c>
      <c r="DK70" s="143"/>
      <c r="DL70" s="242"/>
      <c r="DM70" s="1195">
        <f>DM67/(SUM(DM60,DF60:DJ60,CZ60:DD60,CT60:CX60,CO60:CR60,CJ60:CL60)+1200)</f>
        <v>1.9934625624412249E-2</v>
      </c>
      <c r="DN70" s="1195">
        <f>DN67/(SUM(DM60:DN60,DF60:DJ60,CZ60:DD60,CT60:CX60,CO60:CR60,CK60:CL60))</f>
        <v>2.0854877092476392E-2</v>
      </c>
      <c r="DO70" s="1195">
        <f>DO67/(SUM(DM60:DO60,DG60:DJ60,DA60:DD60,CU60:CX60,CO60:CR60,CL60))</f>
        <v>2.0883384080843774E-2</v>
      </c>
      <c r="DP70" s="1179">
        <f>DP67/(SUM(DM60:DP60,DG60:DJ60,DA60:DD60,CU60:CX60,CO60:CR60)+1200)</f>
        <v>2.0903610007449353E-2</v>
      </c>
      <c r="DQ70" s="143"/>
      <c r="DR70" s="242"/>
      <c r="DS70" s="1195">
        <f>DS67/(SUM(DS60,DL60:DP60,DF60:DJ60,CZ60:DD60,CU60:CX60,CP60:CR60)+1200)</f>
        <v>2.0871413128932689E-2</v>
      </c>
      <c r="DT70" s="1195">
        <f>DT67/(SUM(DS60:DT60,DL60:DP60,DF60:DJ60,CZ60:DD60,CU60:CX60,CQ60:CR60))</f>
        <v>2.3620543159813972E-2</v>
      </c>
      <c r="DU70" s="1195">
        <f>DU67/(SUM(DS60:DU60,DM60:DP60,DG60:DJ60,DA60:DD60,CU60:CX60,CR60))</f>
        <v>2.4190276600043054E-2</v>
      </c>
      <c r="DV70" s="1179">
        <f>DV67/(SUM(DS60:DV60,DM60:DP60,DG60:DJ60,DA60:DD60,CU60:CX60)+1200)</f>
        <v>2.5140329498574792E-2</v>
      </c>
      <c r="DW70" s="143"/>
      <c r="DX70" s="242"/>
      <c r="DY70" s="1195">
        <f>DY67/(SUM(DY60,DR60:DV60,DL60:DP60,DF60:DJ60,DA60:DD60,CV60:CX60)+1200)</f>
        <v>2.6874348459632293E-2</v>
      </c>
      <c r="DZ70" s="1195">
        <f>DZ67/(SUM(DY60:DZ60,DR60:DV60,DL60:DP60,DF60:DJ60,DA60:DD60,CW60:CX60))</f>
        <v>3.0976621063392513E-2</v>
      </c>
      <c r="EA70" s="1195">
        <f>EA67/(SUM(DY60:EA60,DS60:DV60,DM60:DP60,DG60:DJ60,DA60:DD60,CX60))</f>
        <v>3.1587876259924652E-2</v>
      </c>
      <c r="EB70" s="1179">
        <f>EB67/(SUM(DY60:EB60,DS60:DV60,DM60:DP60,DG60:DJ60,DA60:DD60)+1200)</f>
        <v>3.0486403676752202E-2</v>
      </c>
      <c r="EC70" s="143"/>
      <c r="ED70" s="242"/>
      <c r="EE70" s="1195">
        <f>EE67/(SUM(EE60,DX60:EB60,DR60:DV60,DL60:DP60,DG60:DJ60,DB60:DD60)+1200)</f>
        <v>3.099059214167128E-2</v>
      </c>
      <c r="EF70" s="1195">
        <f>EF67/(SUM(EE60:EF60,DX60:EB60,DR60:DV60,DL60:DP60,DG60:DJ60,DC60:DD60))</f>
        <v>3.6362568289960644E-2</v>
      </c>
      <c r="EG70" s="1195">
        <f>EG67/(SUM(EE60:EG60,DY60:EB60,DS60:DV60,DM60:DP60,DG60:DJ60,DD60))</f>
        <v>3.3673118772191042E-2</v>
      </c>
      <c r="EH70" s="1179">
        <f>EH67/(SUM(EE60:EH60,DY60:EB60,DS60:DV60,DM60:DP60,DG60:DJ60))</f>
        <v>3.4610195342288964E-2</v>
      </c>
      <c r="EI70" s="143"/>
      <c r="EJ70" s="242"/>
      <c r="EK70" s="1195">
        <f>EK67/(SUM(EK60,ED60:EH60,DX60:EB60,DR60:DV60,DM60:DP60,DH60:DJ60)+1200)</f>
        <v>3.1514263163829069E-2</v>
      </c>
      <c r="EL70" s="1195">
        <f>EL67/(SUM(EK60:EL60,ED60:EH60,DX60:EB60,DR60:DV60,DM60:DP60,DI60:DJ60))</f>
        <v>3.437714857178574E-2</v>
      </c>
      <c r="EM70" s="1195">
        <f>EM67/(SUM(EK60:EM60,EE60:EH60,DY60:EB60,DS60:DV60,DM60:DP60,DI60:DJ60))</f>
        <v>3.1982171896645185E-2</v>
      </c>
      <c r="EN70" s="1179">
        <f>EN67/(SUM(EK60:EN60,EE60:EH60,DY60:EB60,DS60:DV60,DM60:DP60))</f>
        <v>3.6865750528541227E-2</v>
      </c>
      <c r="EO70" s="143"/>
      <c r="EP70" s="242"/>
      <c r="EQ70" s="1195">
        <f>EQ67/(SUM(EQ60,EJ60:EN60,ED60:EH60,DX60:EB60,DS60:DV60,DN60:DP60)+1200)</f>
        <v>3.3863910203563954E-2</v>
      </c>
      <c r="ER70" s="1195">
        <f>ER67/(SUM(EQ60:ER60,EJ60:EN60,ED60:EH60,DX60:EB60,DS60:DV60,DO60:DP60))</f>
        <v>3.6632891660171474E-2</v>
      </c>
      <c r="ES70" s="1195">
        <f>ES67/(SUM(EQ60:ES60,EK60:EN60,EE60:EH60,DY60:EB60,DS60:DV60,DO60:DP60))</f>
        <v>3.4716052757466004E-2</v>
      </c>
      <c r="ET70" s="1179">
        <f>ET67/(SUM(EQ60:ET60,EK60:EN60,EE60:EH60,DY60:EB60,DS60:DV60))</f>
        <v>3.862821279139271E-2</v>
      </c>
      <c r="EU70" s="143"/>
      <c r="EV70" s="242"/>
      <c r="EW70" s="1195">
        <f>EW67/(SUM(EW60,EP60:ET60,EJ60:EN60,ED60:EH60,DY60:EB60,DT60:DV60)+1200)</f>
        <v>3.9097926595214008E-2</v>
      </c>
      <c r="EX70" s="1195">
        <f>EX67/(SUM(EX60,EQ60:EU60,EK60:EO60,EE60:EI60,DZ60:EC60,DU60:DW60)+1200)</f>
        <v>1.9940862816694577E-2</v>
      </c>
      <c r="EY70" s="1195">
        <f>EY67/(SUM(EW60:EY60,EQ60:ET60,EK60:EN60,EE60:EH60,DY60:EB60,DU60:DV60))</f>
        <v>4.0840068949974724E-2</v>
      </c>
      <c r="EZ70" s="1106">
        <v>4.2000000000000003E-2</v>
      </c>
      <c r="FA70" s="143"/>
      <c r="FB70" s="242"/>
      <c r="FC70" s="1106">
        <f>EW70+0.05%</f>
        <v>3.9597926595214009E-2</v>
      </c>
      <c r="FD70" s="1106">
        <v>0.04</v>
      </c>
      <c r="FE70" s="1106">
        <v>0.04</v>
      </c>
      <c r="FF70" s="1106">
        <v>0.04</v>
      </c>
      <c r="FG70" s="143"/>
      <c r="FH70" s="242"/>
      <c r="FI70" s="1106">
        <v>4.1000000000000002E-2</v>
      </c>
      <c r="FJ70" s="1106">
        <v>4.1000000000000002E-2</v>
      </c>
      <c r="FK70" s="1106">
        <v>4.1000000000000002E-2</v>
      </c>
      <c r="FL70" s="1106">
        <v>4.1000000000000002E-2</v>
      </c>
      <c r="FM70" s="143"/>
      <c r="FN70" s="226"/>
      <c r="FO70" s="227"/>
      <c r="FS70" s="227"/>
      <c r="GI70"/>
      <c r="GJ70"/>
      <c r="GK70"/>
      <c r="GL70"/>
      <c r="GM70"/>
      <c r="GN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</row>
    <row r="71" spans="1:281" s="33" customFormat="1" ht="6.75" hidden="1" customHeight="1" outlineLevel="1" x14ac:dyDescent="0.2">
      <c r="A71" s="127"/>
      <c r="B71" s="949"/>
      <c r="C71" s="272"/>
      <c r="D71" s="272"/>
      <c r="E71" s="272"/>
      <c r="F71" s="272"/>
      <c r="G71" s="272"/>
      <c r="H71" s="272"/>
      <c r="I71" s="272"/>
      <c r="J71" s="272"/>
      <c r="K71" s="272"/>
      <c r="L71" s="272"/>
      <c r="M71" s="37"/>
      <c r="N71" s="242"/>
      <c r="O71" s="272"/>
      <c r="P71" s="272"/>
      <c r="Q71" s="272"/>
      <c r="R71" s="272"/>
      <c r="S71" s="272"/>
      <c r="T71" s="242"/>
      <c r="U71" s="272"/>
      <c r="V71" s="272"/>
      <c r="W71" s="272"/>
      <c r="X71" s="272"/>
      <c r="Y71" s="272"/>
      <c r="Z71" s="242"/>
      <c r="AA71" s="64"/>
      <c r="AB71" s="64"/>
      <c r="AC71" s="64"/>
      <c r="AD71" s="64"/>
      <c r="AE71" s="64"/>
      <c r="AF71" s="242"/>
      <c r="AG71" s="64"/>
      <c r="AH71" s="64"/>
      <c r="AI71" s="64"/>
      <c r="AJ71" s="64"/>
      <c r="AK71" s="64"/>
      <c r="AL71" s="242"/>
      <c r="AM71" s="64"/>
      <c r="AN71" s="64"/>
      <c r="AO71" s="64"/>
      <c r="AP71" s="64"/>
      <c r="AQ71" s="64"/>
      <c r="AR71" s="242"/>
      <c r="AS71" s="64"/>
      <c r="AT71" s="64"/>
      <c r="AU71" s="64"/>
      <c r="AV71" s="64"/>
      <c r="AW71" s="64"/>
      <c r="AX71" s="242"/>
      <c r="AY71" s="64"/>
      <c r="AZ71" s="64"/>
      <c r="BA71" s="64"/>
      <c r="BB71" s="64"/>
      <c r="BC71" s="64"/>
      <c r="BD71" s="242"/>
      <c r="BE71" s="64"/>
      <c r="BF71" s="64"/>
      <c r="BG71" s="64"/>
      <c r="BH71" s="64"/>
      <c r="BI71" s="64"/>
      <c r="BJ71" s="242"/>
      <c r="BK71" s="64"/>
      <c r="BL71" s="64"/>
      <c r="BM71" s="64"/>
      <c r="BN71" s="64"/>
      <c r="BO71" s="64"/>
      <c r="BP71" s="242"/>
      <c r="BQ71" s="64"/>
      <c r="BR71" s="64"/>
      <c r="BS71" s="64"/>
      <c r="BT71" s="64"/>
      <c r="BU71" s="64"/>
      <c r="BV71" s="242"/>
      <c r="BW71" s="64"/>
      <c r="BX71" s="64"/>
      <c r="BY71" s="64"/>
      <c r="BZ71" s="64"/>
      <c r="CA71" s="64"/>
      <c r="CB71" s="242"/>
      <c r="CC71" s="64"/>
      <c r="CD71" s="64"/>
      <c r="CE71" s="64"/>
      <c r="CF71" s="64"/>
      <c r="CG71" s="360"/>
      <c r="CH71" s="242"/>
      <c r="CI71" s="64"/>
      <c r="CJ71" s="64"/>
      <c r="CK71" s="64"/>
      <c r="CL71" s="64"/>
      <c r="CM71" s="360"/>
      <c r="CN71" s="242"/>
      <c r="CO71" s="64"/>
      <c r="CP71" s="64"/>
      <c r="CQ71" s="64"/>
      <c r="CR71" s="64"/>
      <c r="CS71" s="360"/>
      <c r="CT71" s="242"/>
      <c r="CU71" s="64"/>
      <c r="CV71" s="64"/>
      <c r="CW71" s="64"/>
      <c r="CX71" s="64"/>
      <c r="CY71" s="360"/>
      <c r="CZ71" s="242"/>
      <c r="DA71" s="64"/>
      <c r="DB71" s="64"/>
      <c r="DC71" s="243"/>
      <c r="DD71" s="243"/>
      <c r="DE71" s="143"/>
      <c r="DF71" s="242"/>
      <c r="DG71" s="243"/>
      <c r="DH71" s="243"/>
      <c r="DI71" s="243"/>
      <c r="DJ71" s="243"/>
      <c r="DK71" s="143"/>
      <c r="DL71" s="242"/>
      <c r="DM71" s="243"/>
      <c r="DN71" s="243"/>
      <c r="DO71" s="243"/>
      <c r="DP71" s="243"/>
      <c r="DQ71" s="143"/>
      <c r="DR71" s="242"/>
      <c r="DS71" s="243"/>
      <c r="DT71" s="243"/>
      <c r="DU71" s="243"/>
      <c r="DV71" s="243"/>
      <c r="DW71" s="143"/>
      <c r="DX71" s="242"/>
      <c r="DY71" s="243"/>
      <c r="DZ71" s="243"/>
      <c r="EA71" s="243"/>
      <c r="EB71" s="243"/>
      <c r="EC71" s="143"/>
      <c r="ED71" s="242"/>
      <c r="EE71" s="243"/>
      <c r="EF71" s="243"/>
      <c r="EG71" s="243"/>
      <c r="EH71" s="243"/>
      <c r="EI71" s="143"/>
      <c r="EJ71" s="242"/>
      <c r="EK71" s="243"/>
      <c r="EL71" s="243"/>
      <c r="EM71" s="243"/>
      <c r="EN71" s="243"/>
      <c r="EO71" s="143"/>
      <c r="EP71" s="242"/>
      <c r="EQ71" s="243"/>
      <c r="ER71" s="243"/>
      <c r="ES71" s="243"/>
      <c r="ET71" s="243"/>
      <c r="EU71" s="143"/>
      <c r="EV71" s="242"/>
      <c r="EW71" s="243"/>
      <c r="EX71" s="243"/>
      <c r="EY71" s="243"/>
      <c r="EZ71" s="243"/>
      <c r="FA71" s="143"/>
      <c r="FB71" s="242"/>
      <c r="FC71" s="243"/>
      <c r="FD71" s="243"/>
      <c r="FE71" s="243"/>
      <c r="FF71" s="243"/>
      <c r="FG71" s="143"/>
      <c r="FH71" s="242"/>
      <c r="FI71" s="243"/>
      <c r="FJ71" s="243"/>
      <c r="FK71" s="243"/>
      <c r="FL71" s="243"/>
      <c r="FM71" s="143"/>
      <c r="FN71" s="226"/>
      <c r="FO71" s="227"/>
      <c r="FS71" s="227"/>
      <c r="GI71"/>
      <c r="GJ71"/>
      <c r="GK71"/>
      <c r="GL71"/>
      <c r="GM71"/>
      <c r="GN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</row>
    <row r="72" spans="1:281" s="33" customFormat="1" ht="10.5" hidden="1" customHeight="1" outlineLevel="1" x14ac:dyDescent="0.2">
      <c r="A72" s="127" t="s">
        <v>235</v>
      </c>
      <c r="B72" s="949" t="s">
        <v>298</v>
      </c>
      <c r="C72" s="259" t="s">
        <v>945</v>
      </c>
      <c r="D72" s="259" t="s">
        <v>945</v>
      </c>
      <c r="E72" s="259" t="s">
        <v>945</v>
      </c>
      <c r="F72" s="259" t="s">
        <v>945</v>
      </c>
      <c r="G72" s="259" t="s">
        <v>945</v>
      </c>
      <c r="H72" s="259" t="s">
        <v>945</v>
      </c>
      <c r="I72" s="259" t="s">
        <v>945</v>
      </c>
      <c r="J72" s="259" t="s">
        <v>945</v>
      </c>
      <c r="K72" s="259" t="s">
        <v>945</v>
      </c>
      <c r="L72" s="259" t="s">
        <v>945</v>
      </c>
      <c r="M72" s="259" t="s">
        <v>945</v>
      </c>
      <c r="N72" s="34"/>
      <c r="O72" s="259" t="s">
        <v>945</v>
      </c>
      <c r="P72" s="259" t="s">
        <v>945</v>
      </c>
      <c r="Q72" s="259" t="s">
        <v>945</v>
      </c>
      <c r="R72" s="259" t="s">
        <v>945</v>
      </c>
      <c r="S72" s="259" t="s">
        <v>945</v>
      </c>
      <c r="T72" s="34"/>
      <c r="U72" s="259" t="s">
        <v>945</v>
      </c>
      <c r="V72" s="259" t="s">
        <v>945</v>
      </c>
      <c r="W72" s="259" t="s">
        <v>945</v>
      </c>
      <c r="X72" s="259" t="s">
        <v>945</v>
      </c>
      <c r="Y72" s="259" t="s">
        <v>945</v>
      </c>
      <c r="Z72" s="34"/>
      <c r="AA72" s="242">
        <v>303.18700000000001</v>
      </c>
      <c r="AB72" s="242">
        <v>369.81599999999997</v>
      </c>
      <c r="AC72" s="242">
        <v>358.767</v>
      </c>
      <c r="AD72" s="242">
        <v>435.92099999999999</v>
      </c>
      <c r="AE72" s="242">
        <f>SUM(AA72:AD72)</f>
        <v>1467.691</v>
      </c>
      <c r="AF72" s="34"/>
      <c r="AG72" s="242">
        <v>433.05700000000002</v>
      </c>
      <c r="AH72" s="242">
        <v>540.60500000000002</v>
      </c>
      <c r="AI72" s="242">
        <v>526.24099999999999</v>
      </c>
      <c r="AJ72" s="242">
        <v>656.35599999999999</v>
      </c>
      <c r="AK72" s="242">
        <f>SUM(AG72:AJ72)</f>
        <v>2156.259</v>
      </c>
      <c r="AL72" s="34"/>
      <c r="AM72" s="242">
        <v>641.79</v>
      </c>
      <c r="AN72" s="242">
        <v>722.07600000000002</v>
      </c>
      <c r="AO72" s="242">
        <v>669.58500000000004</v>
      </c>
      <c r="AP72" s="242">
        <v>759.91099999999994</v>
      </c>
      <c r="AQ72" s="242">
        <f>SUM(AM72:AP72)</f>
        <v>2793.3620000000001</v>
      </c>
      <c r="AR72" s="34"/>
      <c r="AS72" s="242">
        <f>684.921-AS74</f>
        <v>576.73412000000008</v>
      </c>
      <c r="AT72" s="242">
        <f>698.909-AT74</f>
        <v>585.36892</v>
      </c>
      <c r="AU72" s="242">
        <f>623.632-AU74</f>
        <v>513.38839999999993</v>
      </c>
      <c r="AV72" s="242">
        <f>696.998-AV74</f>
        <v>574.30192000000011</v>
      </c>
      <c r="AW72" s="242">
        <f>SUM(AS72:AV72)</f>
        <v>2249.7933599999997</v>
      </c>
      <c r="AX72" s="34"/>
      <c r="AY72" s="34">
        <v>549.44399999999996</v>
      </c>
      <c r="AZ72" s="34">
        <v>580.52099999999996</v>
      </c>
      <c r="BA72" s="34">
        <v>562.64599999999996</v>
      </c>
      <c r="BB72" s="34">
        <v>564.61900000000003</v>
      </c>
      <c r="BC72" s="34">
        <f>SUM(AY72:BB72)</f>
        <v>2257.23</v>
      </c>
      <c r="BD72" s="34"/>
      <c r="BE72" s="34">
        <v>524.67499999999995</v>
      </c>
      <c r="BF72" s="34">
        <v>510.93700000000001</v>
      </c>
      <c r="BG72" s="34">
        <v>458.81299999999999</v>
      </c>
      <c r="BH72" s="34">
        <v>487.37200000000001</v>
      </c>
      <c r="BI72" s="34">
        <f>SUM(BE72:BH72)</f>
        <v>1981.7970000000003</v>
      </c>
      <c r="BJ72" s="34"/>
      <c r="BK72" s="34">
        <v>432</v>
      </c>
      <c r="BL72" s="34">
        <v>455</v>
      </c>
      <c r="BM72" s="34">
        <v>430</v>
      </c>
      <c r="BN72" s="34">
        <v>444</v>
      </c>
      <c r="BO72" s="34">
        <f>SUM(BK72:BN72)</f>
        <v>1761</v>
      </c>
      <c r="BP72" s="34"/>
      <c r="BQ72" s="33">
        <v>397</v>
      </c>
      <c r="BR72" s="33">
        <v>396</v>
      </c>
      <c r="BS72" s="33">
        <v>374</v>
      </c>
      <c r="BT72" s="33">
        <v>422</v>
      </c>
      <c r="BU72" s="33">
        <f>SUM(BQ72:BT72)</f>
        <v>1589</v>
      </c>
      <c r="BV72" s="34"/>
      <c r="BW72" s="33">
        <v>355</v>
      </c>
      <c r="BX72" s="33">
        <v>395</v>
      </c>
      <c r="BY72" s="33">
        <v>470</v>
      </c>
      <c r="BZ72" s="33">
        <v>589</v>
      </c>
      <c r="CA72" s="33">
        <f>SUM(BW72:BZ72)</f>
        <v>1809</v>
      </c>
      <c r="CB72" s="34"/>
      <c r="CC72" s="243">
        <v>481</v>
      </c>
      <c r="CD72" s="243">
        <v>506</v>
      </c>
      <c r="CE72" s="243">
        <v>501</v>
      </c>
      <c r="CF72" s="243">
        <v>632</v>
      </c>
      <c r="CG72" s="143">
        <f>SUM(CC72:CF72)</f>
        <v>2120</v>
      </c>
      <c r="CH72" s="244"/>
      <c r="CI72" s="243">
        <v>640</v>
      </c>
      <c r="CJ72" s="243">
        <v>716</v>
      </c>
      <c r="CK72" s="243">
        <v>694</v>
      </c>
      <c r="CL72" s="243">
        <v>819</v>
      </c>
      <c r="CM72" s="143">
        <f>SUM(CI72:CL72)</f>
        <v>2869</v>
      </c>
      <c r="CN72" s="244"/>
      <c r="CO72" s="243">
        <v>801</v>
      </c>
      <c r="CP72" s="243">
        <v>877</v>
      </c>
      <c r="CQ72" s="243">
        <v>843</v>
      </c>
      <c r="CR72" s="243">
        <v>957</v>
      </c>
      <c r="CS72" s="143">
        <f>SUM(CO72:CR72)</f>
        <v>3478</v>
      </c>
      <c r="CT72" s="244"/>
      <c r="CU72" s="243">
        <v>865</v>
      </c>
      <c r="CV72" s="243">
        <v>842</v>
      </c>
      <c r="CW72" s="243">
        <v>758</v>
      </c>
      <c r="CX72" s="243">
        <v>782</v>
      </c>
      <c r="CY72" s="143">
        <f>SUM(CU72:CX72)</f>
        <v>3247</v>
      </c>
      <c r="CZ72" s="244"/>
      <c r="DA72" s="243">
        <v>663</v>
      </c>
      <c r="DB72" s="243">
        <v>692</v>
      </c>
      <c r="DC72" s="243">
        <v>651</v>
      </c>
      <c r="DD72" s="243">
        <v>713</v>
      </c>
      <c r="DE72" s="143">
        <f>SUM(DA72:DD72)</f>
        <v>2719</v>
      </c>
      <c r="DF72" s="244"/>
      <c r="DG72" s="243">
        <v>666</v>
      </c>
      <c r="DH72" s="243">
        <v>738</v>
      </c>
      <c r="DI72" s="243">
        <v>722</v>
      </c>
      <c r="DJ72" s="243">
        <v>787</v>
      </c>
      <c r="DK72" s="143">
        <f>SUM(DG72:DJ72)</f>
        <v>2913</v>
      </c>
      <c r="DL72" s="244"/>
      <c r="DM72" s="1192">
        <f>Metrics!DM259</f>
        <v>727.41899999999998</v>
      </c>
      <c r="DN72" s="1192">
        <f>Metrics!DN259</f>
        <v>740.68799999999999</v>
      </c>
      <c r="DO72" s="1192">
        <f>Metrics!DO259</f>
        <v>706.81920000000002</v>
      </c>
      <c r="DP72" s="1192">
        <f>Metrics!DP259</f>
        <v>735.59069999999997</v>
      </c>
      <c r="DQ72" s="143">
        <f>SUM(DM72:DP72)</f>
        <v>2910.5168999999996</v>
      </c>
      <c r="DR72" s="244"/>
      <c r="DS72" s="243">
        <f>Metrics!DS259</f>
        <v>687.96</v>
      </c>
      <c r="DT72" s="243">
        <f>Metrics!DT259</f>
        <v>676.74860000000001</v>
      </c>
      <c r="DU72" s="243">
        <f>Metrics!DU259</f>
        <v>627.25</v>
      </c>
      <c r="DV72" s="243">
        <f>Metrics!DV259</f>
        <v>621.19200000000001</v>
      </c>
      <c r="DW72" s="143">
        <f>SUM(DS72:DV72)</f>
        <v>2613.1505999999999</v>
      </c>
      <c r="DX72" s="244"/>
      <c r="DY72" s="243">
        <f>Metrics!DY259</f>
        <v>590</v>
      </c>
      <c r="DZ72" s="243">
        <f>Metrics!DZ259</f>
        <v>596.26499999999999</v>
      </c>
      <c r="EA72" s="243">
        <f>Metrics!EA259</f>
        <v>583.85400000000004</v>
      </c>
      <c r="EB72" s="243">
        <f>Metrics!EB259</f>
        <v>583.85400000000004</v>
      </c>
      <c r="EC72" s="143">
        <f>SUM(DY72:EB72)</f>
        <v>2353.973</v>
      </c>
      <c r="ED72" s="244"/>
      <c r="EE72" s="243">
        <f>Metrics!EE259</f>
        <v>567.97399999999993</v>
      </c>
      <c r="EF72" s="243">
        <f>Metrics!EF259</f>
        <v>572.68799999999999</v>
      </c>
      <c r="EG72" s="243">
        <f>Metrics!EG259</f>
        <v>549.96</v>
      </c>
      <c r="EH72" s="243">
        <f>Metrics!EH259</f>
        <v>512.1</v>
      </c>
      <c r="EI72" s="143">
        <f>SUM(EE72:EH72)</f>
        <v>2202.7219999999998</v>
      </c>
      <c r="EJ72" s="244"/>
      <c r="EK72" s="243">
        <f>Metrics!EK259</f>
        <v>486.48599999999999</v>
      </c>
      <c r="EL72" s="243">
        <f>Metrics!EL259</f>
        <v>472.90600000000001</v>
      </c>
      <c r="EM72" s="243">
        <f>Metrics!EM259</f>
        <v>443.46799999999996</v>
      </c>
      <c r="EN72" s="243">
        <f>Metrics!EN259</f>
        <v>421.892</v>
      </c>
      <c r="EO72" s="143">
        <f>SUM(EK72:EN72)</f>
        <v>1824.7520000000002</v>
      </c>
      <c r="EP72" s="244"/>
      <c r="EQ72" s="243">
        <f>Metrics!EQ259</f>
        <v>404.14449999999994</v>
      </c>
      <c r="ER72" s="243">
        <f>Metrics!ER259</f>
        <v>392.32249999999999</v>
      </c>
      <c r="ES72" s="243">
        <f>Metrics!ES259</f>
        <v>367.19199999999995</v>
      </c>
      <c r="ET72" s="243">
        <f>Metrics!ET259</f>
        <v>359.35199999999998</v>
      </c>
      <c r="EU72" s="143">
        <f>SUM(EQ72:ET72)</f>
        <v>1523.011</v>
      </c>
      <c r="EV72" s="244"/>
      <c r="EW72" s="243">
        <f>Metrics!EW259</f>
        <v>346.23849999999993</v>
      </c>
      <c r="EX72" s="243">
        <f>Metrics!EX259</f>
        <v>352.92449999999997</v>
      </c>
      <c r="EY72" s="243">
        <f>Metrics!EY259</f>
        <v>341.98199999999997</v>
      </c>
      <c r="EZ72" s="243">
        <f>Metrics!EZ259</f>
        <v>332.41022999999996</v>
      </c>
      <c r="FA72" s="143">
        <f>SUM(EW72:EZ72)</f>
        <v>1373.5552299999999</v>
      </c>
      <c r="FB72" s="244"/>
      <c r="FC72" s="243">
        <f>Metrics!FC259</f>
        <v>322.66946249999995</v>
      </c>
      <c r="FD72" s="243">
        <f>Metrics!FD259</f>
        <v>324.47241749999995</v>
      </c>
      <c r="FE72" s="243">
        <f>Metrics!FE259</f>
        <v>310.32273999999995</v>
      </c>
      <c r="FF72" s="243">
        <f>Metrics!FF259</f>
        <v>300.13596079999996</v>
      </c>
      <c r="FG72" s="143">
        <f>SUM(FC72:FF72)</f>
        <v>1257.6005807999998</v>
      </c>
      <c r="FH72" s="244"/>
      <c r="FI72" s="243">
        <f>Metrics!FI259</f>
        <v>287.61457909999996</v>
      </c>
      <c r="FJ72" s="243">
        <f>Metrics!FJ259</f>
        <v>288.07001889999992</v>
      </c>
      <c r="FK72" s="243">
        <f>Metrics!FK259</f>
        <v>274.51626999999991</v>
      </c>
      <c r="FL72" s="243">
        <f>Metrics!FL259</f>
        <v>265.50488839999991</v>
      </c>
      <c r="FM72" s="143">
        <f>SUM(FI72:FL72)</f>
        <v>1115.7057563999997</v>
      </c>
      <c r="FN72" s="226"/>
      <c r="FO72" s="245">
        <f>CE72+CF72+CI72+CJ72</f>
        <v>2489</v>
      </c>
      <c r="FP72" s="243">
        <f>CK72+CL72+CO72+CP72</f>
        <v>3191</v>
      </c>
      <c r="FQ72" s="243">
        <f>CV72+CU72+CR72+CQ72</f>
        <v>3507</v>
      </c>
      <c r="FR72" s="243">
        <f>CW72+CX72+DA72+DB72</f>
        <v>2895</v>
      </c>
      <c r="FS72" s="245">
        <f>DC72+DD72+DG72+DH72</f>
        <v>2768</v>
      </c>
      <c r="FT72" s="243">
        <f>DI72+DJ72+DM72+DN72</f>
        <v>2977.107</v>
      </c>
      <c r="FU72" s="243">
        <f>DO72+DP72+DS72+DT72</f>
        <v>2807.1185</v>
      </c>
      <c r="FV72" s="243">
        <f>DY72+DV72+DZ72+DU72</f>
        <v>2434.7069999999999</v>
      </c>
      <c r="FW72" s="243">
        <f>EA72+EB72+EE72+EF72</f>
        <v>2308.37</v>
      </c>
      <c r="FX72" s="243">
        <f>EG72+EH72+EK72+EL72</f>
        <v>2021.4519999999998</v>
      </c>
      <c r="FY72" s="243">
        <f>EM72+EN72+EQ72+ER72</f>
        <v>1661.8269999999998</v>
      </c>
      <c r="FZ72" s="243">
        <f>ES72+ET72+EW72+EX72</f>
        <v>1425.7069999999999</v>
      </c>
      <c r="GA72" s="243">
        <f>EY72+EZ72+FC72+FD72</f>
        <v>1321.5341099999998</v>
      </c>
      <c r="GB72" s="243">
        <f>FE72+FF72+FI72+FJ72</f>
        <v>1186.1432987999997</v>
      </c>
      <c r="GC72" s="243"/>
      <c r="GD72" s="243"/>
      <c r="GE72" s="243"/>
      <c r="GF72" s="243"/>
      <c r="GI72"/>
      <c r="GJ72"/>
      <c r="GK72"/>
      <c r="GL72"/>
      <c r="GM72"/>
      <c r="GN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</row>
    <row r="73" spans="1:281" s="33" customFormat="1" ht="10.5" hidden="1" customHeight="1" outlineLevel="1" x14ac:dyDescent="0.2">
      <c r="A73" s="127" t="s">
        <v>142</v>
      </c>
      <c r="B73" s="949" t="s">
        <v>299</v>
      </c>
      <c r="C73" s="259" t="s">
        <v>945</v>
      </c>
      <c r="D73" s="259" t="s">
        <v>945</v>
      </c>
      <c r="E73" s="259" t="s">
        <v>945</v>
      </c>
      <c r="F73" s="259" t="s">
        <v>945</v>
      </c>
      <c r="G73" s="259" t="s">
        <v>945</v>
      </c>
      <c r="H73" s="259" t="s">
        <v>945</v>
      </c>
      <c r="I73" s="259" t="s">
        <v>945</v>
      </c>
      <c r="J73" s="259" t="s">
        <v>945</v>
      </c>
      <c r="K73" s="259" t="s">
        <v>945</v>
      </c>
      <c r="L73" s="259" t="s">
        <v>945</v>
      </c>
      <c r="M73" s="259" t="s">
        <v>945</v>
      </c>
      <c r="N73" s="34"/>
      <c r="O73" s="259" t="s">
        <v>945</v>
      </c>
      <c r="P73" s="259" t="s">
        <v>945</v>
      </c>
      <c r="Q73" s="259" t="s">
        <v>945</v>
      </c>
      <c r="R73" s="259" t="s">
        <v>945</v>
      </c>
      <c r="S73" s="259" t="s">
        <v>945</v>
      </c>
      <c r="T73" s="34"/>
      <c r="U73" s="259" t="s">
        <v>945</v>
      </c>
      <c r="V73" s="259" t="s">
        <v>945</v>
      </c>
      <c r="W73" s="259" t="s">
        <v>945</v>
      </c>
      <c r="X73" s="259" t="s">
        <v>945</v>
      </c>
      <c r="Y73" s="259" t="s">
        <v>945</v>
      </c>
      <c r="Z73" s="34"/>
      <c r="AA73" s="259" t="s">
        <v>945</v>
      </c>
      <c r="AB73" s="259" t="s">
        <v>945</v>
      </c>
      <c r="AC73" s="259" t="s">
        <v>945</v>
      </c>
      <c r="AD73" s="259" t="s">
        <v>945</v>
      </c>
      <c r="AE73" s="259" t="s">
        <v>945</v>
      </c>
      <c r="AF73" s="34"/>
      <c r="AG73" s="259" t="s">
        <v>945</v>
      </c>
      <c r="AH73" s="259" t="s">
        <v>945</v>
      </c>
      <c r="AI73" s="259" t="s">
        <v>945</v>
      </c>
      <c r="AJ73" s="259" t="s">
        <v>945</v>
      </c>
      <c r="AK73" s="259" t="s">
        <v>945</v>
      </c>
      <c r="AL73" s="34"/>
      <c r="AM73" s="259" t="s">
        <v>945</v>
      </c>
      <c r="AN73" s="259" t="s">
        <v>945</v>
      </c>
      <c r="AO73" s="259" t="s">
        <v>945</v>
      </c>
      <c r="AP73" s="259" t="s">
        <v>945</v>
      </c>
      <c r="AQ73" s="259" t="s">
        <v>945</v>
      </c>
      <c r="AR73" s="34"/>
      <c r="AS73" s="259" t="s">
        <v>945</v>
      </c>
      <c r="AT73" s="259" t="s">
        <v>945</v>
      </c>
      <c r="AU73" s="259" t="s">
        <v>945</v>
      </c>
      <c r="AV73" s="259" t="s">
        <v>945</v>
      </c>
      <c r="AW73" s="259" t="s">
        <v>945</v>
      </c>
      <c r="AX73" s="34"/>
      <c r="AY73" s="259" t="s">
        <v>945</v>
      </c>
      <c r="AZ73" s="259" t="s">
        <v>945</v>
      </c>
      <c r="BA73" s="259" t="s">
        <v>945</v>
      </c>
      <c r="BB73" s="259" t="s">
        <v>945</v>
      </c>
      <c r="BC73" s="259">
        <v>284</v>
      </c>
      <c r="BD73" s="34"/>
      <c r="BE73" s="34">
        <v>77.664000000000001</v>
      </c>
      <c r="BF73" s="34">
        <v>83.200999999999993</v>
      </c>
      <c r="BG73" s="34">
        <v>74.867000000000004</v>
      </c>
      <c r="BH73" s="34">
        <v>84.872</v>
      </c>
      <c r="BI73" s="34">
        <f>SUM(BE73:BH73)</f>
        <v>320.60400000000004</v>
      </c>
      <c r="BJ73" s="34"/>
      <c r="BK73" s="34">
        <v>64</v>
      </c>
      <c r="BL73" s="34">
        <v>64</v>
      </c>
      <c r="BM73" s="34">
        <v>63</v>
      </c>
      <c r="BN73" s="34">
        <v>66</v>
      </c>
      <c r="BO73" s="34">
        <f>SUM(BK73:BN73)</f>
        <v>257</v>
      </c>
      <c r="BP73" s="34"/>
      <c r="BQ73" s="33">
        <v>60</v>
      </c>
      <c r="BR73" s="33">
        <v>65</v>
      </c>
      <c r="BS73" s="33">
        <v>62</v>
      </c>
      <c r="BT73" s="33">
        <v>71</v>
      </c>
      <c r="BU73" s="33">
        <f>SUM(BQ73:BT73)</f>
        <v>258</v>
      </c>
      <c r="BV73" s="34"/>
      <c r="BW73" s="33">
        <v>71</v>
      </c>
      <c r="BX73" s="33">
        <v>72</v>
      </c>
      <c r="BY73" s="33">
        <v>76</v>
      </c>
      <c r="BZ73" s="33">
        <v>80</v>
      </c>
      <c r="CA73" s="33">
        <f>SUM(BW73:BZ73)</f>
        <v>299</v>
      </c>
      <c r="CB73" s="34"/>
      <c r="CC73" s="243">
        <v>84</v>
      </c>
      <c r="CD73" s="243">
        <v>87</v>
      </c>
      <c r="CE73" s="243">
        <v>96</v>
      </c>
      <c r="CF73" s="243">
        <v>130</v>
      </c>
      <c r="CG73" s="143">
        <f>SUM(CC73:CF73)</f>
        <v>397</v>
      </c>
      <c r="CH73" s="244"/>
      <c r="CI73" s="243">
        <v>125</v>
      </c>
      <c r="CJ73" s="243">
        <v>140</v>
      </c>
      <c r="CK73" s="243">
        <v>142</v>
      </c>
      <c r="CL73" s="243">
        <v>151</v>
      </c>
      <c r="CM73" s="143">
        <f>SUM(CI73:CL73)</f>
        <v>558</v>
      </c>
      <c r="CN73" s="244"/>
      <c r="CO73" s="243">
        <v>158</v>
      </c>
      <c r="CP73" s="243">
        <v>167</v>
      </c>
      <c r="CQ73" s="243">
        <v>174</v>
      </c>
      <c r="CR73" s="243">
        <v>194</v>
      </c>
      <c r="CS73" s="143">
        <f>SUM(CO73:CR73)</f>
        <v>693</v>
      </c>
      <c r="CT73" s="244"/>
      <c r="CU73" s="243">
        <v>195</v>
      </c>
      <c r="CV73" s="243">
        <v>189</v>
      </c>
      <c r="CW73" s="243">
        <v>191</v>
      </c>
      <c r="CX73" s="243">
        <v>204</v>
      </c>
      <c r="CY73" s="143">
        <f>SUM(CU73:CX73)</f>
        <v>779</v>
      </c>
      <c r="CZ73" s="244"/>
      <c r="DA73" s="243">
        <v>180</v>
      </c>
      <c r="DB73" s="243">
        <v>188</v>
      </c>
      <c r="DC73" s="243">
        <v>211</v>
      </c>
      <c r="DD73" s="243">
        <v>295</v>
      </c>
      <c r="DE73" s="143">
        <f>SUM(DA73:DD73)</f>
        <v>874</v>
      </c>
      <c r="DF73" s="244"/>
      <c r="DG73" s="243">
        <v>321</v>
      </c>
      <c r="DH73" s="243">
        <v>350</v>
      </c>
      <c r="DI73" s="243">
        <v>341</v>
      </c>
      <c r="DJ73" s="243">
        <v>367</v>
      </c>
      <c r="DK73" s="143">
        <f>SUM(DG73:DJ73)</f>
        <v>1379</v>
      </c>
      <c r="DL73" s="244"/>
      <c r="DM73" s="1192">
        <f>Metrics!DM265</f>
        <v>387.327</v>
      </c>
      <c r="DN73" s="1192">
        <f>Metrics!DN265</f>
        <v>375.09199999999998</v>
      </c>
      <c r="DO73" s="1192">
        <f>Metrics!DO265</f>
        <v>347.61599999999999</v>
      </c>
      <c r="DP73" s="1192">
        <f>Metrics!DP265</f>
        <v>377.226</v>
      </c>
      <c r="DQ73" s="143">
        <f>SUM(DM73:DP73)</f>
        <v>1487.261</v>
      </c>
      <c r="DR73" s="244"/>
      <c r="DS73" s="243">
        <f>Metrics!DS265</f>
        <v>214.78225421556067</v>
      </c>
      <c r="DT73" s="243">
        <f>Metrics!DT265</f>
        <v>208.49375444947205</v>
      </c>
      <c r="DU73" s="243">
        <f>Metrics!DU265</f>
        <v>159.51860138550833</v>
      </c>
      <c r="DV73" s="243">
        <f>Metrics!DV265</f>
        <v>160.8911040473109</v>
      </c>
      <c r="DW73" s="143">
        <f>SUM(DS73:DV73)</f>
        <v>743.68571409785193</v>
      </c>
      <c r="DX73" s="244"/>
      <c r="DY73" s="243">
        <f>Metrics!DY265</f>
        <v>159.66620689655167</v>
      </c>
      <c r="DZ73" s="243">
        <f>Metrics!DZ265</f>
        <v>187.50547970479704</v>
      </c>
      <c r="EA73" s="243">
        <f>Metrics!EA265</f>
        <v>130.48311652794297</v>
      </c>
      <c r="EB73" s="243">
        <f>Metrics!EB265</f>
        <v>173.05555040871931</v>
      </c>
      <c r="EC73" s="143">
        <f>SUM(DY73:EB73)</f>
        <v>650.71035353801096</v>
      </c>
      <c r="ED73" s="244"/>
      <c r="EE73" s="243">
        <f>Metrics!EE265</f>
        <v>149.39868965517235</v>
      </c>
      <c r="EF73" s="243">
        <f>Metrics!EF265</f>
        <v>176.63592619926197</v>
      </c>
      <c r="EG73" s="243">
        <f>Metrics!EG265</f>
        <v>117.83922948870398</v>
      </c>
      <c r="EH73" s="243">
        <f>Metrics!EH265</f>
        <v>148.31209809264303</v>
      </c>
      <c r="EI73" s="143">
        <f>SUM(EE73:EH73)</f>
        <v>592.18594343578138</v>
      </c>
      <c r="EJ73" s="244"/>
      <c r="EK73" s="243">
        <f>Metrics!EK265</f>
        <v>124.0231034482758</v>
      </c>
      <c r="EL73" s="243">
        <f>Metrics!EL265</f>
        <v>119.22</v>
      </c>
      <c r="EM73" s="243">
        <f>Metrics!EM265</f>
        <v>90.65192152199765</v>
      </c>
      <c r="EN73" s="243">
        <f>Metrics!EN265</f>
        <v>119.12578928247045</v>
      </c>
      <c r="EO73" s="143">
        <f>SUM(EK73:EN73)</f>
        <v>453.02081425274389</v>
      </c>
      <c r="EP73" s="244"/>
      <c r="EQ73" s="243">
        <f>Metrics!EQ265</f>
        <v>99.525362068965464</v>
      </c>
      <c r="ER73" s="243">
        <f>Metrics!ER265</f>
        <v>95.521999999999991</v>
      </c>
      <c r="ES73" s="243">
        <f>Metrics!ES265</f>
        <v>71.183602853745569</v>
      </c>
      <c r="ET73" s="243">
        <f>Metrics!ET265</f>
        <v>98.673760217983613</v>
      </c>
      <c r="EU73" s="143">
        <f>SUM(EQ73:ET73)</f>
        <v>364.90472514069467</v>
      </c>
      <c r="EV73" s="244"/>
      <c r="EW73" s="243">
        <f>Metrics!EW265</f>
        <v>82.041327586206847</v>
      </c>
      <c r="EX73" s="243">
        <f>Metrics!EX265</f>
        <v>82.666999999999987</v>
      </c>
      <c r="EY73" s="243">
        <f>Metrics!EY265</f>
        <v>62.418831153388837</v>
      </c>
      <c r="EZ73" s="243">
        <f>Metrics!EZ265</f>
        <v>88.500715354223388</v>
      </c>
      <c r="FA73" s="143">
        <f>SUM(EW73:EZ73)</f>
        <v>315.62787409381906</v>
      </c>
      <c r="FB73" s="244"/>
      <c r="FC73" s="243">
        <f>Metrics!FC265</f>
        <v>73.22318508620684</v>
      </c>
      <c r="FD73" s="243">
        <f>Metrics!FD265</f>
        <v>72.77885999999998</v>
      </c>
      <c r="FE73" s="243">
        <f>Metrics!FE265</f>
        <v>52.851087705112967</v>
      </c>
      <c r="FF73" s="243">
        <f>Metrics!FF265</f>
        <v>77.209572253587609</v>
      </c>
      <c r="FG73" s="143">
        <f>SUM(FC73:FF73)</f>
        <v>276.06270504490737</v>
      </c>
      <c r="FH73" s="244"/>
      <c r="FI73" s="243">
        <f>Metrics!FI265</f>
        <v>62.157742768965456</v>
      </c>
      <c r="FJ73" s="243">
        <f>Metrics!FJ265</f>
        <v>61.529518599999975</v>
      </c>
      <c r="FK73" s="243">
        <f>Metrics!FK265</f>
        <v>43.132675288703929</v>
      </c>
      <c r="FL73" s="243">
        <f>Metrics!FL265</f>
        <v>65.72270870530059</v>
      </c>
      <c r="FM73" s="143">
        <f>SUM(FI73:FL73)</f>
        <v>232.54264536296995</v>
      </c>
      <c r="FN73" s="226"/>
      <c r="FO73" s="245">
        <f>CE73+CF73+CI73+CJ73</f>
        <v>491</v>
      </c>
      <c r="FP73" s="243">
        <f>CK73+CL73+CO73+CP73</f>
        <v>618</v>
      </c>
      <c r="FQ73" s="243">
        <f>CV73+CU73+CR73+CQ73</f>
        <v>752</v>
      </c>
      <c r="FR73" s="243">
        <f>CW73+CX73+DA73+DB73</f>
        <v>763</v>
      </c>
      <c r="FS73" s="245">
        <f>DC73+DD73+DG73+DH73</f>
        <v>1177</v>
      </c>
      <c r="FT73" s="243">
        <f>DI73+DJ73+DM73+DN73</f>
        <v>1470.4189999999999</v>
      </c>
      <c r="FU73" s="243">
        <f>DO73+DP73+DS73+DT73</f>
        <v>1148.1180086650327</v>
      </c>
      <c r="FV73" s="243">
        <f>DY73+DV73+DZ73+DU73</f>
        <v>667.58139203416795</v>
      </c>
      <c r="FW73" s="243">
        <f>EA73+EB73+EE73+EF73</f>
        <v>629.57328279109652</v>
      </c>
      <c r="FX73" s="243">
        <f>EG73+EH73+EK73+EL73</f>
        <v>509.39443102962287</v>
      </c>
      <c r="FY73" s="243">
        <f>EM73+EN73+EQ73+ER73</f>
        <v>404.82507287343356</v>
      </c>
      <c r="FZ73" s="243">
        <f>ES73+ET73+EW73+EX73</f>
        <v>334.56569065793605</v>
      </c>
      <c r="GA73" s="243">
        <f>EY73+EZ73+FC73+FD73</f>
        <v>296.92159159381902</v>
      </c>
      <c r="GB73" s="243">
        <f>FE73+FF73+FI73+FJ73</f>
        <v>253.74792132766601</v>
      </c>
      <c r="GC73" s="243"/>
      <c r="GD73" s="243"/>
      <c r="GE73" s="243"/>
      <c r="GF73" s="243"/>
      <c r="GI73"/>
      <c r="GJ73"/>
      <c r="GK73"/>
      <c r="GL73"/>
      <c r="GM73"/>
      <c r="GN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</row>
    <row r="74" spans="1:281" s="33" customFormat="1" ht="10.5" hidden="1" customHeight="1" outlineLevel="1" x14ac:dyDescent="0.2">
      <c r="A74" s="127" t="s">
        <v>92</v>
      </c>
      <c r="B74" s="949" t="s">
        <v>598</v>
      </c>
      <c r="C74" s="259" t="s">
        <v>945</v>
      </c>
      <c r="D74" s="259" t="s">
        <v>945</v>
      </c>
      <c r="E74" s="259" t="s">
        <v>945</v>
      </c>
      <c r="F74" s="259" t="s">
        <v>945</v>
      </c>
      <c r="G74" s="259" t="s">
        <v>945</v>
      </c>
      <c r="H74" s="259" t="s">
        <v>945</v>
      </c>
      <c r="I74" s="259" t="s">
        <v>945</v>
      </c>
      <c r="J74" s="259" t="s">
        <v>945</v>
      </c>
      <c r="K74" s="259" t="s">
        <v>945</v>
      </c>
      <c r="L74" s="259" t="s">
        <v>945</v>
      </c>
      <c r="M74" s="259" t="s">
        <v>945</v>
      </c>
      <c r="N74" s="34"/>
      <c r="O74" s="259" t="s">
        <v>945</v>
      </c>
      <c r="P74" s="259" t="s">
        <v>945</v>
      </c>
      <c r="Q74" s="259" t="s">
        <v>945</v>
      </c>
      <c r="R74" s="259" t="s">
        <v>945</v>
      </c>
      <c r="S74" s="259" t="s">
        <v>945</v>
      </c>
      <c r="T74" s="34"/>
      <c r="U74" s="259" t="s">
        <v>945</v>
      </c>
      <c r="V74" s="259" t="s">
        <v>945</v>
      </c>
      <c r="W74" s="259" t="s">
        <v>945</v>
      </c>
      <c r="X74" s="259" t="s">
        <v>945</v>
      </c>
      <c r="Y74" s="259" t="s">
        <v>945</v>
      </c>
      <c r="Z74" s="34"/>
      <c r="AA74" s="259" t="s">
        <v>945</v>
      </c>
      <c r="AB74" s="259" t="s">
        <v>945</v>
      </c>
      <c r="AC74" s="259" t="s">
        <v>945</v>
      </c>
      <c r="AD74" s="259" t="s">
        <v>945</v>
      </c>
      <c r="AE74" s="259" t="s">
        <v>945</v>
      </c>
      <c r="AF74" s="34"/>
      <c r="AG74" s="259" t="s">
        <v>945</v>
      </c>
      <c r="AH74" s="259" t="s">
        <v>945</v>
      </c>
      <c r="AI74" s="259" t="s">
        <v>945</v>
      </c>
      <c r="AJ74" s="259" t="s">
        <v>945</v>
      </c>
      <c r="AK74" s="259" t="s">
        <v>945</v>
      </c>
      <c r="AL74" s="34"/>
      <c r="AM74" s="259" t="s">
        <v>945</v>
      </c>
      <c r="AN74" s="259" t="s">
        <v>945</v>
      </c>
      <c r="AO74" s="259" t="s">
        <v>945</v>
      </c>
      <c r="AP74" s="259" t="s">
        <v>945</v>
      </c>
      <c r="AQ74" s="259" t="s">
        <v>945</v>
      </c>
      <c r="AR74" s="34"/>
      <c r="AS74" s="34">
        <f>0.08*1352.336</f>
        <v>108.18688</v>
      </c>
      <c r="AT74" s="34">
        <f>0.08*1419.251</f>
        <v>113.54008</v>
      </c>
      <c r="AU74" s="34">
        <f>0.08*1378.045</f>
        <v>110.24360000000001</v>
      </c>
      <c r="AV74" s="34">
        <f>AW74-AU74-AT74-AS74</f>
        <v>122.69607999999997</v>
      </c>
      <c r="AW74" s="34">
        <f>0.08*5683.333</f>
        <v>454.66663999999997</v>
      </c>
      <c r="AX74" s="34"/>
      <c r="AY74" s="34">
        <v>88.903999999999996</v>
      </c>
      <c r="AZ74" s="34">
        <v>112.11499999999999</v>
      </c>
      <c r="BA74" s="34">
        <v>95.613</v>
      </c>
      <c r="BB74" s="34">
        <v>115.083</v>
      </c>
      <c r="BC74" s="34">
        <f>SUM(AY74:BB74)</f>
        <v>411.71500000000003</v>
      </c>
      <c r="BD74" s="34"/>
      <c r="BE74" s="34">
        <v>88.119</v>
      </c>
      <c r="BF74" s="34">
        <v>85.84</v>
      </c>
      <c r="BG74" s="34">
        <v>63.664999999999999</v>
      </c>
      <c r="BH74" s="34">
        <v>79.578000000000003</v>
      </c>
      <c r="BI74" s="34">
        <f>SUM(BE74:BH74)</f>
        <v>317.202</v>
      </c>
      <c r="BJ74" s="34"/>
      <c r="BK74" s="34">
        <v>64</v>
      </c>
      <c r="BL74" s="34">
        <v>71</v>
      </c>
      <c r="BM74" s="34">
        <v>54</v>
      </c>
      <c r="BN74" s="34">
        <v>69</v>
      </c>
      <c r="BO74" s="34">
        <f>SUM(BK74:BN74)</f>
        <v>258</v>
      </c>
      <c r="BP74" s="34"/>
      <c r="BQ74" s="33">
        <v>56</v>
      </c>
      <c r="BR74" s="33">
        <v>68</v>
      </c>
      <c r="BS74" s="33">
        <v>50</v>
      </c>
      <c r="BT74" s="33">
        <v>65</v>
      </c>
      <c r="BU74" s="33">
        <f>SUM(BQ74:BT74)</f>
        <v>239</v>
      </c>
      <c r="BV74" s="34"/>
      <c r="BW74" s="33">
        <v>50</v>
      </c>
      <c r="BX74" s="33">
        <v>66</v>
      </c>
      <c r="BY74" s="33">
        <v>68</v>
      </c>
      <c r="BZ74" s="33">
        <v>86</v>
      </c>
      <c r="CA74" s="33">
        <f>SUM(BW74:BZ74)</f>
        <v>270</v>
      </c>
      <c r="CB74" s="34"/>
      <c r="CC74" s="243">
        <v>72</v>
      </c>
      <c r="CD74" s="243">
        <v>82</v>
      </c>
      <c r="CE74" s="243">
        <v>74</v>
      </c>
      <c r="CF74" s="243">
        <v>95</v>
      </c>
      <c r="CG74" s="143">
        <f>SUM(CC74:CF74)</f>
        <v>323</v>
      </c>
      <c r="CH74" s="244"/>
      <c r="CI74" s="243">
        <v>81</v>
      </c>
      <c r="CJ74" s="243">
        <v>93</v>
      </c>
      <c r="CK74" s="243">
        <v>80</v>
      </c>
      <c r="CL74" s="243">
        <v>105</v>
      </c>
      <c r="CM74" s="143">
        <f>SUM(CI74:CL74)</f>
        <v>359</v>
      </c>
      <c r="CN74" s="244"/>
      <c r="CO74" s="243">
        <v>100</v>
      </c>
      <c r="CP74" s="243">
        <v>110</v>
      </c>
      <c r="CQ74" s="243">
        <v>92</v>
      </c>
      <c r="CR74" s="243">
        <v>114</v>
      </c>
      <c r="CS74" s="143">
        <f>SUM(CO74:CR74)</f>
        <v>416</v>
      </c>
      <c r="CT74" s="244"/>
      <c r="CU74" s="243">
        <v>99</v>
      </c>
      <c r="CV74" s="243">
        <v>100</v>
      </c>
      <c r="CW74" s="243">
        <v>71</v>
      </c>
      <c r="CX74" s="243">
        <v>79</v>
      </c>
      <c r="CY74" s="143">
        <f>SUM(CU74:CX74)</f>
        <v>349</v>
      </c>
      <c r="CZ74" s="244"/>
      <c r="DA74" s="243">
        <v>66</v>
      </c>
      <c r="DB74" s="243">
        <v>78</v>
      </c>
      <c r="DC74" s="243">
        <v>69</v>
      </c>
      <c r="DD74" s="243">
        <v>100</v>
      </c>
      <c r="DE74" s="143">
        <f>SUM(DA74:DD74)</f>
        <v>313</v>
      </c>
      <c r="DF74" s="244"/>
      <c r="DG74" s="243">
        <v>81</v>
      </c>
      <c r="DH74" s="243">
        <v>97</v>
      </c>
      <c r="DI74" s="243">
        <v>83</v>
      </c>
      <c r="DJ74" s="243">
        <v>94</v>
      </c>
      <c r="DK74" s="143">
        <f>SUM(DG74:DJ74)</f>
        <v>355</v>
      </c>
      <c r="DL74" s="244"/>
      <c r="DM74" s="1192">
        <f>1180-DM72-DM73</f>
        <v>65.254000000000019</v>
      </c>
      <c r="DN74" s="1192">
        <f>1180-DN73-DN72</f>
        <v>64.220000000000027</v>
      </c>
      <c r="DO74" s="1192">
        <f>Metrics!DO271</f>
        <v>86.903999999999996</v>
      </c>
      <c r="DP74" s="1192">
        <f>Metrics!DP271</f>
        <v>89.342999999999989</v>
      </c>
      <c r="DQ74" s="143">
        <f>SUM(DM74:DP74)</f>
        <v>305.721</v>
      </c>
      <c r="DR74" s="244"/>
      <c r="DS74" s="243">
        <f>Metrics!DS271</f>
        <v>58.800000000000004</v>
      </c>
      <c r="DT74" s="243">
        <f>Metrics!DT271</f>
        <v>59.538000000000004</v>
      </c>
      <c r="DU74" s="243">
        <f>Metrics!DU271</f>
        <v>57.9</v>
      </c>
      <c r="DV74" s="243">
        <f>Metrics!DV271</f>
        <v>65.884</v>
      </c>
      <c r="DW74" s="143">
        <f>SUM(DS74:DV74)</f>
        <v>242.12200000000001</v>
      </c>
      <c r="DX74" s="244"/>
      <c r="DY74" s="243">
        <f>Metrics!DY271</f>
        <v>47.2</v>
      </c>
      <c r="DZ74" s="243">
        <f>Metrics!DZ271</f>
        <v>46.95</v>
      </c>
      <c r="EA74" s="243">
        <f>Metrics!EA271</f>
        <v>47.085000000000001</v>
      </c>
      <c r="EB74" s="243">
        <f>Metrics!EB271</f>
        <v>47.085000000000001</v>
      </c>
      <c r="EC74" s="143">
        <f>SUM(DY74:EB74)</f>
        <v>188.32000000000002</v>
      </c>
      <c r="ED74" s="244"/>
      <c r="EE74" s="243">
        <f>Metrics!EE271</f>
        <v>45.062400000000004</v>
      </c>
      <c r="EF74" s="243">
        <f>Metrics!EF271</f>
        <v>44.697600000000001</v>
      </c>
      <c r="EG74" s="243">
        <f>Metrics!EG271</f>
        <v>43.996800000000007</v>
      </c>
      <c r="EH74" s="243">
        <f>Metrics!EH271</f>
        <v>40.968000000000004</v>
      </c>
      <c r="EI74" s="143">
        <f>SUM(EE74:EH74)</f>
        <v>174.72480000000002</v>
      </c>
      <c r="EJ74" s="244"/>
      <c r="EK74" s="243">
        <f>Metrics!EK271</f>
        <v>38.253600000000006</v>
      </c>
      <c r="EL74" s="243">
        <f>Metrics!EL271</f>
        <v>36.560800000000008</v>
      </c>
      <c r="EM74" s="243">
        <f>Metrics!EM271</f>
        <v>35.171600000000005</v>
      </c>
      <c r="EN74" s="243">
        <f>Metrics!EN271</f>
        <v>33.460400000000007</v>
      </c>
      <c r="EO74" s="143">
        <f>SUM(EK74:EN74)</f>
        <v>143.44640000000004</v>
      </c>
      <c r="EP74" s="244"/>
      <c r="EQ74" s="243">
        <f>Metrics!EQ271</f>
        <v>31.473200000000009</v>
      </c>
      <c r="ER74" s="243">
        <f>Metrics!ER271</f>
        <v>30.021200000000007</v>
      </c>
      <c r="ES74" s="243">
        <f>Metrics!ES271</f>
        <v>28.850800000000007</v>
      </c>
      <c r="ET74" s="243">
        <f>Metrics!ET271</f>
        <v>28.234800000000007</v>
      </c>
      <c r="EU74" s="143">
        <f>SUM(EQ74:ET74)</f>
        <v>118.58000000000003</v>
      </c>
      <c r="EV74" s="244"/>
      <c r="EW74" s="243">
        <f>Metrics!EW271</f>
        <v>26.682600000000008</v>
      </c>
      <c r="EX74" s="243">
        <f>Metrics!EX271</f>
        <v>26.70780000000001</v>
      </c>
      <c r="EY74" s="243">
        <f>Metrics!EY271</f>
        <v>26.598600000000008</v>
      </c>
      <c r="EZ74" s="243">
        <f>Metrics!EZ271</f>
        <v>25.854129000000007</v>
      </c>
      <c r="FA74" s="143">
        <f>SUM(EW74:EZ74)</f>
        <v>105.84312900000003</v>
      </c>
      <c r="FB74" s="244"/>
      <c r="FC74" s="243">
        <f>Metrics!FC271</f>
        <v>24.584340000000012</v>
      </c>
      <c r="FD74" s="243">
        <f>Metrics!FD271</f>
        <v>24.259620000000009</v>
      </c>
      <c r="FE74" s="243">
        <f>Metrics!FE271</f>
        <v>23.87098000000001</v>
      </c>
      <c r="FF74" s="243">
        <f>Metrics!FF271</f>
        <v>23.087381600000011</v>
      </c>
      <c r="FG74" s="143">
        <f>SUM(FC74:FF74)</f>
        <v>95.802321600000056</v>
      </c>
      <c r="FH74" s="244"/>
      <c r="FI74" s="243">
        <f>Metrics!FI271</f>
        <v>21.642285160000011</v>
      </c>
      <c r="FJ74" s="243">
        <f>Metrics!FJ271</f>
        <v>21.255651880000009</v>
      </c>
      <c r="FK74" s="243">
        <f>Metrics!FK271</f>
        <v>20.863236520000008</v>
      </c>
      <c r="FL74" s="243">
        <f>Metrics!FL271</f>
        <v>20.178371518400009</v>
      </c>
      <c r="FM74" s="143">
        <f>SUM(FI74:FL74)</f>
        <v>83.93954507840003</v>
      </c>
      <c r="FN74" s="226"/>
      <c r="FO74" s="245">
        <f>CE74+CF74+CI74+CJ74</f>
        <v>343</v>
      </c>
      <c r="FP74" s="243">
        <f>CK74+CL74+CO74+CP74</f>
        <v>395</v>
      </c>
      <c r="FQ74" s="243">
        <f>CV74+CU74+CR74+CQ74</f>
        <v>405</v>
      </c>
      <c r="FR74" s="243">
        <f>CW74+CX74+DA74+DB74</f>
        <v>294</v>
      </c>
      <c r="FS74" s="245">
        <f>DC74+DD74+DG74+DH74</f>
        <v>347</v>
      </c>
      <c r="FT74" s="243">
        <f>DI74+DJ74+DM74+DN74</f>
        <v>306.47400000000005</v>
      </c>
      <c r="FU74" s="243">
        <f>DO74+DP74+DS74+DT74</f>
        <v>294.58499999999998</v>
      </c>
      <c r="FV74" s="243">
        <f>DY74+DV74+DZ74+DU74</f>
        <v>217.934</v>
      </c>
      <c r="FW74" s="243">
        <f>EA74+EB74+EE74+EF74</f>
        <v>183.93</v>
      </c>
      <c r="FX74" s="243">
        <f>EG74+EH74+EK74+EL74</f>
        <v>159.77920000000003</v>
      </c>
      <c r="FY74" s="243">
        <f>EM74+EN74+EQ74+ER74</f>
        <v>130.12640000000002</v>
      </c>
      <c r="FZ74" s="243">
        <f>ES74+ET74+EW74+EX74</f>
        <v>110.47600000000003</v>
      </c>
      <c r="GA74" s="243">
        <f>EY74+EZ74+FC74+FD74</f>
        <v>101.29668900000004</v>
      </c>
      <c r="GB74" s="243">
        <f>FE74+FF74+FI74+FJ74</f>
        <v>89.856298640000034</v>
      </c>
      <c r="GC74" s="243"/>
      <c r="GD74" s="243"/>
      <c r="GE74" s="243"/>
      <c r="GF74" s="243"/>
      <c r="GI74"/>
      <c r="GJ74"/>
      <c r="GK74"/>
      <c r="GL74"/>
      <c r="GM74"/>
      <c r="GN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</row>
    <row r="75" spans="1:281" s="33" customFormat="1" ht="10.5" customHeight="1" collapsed="1" x14ac:dyDescent="0.2">
      <c r="A75" s="127" t="s">
        <v>648</v>
      </c>
      <c r="B75" s="949"/>
      <c r="C75" s="259" t="s">
        <v>945</v>
      </c>
      <c r="D75" s="259" t="s">
        <v>945</v>
      </c>
      <c r="E75" s="259" t="s">
        <v>945</v>
      </c>
      <c r="F75" s="259" t="s">
        <v>945</v>
      </c>
      <c r="G75" s="259" t="s">
        <v>945</v>
      </c>
      <c r="H75" s="259" t="s">
        <v>945</v>
      </c>
      <c r="I75" s="259" t="s">
        <v>945</v>
      </c>
      <c r="J75" s="259" t="s">
        <v>945</v>
      </c>
      <c r="K75" s="242">
        <v>52</v>
      </c>
      <c r="L75" s="242">
        <v>90</v>
      </c>
      <c r="M75" s="242">
        <v>65</v>
      </c>
      <c r="N75" s="34"/>
      <c r="O75" s="34">
        <v>15</v>
      </c>
      <c r="P75" s="34">
        <v>19</v>
      </c>
      <c r="Q75" s="34">
        <v>15</v>
      </c>
      <c r="R75" s="34">
        <v>17</v>
      </c>
      <c r="S75" s="34">
        <v>66</v>
      </c>
      <c r="T75" s="34"/>
      <c r="U75" s="145">
        <v>16</v>
      </c>
      <c r="V75" s="145">
        <v>18</v>
      </c>
      <c r="W75" s="145">
        <v>14</v>
      </c>
      <c r="X75" s="145">
        <v>17</v>
      </c>
      <c r="Y75" s="145">
        <f>SUM(U75:X75)</f>
        <v>65</v>
      </c>
      <c r="Z75" s="34"/>
      <c r="AA75" s="34">
        <v>17.53</v>
      </c>
      <c r="AB75" s="34">
        <v>17.690000000000001</v>
      </c>
      <c r="AC75" s="34">
        <v>16.850999999999999</v>
      </c>
      <c r="AD75" s="34">
        <v>22.173999999999999</v>
      </c>
      <c r="AE75" s="34">
        <f>SUM(AA75:AD75)</f>
        <v>74.245000000000005</v>
      </c>
      <c r="AF75" s="34"/>
      <c r="AG75" s="34">
        <v>25.265999999999998</v>
      </c>
      <c r="AH75" s="34">
        <v>24.198</v>
      </c>
      <c r="AI75" s="34">
        <v>21.327999999999999</v>
      </c>
      <c r="AJ75" s="34">
        <v>33.637</v>
      </c>
      <c r="AK75" s="34">
        <f>SUM(AG75:AJ75)</f>
        <v>104.429</v>
      </c>
      <c r="AL75" s="34"/>
      <c r="AM75" s="34">
        <v>24.850999999999999</v>
      </c>
      <c r="AN75" s="34">
        <v>22.181000000000001</v>
      </c>
      <c r="AO75" s="34">
        <v>21.132000000000001</v>
      </c>
      <c r="AP75" s="34">
        <v>29.334</v>
      </c>
      <c r="AQ75" s="34">
        <f>SUM(AM75:AP75)</f>
        <v>97.498000000000005</v>
      </c>
      <c r="AR75" s="34"/>
      <c r="AS75" s="34">
        <v>29.535</v>
      </c>
      <c r="AT75" s="34">
        <v>25.460999999999999</v>
      </c>
      <c r="AU75" s="34">
        <v>28.167000000000002</v>
      </c>
      <c r="AV75" s="34">
        <v>48.603000000000002</v>
      </c>
      <c r="AW75" s="34">
        <f>SUM(AS75:AV75)</f>
        <v>131.76599999999999</v>
      </c>
      <c r="AX75" s="34"/>
      <c r="AY75" s="34">
        <v>39.081000000000003</v>
      </c>
      <c r="AZ75" s="34">
        <v>27.780999999999999</v>
      </c>
      <c r="BA75" s="34">
        <v>30.318999999999999</v>
      </c>
      <c r="BB75" s="34">
        <v>40.503999999999998</v>
      </c>
      <c r="BC75" s="34">
        <f>SUM(AY75:BB75)</f>
        <v>137.685</v>
      </c>
      <c r="BD75" s="34"/>
      <c r="BE75" s="34">
        <v>20.324000000000002</v>
      </c>
      <c r="BF75" s="34">
        <v>15.933</v>
      </c>
      <c r="BG75" s="34">
        <v>12.625</v>
      </c>
      <c r="BH75" s="34">
        <v>22.641999999999999</v>
      </c>
      <c r="BI75" s="34">
        <f>SUM(BE75:BH75)</f>
        <v>71.524000000000001</v>
      </c>
      <c r="BJ75" s="34"/>
      <c r="BK75" s="34"/>
      <c r="BL75" s="34"/>
      <c r="BM75" s="34"/>
      <c r="BN75" s="34"/>
      <c r="BO75" s="34">
        <f>SUM(BK75:BN75)</f>
        <v>0</v>
      </c>
      <c r="BP75" s="34"/>
      <c r="BU75" s="33">
        <f>SUM(BQ75:BT75)</f>
        <v>0</v>
      </c>
      <c r="BV75" s="34"/>
      <c r="CA75" s="33">
        <f>SUM(BW75:BZ75)</f>
        <v>0</v>
      </c>
      <c r="CB75" s="34"/>
      <c r="CC75" s="1217">
        <f>SUM(CC72:CC74)</f>
        <v>637</v>
      </c>
      <c r="CD75" s="1217">
        <f>SUM(CD72:CD74)</f>
        <v>675</v>
      </c>
      <c r="CE75" s="1217">
        <f>SUM(CE72:CE74)</f>
        <v>671</v>
      </c>
      <c r="CF75" s="1217">
        <f>SUM(CF72:CF74)</f>
        <v>857</v>
      </c>
      <c r="CG75" s="1218">
        <f>SUM(CC75:CF75)</f>
        <v>2840</v>
      </c>
      <c r="CH75" s="244"/>
      <c r="CI75" s="1217">
        <f>SUM(CI72:CI74)</f>
        <v>846</v>
      </c>
      <c r="CJ75" s="1217">
        <f>SUM(CJ72:CJ74)</f>
        <v>949</v>
      </c>
      <c r="CK75" s="1217">
        <f>SUM(CK72:CK74)</f>
        <v>916</v>
      </c>
      <c r="CL75" s="1217">
        <f>SUM(CL72:CL74)</f>
        <v>1075</v>
      </c>
      <c r="CM75" s="1218">
        <f>SUM(CI75:CL75)</f>
        <v>3786</v>
      </c>
      <c r="CN75" s="244"/>
      <c r="CO75" s="1217">
        <f>SUM(CO72:CO74)</f>
        <v>1059</v>
      </c>
      <c r="CP75" s="1217">
        <f>SUM(CP72:CP74)</f>
        <v>1154</v>
      </c>
      <c r="CQ75" s="1217">
        <f>SUM(CQ72:CQ74)</f>
        <v>1109</v>
      </c>
      <c r="CR75" s="1217">
        <f>SUM(CR72:CR74)</f>
        <v>1265</v>
      </c>
      <c r="CS75" s="1218">
        <f>SUM(CO75:CR75)</f>
        <v>4587</v>
      </c>
      <c r="CT75" s="244"/>
      <c r="CU75" s="1217">
        <f>SUM(CU72:CU74)</f>
        <v>1159</v>
      </c>
      <c r="CV75" s="1217">
        <f>SUM(CV72:CV74)</f>
        <v>1131</v>
      </c>
      <c r="CW75" s="1217">
        <f>SUM(CW72:CW74)</f>
        <v>1020</v>
      </c>
      <c r="CX75" s="1217">
        <f>SUM(CX72:CX74)</f>
        <v>1065</v>
      </c>
      <c r="CY75" s="1218">
        <f>SUM(CU75:CX75)</f>
        <v>4375</v>
      </c>
      <c r="CZ75" s="244"/>
      <c r="DA75" s="1217">
        <f>SUM(DA72:DA74)</f>
        <v>909</v>
      </c>
      <c r="DB75" s="1217">
        <f>SUM(DB72:DB74)</f>
        <v>958</v>
      </c>
      <c r="DC75" s="1217">
        <f>SUM(DC72:DC74)</f>
        <v>931</v>
      </c>
      <c r="DD75" s="1217">
        <f>SUM(DD72:DD74)</f>
        <v>1108</v>
      </c>
      <c r="DE75" s="1218">
        <f>SUM(DA75:DD75)</f>
        <v>3906</v>
      </c>
      <c r="DF75" s="1219"/>
      <c r="DG75" s="1217">
        <f>SUM(DG72:DG74)</f>
        <v>1068</v>
      </c>
      <c r="DH75" s="1217">
        <f>SUM(DH72:DH74)</f>
        <v>1185</v>
      </c>
      <c r="DI75" s="1217">
        <f>SUM(DI72:DI74)</f>
        <v>1146</v>
      </c>
      <c r="DJ75" s="1217">
        <f>SUM(DJ72:DJ74)</f>
        <v>1248</v>
      </c>
      <c r="DK75" s="1218">
        <f>SUM(DG75:DJ75)</f>
        <v>4647</v>
      </c>
      <c r="DL75" s="1219"/>
      <c r="DM75" s="1217">
        <f>SUM(DM72:DM74)</f>
        <v>1180</v>
      </c>
      <c r="DN75" s="1217">
        <f>SUM(DN72:DN74)</f>
        <v>1180</v>
      </c>
      <c r="DO75" s="1217">
        <f>SUM(DO72:DO74)</f>
        <v>1141.3391999999999</v>
      </c>
      <c r="DP75" s="1217">
        <f>SUM(DP72:DP74)</f>
        <v>1202.1596999999999</v>
      </c>
      <c r="DQ75" s="1218">
        <f>SUM(DM75:DP75)</f>
        <v>4703.4988999999996</v>
      </c>
      <c r="DR75" s="244"/>
      <c r="DS75" s="1217">
        <f>Metrics!DS253</f>
        <v>995</v>
      </c>
      <c r="DT75" s="1217">
        <f>Metrics!DT253</f>
        <v>1010</v>
      </c>
      <c r="DU75" s="1217">
        <f>Metrics!DU253</f>
        <v>935</v>
      </c>
      <c r="DV75" s="1217">
        <f>Metrics!DV253</f>
        <v>975</v>
      </c>
      <c r="DW75" s="143">
        <f>SUM(DS75:DV75)</f>
        <v>3915</v>
      </c>
      <c r="DX75" s="244"/>
      <c r="DY75" s="1217">
        <f>Metrics!DY253</f>
        <v>918</v>
      </c>
      <c r="DZ75" s="1217">
        <f>Metrics!DZ253</f>
        <v>959</v>
      </c>
      <c r="EA75" s="1217">
        <f>Metrics!EA253</f>
        <v>884</v>
      </c>
      <c r="EB75" s="1217">
        <f>Metrics!EB253</f>
        <v>940</v>
      </c>
      <c r="EC75" s="143">
        <f>SUM(DY75:EB75)</f>
        <v>3701</v>
      </c>
      <c r="ED75" s="244"/>
      <c r="EE75" s="1217">
        <f>Metrics!EE253</f>
        <v>855</v>
      </c>
      <c r="EF75" s="1217">
        <f>Metrics!EF253</f>
        <v>935</v>
      </c>
      <c r="EG75" s="1690">
        <f>Metrics!EG253</f>
        <v>858</v>
      </c>
      <c r="EH75" s="1217">
        <f>Metrics!EH253</f>
        <v>899</v>
      </c>
      <c r="EI75" s="143">
        <f>SUM(EE75:EH75)</f>
        <v>3547</v>
      </c>
      <c r="EJ75" s="244"/>
      <c r="EK75" s="1217">
        <f>Metrics!EK253</f>
        <v>862</v>
      </c>
      <c r="EL75" s="1217">
        <f>Metrics!EL253</f>
        <v>861</v>
      </c>
      <c r="EM75" s="1217">
        <f>Metrics!EM253</f>
        <v>793</v>
      </c>
      <c r="EN75" s="1217">
        <f>Metrics!EN253</f>
        <v>872</v>
      </c>
      <c r="EO75" s="143">
        <f>SUM(EK75:EN75)</f>
        <v>3388</v>
      </c>
      <c r="EP75" s="244"/>
      <c r="EQ75" s="1217">
        <f>Metrics!EQ253</f>
        <v>808</v>
      </c>
      <c r="ER75" s="1217">
        <f>Metrics!ER253</f>
        <v>843.78</v>
      </c>
      <c r="ES75" s="1217">
        <f>Metrics!ES253</f>
        <v>812</v>
      </c>
      <c r="ET75" s="1217">
        <f>Metrics!ET253</f>
        <v>894</v>
      </c>
      <c r="EU75" s="143">
        <f>SUM(EQ75:ET75)</f>
        <v>3357.7799999999997</v>
      </c>
      <c r="EV75" s="244"/>
      <c r="EW75" s="1217">
        <f>Metrics!EW253</f>
        <v>860</v>
      </c>
      <c r="EX75" s="1217">
        <f>Metrics!EX253</f>
        <v>856</v>
      </c>
      <c r="EY75" s="1217">
        <f>Metrics!EY253</f>
        <v>796</v>
      </c>
      <c r="EZ75" s="1217">
        <f>Metrics!EZ253</f>
        <v>911.88</v>
      </c>
      <c r="FA75" s="143">
        <f>SUM(EW75:EZ75)</f>
        <v>3423.88</v>
      </c>
      <c r="FB75" s="244"/>
      <c r="FC75" s="1217">
        <f>Metrics!FC253</f>
        <v>860</v>
      </c>
      <c r="FD75" s="1217">
        <f>Metrics!FD253</f>
        <v>856</v>
      </c>
      <c r="FE75" s="1217">
        <f>Metrics!FE253</f>
        <v>796</v>
      </c>
      <c r="FF75" s="1217">
        <f>Metrics!FF253</f>
        <v>911.88</v>
      </c>
      <c r="FG75" s="143">
        <f>SUM(FC75:FF75)</f>
        <v>3423.88</v>
      </c>
      <c r="FH75" s="244"/>
      <c r="FI75" s="1217">
        <f>Metrics!FI253</f>
        <v>860</v>
      </c>
      <c r="FJ75" s="1217">
        <f>Metrics!FJ253</f>
        <v>856</v>
      </c>
      <c r="FK75" s="1217">
        <f>Metrics!FK253</f>
        <v>796</v>
      </c>
      <c r="FL75" s="1217">
        <f>Metrics!FL253</f>
        <v>911.88</v>
      </c>
      <c r="FM75" s="143">
        <f>SUM(FI75:FL75)</f>
        <v>3423.88</v>
      </c>
      <c r="FN75" s="226"/>
      <c r="FO75" s="245">
        <f>CE75+CF75+CI75+CJ75</f>
        <v>3323</v>
      </c>
      <c r="FP75" s="243">
        <f>CK75+CL75+CO75+CP75</f>
        <v>4204</v>
      </c>
      <c r="FQ75" s="243">
        <f>CV75+CU75+CR75+CQ75</f>
        <v>4664</v>
      </c>
      <c r="FR75" s="243">
        <f>CW75+CX75+DA75+DB75</f>
        <v>3952</v>
      </c>
      <c r="FS75" s="245">
        <f>DC75+DD75+DG75+DH75</f>
        <v>4292</v>
      </c>
      <c r="FT75" s="243">
        <f>DI75+DJ75+DM75+DN75</f>
        <v>4754</v>
      </c>
      <c r="FU75" s="243">
        <f>DO75+DP75+DS75+DT75</f>
        <v>4348.4988999999996</v>
      </c>
      <c r="FV75" s="243">
        <f>DY75+DV75+DZ75+DU75</f>
        <v>3787</v>
      </c>
      <c r="FW75" s="243">
        <f>EA75+EB75+EE75+EF75</f>
        <v>3614</v>
      </c>
      <c r="FX75" s="243">
        <f>EG75+EH75+EK75+EL75</f>
        <v>3480</v>
      </c>
      <c r="FY75" s="243">
        <f>EM75+EN75+EQ75+ER75</f>
        <v>3316.7799999999997</v>
      </c>
      <c r="FZ75" s="243">
        <f>ES75+ET75+EW75+EX75</f>
        <v>3422</v>
      </c>
      <c r="GA75" s="243">
        <f>EY75+EZ75+FC75+FD75</f>
        <v>3423.88</v>
      </c>
      <c r="GB75" s="243">
        <f>FE75+FF75+FI75+FJ75</f>
        <v>3423.88</v>
      </c>
      <c r="GC75" s="243"/>
      <c r="GD75" s="243"/>
      <c r="GE75" s="243"/>
      <c r="GF75" s="243"/>
      <c r="GI75"/>
      <c r="GJ75"/>
      <c r="GK75"/>
      <c r="GL75"/>
      <c r="GM75"/>
      <c r="GN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</row>
    <row r="76" spans="1:281" s="33" customFormat="1" ht="10.5" customHeight="1" x14ac:dyDescent="0.2">
      <c r="A76" s="1288" t="s">
        <v>669</v>
      </c>
      <c r="B76" s="1296"/>
      <c r="C76" s="1297"/>
      <c r="D76" s="1297"/>
      <c r="E76" s="1297"/>
      <c r="F76" s="1297"/>
      <c r="G76" s="1297"/>
      <c r="H76" s="1297"/>
      <c r="I76" s="1297"/>
      <c r="J76" s="1297"/>
      <c r="K76" s="1297"/>
      <c r="L76" s="1297"/>
      <c r="M76" s="1266"/>
      <c r="N76" s="1298"/>
      <c r="O76" s="1297"/>
      <c r="P76" s="1297"/>
      <c r="Q76" s="1297"/>
      <c r="R76" s="1297"/>
      <c r="S76" s="1297"/>
      <c r="T76" s="1298"/>
      <c r="U76" s="1297"/>
      <c r="V76" s="1297"/>
      <c r="W76" s="1297"/>
      <c r="X76" s="1297"/>
      <c r="Y76" s="1297"/>
      <c r="Z76" s="1298"/>
      <c r="AA76" s="1299"/>
      <c r="AB76" s="1299"/>
      <c r="AC76" s="1299"/>
      <c r="AD76" s="1299"/>
      <c r="AE76" s="1299"/>
      <c r="AF76" s="1298"/>
      <c r="AG76" s="1299"/>
      <c r="AH76" s="1299"/>
      <c r="AI76" s="1299"/>
      <c r="AJ76" s="1299"/>
      <c r="AK76" s="1299"/>
      <c r="AL76" s="1298"/>
      <c r="AM76" s="1299"/>
      <c r="AN76" s="1299"/>
      <c r="AO76" s="1299"/>
      <c r="AP76" s="1299"/>
      <c r="AQ76" s="1299"/>
      <c r="AR76" s="1298"/>
      <c r="AS76" s="1299"/>
      <c r="AT76" s="1299"/>
      <c r="AU76" s="1299"/>
      <c r="AV76" s="1299"/>
      <c r="AW76" s="1299"/>
      <c r="AX76" s="1298"/>
      <c r="AY76" s="1299"/>
      <c r="AZ76" s="1299"/>
      <c r="BA76" s="1299"/>
      <c r="BB76" s="1299"/>
      <c r="BC76" s="1299"/>
      <c r="BD76" s="1298"/>
      <c r="BE76" s="1299"/>
      <c r="BF76" s="1299"/>
      <c r="BG76" s="1299"/>
      <c r="BH76" s="1299"/>
      <c r="BI76" s="1299"/>
      <c r="BJ76" s="1298"/>
      <c r="BK76" s="1299"/>
      <c r="BL76" s="1299"/>
      <c r="BM76" s="1299"/>
      <c r="BN76" s="1299"/>
      <c r="BO76" s="1299"/>
      <c r="BP76" s="1298"/>
      <c r="BQ76" s="1299"/>
      <c r="BR76" s="1299"/>
      <c r="BS76" s="1299"/>
      <c r="BT76" s="1299"/>
      <c r="BU76" s="1299"/>
      <c r="BV76" s="1298"/>
      <c r="BW76" s="1299"/>
      <c r="BX76" s="1299"/>
      <c r="BY76" s="1299"/>
      <c r="BZ76" s="1299"/>
      <c r="CA76" s="1299"/>
      <c r="CB76" s="1298"/>
      <c r="CC76" s="1299"/>
      <c r="CD76" s="1299"/>
      <c r="CE76" s="1299"/>
      <c r="CF76" s="1299"/>
      <c r="CG76" s="1300"/>
      <c r="CH76" s="1298"/>
      <c r="CI76" s="1299"/>
      <c r="CJ76" s="1299"/>
      <c r="CK76" s="1299"/>
      <c r="CL76" s="1299"/>
      <c r="CM76" s="1300"/>
      <c r="CN76" s="1298"/>
      <c r="CO76" s="1299"/>
      <c r="CP76" s="1299"/>
      <c r="CQ76" s="1299"/>
      <c r="CR76" s="1299"/>
      <c r="CS76" s="1300"/>
      <c r="CT76" s="1298"/>
      <c r="CU76" s="1299"/>
      <c r="CV76" s="1299"/>
      <c r="CW76" s="1299"/>
      <c r="CX76" s="1299"/>
      <c r="CY76" s="1300"/>
      <c r="CZ76" s="1298"/>
      <c r="DA76" s="1299"/>
      <c r="DB76" s="1299"/>
      <c r="DC76" s="1301"/>
      <c r="DD76" s="1301"/>
      <c r="DE76" s="1302"/>
      <c r="DF76" s="1298"/>
      <c r="DG76" s="1301"/>
      <c r="DH76" s="1301"/>
      <c r="DI76" s="1301"/>
      <c r="DJ76" s="1303">
        <f>DJ75/DD75-1</f>
        <v>0.12635379061371843</v>
      </c>
      <c r="DK76" s="1304"/>
      <c r="DL76" s="1298"/>
      <c r="DM76" s="1303">
        <f>DM75/DG75-1</f>
        <v>0.10486891385767794</v>
      </c>
      <c r="DN76" s="1303">
        <f>DN75/DH75-1</f>
        <v>-4.2194092827003704E-3</v>
      </c>
      <c r="DO76" s="1303">
        <f>DO75/DI75-1</f>
        <v>-4.0670157068063428E-3</v>
      </c>
      <c r="DP76" s="1303">
        <f>DP75/DJ75-1</f>
        <v>-3.6731009615384669E-2</v>
      </c>
      <c r="DQ76" s="1304">
        <f>DQ75/DK75-1</f>
        <v>1.2158145039810497E-2</v>
      </c>
      <c r="DR76" s="1298"/>
      <c r="DS76" s="1303">
        <f>DS75/DM75-1</f>
        <v>-0.15677966101694918</v>
      </c>
      <c r="DT76" s="1303">
        <f>DT75/DN75-1</f>
        <v>-0.14406779661016944</v>
      </c>
      <c r="DU76" s="1303">
        <f>DU75/DO75-1</f>
        <v>-0.18078692118872275</v>
      </c>
      <c r="DV76" s="1303">
        <f>DV75/DP75-1</f>
        <v>-0.18895966983421586</v>
      </c>
      <c r="DW76" s="1304">
        <f>DW75/DQ75-1</f>
        <v>-0.16764092365366545</v>
      </c>
      <c r="DX76" s="1298"/>
      <c r="DY76" s="1303">
        <f>DY75/DS75-1</f>
        <v>-7.7386934673366881E-2</v>
      </c>
      <c r="DZ76" s="1303">
        <f>DZ75/DT75-1</f>
        <v>-5.049504950495054E-2</v>
      </c>
      <c r="EA76" s="1303">
        <f>EA75/DU75-1</f>
        <v>-5.4545454545454564E-2</v>
      </c>
      <c r="EB76" s="1303">
        <f>EB75/DV75-1</f>
        <v>-3.5897435897435881E-2</v>
      </c>
      <c r="EC76" s="1304">
        <f>EC75/DW75-1</f>
        <v>-5.4661558109833974E-2</v>
      </c>
      <c r="ED76" s="1298"/>
      <c r="EE76" s="1303">
        <f>EE75/DY75-1</f>
        <v>-6.8627450980392135E-2</v>
      </c>
      <c r="EF76" s="1303">
        <f>EF75/DZ75-1</f>
        <v>-2.5026068821689229E-2</v>
      </c>
      <c r="EG76" s="1303">
        <f>EG75/EA75-1</f>
        <v>-2.9411764705882359E-2</v>
      </c>
      <c r="EH76" s="1303">
        <f>EH75/EB75-1</f>
        <v>-4.3617021276595724E-2</v>
      </c>
      <c r="EI76" s="1304">
        <f>EI75/EC75-1</f>
        <v>-4.1610375574169134E-2</v>
      </c>
      <c r="EJ76" s="1298"/>
      <c r="EK76" s="1303">
        <f>EK75/EE75-1</f>
        <v>8.1871345029240761E-3</v>
      </c>
      <c r="EL76" s="1303">
        <f>EL75/EF75-1</f>
        <v>-7.9144385026737929E-2</v>
      </c>
      <c r="EM76" s="1303">
        <f>EM75/EG75-1</f>
        <v>-7.5757575757575801E-2</v>
      </c>
      <c r="EN76" s="1303">
        <f>EN75/EH75-1</f>
        <v>-3.0033370411568394E-2</v>
      </c>
      <c r="EO76" s="1304">
        <f>EO75/EI75-1</f>
        <v>-4.4826614040033852E-2</v>
      </c>
      <c r="EP76" s="1298"/>
      <c r="EQ76" s="1303">
        <f>EQ75/EK75-1</f>
        <v>-6.2645011600928058E-2</v>
      </c>
      <c r="ER76" s="1303">
        <f>ER75/EL75-1</f>
        <v>-2.0000000000000018E-2</v>
      </c>
      <c r="ES76" s="1303">
        <f>ES75/EM75-1</f>
        <v>2.3959646910466592E-2</v>
      </c>
      <c r="ET76" s="1303">
        <f>ET75/EN75-1</f>
        <v>2.5229357798165042E-2</v>
      </c>
      <c r="EU76" s="1304">
        <f>EU75/EO75-1</f>
        <v>-8.9197166469894285E-3</v>
      </c>
      <c r="EV76" s="1298"/>
      <c r="EW76" s="1303">
        <f>EW75/EQ75-1</f>
        <v>6.4356435643564414E-2</v>
      </c>
      <c r="EX76" s="1303">
        <f>EX75/ER75-1</f>
        <v>1.4482448031477357E-2</v>
      </c>
      <c r="EY76" s="1303">
        <f>EY75/ES75-1</f>
        <v>-1.9704433497536922E-2</v>
      </c>
      <c r="EZ76" s="1303">
        <f>EZ75/ET75-1</f>
        <v>2.0000000000000018E-2</v>
      </c>
      <c r="FA76" s="1304">
        <f>FA75/EU75-1</f>
        <v>1.9685625621690628E-2</v>
      </c>
      <c r="FB76" s="1298"/>
      <c r="FC76" s="1303">
        <f>FC75/EW75-1</f>
        <v>0</v>
      </c>
      <c r="FD76" s="1303">
        <f>FD75/EX75-1</f>
        <v>0</v>
      </c>
      <c r="FE76" s="1303">
        <f>FE75/EY75-1</f>
        <v>0</v>
      </c>
      <c r="FF76" s="1303">
        <f>FF75/EZ75-1</f>
        <v>0</v>
      </c>
      <c r="FG76" s="1304">
        <f>FG75/FA75-1</f>
        <v>0</v>
      </c>
      <c r="FH76" s="1298"/>
      <c r="FI76" s="1303">
        <f>FI75/FC75-1</f>
        <v>0</v>
      </c>
      <c r="FJ76" s="1303">
        <f>FJ75/FD75-1</f>
        <v>0</v>
      </c>
      <c r="FK76" s="1303">
        <f>FK75/FE75-1</f>
        <v>0</v>
      </c>
      <c r="FL76" s="1303">
        <f>FL75/FF75-1</f>
        <v>0</v>
      </c>
      <c r="FM76" s="1304">
        <f>FM75/FG75-1</f>
        <v>0</v>
      </c>
      <c r="FN76" s="226"/>
      <c r="FO76" s="227"/>
      <c r="FS76" s="227"/>
      <c r="FT76" s="236"/>
      <c r="FU76" s="236"/>
      <c r="FV76" s="236"/>
      <c r="FW76" s="236"/>
      <c r="FX76" s="236"/>
      <c r="FY76" s="236"/>
      <c r="FZ76" s="236"/>
      <c r="GA76" s="236"/>
      <c r="GB76" s="236"/>
      <c r="GC76" s="236"/>
      <c r="GD76" s="236"/>
      <c r="GE76" s="236"/>
      <c r="GF76" s="236"/>
      <c r="GI76"/>
      <c r="GJ76"/>
      <c r="GK76"/>
      <c r="GL76"/>
      <c r="GM76"/>
      <c r="GN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</row>
    <row r="77" spans="1:281" s="33" customFormat="1" ht="10.5" customHeight="1" x14ac:dyDescent="0.2">
      <c r="A77" s="1288" t="s">
        <v>1101</v>
      </c>
      <c r="B77" s="1296"/>
      <c r="C77" s="1297"/>
      <c r="D77" s="1297"/>
      <c r="E77" s="1297"/>
      <c r="F77" s="1297"/>
      <c r="G77" s="1297"/>
      <c r="H77" s="1297"/>
      <c r="I77" s="1297"/>
      <c r="J77" s="1297"/>
      <c r="K77" s="1297"/>
      <c r="L77" s="1297"/>
      <c r="M77" s="1266"/>
      <c r="N77" s="1298"/>
      <c r="O77" s="1297"/>
      <c r="P77" s="1297"/>
      <c r="Q77" s="1297"/>
      <c r="R77" s="1297"/>
      <c r="S77" s="1297"/>
      <c r="T77" s="1298"/>
      <c r="U77" s="1297"/>
      <c r="V77" s="1297"/>
      <c r="W77" s="1297"/>
      <c r="X77" s="1297"/>
      <c r="Y77" s="1297"/>
      <c r="Z77" s="1298"/>
      <c r="AA77" s="1299"/>
      <c r="AB77" s="1299"/>
      <c r="AC77" s="1299"/>
      <c r="AD77" s="1299"/>
      <c r="AE77" s="1299"/>
      <c r="AF77" s="1298"/>
      <c r="AG77" s="1299"/>
      <c r="AH77" s="1299"/>
      <c r="AI77" s="1299"/>
      <c r="AJ77" s="1299"/>
      <c r="AK77" s="1299"/>
      <c r="AL77" s="1298"/>
      <c r="AM77" s="1299"/>
      <c r="AN77" s="1299"/>
      <c r="AO77" s="1299"/>
      <c r="AP77" s="1299"/>
      <c r="AQ77" s="1299"/>
      <c r="AR77" s="1298"/>
      <c r="AS77" s="1299"/>
      <c r="AT77" s="1299"/>
      <c r="AU77" s="1299"/>
      <c r="AV77" s="1299"/>
      <c r="AW77" s="1299"/>
      <c r="AX77" s="1298"/>
      <c r="AY77" s="1299"/>
      <c r="AZ77" s="1299"/>
      <c r="BA77" s="1299"/>
      <c r="BB77" s="1299"/>
      <c r="BC77" s="1299"/>
      <c r="BD77" s="1298"/>
      <c r="BE77" s="1299"/>
      <c r="BF77" s="1299"/>
      <c r="BG77" s="1299"/>
      <c r="BH77" s="1299"/>
      <c r="BI77" s="1299"/>
      <c r="BJ77" s="1298"/>
      <c r="BK77" s="1299"/>
      <c r="BL77" s="1299"/>
      <c r="BM77" s="1299"/>
      <c r="BN77" s="1299"/>
      <c r="BO77" s="1299"/>
      <c r="BP77" s="1298"/>
      <c r="BQ77" s="1299"/>
      <c r="BR77" s="1299"/>
      <c r="BS77" s="1299"/>
      <c r="BT77" s="1299"/>
      <c r="BU77" s="1299"/>
      <c r="BV77" s="1298"/>
      <c r="BW77" s="1299"/>
      <c r="BX77" s="1299"/>
      <c r="BY77" s="1299"/>
      <c r="BZ77" s="1299"/>
      <c r="CA77" s="1299"/>
      <c r="CB77" s="1298"/>
      <c r="CC77" s="1299"/>
      <c r="CD77" s="1299"/>
      <c r="CE77" s="1299"/>
      <c r="CF77" s="1299"/>
      <c r="CG77" s="1300"/>
      <c r="CH77" s="1298"/>
      <c r="CI77" s="1299"/>
      <c r="CJ77" s="1299"/>
      <c r="CK77" s="1299"/>
      <c r="CL77" s="1299"/>
      <c r="CM77" s="1300"/>
      <c r="CN77" s="1298"/>
      <c r="CO77" s="1299"/>
      <c r="CP77" s="1299"/>
      <c r="CQ77" s="1299"/>
      <c r="CR77" s="1299"/>
      <c r="CS77" s="1300"/>
      <c r="CT77" s="1298"/>
      <c r="CU77" s="1299"/>
      <c r="CV77" s="1299"/>
      <c r="CW77" s="1299"/>
      <c r="CX77" s="1299"/>
      <c r="CY77" s="1300"/>
      <c r="CZ77" s="1298"/>
      <c r="DA77" s="1299"/>
      <c r="DB77" s="1299"/>
      <c r="DC77" s="1301"/>
      <c r="DD77" s="1301"/>
      <c r="DE77" s="1302"/>
      <c r="DF77" s="1298"/>
      <c r="DG77" s="1303">
        <f>DG75/DD75-1</f>
        <v>-3.6101083032490933E-2</v>
      </c>
      <c r="DH77" s="1303">
        <f>DH75/DG75-1</f>
        <v>0.1095505617977528</v>
      </c>
      <c r="DI77" s="1303">
        <f>DI75/DH75-1</f>
        <v>-3.2911392405063244E-2</v>
      </c>
      <c r="DJ77" s="1303">
        <f>DJ75/DI75-1</f>
        <v>8.9005235602094279E-2</v>
      </c>
      <c r="DK77" s="1302"/>
      <c r="DL77" s="1298"/>
      <c r="DM77" s="1303">
        <f>DM75/DJ75-1</f>
        <v>-5.4487179487179516E-2</v>
      </c>
      <c r="DN77" s="1303">
        <f>DN75/DM75-1</f>
        <v>0</v>
      </c>
      <c r="DO77" s="1303">
        <f>DO75/DN75-1</f>
        <v>-3.2763389830508527E-2</v>
      </c>
      <c r="DP77" s="1303">
        <f>DP75/DO75-1</f>
        <v>5.3288715572022749E-2</v>
      </c>
      <c r="DQ77" s="1302"/>
      <c r="DR77" s="1298"/>
      <c r="DS77" s="1303">
        <f>DS75/DP75-1</f>
        <v>-0.17232294511286639</v>
      </c>
      <c r="DT77" s="1303">
        <f>DT75/DS75-1</f>
        <v>1.5075376884422065E-2</v>
      </c>
      <c r="DU77" s="1303">
        <f>DU75/DT75-1</f>
        <v>-7.4257425742574212E-2</v>
      </c>
      <c r="DV77" s="1303">
        <f>DV75/DU75-1</f>
        <v>4.2780748663101553E-2</v>
      </c>
      <c r="DW77" s="1302"/>
      <c r="DX77" s="1298"/>
      <c r="DY77" s="1303">
        <f>DY75/DV75-1</f>
        <v>-5.8461538461538454E-2</v>
      </c>
      <c r="DZ77" s="1303">
        <f>DZ75/DY75-1</f>
        <v>4.466230936819171E-2</v>
      </c>
      <c r="EA77" s="1303">
        <f>EA75/DZ75-1</f>
        <v>-7.8206465067778952E-2</v>
      </c>
      <c r="EB77" s="1303">
        <f>EB75/EA75-1</f>
        <v>6.3348416289592757E-2</v>
      </c>
      <c r="EC77" s="1302"/>
      <c r="ED77" s="1298"/>
      <c r="EE77" s="1303">
        <f>EE75/EB75-1</f>
        <v>-9.0425531914893664E-2</v>
      </c>
      <c r="EF77" s="1303">
        <f>EF75/EE75-1</f>
        <v>9.3567251461988299E-2</v>
      </c>
      <c r="EG77" s="1303">
        <f>EG75/EF75-1</f>
        <v>-8.2352941176470629E-2</v>
      </c>
      <c r="EH77" s="1303">
        <f>EH75/EG75-1</f>
        <v>4.7785547785547777E-2</v>
      </c>
      <c r="EI77" s="1302"/>
      <c r="EJ77" s="1298"/>
      <c r="EK77" s="1303">
        <f>EK75/EH75-1</f>
        <v>-4.1156840934371552E-2</v>
      </c>
      <c r="EL77" s="1303">
        <f>EL75/EK75-1</f>
        <v>-1.1600928074245731E-3</v>
      </c>
      <c r="EM77" s="1303">
        <f>EM75/EL75-1</f>
        <v>-7.8977932636469239E-2</v>
      </c>
      <c r="EN77" s="1303">
        <f>EN75/EM75-1</f>
        <v>9.9621689785624135E-2</v>
      </c>
      <c r="EO77" s="1302"/>
      <c r="EP77" s="1298"/>
      <c r="EQ77" s="1303">
        <f>EQ75/EN75-1</f>
        <v>-7.3394495412844041E-2</v>
      </c>
      <c r="ER77" s="1303">
        <f>ER75/EQ75-1</f>
        <v>4.4282178217821766E-2</v>
      </c>
      <c r="ES77" s="1303">
        <f>ES75/ER75-1</f>
        <v>-3.7663846026215309E-2</v>
      </c>
      <c r="ET77" s="1303">
        <f>ET75/ES75-1</f>
        <v>0.10098522167487678</v>
      </c>
      <c r="EU77" s="1302"/>
      <c r="EV77" s="1298"/>
      <c r="EW77" s="1303">
        <f>EW75/ET75-1</f>
        <v>-3.8031319910514561E-2</v>
      </c>
      <c r="EX77" s="1303">
        <f>EX75/EW75-1</f>
        <v>-4.6511627906976605E-3</v>
      </c>
      <c r="EY77" s="1303">
        <f>EY75/EX75-1</f>
        <v>-7.0093457943925186E-2</v>
      </c>
      <c r="EZ77" s="1303">
        <f>EZ75/EY75-1</f>
        <v>0.14557788944723615</v>
      </c>
      <c r="FA77" s="1302"/>
      <c r="FB77" s="1298"/>
      <c r="FC77" s="1303">
        <f>FC75/EZ75-1</f>
        <v>-5.689345089266129E-2</v>
      </c>
      <c r="FD77" s="1303">
        <f>FD75/FC75-1</f>
        <v>-4.6511627906976605E-3</v>
      </c>
      <c r="FE77" s="1303">
        <f>FE75/FD75-1</f>
        <v>-7.0093457943925186E-2</v>
      </c>
      <c r="FF77" s="1303">
        <f>FF75/FE75-1</f>
        <v>0.14557788944723615</v>
      </c>
      <c r="FG77" s="1302"/>
      <c r="FH77" s="1298"/>
      <c r="FI77" s="1303">
        <f>FI75/FF75-1</f>
        <v>-5.689345089266129E-2</v>
      </c>
      <c r="FJ77" s="1303">
        <f>FJ75/FI75-1</f>
        <v>-4.6511627906976605E-3</v>
      </c>
      <c r="FK77" s="1303">
        <f>FK75/FJ75-1</f>
        <v>-7.0093457943925186E-2</v>
      </c>
      <c r="FL77" s="1303">
        <f>FL75/FK75-1</f>
        <v>0.14557788944723615</v>
      </c>
      <c r="FM77" s="1302"/>
      <c r="FN77" s="226"/>
      <c r="FO77" s="227"/>
      <c r="FS77" s="227"/>
      <c r="GI77"/>
      <c r="GJ77"/>
      <c r="GK77"/>
      <c r="GL77"/>
      <c r="GM77"/>
      <c r="GN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</row>
    <row r="78" spans="1:281" s="33" customFormat="1" ht="3.95" customHeight="1" x14ac:dyDescent="0.2">
      <c r="A78" s="145"/>
      <c r="B78" s="949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119" t="s">
        <v>599</v>
      </c>
      <c r="BD78" s="34"/>
      <c r="BE78" s="34"/>
      <c r="BF78" s="34"/>
      <c r="BG78" s="34"/>
      <c r="BH78" s="34"/>
      <c r="BI78" s="119" t="s">
        <v>600</v>
      </c>
      <c r="BJ78" s="34"/>
      <c r="BK78" s="34"/>
      <c r="BL78" s="34"/>
      <c r="BM78" s="34"/>
      <c r="BN78" s="34"/>
      <c r="BO78" s="119" t="s">
        <v>601</v>
      </c>
      <c r="BP78" s="34"/>
      <c r="BU78" s="119" t="s">
        <v>602</v>
      </c>
      <c r="BV78" s="34"/>
      <c r="CA78" s="34"/>
      <c r="CB78" s="34"/>
      <c r="CC78" s="243"/>
      <c r="CD78" s="243"/>
      <c r="CE78" s="243"/>
      <c r="CF78" s="243"/>
      <c r="CG78" s="171"/>
      <c r="CH78" s="244"/>
      <c r="CI78" s="243"/>
      <c r="CJ78" s="243"/>
      <c r="CK78" s="243"/>
      <c r="CL78" s="243"/>
      <c r="CM78" s="171"/>
      <c r="CN78" s="244"/>
      <c r="CO78" s="243"/>
      <c r="CP78" s="243"/>
      <c r="CQ78" s="243"/>
      <c r="CR78" s="243"/>
      <c r="CS78" s="171"/>
      <c r="CT78" s="244"/>
      <c r="CU78" s="243"/>
      <c r="CV78" s="243"/>
      <c r="CW78" s="243"/>
      <c r="CX78" s="243"/>
      <c r="CY78" s="171"/>
      <c r="CZ78" s="244"/>
      <c r="DA78" s="243"/>
      <c r="DB78" s="243"/>
      <c r="DC78" s="243"/>
      <c r="DD78" s="243"/>
      <c r="DE78" s="171"/>
      <c r="DF78" s="244"/>
      <c r="DG78" s="243"/>
      <c r="DH78" s="243"/>
      <c r="DI78" s="243"/>
      <c r="DJ78" s="243"/>
      <c r="DK78" s="171"/>
      <c r="DL78" s="244"/>
      <c r="DM78" s="243"/>
      <c r="DN78" s="243"/>
      <c r="DO78" s="243"/>
      <c r="DP78" s="243"/>
      <c r="DQ78" s="171"/>
      <c r="DR78" s="244"/>
      <c r="DS78" s="243"/>
      <c r="DT78" s="243"/>
      <c r="DU78" s="243"/>
      <c r="DV78" s="243"/>
      <c r="DW78" s="171"/>
      <c r="DX78" s="244"/>
      <c r="DY78" s="243"/>
      <c r="DZ78" s="243"/>
      <c r="EA78" s="243"/>
      <c r="EB78" s="243"/>
      <c r="EC78" s="171"/>
      <c r="ED78" s="244"/>
      <c r="EE78" s="243"/>
      <c r="EF78" s="243"/>
      <c r="EG78" s="243"/>
      <c r="EH78" s="243"/>
      <c r="EI78" s="171"/>
      <c r="EJ78" s="244"/>
      <c r="EK78" s="243"/>
      <c r="EL78" s="243"/>
      <c r="EM78" s="243"/>
      <c r="EN78" s="243"/>
      <c r="EO78" s="171"/>
      <c r="EP78" s="244"/>
      <c r="EQ78" s="243"/>
      <c r="ER78" s="243"/>
      <c r="ES78" s="243"/>
      <c r="ET78" s="243"/>
      <c r="EU78" s="171"/>
      <c r="EV78" s="244"/>
      <c r="EW78" s="243"/>
      <c r="EX78" s="243"/>
      <c r="EY78" s="243"/>
      <c r="EZ78" s="243"/>
      <c r="FA78" s="171"/>
      <c r="FB78" s="244"/>
      <c r="FC78" s="243"/>
      <c r="FD78" s="243"/>
      <c r="FE78" s="243"/>
      <c r="FF78" s="243"/>
      <c r="FG78" s="171"/>
      <c r="FH78" s="244"/>
      <c r="FI78" s="243"/>
      <c r="FJ78" s="243"/>
      <c r="FK78" s="243"/>
      <c r="FL78" s="243"/>
      <c r="FM78" s="171"/>
      <c r="FN78" s="226"/>
      <c r="FO78" s="227"/>
      <c r="FS78" s="227"/>
      <c r="GI78"/>
      <c r="GJ78"/>
      <c r="GK78"/>
      <c r="GL78"/>
      <c r="GM78"/>
      <c r="GN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</row>
    <row r="79" spans="1:281" s="33" customFormat="1" ht="10.5" hidden="1" customHeight="1" outlineLevel="1" x14ac:dyDescent="0.2">
      <c r="A79" s="962" t="s">
        <v>1171</v>
      </c>
      <c r="B79" s="1314"/>
      <c r="C79" s="1153"/>
      <c r="D79" s="1153"/>
      <c r="E79" s="1153"/>
      <c r="F79" s="1153"/>
      <c r="G79" s="1150"/>
      <c r="H79" s="1150"/>
      <c r="I79" s="93"/>
      <c r="J79" s="1150"/>
      <c r="K79" s="1150"/>
      <c r="L79" s="1150"/>
      <c r="M79" s="1150"/>
      <c r="N79" s="1150"/>
      <c r="O79" s="1150"/>
      <c r="P79" s="1150"/>
      <c r="Q79" s="1150"/>
      <c r="R79" s="1150"/>
      <c r="S79" s="1150"/>
      <c r="T79" s="1150"/>
      <c r="U79" s="1150"/>
      <c r="V79" s="1150"/>
      <c r="W79" s="1150"/>
      <c r="X79" s="1150"/>
      <c r="Y79" s="1150"/>
      <c r="Z79" s="1150"/>
      <c r="AA79" s="93"/>
      <c r="AB79" s="93"/>
      <c r="AC79" s="93"/>
      <c r="AD79" s="93"/>
      <c r="AE79" s="266"/>
      <c r="AF79" s="1150"/>
      <c r="AG79" s="93"/>
      <c r="AH79" s="93"/>
      <c r="AI79" s="93"/>
      <c r="AJ79" s="93"/>
      <c r="AK79" s="266"/>
      <c r="AL79" s="1150"/>
      <c r="AM79" s="93"/>
      <c r="AN79" s="93"/>
      <c r="AO79" s="93"/>
      <c r="AP79" s="93"/>
      <c r="AQ79" s="266"/>
      <c r="AR79" s="1150"/>
      <c r="AS79" s="93"/>
      <c r="AT79" s="93"/>
      <c r="AU79" s="93"/>
      <c r="AV79" s="93"/>
      <c r="AW79" s="266"/>
      <c r="AX79" s="1150"/>
      <c r="AY79" s="93"/>
      <c r="AZ79" s="93"/>
      <c r="BA79" s="93"/>
      <c r="BB79" s="93"/>
      <c r="BC79" s="266"/>
      <c r="BD79" s="1150"/>
      <c r="BE79" s="93"/>
      <c r="BF79" s="93"/>
      <c r="BG79" s="93"/>
      <c r="BH79" s="93"/>
      <c r="BI79" s="266"/>
      <c r="BJ79" s="1150"/>
      <c r="BK79" s="93"/>
      <c r="BL79" s="93"/>
      <c r="BM79" s="93"/>
      <c r="BN79" s="93"/>
      <c r="BO79" s="266"/>
      <c r="BP79" s="1150"/>
      <c r="BQ79" s="93"/>
      <c r="BR79" s="93"/>
      <c r="BS79" s="93"/>
      <c r="BT79" s="93"/>
      <c r="BU79" s="266"/>
      <c r="BV79" s="93"/>
      <c r="BW79" s="93"/>
      <c r="BX79" s="93"/>
      <c r="BY79" s="93"/>
      <c r="BZ79" s="93"/>
      <c r="CA79" s="266"/>
      <c r="CB79" s="93"/>
      <c r="CC79" s="893"/>
      <c r="CD79" s="893"/>
      <c r="CE79" s="893"/>
      <c r="CF79" s="893"/>
      <c r="CG79" s="285"/>
      <c r="CH79" s="893"/>
      <c r="CI79" s="893"/>
      <c r="CJ79" s="893"/>
      <c r="CK79" s="893"/>
      <c r="CL79" s="893"/>
      <c r="CM79" s="285"/>
      <c r="CN79" s="893"/>
      <c r="CO79" s="893"/>
      <c r="CP79" s="893"/>
      <c r="CQ79" s="893"/>
      <c r="CR79" s="893"/>
      <c r="CS79" s="285"/>
      <c r="CT79" s="893"/>
      <c r="CU79" s="893"/>
      <c r="CV79" s="893"/>
      <c r="CW79" s="893"/>
      <c r="CX79" s="893"/>
      <c r="CY79" s="1071"/>
      <c r="CZ79" s="893"/>
      <c r="DA79" s="893"/>
      <c r="DB79" s="893"/>
      <c r="DC79" s="893"/>
      <c r="DD79" s="893"/>
      <c r="DE79" s="1071"/>
      <c r="DF79" s="893"/>
      <c r="DG79" s="893"/>
      <c r="DH79" s="893"/>
      <c r="DI79" s="893"/>
      <c r="DJ79" s="893"/>
      <c r="DK79" s="1071"/>
      <c r="DL79" s="893"/>
      <c r="DM79" s="893"/>
      <c r="DN79" s="893"/>
      <c r="DO79" s="893"/>
      <c r="DP79" s="893"/>
      <c r="DQ79" s="1071"/>
      <c r="DR79" s="893"/>
      <c r="DS79" s="893">
        <f>DS35+DS29</f>
        <v>341</v>
      </c>
      <c r="DT79" s="893">
        <f>DT35+DT29</f>
        <v>344</v>
      </c>
      <c r="DU79" s="893">
        <f>DU35+DU29</f>
        <v>347</v>
      </c>
      <c r="DV79" s="893">
        <f>DV35+DV29</f>
        <v>378</v>
      </c>
      <c r="DW79" s="1071">
        <f>SUM(DS79:DV79)</f>
        <v>1410</v>
      </c>
      <c r="DX79" s="893"/>
      <c r="DY79" s="893">
        <f>DY35+DY29</f>
        <v>366</v>
      </c>
      <c r="DZ79" s="893">
        <f>DZ35+DZ29</f>
        <v>359</v>
      </c>
      <c r="EA79" s="893">
        <f>EA35+EA29</f>
        <v>413</v>
      </c>
      <c r="EB79" s="893">
        <f>EB35+EB29</f>
        <v>455</v>
      </c>
      <c r="EC79" s="1071">
        <f>SUM(DY79:EB79)</f>
        <v>1593</v>
      </c>
      <c r="ED79" s="893"/>
      <c r="EE79" s="893">
        <f>EE35+EE29</f>
        <v>477</v>
      </c>
      <c r="EF79" s="893">
        <f>EF35+EF29</f>
        <v>519</v>
      </c>
      <c r="EG79" s="893">
        <f>EG35+EG29</f>
        <v>530</v>
      </c>
      <c r="EH79" s="893">
        <f>EH35+EH29</f>
        <v>579</v>
      </c>
      <c r="EI79" s="1071">
        <f>SUM(EE79:EH79)</f>
        <v>2105</v>
      </c>
      <c r="EJ79" s="893"/>
      <c r="EK79" s="893">
        <f>EK35+EK29</f>
        <v>612</v>
      </c>
      <c r="EL79" s="893">
        <f>EL35+EL29</f>
        <v>652</v>
      </c>
      <c r="EM79" s="893">
        <f>EM35+EM29</f>
        <v>737</v>
      </c>
      <c r="EN79" s="893">
        <f>EN35+EN29</f>
        <v>860</v>
      </c>
      <c r="EO79" s="1071">
        <f>SUM(EK79:EN79)</f>
        <v>2861</v>
      </c>
      <c r="EP79" s="893"/>
      <c r="EQ79" s="893">
        <f>EQ35+EQ29</f>
        <v>986</v>
      </c>
      <c r="ER79" s="893">
        <f>ER35+ER29</f>
        <v>1087</v>
      </c>
      <c r="ES79" s="893">
        <f>ES35+ES29</f>
        <v>1258</v>
      </c>
      <c r="ET79" s="893">
        <f>ET35+ET29</f>
        <v>1410</v>
      </c>
      <c r="EU79" s="1071">
        <f>SUM(EQ79:ET79)</f>
        <v>4741</v>
      </c>
      <c r="EV79" s="893"/>
      <c r="EW79" s="893">
        <f>EW35+EW29</f>
        <v>1492</v>
      </c>
      <c r="EX79" s="893">
        <f>EX35+EX29</f>
        <v>1528</v>
      </c>
      <c r="EY79" s="893">
        <f>EY35+EY29</f>
        <v>1571</v>
      </c>
      <c r="EZ79" s="893">
        <f>EZ35+EZ29</f>
        <v>1699.1699999999998</v>
      </c>
      <c r="FA79" s="1071">
        <f>SUM(EW79:EZ79)</f>
        <v>6290.17</v>
      </c>
      <c r="FB79" s="893"/>
      <c r="FC79" s="893">
        <f>FC35+FC29</f>
        <v>1806.1068</v>
      </c>
      <c r="FD79" s="893">
        <f>FD35+FD29</f>
        <v>1911.9</v>
      </c>
      <c r="FE79" s="893">
        <f>FE35+FE29</f>
        <v>1984.835</v>
      </c>
      <c r="FF79" s="893">
        <f>FF35+FF29</f>
        <v>2127.0153</v>
      </c>
      <c r="FG79" s="1071">
        <f>SUM(FC79:FF79)</f>
        <v>7829.8571000000002</v>
      </c>
      <c r="FH79" s="893"/>
      <c r="FI79" s="893">
        <f>FI35+FI29</f>
        <v>2233.8850200000002</v>
      </c>
      <c r="FJ79" s="893">
        <f>FJ35+FJ29</f>
        <v>2351.8910000000001</v>
      </c>
      <c r="FK79" s="893">
        <f>FK35+FK29</f>
        <v>2426.09375</v>
      </c>
      <c r="FL79" s="893">
        <f>FL35+FL29</f>
        <v>2584.2304379999996</v>
      </c>
      <c r="FM79" s="1071">
        <f>SUM(FI79:FL79)</f>
        <v>9596.1002079999998</v>
      </c>
      <c r="FN79" s="226"/>
      <c r="FO79" s="1315"/>
      <c r="FP79" s="1316"/>
      <c r="FQ79" s="1316"/>
      <c r="FR79" s="1316"/>
      <c r="FS79" s="1710"/>
      <c r="FT79" s="1711"/>
      <c r="FU79" s="1711"/>
      <c r="FV79" s="1711"/>
      <c r="FW79" s="1711"/>
      <c r="FX79" s="1711"/>
      <c r="FY79" s="1711"/>
      <c r="FZ79" s="1711"/>
      <c r="GA79" s="1711"/>
      <c r="GB79" s="1711"/>
      <c r="GC79" s="243"/>
      <c r="GD79" s="243"/>
      <c r="GE79" s="243"/>
      <c r="GF79" s="243"/>
      <c r="GI79"/>
      <c r="GJ79"/>
      <c r="GK79"/>
      <c r="GL79"/>
      <c r="GM79"/>
      <c r="GN79"/>
      <c r="GP79" s="24"/>
      <c r="GQ79" s="24"/>
      <c r="GR79" s="24"/>
      <c r="GS79" s="24"/>
      <c r="GT79" s="24"/>
      <c r="GU79" s="24"/>
      <c r="GV79" s="24"/>
      <c r="GW79" s="24"/>
      <c r="GX79" s="24"/>
      <c r="GY79" s="24"/>
      <c r="GZ79" s="24"/>
      <c r="HA79" s="24"/>
      <c r="HB79" s="24"/>
      <c r="HC79" s="24"/>
      <c r="HD79" s="24"/>
      <c r="HE79" s="24"/>
      <c r="HF79" s="24"/>
      <c r="HG79" s="24"/>
      <c r="HH79" s="24"/>
      <c r="HI79" s="24"/>
      <c r="HJ79" s="24"/>
      <c r="HK79" s="24"/>
      <c r="HL79" s="24"/>
      <c r="HM79" s="24"/>
      <c r="HN79" s="24"/>
      <c r="HO79" s="24"/>
      <c r="HP79" s="24"/>
      <c r="HQ79" s="24"/>
      <c r="HR79" s="24"/>
      <c r="HS79" s="24"/>
      <c r="HT79" s="24"/>
      <c r="HU79" s="24"/>
      <c r="HV79" s="24"/>
      <c r="HW79" s="24"/>
      <c r="HX79" s="24"/>
      <c r="HY79" s="24"/>
      <c r="HZ79" s="24"/>
      <c r="IA79" s="24"/>
      <c r="IB79" s="24"/>
      <c r="IC79" s="24"/>
      <c r="ID79" s="24"/>
      <c r="IE79" s="24"/>
      <c r="IF79" s="24"/>
      <c r="IG79" s="24"/>
      <c r="IH79" s="24"/>
      <c r="II79" s="24"/>
      <c r="IJ79" s="24"/>
      <c r="IK79" s="24"/>
      <c r="IL79" s="24"/>
      <c r="IM79" s="24"/>
      <c r="IN79" s="24"/>
      <c r="IO79" s="24"/>
      <c r="IP79" s="24"/>
      <c r="IQ79" s="24"/>
      <c r="IR79" s="24"/>
      <c r="IS79" s="24"/>
      <c r="IT79" s="24"/>
      <c r="IU79" s="24"/>
      <c r="IV79" s="24"/>
      <c r="IW79" s="24"/>
      <c r="IX79" s="24"/>
      <c r="IY79" s="24"/>
      <c r="IZ79" s="24"/>
      <c r="JA79" s="24"/>
      <c r="JB79" s="24"/>
      <c r="JC79" s="24"/>
      <c r="JD79" s="24"/>
      <c r="JE79" s="24"/>
      <c r="JF79" s="24"/>
      <c r="JG79" s="24"/>
      <c r="JH79" s="24"/>
      <c r="JI79" s="24"/>
      <c r="JJ79" s="24"/>
      <c r="JK79" s="24"/>
      <c r="JL79" s="24"/>
      <c r="JM79" s="24"/>
      <c r="JN79" s="24"/>
      <c r="JO79" s="24"/>
      <c r="JP79" s="24"/>
      <c r="JQ79" s="24"/>
      <c r="JR79" s="24"/>
      <c r="JS79" s="24"/>
      <c r="JT79" s="24"/>
      <c r="JU79" s="24"/>
    </row>
    <row r="80" spans="1:281" s="37" customFormat="1" ht="10.5" hidden="1" customHeight="1" outlineLevel="1" x14ac:dyDescent="0.2">
      <c r="A80" s="1264" t="s">
        <v>669</v>
      </c>
      <c r="B80" s="1265"/>
      <c r="C80" s="1295"/>
      <c r="D80" s="1295"/>
      <c r="E80" s="1295"/>
      <c r="F80" s="1295"/>
      <c r="G80" s="1295"/>
      <c r="H80" s="1267"/>
      <c r="I80" s="1267"/>
      <c r="J80" s="1267"/>
      <c r="K80" s="1267"/>
      <c r="L80" s="1267"/>
      <c r="M80" s="1267"/>
      <c r="N80" s="1268"/>
      <c r="O80" s="1266"/>
      <c r="P80" s="1266"/>
      <c r="Q80" s="1266"/>
      <c r="R80" s="1266"/>
      <c r="S80" s="1267"/>
      <c r="T80" s="1268"/>
      <c r="U80" s="1267"/>
      <c r="V80" s="1267"/>
      <c r="W80" s="1267"/>
      <c r="X80" s="1267"/>
      <c r="Y80" s="1267"/>
      <c r="Z80" s="1268"/>
      <c r="AA80" s="1267"/>
      <c r="AB80" s="1267"/>
      <c r="AC80" s="1267"/>
      <c r="AD80" s="1267"/>
      <c r="AE80" s="1267"/>
      <c r="AF80" s="1268"/>
      <c r="AG80" s="1267"/>
      <c r="AH80" s="1267"/>
      <c r="AI80" s="1267"/>
      <c r="AJ80" s="1267"/>
      <c r="AK80" s="1267"/>
      <c r="AL80" s="1268"/>
      <c r="AM80" s="1267"/>
      <c r="AN80" s="1267"/>
      <c r="AO80" s="1267"/>
      <c r="AP80" s="1267"/>
      <c r="AQ80" s="1267"/>
      <c r="AR80" s="1268"/>
      <c r="AS80" s="1267"/>
      <c r="AT80" s="1267"/>
      <c r="AU80" s="1267"/>
      <c r="AV80" s="1267"/>
      <c r="AW80" s="1267"/>
      <c r="AX80" s="1268"/>
      <c r="AY80" s="1267"/>
      <c r="AZ80" s="1267"/>
      <c r="BA80" s="1267"/>
      <c r="BB80" s="1267"/>
      <c r="BC80" s="1267"/>
      <c r="BD80" s="1268"/>
      <c r="BE80" s="1267"/>
      <c r="BF80" s="1267"/>
      <c r="BG80" s="1267"/>
      <c r="BH80" s="1267"/>
      <c r="BI80" s="1267"/>
      <c r="BJ80" s="1268"/>
      <c r="BK80" s="1267"/>
      <c r="BL80" s="1267"/>
      <c r="BM80" s="1267"/>
      <c r="BN80" s="1267"/>
      <c r="BO80" s="1267"/>
      <c r="BP80" s="1268"/>
      <c r="BQ80" s="1267"/>
      <c r="BR80" s="1267"/>
      <c r="BS80" s="1267"/>
      <c r="BT80" s="1267"/>
      <c r="BU80" s="1267"/>
      <c r="BV80" s="1268"/>
      <c r="BW80" s="1267"/>
      <c r="BX80" s="1267"/>
      <c r="BY80" s="1267"/>
      <c r="BZ80" s="1267"/>
      <c r="CA80" s="1267"/>
      <c r="CB80" s="1268"/>
      <c r="CC80" s="1267"/>
      <c r="CD80" s="1267"/>
      <c r="CE80" s="1267"/>
      <c r="CF80" s="1267"/>
      <c r="CG80" s="1270"/>
      <c r="CH80" s="1268"/>
      <c r="CI80" s="1267"/>
      <c r="CJ80" s="1267"/>
      <c r="CK80" s="1267"/>
      <c r="CL80" s="1267"/>
      <c r="CM80" s="1270"/>
      <c r="CN80" s="1268"/>
      <c r="CO80" s="1267"/>
      <c r="CP80" s="1271"/>
      <c r="CQ80" s="1271"/>
      <c r="CR80" s="1267"/>
      <c r="CS80" s="1270"/>
      <c r="CT80" s="1268"/>
      <c r="CU80" s="1267"/>
      <c r="CV80" s="1267"/>
      <c r="CW80" s="1267"/>
      <c r="CX80" s="1267"/>
      <c r="CY80" s="1270"/>
      <c r="CZ80" s="1268"/>
      <c r="DA80" s="1267"/>
      <c r="DB80" s="1267"/>
      <c r="DC80" s="1267"/>
      <c r="DD80" s="1267"/>
      <c r="DE80" s="1270"/>
      <c r="DF80" s="1268"/>
      <c r="DG80" s="1267"/>
      <c r="DH80" s="1267"/>
      <c r="DI80" s="1267"/>
      <c r="DJ80" s="1267"/>
      <c r="DK80" s="1270"/>
      <c r="DL80" s="1268"/>
      <c r="DM80" s="1267"/>
      <c r="DN80" s="1267"/>
      <c r="DO80" s="1267"/>
      <c r="DP80" s="1267"/>
      <c r="DQ80" s="1270"/>
      <c r="DR80" s="1268"/>
      <c r="DS80" s="1271"/>
      <c r="DT80" s="1271"/>
      <c r="DU80" s="1271"/>
      <c r="DV80" s="1271"/>
      <c r="DW80" s="1286"/>
      <c r="DX80" s="1268"/>
      <c r="DY80" s="1271">
        <f>DY79/DS79-1</f>
        <v>7.3313782991202281E-2</v>
      </c>
      <c r="DZ80" s="1271">
        <f>DZ79/DT79-1</f>
        <v>4.3604651162790775E-2</v>
      </c>
      <c r="EA80" s="1271">
        <f>EA79/DU79-1</f>
        <v>0.19020172910662825</v>
      </c>
      <c r="EB80" s="1271">
        <f>EB79/DV79-1</f>
        <v>0.20370370370370372</v>
      </c>
      <c r="EC80" s="1286">
        <f>EC79/DW79-1</f>
        <v>0.12978723404255321</v>
      </c>
      <c r="ED80" s="1268"/>
      <c r="EE80" s="1271">
        <f>EE79/DY79-1</f>
        <v>0.30327868852459017</v>
      </c>
      <c r="EF80" s="1271">
        <f>EF79/DZ79-1</f>
        <v>0.44568245125348183</v>
      </c>
      <c r="EG80" s="1271">
        <f>EG79/EA79-1</f>
        <v>0.28329297820823252</v>
      </c>
      <c r="EH80" s="1271">
        <f>EH79/EB79-1</f>
        <v>0.27252747252747245</v>
      </c>
      <c r="EI80" s="1286">
        <f>EI79/EC79-1</f>
        <v>0.32140615191462651</v>
      </c>
      <c r="EJ80" s="1268"/>
      <c r="EK80" s="1271">
        <f>EK79/EE79-1</f>
        <v>0.28301886792452824</v>
      </c>
      <c r="EL80" s="1271">
        <f>EL79/EF79-1</f>
        <v>0.25626204238920991</v>
      </c>
      <c r="EM80" s="1271">
        <f>EM79/EG79-1</f>
        <v>0.39056603773584908</v>
      </c>
      <c r="EN80" s="1271">
        <f>EN79/EH79-1</f>
        <v>0.48531951640759941</v>
      </c>
      <c r="EO80" s="1286">
        <f>EO79/EI79-1</f>
        <v>0.359144893111639</v>
      </c>
      <c r="EP80" s="1268"/>
      <c r="EQ80" s="1271">
        <f>EQ79/EK79-1</f>
        <v>0.61111111111111116</v>
      </c>
      <c r="ER80" s="1271">
        <f>ER79/EL79-1</f>
        <v>0.66717791411042948</v>
      </c>
      <c r="ES80" s="1271">
        <f>ES79/EM79-1</f>
        <v>0.70691994572591588</v>
      </c>
      <c r="ET80" s="1271">
        <f>ET79/EN79-1</f>
        <v>0.63953488372093026</v>
      </c>
      <c r="EU80" s="1286">
        <f>EU79/EO79-1</f>
        <v>0.65711289758825586</v>
      </c>
      <c r="EV80" s="1268"/>
      <c r="EW80" s="1271">
        <f>EW79/EQ79-1</f>
        <v>0.51318458417849899</v>
      </c>
      <c r="EX80" s="1271">
        <f>EX79/ER79-1</f>
        <v>0.40570377184912609</v>
      </c>
      <c r="EY80" s="1271">
        <f>EY79/ES79-1</f>
        <v>0.24880763116057225</v>
      </c>
      <c r="EZ80" s="1271">
        <f>EZ79/ET79-1</f>
        <v>0.20508510638297861</v>
      </c>
      <c r="FA80" s="1286">
        <f>FA79/EU79-1</f>
        <v>0.32676017717781058</v>
      </c>
      <c r="FB80" s="1268"/>
      <c r="FC80" s="1271">
        <f>FC79/EW79-1</f>
        <v>0.21052734584450405</v>
      </c>
      <c r="FD80" s="1271">
        <f>FD79/EX79-1</f>
        <v>0.25124345549738236</v>
      </c>
      <c r="FE80" s="1271">
        <f>FE79/EY79-1</f>
        <v>0.26342138765117751</v>
      </c>
      <c r="FF80" s="1271">
        <f>FF79/EZ79-1</f>
        <v>0.25179664188986406</v>
      </c>
      <c r="FG80" s="1286">
        <f>FG79/FA79-1</f>
        <v>0.24477670714781952</v>
      </c>
      <c r="FH80" s="1268"/>
      <c r="FI80" s="1271">
        <f>FI79/FC79-1</f>
        <v>0.23685101013959975</v>
      </c>
      <c r="FJ80" s="1271">
        <f>FJ79/FD79-1</f>
        <v>0.23013285213661794</v>
      </c>
      <c r="FK80" s="1271">
        <f>FK79/FE79-1</f>
        <v>0.2223150790871784</v>
      </c>
      <c r="FL80" s="1271">
        <f>FL79/FF79-1</f>
        <v>0.21495620553364114</v>
      </c>
      <c r="FM80" s="1286">
        <f>FM79/FG79-1</f>
        <v>0.22557794930893427</v>
      </c>
      <c r="FN80" s="1123"/>
      <c r="FO80" s="235"/>
      <c r="FP80" s="236"/>
      <c r="FQ80" s="236"/>
      <c r="FR80" s="236"/>
      <c r="FS80" s="316"/>
      <c r="FT80" s="236"/>
      <c r="FU80" s="236"/>
      <c r="FV80" s="236"/>
      <c r="FW80" s="236"/>
      <c r="FX80" s="236"/>
      <c r="FY80" s="236"/>
      <c r="FZ80" s="236"/>
      <c r="GA80" s="236"/>
      <c r="GB80" s="236"/>
      <c r="GC80" s="236"/>
      <c r="GD80" s="236"/>
      <c r="GE80" s="236"/>
      <c r="GF80" s="236"/>
      <c r="GI80"/>
      <c r="GJ80"/>
      <c r="GK80"/>
      <c r="GL80"/>
      <c r="GM80"/>
      <c r="GN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</row>
    <row r="81" spans="1:281" s="37" customFormat="1" ht="10.5" hidden="1" customHeight="1" outlineLevel="1" x14ac:dyDescent="0.2">
      <c r="A81" s="1272" t="s">
        <v>1101</v>
      </c>
      <c r="B81" s="1273"/>
      <c r="C81" s="1274"/>
      <c r="D81" s="1274"/>
      <c r="E81" s="1274"/>
      <c r="F81" s="1274"/>
      <c r="G81" s="1274"/>
      <c r="H81" s="1274"/>
      <c r="I81" s="1274"/>
      <c r="J81" s="1274"/>
      <c r="K81" s="1274"/>
      <c r="L81" s="1274"/>
      <c r="M81" s="1274"/>
      <c r="N81" s="1275"/>
      <c r="O81" s="1274"/>
      <c r="P81" s="1277"/>
      <c r="Q81" s="1277"/>
      <c r="R81" s="1277"/>
      <c r="S81" s="1278"/>
      <c r="T81" s="1275"/>
      <c r="U81" s="1277"/>
      <c r="V81" s="1277"/>
      <c r="W81" s="1277"/>
      <c r="X81" s="1277"/>
      <c r="Y81" s="1278"/>
      <c r="Z81" s="1275"/>
      <c r="AA81" s="1277"/>
      <c r="AB81" s="1277"/>
      <c r="AC81" s="1277"/>
      <c r="AD81" s="1277"/>
      <c r="AE81" s="1278"/>
      <c r="AF81" s="1275"/>
      <c r="AG81" s="1277"/>
      <c r="AH81" s="1277"/>
      <c r="AI81" s="1277"/>
      <c r="AJ81" s="1277"/>
      <c r="AK81" s="1278"/>
      <c r="AL81" s="1275"/>
      <c r="AM81" s="1277"/>
      <c r="AN81" s="1277"/>
      <c r="AO81" s="1277"/>
      <c r="AP81" s="1277"/>
      <c r="AQ81" s="1278"/>
      <c r="AR81" s="1275"/>
      <c r="AS81" s="1277"/>
      <c r="AT81" s="1277"/>
      <c r="AU81" s="1277"/>
      <c r="AV81" s="1277"/>
      <c r="AW81" s="1278"/>
      <c r="AX81" s="1275"/>
      <c r="AY81" s="1277"/>
      <c r="AZ81" s="1277"/>
      <c r="BA81" s="1277"/>
      <c r="BB81" s="1277"/>
      <c r="BC81" s="1278"/>
      <c r="BD81" s="1275"/>
      <c r="BE81" s="1277"/>
      <c r="BF81" s="1277"/>
      <c r="BG81" s="1277"/>
      <c r="BH81" s="1277"/>
      <c r="BI81" s="1278"/>
      <c r="BJ81" s="1275"/>
      <c r="BK81" s="1277"/>
      <c r="BL81" s="1277"/>
      <c r="BM81" s="1277"/>
      <c r="BN81" s="1277"/>
      <c r="BO81" s="1278"/>
      <c r="BP81" s="1275"/>
      <c r="BQ81" s="1277"/>
      <c r="BR81" s="1277"/>
      <c r="BS81" s="1277"/>
      <c r="BT81" s="1277"/>
      <c r="BU81" s="1278"/>
      <c r="BV81" s="1275"/>
      <c r="BW81" s="1277"/>
      <c r="BX81" s="1277"/>
      <c r="BY81" s="1277"/>
      <c r="BZ81" s="1277"/>
      <c r="CA81" s="1278"/>
      <c r="CB81" s="1275"/>
      <c r="CC81" s="1277"/>
      <c r="CD81" s="1277"/>
      <c r="CE81" s="1277"/>
      <c r="CF81" s="1277"/>
      <c r="CG81" s="1279"/>
      <c r="CH81" s="1275"/>
      <c r="CI81" s="1277"/>
      <c r="CJ81" s="1277"/>
      <c r="CK81" s="1277"/>
      <c r="CL81" s="1277"/>
      <c r="CM81" s="1279"/>
      <c r="CN81" s="1275"/>
      <c r="CO81" s="1277"/>
      <c r="CP81" s="1277"/>
      <c r="CQ81" s="1277"/>
      <c r="CR81" s="1277"/>
      <c r="CS81" s="1279"/>
      <c r="CT81" s="1275"/>
      <c r="CU81" s="1277"/>
      <c r="CV81" s="1277"/>
      <c r="CW81" s="1277"/>
      <c r="CX81" s="1277"/>
      <c r="CY81" s="1279"/>
      <c r="CZ81" s="1275"/>
      <c r="DA81" s="1277"/>
      <c r="DB81" s="1277"/>
      <c r="DC81" s="1277"/>
      <c r="DD81" s="1277"/>
      <c r="DE81" s="1279"/>
      <c r="DF81" s="1275"/>
      <c r="DG81" s="1277"/>
      <c r="DH81" s="1277"/>
      <c r="DI81" s="1277"/>
      <c r="DJ81" s="1277"/>
      <c r="DK81" s="1279"/>
      <c r="DL81" s="1275"/>
      <c r="DM81" s="1277"/>
      <c r="DN81" s="1277"/>
      <c r="DO81" s="1277"/>
      <c r="DP81" s="1277"/>
      <c r="DQ81" s="1279"/>
      <c r="DR81" s="1275"/>
      <c r="DS81" s="1740"/>
      <c r="DT81" s="1740">
        <f>DT79/DS79-1</f>
        <v>8.7976539589442737E-3</v>
      </c>
      <c r="DU81" s="1740">
        <f>DU79/DT79-1</f>
        <v>8.720930232558155E-3</v>
      </c>
      <c r="DV81" s="1740">
        <f>DV79/DU79-1</f>
        <v>8.9337175792507217E-2</v>
      </c>
      <c r="DW81" s="1279"/>
      <c r="DX81" s="1275"/>
      <c r="DY81" s="1740">
        <f>DY79/DV79-1</f>
        <v>-3.1746031746031744E-2</v>
      </c>
      <c r="DZ81" s="1740">
        <f>DZ79/DY79-1</f>
        <v>-1.9125683060109311E-2</v>
      </c>
      <c r="EA81" s="1740">
        <f>EA79/DZ79-1</f>
        <v>0.15041782729805009</v>
      </c>
      <c r="EB81" s="1740">
        <f>EB79/EA79-1</f>
        <v>0.10169491525423724</v>
      </c>
      <c r="EC81" s="1279"/>
      <c r="ED81" s="1275"/>
      <c r="EE81" s="1740">
        <f>EE79/EB79-1</f>
        <v>4.8351648351648402E-2</v>
      </c>
      <c r="EF81" s="1740">
        <f>EF79/EE79-1</f>
        <v>8.8050314465408785E-2</v>
      </c>
      <c r="EG81" s="1740">
        <f>EG79/EF79-1</f>
        <v>2.1194605009633882E-2</v>
      </c>
      <c r="EH81" s="1740">
        <f>EH79/EG79-1</f>
        <v>9.2452830188679336E-2</v>
      </c>
      <c r="EI81" s="1279"/>
      <c r="EJ81" s="1275"/>
      <c r="EK81" s="1740">
        <f>EK79/EH79-1</f>
        <v>5.6994818652849721E-2</v>
      </c>
      <c r="EL81" s="1740">
        <f>EL79/EK79-1</f>
        <v>6.5359477124182996E-2</v>
      </c>
      <c r="EM81" s="1740">
        <f>EM79/EL79-1</f>
        <v>0.13036809815950923</v>
      </c>
      <c r="EN81" s="1740">
        <f>EN79/EM79-1</f>
        <v>0.16689280868385348</v>
      </c>
      <c r="EO81" s="1279"/>
      <c r="EP81" s="1275"/>
      <c r="EQ81" s="1740">
        <f>EQ79/EN79-1</f>
        <v>0.14651162790697669</v>
      </c>
      <c r="ER81" s="1740">
        <f>ER79/EQ79-1</f>
        <v>0.10243407707910746</v>
      </c>
      <c r="ES81" s="1740">
        <f>ES79/ER79-1</f>
        <v>0.15731370745170192</v>
      </c>
      <c r="ET81" s="1740">
        <f>ET79/ES79-1</f>
        <v>0.12082670906200321</v>
      </c>
      <c r="EU81" s="1279"/>
      <c r="EV81" s="1275"/>
      <c r="EW81" s="1740">
        <f>EW79/ET79-1</f>
        <v>5.8156028368794299E-2</v>
      </c>
      <c r="EX81" s="1740">
        <f>EX79/EW79-1</f>
        <v>2.4128686327077764E-2</v>
      </c>
      <c r="EY81" s="1740">
        <f>EY79/EX79-1</f>
        <v>2.8141361256544428E-2</v>
      </c>
      <c r="EZ81" s="1740">
        <f>EZ79/EY79-1</f>
        <v>8.158497772119655E-2</v>
      </c>
      <c r="FA81" s="1279"/>
      <c r="FB81" s="1275"/>
      <c r="FC81" s="1740">
        <f>FC79/EZ79-1</f>
        <v>6.2934726954925191E-2</v>
      </c>
      <c r="FD81" s="1740">
        <f>FD79/FC79-1</f>
        <v>5.8575273621692903E-2</v>
      </c>
      <c r="FE81" s="1740">
        <f>FE79/FD79-1</f>
        <v>3.814791568596676E-2</v>
      </c>
      <c r="FF81" s="1740">
        <f>FF79/FE79-1</f>
        <v>7.1633309569813175E-2</v>
      </c>
      <c r="FG81" s="1279"/>
      <c r="FH81" s="1275"/>
      <c r="FI81" s="1740">
        <f>FI79/FF79-1</f>
        <v>5.0243982730166614E-2</v>
      </c>
      <c r="FJ81" s="1740">
        <f>FJ79/FI79-1</f>
        <v>5.2825449359967358E-2</v>
      </c>
      <c r="FK81" s="1740">
        <f>FK79/FJ79-1</f>
        <v>3.1550250415516734E-2</v>
      </c>
      <c r="FL81" s="1740">
        <f>FL79/FK79-1</f>
        <v>6.5181606440394058E-2</v>
      </c>
      <c r="FM81" s="1279"/>
      <c r="FN81" s="1123"/>
      <c r="FO81" s="241"/>
      <c r="FP81" s="238"/>
      <c r="FQ81" s="238"/>
      <c r="FR81" s="238"/>
      <c r="FS81" s="241"/>
      <c r="FT81" s="230"/>
      <c r="FU81" s="230"/>
      <c r="FV81" s="230"/>
      <c r="FW81" s="230"/>
      <c r="FX81" s="230"/>
      <c r="FY81" s="230"/>
      <c r="FZ81" s="230"/>
      <c r="GA81" s="230"/>
      <c r="GB81" s="230"/>
      <c r="GC81" s="33"/>
      <c r="GD81" s="33"/>
      <c r="GE81" s="33"/>
      <c r="GF81" s="33"/>
      <c r="GI81"/>
      <c r="GJ81"/>
      <c r="GK81"/>
      <c r="GL81"/>
      <c r="GM81"/>
      <c r="GN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</row>
    <row r="82" spans="1:281" s="33" customFormat="1" ht="0.95" customHeight="1" collapsed="1" x14ac:dyDescent="0.2">
      <c r="A82" s="145"/>
      <c r="B82" s="949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119"/>
      <c r="BD82" s="34"/>
      <c r="BE82" s="34"/>
      <c r="BF82" s="34"/>
      <c r="BG82" s="34"/>
      <c r="BH82" s="34"/>
      <c r="BI82" s="119"/>
      <c r="BJ82" s="34"/>
      <c r="BK82" s="34"/>
      <c r="BL82" s="34"/>
      <c r="BM82" s="34"/>
      <c r="BN82" s="34"/>
      <c r="BO82" s="119"/>
      <c r="BP82" s="34"/>
      <c r="BU82" s="119"/>
      <c r="BV82" s="34"/>
      <c r="CA82" s="34"/>
      <c r="CB82" s="34"/>
      <c r="CC82" s="243"/>
      <c r="CD82" s="243"/>
      <c r="CE82" s="243"/>
      <c r="CF82" s="243"/>
      <c r="CG82" s="171"/>
      <c r="CH82" s="244"/>
      <c r="CI82" s="243"/>
      <c r="CJ82" s="243"/>
      <c r="CK82" s="243"/>
      <c r="CL82" s="243"/>
      <c r="CM82" s="171"/>
      <c r="CN82" s="244"/>
      <c r="CO82" s="243"/>
      <c r="CP82" s="243"/>
      <c r="CQ82" s="243"/>
      <c r="CR82" s="243"/>
      <c r="CS82" s="171"/>
      <c r="CT82" s="244"/>
      <c r="CU82" s="243"/>
      <c r="CV82" s="243"/>
      <c r="CW82" s="243"/>
      <c r="CX82" s="243"/>
      <c r="CY82" s="171"/>
      <c r="CZ82" s="244"/>
      <c r="DA82" s="243"/>
      <c r="DB82" s="243"/>
      <c r="DC82" s="243"/>
      <c r="DD82" s="243"/>
      <c r="DE82" s="171"/>
      <c r="DF82" s="244"/>
      <c r="DG82" s="243"/>
      <c r="DH82" s="243"/>
      <c r="DI82" s="243"/>
      <c r="DJ82" s="243"/>
      <c r="DK82" s="171"/>
      <c r="DL82" s="244"/>
      <c r="DM82" s="243"/>
      <c r="DN82" s="243"/>
      <c r="DO82" s="243"/>
      <c r="DP82" s="243"/>
      <c r="DQ82" s="171"/>
      <c r="DR82" s="244"/>
      <c r="DS82" s="243"/>
      <c r="DT82" s="243"/>
      <c r="DU82" s="243"/>
      <c r="DV82" s="243"/>
      <c r="DW82" s="171"/>
      <c r="DX82" s="244"/>
      <c r="DY82" s="243"/>
      <c r="DZ82" s="243"/>
      <c r="EA82" s="243"/>
      <c r="EB82" s="243"/>
      <c r="EC82" s="171"/>
      <c r="ED82" s="244"/>
      <c r="EE82" s="243"/>
      <c r="EF82" s="243"/>
      <c r="EG82" s="243"/>
      <c r="EH82" s="243"/>
      <c r="EI82" s="171"/>
      <c r="EJ82" s="244"/>
      <c r="EK82" s="243"/>
      <c r="EL82" s="243"/>
      <c r="EM82" s="243"/>
      <c r="EN82" s="243"/>
      <c r="EO82" s="171"/>
      <c r="EP82" s="244"/>
      <c r="EQ82" s="243"/>
      <c r="ER82" s="243"/>
      <c r="ES82" s="243"/>
      <c r="ET82" s="243"/>
      <c r="EU82" s="171"/>
      <c r="EV82" s="244"/>
      <c r="EW82" s="243"/>
      <c r="EX82" s="243"/>
      <c r="EY82" s="243"/>
      <c r="EZ82" s="243"/>
      <c r="FA82" s="171"/>
      <c r="FB82" s="244"/>
      <c r="FC82" s="243"/>
      <c r="FD82" s="243"/>
      <c r="FE82" s="243"/>
      <c r="FF82" s="243"/>
      <c r="FG82" s="171"/>
      <c r="FH82" s="244"/>
      <c r="FI82" s="243"/>
      <c r="FJ82" s="243"/>
      <c r="FK82" s="243"/>
      <c r="FL82" s="243"/>
      <c r="FM82" s="171"/>
      <c r="FN82" s="226"/>
      <c r="FO82" s="227"/>
      <c r="FS82" s="227"/>
      <c r="GI82"/>
      <c r="GJ82"/>
      <c r="GK82"/>
      <c r="GL82"/>
      <c r="GM82"/>
      <c r="GN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</row>
    <row r="83" spans="1:281" s="33" customFormat="1" ht="10.5" hidden="1" customHeight="1" outlineLevel="1" x14ac:dyDescent="0.2">
      <c r="A83" s="962" t="s">
        <v>1170</v>
      </c>
      <c r="B83" s="1314"/>
      <c r="C83" s="1153"/>
      <c r="D83" s="1153"/>
      <c r="E83" s="1153"/>
      <c r="F83" s="1153"/>
      <c r="G83" s="1150"/>
      <c r="H83" s="1150"/>
      <c r="I83" s="93"/>
      <c r="J83" s="1150"/>
      <c r="K83" s="1150"/>
      <c r="L83" s="1150"/>
      <c r="M83" s="1150"/>
      <c r="N83" s="1150"/>
      <c r="O83" s="1150"/>
      <c r="P83" s="1150"/>
      <c r="Q83" s="1150"/>
      <c r="R83" s="1150"/>
      <c r="S83" s="1150"/>
      <c r="T83" s="1150"/>
      <c r="U83" s="1150"/>
      <c r="V83" s="1150"/>
      <c r="W83" s="1150"/>
      <c r="X83" s="1150"/>
      <c r="Y83" s="1150"/>
      <c r="Z83" s="1150"/>
      <c r="AA83" s="93"/>
      <c r="AB83" s="93"/>
      <c r="AC83" s="93"/>
      <c r="AD83" s="93"/>
      <c r="AE83" s="266"/>
      <c r="AF83" s="1150"/>
      <c r="AG83" s="93"/>
      <c r="AH83" s="93"/>
      <c r="AI83" s="93"/>
      <c r="AJ83" s="93"/>
      <c r="AK83" s="266"/>
      <c r="AL83" s="1150"/>
      <c r="AM83" s="93"/>
      <c r="AN83" s="93"/>
      <c r="AO83" s="93"/>
      <c r="AP83" s="93"/>
      <c r="AQ83" s="266"/>
      <c r="AR83" s="1150"/>
      <c r="AS83" s="93"/>
      <c r="AT83" s="93"/>
      <c r="AU83" s="93"/>
      <c r="AV83" s="93"/>
      <c r="AW83" s="266"/>
      <c r="AX83" s="1150"/>
      <c r="AY83" s="93"/>
      <c r="AZ83" s="93"/>
      <c r="BA83" s="93"/>
      <c r="BB83" s="93"/>
      <c r="BC83" s="266"/>
      <c r="BD83" s="1150"/>
      <c r="BE83" s="93"/>
      <c r="BF83" s="93"/>
      <c r="BG83" s="93"/>
      <c r="BH83" s="93"/>
      <c r="BI83" s="266"/>
      <c r="BJ83" s="1150"/>
      <c r="BK83" s="93"/>
      <c r="BL83" s="93"/>
      <c r="BM83" s="93"/>
      <c r="BN83" s="93"/>
      <c r="BO83" s="266"/>
      <c r="BP83" s="1150"/>
      <c r="BQ83" s="93"/>
      <c r="BR83" s="93"/>
      <c r="BS83" s="93"/>
      <c r="BT83" s="93"/>
      <c r="BU83" s="266"/>
      <c r="BV83" s="93"/>
      <c r="BW83" s="93"/>
      <c r="BX83" s="93"/>
      <c r="BY83" s="93"/>
      <c r="BZ83" s="93"/>
      <c r="CA83" s="266"/>
      <c r="CB83" s="93"/>
      <c r="CC83" s="893"/>
      <c r="CD83" s="893"/>
      <c r="CE83" s="893"/>
      <c r="CF83" s="893"/>
      <c r="CG83" s="285"/>
      <c r="CH83" s="893"/>
      <c r="CI83" s="893"/>
      <c r="CJ83" s="893"/>
      <c r="CK83" s="893"/>
      <c r="CL83" s="893"/>
      <c r="CM83" s="285"/>
      <c r="CN83" s="893"/>
      <c r="CO83" s="893"/>
      <c r="CP83" s="893"/>
      <c r="CQ83" s="893"/>
      <c r="CR83" s="893"/>
      <c r="CS83" s="285"/>
      <c r="CT83" s="893"/>
      <c r="CU83" s="893"/>
      <c r="CV83" s="893"/>
      <c r="CW83" s="893"/>
      <c r="CX83" s="893"/>
      <c r="CY83" s="1071"/>
      <c r="CZ83" s="893"/>
      <c r="DA83" s="893"/>
      <c r="DB83" s="893"/>
      <c r="DC83" s="893"/>
      <c r="DD83" s="893"/>
      <c r="DE83" s="1071"/>
      <c r="DF83" s="893"/>
      <c r="DG83" s="893"/>
      <c r="DH83" s="893"/>
      <c r="DI83" s="893"/>
      <c r="DJ83" s="893"/>
      <c r="DK83" s="1071"/>
      <c r="DL83" s="893"/>
      <c r="DM83" s="893"/>
      <c r="DN83" s="893"/>
      <c r="DO83" s="893"/>
      <c r="DP83" s="893"/>
      <c r="DQ83" s="1071"/>
      <c r="DR83" s="893"/>
      <c r="DS83" s="893">
        <f>SUM(DS17,DS46,DS60,DS67)</f>
        <v>6873</v>
      </c>
      <c r="DT83" s="893">
        <f>SUM(DT17,DT46,DT60,DT67)</f>
        <v>7759</v>
      </c>
      <c r="DU83" s="893">
        <f>SUM(DU17,DU46,DU60,DU67)</f>
        <v>7688</v>
      </c>
      <c r="DV83" s="893">
        <f>SUM(DV17,DV46,DV60,DV67)</f>
        <v>9608</v>
      </c>
      <c r="DW83" s="1071">
        <f>SUM(DS83:DV83)</f>
        <v>31928</v>
      </c>
      <c r="DX83" s="893"/>
      <c r="DY83" s="893">
        <f>SUM(DY17,DY46,DY60,DY67)</f>
        <v>7097</v>
      </c>
      <c r="DZ83" s="893">
        <f>SUM(DZ17,DZ46,DZ60,DZ67)</f>
        <v>7965</v>
      </c>
      <c r="EA83" s="893">
        <f>SUM(EA17,EA46,EA60,EA67)</f>
        <v>8018</v>
      </c>
      <c r="EB83" s="893">
        <f>SUM(EB17,EB46,EB60,EB67)</f>
        <v>9931</v>
      </c>
      <c r="EC83" s="1071">
        <f>SUM(DY83:EB83)</f>
        <v>33011</v>
      </c>
      <c r="ED83" s="893"/>
      <c r="EE83" s="893">
        <f>SUM(EE17,EE46,EE60,EE67)</f>
        <v>7267</v>
      </c>
      <c r="EF83" s="893">
        <f>SUM(EF17,EF46,EF60,EF67)</f>
        <v>8154</v>
      </c>
      <c r="EG83" s="893">
        <f>SUM(EG17,EG46,EG60,EG67)</f>
        <v>7946</v>
      </c>
      <c r="EH83" s="893">
        <f>SUM(EH17,EH46,EH60,EH67)</f>
        <v>9234</v>
      </c>
      <c r="EI83" s="1071">
        <f>SUM(EE83:EH83)</f>
        <v>32601</v>
      </c>
      <c r="EJ83" s="893"/>
      <c r="EK83" s="893">
        <f>SUM(EK17,EK46,EK60,EK67)</f>
        <v>6977</v>
      </c>
      <c r="EL83" s="893">
        <f>SUM(EL17,EL46,EL60,EL67)</f>
        <v>7483</v>
      </c>
      <c r="EM83" s="893">
        <f>SUM(EM17,EM46,EM60,EM67)</f>
        <v>7484</v>
      </c>
      <c r="EN83" s="893">
        <f>SUM(EN17,EN46,EN60,EN67)</f>
        <v>8864</v>
      </c>
      <c r="EO83" s="1071">
        <f>SUM(EK83:EN83)</f>
        <v>30808</v>
      </c>
      <c r="EP83" s="893"/>
      <c r="EQ83" s="893">
        <f>SUM(EQ17,EQ46,EQ60,EQ67)</f>
        <v>6819</v>
      </c>
      <c r="ER83" s="893">
        <f>SUM(ER17,ER46,ER60,ER67)</f>
        <v>7139</v>
      </c>
      <c r="ES83" s="893">
        <f>SUM(ES17,ES46,ES60,ES67)</f>
        <v>7204</v>
      </c>
      <c r="ET83" s="893">
        <f>SUM(ET17,ET46,ET60,ET67)</f>
        <v>8637</v>
      </c>
      <c r="EU83" s="1071">
        <f>SUM(EQ83:ET83)</f>
        <v>29799</v>
      </c>
      <c r="EV83" s="893"/>
      <c r="EW83" s="893">
        <f>SUM(EW17,EW46,EW60,EW67)</f>
        <v>6860</v>
      </c>
      <c r="EX83" s="893">
        <f>SUM(EX17,EX46,EX60,EX67)</f>
        <v>7246</v>
      </c>
      <c r="EY83" s="893">
        <f>SUM(EY17,EY46,EY60,EY67)</f>
        <v>7409</v>
      </c>
      <c r="EZ83" s="893">
        <f t="shared" ref="EZ83" si="30">SUM(EZ17,EZ46,EZ56)</f>
        <v>8578.622666097719</v>
      </c>
      <c r="FA83" s="1071">
        <f>SUM(EW83:EZ83)</f>
        <v>30093.622666097719</v>
      </c>
      <c r="FB83" s="893"/>
      <c r="FC83" s="893">
        <f>SUM(FC17,FC46,FC56)</f>
        <v>6883.2878591173694</v>
      </c>
      <c r="FD83" s="893">
        <f t="shared" ref="FD83:FF83" si="31">SUM(FD17,FD46,FD56)</f>
        <v>7213.9770320631806</v>
      </c>
      <c r="FE83" s="893">
        <f t="shared" si="31"/>
        <v>7311.0004915600275</v>
      </c>
      <c r="FF83" s="893">
        <f t="shared" si="31"/>
        <v>8364.5818902487244</v>
      </c>
      <c r="FG83" s="1071">
        <f>SUM(FC83:FF83)</f>
        <v>29772.847272989304</v>
      </c>
      <c r="FH83" s="893"/>
      <c r="FI83" s="893">
        <f>SUM(FI17,FI46,FI56)</f>
        <v>6845.7095123466424</v>
      </c>
      <c r="FJ83" s="893">
        <f t="shared" ref="FJ83:FL83" si="32">SUM(FJ17,FJ46,FJ56)</f>
        <v>7134.9626032627484</v>
      </c>
      <c r="FK83" s="893">
        <f t="shared" si="32"/>
        <v>7217.914368755788</v>
      </c>
      <c r="FL83" s="893">
        <f t="shared" si="32"/>
        <v>8180.2892476089391</v>
      </c>
      <c r="FM83" s="1071">
        <f>SUM(FI83:FL83)</f>
        <v>29378.87573197412</v>
      </c>
      <c r="FN83" s="226"/>
      <c r="FO83" s="1315"/>
      <c r="FP83" s="1316"/>
      <c r="FQ83" s="1316"/>
      <c r="FR83" s="1316"/>
      <c r="FS83" s="1710"/>
      <c r="FT83" s="1711"/>
      <c r="FU83" s="1711"/>
      <c r="FV83" s="1711"/>
      <c r="FW83" s="1711"/>
      <c r="FX83" s="1711"/>
      <c r="FY83" s="1711"/>
      <c r="FZ83" s="1711"/>
      <c r="GA83" s="1711"/>
      <c r="GB83" s="1711"/>
      <c r="GC83" s="243"/>
      <c r="GD83" s="243"/>
      <c r="GE83" s="243"/>
      <c r="GF83" s="243"/>
      <c r="GI83"/>
      <c r="GJ83"/>
      <c r="GK83"/>
      <c r="GL83"/>
      <c r="GM83"/>
      <c r="GN83"/>
      <c r="GP83" s="24"/>
      <c r="GQ83" s="24"/>
      <c r="GR83" s="24"/>
      <c r="GS83" s="24"/>
      <c r="GT83" s="24"/>
      <c r="GU83" s="24"/>
      <c r="GV83" s="24"/>
      <c r="GW83" s="24"/>
      <c r="GX83" s="24"/>
      <c r="GY83" s="24"/>
      <c r="GZ83" s="24"/>
      <c r="HA83" s="24"/>
      <c r="HB83" s="24"/>
      <c r="HC83" s="24"/>
      <c r="HD83" s="24"/>
      <c r="HE83" s="24"/>
      <c r="HF83" s="24"/>
      <c r="HG83" s="24"/>
      <c r="HH83" s="24"/>
      <c r="HI83" s="24"/>
      <c r="HJ83" s="24"/>
      <c r="HK83" s="24"/>
      <c r="HL83" s="24"/>
      <c r="HM83" s="24"/>
      <c r="HN83" s="24"/>
      <c r="HO83" s="24"/>
      <c r="HP83" s="24"/>
      <c r="HQ83" s="24"/>
      <c r="HR83" s="24"/>
      <c r="HS83" s="24"/>
      <c r="HT83" s="24"/>
      <c r="HU83" s="24"/>
      <c r="HV83" s="24"/>
      <c r="HW83" s="24"/>
      <c r="HX83" s="24"/>
      <c r="HY83" s="24"/>
      <c r="HZ83" s="24"/>
      <c r="IA83" s="24"/>
      <c r="IB83" s="24"/>
      <c r="IC83" s="24"/>
      <c r="ID83" s="24"/>
      <c r="IE83" s="24"/>
      <c r="IF83" s="24"/>
      <c r="IG83" s="24"/>
      <c r="IH83" s="24"/>
      <c r="II83" s="24"/>
      <c r="IJ83" s="24"/>
      <c r="IK83" s="24"/>
      <c r="IL83" s="24"/>
      <c r="IM83" s="24"/>
      <c r="IN83" s="24"/>
      <c r="IO83" s="24"/>
      <c r="IP83" s="24"/>
      <c r="IQ83" s="24"/>
      <c r="IR83" s="24"/>
      <c r="IS83" s="24"/>
      <c r="IT83" s="24"/>
      <c r="IU83" s="24"/>
      <c r="IV83" s="24"/>
      <c r="IW83" s="24"/>
      <c r="IX83" s="24"/>
      <c r="IY83" s="24"/>
      <c r="IZ83" s="24"/>
      <c r="JA83" s="24"/>
      <c r="JB83" s="24"/>
      <c r="JC83" s="24"/>
      <c r="JD83" s="24"/>
      <c r="JE83" s="24"/>
      <c r="JF83" s="24"/>
      <c r="JG83" s="24"/>
      <c r="JH83" s="24"/>
      <c r="JI83" s="24"/>
      <c r="JJ83" s="24"/>
      <c r="JK83" s="24"/>
      <c r="JL83" s="24"/>
      <c r="JM83" s="24"/>
      <c r="JN83" s="24"/>
      <c r="JO83" s="24"/>
      <c r="JP83" s="24"/>
      <c r="JQ83" s="24"/>
      <c r="JR83" s="24"/>
      <c r="JS83" s="24"/>
      <c r="JT83" s="24"/>
      <c r="JU83" s="24"/>
    </row>
    <row r="84" spans="1:281" s="37" customFormat="1" ht="10.5" hidden="1" customHeight="1" outlineLevel="1" x14ac:dyDescent="0.2">
      <c r="A84" s="1264" t="s">
        <v>669</v>
      </c>
      <c r="B84" s="1265"/>
      <c r="C84" s="1295"/>
      <c r="D84" s="1295"/>
      <c r="E84" s="1295"/>
      <c r="F84" s="1295"/>
      <c r="G84" s="1295"/>
      <c r="H84" s="1267"/>
      <c r="I84" s="1267"/>
      <c r="J84" s="1267"/>
      <c r="K84" s="1267"/>
      <c r="L84" s="1267"/>
      <c r="M84" s="1267"/>
      <c r="N84" s="1268"/>
      <c r="O84" s="1266"/>
      <c r="P84" s="1266"/>
      <c r="Q84" s="1266"/>
      <c r="R84" s="1266"/>
      <c r="S84" s="1267"/>
      <c r="T84" s="1268"/>
      <c r="U84" s="1267"/>
      <c r="V84" s="1267"/>
      <c r="W84" s="1267"/>
      <c r="X84" s="1267"/>
      <c r="Y84" s="1267"/>
      <c r="Z84" s="1268"/>
      <c r="AA84" s="1267"/>
      <c r="AB84" s="1267"/>
      <c r="AC84" s="1267"/>
      <c r="AD84" s="1267"/>
      <c r="AE84" s="1267"/>
      <c r="AF84" s="1268"/>
      <c r="AG84" s="1267"/>
      <c r="AH84" s="1267"/>
      <c r="AI84" s="1267"/>
      <c r="AJ84" s="1267"/>
      <c r="AK84" s="1267"/>
      <c r="AL84" s="1268"/>
      <c r="AM84" s="1267"/>
      <c r="AN84" s="1267"/>
      <c r="AO84" s="1267"/>
      <c r="AP84" s="1267"/>
      <c r="AQ84" s="1267"/>
      <c r="AR84" s="1268"/>
      <c r="AS84" s="1267"/>
      <c r="AT84" s="1267"/>
      <c r="AU84" s="1267"/>
      <c r="AV84" s="1267"/>
      <c r="AW84" s="1267"/>
      <c r="AX84" s="1268"/>
      <c r="AY84" s="1267"/>
      <c r="AZ84" s="1267"/>
      <c r="BA84" s="1267"/>
      <c r="BB84" s="1267"/>
      <c r="BC84" s="1267"/>
      <c r="BD84" s="1268"/>
      <c r="BE84" s="1267"/>
      <c r="BF84" s="1267"/>
      <c r="BG84" s="1267"/>
      <c r="BH84" s="1267"/>
      <c r="BI84" s="1267"/>
      <c r="BJ84" s="1268"/>
      <c r="BK84" s="1267"/>
      <c r="BL84" s="1267"/>
      <c r="BM84" s="1267"/>
      <c r="BN84" s="1267"/>
      <c r="BO84" s="1267"/>
      <c r="BP84" s="1268"/>
      <c r="BQ84" s="1267"/>
      <c r="BR84" s="1267"/>
      <c r="BS84" s="1267"/>
      <c r="BT84" s="1267"/>
      <c r="BU84" s="1267"/>
      <c r="BV84" s="1268"/>
      <c r="BW84" s="1267"/>
      <c r="BX84" s="1267"/>
      <c r="BY84" s="1267"/>
      <c r="BZ84" s="1267"/>
      <c r="CA84" s="1267"/>
      <c r="CB84" s="1268"/>
      <c r="CC84" s="1267"/>
      <c r="CD84" s="1267"/>
      <c r="CE84" s="1267"/>
      <c r="CF84" s="1267"/>
      <c r="CG84" s="1270"/>
      <c r="CH84" s="1268"/>
      <c r="CI84" s="1267"/>
      <c r="CJ84" s="1267"/>
      <c r="CK84" s="1267"/>
      <c r="CL84" s="1267"/>
      <c r="CM84" s="1270"/>
      <c r="CN84" s="1268"/>
      <c r="CO84" s="1267"/>
      <c r="CP84" s="1271"/>
      <c r="CQ84" s="1271"/>
      <c r="CR84" s="1267"/>
      <c r="CS84" s="1270"/>
      <c r="CT84" s="1268"/>
      <c r="CU84" s="1267"/>
      <c r="CV84" s="1267"/>
      <c r="CW84" s="1267"/>
      <c r="CX84" s="1267"/>
      <c r="CY84" s="1270"/>
      <c r="CZ84" s="1268"/>
      <c r="DA84" s="1267"/>
      <c r="DB84" s="1267"/>
      <c r="DC84" s="1267"/>
      <c r="DD84" s="1267"/>
      <c r="DE84" s="1270"/>
      <c r="DF84" s="1268"/>
      <c r="DG84" s="1267"/>
      <c r="DH84" s="1267"/>
      <c r="DI84" s="1267"/>
      <c r="DJ84" s="1267"/>
      <c r="DK84" s="1270"/>
      <c r="DL84" s="1268"/>
      <c r="DM84" s="1267"/>
      <c r="DN84" s="1267"/>
      <c r="DO84" s="1267"/>
      <c r="DP84" s="1267"/>
      <c r="DQ84" s="1270"/>
      <c r="DR84" s="1268"/>
      <c r="DS84" s="1271"/>
      <c r="DT84" s="1271"/>
      <c r="DU84" s="1271"/>
      <c r="DV84" s="1271"/>
      <c r="DW84" s="1286"/>
      <c r="DX84" s="1268"/>
      <c r="DY84" s="1271">
        <f>DY83/DS83-1</f>
        <v>3.2591299287065389E-2</v>
      </c>
      <c r="DZ84" s="1271">
        <f>DZ83/DT83-1</f>
        <v>2.6549813120247512E-2</v>
      </c>
      <c r="EA84" s="1271">
        <f>EA83/DU83-1</f>
        <v>4.2924037460978059E-2</v>
      </c>
      <c r="EB84" s="1271">
        <f>EB83/DV83-1</f>
        <v>3.3617818484596107E-2</v>
      </c>
      <c r="EC84" s="1286">
        <f>EC83/DW83-1</f>
        <v>3.3920070157855253E-2</v>
      </c>
      <c r="ED84" s="1268"/>
      <c r="EE84" s="1271">
        <f>EE83/DY83-1</f>
        <v>2.3953783288713559E-2</v>
      </c>
      <c r="EF84" s="1271">
        <f>EF83/DZ83-1</f>
        <v>2.3728813559322104E-2</v>
      </c>
      <c r="EG84" s="1271">
        <f>EG83/EA83-1</f>
        <v>-8.9797954602145458E-3</v>
      </c>
      <c r="EH84" s="1271">
        <f>EH83/EB83-1</f>
        <v>-7.0184271473164861E-2</v>
      </c>
      <c r="EI84" s="1286">
        <f>EI83/EC83-1</f>
        <v>-1.2420102390112375E-2</v>
      </c>
      <c r="EJ84" s="1268"/>
      <c r="EK84" s="1271">
        <f>EK83/EE83-1</f>
        <v>-3.9906426310719723E-2</v>
      </c>
      <c r="EL84" s="1271">
        <f>EL83/EF83-1</f>
        <v>-8.2290900171694825E-2</v>
      </c>
      <c r="EM84" s="1271">
        <f>EM83/EG83-1</f>
        <v>-5.8142461615907415E-2</v>
      </c>
      <c r="EN84" s="1271">
        <f>EN83/EH83-1</f>
        <v>-4.0069309075157045E-2</v>
      </c>
      <c r="EO84" s="1286">
        <f>EO83/EI83-1</f>
        <v>-5.4998312935186089E-2</v>
      </c>
      <c r="EP84" s="1268"/>
      <c r="EQ84" s="1271">
        <f>EQ83/EK83-1</f>
        <v>-2.2645836319334922E-2</v>
      </c>
      <c r="ER84" s="1271">
        <f>ER83/EL83-1</f>
        <v>-4.5970867299211515E-2</v>
      </c>
      <c r="ES84" s="1271">
        <f>ES83/EM83-1</f>
        <v>-3.7413148049171618E-2</v>
      </c>
      <c r="ET84" s="1271">
        <f>ET83/EN83-1</f>
        <v>-2.5609205776173316E-2</v>
      </c>
      <c r="EU84" s="1286">
        <f>EU83/EO83-1</f>
        <v>-3.2751233445858174E-2</v>
      </c>
      <c r="EV84" s="1268"/>
      <c r="EW84" s="1271">
        <f>EW83/EQ83-1</f>
        <v>6.0126118199148593E-3</v>
      </c>
      <c r="EX84" s="1271">
        <f>EX83/ER83-1</f>
        <v>1.4988093570527994E-2</v>
      </c>
      <c r="EY84" s="1271">
        <f>EY83/ES83-1</f>
        <v>2.845641310383118E-2</v>
      </c>
      <c r="EZ84" s="1271">
        <f>EZ83/ET83-1</f>
        <v>-6.7589827373255584E-3</v>
      </c>
      <c r="FA84" s="1286">
        <f>FA83/EU83-1</f>
        <v>9.8869984260452348E-3</v>
      </c>
      <c r="FB84" s="1268"/>
      <c r="FC84" s="1271">
        <f>FC83/EW83-1</f>
        <v>3.3947316497622282E-3</v>
      </c>
      <c r="FD84" s="1271">
        <f>FD83/EX83-1</f>
        <v>-4.4193993840490053E-3</v>
      </c>
      <c r="FE84" s="1271">
        <f>FE83/EY83-1</f>
        <v>-1.3227089815086024E-2</v>
      </c>
      <c r="FF84" s="1271">
        <f>FF83/EZ83-1</f>
        <v>-2.4950482633403714E-2</v>
      </c>
      <c r="FG84" s="1286">
        <f>FG83/FA83-1</f>
        <v>-1.0659248195790894E-2</v>
      </c>
      <c r="FH84" s="1268"/>
      <c r="FI84" s="1271">
        <f>FI83/FC83-1</f>
        <v>-5.4593600529072583E-3</v>
      </c>
      <c r="FJ84" s="1271">
        <f>FJ83/FD83-1</f>
        <v>-1.0952963732660304E-2</v>
      </c>
      <c r="FK84" s="1271">
        <f>FK83/FE83-1</f>
        <v>-1.2732337101016511E-2</v>
      </c>
      <c r="FL84" s="1271">
        <f>FL83/FF83-1</f>
        <v>-2.2032499060667954E-2</v>
      </c>
      <c r="FM84" s="1286">
        <f>FM83/FG83-1</f>
        <v>-1.3232578577481391E-2</v>
      </c>
      <c r="FN84" s="1123"/>
      <c r="FO84" s="235"/>
      <c r="FP84" s="236"/>
      <c r="FQ84" s="236"/>
      <c r="FR84" s="236"/>
      <c r="FS84" s="316"/>
      <c r="FT84" s="236"/>
      <c r="FU84" s="236"/>
      <c r="FV84" s="236"/>
      <c r="FW84" s="236"/>
      <c r="FX84" s="236"/>
      <c r="FY84" s="236"/>
      <c r="FZ84" s="236"/>
      <c r="GA84" s="236"/>
      <c r="GB84" s="236"/>
      <c r="GC84" s="236"/>
      <c r="GD84" s="236"/>
      <c r="GE84" s="236"/>
      <c r="GF84" s="236"/>
      <c r="GI84"/>
      <c r="GJ84"/>
      <c r="GK84"/>
      <c r="GL84"/>
      <c r="GM84"/>
      <c r="GN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</row>
    <row r="85" spans="1:281" s="37" customFormat="1" ht="10.5" hidden="1" customHeight="1" outlineLevel="1" x14ac:dyDescent="0.2">
      <c r="A85" s="1272" t="s">
        <v>1101</v>
      </c>
      <c r="B85" s="1273"/>
      <c r="C85" s="1274"/>
      <c r="D85" s="1274"/>
      <c r="E85" s="1274"/>
      <c r="F85" s="1274"/>
      <c r="G85" s="1274"/>
      <c r="H85" s="1274"/>
      <c r="I85" s="1274"/>
      <c r="J85" s="1274"/>
      <c r="K85" s="1274"/>
      <c r="L85" s="1274"/>
      <c r="M85" s="1274"/>
      <c r="N85" s="1275"/>
      <c r="O85" s="1274"/>
      <c r="P85" s="1277"/>
      <c r="Q85" s="1277"/>
      <c r="R85" s="1277"/>
      <c r="S85" s="1278"/>
      <c r="T85" s="1275"/>
      <c r="U85" s="1277"/>
      <c r="V85" s="1277"/>
      <c r="W85" s="1277"/>
      <c r="X85" s="1277"/>
      <c r="Y85" s="1278"/>
      <c r="Z85" s="1275"/>
      <c r="AA85" s="1277"/>
      <c r="AB85" s="1277"/>
      <c r="AC85" s="1277"/>
      <c r="AD85" s="1277"/>
      <c r="AE85" s="1278"/>
      <c r="AF85" s="1275"/>
      <c r="AG85" s="1277"/>
      <c r="AH85" s="1277"/>
      <c r="AI85" s="1277"/>
      <c r="AJ85" s="1277"/>
      <c r="AK85" s="1278"/>
      <c r="AL85" s="1275"/>
      <c r="AM85" s="1277"/>
      <c r="AN85" s="1277"/>
      <c r="AO85" s="1277"/>
      <c r="AP85" s="1277"/>
      <c r="AQ85" s="1278"/>
      <c r="AR85" s="1275"/>
      <c r="AS85" s="1277"/>
      <c r="AT85" s="1277"/>
      <c r="AU85" s="1277"/>
      <c r="AV85" s="1277"/>
      <c r="AW85" s="1278"/>
      <c r="AX85" s="1275"/>
      <c r="AY85" s="1277"/>
      <c r="AZ85" s="1277"/>
      <c r="BA85" s="1277"/>
      <c r="BB85" s="1277"/>
      <c r="BC85" s="1278"/>
      <c r="BD85" s="1275"/>
      <c r="BE85" s="1277"/>
      <c r="BF85" s="1277"/>
      <c r="BG85" s="1277"/>
      <c r="BH85" s="1277"/>
      <c r="BI85" s="1278"/>
      <c r="BJ85" s="1275"/>
      <c r="BK85" s="1277"/>
      <c r="BL85" s="1277"/>
      <c r="BM85" s="1277"/>
      <c r="BN85" s="1277"/>
      <c r="BO85" s="1278"/>
      <c r="BP85" s="1275"/>
      <c r="BQ85" s="1277"/>
      <c r="BR85" s="1277"/>
      <c r="BS85" s="1277"/>
      <c r="BT85" s="1277"/>
      <c r="BU85" s="1278"/>
      <c r="BV85" s="1275"/>
      <c r="BW85" s="1277"/>
      <c r="BX85" s="1277"/>
      <c r="BY85" s="1277"/>
      <c r="BZ85" s="1277"/>
      <c r="CA85" s="1278"/>
      <c r="CB85" s="1275"/>
      <c r="CC85" s="1277"/>
      <c r="CD85" s="1277"/>
      <c r="CE85" s="1277"/>
      <c r="CF85" s="1277"/>
      <c r="CG85" s="1279"/>
      <c r="CH85" s="1275"/>
      <c r="CI85" s="1277"/>
      <c r="CJ85" s="1277"/>
      <c r="CK85" s="1277"/>
      <c r="CL85" s="1277"/>
      <c r="CM85" s="1279"/>
      <c r="CN85" s="1275"/>
      <c r="CO85" s="1277"/>
      <c r="CP85" s="1277"/>
      <c r="CQ85" s="1277"/>
      <c r="CR85" s="1277"/>
      <c r="CS85" s="1279"/>
      <c r="CT85" s="1275"/>
      <c r="CU85" s="1277"/>
      <c r="CV85" s="1277"/>
      <c r="CW85" s="1277"/>
      <c r="CX85" s="1277"/>
      <c r="CY85" s="1279"/>
      <c r="CZ85" s="1275"/>
      <c r="DA85" s="1277"/>
      <c r="DB85" s="1277"/>
      <c r="DC85" s="1277"/>
      <c r="DD85" s="1277"/>
      <c r="DE85" s="1279"/>
      <c r="DF85" s="1275"/>
      <c r="DG85" s="1277"/>
      <c r="DH85" s="1277"/>
      <c r="DI85" s="1277"/>
      <c r="DJ85" s="1277"/>
      <c r="DK85" s="1279"/>
      <c r="DL85" s="1275"/>
      <c r="DM85" s="1277"/>
      <c r="DN85" s="1277"/>
      <c r="DO85" s="1277"/>
      <c r="DP85" s="1277"/>
      <c r="DQ85" s="1279"/>
      <c r="DR85" s="1275"/>
      <c r="DS85" s="1740"/>
      <c r="DT85" s="1740">
        <f>DT83/DS83-1</f>
        <v>0.1289102284300887</v>
      </c>
      <c r="DU85" s="1740">
        <f>DU83/DT83-1</f>
        <v>-9.1506637453280248E-3</v>
      </c>
      <c r="DV85" s="1740">
        <f>DV83/DU83-1</f>
        <v>0.24973985431841839</v>
      </c>
      <c r="DW85" s="1279"/>
      <c r="DX85" s="1275"/>
      <c r="DY85" s="1740">
        <f>DY83/DV83-1</f>
        <v>-0.26134471273938387</v>
      </c>
      <c r="DZ85" s="1740">
        <f>DZ83/DY83-1</f>
        <v>0.12230519938001971</v>
      </c>
      <c r="EA85" s="1740">
        <f>EA83/DZ83-1</f>
        <v>6.6541117388574378E-3</v>
      </c>
      <c r="EB85" s="1740">
        <f>EB83/EA83-1</f>
        <v>0.23858817660264409</v>
      </c>
      <c r="EC85" s="1279"/>
      <c r="ED85" s="1275"/>
      <c r="EE85" s="1740">
        <f>EE83/EB83-1</f>
        <v>-0.2682509314268452</v>
      </c>
      <c r="EF85" s="1740">
        <f>EF83/EE83-1</f>
        <v>0.12205862116416677</v>
      </c>
      <c r="EG85" s="1740">
        <f>EG83/EF83-1</f>
        <v>-2.5508952661270512E-2</v>
      </c>
      <c r="EH85" s="1740">
        <f>EH83/EG83-1</f>
        <v>0.16209413541404483</v>
      </c>
      <c r="EI85" s="1279"/>
      <c r="EJ85" s="1275"/>
      <c r="EK85" s="1740">
        <f>EK83/EH83-1</f>
        <v>-0.24442278535845785</v>
      </c>
      <c r="EL85" s="1740">
        <f>EL83/EK83-1</f>
        <v>7.252400745305998E-2</v>
      </c>
      <c r="EM85" s="1740">
        <f>EM83/EL83-1</f>
        <v>1.3363624214890457E-4</v>
      </c>
      <c r="EN85" s="1740">
        <f>EN83/EM83-1</f>
        <v>0.18439337252805976</v>
      </c>
      <c r="EO85" s="1279"/>
      <c r="EP85" s="1275"/>
      <c r="EQ85" s="1740">
        <f>EQ83/EN83-1</f>
        <v>-0.23070848375451258</v>
      </c>
      <c r="ER85" s="1740">
        <f>ER83/EQ83-1</f>
        <v>4.6927702009092132E-2</v>
      </c>
      <c r="ES85" s="1740">
        <f>ES83/ER83-1</f>
        <v>9.1049166549936889E-3</v>
      </c>
      <c r="ET85" s="1740">
        <f>ET83/ES83-1</f>
        <v>0.19891726818434208</v>
      </c>
      <c r="EU85" s="1279"/>
      <c r="EV85" s="1275"/>
      <c r="EW85" s="1740">
        <f>EW83/ET83-1</f>
        <v>-0.2057427347458608</v>
      </c>
      <c r="EX85" s="1740">
        <f>EX83/EW83-1</f>
        <v>5.6268221574343968E-2</v>
      </c>
      <c r="EY85" s="1740">
        <f>EY83/EX83-1</f>
        <v>2.2495169748826926E-2</v>
      </c>
      <c r="EZ85" s="1740">
        <f>EZ83/EY83-1</f>
        <v>0.15786511892262367</v>
      </c>
      <c r="FA85" s="1279"/>
      <c r="FB85" s="1275"/>
      <c r="FC85" s="1740">
        <f>FC83/EZ83-1</f>
        <v>-0.19762319348538626</v>
      </c>
      <c r="FD85" s="1740">
        <f>FD83/FC83-1</f>
        <v>4.8042327985425182E-2</v>
      </c>
      <c r="FE85" s="1740">
        <f>FE83/FD83-1</f>
        <v>1.344937183271E-2</v>
      </c>
      <c r="FF85" s="1740">
        <f>FF83/FE83-1</f>
        <v>0.14410905865824697</v>
      </c>
      <c r="FG85" s="1279"/>
      <c r="FH85" s="1275"/>
      <c r="FI85" s="1740">
        <f>FI83/FF83-1</f>
        <v>-0.18158377762703903</v>
      </c>
      <c r="FJ85" s="1740">
        <f>FJ83/FI83-1</f>
        <v>4.2253193828108104E-2</v>
      </c>
      <c r="FK85" s="1740">
        <f>FK83/FJ83-1</f>
        <v>1.1626096744376202E-2</v>
      </c>
      <c r="FL85" s="1740">
        <f>FL83/FK83-1</f>
        <v>0.13333143477276299</v>
      </c>
      <c r="FM85" s="1279"/>
      <c r="FN85" s="1123"/>
      <c r="FO85" s="241"/>
      <c r="FP85" s="238"/>
      <c r="FQ85" s="238"/>
      <c r="FR85" s="238"/>
      <c r="FS85" s="241"/>
      <c r="FT85" s="230"/>
      <c r="FU85" s="230"/>
      <c r="FV85" s="230"/>
      <c r="FW85" s="230"/>
      <c r="FX85" s="230"/>
      <c r="FY85" s="230"/>
      <c r="FZ85" s="230"/>
      <c r="GA85" s="230"/>
      <c r="GB85" s="230"/>
      <c r="GC85" s="33"/>
      <c r="GD85" s="33"/>
      <c r="GE85" s="33"/>
      <c r="GF85" s="33"/>
      <c r="GI85"/>
      <c r="GJ85"/>
      <c r="GK85"/>
      <c r="GL85"/>
      <c r="GM85"/>
      <c r="GN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</row>
    <row r="86" spans="1:281" s="33" customFormat="1" ht="0.95" customHeight="1" collapsed="1" x14ac:dyDescent="0.2">
      <c r="A86" s="145"/>
      <c r="B86" s="949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119"/>
      <c r="BD86" s="34"/>
      <c r="BE86" s="34"/>
      <c r="BF86" s="34"/>
      <c r="BG86" s="34"/>
      <c r="BH86" s="34"/>
      <c r="BI86" s="119"/>
      <c r="BJ86" s="34"/>
      <c r="BK86" s="34"/>
      <c r="BL86" s="34"/>
      <c r="BM86" s="34"/>
      <c r="BN86" s="34"/>
      <c r="BO86" s="119"/>
      <c r="BP86" s="34"/>
      <c r="BU86" s="119"/>
      <c r="BV86" s="34"/>
      <c r="CA86" s="34"/>
      <c r="CB86" s="34"/>
      <c r="CC86" s="243"/>
      <c r="CD86" s="243"/>
      <c r="CE86" s="243"/>
      <c r="CF86" s="243"/>
      <c r="CG86" s="171"/>
      <c r="CH86" s="244"/>
      <c r="CI86" s="243"/>
      <c r="CJ86" s="243"/>
      <c r="CK86" s="243"/>
      <c r="CL86" s="243"/>
      <c r="CM86" s="171"/>
      <c r="CN86" s="244"/>
      <c r="CO86" s="243"/>
      <c r="CP86" s="243"/>
      <c r="CQ86" s="243"/>
      <c r="CR86" s="243"/>
      <c r="CS86" s="171"/>
      <c r="CT86" s="244"/>
      <c r="CU86" s="243"/>
      <c r="CV86" s="243"/>
      <c r="CW86" s="243"/>
      <c r="CX86" s="243"/>
      <c r="CY86" s="171"/>
      <c r="CZ86" s="244"/>
      <c r="DA86" s="243"/>
      <c r="DB86" s="243"/>
      <c r="DC86" s="243"/>
      <c r="DD86" s="243"/>
      <c r="DE86" s="171"/>
      <c r="DF86" s="244"/>
      <c r="DG86" s="243"/>
      <c r="DH86" s="243"/>
      <c r="DI86" s="243"/>
      <c r="DJ86" s="243"/>
      <c r="DK86" s="171"/>
      <c r="DL86" s="244"/>
      <c r="DM86" s="243"/>
      <c r="DN86" s="243"/>
      <c r="DO86" s="243"/>
      <c r="DP86" s="243"/>
      <c r="DQ86" s="171"/>
      <c r="DR86" s="244"/>
      <c r="DS86" s="243"/>
      <c r="DT86" s="243"/>
      <c r="DU86" s="243"/>
      <c r="DV86" s="243"/>
      <c r="DW86" s="171"/>
      <c r="DX86" s="244"/>
      <c r="DY86" s="243"/>
      <c r="DZ86" s="243"/>
      <c r="EA86" s="243"/>
      <c r="EB86" s="243"/>
      <c r="EC86" s="171"/>
      <c r="ED86" s="244"/>
      <c r="EE86" s="243"/>
      <c r="EF86" s="243"/>
      <c r="EG86" s="243"/>
      <c r="EH86" s="243"/>
      <c r="EI86" s="171"/>
      <c r="EJ86" s="244"/>
      <c r="EK86" s="243"/>
      <c r="EL86" s="243"/>
      <c r="EM86" s="243"/>
      <c r="EN86" s="243"/>
      <c r="EO86" s="171"/>
      <c r="EP86" s="244"/>
      <c r="EQ86" s="243"/>
      <c r="ER86" s="243"/>
      <c r="ES86" s="243"/>
      <c r="ET86" s="243"/>
      <c r="EU86" s="171"/>
      <c r="EV86" s="244"/>
      <c r="EW86" s="243"/>
      <c r="EX86" s="243"/>
      <c r="EY86" s="243"/>
      <c r="EZ86" s="243"/>
      <c r="FA86" s="171"/>
      <c r="FB86" s="244"/>
      <c r="FC86" s="243"/>
      <c r="FD86" s="243"/>
      <c r="FE86" s="243"/>
      <c r="FF86" s="243"/>
      <c r="FG86" s="171"/>
      <c r="FH86" s="244"/>
      <c r="FI86" s="243"/>
      <c r="FJ86" s="243"/>
      <c r="FK86" s="243"/>
      <c r="FL86" s="243"/>
      <c r="FM86" s="171"/>
      <c r="FN86" s="226"/>
      <c r="FO86" s="227"/>
      <c r="FS86" s="227"/>
      <c r="GI86"/>
      <c r="GJ86"/>
      <c r="GK86"/>
      <c r="GL86"/>
      <c r="GM86"/>
      <c r="GN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</row>
    <row r="87" spans="1:281" s="33" customFormat="1" ht="10.5" hidden="1" customHeight="1" outlineLevel="1" x14ac:dyDescent="0.2">
      <c r="A87" s="962" t="s">
        <v>646</v>
      </c>
      <c r="B87" s="1314" t="s">
        <v>297</v>
      </c>
      <c r="C87" s="1153" t="s">
        <v>945</v>
      </c>
      <c r="D87" s="1153" t="s">
        <v>945</v>
      </c>
      <c r="E87" s="1153" t="s">
        <v>945</v>
      </c>
      <c r="F87" s="1153" t="s">
        <v>945</v>
      </c>
      <c r="G87" s="1150">
        <v>76.677999999999997</v>
      </c>
      <c r="H87" s="1150">
        <v>165.87</v>
      </c>
      <c r="I87" s="93">
        <v>251.82599999999999</v>
      </c>
      <c r="J87" s="1150">
        <v>382.464</v>
      </c>
      <c r="K87" s="1150">
        <v>522</v>
      </c>
      <c r="L87" s="1150">
        <v>697</v>
      </c>
      <c r="M87" s="1150">
        <v>902.14700000000005</v>
      </c>
      <c r="N87" s="1150"/>
      <c r="O87" s="1150">
        <f>O91-O14</f>
        <v>276.47400000000005</v>
      </c>
      <c r="P87" s="1150">
        <f>P91-P14</f>
        <v>327.27999999999997</v>
      </c>
      <c r="Q87" s="1150">
        <f>Q91-Q14</f>
        <v>347.245</v>
      </c>
      <c r="R87" s="1150">
        <f>R91-R14</f>
        <v>409.87900000000002</v>
      </c>
      <c r="S87" s="1150">
        <f>SUM(O87:R87)</f>
        <v>1360.8780000000002</v>
      </c>
      <c r="T87" s="1150"/>
      <c r="U87" s="1150">
        <f>U91-U14</f>
        <v>421.803</v>
      </c>
      <c r="V87" s="1150">
        <f>V91-V14</f>
        <v>481.91</v>
      </c>
      <c r="W87" s="1150">
        <f>W91-W14</f>
        <v>505.23900000000003</v>
      </c>
      <c r="X87" s="1150">
        <f>X91-X14</f>
        <v>581.07399999999984</v>
      </c>
      <c r="Y87" s="1150">
        <f>SUM(U87:X87)</f>
        <v>1990.0259999999998</v>
      </c>
      <c r="Z87" s="1150"/>
      <c r="AA87" s="93">
        <f>SUM(AA46,AA72:AA75)</f>
        <v>608.00199999999995</v>
      </c>
      <c r="AB87" s="93">
        <f>SUM(AB46,AB72:AB75)</f>
        <v>704.92600000000004</v>
      </c>
      <c r="AC87" s="93">
        <f>SUM(AC46,AC72:AC75)</f>
        <v>708.35599999999999</v>
      </c>
      <c r="AD87" s="93">
        <f>SUM(AD46,AD72:AD75)</f>
        <v>840.60199999999998</v>
      </c>
      <c r="AE87" s="266">
        <f>SUM(AA87:AD87)</f>
        <v>2861.886</v>
      </c>
      <c r="AF87" s="1150"/>
      <c r="AG87" s="93">
        <f>SUM(AG46,AG72:AG75)</f>
        <v>863.452</v>
      </c>
      <c r="AH87" s="93">
        <f>SUM(AH46,AH72:AH75)</f>
        <v>992.55899999999997</v>
      </c>
      <c r="AI87" s="93">
        <f>SUM(AI46,AI72:AI75)</f>
        <v>995.56399999999996</v>
      </c>
      <c r="AJ87" s="93">
        <f>SUM(AJ46,AJ72:AJ75)</f>
        <v>1203.2299999999998</v>
      </c>
      <c r="AK87" s="266">
        <f>SUM(AG87:AJ87)</f>
        <v>4054.8049999999994</v>
      </c>
      <c r="AL87" s="1150"/>
      <c r="AM87" s="93">
        <f>SUM(AM46,AM72:AM75)</f>
        <v>1191.4969999999998</v>
      </c>
      <c r="AN87" s="93">
        <f>SUM(AN46,AN72:AN75)</f>
        <v>1310.6970000000001</v>
      </c>
      <c r="AO87" s="93">
        <f>SUM(AO46,AO72:AO75)</f>
        <v>1274.3130000000001</v>
      </c>
      <c r="AP87" s="93">
        <f>SUM(AP46,AP72:AP75)</f>
        <v>1459.877</v>
      </c>
      <c r="AQ87" s="266">
        <f>SUM(AM87:AP87)</f>
        <v>5236.384</v>
      </c>
      <c r="AR87" s="1150"/>
      <c r="AS87" s="93">
        <f>SUM(AS46,AS72:AS75)</f>
        <v>1381.8710000000001</v>
      </c>
      <c r="AT87" s="93">
        <f>SUM(AT46,AT72:AT75)</f>
        <v>1444.712</v>
      </c>
      <c r="AU87" s="93">
        <f>SUM(AU46,AU72:AU75)</f>
        <v>1406.2119999999998</v>
      </c>
      <c r="AV87" s="93">
        <f>SUM(AV46,AV72:AV75)</f>
        <v>1582.3040000000001</v>
      </c>
      <c r="AW87" s="266">
        <f>SUM(AS87:AV87)</f>
        <v>5815.0990000000002</v>
      </c>
      <c r="AX87" s="1150"/>
      <c r="AY87" s="93">
        <f>SUM(AY46,AY72:AY75)</f>
        <v>1516.7469999999998</v>
      </c>
      <c r="AZ87" s="93">
        <f>SUM(AZ46,AZ72:AZ75)</f>
        <v>1593.2149999999999</v>
      </c>
      <c r="BA87" s="93">
        <f>SUM(BA46,BA72:BA75)</f>
        <v>1595.097</v>
      </c>
      <c r="BB87" s="93">
        <f>SUM(BB46,BB72:BB75)</f>
        <v>1671.75</v>
      </c>
      <c r="BC87" s="266">
        <f>SUM(AY87:BB87)</f>
        <v>6376.8089999999993</v>
      </c>
      <c r="BD87" s="1150"/>
      <c r="BE87" s="93">
        <f>SUM(BE46,BE72:BE75)</f>
        <v>1553.9469999999999</v>
      </c>
      <c r="BF87" s="93">
        <f>SUM(BF46,BF72:BF75)</f>
        <v>1577.046</v>
      </c>
      <c r="BG87" s="93">
        <f>SUM(BG46,BG72:BG75)</f>
        <v>1476.367</v>
      </c>
      <c r="BH87" s="93">
        <f>SUM(BH46,BH72:BH75)</f>
        <v>1624.0030000000002</v>
      </c>
      <c r="BI87" s="266">
        <f>SUM(BE87:BH87)</f>
        <v>6231.3629999999994</v>
      </c>
      <c r="BJ87" s="1150"/>
      <c r="BK87" s="93">
        <f>SUM(BK46,BK72:BK75)</f>
        <v>1465</v>
      </c>
      <c r="BL87" s="93">
        <f>SUM(BL46,BL72:BL75)</f>
        <v>1544</v>
      </c>
      <c r="BM87" s="93">
        <f>SUM(BM46,BM72:BM75)</f>
        <v>1552</v>
      </c>
      <c r="BN87" s="93">
        <f>SUM(BN46,BN72:BN75)</f>
        <v>1644.4</v>
      </c>
      <c r="BO87" s="266">
        <f>SUM(BK87:BN87)</f>
        <v>6205.4</v>
      </c>
      <c r="BP87" s="1150"/>
      <c r="BQ87" s="93">
        <f>SUM(BQ46,BQ72:BQ75)</f>
        <v>1547</v>
      </c>
      <c r="BR87" s="93">
        <f>SUM(BR46,BR72:BR75)</f>
        <v>1643</v>
      </c>
      <c r="BS87" s="93">
        <f>SUM(BS46,BS72:BS75)</f>
        <v>1662</v>
      </c>
      <c r="BT87" s="93">
        <f>SUM(BT46,BT72:BT75)</f>
        <v>1763</v>
      </c>
      <c r="BU87" s="266">
        <f>SUM(BQ87:BT87)</f>
        <v>6615</v>
      </c>
      <c r="BV87" s="93"/>
      <c r="BW87" s="93">
        <f>SUM(BW46,BW72:BW75)</f>
        <v>1652</v>
      </c>
      <c r="BX87" s="93">
        <f>SUM(BX46,BX72:BX75)</f>
        <v>1785</v>
      </c>
      <c r="BY87" s="93">
        <f>SUM(BY46,BY72:BY75)</f>
        <v>2146</v>
      </c>
      <c r="BZ87" s="93">
        <f>SUM(BZ46,BZ72:BZ75)</f>
        <v>2446</v>
      </c>
      <c r="CA87" s="266">
        <f>SUM(BW87:BZ87)</f>
        <v>8029</v>
      </c>
      <c r="CB87" s="93"/>
      <c r="CC87" s="893">
        <f>SUM(CC46,CC75)</f>
        <v>2278</v>
      </c>
      <c r="CD87" s="893">
        <f>SUM(CD46,CD75)</f>
        <v>2336</v>
      </c>
      <c r="CE87" s="893">
        <f>SUM(CE46,CE75)</f>
        <v>2438</v>
      </c>
      <c r="CF87" s="893">
        <f>SUM(CF46,CF75)</f>
        <v>2816</v>
      </c>
      <c r="CG87" s="285">
        <f>SUM(CC87:CF87)</f>
        <v>9868</v>
      </c>
      <c r="CH87" s="893"/>
      <c r="CI87" s="893">
        <f>SUM(CI46,CI75)</f>
        <v>2857</v>
      </c>
      <c r="CJ87" s="893">
        <f>SUM(CJ46,CJ75)</f>
        <v>3009</v>
      </c>
      <c r="CK87" s="893">
        <f>SUM(CK46,CK75)</f>
        <v>3059</v>
      </c>
      <c r="CL87" s="893">
        <f>SUM(CL46,CL75)</f>
        <v>3402</v>
      </c>
      <c r="CM87" s="285">
        <f>SUM(CI87:CL87)</f>
        <v>12327</v>
      </c>
      <c r="CN87" s="893"/>
      <c r="CO87" s="893">
        <f>SUM(CO46,CO75)</f>
        <v>3506</v>
      </c>
      <c r="CP87" s="893">
        <f>SUM(CP46,CP75)</f>
        <v>3696</v>
      </c>
      <c r="CQ87" s="893">
        <f>SUM(CQ46,CQ75)</f>
        <v>3755</v>
      </c>
      <c r="CR87" s="893">
        <f>SUM(CR46,CR75)</f>
        <v>4137</v>
      </c>
      <c r="CS87" s="285">
        <f>SUM(CO87:CR87)</f>
        <v>15094</v>
      </c>
      <c r="CT87" s="893"/>
      <c r="CU87" s="893">
        <f>SUM(CU46,CU75)</f>
        <v>4186</v>
      </c>
      <c r="CV87" s="893">
        <f>SUM(CV46,CV75)</f>
        <v>4061</v>
      </c>
      <c r="CW87" s="893">
        <f>SUM(CW46,CW75,CW67)</f>
        <v>3988</v>
      </c>
      <c r="CX87" s="893">
        <f>SUM(CX46,CX75,CX67)</f>
        <v>4137</v>
      </c>
      <c r="CY87" s="1071">
        <f>SUM(CY46,CY75,CY67)</f>
        <v>16372</v>
      </c>
      <c r="CZ87" s="893"/>
      <c r="DA87" s="893">
        <f>SUM(DA46,DA75,DA67)</f>
        <v>4035</v>
      </c>
      <c r="DB87" s="893">
        <f>SUM(DB46,DB75,DB67)</f>
        <v>4219</v>
      </c>
      <c r="DC87" s="893">
        <f>SUM(DC46,DC75,DC67)</f>
        <v>4478</v>
      </c>
      <c r="DD87" s="893">
        <f>SUM(DD46,DD75,DD67)</f>
        <v>5263</v>
      </c>
      <c r="DE87" s="1071">
        <f>SUM(DE46,DE75,DE67)</f>
        <v>17995</v>
      </c>
      <c r="DF87" s="893"/>
      <c r="DG87" s="893">
        <f>SUM(DG46,DG75,DG67)</f>
        <v>5223</v>
      </c>
      <c r="DH87" s="893">
        <f>SUM(DH46,DH75,DH67)</f>
        <v>5583</v>
      </c>
      <c r="DI87" s="893">
        <f>SUM(DI46,DI75,DI67)</f>
        <v>5558</v>
      </c>
      <c r="DJ87" s="893">
        <f>SUM(DJ46,DJ75,DJ67)</f>
        <v>5913</v>
      </c>
      <c r="DK87" s="1071">
        <f>SUM(DK46,DK75,DK67)</f>
        <v>22277</v>
      </c>
      <c r="DL87" s="893"/>
      <c r="DM87" s="893">
        <f>SUM(DM46,DM75,DM67)</f>
        <v>5871</v>
      </c>
      <c r="DN87" s="893">
        <f>SUM(DN46,DN75,DN67)</f>
        <v>5810</v>
      </c>
      <c r="DO87" s="893">
        <f>SUM(DO46,DO75,DO67)</f>
        <v>5819.3392000000003</v>
      </c>
      <c r="DP87" s="893">
        <f>SUM(DP46,DP75,DP67)</f>
        <v>5966.1597000000002</v>
      </c>
      <c r="DQ87" s="1071">
        <f>SUM(DQ46,DQ75,DQ67)</f>
        <v>23466.498899999999</v>
      </c>
      <c r="DR87" s="893"/>
      <c r="DS87" s="893">
        <f>SUM(DS46,DS75,DS67)</f>
        <v>5718</v>
      </c>
      <c r="DT87" s="893">
        <f>SUM(DT46,DT75,DT67)</f>
        <v>5864</v>
      </c>
      <c r="DU87" s="893">
        <f>SUM(DU46,DU75,DU67)</f>
        <v>5851</v>
      </c>
      <c r="DV87" s="893">
        <f>SUM(DV46,DV75,DV67)</f>
        <v>5965</v>
      </c>
      <c r="DW87" s="1071">
        <f>SUM(DW46,DW75,DW67)</f>
        <v>23398</v>
      </c>
      <c r="DX87" s="893"/>
      <c r="DY87" s="893">
        <f>SUM(DY46,DY75,DY67)</f>
        <v>5947</v>
      </c>
      <c r="DZ87" s="893">
        <f>SUM(DZ46,DZ75,DZ67)</f>
        <v>6089</v>
      </c>
      <c r="EA87" s="893">
        <f>SUM(EA46,EA75,EA67)</f>
        <v>6049</v>
      </c>
      <c r="EB87" s="893">
        <f>SUM(EB46,EB75,EB67)</f>
        <v>6232</v>
      </c>
      <c r="EC87" s="1071">
        <f>SUM(EC46,EC75,EC67)</f>
        <v>24317</v>
      </c>
      <c r="ED87" s="893"/>
      <c r="EE87" s="893">
        <f>SUM(EE46,EE75,EE67)</f>
        <v>6174</v>
      </c>
      <c r="EF87" s="893">
        <f>SUM(EF46,EF75,EF67)</f>
        <v>6327</v>
      </c>
      <c r="EG87" s="893">
        <f>SUM(EG46,EG75,EG67)</f>
        <v>6110</v>
      </c>
      <c r="EH87" s="893">
        <f>SUM(EH46,EH75,EH67)</f>
        <v>6177</v>
      </c>
      <c r="EI87" s="1071">
        <f>SUM(EI46,EI75,EI67)</f>
        <v>24788</v>
      </c>
      <c r="EJ87" s="893"/>
      <c r="EK87" s="893">
        <f>SUM(EK46,EK75,EK67)</f>
        <v>6118</v>
      </c>
      <c r="EL87" s="893">
        <f>SUM(EL46,EL75,EL67)</f>
        <v>6094</v>
      </c>
      <c r="EM87" s="893">
        <f>SUM(EM46,EM75,EM67)</f>
        <v>5993</v>
      </c>
      <c r="EN87" s="893">
        <f>SUM(EN46,EN75,EN67)</f>
        <v>6245</v>
      </c>
      <c r="EO87" s="1071">
        <f>SUM(EO46,EO75,EO67)</f>
        <v>24450</v>
      </c>
      <c r="EP87" s="893"/>
      <c r="EQ87" s="893">
        <f>SUM(EQ46,EQ75,EQ67)</f>
        <v>6135</v>
      </c>
      <c r="ER87" s="893">
        <f>SUM(ER46,ER75,ER67)</f>
        <v>6138.78</v>
      </c>
      <c r="ES87" s="893">
        <f>SUM(ES46,ES75,ES67)</f>
        <v>6082</v>
      </c>
      <c r="ET87" s="893">
        <f>SUM(ET46,ET75,ET67)</f>
        <v>6308</v>
      </c>
      <c r="EU87" s="1071">
        <f>SUM(EU46,EU75,EU67)</f>
        <v>24663.78</v>
      </c>
      <c r="EV87" s="893"/>
      <c r="EW87" s="893">
        <f>SUM(EW46,EW75,EW67)</f>
        <v>6365.92</v>
      </c>
      <c r="EX87" s="893">
        <f>SUM(EX46,EX75,EX67)</f>
        <v>6331.52</v>
      </c>
      <c r="EY87" s="893">
        <f>SUM(EY46,EY75,EY67)</f>
        <v>6359.4</v>
      </c>
      <c r="EZ87" s="893">
        <f>SUM(EZ46,EZ75,EZ67)</f>
        <v>6522.3676660977189</v>
      </c>
      <c r="FA87" s="1071">
        <f>SUM(FA46,FA75,FA67)</f>
        <v>25579.207666097722</v>
      </c>
      <c r="FB87" s="893"/>
      <c r="FC87" s="893">
        <f>SUM(FC46,FC75,FC67)</f>
        <v>6457.0798591173698</v>
      </c>
      <c r="FD87" s="893">
        <f>SUM(FD46,FD75,FD67)</f>
        <v>6443.2990320631807</v>
      </c>
      <c r="FE87" s="893">
        <f>SUM(FE46,FE75,FE67)</f>
        <v>6427.2004915600273</v>
      </c>
      <c r="FF87" s="893">
        <f>SUM(FF46,FF75,FF67)</f>
        <v>6582.1349902487245</v>
      </c>
      <c r="FG87" s="1071">
        <f>SUM(FG46,FG75,FG67)</f>
        <v>25909.714372989303</v>
      </c>
      <c r="FH87" s="893"/>
      <c r="FI87" s="893">
        <f>SUM(FI46,FI75,FI67)</f>
        <v>6545.4889123466428</v>
      </c>
      <c r="FJ87" s="893">
        <f>SUM(FJ46,FJ75,FJ67)</f>
        <v>6519.2589032627484</v>
      </c>
      <c r="FK87" s="893">
        <f>SUM(FK46,FK75,FK67)</f>
        <v>6495.7255687557881</v>
      </c>
      <c r="FL87" s="893">
        <f>SUM(FL46,FL75,FL67)</f>
        <v>6644.2922046089388</v>
      </c>
      <c r="FM87" s="1071">
        <f>SUM(FM46,FM75,FM67)</f>
        <v>26204.765588974122</v>
      </c>
      <c r="FN87" s="226"/>
      <c r="FO87" s="1315">
        <f>CE87+CF87+CI87+CJ87</f>
        <v>11120</v>
      </c>
      <c r="FP87" s="1316">
        <f>CK87+CL87+CO87+CP87</f>
        <v>13663</v>
      </c>
      <c r="FQ87" s="1316">
        <f>CV87+CU87+CR87+CQ87</f>
        <v>16139</v>
      </c>
      <c r="FR87" s="1316">
        <f>CW87+CX87+DA87+DB87</f>
        <v>16379</v>
      </c>
      <c r="FS87" s="1710">
        <f t="shared" ref="FS87:GA87" si="33">SUM(FS46,FS75,FS67)</f>
        <v>20547</v>
      </c>
      <c r="FT87" s="1711">
        <f t="shared" si="33"/>
        <v>23152</v>
      </c>
      <c r="FU87" s="1711">
        <f t="shared" si="33"/>
        <v>23367.498899999999</v>
      </c>
      <c r="FV87" s="1711">
        <f t="shared" si="33"/>
        <v>23852</v>
      </c>
      <c r="FW87" s="1711">
        <f t="shared" si="33"/>
        <v>24782</v>
      </c>
      <c r="FX87" s="1711">
        <f t="shared" si="33"/>
        <v>24499</v>
      </c>
      <c r="FY87" s="1711">
        <f t="shared" si="33"/>
        <v>24511.78</v>
      </c>
      <c r="FZ87" s="1711">
        <f t="shared" si="33"/>
        <v>25087.439999999999</v>
      </c>
      <c r="GA87" s="1711">
        <f t="shared" si="33"/>
        <v>25782.146557278273</v>
      </c>
      <c r="GB87" s="1711">
        <f t="shared" ref="GB87" si="34">SUM(GB46,GB75,GB67)</f>
        <v>26074.083297418143</v>
      </c>
      <c r="GC87" s="243"/>
      <c r="GD87" s="243"/>
      <c r="GE87" s="243"/>
      <c r="GF87" s="243"/>
      <c r="GI87"/>
      <c r="GJ87"/>
      <c r="GK87"/>
      <c r="GL87"/>
      <c r="GM87"/>
      <c r="GN87"/>
      <c r="GP87" s="24"/>
      <c r="GQ87" s="24"/>
      <c r="GR87" s="24"/>
      <c r="GS87" s="24"/>
      <c r="GT87" s="24"/>
      <c r="GU87" s="24"/>
      <c r="GV87" s="24"/>
      <c r="GW87" s="24"/>
      <c r="GX87" s="24"/>
      <c r="GY87" s="24"/>
      <c r="GZ87" s="24"/>
      <c r="HA87" s="24"/>
      <c r="HB87" s="24"/>
      <c r="HC87" s="24"/>
      <c r="HD87" s="24"/>
      <c r="HE87" s="24"/>
      <c r="HF87" s="24"/>
      <c r="HG87" s="24"/>
      <c r="HH87" s="24"/>
      <c r="HI87" s="24"/>
      <c r="HJ87" s="24"/>
      <c r="HK87" s="24"/>
      <c r="HL87" s="24"/>
      <c r="HM87" s="24"/>
      <c r="HN87" s="24"/>
      <c r="HO87" s="24"/>
      <c r="HP87" s="24"/>
      <c r="HQ87" s="24"/>
      <c r="HR87" s="24"/>
      <c r="HS87" s="24"/>
      <c r="HT87" s="24"/>
      <c r="HU87" s="24"/>
      <c r="HV87" s="24"/>
      <c r="HW87" s="24"/>
      <c r="HX87" s="24"/>
      <c r="HY87" s="24"/>
      <c r="HZ87" s="24"/>
      <c r="IA87" s="24"/>
      <c r="IB87" s="24"/>
      <c r="IC87" s="24"/>
      <c r="ID87" s="24"/>
      <c r="IE87" s="24"/>
      <c r="IF87" s="24"/>
      <c r="IG87" s="24"/>
      <c r="IH87" s="24"/>
      <c r="II87" s="24"/>
      <c r="IJ87" s="24"/>
      <c r="IK87" s="24"/>
      <c r="IL87" s="24"/>
      <c r="IM87" s="24"/>
      <c r="IN87" s="24"/>
      <c r="IO87" s="24"/>
      <c r="IP87" s="24"/>
      <c r="IQ87" s="24"/>
      <c r="IR87" s="24"/>
      <c r="IS87" s="24"/>
      <c r="IT87" s="24"/>
      <c r="IU87" s="24"/>
      <c r="IV87" s="24"/>
      <c r="IW87" s="24"/>
      <c r="IX87" s="24"/>
      <c r="IY87" s="24"/>
      <c r="IZ87" s="24"/>
      <c r="JA87" s="24"/>
      <c r="JB87" s="24"/>
      <c r="JC87" s="24"/>
      <c r="JD87" s="24"/>
      <c r="JE87" s="24"/>
      <c r="JF87" s="24"/>
      <c r="JG87" s="24"/>
      <c r="JH87" s="24"/>
      <c r="JI87" s="24"/>
      <c r="JJ87" s="24"/>
      <c r="JK87" s="24"/>
      <c r="JL87" s="24"/>
      <c r="JM87" s="24"/>
      <c r="JN87" s="24"/>
      <c r="JO87" s="24"/>
      <c r="JP87" s="24"/>
      <c r="JQ87" s="24"/>
      <c r="JR87" s="24"/>
      <c r="JS87" s="24"/>
      <c r="JT87" s="24"/>
      <c r="JU87" s="24"/>
    </row>
    <row r="88" spans="1:281" s="37" customFormat="1" ht="10.5" hidden="1" customHeight="1" outlineLevel="1" x14ac:dyDescent="0.2">
      <c r="A88" s="1264" t="s">
        <v>669</v>
      </c>
      <c r="B88" s="1265"/>
      <c r="C88" s="1295" t="s">
        <v>945</v>
      </c>
      <c r="D88" s="1295" t="s">
        <v>945</v>
      </c>
      <c r="E88" s="1295" t="s">
        <v>945</v>
      </c>
      <c r="F88" s="1295" t="s">
        <v>945</v>
      </c>
      <c r="G88" s="1295" t="s">
        <v>945</v>
      </c>
      <c r="H88" s="1267">
        <f t="shared" ref="H88:M88" si="35">H87/G87-1</f>
        <v>1.1632019614491771</v>
      </c>
      <c r="I88" s="1267">
        <f t="shared" si="35"/>
        <v>0.51821305841924392</v>
      </c>
      <c r="J88" s="1267">
        <f t="shared" si="35"/>
        <v>0.51876295537394879</v>
      </c>
      <c r="K88" s="1267">
        <f t="shared" si="35"/>
        <v>0.36483433734939763</v>
      </c>
      <c r="L88" s="1267">
        <f t="shared" si="35"/>
        <v>0.33524904214559381</v>
      </c>
      <c r="M88" s="1267">
        <f t="shared" si="35"/>
        <v>0.29432855093256816</v>
      </c>
      <c r="N88" s="1268"/>
      <c r="O88" s="1266" t="s">
        <v>945</v>
      </c>
      <c r="P88" s="1266" t="s">
        <v>945</v>
      </c>
      <c r="Q88" s="1266" t="s">
        <v>945</v>
      </c>
      <c r="R88" s="1266" t="s">
        <v>945</v>
      </c>
      <c r="S88" s="1267">
        <f>S87/M87-1</f>
        <v>0.50848808453611238</v>
      </c>
      <c r="T88" s="1268"/>
      <c r="U88" s="1267">
        <f>U87/O87-1</f>
        <v>0.52565159834197761</v>
      </c>
      <c r="V88" s="1267">
        <f>V87/P87-1</f>
        <v>0.47247005622097316</v>
      </c>
      <c r="W88" s="1267">
        <f>W87/Q87-1</f>
        <v>0.45499287246756626</v>
      </c>
      <c r="X88" s="1267">
        <f>X87/R87-1</f>
        <v>0.41767204467659913</v>
      </c>
      <c r="Y88" s="1267">
        <f>Y87/S87-1</f>
        <v>0.46231036139903758</v>
      </c>
      <c r="Z88" s="1268"/>
      <c r="AA88" s="1267">
        <f>AA87/U87-1</f>
        <v>0.44143593099148171</v>
      </c>
      <c r="AB88" s="1267">
        <f>AB87/V87-1</f>
        <v>0.46277520698885688</v>
      </c>
      <c r="AC88" s="1267">
        <f>AC87/W87-1</f>
        <v>0.40202161749191956</v>
      </c>
      <c r="AD88" s="1267">
        <f>AD87/X87-1</f>
        <v>0.4466350241105268</v>
      </c>
      <c r="AE88" s="1267">
        <f>AE87/Y87-1</f>
        <v>0.43811487890107981</v>
      </c>
      <c r="AF88" s="1268"/>
      <c r="AG88" s="1267">
        <f>AG87/AA87-1</f>
        <v>0.42014664425445969</v>
      </c>
      <c r="AH88" s="1267">
        <f>AH87/AB87-1</f>
        <v>0.40803289990722424</v>
      </c>
      <c r="AI88" s="1267">
        <f>AI87/AC87-1</f>
        <v>0.40545714301848212</v>
      </c>
      <c r="AJ88" s="1267">
        <f>AJ87/AD87-1</f>
        <v>0.43139083656712662</v>
      </c>
      <c r="AK88" s="1267">
        <f>AK87/AE87-1</f>
        <v>0.4168296710630679</v>
      </c>
      <c r="AL88" s="1268"/>
      <c r="AM88" s="1267">
        <f>AM87/AG87-1</f>
        <v>0.37992268244210425</v>
      </c>
      <c r="AN88" s="1267">
        <f>AN87/AH87-1</f>
        <v>0.3205230117302853</v>
      </c>
      <c r="AO88" s="1267">
        <f>AO87/AI87-1</f>
        <v>0.27999104025456933</v>
      </c>
      <c r="AP88" s="1267">
        <f>AP87/AJ87-1</f>
        <v>0.21329837188235024</v>
      </c>
      <c r="AQ88" s="1267">
        <f>AQ87/AK87-1</f>
        <v>0.29140217593694406</v>
      </c>
      <c r="AR88" s="1268"/>
      <c r="AS88" s="1267">
        <f>AS87/AM87-1</f>
        <v>0.15977715428574335</v>
      </c>
      <c r="AT88" s="1267">
        <f>AT87/AN87-1</f>
        <v>0.10224712500295641</v>
      </c>
      <c r="AU88" s="1267">
        <f>AU87/AO87-1</f>
        <v>0.1035059675291703</v>
      </c>
      <c r="AV88" s="1267">
        <f>AV87/AP87-1</f>
        <v>8.3861174605805999E-2</v>
      </c>
      <c r="AW88" s="1267">
        <f>AW87/AQ87-1</f>
        <v>0.11051805979087859</v>
      </c>
      <c r="AX88" s="1268"/>
      <c r="AY88" s="1267">
        <f>AY87/AS87-1</f>
        <v>9.7603900798265419E-2</v>
      </c>
      <c r="AZ88" s="1267">
        <f>AZ87/AT87-1</f>
        <v>0.10279072922492505</v>
      </c>
      <c r="BA88" s="1267">
        <f>BA87/AU87-1</f>
        <v>0.13432185189715362</v>
      </c>
      <c r="BB88" s="1267">
        <f>BB87/AV87-1</f>
        <v>5.6528960300928244E-2</v>
      </c>
      <c r="BC88" s="1267">
        <f>BC87/AW87-1</f>
        <v>9.6595088062988888E-2</v>
      </c>
      <c r="BD88" s="1268"/>
      <c r="BE88" s="1267">
        <f>BE87/AY87-1</f>
        <v>2.4526173448834898E-2</v>
      </c>
      <c r="BF88" s="1267">
        <f>BF87/AZ87-1</f>
        <v>-1.014866166838746E-2</v>
      </c>
      <c r="BG88" s="1267">
        <f>BG87/BA87-1</f>
        <v>-7.4434344745178516E-2</v>
      </c>
      <c r="BH88" s="1267">
        <f>BH87/BB87-1</f>
        <v>-2.8561088679527336E-2</v>
      </c>
      <c r="BI88" s="1267">
        <f>BI87/BC87-1</f>
        <v>-2.2808586551674948E-2</v>
      </c>
      <c r="BJ88" s="1268"/>
      <c r="BK88" s="1267">
        <f>BK87/BE87-1</f>
        <v>-5.7239403917894172E-2</v>
      </c>
      <c r="BL88" s="1267">
        <f>BL87/BF87-1</f>
        <v>-2.0954366581570905E-2</v>
      </c>
      <c r="BM88" s="1267">
        <f>BM87/BG87-1</f>
        <v>5.1229132051854309E-2</v>
      </c>
      <c r="BN88" s="1267">
        <f>BN87/BH87-1</f>
        <v>1.2559705862612347E-2</v>
      </c>
      <c r="BO88" s="1267">
        <f>BO87/BI87-1</f>
        <v>-4.1665041821508098E-3</v>
      </c>
      <c r="BP88" s="1268"/>
      <c r="BQ88" s="1267">
        <f>BQ87/BK87-1</f>
        <v>5.5972696245733866E-2</v>
      </c>
      <c r="BR88" s="1267">
        <f>BR87/BL87-1</f>
        <v>6.4119170984455964E-2</v>
      </c>
      <c r="BS88" s="1267">
        <f>BS87/BM87-1</f>
        <v>7.0876288659793785E-2</v>
      </c>
      <c r="BT88" s="1267">
        <f>BT87/BN87-1</f>
        <v>7.2123570907321799E-2</v>
      </c>
      <c r="BU88" s="1267">
        <f>BU87/BO87-1</f>
        <v>6.6007026138524605E-2</v>
      </c>
      <c r="BV88" s="1268"/>
      <c r="BW88" s="1267">
        <f>BW87/BQ87-1</f>
        <v>6.7873303167420795E-2</v>
      </c>
      <c r="BX88" s="1267">
        <f>BX87/BR87-1</f>
        <v>8.6427267194157054E-2</v>
      </c>
      <c r="BY88" s="1267">
        <f>BY87/BS87-1</f>
        <v>0.2912154031287606</v>
      </c>
      <c r="BZ88" s="1267">
        <f>BZ87/BT87-1</f>
        <v>0.38740782756664771</v>
      </c>
      <c r="CA88" s="1267">
        <f>CA87/BU87-1</f>
        <v>0.21375661375661381</v>
      </c>
      <c r="CB88" s="1268"/>
      <c r="CC88" s="1267">
        <f>CC87/BW87-1</f>
        <v>0.37893462469733663</v>
      </c>
      <c r="CD88" s="1267">
        <f>CD87/BX87-1</f>
        <v>0.30868347338935576</v>
      </c>
      <c r="CE88" s="1267">
        <f>CE87/BY87-1</f>
        <v>0.13606710158434288</v>
      </c>
      <c r="CF88" s="1267">
        <f>CF87/BZ87-1</f>
        <v>0.15126737530662315</v>
      </c>
      <c r="CG88" s="1270">
        <f>CG87/CA87-1</f>
        <v>0.22904471291568074</v>
      </c>
      <c r="CH88" s="1268"/>
      <c r="CI88" s="1267">
        <f>CI87/CC87-1</f>
        <v>0.25417032484635649</v>
      </c>
      <c r="CJ88" s="1267">
        <f>CJ87/CD87-1</f>
        <v>0.28809931506849318</v>
      </c>
      <c r="CK88" s="1267">
        <f>CK87/CE87-1</f>
        <v>0.25471698113207553</v>
      </c>
      <c r="CL88" s="1267">
        <f>CL87/CF87-1</f>
        <v>0.20809659090909083</v>
      </c>
      <c r="CM88" s="1270">
        <f>CM87/CG87-1</f>
        <v>0.249189298743413</v>
      </c>
      <c r="CN88" s="1268"/>
      <c r="CO88" s="1267">
        <f>CO87/CI87-1</f>
        <v>0.2271613580679035</v>
      </c>
      <c r="CP88" s="1271">
        <f>CP87/CJ87-1</f>
        <v>0.22831505483549352</v>
      </c>
      <c r="CQ88" s="1271">
        <f>CQ87/CK87-1</f>
        <v>0.22752533507682249</v>
      </c>
      <c r="CR88" s="1267">
        <f>CR87/CL87-1</f>
        <v>0.21604938271604945</v>
      </c>
      <c r="CS88" s="1270">
        <f>CS87/CM87-1</f>
        <v>0.22446661799302348</v>
      </c>
      <c r="CT88" s="1268"/>
      <c r="CU88" s="1267">
        <f>CU87/CO87-1</f>
        <v>0.19395322304620644</v>
      </c>
      <c r="CV88" s="1267">
        <f>CV87/CP87-1</f>
        <v>9.8755411255411207E-2</v>
      </c>
      <c r="CW88" s="1267">
        <f>CW87/CQ87-1</f>
        <v>6.2050599201065149E-2</v>
      </c>
      <c r="CX88" s="1267">
        <f>CX87/CR87-1</f>
        <v>0</v>
      </c>
      <c r="CY88" s="1270">
        <f>CY87/CS87-1</f>
        <v>8.4669405061613912E-2</v>
      </c>
      <c r="CZ88" s="1268"/>
      <c r="DA88" s="1267">
        <f>DA87/CU87-1</f>
        <v>-3.6072623029144824E-2</v>
      </c>
      <c r="DB88" s="1267">
        <f>DB87/CV87-1</f>
        <v>3.8906673233193745E-2</v>
      </c>
      <c r="DC88" s="1267">
        <f>DC87/CW87-1</f>
        <v>0.1228686058174524</v>
      </c>
      <c r="DD88" s="1267">
        <f>DD87/CX87-1</f>
        <v>0.2721779066956731</v>
      </c>
      <c r="DE88" s="1270">
        <f>DE87/CY87-1</f>
        <v>9.9132665526508568E-2</v>
      </c>
      <c r="DF88" s="1268"/>
      <c r="DG88" s="1267">
        <f>DG87/DA87-1</f>
        <v>0.29442379182156131</v>
      </c>
      <c r="DH88" s="1267">
        <f>DH87/DB87-1</f>
        <v>0.3232993600379237</v>
      </c>
      <c r="DI88" s="1267">
        <f>DI87/DC87-1</f>
        <v>0.24117909781152291</v>
      </c>
      <c r="DJ88" s="1267">
        <f>DJ87/DD87-1</f>
        <v>0.12350370511115338</v>
      </c>
      <c r="DK88" s="1270">
        <f>DK87/DE87-1</f>
        <v>0.23795498749652677</v>
      </c>
      <c r="DL88" s="1268"/>
      <c r="DM88" s="1267">
        <f>DM87/DG87-1</f>
        <v>0.12406662837449733</v>
      </c>
      <c r="DN88" s="1267">
        <f>DN87/DH87-1</f>
        <v>4.0659143829482325E-2</v>
      </c>
      <c r="DO88" s="1267">
        <f>DO87/DI87-1</f>
        <v>4.7020367038503208E-2</v>
      </c>
      <c r="DP88" s="1267">
        <f>DP87/DJ87-1</f>
        <v>8.9903094875698475E-3</v>
      </c>
      <c r="DQ88" s="1270">
        <f>DQ87/DK87-1</f>
        <v>5.339582977959334E-2</v>
      </c>
      <c r="DR88" s="1268"/>
      <c r="DS88" s="1267">
        <f>DS87/DM87-1</f>
        <v>-2.6060296371997915E-2</v>
      </c>
      <c r="DT88" s="1267">
        <f>DT87/DN87-1</f>
        <v>9.2943201376936013E-3</v>
      </c>
      <c r="DU88" s="1267">
        <f>DU87/DO87-1</f>
        <v>5.4406177251189458E-3</v>
      </c>
      <c r="DV88" s="1267">
        <f>DV87/DP87-1</f>
        <v>-1.9437964424584564E-4</v>
      </c>
      <c r="DW88" s="1270">
        <f>DW87/DQ87-1</f>
        <v>-2.9190080843291E-3</v>
      </c>
      <c r="DX88" s="1268"/>
      <c r="DY88" s="1267">
        <f>DY87/DS87-1</f>
        <v>4.0048968170689037E-2</v>
      </c>
      <c r="DZ88" s="1267">
        <f>DZ87/DT87-1</f>
        <v>3.8369713506139158E-2</v>
      </c>
      <c r="EA88" s="1267">
        <f>EA87/DU87-1</f>
        <v>3.3840369167663642E-2</v>
      </c>
      <c r="EB88" s="1267">
        <f>EB87/DV87-1</f>
        <v>4.4761106454316746E-2</v>
      </c>
      <c r="EC88" s="1270">
        <f>EC87/DW87-1</f>
        <v>3.9276861270194141E-2</v>
      </c>
      <c r="ED88" s="1268"/>
      <c r="EE88" s="1267">
        <f>EE87/DY87-1</f>
        <v>3.8170506137548355E-2</v>
      </c>
      <c r="EF88" s="1267">
        <f>EF87/DZ87-1</f>
        <v>3.9086877976679313E-2</v>
      </c>
      <c r="EG88" s="1267">
        <f>EG87/EA87-1</f>
        <v>1.0084311456439066E-2</v>
      </c>
      <c r="EH88" s="1267">
        <f>EH87/EB87-1</f>
        <v>-8.8254172015403975E-3</v>
      </c>
      <c r="EI88" s="1270">
        <f>EI87/EC87-1</f>
        <v>1.936916560430979E-2</v>
      </c>
      <c r="EJ88" s="1268"/>
      <c r="EK88" s="1267">
        <f>EK87/EE87-1</f>
        <v>-9.0702947845805459E-3</v>
      </c>
      <c r="EL88" s="1267">
        <f>EL87/EF87-1</f>
        <v>-3.6826299984194732E-2</v>
      </c>
      <c r="EM88" s="1267">
        <f>EM87/EG87-1</f>
        <v>-1.9148936170212738E-2</v>
      </c>
      <c r="EN88" s="1267">
        <f>EN87/EH87-1</f>
        <v>1.1008580216933739E-2</v>
      </c>
      <c r="EO88" s="1270">
        <f>EO87/EI87-1</f>
        <v>-1.3635630143617905E-2</v>
      </c>
      <c r="EP88" s="1268"/>
      <c r="EQ88" s="1267">
        <f>EQ87/EK87-1</f>
        <v>2.7786858450473684E-3</v>
      </c>
      <c r="ER88" s="1267">
        <f>ER87/EL87-1</f>
        <v>7.3482113554315109E-3</v>
      </c>
      <c r="ES88" s="1267">
        <f>ES87/EM87-1</f>
        <v>1.485065910228589E-2</v>
      </c>
      <c r="ET88" s="1267">
        <f>ET87/EN87-1</f>
        <v>1.0088070456365061E-2</v>
      </c>
      <c r="EU88" s="1270">
        <f>EU87/EO87-1</f>
        <v>8.74355828220863E-3</v>
      </c>
      <c r="EV88" s="1268"/>
      <c r="EW88" s="1267">
        <f>EW87/EQ87-1</f>
        <v>3.7639771801140975E-2</v>
      </c>
      <c r="EX88" s="1267">
        <f>EX87/ER87-1</f>
        <v>3.1397117994129253E-2</v>
      </c>
      <c r="EY88" s="1267">
        <f>EY87/ES87-1</f>
        <v>4.5609996711607925E-2</v>
      </c>
      <c r="EZ88" s="1267">
        <f>EZ87/ET87-1</f>
        <v>3.398346006622055E-2</v>
      </c>
      <c r="FA88" s="1270">
        <f>FA87/EU87-1</f>
        <v>3.7116276016803784E-2</v>
      </c>
      <c r="FB88" s="1268"/>
      <c r="FC88" s="1267">
        <f>FC87/EW87-1</f>
        <v>1.4319981890656752E-2</v>
      </c>
      <c r="FD88" s="1267">
        <f>FD87/EX87-1</f>
        <v>1.7654375578562531E-2</v>
      </c>
      <c r="FE88" s="1267">
        <f>FE87/EY87-1</f>
        <v>1.0661460445958282E-2</v>
      </c>
      <c r="FF88" s="1267">
        <f>FF87/EZ87-1</f>
        <v>9.1634399056752525E-3</v>
      </c>
      <c r="FG88" s="1270">
        <f>FG87/FA87-1</f>
        <v>1.2920912610191237E-2</v>
      </c>
      <c r="FH88" s="1268"/>
      <c r="FI88" s="1267">
        <f>FI87/FC87-1</f>
        <v>1.3691801117255764E-2</v>
      </c>
      <c r="FJ88" s="1267">
        <f>FJ87/FD87-1</f>
        <v>1.1788971894921563E-2</v>
      </c>
      <c r="FK88" s="1267">
        <f>FK87/FE87-1</f>
        <v>1.0661730139855718E-2</v>
      </c>
      <c r="FL88" s="1267">
        <f>FL87/FF87-1</f>
        <v>9.4433211188009736E-3</v>
      </c>
      <c r="FM88" s="1270">
        <f>FM87/FG87-1</f>
        <v>1.13876676422342E-2</v>
      </c>
      <c r="FN88" s="1123"/>
      <c r="FO88" s="235"/>
      <c r="FP88" s="236">
        <f t="shared" ref="FP88:GB88" si="36">FP87/FO87-1</f>
        <v>0.22868705035971226</v>
      </c>
      <c r="FQ88" s="236">
        <f t="shared" si="36"/>
        <v>0.18121935153333824</v>
      </c>
      <c r="FR88" s="236">
        <f t="shared" si="36"/>
        <v>1.4870809839519161E-2</v>
      </c>
      <c r="FS88" s="316">
        <f t="shared" si="36"/>
        <v>0.25447218999938936</v>
      </c>
      <c r="FT88" s="236">
        <f t="shared" si="36"/>
        <v>0.12678249866160507</v>
      </c>
      <c r="FU88" s="236">
        <f t="shared" si="36"/>
        <v>9.3080036281962819E-3</v>
      </c>
      <c r="FV88" s="236">
        <f t="shared" si="36"/>
        <v>2.0733973373590286E-2</v>
      </c>
      <c r="FW88" s="236">
        <f t="shared" si="36"/>
        <v>3.8990441053161184E-2</v>
      </c>
      <c r="FX88" s="236">
        <f t="shared" si="36"/>
        <v>-1.1419578726495017E-2</v>
      </c>
      <c r="FY88" s="236">
        <f t="shared" si="36"/>
        <v>5.2165394505898632E-4</v>
      </c>
      <c r="FZ88" s="236">
        <f t="shared" si="36"/>
        <v>2.3485034542575001E-2</v>
      </c>
      <c r="GA88" s="236">
        <f t="shared" si="36"/>
        <v>2.7691408819643382E-2</v>
      </c>
      <c r="GB88" s="236">
        <f t="shared" si="36"/>
        <v>1.1323213119252662E-2</v>
      </c>
      <c r="GC88" s="236"/>
      <c r="GD88" s="236"/>
      <c r="GE88" s="236"/>
      <c r="GF88" s="236"/>
      <c r="GI88"/>
      <c r="GJ88"/>
      <c r="GK88"/>
      <c r="GL88"/>
      <c r="GM88"/>
      <c r="GN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</row>
    <row r="89" spans="1:281" s="37" customFormat="1" ht="10.5" hidden="1" customHeight="1" outlineLevel="1" x14ac:dyDescent="0.2">
      <c r="A89" s="1272" t="s">
        <v>1101</v>
      </c>
      <c r="B89" s="1273"/>
      <c r="C89" s="1274" t="s">
        <v>945</v>
      </c>
      <c r="D89" s="1274" t="s">
        <v>945</v>
      </c>
      <c r="E89" s="1274" t="s">
        <v>945</v>
      </c>
      <c r="F89" s="1274" t="s">
        <v>945</v>
      </c>
      <c r="G89" s="1274" t="s">
        <v>945</v>
      </c>
      <c r="H89" s="1274" t="s">
        <v>945</v>
      </c>
      <c r="I89" s="1274" t="s">
        <v>945</v>
      </c>
      <c r="J89" s="1274" t="s">
        <v>945</v>
      </c>
      <c r="K89" s="1274" t="s">
        <v>945</v>
      </c>
      <c r="L89" s="1274" t="s">
        <v>945</v>
      </c>
      <c r="M89" s="1274" t="s">
        <v>945</v>
      </c>
      <c r="N89" s="1275"/>
      <c r="O89" s="1274" t="s">
        <v>945</v>
      </c>
      <c r="P89" s="1277">
        <f>P87/O87-1</f>
        <v>0.1837641152513434</v>
      </c>
      <c r="Q89" s="1277">
        <f>Q87/P87-1</f>
        <v>6.1002811048643357E-2</v>
      </c>
      <c r="R89" s="1277">
        <f>R87/Q87-1</f>
        <v>0.18037408745986272</v>
      </c>
      <c r="S89" s="1278" t="s">
        <v>945</v>
      </c>
      <c r="T89" s="1275"/>
      <c r="U89" s="1277">
        <f>U87/R87-1</f>
        <v>2.9091512373163653E-2</v>
      </c>
      <c r="V89" s="1277">
        <f>V87/U87-1</f>
        <v>0.14250017188118624</v>
      </c>
      <c r="W89" s="1277">
        <f>W87/V87-1</f>
        <v>4.840945404743624E-2</v>
      </c>
      <c r="X89" s="1277">
        <f>X87/W87-1</f>
        <v>0.15009728069289952</v>
      </c>
      <c r="Y89" s="1278" t="s">
        <v>945</v>
      </c>
      <c r="Z89" s="1275"/>
      <c r="AA89" s="1277">
        <f>AA87/X87-1</f>
        <v>4.6341774025339566E-2</v>
      </c>
      <c r="AB89" s="1277">
        <f>AB87/AA87-1</f>
        <v>0.15941394929621966</v>
      </c>
      <c r="AC89" s="1277">
        <f>AC87/AB87-1</f>
        <v>4.8657589590963557E-3</v>
      </c>
      <c r="AD89" s="1277">
        <f>AD87/AC87-1</f>
        <v>0.1866942610777631</v>
      </c>
      <c r="AE89" s="1278" t="s">
        <v>945</v>
      </c>
      <c r="AF89" s="1275"/>
      <c r="AG89" s="1277">
        <f>AG87/AD87-1</f>
        <v>2.7182899874137911E-2</v>
      </c>
      <c r="AH89" s="1277">
        <f>AH87/AG87-1</f>
        <v>0.1495242352788575</v>
      </c>
      <c r="AI89" s="1277">
        <f>AI87/AH87-1</f>
        <v>3.0275278346174606E-3</v>
      </c>
      <c r="AJ89" s="1277">
        <f>AJ87/AI87-1</f>
        <v>0.2085913110558435</v>
      </c>
      <c r="AK89" s="1278" t="s">
        <v>945</v>
      </c>
      <c r="AL89" s="1275"/>
      <c r="AM89" s="1277">
        <f>AM87/AJ87-1</f>
        <v>-9.7512528776708685E-3</v>
      </c>
      <c r="AN89" s="1277">
        <f>AN87/AM87-1</f>
        <v>0.10004221580079542</v>
      </c>
      <c r="AO89" s="1277">
        <f>AO87/AN87-1</f>
        <v>-2.7759276171380631E-2</v>
      </c>
      <c r="AP89" s="1277">
        <f>AP87/AO87-1</f>
        <v>0.14561885502227456</v>
      </c>
      <c r="AQ89" s="1278" t="s">
        <v>945</v>
      </c>
      <c r="AR89" s="1275"/>
      <c r="AS89" s="1277">
        <f>AS87/AP87-1</f>
        <v>-5.3433268693184321E-2</v>
      </c>
      <c r="AT89" s="1277">
        <f>AT87/AS87-1</f>
        <v>4.5475301240130106E-2</v>
      </c>
      <c r="AU89" s="1277">
        <f>AU87/AT87-1</f>
        <v>-2.6648909955756084E-2</v>
      </c>
      <c r="AV89" s="1277">
        <f>AV87/AU87-1</f>
        <v>0.1252243616183053</v>
      </c>
      <c r="AW89" s="1278" t="s">
        <v>945</v>
      </c>
      <c r="AX89" s="1275"/>
      <c r="AY89" s="1277">
        <f>AY87/AV87-1</f>
        <v>-4.1431355795093938E-2</v>
      </c>
      <c r="AZ89" s="1277">
        <f>AZ87/AY87-1</f>
        <v>5.0415791163588963E-2</v>
      </c>
      <c r="BA89" s="1277">
        <f>BA87/AZ87-1</f>
        <v>1.181259277624136E-3</v>
      </c>
      <c r="BB89" s="1277">
        <f>BB87/BA87-1</f>
        <v>4.8055384719549954E-2</v>
      </c>
      <c r="BC89" s="1278" t="s">
        <v>945</v>
      </c>
      <c r="BD89" s="1275"/>
      <c r="BE89" s="1277">
        <f>BE87/BB87-1</f>
        <v>-7.04668760281143E-2</v>
      </c>
      <c r="BF89" s="1277">
        <f>BF87/BE87-1</f>
        <v>1.4864728333720656E-2</v>
      </c>
      <c r="BG89" s="1277">
        <f>BG87/BF87-1</f>
        <v>-6.3840243087392556E-2</v>
      </c>
      <c r="BH89" s="1277">
        <f>BH87/BG87-1</f>
        <v>9.9999525863149419E-2</v>
      </c>
      <c r="BI89" s="1278" t="s">
        <v>945</v>
      </c>
      <c r="BJ89" s="1275"/>
      <c r="BK89" s="1277">
        <f>BK87/BH87-1</f>
        <v>-9.7908070366865219E-2</v>
      </c>
      <c r="BL89" s="1277">
        <f>BL87/BK87-1</f>
        <v>5.3924914675767877E-2</v>
      </c>
      <c r="BM89" s="1277">
        <f>BM87/BL87-1</f>
        <v>5.1813471502590858E-3</v>
      </c>
      <c r="BN89" s="1277">
        <f>BN87/BM87-1</f>
        <v>5.9536082474226815E-2</v>
      </c>
      <c r="BO89" s="1278" t="s">
        <v>945</v>
      </c>
      <c r="BP89" s="1275"/>
      <c r="BQ89" s="1277">
        <f>BQ87/BN87-1</f>
        <v>-5.9231330576502095E-2</v>
      </c>
      <c r="BR89" s="1277">
        <f>BR87/BQ87-1</f>
        <v>6.2055591467356175E-2</v>
      </c>
      <c r="BS89" s="1277">
        <f>BS87/BR87-1</f>
        <v>1.1564211807668867E-2</v>
      </c>
      <c r="BT89" s="1277">
        <f>BT87/BS87-1</f>
        <v>6.0770156438026524E-2</v>
      </c>
      <c r="BU89" s="1278" t="s">
        <v>945</v>
      </c>
      <c r="BV89" s="1275"/>
      <c r="BW89" s="1277">
        <f>BW87/BT87-1</f>
        <v>-6.2960862166761222E-2</v>
      </c>
      <c r="BX89" s="1277">
        <f>BX87/BW87-1</f>
        <v>8.0508474576271194E-2</v>
      </c>
      <c r="BY89" s="1277">
        <f>BY87/BX87-1</f>
        <v>0.20224089635854336</v>
      </c>
      <c r="BZ89" s="1277">
        <f>BZ87/BY87-1</f>
        <v>0.13979496738117425</v>
      </c>
      <c r="CA89" s="1278" t="s">
        <v>945</v>
      </c>
      <c r="CB89" s="1275"/>
      <c r="CC89" s="1277">
        <f>CC87/BZ87-1</f>
        <v>-6.8683565004088343E-2</v>
      </c>
      <c r="CD89" s="1277">
        <f>CD87/CC87-1</f>
        <v>2.5460930640913038E-2</v>
      </c>
      <c r="CE89" s="1277">
        <f>CE87/CD87-1</f>
        <v>4.3664383561643927E-2</v>
      </c>
      <c r="CF89" s="1277">
        <f>CF87/CE87-1</f>
        <v>0.15504511894995909</v>
      </c>
      <c r="CG89" s="1279" t="s">
        <v>945</v>
      </c>
      <c r="CH89" s="1275"/>
      <c r="CI89" s="1277">
        <f>CI87/CF87-1</f>
        <v>1.4559659090909172E-2</v>
      </c>
      <c r="CJ89" s="1277">
        <f>CJ87/CI87-1</f>
        <v>5.3202660133006674E-2</v>
      </c>
      <c r="CK89" s="1277">
        <f>CK87/CJ87-1</f>
        <v>1.6616816218012698E-2</v>
      </c>
      <c r="CL89" s="1277">
        <f>CL87/CK87-1</f>
        <v>0.11212814645308922</v>
      </c>
      <c r="CM89" s="1279" t="s">
        <v>945</v>
      </c>
      <c r="CN89" s="1275"/>
      <c r="CO89" s="1277">
        <f>CO87/CL87-1</f>
        <v>3.0570252792474939E-2</v>
      </c>
      <c r="CP89" s="1277">
        <f>CP87/CO87-1</f>
        <v>5.4192812321734118E-2</v>
      </c>
      <c r="CQ89" s="1277">
        <f>CQ87/CP87-1</f>
        <v>1.5963203463203568E-2</v>
      </c>
      <c r="CR89" s="1277">
        <f>CR87/CQ87-1</f>
        <v>0.10173102529960043</v>
      </c>
      <c r="CS89" s="1279" t="s">
        <v>945</v>
      </c>
      <c r="CT89" s="1275"/>
      <c r="CU89" s="1277">
        <f>CU87/CR87-1</f>
        <v>1.1844331641285955E-2</v>
      </c>
      <c r="CV89" s="1277">
        <f>CV87/CU87-1</f>
        <v>-2.9861442904921209E-2</v>
      </c>
      <c r="CW89" s="1277">
        <f>CW87/CV87-1</f>
        <v>-1.7975868012804708E-2</v>
      </c>
      <c r="CX89" s="1277">
        <f>CX87/CW87-1</f>
        <v>3.7362086258776239E-2</v>
      </c>
      <c r="CY89" s="1279" t="s">
        <v>945</v>
      </c>
      <c r="CZ89" s="1275"/>
      <c r="DA89" s="1277">
        <f>DA87/CX87-1</f>
        <v>-2.4655547498187103E-2</v>
      </c>
      <c r="DB89" s="1277">
        <f>DB87/DA87-1</f>
        <v>4.5600991325898343E-2</v>
      </c>
      <c r="DC89" s="1277">
        <f>DC87/DB87-1</f>
        <v>6.1388954728608613E-2</v>
      </c>
      <c r="DD89" s="1277">
        <f>DD87/DC87-1</f>
        <v>0.17530147387226447</v>
      </c>
      <c r="DE89" s="1279" t="s">
        <v>945</v>
      </c>
      <c r="DF89" s="1275"/>
      <c r="DG89" s="1277">
        <f>DG87/DD87-1</f>
        <v>-7.6002280068402372E-3</v>
      </c>
      <c r="DH89" s="1277">
        <f>DH87/DG87-1</f>
        <v>6.8925904652498593E-2</v>
      </c>
      <c r="DI89" s="1277">
        <f>DI87/DH87-1</f>
        <v>-4.4778792763746633E-3</v>
      </c>
      <c r="DJ89" s="1277">
        <f>DJ87/DI87-1</f>
        <v>6.387189636559909E-2</v>
      </c>
      <c r="DK89" s="1279" t="s">
        <v>945</v>
      </c>
      <c r="DL89" s="1275"/>
      <c r="DM89" s="1277">
        <f>DM87/DJ87-1</f>
        <v>-7.102993404363267E-3</v>
      </c>
      <c r="DN89" s="1277">
        <f>DN87/DM87-1</f>
        <v>-1.0390052801907634E-2</v>
      </c>
      <c r="DO89" s="1277">
        <f>DO87/DN87-1</f>
        <v>1.6074354561101956E-3</v>
      </c>
      <c r="DP89" s="1277">
        <f>DP87/DO87-1</f>
        <v>2.522975460856447E-2</v>
      </c>
      <c r="DQ89" s="1279" t="s">
        <v>945</v>
      </c>
      <c r="DR89" s="1275"/>
      <c r="DS89" s="1277">
        <f>DS87/DP87-1</f>
        <v>-4.1594545315305598E-2</v>
      </c>
      <c r="DT89" s="1277">
        <f>DT87/DS87-1</f>
        <v>2.553340328786291E-2</v>
      </c>
      <c r="DU89" s="1277">
        <f>DU87/DT87-1</f>
        <v>-2.2169167803547385E-3</v>
      </c>
      <c r="DV89" s="1277">
        <f>DV87/DU87-1</f>
        <v>1.9483848914715329E-2</v>
      </c>
      <c r="DW89" s="1279" t="s">
        <v>945</v>
      </c>
      <c r="DX89" s="1275"/>
      <c r="DY89" s="1277">
        <f>DY87/DV87-1</f>
        <v>-3.0176026823135471E-3</v>
      </c>
      <c r="DZ89" s="1277">
        <f>DZ87/DY87-1</f>
        <v>2.387758533714468E-2</v>
      </c>
      <c r="EA89" s="1277">
        <f>EA87/DZ87-1</f>
        <v>-6.5692231893578201E-3</v>
      </c>
      <c r="EB89" s="1277">
        <f>EB87/EA87-1</f>
        <v>3.0252934369317197E-2</v>
      </c>
      <c r="EC89" s="1279" t="s">
        <v>945</v>
      </c>
      <c r="ED89" s="1275"/>
      <c r="EE89" s="1277">
        <f>EE87/EB87-1</f>
        <v>-9.3068035943517646E-3</v>
      </c>
      <c r="EF89" s="1277">
        <f>EF87/EE87-1</f>
        <v>2.4781341107871668E-2</v>
      </c>
      <c r="EG89" s="1277">
        <f>EG87/EF87-1</f>
        <v>-3.4297455350086881E-2</v>
      </c>
      <c r="EH89" s="1277">
        <f>EH87/EG87-1</f>
        <v>1.0965630114566194E-2</v>
      </c>
      <c r="EI89" s="1279" t="s">
        <v>945</v>
      </c>
      <c r="EJ89" s="1275"/>
      <c r="EK89" s="1277">
        <f>EK87/EH87-1</f>
        <v>-9.5515622470454531E-3</v>
      </c>
      <c r="EL89" s="1277">
        <f>EL87/EK87-1</f>
        <v>-3.9228506047728207E-3</v>
      </c>
      <c r="EM89" s="1277">
        <f>EM87/EL87-1</f>
        <v>-1.6573679028552668E-2</v>
      </c>
      <c r="EN89" s="1277">
        <f>EN87/EM87-1</f>
        <v>4.2049057233439102E-2</v>
      </c>
      <c r="EO89" s="1279" t="s">
        <v>945</v>
      </c>
      <c r="EP89" s="1275"/>
      <c r="EQ89" s="1277">
        <f>EQ87/EN87-1</f>
        <v>-1.7614091273018384E-2</v>
      </c>
      <c r="ER89" s="1277">
        <f>ER87/EQ87-1</f>
        <v>6.1613691931539094E-4</v>
      </c>
      <c r="ES89" s="1277">
        <f>ES87/ER87-1</f>
        <v>-9.2493948308947083E-3</v>
      </c>
      <c r="ET89" s="1277">
        <f>ET87/ES87-1</f>
        <v>3.7158829332456511E-2</v>
      </c>
      <c r="EU89" s="1279" t="s">
        <v>945</v>
      </c>
      <c r="EV89" s="1275"/>
      <c r="EW89" s="1277">
        <f>EW87/ET87-1</f>
        <v>9.1819911223842698E-3</v>
      </c>
      <c r="EX89" s="1277">
        <f>EX87/EW87-1</f>
        <v>-5.403775102420294E-3</v>
      </c>
      <c r="EY89" s="1277">
        <f>EY87/EX87-1</f>
        <v>4.4033660163751431E-3</v>
      </c>
      <c r="EZ89" s="1277">
        <f>EZ87/EY87-1</f>
        <v>2.5626264442827784E-2</v>
      </c>
      <c r="FA89" s="1279" t="s">
        <v>945</v>
      </c>
      <c r="FB89" s="1275"/>
      <c r="FC89" s="1277">
        <f>FC87/EZ87-1</f>
        <v>-1.0009832368037985E-2</v>
      </c>
      <c r="FD89" s="1277">
        <f>FD87/FC87-1</f>
        <v>-2.1342197022281573E-3</v>
      </c>
      <c r="FE89" s="1277">
        <f>FE87/FD87-1</f>
        <v>-2.4984934616636423E-3</v>
      </c>
      <c r="FF89" s="1277">
        <f>FF87/FE87-1</f>
        <v>2.4106062801705352E-2</v>
      </c>
      <c r="FG89" s="1279" t="s">
        <v>945</v>
      </c>
      <c r="FH89" s="1275"/>
      <c r="FI89" s="1277">
        <f>FI87/FF87-1</f>
        <v>-5.5675062812251541E-3</v>
      </c>
      <c r="FJ89" s="1277">
        <f>FJ87/FI87-1</f>
        <v>-4.0073414583924327E-3</v>
      </c>
      <c r="FK89" s="1277">
        <f>FK87/FJ87-1</f>
        <v>-3.6098174433879526E-3</v>
      </c>
      <c r="FL89" s="1277">
        <f>FL87/FK87-1</f>
        <v>2.2871445888624109E-2</v>
      </c>
      <c r="FM89" s="1279" t="s">
        <v>945</v>
      </c>
      <c r="FN89" s="1123"/>
      <c r="FO89" s="241"/>
      <c r="FP89" s="238"/>
      <c r="FQ89" s="238"/>
      <c r="FR89" s="238"/>
      <c r="FS89" s="241"/>
      <c r="FT89" s="230"/>
      <c r="FU89" s="230"/>
      <c r="FV89" s="230"/>
      <c r="FW89" s="230"/>
      <c r="FX89" s="230"/>
      <c r="FY89" s="230"/>
      <c r="FZ89" s="230"/>
      <c r="GA89" s="230"/>
      <c r="GB89" s="230"/>
      <c r="GC89" s="33"/>
      <c r="GD89" s="33"/>
      <c r="GE89" s="33"/>
      <c r="GF89" s="33"/>
      <c r="GI89"/>
      <c r="GJ89"/>
      <c r="GK89"/>
      <c r="GL89"/>
      <c r="GM89"/>
      <c r="GN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</row>
    <row r="90" spans="1:281" s="33" customFormat="1" ht="3.75" hidden="1" customHeight="1" outlineLevel="1" x14ac:dyDescent="0.2">
      <c r="A90" s="963"/>
      <c r="B90" s="9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  <c r="AH90" s="153"/>
      <c r="AI90" s="153"/>
      <c r="AJ90" s="153"/>
      <c r="AK90" s="153"/>
      <c r="AL90" s="153"/>
      <c r="AM90" s="153"/>
      <c r="AN90" s="153"/>
      <c r="AO90" s="153"/>
      <c r="AP90" s="153"/>
      <c r="AQ90" s="153"/>
      <c r="AR90" s="153"/>
      <c r="AS90" s="153"/>
      <c r="AT90" s="153"/>
      <c r="AU90" s="153"/>
      <c r="AV90" s="153"/>
      <c r="AW90" s="153"/>
      <c r="AX90" s="153"/>
      <c r="AY90" s="153"/>
      <c r="AZ90" s="153"/>
      <c r="BA90" s="153"/>
      <c r="BB90" s="153"/>
      <c r="BC90" s="93"/>
      <c r="BD90" s="153"/>
      <c r="BE90" s="153"/>
      <c r="BF90" s="153"/>
      <c r="BG90" s="153"/>
      <c r="BH90" s="153"/>
      <c r="BI90" s="153"/>
      <c r="BJ90" s="153"/>
      <c r="BK90" s="153"/>
      <c r="BL90" s="153"/>
      <c r="BM90" s="153"/>
      <c r="BN90" s="153"/>
      <c r="BO90" s="153"/>
      <c r="BP90" s="153"/>
      <c r="BQ90" s="324"/>
      <c r="BR90" s="324"/>
      <c r="BS90" s="324"/>
      <c r="BT90" s="324"/>
      <c r="BU90" s="153"/>
      <c r="BV90" s="153"/>
      <c r="BW90" s="324"/>
      <c r="BX90" s="324"/>
      <c r="BY90" s="324"/>
      <c r="BZ90" s="324"/>
      <c r="CA90" s="153"/>
      <c r="CB90" s="153"/>
      <c r="CC90" s="324"/>
      <c r="CD90" s="324"/>
      <c r="CE90" s="324"/>
      <c r="CF90" s="324"/>
      <c r="CG90" s="325"/>
      <c r="CH90" s="153"/>
      <c r="CI90" s="324"/>
      <c r="CJ90" s="324"/>
      <c r="CK90" s="324"/>
      <c r="CL90" s="324"/>
      <c r="CM90" s="325"/>
      <c r="CN90" s="153"/>
      <c r="CO90" s="324"/>
      <c r="CP90" s="324"/>
      <c r="CQ90" s="324"/>
      <c r="CR90" s="324"/>
      <c r="CS90" s="325"/>
      <c r="CT90" s="153"/>
      <c r="CU90" s="324"/>
      <c r="CV90" s="324"/>
      <c r="CW90" s="324"/>
      <c r="CX90" s="324"/>
      <c r="CY90" s="325"/>
      <c r="CZ90" s="153"/>
      <c r="DA90" s="324"/>
      <c r="DB90" s="324"/>
      <c r="DC90" s="324"/>
      <c r="DD90" s="324"/>
      <c r="DE90" s="325"/>
      <c r="DF90" s="153"/>
      <c r="DG90" s="324"/>
      <c r="DH90" s="324"/>
      <c r="DI90" s="324"/>
      <c r="DJ90" s="324"/>
      <c r="DK90" s="325"/>
      <c r="DL90" s="153"/>
      <c r="DM90" s="324"/>
      <c r="DN90" s="324"/>
      <c r="DO90" s="324"/>
      <c r="DP90" s="324"/>
      <c r="DQ90" s="325"/>
      <c r="DR90" s="153"/>
      <c r="DS90" s="324"/>
      <c r="DT90" s="324"/>
      <c r="DU90" s="324"/>
      <c r="DV90" s="324"/>
      <c r="DW90" s="325"/>
      <c r="DX90" s="153"/>
      <c r="DY90" s="324"/>
      <c r="DZ90" s="324"/>
      <c r="EA90" s="324"/>
      <c r="EB90" s="324"/>
      <c r="EC90" s="325"/>
      <c r="ED90" s="153"/>
      <c r="EE90" s="324"/>
      <c r="EF90" s="324"/>
      <c r="EG90" s="324"/>
      <c r="EH90" s="324"/>
      <c r="EI90" s="325"/>
      <c r="EJ90" s="153"/>
      <c r="EK90" s="324"/>
      <c r="EL90" s="324"/>
      <c r="EM90" s="324"/>
      <c r="EN90" s="324"/>
      <c r="EO90" s="325"/>
      <c r="EP90" s="153"/>
      <c r="EQ90" s="324"/>
      <c r="ER90" s="324"/>
      <c r="ES90" s="324"/>
      <c r="ET90" s="324"/>
      <c r="EU90" s="325"/>
      <c r="EV90" s="153"/>
      <c r="EW90" s="324"/>
      <c r="EX90" s="324"/>
      <c r="EY90" s="324"/>
      <c r="EZ90" s="324"/>
      <c r="FA90" s="325"/>
      <c r="FB90" s="153"/>
      <c r="FC90" s="324"/>
      <c r="FD90" s="324"/>
      <c r="FE90" s="324"/>
      <c r="FF90" s="324"/>
      <c r="FG90" s="325"/>
      <c r="FH90" s="153"/>
      <c r="FI90" s="324"/>
      <c r="FJ90" s="324"/>
      <c r="FK90" s="324"/>
      <c r="FL90" s="324"/>
      <c r="FM90" s="325"/>
      <c r="FN90" s="226"/>
      <c r="FO90" s="227"/>
      <c r="FS90" s="227"/>
      <c r="GI90"/>
      <c r="GJ90"/>
      <c r="GK90"/>
      <c r="GL90"/>
      <c r="GM90"/>
      <c r="GN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</row>
    <row r="91" spans="1:281" s="261" customFormat="1" collapsed="1" x14ac:dyDescent="0.2">
      <c r="A91" s="1147" t="s">
        <v>409</v>
      </c>
      <c r="B91" s="1306" t="s">
        <v>464</v>
      </c>
      <c r="C91" s="1161">
        <f>C14</f>
        <v>12.715</v>
      </c>
      <c r="D91" s="1161">
        <f>D14</f>
        <v>23.150999999999996</v>
      </c>
      <c r="E91" s="1161">
        <f>E14</f>
        <v>55.344999999999999</v>
      </c>
      <c r="F91" s="1161">
        <f>F14</f>
        <v>131.249</v>
      </c>
      <c r="G91" s="1161">
        <f>G14+G87</f>
        <v>282.113</v>
      </c>
      <c r="H91" s="1161">
        <f>H14+H87</f>
        <v>583.79999999999995</v>
      </c>
      <c r="I91" s="1161">
        <f>I14+I87</f>
        <v>916.39</v>
      </c>
      <c r="J91" s="1161">
        <f>J87+J14</f>
        <v>1027.9490000000001</v>
      </c>
      <c r="K91" s="1161">
        <f>K87+K14</f>
        <v>1179</v>
      </c>
      <c r="L91" s="1161">
        <f>L87+L14</f>
        <v>1503</v>
      </c>
      <c r="M91" s="1161">
        <f>M87+M14</f>
        <v>2001.1469999999999</v>
      </c>
      <c r="N91" s="1161"/>
      <c r="O91" s="1161">
        <v>556.47400000000005</v>
      </c>
      <c r="P91" s="1161">
        <v>670.28</v>
      </c>
      <c r="Q91" s="1161">
        <v>722.245</v>
      </c>
      <c r="R91" s="1161">
        <v>1017.879</v>
      </c>
      <c r="S91" s="1161">
        <f>SUM(O91:R91)</f>
        <v>2966.8779999999997</v>
      </c>
      <c r="T91" s="1161"/>
      <c r="U91" s="1161">
        <v>771.803</v>
      </c>
      <c r="V91" s="1161">
        <v>967</v>
      </c>
      <c r="W91" s="1161">
        <v>1020.239</v>
      </c>
      <c r="X91" s="1161">
        <v>1464.0739999999998</v>
      </c>
      <c r="Y91" s="1161">
        <f>SUM(U91:X91)</f>
        <v>4223.116</v>
      </c>
      <c r="Z91" s="1161"/>
      <c r="AA91" s="1161">
        <f>SUM(AA14,AA87)</f>
        <v>1052.319</v>
      </c>
      <c r="AB91" s="1161">
        <f>SUM(AB14,AB87)</f>
        <v>1311.373</v>
      </c>
      <c r="AC91" s="1161">
        <f>SUM(AC14,AC87)</f>
        <v>1372.6129999999998</v>
      </c>
      <c r="AD91" s="1161">
        <f>SUM(AD14,AD87)</f>
        <v>1948.0309999999999</v>
      </c>
      <c r="AE91" s="1161">
        <f>SUM(AA91:AD91)</f>
        <v>5684.3359999999993</v>
      </c>
      <c r="AF91" s="1161"/>
      <c r="AG91" s="1161">
        <f>SUM(AG14,AG87)</f>
        <v>1368.828</v>
      </c>
      <c r="AH91" s="1161">
        <f>SUM(AH14,AH87)</f>
        <v>1613.7269999999999</v>
      </c>
      <c r="AI91" s="1161">
        <f>SUM(AI14,AI87)</f>
        <v>1748.7570000000001</v>
      </c>
      <c r="AJ91" s="1161">
        <f>SUM(AJ14,AJ87)</f>
        <v>2412.5529999999999</v>
      </c>
      <c r="AK91" s="1161">
        <f>SUM(AG91:AJ91)</f>
        <v>7143.8649999999998</v>
      </c>
      <c r="AL91" s="1161"/>
      <c r="AM91" s="1161">
        <f>SUM(AM14,AM87)</f>
        <v>1749.11</v>
      </c>
      <c r="AN91" s="1161">
        <f>SUM(AN14,AN87)</f>
        <v>2055.9440000000004</v>
      </c>
      <c r="AO91" s="1161">
        <f>SUM(AO14,AO87)</f>
        <v>2078.92</v>
      </c>
      <c r="AP91" s="1161">
        <f>SUM(AP14,AP87)</f>
        <v>2943.2779999999998</v>
      </c>
      <c r="AQ91" s="1161">
        <f>SUM(AM91:AP91)</f>
        <v>8827.2520000000004</v>
      </c>
      <c r="AR91" s="1161"/>
      <c r="AS91" s="1161">
        <f>SUM(AS14,AS87)</f>
        <v>1984.5170000000001</v>
      </c>
      <c r="AT91" s="1161">
        <f>SUM(AT14,AT87)</f>
        <v>2321.8829999999998</v>
      </c>
      <c r="AU91" s="1161">
        <f>SUM(AU14,AU87)</f>
        <v>2449.4179999999997</v>
      </c>
      <c r="AV91" s="1161">
        <f>SUM(AV14,AV87)</f>
        <v>3374.3100000000004</v>
      </c>
      <c r="AW91" s="1161">
        <f>SUM(AS91:AV91)</f>
        <v>10130.128000000001</v>
      </c>
      <c r="AX91" s="1161"/>
      <c r="AY91" s="1161">
        <f>SUM(AY14,AY87)</f>
        <v>2287.9920000000002</v>
      </c>
      <c r="AZ91" s="1161">
        <f>SUM(AZ14,AZ87)</f>
        <v>2686.4079999999999</v>
      </c>
      <c r="BA91" s="1161">
        <f>SUM(BA14,BA87)</f>
        <v>2696.0619999999999</v>
      </c>
      <c r="BB91" s="1161">
        <f>SUM(BB14,BB87)</f>
        <v>3290.23</v>
      </c>
      <c r="BC91" s="1161">
        <f>SUM(AY91:BB91)</f>
        <v>10960.691999999999</v>
      </c>
      <c r="BD91" s="1161"/>
      <c r="BE91" s="1161">
        <f>SUM(BE14,BE87)</f>
        <v>2265.0549999999998</v>
      </c>
      <c r="BF91" s="1161">
        <f>SUM(BF14,BF87)</f>
        <v>2380.4369999999999</v>
      </c>
      <c r="BG91" s="1161">
        <f>SUM(BG14,BG87)</f>
        <v>2253.3199999999997</v>
      </c>
      <c r="BH91" s="1161">
        <f>SUM(BH14,BH87)</f>
        <v>2773.9810000000002</v>
      </c>
      <c r="BI91" s="1161">
        <f>SUM(BE91:BH91)</f>
        <v>9672.7929999999997</v>
      </c>
      <c r="BJ91" s="1161"/>
      <c r="BK91" s="1161">
        <f>SUM(BK14,BK87)</f>
        <v>2028</v>
      </c>
      <c r="BL91" s="1161">
        <f>SUM(BL14,BL87)</f>
        <v>2309</v>
      </c>
      <c r="BM91" s="1161">
        <f>SUM(BM14,BM87)</f>
        <v>2307</v>
      </c>
      <c r="BN91" s="1161">
        <f>SUM(BN14,BN87)</f>
        <v>2831.4</v>
      </c>
      <c r="BO91" s="1161">
        <f>SUM(BK91:BN91)</f>
        <v>9475.4</v>
      </c>
      <c r="BP91" s="1161"/>
      <c r="BQ91" s="1161">
        <f>SUM(BQ14,BQ87)</f>
        <v>2072</v>
      </c>
      <c r="BR91" s="1161">
        <f>SUM(BR14,BR87)</f>
        <v>2498</v>
      </c>
      <c r="BS91" s="1161">
        <f>SUM(BS14,BS87)</f>
        <v>2509</v>
      </c>
      <c r="BT91" s="1161">
        <f>SUM(BT14,BT87)</f>
        <v>3077</v>
      </c>
      <c r="BU91" s="1161">
        <f>SUM(BQ91:BT91)</f>
        <v>10156</v>
      </c>
      <c r="BV91" s="1161"/>
      <c r="BW91" s="1161">
        <f>SUM(BW14,BW87)</f>
        <v>2215</v>
      </c>
      <c r="BX91" s="1161">
        <f>SUM(BX14,BX87)</f>
        <v>2756</v>
      </c>
      <c r="BY91" s="1161">
        <f>SUM(BY14,BY87)</f>
        <v>3093</v>
      </c>
      <c r="BZ91" s="1161">
        <f>SUM(BZ14,BZ87)</f>
        <v>4055</v>
      </c>
      <c r="CA91" s="1161">
        <f>SUM(BW91:BZ91)</f>
        <v>12119</v>
      </c>
      <c r="CB91" s="1161"/>
      <c r="CC91" s="895">
        <f>SUM(CC14,CC87)</f>
        <v>2907</v>
      </c>
      <c r="CD91" s="895">
        <f>SUM(CD14,CD87)</f>
        <v>3394</v>
      </c>
      <c r="CE91" s="895">
        <f>SUM(CE14,CE87)</f>
        <v>3534.4</v>
      </c>
      <c r="CF91" s="895">
        <f>SUM(CF14,CF87)</f>
        <v>4937</v>
      </c>
      <c r="CG91" s="896">
        <f>SUM(CC91:CF91)</f>
        <v>14772.4</v>
      </c>
      <c r="CH91" s="895"/>
      <c r="CI91" s="895">
        <f>SUM(CI14,CI87)</f>
        <v>3661</v>
      </c>
      <c r="CJ91" s="895">
        <f>SUM(CJ14,CJ87)</f>
        <v>4216</v>
      </c>
      <c r="CK91" s="895">
        <f>SUM(CK14,CK87)</f>
        <v>4449</v>
      </c>
      <c r="CL91" s="895">
        <f>SUM(CL14,CL87)</f>
        <v>5883</v>
      </c>
      <c r="CM91" s="896">
        <f>SUM(CI91:CL91)</f>
        <v>18209</v>
      </c>
      <c r="CN91" s="895"/>
      <c r="CO91" s="895">
        <f>SUM(CO14,CO87)</f>
        <v>4593</v>
      </c>
      <c r="CP91" s="895">
        <f>SUM(CP14,CP87)</f>
        <v>5364</v>
      </c>
      <c r="CQ91" s="895">
        <f>SUM(CQ14,CQ87)</f>
        <v>5371</v>
      </c>
      <c r="CR91" s="895">
        <f>SUM(CR14,CR87)</f>
        <v>7281</v>
      </c>
      <c r="CS91" s="896">
        <f>SUM(CO91:CR91)</f>
        <v>22609</v>
      </c>
      <c r="CT91" s="895"/>
      <c r="CU91" s="895">
        <v>5422</v>
      </c>
      <c r="CV91" s="895">
        <f>SUM(CV14,CV87)</f>
        <v>5687</v>
      </c>
      <c r="CW91" s="895">
        <f>SUM(CW14,CW87)</f>
        <v>5504</v>
      </c>
      <c r="CX91" s="895">
        <f>SUM(CX14,CX87)</f>
        <v>6881</v>
      </c>
      <c r="CY91" s="896">
        <f>SUM(CU91:CX91)</f>
        <v>23494</v>
      </c>
      <c r="CZ91" s="895"/>
      <c r="DA91" s="895">
        <f>SUM(DA14,DA87)</f>
        <v>5063</v>
      </c>
      <c r="DB91" s="895">
        <f>SUM(DB14,DB87)</f>
        <v>5872</v>
      </c>
      <c r="DC91" s="895">
        <f>SUM(DC14,DC60,DC87)</f>
        <v>6469.4</v>
      </c>
      <c r="DD91" s="895">
        <f>SUM(DD14,DD60,DD87)</f>
        <v>9631</v>
      </c>
      <c r="DE91" s="896">
        <f>SUM(DA91:DD91)</f>
        <v>27035.4</v>
      </c>
      <c r="DF91" s="895"/>
      <c r="DG91" s="895">
        <f>SUM(DG14,DG60,DG87)</f>
        <v>7588</v>
      </c>
      <c r="DH91" s="895">
        <f>SUM(DH14,DH60,DH87)</f>
        <v>8694</v>
      </c>
      <c r="DI91" s="895">
        <f>SUM(DI14,DI60,DI87)</f>
        <v>8807</v>
      </c>
      <c r="DJ91" s="895">
        <f>SUM(DJ14,DJ60,DJ87)</f>
        <v>10806</v>
      </c>
      <c r="DK91" s="896">
        <f>SUM(DG91:DJ91)</f>
        <v>35895</v>
      </c>
      <c r="DL91" s="895"/>
      <c r="DM91" s="895">
        <f>SUM(DM14,DM60,DM87)</f>
        <v>8398</v>
      </c>
      <c r="DN91" s="895">
        <f>SUM(DN14,DN60,DN87)</f>
        <v>8811</v>
      </c>
      <c r="DO91" s="895">
        <f>SUM(DO14,DO60,DO87)</f>
        <v>9062.3392000000003</v>
      </c>
      <c r="DP91" s="895">
        <f>SUM(DP14,DP60,DP87)</f>
        <v>10950.1597</v>
      </c>
      <c r="DQ91" s="896">
        <f>SUM(DM91:DP91)</f>
        <v>37221.498900000006</v>
      </c>
      <c r="DR91" s="895"/>
      <c r="DS91" s="895">
        <f>SUM(DS14,DS60,DS87)</f>
        <v>8209</v>
      </c>
      <c r="DT91" s="895">
        <f>SUM(DT14,DT60,DT87)</f>
        <v>9113</v>
      </c>
      <c r="DU91" s="895">
        <f>SUM(DU14,DU60,DU87)</f>
        <v>8970</v>
      </c>
      <c r="DV91" s="895">
        <f>SUM(DV14,DV60,DV87)</f>
        <v>10961</v>
      </c>
      <c r="DW91" s="896">
        <f>SUM(DS91:DV91)</f>
        <v>37253</v>
      </c>
      <c r="DX91" s="895"/>
      <c r="DY91" s="895">
        <f>SUM(DY14,DY60,DY87)</f>
        <v>8381</v>
      </c>
      <c r="DZ91" s="895">
        <f>SUM(DZ14,DZ60,DZ87)</f>
        <v>9283</v>
      </c>
      <c r="EA91" s="895">
        <f>SUM(EA14,EA60,EA87)</f>
        <v>9315</v>
      </c>
      <c r="EB91" s="895">
        <f>SUM(EB14,EB60,EB87)</f>
        <v>11326</v>
      </c>
      <c r="EC91" s="896">
        <f>SUM(DY91:EB91)</f>
        <v>38305</v>
      </c>
      <c r="ED91" s="895"/>
      <c r="EE91" s="895">
        <f>SUM(EE14,EE60,EE87)</f>
        <v>8599</v>
      </c>
      <c r="EF91" s="895">
        <f>SUM(EF14,EF60,EF87)</f>
        <v>9608</v>
      </c>
      <c r="EG91" s="895">
        <f>SUM(EG14,EG60,EG87)</f>
        <v>9334</v>
      </c>
      <c r="EH91" s="895">
        <f>SUM(EH14,EH60,EH87)</f>
        <v>10712</v>
      </c>
      <c r="EI91" s="896">
        <f>SUM(EE91:EH91)</f>
        <v>38253</v>
      </c>
      <c r="EJ91" s="895"/>
      <c r="EK91" s="895">
        <f>SUM(EK14,EK60,EK87)</f>
        <v>8451</v>
      </c>
      <c r="EL91" s="895">
        <f>SUM(EL14,EL60,EL87)</f>
        <v>8996</v>
      </c>
      <c r="EM91" s="895">
        <f>SUM(EM14,EM60,EM87)</f>
        <v>9014</v>
      </c>
      <c r="EN91" s="895">
        <f>SUM(EN14,EN60,EN87)</f>
        <v>10596</v>
      </c>
      <c r="EO91" s="896">
        <f>SUM(EK91:EN91)</f>
        <v>37057</v>
      </c>
      <c r="EP91" s="895"/>
      <c r="EQ91" s="895">
        <f>SUM(EQ14,EQ60,EQ87)</f>
        <v>8613</v>
      </c>
      <c r="ER91" s="895">
        <f>SUM(ER14,ER60,ER87)</f>
        <v>9069.7799999999988</v>
      </c>
      <c r="ES91" s="895">
        <f>SUM(ES14,ES60,ES87)</f>
        <v>9274</v>
      </c>
      <c r="ET91" s="895">
        <f>SUM(ET14,ET60,ET87)</f>
        <v>10941</v>
      </c>
      <c r="EU91" s="896">
        <f>SUM(EQ91:ET91)</f>
        <v>37897.78</v>
      </c>
      <c r="EV91" s="895"/>
      <c r="EW91" s="895">
        <f>SUM(EW14,EW60,EW87)</f>
        <v>9212</v>
      </c>
      <c r="EX91" s="895">
        <f>SUM(EX14,EX60,EX87)</f>
        <v>9630</v>
      </c>
      <c r="EY91" s="895">
        <f>SUM(EY14,EY60,EY87)</f>
        <v>9776</v>
      </c>
      <c r="EZ91" s="895">
        <f>SUM(EZ14,EZ60,EZ87)</f>
        <v>11189.672666097718</v>
      </c>
      <c r="FA91" s="896">
        <f>SUM(EW91:EZ91)</f>
        <v>39807.672666097715</v>
      </c>
      <c r="FB91" s="895"/>
      <c r="FC91" s="895">
        <f>SUM(FC14,FC60,FC87)</f>
        <v>9549.3946591173699</v>
      </c>
      <c r="FD91" s="895">
        <f>SUM(FD14,FD60,FD87)</f>
        <v>9981.8770320631811</v>
      </c>
      <c r="FE91" s="895">
        <f>SUM(FE14,FE60,FE87)</f>
        <v>10091.835491560028</v>
      </c>
      <c r="FF91" s="895">
        <f>SUM(FF14,FF60,FF87)</f>
        <v>11403.477190248725</v>
      </c>
      <c r="FG91" s="896">
        <f>SUM(FC91:FF91)</f>
        <v>41026.584372989302</v>
      </c>
      <c r="FH91" s="895"/>
      <c r="FI91" s="895">
        <f>SUM(FI14,FI60,FI87)</f>
        <v>9939.594532346644</v>
      </c>
      <c r="FJ91" s="895">
        <f>SUM(FJ14,FJ60,FJ87)</f>
        <v>10342.853603262749</v>
      </c>
      <c r="FK91" s="895">
        <f>SUM(FK14,FK60,FK87)</f>
        <v>10440.008118755788</v>
      </c>
      <c r="FL91" s="895">
        <f>SUM(FL14,FL60,FL87)</f>
        <v>11676.39968560894</v>
      </c>
      <c r="FM91" s="896">
        <f>SUM(FI91:FL91)</f>
        <v>42398.855939974121</v>
      </c>
      <c r="FN91" s="226"/>
      <c r="FO91" s="944">
        <f>CE91+CF91+CI91+CJ91</f>
        <v>16348.4</v>
      </c>
      <c r="FP91" s="895">
        <f>CK91+CL91+CO91+CP91</f>
        <v>20289</v>
      </c>
      <c r="FQ91" s="895">
        <f>CV91+CU91+CR91+CQ91</f>
        <v>23761</v>
      </c>
      <c r="FR91" s="895">
        <f>CW91+CX91+DA91+DB91</f>
        <v>23320</v>
      </c>
      <c r="FS91" s="1712">
        <f t="shared" ref="FS91:GA91" si="37">SUM(FS14,FS60,FS87)</f>
        <v>32382.400000000001</v>
      </c>
      <c r="FT91" s="1713">
        <f t="shared" si="37"/>
        <v>36822</v>
      </c>
      <c r="FU91" s="1713">
        <f t="shared" si="37"/>
        <v>37334.498899999999</v>
      </c>
      <c r="FV91" s="1713">
        <f t="shared" si="37"/>
        <v>37595</v>
      </c>
      <c r="FW91" s="1713">
        <f t="shared" si="37"/>
        <v>38848</v>
      </c>
      <c r="FX91" s="1713">
        <f t="shared" si="37"/>
        <v>37493</v>
      </c>
      <c r="FY91" s="1713">
        <f t="shared" si="37"/>
        <v>37292.78</v>
      </c>
      <c r="FZ91" s="1713">
        <f t="shared" si="37"/>
        <v>39057</v>
      </c>
      <c r="GA91" s="1713">
        <f t="shared" si="37"/>
        <v>40496.944357278277</v>
      </c>
      <c r="GB91" s="1713">
        <f t="shared" ref="GB91" si="38">SUM(GB14,GB60,GB87)</f>
        <v>41777.760817418144</v>
      </c>
      <c r="GC91" s="443"/>
      <c r="GD91" s="443"/>
      <c r="GE91" s="443"/>
      <c r="GF91" s="443"/>
      <c r="GI91"/>
      <c r="GJ91"/>
      <c r="GK91"/>
      <c r="GL91"/>
      <c r="GM91"/>
      <c r="GN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</row>
    <row r="92" spans="1:281" s="37" customFormat="1" ht="10.5" customHeight="1" x14ac:dyDescent="0.2">
      <c r="A92" s="1264" t="s">
        <v>669</v>
      </c>
      <c r="B92" s="1265"/>
      <c r="C92" s="1291" t="s">
        <v>945</v>
      </c>
      <c r="D92" s="1267">
        <f>D91/C91-1</f>
        <v>0.82076287848997209</v>
      </c>
      <c r="E92" s="1267">
        <f t="shared" ref="E92:M92" si="39">E91/D91-1</f>
        <v>1.3906094769124446</v>
      </c>
      <c r="F92" s="1267">
        <f t="shared" si="39"/>
        <v>1.3714698708103712</v>
      </c>
      <c r="G92" s="1267">
        <f t="shared" si="39"/>
        <v>1.1494487577048207</v>
      </c>
      <c r="H92" s="1267">
        <f t="shared" si="39"/>
        <v>1.0693835448915858</v>
      </c>
      <c r="I92" s="1267">
        <f t="shared" si="39"/>
        <v>0.56969852689277167</v>
      </c>
      <c r="J92" s="1267">
        <f t="shared" si="39"/>
        <v>0.12173746985453793</v>
      </c>
      <c r="K92" s="1267">
        <f t="shared" si="39"/>
        <v>0.14694406045436104</v>
      </c>
      <c r="L92" s="1267">
        <f t="shared" si="39"/>
        <v>0.27480916030534353</v>
      </c>
      <c r="M92" s="1267">
        <f t="shared" si="39"/>
        <v>0.33143512974051892</v>
      </c>
      <c r="N92" s="1268"/>
      <c r="O92" s="1295" t="s">
        <v>945</v>
      </c>
      <c r="P92" s="1295" t="s">
        <v>945</v>
      </c>
      <c r="Q92" s="1295" t="s">
        <v>945</v>
      </c>
      <c r="R92" s="1295" t="s">
        <v>945</v>
      </c>
      <c r="S92" s="1267">
        <f>S91/M91-1</f>
        <v>0.48258873536027069</v>
      </c>
      <c r="T92" s="1268"/>
      <c r="U92" s="1267">
        <f>U91/O91-1</f>
        <v>0.38695249014329502</v>
      </c>
      <c r="V92" s="1267">
        <f>V91/P91-1</f>
        <v>0.44268067076445661</v>
      </c>
      <c r="W92" s="1267">
        <f>W91/Q91-1</f>
        <v>0.41259406434104773</v>
      </c>
      <c r="X92" s="1267">
        <f>X91/R91-1</f>
        <v>0.4383576043910915</v>
      </c>
      <c r="Y92" s="1267">
        <f>Y91/S91-1</f>
        <v>0.42342084844742534</v>
      </c>
      <c r="Z92" s="1268"/>
      <c r="AA92" s="1267">
        <f>AA91/U91-1</f>
        <v>0.36345544134967089</v>
      </c>
      <c r="AB92" s="1267">
        <f>AB91/V91-1</f>
        <v>0.35612512926577056</v>
      </c>
      <c r="AC92" s="1267">
        <f>AC91/W91-1</f>
        <v>0.3453837777226707</v>
      </c>
      <c r="AD92" s="1267">
        <f>AD91/X91-1</f>
        <v>0.33055501292967437</v>
      </c>
      <c r="AE92" s="1267">
        <f>AE91/Y91-1</f>
        <v>0.34600517721985358</v>
      </c>
      <c r="AF92" s="1268"/>
      <c r="AG92" s="1267">
        <f>AG91/AA91-1</f>
        <v>0.30077286450211393</v>
      </c>
      <c r="AH92" s="1267">
        <f>AH91/AB91-1</f>
        <v>0.23056292908272469</v>
      </c>
      <c r="AI92" s="1267">
        <f>AI91/AC91-1</f>
        <v>0.27403499748290328</v>
      </c>
      <c r="AJ92" s="1267">
        <f>AJ91/AD91-1</f>
        <v>0.23845719087632578</v>
      </c>
      <c r="AK92" s="1267">
        <f>AK91/AE91-1</f>
        <v>0.25676332292813098</v>
      </c>
      <c r="AL92" s="1268"/>
      <c r="AM92" s="1267">
        <f>AM91/AG91-1</f>
        <v>0.27781576648052186</v>
      </c>
      <c r="AN92" s="1267">
        <f>AN91/AH91-1</f>
        <v>0.27403457957882638</v>
      </c>
      <c r="AO92" s="1267">
        <f>AO91/AI91-1</f>
        <v>0.18879867242847359</v>
      </c>
      <c r="AP92" s="1267">
        <f>AP91/AJ91-1</f>
        <v>0.21998480447890678</v>
      </c>
      <c r="AQ92" s="1267">
        <f>AQ91/AK91-1</f>
        <v>0.2356409310646268</v>
      </c>
      <c r="AR92" s="1268"/>
      <c r="AS92" s="1267">
        <f>AS91/AM91-1</f>
        <v>0.13458673268119226</v>
      </c>
      <c r="AT92" s="1267">
        <f>AT91/AN91-1</f>
        <v>0.12935128583268773</v>
      </c>
      <c r="AU92" s="1267">
        <f>AU91/AO91-1</f>
        <v>0.17821657399034097</v>
      </c>
      <c r="AV92" s="1267">
        <f>AV91/AP91-1</f>
        <v>0.14644624123171535</v>
      </c>
      <c r="AW92" s="1267">
        <f>AW91/AQ91-1</f>
        <v>0.14759700980554302</v>
      </c>
      <c r="AX92" s="1268"/>
      <c r="AY92" s="1267">
        <f>AY91/AS91-1</f>
        <v>0.15292134055792928</v>
      </c>
      <c r="AZ92" s="1267">
        <f>AZ91/AT91-1</f>
        <v>0.15699542138858846</v>
      </c>
      <c r="BA92" s="1267">
        <f>BA91/AU91-1</f>
        <v>0.10069494059405137</v>
      </c>
      <c r="BB92" s="1267">
        <f>BB91/AV91-1</f>
        <v>-2.4917686875242762E-2</v>
      </c>
      <c r="BC92" s="1267">
        <f>BC91/AW91-1</f>
        <v>8.1989487200951228E-2</v>
      </c>
      <c r="BD92" s="1268"/>
      <c r="BE92" s="1267">
        <f>BE91/AY91-1</f>
        <v>-1.0024947639677206E-2</v>
      </c>
      <c r="BF92" s="1267">
        <f>BF91/AZ91-1</f>
        <v>-0.11389595325803081</v>
      </c>
      <c r="BG92" s="1267">
        <f>BG91/BA91-1</f>
        <v>-0.16421803356154285</v>
      </c>
      <c r="BH92" s="1267">
        <f>BH91/BB91-1</f>
        <v>-0.15690362071952413</v>
      </c>
      <c r="BI92" s="1267">
        <f>BI91/BC91-1</f>
        <v>-0.11750161394919223</v>
      </c>
      <c r="BJ92" s="1268"/>
      <c r="BK92" s="1267">
        <f>BK91/BE91-1</f>
        <v>-0.10465750279794528</v>
      </c>
      <c r="BL92" s="1267">
        <f>BL91/BF91-1</f>
        <v>-3.0010035972386495E-2</v>
      </c>
      <c r="BM92" s="1267">
        <f>BM91/BG91-1</f>
        <v>2.3822626169385686E-2</v>
      </c>
      <c r="BN92" s="1267">
        <f>BN91/BH91-1</f>
        <v>2.0699132402132392E-2</v>
      </c>
      <c r="BO92" s="1267">
        <f>BO91/BI91-1</f>
        <v>-2.0407032384544999E-2</v>
      </c>
      <c r="BP92" s="1268"/>
      <c r="BQ92" s="1267">
        <f>BQ91/BK91-1</f>
        <v>2.1696252465483346E-2</v>
      </c>
      <c r="BR92" s="1267">
        <f>BR91/BL91-1</f>
        <v>8.1853616284105701E-2</v>
      </c>
      <c r="BS92" s="1267">
        <f>BS91/BM91-1</f>
        <v>8.7559601213697436E-2</v>
      </c>
      <c r="BT92" s="1267">
        <f>BT91/BN91-1</f>
        <v>8.6741541286995849E-2</v>
      </c>
      <c r="BU92" s="1267">
        <f>BU91/BO91-1</f>
        <v>7.1828102243704839E-2</v>
      </c>
      <c r="BV92" s="1268"/>
      <c r="BW92" s="1267">
        <f>BW91/BQ91-1</f>
        <v>6.9015444015444016E-2</v>
      </c>
      <c r="BX92" s="1267">
        <f>BX91/BR91-1</f>
        <v>0.10328262610088079</v>
      </c>
      <c r="BY92" s="1267">
        <f>BY91/BS91-1</f>
        <v>0.2327620565962536</v>
      </c>
      <c r="BZ92" s="1267">
        <f>BZ91/BT91-1</f>
        <v>0.31784205394865128</v>
      </c>
      <c r="CA92" s="1267">
        <f>CA91/BU91-1</f>
        <v>0.19328475777865295</v>
      </c>
      <c r="CB92" s="1268"/>
      <c r="CC92" s="1267">
        <f>CC91/BW91-1</f>
        <v>0.31241534988713315</v>
      </c>
      <c r="CD92" s="1267">
        <f>CD91/BX91-1</f>
        <v>0.2314949201741654</v>
      </c>
      <c r="CE92" s="1267">
        <f>CE91/BY91-1</f>
        <v>0.1427093436792759</v>
      </c>
      <c r="CF92" s="1267">
        <f>CF91/BZ91-1</f>
        <v>0.21750924784217007</v>
      </c>
      <c r="CG92" s="1270">
        <f>CG91/CA91-1</f>
        <v>0.21894545754600214</v>
      </c>
      <c r="CH92" s="1268"/>
      <c r="CI92" s="1267">
        <f>CI91/CC91-1</f>
        <v>0.25937392500860001</v>
      </c>
      <c r="CJ92" s="1267">
        <f>CJ91/CD91-1</f>
        <v>0.24219210371243372</v>
      </c>
      <c r="CK92" s="1267">
        <f>CK91/CE91-1</f>
        <v>0.25877093707559973</v>
      </c>
      <c r="CL92" s="1267">
        <f>CL91/CF91-1</f>
        <v>0.19161434069272842</v>
      </c>
      <c r="CM92" s="1270">
        <f>CM91/CG91-1</f>
        <v>0.23263653840946641</v>
      </c>
      <c r="CN92" s="1268"/>
      <c r="CO92" s="1267">
        <f>CO91/CI91-1</f>
        <v>0.2545752526632068</v>
      </c>
      <c r="CP92" s="1267">
        <f>CP91/CJ91-1</f>
        <v>0.27229601518026558</v>
      </c>
      <c r="CQ92" s="1267">
        <f>CQ91/CK91-1</f>
        <v>0.20723758147898397</v>
      </c>
      <c r="CR92" s="1267">
        <f>CR91/CL91-1</f>
        <v>0.23763386027536981</v>
      </c>
      <c r="CS92" s="1270">
        <f>CS91/CM91-1</f>
        <v>0.24163875006864743</v>
      </c>
      <c r="CT92" s="1268"/>
      <c r="CU92" s="1267">
        <f>CU91/CO91-1</f>
        <v>0.18049205312431971</v>
      </c>
      <c r="CV92" s="1267">
        <f>CV91/CP91-1</f>
        <v>6.0216256524981304E-2</v>
      </c>
      <c r="CW92" s="1267">
        <f>CW91/CQ91-1</f>
        <v>2.4762614038354114E-2</v>
      </c>
      <c r="CX92" s="1267">
        <f>CX91/CR91-1</f>
        <v>-5.4937508583985717E-2</v>
      </c>
      <c r="CY92" s="1270">
        <f>CY91/CS91-1</f>
        <v>3.9143703834755961E-2</v>
      </c>
      <c r="CZ92" s="1268"/>
      <c r="DA92" s="1267">
        <f>DA91/CU91-1</f>
        <v>-6.6211729988933987E-2</v>
      </c>
      <c r="DB92" s="1267">
        <f>DB91/CV91-1</f>
        <v>3.2530332336908829E-2</v>
      </c>
      <c r="DC92" s="1267">
        <f>DC91/CW91-1</f>
        <v>0.17539970930232562</v>
      </c>
      <c r="DD92" s="1267">
        <f>DD91/CX91-1</f>
        <v>0.39965121348641186</v>
      </c>
      <c r="DE92" s="1270">
        <f>DE91/CY91-1</f>
        <v>0.1507363582191199</v>
      </c>
      <c r="DF92" s="1268"/>
      <c r="DG92" s="1267">
        <f>DG91/DA91-1</f>
        <v>0.49871617618013042</v>
      </c>
      <c r="DH92" s="1267">
        <f>DH91/DB91-1</f>
        <v>0.48058583106267028</v>
      </c>
      <c r="DI92" s="1267">
        <f>DI91/DC91-1</f>
        <v>0.36133180820477939</v>
      </c>
      <c r="DJ92" s="1267">
        <f>DJ91/DD91-1</f>
        <v>0.12200186896480125</v>
      </c>
      <c r="DK92" s="1270">
        <f>DK91/DE91-1</f>
        <v>0.32770367740074113</v>
      </c>
      <c r="DL92" s="1268"/>
      <c r="DM92" s="1267">
        <f>DM91/DG91-1</f>
        <v>0.106747496046389</v>
      </c>
      <c r="DN92" s="1267">
        <f>DN91/DH91-1</f>
        <v>1.3457556935817738E-2</v>
      </c>
      <c r="DO92" s="1267">
        <f>DO91/DI91-1</f>
        <v>2.8992755762461631E-2</v>
      </c>
      <c r="DP92" s="1267">
        <f>DP91/DJ91-1</f>
        <v>1.3340708865445139E-2</v>
      </c>
      <c r="DQ92" s="1270">
        <f>DQ91/DK91-1</f>
        <v>3.6954977016297796E-2</v>
      </c>
      <c r="DR92" s="1268"/>
      <c r="DS92" s="1267">
        <f>DS91/DM91-1</f>
        <v>-2.2505358418671073E-2</v>
      </c>
      <c r="DT92" s="1267">
        <f>DT91/DN91-1</f>
        <v>3.4275337646124227E-2</v>
      </c>
      <c r="DU92" s="1267">
        <f>DU91/DO91-1</f>
        <v>-1.0189333897367314E-2</v>
      </c>
      <c r="DV92" s="1267">
        <f>DV91/DP91-1</f>
        <v>9.89967297006622E-4</v>
      </c>
      <c r="DW92" s="1286">
        <f>DW91/DQ91-1</f>
        <v>8.4631465499618308E-4</v>
      </c>
      <c r="DX92" s="1271"/>
      <c r="DY92" s="1271">
        <f>DY91/DS91-1</f>
        <v>2.0952612985747354E-2</v>
      </c>
      <c r="DZ92" s="1271">
        <f>DZ91/DT91-1</f>
        <v>1.8654669153955972E-2</v>
      </c>
      <c r="EA92" s="1271">
        <f>EA91/DU91-1</f>
        <v>3.8461538461538547E-2</v>
      </c>
      <c r="EB92" s="1271">
        <f>EB91/DV91-1</f>
        <v>3.3299881397682585E-2</v>
      </c>
      <c r="EC92" s="1286">
        <f>EC91/DW91-1</f>
        <v>2.8239336429280781E-2</v>
      </c>
      <c r="ED92" s="1268"/>
      <c r="EE92" s="1271">
        <f>EE91/DY91-1</f>
        <v>2.6011215845364477E-2</v>
      </c>
      <c r="EF92" s="1271">
        <f>EF91/DZ91-1</f>
        <v>3.5010233760637721E-2</v>
      </c>
      <c r="EG92" s="1271">
        <f>EG91/EA91-1</f>
        <v>2.0397208803006883E-3</v>
      </c>
      <c r="EH92" s="1271">
        <f>EH91/EB91-1</f>
        <v>-5.4211548649125918E-2</v>
      </c>
      <c r="EI92" s="1286">
        <f>EI91/EC91-1</f>
        <v>-1.3575251272679445E-3</v>
      </c>
      <c r="EJ92" s="1268"/>
      <c r="EK92" s="1271">
        <f>EK91/EE91-1</f>
        <v>-1.7211303639958153E-2</v>
      </c>
      <c r="EL92" s="1271">
        <f>EL91/EF91-1</f>
        <v>-6.3696919233971694E-2</v>
      </c>
      <c r="EM92" s="1271">
        <f>EM91/EG91-1</f>
        <v>-3.4283265481037106E-2</v>
      </c>
      <c r="EN92" s="1271">
        <f>EN91/EH91-1</f>
        <v>-1.0828976848394345E-2</v>
      </c>
      <c r="EO92" s="1286">
        <f>EO91/EI91-1</f>
        <v>-3.1265521658431994E-2</v>
      </c>
      <c r="EP92" s="1271"/>
      <c r="EQ92" s="1271">
        <f>EQ91/EK91-1</f>
        <v>1.9169329073482455E-2</v>
      </c>
      <c r="ER92" s="1271">
        <f>ER91/EL91-1</f>
        <v>8.201422854601903E-3</v>
      </c>
      <c r="ES92" s="1271">
        <f>ES91/EM91-1</f>
        <v>2.8844020412691407E-2</v>
      </c>
      <c r="ET92" s="1271">
        <f>ET91/EN91-1</f>
        <v>3.2559456398641107E-2</v>
      </c>
      <c r="EU92" s="1286">
        <f>EU91/EO91-1</f>
        <v>2.2688830720241748E-2</v>
      </c>
      <c r="EV92" s="1271"/>
      <c r="EW92" s="1271">
        <f>EW91/EQ91-1</f>
        <v>6.954603506327639E-2</v>
      </c>
      <c r="EX92" s="1271">
        <f>EX91/ER91-1</f>
        <v>6.1767760629254598E-2</v>
      </c>
      <c r="EY92" s="1271">
        <f>EY91/ES91-1</f>
        <v>5.4129825318093516E-2</v>
      </c>
      <c r="EZ92" s="1271">
        <f>EZ91/ET91-1</f>
        <v>2.272851349033167E-2</v>
      </c>
      <c r="FA92" s="1286">
        <f>FA91/EU91-1</f>
        <v>5.0395898284746998E-2</v>
      </c>
      <c r="FB92" s="1271"/>
      <c r="FC92" s="1271">
        <f>FC91/EW91-1</f>
        <v>3.6625560043136218E-2</v>
      </c>
      <c r="FD92" s="1271">
        <f>FD91/EX91-1</f>
        <v>3.6539671034598209E-2</v>
      </c>
      <c r="FE92" s="1271">
        <f>FE91/EY91-1</f>
        <v>3.2307231133390735E-2</v>
      </c>
      <c r="FF92" s="1271">
        <f>FF91/EZ91-1</f>
        <v>1.9107308187735317E-2</v>
      </c>
      <c r="FG92" s="1286">
        <f>FG91/FA91-1</f>
        <v>3.0620019339379079E-2</v>
      </c>
      <c r="FH92" s="1271"/>
      <c r="FI92" s="1271">
        <f>FI91/FC91-1</f>
        <v>4.0861215517648208E-2</v>
      </c>
      <c r="FJ92" s="1271">
        <f>FJ91/FD91-1</f>
        <v>3.6163195563325479E-2</v>
      </c>
      <c r="FK92" s="1271">
        <f>FK91/FE91-1</f>
        <v>3.4500426358212266E-2</v>
      </c>
      <c r="FL92" s="1271">
        <f>FL91/FF91-1</f>
        <v>2.3933269721764683E-2</v>
      </c>
      <c r="FM92" s="1286">
        <f>FM91/FG91-1</f>
        <v>3.3448350330823162E-2</v>
      </c>
      <c r="FN92" s="274"/>
      <c r="FO92" s="275"/>
      <c r="FP92" s="188">
        <f t="shared" ref="FP92:GB92" si="40">FP91/FO91-1</f>
        <v>0.24103887842235339</v>
      </c>
      <c r="FQ92" s="188">
        <f t="shared" si="40"/>
        <v>0.17112721178963963</v>
      </c>
      <c r="FR92" s="188">
        <f t="shared" si="40"/>
        <v>-1.8559824923193413E-2</v>
      </c>
      <c r="FS92" s="275">
        <f t="shared" si="40"/>
        <v>0.38861063464837065</v>
      </c>
      <c r="FT92" s="188">
        <f t="shared" si="40"/>
        <v>0.13709916497850672</v>
      </c>
      <c r="FU92" s="188">
        <f t="shared" si="40"/>
        <v>1.3918279832708658E-2</v>
      </c>
      <c r="FV92" s="188">
        <f t="shared" si="40"/>
        <v>6.977490194732594E-3</v>
      </c>
      <c r="FW92" s="188">
        <f t="shared" si="40"/>
        <v>3.3328900119696803E-2</v>
      </c>
      <c r="FX92" s="188">
        <f t="shared" si="40"/>
        <v>-3.4879530477759491E-2</v>
      </c>
      <c r="FY92" s="188">
        <f t="shared" si="40"/>
        <v>-5.3401968367429165E-3</v>
      </c>
      <c r="FZ92" s="188">
        <f t="shared" si="40"/>
        <v>4.7307280390467055E-2</v>
      </c>
      <c r="GA92" s="188">
        <f t="shared" si="40"/>
        <v>3.6867766527850954E-2</v>
      </c>
      <c r="GB92" s="188">
        <f t="shared" si="40"/>
        <v>3.1627484010646745E-2</v>
      </c>
      <c r="GC92" s="188"/>
      <c r="GD92" s="188"/>
      <c r="GE92" s="188"/>
      <c r="GF92" s="188"/>
      <c r="GI92"/>
      <c r="GJ92"/>
      <c r="GK92"/>
      <c r="GL92"/>
      <c r="GM92"/>
      <c r="GN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</row>
    <row r="93" spans="1:281" s="37" customFormat="1" ht="10.5" customHeight="1" x14ac:dyDescent="0.2">
      <c r="A93" s="1272" t="s">
        <v>1101</v>
      </c>
      <c r="B93" s="1273"/>
      <c r="C93" s="1278" t="s">
        <v>945</v>
      </c>
      <c r="D93" s="1278" t="s">
        <v>945</v>
      </c>
      <c r="E93" s="1278" t="s">
        <v>945</v>
      </c>
      <c r="F93" s="1278" t="s">
        <v>945</v>
      </c>
      <c r="G93" s="1278" t="s">
        <v>945</v>
      </c>
      <c r="H93" s="1278" t="s">
        <v>945</v>
      </c>
      <c r="I93" s="1278" t="s">
        <v>945</v>
      </c>
      <c r="J93" s="1278" t="s">
        <v>945</v>
      </c>
      <c r="K93" s="1278" t="s">
        <v>945</v>
      </c>
      <c r="L93" s="1278" t="s">
        <v>945</v>
      </c>
      <c r="M93" s="1278" t="s">
        <v>945</v>
      </c>
      <c r="N93" s="1275"/>
      <c r="O93" s="1305" t="s">
        <v>945</v>
      </c>
      <c r="P93" s="1305" t="s">
        <v>945</v>
      </c>
      <c r="Q93" s="1305" t="s">
        <v>945</v>
      </c>
      <c r="R93" s="1305" t="s">
        <v>945</v>
      </c>
      <c r="S93" s="1278" t="s">
        <v>945</v>
      </c>
      <c r="T93" s="1275"/>
      <c r="U93" s="1277">
        <f>U91/R91-1</f>
        <v>-0.2417536858506758</v>
      </c>
      <c r="V93" s="1277">
        <f>V91/U91-1</f>
        <v>0.25291039293705775</v>
      </c>
      <c r="W93" s="1277">
        <f>W91/V91-1</f>
        <v>5.5055842812823164E-2</v>
      </c>
      <c r="X93" s="1277">
        <f>X91/W91-1</f>
        <v>0.43503041934291842</v>
      </c>
      <c r="Y93" s="1278" t="s">
        <v>945</v>
      </c>
      <c r="Z93" s="1275"/>
      <c r="AA93" s="1277">
        <f>AA91/X91-1</f>
        <v>-0.28123919965794075</v>
      </c>
      <c r="AB93" s="1277">
        <f>AB91/AA91-1</f>
        <v>0.2461744014885221</v>
      </c>
      <c r="AC93" s="1277">
        <f>AC91/AB91-1</f>
        <v>4.6699146619611387E-2</v>
      </c>
      <c r="AD93" s="1277">
        <f>AD91/AC91-1</f>
        <v>0.41921357294444994</v>
      </c>
      <c r="AE93" s="1278" t="s">
        <v>945</v>
      </c>
      <c r="AF93" s="1275"/>
      <c r="AG93" s="1277">
        <f>AG91/AD91-1</f>
        <v>-0.29732740392735024</v>
      </c>
      <c r="AH93" s="1277">
        <f>AH91/AG91-1</f>
        <v>0.17891144833390316</v>
      </c>
      <c r="AI93" s="1277">
        <f>AI91/AH91-1</f>
        <v>8.3675863389532479E-2</v>
      </c>
      <c r="AJ93" s="1277">
        <f>AJ91/AI91-1</f>
        <v>0.37958161139598001</v>
      </c>
      <c r="AK93" s="1278" t="s">
        <v>945</v>
      </c>
      <c r="AL93" s="1275"/>
      <c r="AM93" s="1277">
        <f>AM91/AJ91-1</f>
        <v>-0.27499623842460663</v>
      </c>
      <c r="AN93" s="1277">
        <f>AN91/AM91-1</f>
        <v>0.17542292937551118</v>
      </c>
      <c r="AO93" s="1277">
        <f>AO91/AN91-1</f>
        <v>1.1175401664636597E-2</v>
      </c>
      <c r="AP93" s="1277">
        <f>AP91/AO91-1</f>
        <v>0.41577261270274946</v>
      </c>
      <c r="AQ93" s="1278" t="s">
        <v>945</v>
      </c>
      <c r="AR93" s="1275"/>
      <c r="AS93" s="1277">
        <f>AS91/AP91-1</f>
        <v>-0.32574598797667087</v>
      </c>
      <c r="AT93" s="1277">
        <f>AT91/AS91-1</f>
        <v>0.16999904762720597</v>
      </c>
      <c r="AU93" s="1277">
        <f>AU91/AT91-1</f>
        <v>5.4927401596032155E-2</v>
      </c>
      <c r="AV93" s="1277">
        <f>AV91/AU91-1</f>
        <v>0.37759663724199011</v>
      </c>
      <c r="AW93" s="1278" t="s">
        <v>945</v>
      </c>
      <c r="AX93" s="1275"/>
      <c r="AY93" s="1277">
        <f>AY91/AV91-1</f>
        <v>-0.32193781839842817</v>
      </c>
      <c r="AZ93" s="1277">
        <f>AZ91/AY91-1</f>
        <v>0.17413347599117457</v>
      </c>
      <c r="BA93" s="1277">
        <f>BA91/AZ91-1</f>
        <v>3.5936462369081656E-3</v>
      </c>
      <c r="BB93" s="1277">
        <f>BB91/BA91-1</f>
        <v>0.22038365586548081</v>
      </c>
      <c r="BC93" s="1278" t="s">
        <v>945</v>
      </c>
      <c r="BD93" s="1275"/>
      <c r="BE93" s="1277">
        <f>BE91/BB91-1</f>
        <v>-0.31158156116745639</v>
      </c>
      <c r="BF93" s="1277">
        <f>BF91/BE91-1</f>
        <v>5.0940043398504775E-2</v>
      </c>
      <c r="BG93" s="1277">
        <f>BG91/BF91-1</f>
        <v>-5.340069911533063E-2</v>
      </c>
      <c r="BH93" s="1277">
        <f>BH91/BG91-1</f>
        <v>0.231063941206753</v>
      </c>
      <c r="BI93" s="1278" t="s">
        <v>945</v>
      </c>
      <c r="BJ93" s="1275"/>
      <c r="BK93" s="1277">
        <f>BK91/BH91-1</f>
        <v>-0.26892073161279773</v>
      </c>
      <c r="BL93" s="1277">
        <f>BL91/BK91-1</f>
        <v>0.13856015779092701</v>
      </c>
      <c r="BM93" s="1277">
        <f>BM91/BL91-1</f>
        <v>-8.6617583369419382E-4</v>
      </c>
      <c r="BN93" s="1277">
        <f>BN91/BM91-1</f>
        <v>0.22730819245773737</v>
      </c>
      <c r="BO93" s="1278" t="s">
        <v>945</v>
      </c>
      <c r="BP93" s="1275"/>
      <c r="BQ93" s="1277">
        <f>BQ91/BN91-1</f>
        <v>-0.26820654093381369</v>
      </c>
      <c r="BR93" s="1277">
        <f>BR91/BQ91-1</f>
        <v>0.20559845559845558</v>
      </c>
      <c r="BS93" s="1277">
        <f>BS91/BR91-1</f>
        <v>4.4035228182546238E-3</v>
      </c>
      <c r="BT93" s="1277">
        <f>BT91/BS91-1</f>
        <v>0.22638501394978072</v>
      </c>
      <c r="BU93" s="1278" t="s">
        <v>945</v>
      </c>
      <c r="BV93" s="1275"/>
      <c r="BW93" s="1277">
        <f>BW91/BT91-1</f>
        <v>-0.28014299642508933</v>
      </c>
      <c r="BX93" s="1277">
        <f>BX91/BW91-1</f>
        <v>0.24424379232505644</v>
      </c>
      <c r="BY93" s="1277">
        <f>BY91/BX91-1</f>
        <v>0.12227866473149485</v>
      </c>
      <c r="BZ93" s="1277">
        <f>BZ91/BY91-1</f>
        <v>0.31102489492402197</v>
      </c>
      <c r="CA93" s="1278" t="s">
        <v>945</v>
      </c>
      <c r="CB93" s="1275"/>
      <c r="CC93" s="1277">
        <f>CC91/BZ91-1</f>
        <v>-0.28310727496917387</v>
      </c>
      <c r="CD93" s="1277">
        <f>CD91/CC91-1</f>
        <v>0.16752665978672177</v>
      </c>
      <c r="CE93" s="1277">
        <f>CE91/CD91-1</f>
        <v>4.1367118444313622E-2</v>
      </c>
      <c r="CF93" s="1277">
        <f>CF91/CE91-1</f>
        <v>0.396842462652784</v>
      </c>
      <c r="CG93" s="1279" t="s">
        <v>945</v>
      </c>
      <c r="CH93" s="1275"/>
      <c r="CI93" s="1277">
        <f>CI91/CF91-1</f>
        <v>-0.25845655256228484</v>
      </c>
      <c r="CJ93" s="1277">
        <f>CJ91/CI91-1</f>
        <v>0.15159792406446315</v>
      </c>
      <c r="CK93" s="1277">
        <f>CK91/CJ91-1</f>
        <v>5.5265654648956275E-2</v>
      </c>
      <c r="CL93" s="1277">
        <f>CL91/CK91-1</f>
        <v>0.32231962238705325</v>
      </c>
      <c r="CM93" s="1279" t="s">
        <v>945</v>
      </c>
      <c r="CN93" s="1275"/>
      <c r="CO93" s="1277">
        <f>CO91/CL91-1</f>
        <v>-0.21927587965323814</v>
      </c>
      <c r="CP93" s="1277">
        <f>CP91/CO91-1</f>
        <v>0.16786414108425873</v>
      </c>
      <c r="CQ93" s="1277">
        <f>CQ91/CP91-1</f>
        <v>1.3049962714393182E-3</v>
      </c>
      <c r="CR93" s="1277">
        <f>CR91/CQ91-1</f>
        <v>0.35561347979892011</v>
      </c>
      <c r="CS93" s="1279" t="s">
        <v>945</v>
      </c>
      <c r="CT93" s="1275"/>
      <c r="CU93" s="1277">
        <f>CU91/CR91-1</f>
        <v>-0.25532207114407357</v>
      </c>
      <c r="CV93" s="1277">
        <f>CV91/CU91-1</f>
        <v>4.8874953891552941E-2</v>
      </c>
      <c r="CW93" s="1277">
        <f>CW91/CV91-1</f>
        <v>-3.2178653068401619E-2</v>
      </c>
      <c r="CX93" s="1277">
        <f>CX91/CW91-1</f>
        <v>0.25018168604651159</v>
      </c>
      <c r="CY93" s="1279" t="s">
        <v>945</v>
      </c>
      <c r="CZ93" s="1275"/>
      <c r="DA93" s="1277">
        <f>DA91/CX91-1</f>
        <v>-0.26420578404301698</v>
      </c>
      <c r="DB93" s="1277">
        <f>DB91/DA91-1</f>
        <v>0.15978668773454463</v>
      </c>
      <c r="DC93" s="1277">
        <f>DC91/DB91-1</f>
        <v>0.10173705722070836</v>
      </c>
      <c r="DD93" s="1277">
        <f>DD91/DC91-1</f>
        <v>0.48870065230160464</v>
      </c>
      <c r="DE93" s="1279" t="s">
        <v>945</v>
      </c>
      <c r="DF93" s="1275"/>
      <c r="DG93" s="1277">
        <f>DG91/DD91-1</f>
        <v>-0.2121275049319904</v>
      </c>
      <c r="DH93" s="1277">
        <f>DH91/DG91-1</f>
        <v>0.14575645756457556</v>
      </c>
      <c r="DI93" s="1277">
        <f>DI91/DH91-1</f>
        <v>1.2997469519208549E-2</v>
      </c>
      <c r="DJ93" s="1277">
        <f>DJ91/DI91-1</f>
        <v>0.22697853979788807</v>
      </c>
      <c r="DK93" s="1279" t="s">
        <v>945</v>
      </c>
      <c r="DL93" s="1275"/>
      <c r="DM93" s="1277">
        <f>DM91/DJ91-1</f>
        <v>-0.22283916342772536</v>
      </c>
      <c r="DN93" s="1277">
        <f>DN91/DM91-1</f>
        <v>4.9178375803762719E-2</v>
      </c>
      <c r="DO93" s="1277">
        <f>DO91/DN91-1</f>
        <v>2.8525615707638119E-2</v>
      </c>
      <c r="DP93" s="1277">
        <f>DP91/DO91-1</f>
        <v>0.20831492381128269</v>
      </c>
      <c r="DQ93" s="1279" t="s">
        <v>945</v>
      </c>
      <c r="DR93" s="1275"/>
      <c r="DS93" s="1277">
        <f>DS91/DP91-1</f>
        <v>-0.25033056823819655</v>
      </c>
      <c r="DT93" s="1277">
        <f>DT91/DS91-1</f>
        <v>0.11012303569253268</v>
      </c>
      <c r="DU93" s="1277">
        <f>DU91/DT91-1</f>
        <v>-1.5691868758915817E-2</v>
      </c>
      <c r="DV93" s="1277">
        <f>DV91/DU91-1</f>
        <v>0.22196209587513938</v>
      </c>
      <c r="DW93" s="1279" t="s">
        <v>945</v>
      </c>
      <c r="DX93" s="1275"/>
      <c r="DY93" s="1277">
        <f>DY91/DV91-1</f>
        <v>-0.23537998357814072</v>
      </c>
      <c r="DZ93" s="1277">
        <f>DZ91/DY91-1</f>
        <v>0.10762438849779254</v>
      </c>
      <c r="EA93" s="1277">
        <f>EA91/DZ91-1</f>
        <v>3.4471614779705284E-3</v>
      </c>
      <c r="EB93" s="1277">
        <f>EB91/EA91-1</f>
        <v>0.21588835212023616</v>
      </c>
      <c r="EC93" s="1279" t="s">
        <v>945</v>
      </c>
      <c r="ED93" s="1275"/>
      <c r="EE93" s="1277">
        <f>EE91/EB91-1</f>
        <v>-0.2407734416387074</v>
      </c>
      <c r="EF93" s="1277">
        <f>EF91/EE91-1</f>
        <v>0.11733922549133613</v>
      </c>
      <c r="EG93" s="1277">
        <f>EG91/EF91-1</f>
        <v>-2.8517901748542851E-2</v>
      </c>
      <c r="EH93" s="1277">
        <f>EH91/EG91-1</f>
        <v>0.14763231197771587</v>
      </c>
      <c r="EI93" s="1279" t="s">
        <v>945</v>
      </c>
      <c r="EJ93" s="1275"/>
      <c r="EK93" s="1740">
        <f>EK91/EH91-1</f>
        <v>-0.21107169529499625</v>
      </c>
      <c r="EL93" s="1277">
        <f>EL91/EK91-1</f>
        <v>6.4489409537332953E-2</v>
      </c>
      <c r="EM93" s="1277">
        <f>EM91/EL91-1</f>
        <v>2.0008892841263393E-3</v>
      </c>
      <c r="EN93" s="1277">
        <f>EN91/EM91-1</f>
        <v>0.17550477035722212</v>
      </c>
      <c r="EO93" s="1279" t="s">
        <v>945</v>
      </c>
      <c r="EP93" s="1275"/>
      <c r="EQ93" s="1740">
        <f>EQ91/EN91-1</f>
        <v>-0.18714609286523221</v>
      </c>
      <c r="ER93" s="1277">
        <f>ER91/EQ91-1</f>
        <v>5.3033786137234307E-2</v>
      </c>
      <c r="ES93" s="1277">
        <f>ES91/ER91-1</f>
        <v>2.2516532925826338E-2</v>
      </c>
      <c r="ET93" s="1277">
        <f>ET91/ES91-1</f>
        <v>0.17974983825749402</v>
      </c>
      <c r="EU93" s="1279" t="s">
        <v>945</v>
      </c>
      <c r="EV93" s="1275"/>
      <c r="EW93" s="1740">
        <f>EW91/ET91-1</f>
        <v>-0.15802943058221364</v>
      </c>
      <c r="EX93" s="1277">
        <f>EX91/EW91-1</f>
        <v>4.5375597047329519E-2</v>
      </c>
      <c r="EY93" s="1277">
        <f>EY91/EX91-1</f>
        <v>1.5160955347871319E-2</v>
      </c>
      <c r="EZ93" s="1277">
        <f>EZ91/EY91-1</f>
        <v>0.14460645111474202</v>
      </c>
      <c r="FA93" s="1279" t="s">
        <v>945</v>
      </c>
      <c r="FB93" s="1275"/>
      <c r="FC93" s="1277">
        <f>FC91/EZ91-1</f>
        <v>-0.14658856035619661</v>
      </c>
      <c r="FD93" s="1277">
        <f>FD91/FC91-1</f>
        <v>4.5288983059559085E-2</v>
      </c>
      <c r="FE93" s="1277">
        <f>FE91/FD91-1</f>
        <v>1.1015809866585791E-2</v>
      </c>
      <c r="FF93" s="1277">
        <f>FF91/FE91-1</f>
        <v>0.12997057867081208</v>
      </c>
      <c r="FG93" s="1279" t="s">
        <v>945</v>
      </c>
      <c r="FH93" s="1275"/>
      <c r="FI93" s="1277">
        <f>FI91/FF91-1</f>
        <v>-0.1283716039835523</v>
      </c>
      <c r="FJ93" s="1277">
        <f>FJ91/FI91-1</f>
        <v>4.0570977981422729E-2</v>
      </c>
      <c r="FK93" s="1277">
        <f>FK91/FJ91-1</f>
        <v>9.3933955965876947E-3</v>
      </c>
      <c r="FL93" s="1277">
        <f>FL91/FK91-1</f>
        <v>0.1184282189045367</v>
      </c>
      <c r="FM93" s="1279" t="s">
        <v>945</v>
      </c>
      <c r="FN93" s="1123"/>
      <c r="FO93" s="241"/>
      <c r="FP93" s="238"/>
      <c r="FQ93" s="238"/>
      <c r="FR93" s="238"/>
      <c r="FS93" s="241"/>
      <c r="FT93" s="230"/>
      <c r="FU93" s="230"/>
      <c r="FV93" s="230"/>
      <c r="FW93" s="230"/>
      <c r="FX93" s="230"/>
      <c r="FY93" s="230"/>
      <c r="FZ93" s="230"/>
      <c r="GA93" s="230"/>
      <c r="GB93" s="230"/>
      <c r="GC93" s="33"/>
      <c r="GD93" s="33"/>
      <c r="GE93" s="33"/>
      <c r="GF93" s="33"/>
      <c r="GI93"/>
      <c r="GJ93"/>
      <c r="GK93"/>
      <c r="GL93"/>
      <c r="GM93"/>
      <c r="GN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</row>
    <row r="94" spans="1:281" s="37" customFormat="1" ht="3" customHeight="1" x14ac:dyDescent="0.2">
      <c r="A94" s="247"/>
      <c r="B94" s="952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6"/>
      <c r="BC94" s="36"/>
      <c r="BD94" s="36"/>
      <c r="BE94" s="36"/>
      <c r="BF94" s="36"/>
      <c r="BG94" s="36"/>
      <c r="BH94" s="36"/>
      <c r="BI94" s="36"/>
      <c r="BJ94" s="36"/>
      <c r="BK94" s="36"/>
      <c r="BL94" s="36"/>
      <c r="BM94" s="36"/>
      <c r="BN94" s="36"/>
      <c r="BO94" s="36"/>
      <c r="BP94" s="36"/>
      <c r="BU94" s="36"/>
      <c r="BV94" s="36"/>
      <c r="CA94" s="36"/>
      <c r="CB94" s="36"/>
      <c r="CG94" s="264"/>
      <c r="CH94" s="36"/>
      <c r="CM94" s="264"/>
      <c r="CN94" s="36"/>
      <c r="CS94" s="264"/>
      <c r="CT94" s="36"/>
      <c r="CY94" s="264"/>
      <c r="CZ94" s="36"/>
      <c r="DE94" s="264"/>
      <c r="DF94" s="36"/>
      <c r="DK94" s="264"/>
      <c r="DL94" s="36"/>
      <c r="DQ94" s="264"/>
      <c r="DR94" s="36"/>
      <c r="DW94" s="264"/>
      <c r="DX94" s="36"/>
      <c r="EC94" s="264"/>
      <c r="ED94" s="36"/>
      <c r="EI94" s="264"/>
      <c r="EJ94" s="36"/>
      <c r="EO94" s="264"/>
      <c r="EP94" s="36"/>
      <c r="EU94" s="264"/>
      <c r="EV94" s="36"/>
      <c r="FA94" s="264"/>
      <c r="FB94" s="36"/>
      <c r="FG94" s="264"/>
      <c r="FH94" s="36"/>
      <c r="FM94" s="264"/>
      <c r="FN94" s="1123"/>
      <c r="FO94" s="265"/>
      <c r="FP94" s="266"/>
      <c r="FQ94" s="266"/>
      <c r="FR94" s="266"/>
      <c r="FS94" s="1714"/>
      <c r="FT94" s="1715"/>
      <c r="FU94" s="1715"/>
      <c r="FV94" s="1715"/>
      <c r="FW94" s="1715"/>
      <c r="FX94" s="1715"/>
      <c r="FY94" s="1715"/>
      <c r="FZ94" s="1715"/>
      <c r="GA94" s="1715"/>
      <c r="GB94" s="1715"/>
      <c r="GI94"/>
      <c r="GJ94"/>
      <c r="GK94"/>
      <c r="GL94"/>
      <c r="GM94"/>
      <c r="GN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</row>
    <row r="95" spans="1:281" s="37" customFormat="1" hidden="1" outlineLevel="1" x14ac:dyDescent="0.2">
      <c r="A95" s="56" t="s">
        <v>603</v>
      </c>
      <c r="B95" s="952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/>
      <c r="BB95" s="36"/>
      <c r="BC95" s="36"/>
      <c r="BD95" s="36"/>
      <c r="BE95" s="36"/>
      <c r="BF95" s="36"/>
      <c r="BG95" s="36"/>
      <c r="BH95" s="36"/>
      <c r="BI95" s="36"/>
      <c r="BJ95" s="36"/>
      <c r="BK95" s="36"/>
      <c r="BL95" s="36"/>
      <c r="BM95" s="36"/>
      <c r="BN95" s="36"/>
      <c r="BO95" s="36"/>
      <c r="BP95" s="36"/>
      <c r="BU95" s="36"/>
      <c r="BV95" s="36"/>
      <c r="CA95" s="36"/>
      <c r="CB95" s="36"/>
      <c r="CC95" s="236"/>
      <c r="CG95" s="234"/>
      <c r="CH95" s="36"/>
      <c r="CJ95" s="22"/>
      <c r="CK95" s="22"/>
      <c r="CL95" s="22"/>
      <c r="CM95" s="234"/>
      <c r="CN95" s="36"/>
      <c r="CO95" s="22"/>
      <c r="CP95" s="22"/>
      <c r="CQ95" s="22"/>
      <c r="CR95" s="236"/>
      <c r="CS95" s="234"/>
      <c r="CT95" s="36"/>
      <c r="CU95" s="236"/>
      <c r="CV95" s="236"/>
      <c r="CW95" s="236"/>
      <c r="CX95" s="236"/>
      <c r="CY95" s="234"/>
      <c r="CZ95" s="36"/>
      <c r="DE95" s="264"/>
      <c r="DF95" s="36"/>
      <c r="DK95" s="264"/>
      <c r="DL95" s="36"/>
      <c r="DQ95" s="264"/>
      <c r="DR95" s="36"/>
      <c r="DW95" s="264"/>
      <c r="DX95" s="36"/>
      <c r="EC95" s="264"/>
      <c r="ED95" s="36"/>
      <c r="EI95" s="264"/>
      <c r="EJ95" s="36"/>
      <c r="EO95" s="264"/>
      <c r="EP95" s="36"/>
      <c r="EU95" s="264"/>
      <c r="EV95" s="36"/>
      <c r="FA95" s="264"/>
      <c r="FB95" s="36"/>
      <c r="FG95" s="264"/>
      <c r="FH95" s="36"/>
      <c r="FM95" s="264"/>
      <c r="FN95" s="1123"/>
      <c r="FO95" s="235"/>
      <c r="FS95" s="235"/>
      <c r="FT95" s="33"/>
      <c r="FU95" s="33"/>
      <c r="FV95" s="33"/>
      <c r="FW95" s="33"/>
      <c r="FX95" s="33"/>
      <c r="FY95" s="33"/>
      <c r="FZ95" s="33"/>
      <c r="GA95" s="33"/>
      <c r="GB95" s="33"/>
      <c r="GC95" s="33"/>
      <c r="GD95" s="33"/>
      <c r="GE95" s="33"/>
      <c r="GF95" s="33"/>
      <c r="GI95"/>
      <c r="GJ95"/>
      <c r="GK95"/>
      <c r="GL95"/>
      <c r="GM95"/>
      <c r="GN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</row>
    <row r="96" spans="1:281" s="37" customFormat="1" hidden="1" outlineLevel="1" x14ac:dyDescent="0.2">
      <c r="A96" s="41" t="s">
        <v>377</v>
      </c>
      <c r="B96" s="952"/>
      <c r="C96" s="259" t="str">
        <f t="shared" ref="C96:M96" si="41">C87</f>
        <v>-</v>
      </c>
      <c r="D96" s="259" t="str">
        <f t="shared" si="41"/>
        <v>-</v>
      </c>
      <c r="E96" s="259" t="str">
        <f t="shared" si="41"/>
        <v>-</v>
      </c>
      <c r="F96" s="259" t="str">
        <f t="shared" si="41"/>
        <v>-</v>
      </c>
      <c r="G96" s="259">
        <f t="shared" si="41"/>
        <v>76.677999999999997</v>
      </c>
      <c r="H96" s="259">
        <f t="shared" si="41"/>
        <v>165.87</v>
      </c>
      <c r="I96" s="259">
        <f t="shared" si="41"/>
        <v>251.82599999999999</v>
      </c>
      <c r="J96" s="259">
        <f t="shared" si="41"/>
        <v>382.464</v>
      </c>
      <c r="K96" s="259">
        <f t="shared" si="41"/>
        <v>522</v>
      </c>
      <c r="L96" s="259">
        <f t="shared" si="41"/>
        <v>697</v>
      </c>
      <c r="M96" s="259">
        <f t="shared" si="41"/>
        <v>902.14700000000005</v>
      </c>
      <c r="N96" s="36"/>
      <c r="O96" s="259">
        <f>O87</f>
        <v>276.47400000000005</v>
      </c>
      <c r="P96" s="259">
        <f>P87</f>
        <v>327.27999999999997</v>
      </c>
      <c r="Q96" s="259">
        <f>Q87</f>
        <v>347.245</v>
      </c>
      <c r="R96" s="259">
        <f>R87</f>
        <v>409.87900000000002</v>
      </c>
      <c r="S96" s="259">
        <f>S87</f>
        <v>1360.8780000000002</v>
      </c>
      <c r="T96" s="36"/>
      <c r="U96" s="259">
        <f>U87</f>
        <v>421.803</v>
      </c>
      <c r="V96" s="259">
        <f>V87</f>
        <v>481.91</v>
      </c>
      <c r="W96" s="259">
        <f>W87</f>
        <v>505.23900000000003</v>
      </c>
      <c r="X96" s="259">
        <f>X87</f>
        <v>581.07399999999984</v>
      </c>
      <c r="Y96" s="259">
        <f>Y87</f>
        <v>1990.0259999999998</v>
      </c>
      <c r="Z96" s="36"/>
      <c r="AA96" s="259">
        <f>AA87</f>
        <v>608.00199999999995</v>
      </c>
      <c r="AB96" s="259">
        <f>AB87</f>
        <v>704.92600000000004</v>
      </c>
      <c r="AC96" s="259">
        <f>AC87</f>
        <v>708.35599999999999</v>
      </c>
      <c r="AD96" s="259">
        <f>AD87</f>
        <v>840.60199999999998</v>
      </c>
      <c r="AE96" s="259">
        <f>AE87</f>
        <v>2861.886</v>
      </c>
      <c r="AF96" s="36"/>
      <c r="AG96" s="259">
        <f>AG87</f>
        <v>863.452</v>
      </c>
      <c r="AH96" s="259">
        <f>AH87</f>
        <v>992.55899999999997</v>
      </c>
      <c r="AI96" s="259">
        <f>AI87</f>
        <v>995.56399999999996</v>
      </c>
      <c r="AJ96" s="259">
        <f>AJ87</f>
        <v>1203.2299999999998</v>
      </c>
      <c r="AK96" s="259">
        <f>AK87</f>
        <v>4054.8049999999994</v>
      </c>
      <c r="AL96" s="36"/>
      <c r="AM96" s="259">
        <f>AM87</f>
        <v>1191.4969999999998</v>
      </c>
      <c r="AN96" s="259">
        <f>AN87</f>
        <v>1310.6970000000001</v>
      </c>
      <c r="AO96" s="259">
        <f>AO87</f>
        <v>1274.3130000000001</v>
      </c>
      <c r="AP96" s="259">
        <f>AP87</f>
        <v>1459.877</v>
      </c>
      <c r="AQ96" s="259">
        <f>AQ87</f>
        <v>5236.384</v>
      </c>
      <c r="AR96" s="36"/>
      <c r="AS96" s="259">
        <f>AS87</f>
        <v>1381.8710000000001</v>
      </c>
      <c r="AT96" s="259">
        <f>AT87</f>
        <v>1444.712</v>
      </c>
      <c r="AU96" s="259">
        <f>AU87</f>
        <v>1406.2119999999998</v>
      </c>
      <c r="AV96" s="259">
        <f>AV87</f>
        <v>1582.3040000000001</v>
      </c>
      <c r="AW96" s="259">
        <f>AW87</f>
        <v>5815.0990000000002</v>
      </c>
      <c r="AX96" s="36"/>
      <c r="AY96" s="259">
        <f>AY87</f>
        <v>1516.7469999999998</v>
      </c>
      <c r="AZ96" s="259">
        <f>AZ87</f>
        <v>1593.2149999999999</v>
      </c>
      <c r="BA96" s="259">
        <f>BA87</f>
        <v>1595.097</v>
      </c>
      <c r="BB96" s="259">
        <f>BB87</f>
        <v>1671.75</v>
      </c>
      <c r="BC96" s="259">
        <f>BC87</f>
        <v>6376.8089999999993</v>
      </c>
      <c r="BD96" s="36"/>
      <c r="BE96" s="259">
        <f>BE87</f>
        <v>1553.9469999999999</v>
      </c>
      <c r="BF96" s="259">
        <f>BF87</f>
        <v>1577.046</v>
      </c>
      <c r="BG96" s="259">
        <f>BG87</f>
        <v>1476.367</v>
      </c>
      <c r="BH96" s="259">
        <f>BH87</f>
        <v>1624.0030000000002</v>
      </c>
      <c r="BI96" s="259">
        <f>BI87</f>
        <v>6231.3629999999994</v>
      </c>
      <c r="BJ96" s="36"/>
      <c r="BK96" s="259">
        <f>BK87</f>
        <v>1465</v>
      </c>
      <c r="BL96" s="259">
        <f>BL87</f>
        <v>1544</v>
      </c>
      <c r="BM96" s="259">
        <f>BM87</f>
        <v>1552</v>
      </c>
      <c r="BN96" s="259">
        <f>BN87</f>
        <v>1644.4</v>
      </c>
      <c r="BO96" s="259">
        <f>BO87</f>
        <v>6205.4</v>
      </c>
      <c r="BP96" s="36"/>
      <c r="BQ96" s="259">
        <f>BQ87</f>
        <v>1547</v>
      </c>
      <c r="BR96" s="259">
        <f>BR87</f>
        <v>1643</v>
      </c>
      <c r="BS96" s="259">
        <f>BS87</f>
        <v>1662</v>
      </c>
      <c r="BT96" s="259">
        <f>BT87</f>
        <v>1763</v>
      </c>
      <c r="BU96" s="259">
        <f>BU87</f>
        <v>6615</v>
      </c>
      <c r="BV96" s="36"/>
      <c r="BW96" s="259">
        <f>BW87-BW97</f>
        <v>1652</v>
      </c>
      <c r="BX96" s="259">
        <f>BX87-BX97</f>
        <v>1785</v>
      </c>
      <c r="BY96" s="259">
        <f>BY87-BY97</f>
        <v>2003</v>
      </c>
      <c r="BZ96" s="259">
        <f>BZ87-BZ97</f>
        <v>2268.9920000000002</v>
      </c>
      <c r="CA96" s="33">
        <f>SUM(BW96:BZ96)</f>
        <v>7708.9920000000002</v>
      </c>
      <c r="CB96" s="267"/>
      <c r="CC96" s="59">
        <f>CC87-CC97</f>
        <v>2139</v>
      </c>
      <c r="CD96" s="59">
        <f>CD87-CD97</f>
        <v>2234</v>
      </c>
      <c r="CE96" s="59">
        <f>CE87-CE97</f>
        <v>2373.5</v>
      </c>
      <c r="CF96" s="59">
        <f>CF87-CF97</f>
        <v>2730</v>
      </c>
      <c r="CG96" s="143">
        <f>SUM(CC96:CF96)</f>
        <v>9476.5</v>
      </c>
      <c r="CH96" s="267"/>
      <c r="CI96" s="59">
        <f>CI87-CI97</f>
        <v>2787</v>
      </c>
      <c r="CJ96" s="59">
        <f>CJ87-CJ97</f>
        <v>2956</v>
      </c>
      <c r="CK96" s="59">
        <f>CK87-CK97</f>
        <v>3024</v>
      </c>
      <c r="CL96" s="59">
        <f>CL87-CL97</f>
        <v>3347</v>
      </c>
      <c r="CM96" s="143">
        <f>SUM(CI96:CL96)</f>
        <v>12114</v>
      </c>
      <c r="CN96" s="267"/>
      <c r="CO96" s="59">
        <f>CO87-CO97</f>
        <v>3442</v>
      </c>
      <c r="CP96" s="59">
        <f>CP87-CP97</f>
        <v>3645</v>
      </c>
      <c r="CQ96" s="59">
        <f>CQ87-CQ97</f>
        <v>3733</v>
      </c>
      <c r="CR96" s="59">
        <f>CR87-CR97</f>
        <v>4095</v>
      </c>
      <c r="CS96" s="143">
        <f>SUM(CO96:CR96)</f>
        <v>14915</v>
      </c>
      <c r="CT96" s="267"/>
      <c r="CU96" s="59">
        <f>CU87-CU97</f>
        <v>4095</v>
      </c>
      <c r="CV96" s="59">
        <f>CV87-CV97</f>
        <v>3981</v>
      </c>
      <c r="CW96" s="59">
        <f>CW87-CW97</f>
        <v>3937</v>
      </c>
      <c r="CX96" s="59">
        <f>CX87-CX97</f>
        <v>4117</v>
      </c>
      <c r="CY96" s="143">
        <f>SUM(CU96:CX96)</f>
        <v>16130</v>
      </c>
      <c r="CZ96" s="267"/>
      <c r="DA96" s="59">
        <f>DA87-DA97</f>
        <v>4026</v>
      </c>
      <c r="DB96" s="59">
        <f>DB87-DB97</f>
        <v>4205</v>
      </c>
      <c r="DC96" s="59">
        <f>DC87-DC97</f>
        <v>4413</v>
      </c>
      <c r="DD96" s="59">
        <f>DD87-DD97</f>
        <v>5137</v>
      </c>
      <c r="DE96" s="143">
        <f>SUM(DA96:DD96)</f>
        <v>17781</v>
      </c>
      <c r="DF96" s="267"/>
      <c r="DG96" s="59">
        <f>DG87-DG97</f>
        <v>5137</v>
      </c>
      <c r="DH96" s="59">
        <f>DH87-DH97</f>
        <v>5516</v>
      </c>
      <c r="DI96" s="59">
        <f>DI87-DI97</f>
        <v>5515</v>
      </c>
      <c r="DJ96" s="59">
        <f>DJ87-DJ97</f>
        <v>5882</v>
      </c>
      <c r="DK96" s="143">
        <f>SUM(DG96:DJ96)</f>
        <v>22050</v>
      </c>
      <c r="DL96" s="267"/>
      <c r="DM96" s="59">
        <f>DM87-DM97</f>
        <v>5847</v>
      </c>
      <c r="DN96" s="59">
        <f>DN87-DN97</f>
        <v>5791</v>
      </c>
      <c r="DO96" s="59">
        <f>DO87-DO97</f>
        <v>5796.3392000000003</v>
      </c>
      <c r="DP96" s="59">
        <f>DP87-DP97</f>
        <v>5932.1597000000002</v>
      </c>
      <c r="DQ96" s="143">
        <f>SUM(DM96:DP96)</f>
        <v>23366.498900000002</v>
      </c>
      <c r="DR96" s="267"/>
      <c r="DS96" s="59">
        <f>DS87-DS97</f>
        <v>5690</v>
      </c>
      <c r="DT96" s="59">
        <f>DT87-DT97</f>
        <v>5845</v>
      </c>
      <c r="DU96" s="59">
        <f>DU87-DU97</f>
        <v>5839</v>
      </c>
      <c r="DV96" s="59">
        <f>DV87-DV97</f>
        <v>5951</v>
      </c>
      <c r="DW96" s="143">
        <f>SUM(DS96:DV96)</f>
        <v>23325</v>
      </c>
      <c r="DX96" s="267"/>
      <c r="DY96" s="59">
        <f>DY87-DY97</f>
        <v>5938</v>
      </c>
      <c r="DZ96" s="59">
        <f>DZ87-DZ97</f>
        <v>6082</v>
      </c>
      <c r="EA96" s="59">
        <f>EA87-EA97</f>
        <v>6041</v>
      </c>
      <c r="EB96" s="59">
        <f>EB87-EB97</f>
        <v>6226</v>
      </c>
      <c r="EC96" s="143">
        <f>SUM(DY96:EB96)</f>
        <v>24287</v>
      </c>
      <c r="ED96" s="267"/>
      <c r="EE96" s="59">
        <f>EE87-EE97</f>
        <v>6171</v>
      </c>
      <c r="EF96" s="59">
        <f>EF87-EF97</f>
        <v>6317</v>
      </c>
      <c r="EG96" s="59">
        <f>EG87-EG97</f>
        <v>6103</v>
      </c>
      <c r="EH96" s="59">
        <f>EH87-EH97</f>
        <v>6170</v>
      </c>
      <c r="EI96" s="143">
        <f>SUM(EE96:EH96)</f>
        <v>24761</v>
      </c>
      <c r="EJ96" s="267"/>
      <c r="EK96" s="59">
        <f>EK87-EK97</f>
        <v>6115</v>
      </c>
      <c r="EL96" s="59">
        <f>EL87-EL97</f>
        <v>6091</v>
      </c>
      <c r="EM96" s="59">
        <f>EM87-EM97</f>
        <v>5991</v>
      </c>
      <c r="EN96" s="59">
        <f>EN87-EN97</f>
        <v>6243</v>
      </c>
      <c r="EO96" s="143">
        <f>SUM(EK96:EN96)</f>
        <v>24440</v>
      </c>
      <c r="EP96" s="267"/>
      <c r="EQ96" s="59">
        <f>EQ87-EQ97</f>
        <v>6134</v>
      </c>
      <c r="ER96" s="59">
        <f>ER87-ER97</f>
        <v>6103.78</v>
      </c>
      <c r="ES96" s="59">
        <f>ES87-ES97</f>
        <v>6013</v>
      </c>
      <c r="ET96" s="59">
        <f>ET87-ET97</f>
        <v>6258</v>
      </c>
      <c r="EU96" s="143">
        <f>SUM(EQ96:ET96)</f>
        <v>24508.78</v>
      </c>
      <c r="EV96" s="267"/>
      <c r="EW96" s="59">
        <f>EW87-EW97</f>
        <v>6365.92</v>
      </c>
      <c r="EX96" s="59">
        <f>EX87-EX97</f>
        <v>6322.52</v>
      </c>
      <c r="EY96" s="59">
        <f>EY87-EY97</f>
        <v>6354.4</v>
      </c>
      <c r="EZ96" s="59">
        <f>EZ87-EZ97</f>
        <v>6472.3676660977189</v>
      </c>
      <c r="FA96" s="143">
        <f>SUM(EW96:EZ96)</f>
        <v>25515.207666097718</v>
      </c>
      <c r="FB96" s="267"/>
      <c r="FC96" s="59">
        <f>FC87-FC97</f>
        <v>6457.0798591173698</v>
      </c>
      <c r="FD96" s="59">
        <f>FD87-FD97</f>
        <v>6434.2990320631807</v>
      </c>
      <c r="FE96" s="59">
        <f>FE87-FE97</f>
        <v>6422.2004915600273</v>
      </c>
      <c r="FF96" s="59">
        <f>FF87-FF97</f>
        <v>6532.1349902487245</v>
      </c>
      <c r="FG96" s="143">
        <f>SUM(FC96:FF96)</f>
        <v>25845.7143729893</v>
      </c>
      <c r="FH96" s="267"/>
      <c r="FI96" s="59">
        <f>FI87-FI97</f>
        <v>6545.4889123466428</v>
      </c>
      <c r="FJ96" s="59">
        <f>FJ87-FJ97</f>
        <v>6510.2589032627484</v>
      </c>
      <c r="FK96" s="59">
        <f>FK87-FK97</f>
        <v>6490.7255687557881</v>
      </c>
      <c r="FL96" s="59">
        <f>FL87-FL97</f>
        <v>6594.2922046089388</v>
      </c>
      <c r="FM96" s="143">
        <f>SUM(FI96:FL96)</f>
        <v>26140.765588974115</v>
      </c>
      <c r="FN96" s="1123"/>
      <c r="FO96" s="245">
        <f>CE96+CF96+CI96+CJ96</f>
        <v>10846.5</v>
      </c>
      <c r="FP96" s="243">
        <f>CK96+CL96+CO96+CP96</f>
        <v>13458</v>
      </c>
      <c r="FQ96" s="243">
        <f>CV96+CU96+CR96+CQ96</f>
        <v>15904</v>
      </c>
      <c r="FR96" s="243">
        <f>CW96+CX96+DA96+DB96</f>
        <v>16285</v>
      </c>
      <c r="FS96" s="245">
        <f>DC96+DD96+DG96+DH96</f>
        <v>20203</v>
      </c>
      <c r="FT96" s="243">
        <f>DI96+DJ96+DM96+DN96</f>
        <v>23035</v>
      </c>
      <c r="FU96" s="243">
        <f>DO96+DP96+DS96+DT96</f>
        <v>23263.498899999999</v>
      </c>
      <c r="FV96" s="243">
        <f>DY96+DV96+DZ96+DU96</f>
        <v>23810</v>
      </c>
      <c r="FW96" s="243">
        <f>EA96+EB96+EE96+EF96</f>
        <v>24755</v>
      </c>
      <c r="FX96" s="243">
        <f>EG96+EH96+EK96+EL96</f>
        <v>24479</v>
      </c>
      <c r="FY96" s="243">
        <f>EM96+EN96+EQ96+ER96</f>
        <v>24471.78</v>
      </c>
      <c r="FZ96" s="243">
        <f>ES96+ET96+EW96+EX96</f>
        <v>24959.439999999999</v>
      </c>
      <c r="GA96" s="243">
        <f>EY96+EZ96+FC96+FD96</f>
        <v>25718.146557278269</v>
      </c>
      <c r="GB96" s="243">
        <f>FE96+FF96+FI96+FJ96</f>
        <v>26010.083297418143</v>
      </c>
      <c r="GC96" s="243"/>
      <c r="GD96" s="243"/>
      <c r="GE96" s="243"/>
      <c r="GF96" s="243"/>
      <c r="GI96"/>
      <c r="GJ96"/>
      <c r="GK96"/>
      <c r="GL96"/>
      <c r="GM96"/>
      <c r="GN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</row>
    <row r="97" spans="1:281" s="37" customFormat="1" hidden="1" outlineLevel="1" x14ac:dyDescent="0.2">
      <c r="A97" s="41" t="s">
        <v>378</v>
      </c>
      <c r="B97" s="952"/>
      <c r="C97" s="259" t="s">
        <v>945</v>
      </c>
      <c r="D97" s="259" t="s">
        <v>945</v>
      </c>
      <c r="E97" s="259" t="s">
        <v>945</v>
      </c>
      <c r="F97" s="259" t="s">
        <v>945</v>
      </c>
      <c r="G97" s="259" t="s">
        <v>945</v>
      </c>
      <c r="H97" s="259" t="s">
        <v>945</v>
      </c>
      <c r="I97" s="259" t="s">
        <v>945</v>
      </c>
      <c r="J97" s="259" t="s">
        <v>945</v>
      </c>
      <c r="K97" s="259" t="s">
        <v>945</v>
      </c>
      <c r="L97" s="259" t="s">
        <v>945</v>
      </c>
      <c r="M97" s="259" t="s">
        <v>945</v>
      </c>
      <c r="N97" s="36"/>
      <c r="O97" s="259" t="s">
        <v>945</v>
      </c>
      <c r="P97" s="259" t="s">
        <v>945</v>
      </c>
      <c r="Q97" s="259" t="s">
        <v>945</v>
      </c>
      <c r="R97" s="259" t="s">
        <v>945</v>
      </c>
      <c r="S97" s="259" t="s">
        <v>945</v>
      </c>
      <c r="T97" s="36"/>
      <c r="U97" s="259" t="s">
        <v>945</v>
      </c>
      <c r="V97" s="259" t="s">
        <v>945</v>
      </c>
      <c r="W97" s="259" t="s">
        <v>945</v>
      </c>
      <c r="X97" s="259" t="s">
        <v>945</v>
      </c>
      <c r="Y97" s="259" t="s">
        <v>945</v>
      </c>
      <c r="Z97" s="36"/>
      <c r="AA97" s="259" t="s">
        <v>945</v>
      </c>
      <c r="AB97" s="259" t="s">
        <v>945</v>
      </c>
      <c r="AC97" s="259" t="s">
        <v>945</v>
      </c>
      <c r="AD97" s="259" t="s">
        <v>945</v>
      </c>
      <c r="AE97" s="259" t="s">
        <v>945</v>
      </c>
      <c r="AF97" s="36"/>
      <c r="AG97" s="259" t="s">
        <v>945</v>
      </c>
      <c r="AH97" s="259" t="s">
        <v>945</v>
      </c>
      <c r="AI97" s="259" t="s">
        <v>945</v>
      </c>
      <c r="AJ97" s="259" t="s">
        <v>945</v>
      </c>
      <c r="AK97" s="259" t="s">
        <v>945</v>
      </c>
      <c r="AL97" s="36"/>
      <c r="AM97" s="259" t="s">
        <v>945</v>
      </c>
      <c r="AN97" s="259" t="s">
        <v>945</v>
      </c>
      <c r="AO97" s="259" t="s">
        <v>945</v>
      </c>
      <c r="AP97" s="259" t="s">
        <v>945</v>
      </c>
      <c r="AQ97" s="259" t="s">
        <v>945</v>
      </c>
      <c r="AR97" s="36"/>
      <c r="AS97" s="259" t="s">
        <v>945</v>
      </c>
      <c r="AT97" s="259" t="s">
        <v>945</v>
      </c>
      <c r="AU97" s="259" t="s">
        <v>945</v>
      </c>
      <c r="AV97" s="259" t="s">
        <v>945</v>
      </c>
      <c r="AW97" s="259" t="s">
        <v>945</v>
      </c>
      <c r="AX97" s="36"/>
      <c r="AY97" s="259" t="s">
        <v>945</v>
      </c>
      <c r="AZ97" s="259" t="s">
        <v>945</v>
      </c>
      <c r="BA97" s="259" t="s">
        <v>945</v>
      </c>
      <c r="BB97" s="259" t="s">
        <v>945</v>
      </c>
      <c r="BC97" s="259" t="s">
        <v>945</v>
      </c>
      <c r="BD97" s="36"/>
      <c r="BE97" s="259" t="s">
        <v>945</v>
      </c>
      <c r="BF97" s="259" t="s">
        <v>945</v>
      </c>
      <c r="BG97" s="259" t="s">
        <v>945</v>
      </c>
      <c r="BH97" s="259" t="s">
        <v>945</v>
      </c>
      <c r="BI97" s="259" t="s">
        <v>945</v>
      </c>
      <c r="BJ97" s="36"/>
      <c r="BK97" s="259" t="s">
        <v>945</v>
      </c>
      <c r="BL97" s="259" t="s">
        <v>945</v>
      </c>
      <c r="BM97" s="259" t="s">
        <v>945</v>
      </c>
      <c r="BN97" s="259" t="s">
        <v>945</v>
      </c>
      <c r="BO97" s="259" t="s">
        <v>945</v>
      </c>
      <c r="BP97" s="36"/>
      <c r="BQ97" s="259" t="s">
        <v>945</v>
      </c>
      <c r="BR97" s="259" t="s">
        <v>945</v>
      </c>
      <c r="BS97" s="259" t="s">
        <v>945</v>
      </c>
      <c r="BT97" s="259" t="s">
        <v>945</v>
      </c>
      <c r="BU97" s="259" t="s">
        <v>945</v>
      </c>
      <c r="BV97" s="36"/>
      <c r="BW97" s="259">
        <v>0</v>
      </c>
      <c r="BX97" s="259">
        <v>0</v>
      </c>
      <c r="BY97" s="259">
        <v>143</v>
      </c>
      <c r="BZ97" s="259">
        <v>177.00800000000001</v>
      </c>
      <c r="CA97" s="33">
        <f>SUM(BW97:BZ97)</f>
        <v>320.00800000000004</v>
      </c>
      <c r="CB97" s="267"/>
      <c r="CC97" s="59">
        <v>139</v>
      </c>
      <c r="CD97" s="59">
        <v>102</v>
      </c>
      <c r="CE97" s="59">
        <v>64.5</v>
      </c>
      <c r="CF97" s="59">
        <v>86</v>
      </c>
      <c r="CG97" s="143">
        <f>SUM(CC97:CF97)</f>
        <v>391.5</v>
      </c>
      <c r="CH97" s="267"/>
      <c r="CI97" s="59">
        <v>70</v>
      </c>
      <c r="CJ97" s="59">
        <v>53</v>
      </c>
      <c r="CK97" s="59">
        <v>35</v>
      </c>
      <c r="CL97" s="59">
        <v>55</v>
      </c>
      <c r="CM97" s="143">
        <f>SUM(CI97:CL97)</f>
        <v>213</v>
      </c>
      <c r="CN97" s="267"/>
      <c r="CO97" s="59">
        <v>64</v>
      </c>
      <c r="CP97" s="59">
        <v>51</v>
      </c>
      <c r="CQ97" s="59">
        <v>22</v>
      </c>
      <c r="CR97" s="59">
        <v>42</v>
      </c>
      <c r="CS97" s="143">
        <f>SUM(CO97:CR97)</f>
        <v>179</v>
      </c>
      <c r="CT97" s="267"/>
      <c r="CU97" s="59">
        <v>91</v>
      </c>
      <c r="CV97" s="59">
        <v>80</v>
      </c>
      <c r="CW97" s="59">
        <v>51</v>
      </c>
      <c r="CX97" s="59">
        <v>20</v>
      </c>
      <c r="CY97" s="143">
        <f>SUM(CU97:CX97)</f>
        <v>242</v>
      </c>
      <c r="CZ97" s="267"/>
      <c r="DA97" s="59">
        <v>9</v>
      </c>
      <c r="DB97" s="59">
        <v>14</v>
      </c>
      <c r="DC97" s="59">
        <v>65</v>
      </c>
      <c r="DD97" s="600">
        <v>126</v>
      </c>
      <c r="DE97" s="143">
        <f>SUM(DA97:DD97)</f>
        <v>214</v>
      </c>
      <c r="DF97" s="267"/>
      <c r="DG97" s="59">
        <v>86</v>
      </c>
      <c r="DH97" s="59">
        <v>67</v>
      </c>
      <c r="DI97" s="59">
        <v>43</v>
      </c>
      <c r="DJ97" s="59">
        <v>31</v>
      </c>
      <c r="DK97" s="143">
        <f>SUM(DG97:DJ97)</f>
        <v>227</v>
      </c>
      <c r="DL97" s="267"/>
      <c r="DM97" s="59">
        <v>24</v>
      </c>
      <c r="DN97" s="59">
        <v>19</v>
      </c>
      <c r="DO97" s="59">
        <v>23</v>
      </c>
      <c r="DP97" s="59">
        <v>34</v>
      </c>
      <c r="DQ97" s="143">
        <f>SUM(DM97:DP97)</f>
        <v>100</v>
      </c>
      <c r="DR97" s="267"/>
      <c r="DS97" s="59">
        <v>28</v>
      </c>
      <c r="DT97" s="59">
        <v>19</v>
      </c>
      <c r="DU97" s="59">
        <v>12</v>
      </c>
      <c r="DV97" s="59">
        <v>14</v>
      </c>
      <c r="DW97" s="143">
        <f>SUM(DS97:DV97)</f>
        <v>73</v>
      </c>
      <c r="DX97" s="267"/>
      <c r="DY97" s="59">
        <v>9</v>
      </c>
      <c r="DZ97" s="59">
        <v>7</v>
      </c>
      <c r="EA97" s="59">
        <v>8</v>
      </c>
      <c r="EB97" s="59">
        <v>6</v>
      </c>
      <c r="EC97" s="143">
        <f>SUM(DY97:EB97)</f>
        <v>30</v>
      </c>
      <c r="ED97" s="267"/>
      <c r="EE97" s="59">
        <v>3</v>
      </c>
      <c r="EF97" s="59">
        <v>10</v>
      </c>
      <c r="EG97" s="59">
        <v>7</v>
      </c>
      <c r="EH97" s="600">
        <v>7</v>
      </c>
      <c r="EI97" s="143">
        <f>SUM(EE97:EH97)</f>
        <v>27</v>
      </c>
      <c r="EJ97" s="267"/>
      <c r="EK97" s="59">
        <v>3</v>
      </c>
      <c r="EL97" s="59">
        <v>3</v>
      </c>
      <c r="EM97" s="600">
        <v>2</v>
      </c>
      <c r="EN97" s="59">
        <v>2</v>
      </c>
      <c r="EO97" s="143">
        <f>SUM(EK97:EN97)</f>
        <v>10</v>
      </c>
      <c r="EP97" s="267"/>
      <c r="EQ97" s="59">
        <v>1</v>
      </c>
      <c r="ER97" s="59">
        <v>35</v>
      </c>
      <c r="ES97" s="59">
        <v>69</v>
      </c>
      <c r="ET97" s="59">
        <v>50</v>
      </c>
      <c r="EU97" s="143">
        <f>SUM(EQ97:ET97)</f>
        <v>155</v>
      </c>
      <c r="EV97" s="267"/>
      <c r="EW97" s="59">
        <v>0</v>
      </c>
      <c r="EX97" s="59">
        <v>9</v>
      </c>
      <c r="EY97" s="59">
        <v>5</v>
      </c>
      <c r="EZ97" s="59">
        <f>ET97</f>
        <v>50</v>
      </c>
      <c r="FA97" s="143">
        <f>SUM(EW97:EZ97)</f>
        <v>64</v>
      </c>
      <c r="FB97" s="267"/>
      <c r="FC97" s="59">
        <f>EW97</f>
        <v>0</v>
      </c>
      <c r="FD97" s="59">
        <f>EX97</f>
        <v>9</v>
      </c>
      <c r="FE97" s="59">
        <f>EY97</f>
        <v>5</v>
      </c>
      <c r="FF97" s="59">
        <f>EZ97</f>
        <v>50</v>
      </c>
      <c r="FG97" s="143">
        <f>SUM(FC97:FF97)</f>
        <v>64</v>
      </c>
      <c r="FH97" s="267"/>
      <c r="FI97" s="59">
        <f>FC97</f>
        <v>0</v>
      </c>
      <c r="FJ97" s="59">
        <f>FD97</f>
        <v>9</v>
      </c>
      <c r="FK97" s="59">
        <f>FE97</f>
        <v>5</v>
      </c>
      <c r="FL97" s="59">
        <f>FF97</f>
        <v>50</v>
      </c>
      <c r="FM97" s="143">
        <f>SUM(FI97:FL97)</f>
        <v>64</v>
      </c>
      <c r="FN97" s="226"/>
      <c r="FO97" s="245">
        <f>CE97+CF97+CI97+CJ97</f>
        <v>273.5</v>
      </c>
      <c r="FP97" s="243">
        <f>CK97+CL97+CO97+CP97</f>
        <v>205</v>
      </c>
      <c r="FQ97" s="243">
        <f>CV97+CU97+CR97+CQ97</f>
        <v>235</v>
      </c>
      <c r="FR97" s="243">
        <f>CW97+CX97+DA97+DB97</f>
        <v>94</v>
      </c>
      <c r="FS97" s="245">
        <f>DC97+DD97+DG97+DH97</f>
        <v>344</v>
      </c>
      <c r="FT97" s="243">
        <f>DI97+DJ97+DM97+DN97</f>
        <v>117</v>
      </c>
      <c r="FU97" s="243">
        <f>DO97+DP97+DS97+DT97</f>
        <v>104</v>
      </c>
      <c r="FV97" s="243">
        <f>DY97+DV97+DZ97+DU97</f>
        <v>42</v>
      </c>
      <c r="FW97" s="243">
        <f>EA97+EB97+EE97+EF97</f>
        <v>27</v>
      </c>
      <c r="FX97" s="243">
        <f>EG97+EH97+EK97+EL97</f>
        <v>20</v>
      </c>
      <c r="FY97" s="243">
        <f>EM97+EN97+EQ97+ER97</f>
        <v>40</v>
      </c>
      <c r="FZ97" s="243">
        <f>ES97+ET97+EW97+EX97</f>
        <v>128</v>
      </c>
      <c r="GA97" s="243">
        <f>EY97+EZ97+FC97+FD97</f>
        <v>64</v>
      </c>
      <c r="GB97" s="243">
        <f>FE97+FF97+FI97+FJ97</f>
        <v>64</v>
      </c>
      <c r="GC97" s="243"/>
      <c r="GD97" s="243"/>
      <c r="GE97" s="243"/>
      <c r="GF97" s="243"/>
      <c r="GI97"/>
      <c r="GJ97"/>
      <c r="GK97"/>
      <c r="GL97"/>
      <c r="GM97"/>
      <c r="GN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</row>
    <row r="98" spans="1:281" s="37" customFormat="1" hidden="1" outlineLevel="1" x14ac:dyDescent="0.2">
      <c r="A98" s="41" t="s">
        <v>1099</v>
      </c>
      <c r="B98" s="952"/>
      <c r="C98" s="259" t="str">
        <f t="shared" ref="C98:M98" si="42">C46</f>
        <v>-</v>
      </c>
      <c r="D98" s="259" t="str">
        <f t="shared" si="42"/>
        <v>-</v>
      </c>
      <c r="E98" s="259" t="str">
        <f t="shared" si="42"/>
        <v>-</v>
      </c>
      <c r="F98" s="259" t="str">
        <f t="shared" si="42"/>
        <v>-</v>
      </c>
      <c r="G98" s="259" t="str">
        <f t="shared" si="42"/>
        <v>-</v>
      </c>
      <c r="H98" s="259" t="str">
        <f t="shared" si="42"/>
        <v>-</v>
      </c>
      <c r="I98" s="259" t="str">
        <f t="shared" si="42"/>
        <v>-</v>
      </c>
      <c r="J98" s="259" t="str">
        <f t="shared" si="42"/>
        <v>-</v>
      </c>
      <c r="K98" s="259" t="str">
        <f t="shared" si="42"/>
        <v>-</v>
      </c>
      <c r="L98" s="259" t="str">
        <f t="shared" si="42"/>
        <v>-</v>
      </c>
      <c r="M98" s="259" t="str">
        <f t="shared" si="42"/>
        <v>-</v>
      </c>
      <c r="N98" s="36"/>
      <c r="O98" s="259" t="str">
        <f>O46</f>
        <v>-</v>
      </c>
      <c r="P98" s="259" t="str">
        <f>P46</f>
        <v>-</v>
      </c>
      <c r="Q98" s="259" t="str">
        <f>Q46</f>
        <v>-</v>
      </c>
      <c r="R98" s="259" t="str">
        <f>R46</f>
        <v>-</v>
      </c>
      <c r="S98" s="259" t="str">
        <f>S46</f>
        <v>-</v>
      </c>
      <c r="T98" s="36"/>
      <c r="U98" s="259" t="str">
        <f>U46</f>
        <v>-</v>
      </c>
      <c r="V98" s="259" t="str">
        <f>V46</f>
        <v>-</v>
      </c>
      <c r="W98" s="259" t="str">
        <f>W46</f>
        <v>-</v>
      </c>
      <c r="X98" s="259" t="str">
        <f>X46</f>
        <v>-</v>
      </c>
      <c r="Y98" s="259" t="str">
        <f>Y46</f>
        <v>-</v>
      </c>
      <c r="Z98" s="36"/>
      <c r="AA98" s="259">
        <f>AA46</f>
        <v>287.28500000000003</v>
      </c>
      <c r="AB98" s="259">
        <f>AB46</f>
        <v>317.42</v>
      </c>
      <c r="AC98" s="259">
        <f>AC46</f>
        <v>332.738</v>
      </c>
      <c r="AD98" s="259">
        <f>AD46</f>
        <v>382.50700000000001</v>
      </c>
      <c r="AE98" s="259">
        <f>AE46</f>
        <v>1319.95</v>
      </c>
      <c r="AF98" s="36"/>
      <c r="AG98" s="259">
        <f>AG46</f>
        <v>405.12900000000002</v>
      </c>
      <c r="AH98" s="259">
        <f>AH46</f>
        <v>427.75599999999997</v>
      </c>
      <c r="AI98" s="259">
        <f>AI46</f>
        <v>447.995</v>
      </c>
      <c r="AJ98" s="259">
        <f>AJ46</f>
        <v>513.23699999999997</v>
      </c>
      <c r="AK98" s="259">
        <f>AK46</f>
        <v>1794.1170000000002</v>
      </c>
      <c r="AL98" s="36"/>
      <c r="AM98" s="259">
        <f>AM46</f>
        <v>524.85599999999999</v>
      </c>
      <c r="AN98" s="259">
        <f>AN46</f>
        <v>566.44000000000005</v>
      </c>
      <c r="AO98" s="259">
        <f>AO46</f>
        <v>583.596</v>
      </c>
      <c r="AP98" s="259">
        <f>AP46</f>
        <v>670.63199999999995</v>
      </c>
      <c r="AQ98" s="259">
        <f>AQ46</f>
        <v>2345.5239999999999</v>
      </c>
      <c r="AR98" s="36"/>
      <c r="AS98" s="259">
        <f>AS46</f>
        <v>667.41499999999996</v>
      </c>
      <c r="AT98" s="259">
        <f>AT46</f>
        <v>720.34199999999998</v>
      </c>
      <c r="AU98" s="259">
        <f>AU46</f>
        <v>754.41300000000001</v>
      </c>
      <c r="AV98" s="259">
        <f>AV46</f>
        <v>836.70299999999997</v>
      </c>
      <c r="AW98" s="259">
        <f>AW46</f>
        <v>2978.873</v>
      </c>
      <c r="AX98" s="36"/>
      <c r="AY98" s="259">
        <f>AY46</f>
        <v>839.31799999999998</v>
      </c>
      <c r="AZ98" s="259">
        <f>AZ46</f>
        <v>872.798</v>
      </c>
      <c r="BA98" s="259">
        <f>BA46</f>
        <v>906.51900000000001</v>
      </c>
      <c r="BB98" s="259">
        <f>BB46</f>
        <v>951.54399999999987</v>
      </c>
      <c r="BC98" s="259">
        <f>BC46</f>
        <v>3570.1790000000001</v>
      </c>
      <c r="BD98" s="36"/>
      <c r="BE98" s="259">
        <f>BE46</f>
        <v>843.16499999999996</v>
      </c>
      <c r="BF98" s="259">
        <f>BF46</f>
        <v>881.13499999999999</v>
      </c>
      <c r="BG98" s="259">
        <f>BG46</f>
        <v>866.39700000000005</v>
      </c>
      <c r="BH98" s="259">
        <f>BH46</f>
        <v>949.53899999999999</v>
      </c>
      <c r="BI98" s="259">
        <f>BI46</f>
        <v>3540.2359999999999</v>
      </c>
      <c r="BJ98" s="36"/>
      <c r="BK98" s="259">
        <f>BK46</f>
        <v>905</v>
      </c>
      <c r="BL98" s="259">
        <f>BL46</f>
        <v>954</v>
      </c>
      <c r="BM98" s="259">
        <f>BM46</f>
        <v>1005</v>
      </c>
      <c r="BN98" s="259">
        <f>BN46</f>
        <v>1065.4000000000001</v>
      </c>
      <c r="BO98" s="259">
        <f>BO46</f>
        <v>3929.4</v>
      </c>
      <c r="BP98" s="36"/>
      <c r="BQ98" s="259">
        <f>BQ46</f>
        <v>1034</v>
      </c>
      <c r="BR98" s="259">
        <f>BR46</f>
        <v>1114</v>
      </c>
      <c r="BS98" s="259">
        <f>BS46</f>
        <v>1176</v>
      </c>
      <c r="BT98" s="259">
        <f>BT46</f>
        <v>1205</v>
      </c>
      <c r="BU98" s="259">
        <f>BU46</f>
        <v>4529</v>
      </c>
      <c r="BV98" s="36"/>
      <c r="BW98" s="259">
        <f>BW46-BW97</f>
        <v>1176</v>
      </c>
      <c r="BX98" s="259">
        <f>BX46-BX97</f>
        <v>1252</v>
      </c>
      <c r="BY98" s="259">
        <f>BY46-BY97</f>
        <v>1389</v>
      </c>
      <c r="BZ98" s="259">
        <f>BZ46-BZ97</f>
        <v>1513.992</v>
      </c>
      <c r="CA98" s="33">
        <f>SUM(BW98:BZ98)</f>
        <v>5330.9920000000002</v>
      </c>
      <c r="CB98" s="267"/>
      <c r="CC98" s="59">
        <f>CC46-CC97</f>
        <v>1502</v>
      </c>
      <c r="CD98" s="59">
        <f>CD46-CD97</f>
        <v>1559</v>
      </c>
      <c r="CE98" s="59">
        <f>CE46-CE97</f>
        <v>1702.5</v>
      </c>
      <c r="CF98" s="59">
        <f>CF46-CF97</f>
        <v>1873</v>
      </c>
      <c r="CG98" s="143">
        <f>SUM(CC98:CF98)</f>
        <v>6636.5</v>
      </c>
      <c r="CH98" s="267"/>
      <c r="CI98" s="59">
        <f>CI46-CI97</f>
        <v>1941</v>
      </c>
      <c r="CJ98" s="59">
        <f>CJ46-CJ97</f>
        <v>2007</v>
      </c>
      <c r="CK98" s="59">
        <f>CK46-CK97</f>
        <v>2108</v>
      </c>
      <c r="CL98" s="59">
        <f>CL46-CL97</f>
        <v>2272</v>
      </c>
      <c r="CM98" s="143">
        <f>SUM(CI98:CL98)</f>
        <v>8328</v>
      </c>
      <c r="CN98" s="267"/>
      <c r="CO98" s="59">
        <f>CO46-CO97</f>
        <v>2383</v>
      </c>
      <c r="CP98" s="59">
        <f>CP46-CP97</f>
        <v>2491</v>
      </c>
      <c r="CQ98" s="59">
        <f>CQ46-CQ97</f>
        <v>2624</v>
      </c>
      <c r="CR98" s="59">
        <f>CR46-CR97</f>
        <v>2830</v>
      </c>
      <c r="CS98" s="143">
        <f>SUM(CO98:CR98)</f>
        <v>10328</v>
      </c>
      <c r="CT98" s="267"/>
      <c r="CU98" s="59">
        <f>CU46-CU97</f>
        <v>2936</v>
      </c>
      <c r="CV98" s="59">
        <f>CV46-CV97</f>
        <v>2850</v>
      </c>
      <c r="CW98" s="59">
        <f>CW46-CW97</f>
        <v>2917</v>
      </c>
      <c r="CX98" s="59">
        <f>CX46-CX97</f>
        <v>3052</v>
      </c>
      <c r="CY98" s="143">
        <f>SUM(CU98:CX98)</f>
        <v>11755</v>
      </c>
      <c r="CZ98" s="267"/>
      <c r="DA98" s="59">
        <f>DA46-DA97</f>
        <v>3117</v>
      </c>
      <c r="DB98" s="59">
        <f>DB46-DB97</f>
        <v>3247</v>
      </c>
      <c r="DC98" s="59">
        <f>DC46-DC97</f>
        <v>3258</v>
      </c>
      <c r="DD98" s="59">
        <f>DD46-DD97</f>
        <v>3341</v>
      </c>
      <c r="DE98" s="143">
        <f>SUM(DA98:DD98)</f>
        <v>12963</v>
      </c>
      <c r="DF98" s="267"/>
      <c r="DG98" s="59">
        <f>DG46-DG97</f>
        <v>3389</v>
      </c>
      <c r="DH98" s="59">
        <f>DH46-DH97</f>
        <v>3645</v>
      </c>
      <c r="DI98" s="59">
        <f>DI46-DI97</f>
        <v>3713</v>
      </c>
      <c r="DJ98" s="59">
        <f>DJ46-DJ97</f>
        <v>3947</v>
      </c>
      <c r="DK98" s="143">
        <f>SUM(DG98:DJ98)</f>
        <v>14694</v>
      </c>
      <c r="DL98" s="267"/>
      <c r="DM98" s="59">
        <f>DM46-DM97</f>
        <v>4011</v>
      </c>
      <c r="DN98" s="59">
        <f>DN46-DN97</f>
        <v>3977</v>
      </c>
      <c r="DO98" s="59">
        <f>DO46-DO97</f>
        <v>4045</v>
      </c>
      <c r="DP98" s="59">
        <f>DP46-DP97</f>
        <v>4126</v>
      </c>
      <c r="DQ98" s="143">
        <f>SUM(DM98:DP98)</f>
        <v>16159</v>
      </c>
      <c r="DR98" s="267"/>
      <c r="DS98" s="59">
        <f>DS46-DS97</f>
        <v>4117</v>
      </c>
      <c r="DT98" s="59">
        <f>DT46-DT97</f>
        <v>4245</v>
      </c>
      <c r="DU98" s="59">
        <f>DU46-DU97</f>
        <v>4332</v>
      </c>
      <c r="DV98" s="59">
        <f>DV46-DV97</f>
        <v>4390</v>
      </c>
      <c r="DW98" s="143">
        <f>SUM(DS98:DV98)</f>
        <v>17084</v>
      </c>
      <c r="DX98" s="267"/>
      <c r="DY98" s="59">
        <f>DY46-DY97</f>
        <v>4423</v>
      </c>
      <c r="DZ98" s="59">
        <f>DZ46-DZ97</f>
        <v>4510</v>
      </c>
      <c r="EA98" s="59">
        <f>EA46-EA97</f>
        <v>4557</v>
      </c>
      <c r="EB98" s="59">
        <f>EB46-EB97</f>
        <v>4689</v>
      </c>
      <c r="EC98" s="143">
        <f>SUM(DY98:EB98)</f>
        <v>18179</v>
      </c>
      <c r="ED98" s="267"/>
      <c r="EE98" s="59">
        <f>EE46-EE97</f>
        <v>4728</v>
      </c>
      <c r="EF98" s="59">
        <f>EF46-EF97</f>
        <v>4763</v>
      </c>
      <c r="EG98" s="59">
        <f>EG46-EG97</f>
        <v>4657</v>
      </c>
      <c r="EH98" s="59">
        <f>EH46-EH97</f>
        <v>4681</v>
      </c>
      <c r="EI98" s="143">
        <f>SUM(EE98:EH98)</f>
        <v>18829</v>
      </c>
      <c r="EJ98" s="267"/>
      <c r="EK98" s="59">
        <f>EK46-EK97</f>
        <v>4694</v>
      </c>
      <c r="EL98" s="59">
        <f>EL46-EL97</f>
        <v>4680</v>
      </c>
      <c r="EM98" s="59">
        <f>EM46-EM97</f>
        <v>4667</v>
      </c>
      <c r="EN98" s="59">
        <f>EN46-EN97</f>
        <v>4813</v>
      </c>
      <c r="EO98" s="143">
        <f>SUM(EK98:EN98)</f>
        <v>18854</v>
      </c>
      <c r="EP98" s="267"/>
      <c r="EQ98" s="59">
        <f>EQ46-EQ97</f>
        <v>4792</v>
      </c>
      <c r="ER98" s="59">
        <f>ER46-ER97</f>
        <v>4743</v>
      </c>
      <c r="ES98" s="59">
        <f>ES46-ES97</f>
        <v>4693</v>
      </c>
      <c r="ET98" s="59">
        <f>ET46-ET97</f>
        <v>4847</v>
      </c>
      <c r="EU98" s="143">
        <f>SUM(EQ98:ET98)</f>
        <v>19075</v>
      </c>
      <c r="EV98" s="267"/>
      <c r="EW98" s="59">
        <f>EW46-EW97</f>
        <v>4951</v>
      </c>
      <c r="EX98" s="59">
        <f>EX46-EX97</f>
        <v>4944</v>
      </c>
      <c r="EY98" s="59">
        <f>EY46-EY97</f>
        <v>5022</v>
      </c>
      <c r="EZ98" s="59">
        <f>EZ46-EZ97</f>
        <v>5050.8785660977192</v>
      </c>
      <c r="FA98" s="143">
        <f>SUM(EW98:EZ98)</f>
        <v>19967.878566097719</v>
      </c>
      <c r="FB98" s="267"/>
      <c r="FC98" s="59">
        <f>FC46-FC97</f>
        <v>5130.0453609200986</v>
      </c>
      <c r="FD98" s="59">
        <f>FD46-FD97</f>
        <v>5120.8879920631807</v>
      </c>
      <c r="FE98" s="59">
        <f>FE46-FE97</f>
        <v>5182.2310515600275</v>
      </c>
      <c r="FF98" s="59">
        <f>FF46-FF97</f>
        <v>5193.4262902487244</v>
      </c>
      <c r="FG98" s="143">
        <f>SUM(FC98:FF98)</f>
        <v>20626.59069479203</v>
      </c>
      <c r="FH98" s="267"/>
      <c r="FI98" s="59">
        <f>FI46-FI97</f>
        <v>5260.1915950466428</v>
      </c>
      <c r="FJ98" s="59">
        <f>FJ46-FJ97</f>
        <v>5245.9917846627486</v>
      </c>
      <c r="FK98" s="59">
        <f>FK46-FK97</f>
        <v>5302.0951941557878</v>
      </c>
      <c r="FL98" s="59">
        <f>FL46-FL97</f>
        <v>5307.9341997339388</v>
      </c>
      <c r="FM98" s="143">
        <f>SUM(FI98:FL98)</f>
        <v>21116.21277359912</v>
      </c>
      <c r="FN98" s="1123"/>
      <c r="FO98" s="245">
        <f>CE98+CF98+CI98+CJ98</f>
        <v>7523.5</v>
      </c>
      <c r="FP98" s="243">
        <f>CK98+CL98+CO98+CP98</f>
        <v>9254</v>
      </c>
      <c r="FQ98" s="243">
        <f>CV98+CU98+CR98+CQ98</f>
        <v>11240</v>
      </c>
      <c r="FR98" s="243">
        <f>CW98+CX98+DA98+DB98</f>
        <v>12333</v>
      </c>
      <c r="FS98" s="245">
        <f>DC98+DD98+DG98+DH98</f>
        <v>13633</v>
      </c>
      <c r="FT98" s="243">
        <f>DI98+DJ98+DM98+DN98</f>
        <v>15648</v>
      </c>
      <c r="FU98" s="243">
        <f>DO98+DP98+DS98+DT98</f>
        <v>16533</v>
      </c>
      <c r="FV98" s="243">
        <f>DY98+DV98+DZ98+DU98</f>
        <v>17655</v>
      </c>
      <c r="FW98" s="243">
        <f>EA98+EB98+EE98+EF98</f>
        <v>18737</v>
      </c>
      <c r="FX98" s="243">
        <f>EG98+EH98+EK98+EL98</f>
        <v>18712</v>
      </c>
      <c r="FY98" s="243">
        <f>EM98+EN98+EQ98+ER98</f>
        <v>19015</v>
      </c>
      <c r="FZ98" s="243">
        <f>ES98+ET98+EW98+EX98</f>
        <v>19435</v>
      </c>
      <c r="GA98" s="243">
        <f>EY98+EZ98+FC98+FD98</f>
        <v>20323.811919080999</v>
      </c>
      <c r="GB98" s="243">
        <f>FE98+FF98+FI98+FJ98</f>
        <v>20881.840721518143</v>
      </c>
      <c r="GC98" s="243"/>
      <c r="GD98" s="243"/>
      <c r="GE98" s="243"/>
      <c r="GF98" s="243"/>
      <c r="GI98"/>
      <c r="GJ98"/>
      <c r="GK98"/>
      <c r="GL98"/>
      <c r="GM98"/>
      <c r="GN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</row>
    <row r="99" spans="1:281" s="31" customFormat="1" hidden="1" outlineLevel="1" x14ac:dyDescent="0.2">
      <c r="A99" s="1283" t="s">
        <v>655</v>
      </c>
      <c r="B99" s="1296" t="s">
        <v>763</v>
      </c>
      <c r="C99" s="1317" t="str">
        <f>C87</f>
        <v>-</v>
      </c>
      <c r="D99" s="1317">
        <f t="shared" ref="D99:M99" si="43">D91</f>
        <v>23.150999999999996</v>
      </c>
      <c r="E99" s="1317">
        <f t="shared" si="43"/>
        <v>55.344999999999999</v>
      </c>
      <c r="F99" s="1317">
        <f t="shared" si="43"/>
        <v>131.249</v>
      </c>
      <c r="G99" s="1317">
        <f t="shared" si="43"/>
        <v>282.113</v>
      </c>
      <c r="H99" s="1317">
        <f t="shared" si="43"/>
        <v>583.79999999999995</v>
      </c>
      <c r="I99" s="1317">
        <f t="shared" si="43"/>
        <v>916.39</v>
      </c>
      <c r="J99" s="1317">
        <f t="shared" si="43"/>
        <v>1027.9490000000001</v>
      </c>
      <c r="K99" s="1317">
        <f t="shared" si="43"/>
        <v>1179</v>
      </c>
      <c r="L99" s="1317">
        <f t="shared" si="43"/>
        <v>1503</v>
      </c>
      <c r="M99" s="1317">
        <f t="shared" si="43"/>
        <v>2001.1469999999999</v>
      </c>
      <c r="N99" s="1283"/>
      <c r="O99" s="1317">
        <f t="shared" ref="O99:S101" si="44">O91</f>
        <v>556.47400000000005</v>
      </c>
      <c r="P99" s="1317">
        <f t="shared" si="44"/>
        <v>670.28</v>
      </c>
      <c r="Q99" s="1317">
        <f t="shared" si="44"/>
        <v>722.245</v>
      </c>
      <c r="R99" s="1317">
        <f t="shared" si="44"/>
        <v>1017.879</v>
      </c>
      <c r="S99" s="1317">
        <f t="shared" si="44"/>
        <v>2966.8779999999997</v>
      </c>
      <c r="T99" s="1283"/>
      <c r="U99" s="1317">
        <f t="shared" ref="U99:Y101" si="45">U91</f>
        <v>771.803</v>
      </c>
      <c r="V99" s="1317">
        <f t="shared" si="45"/>
        <v>967</v>
      </c>
      <c r="W99" s="1317">
        <f t="shared" si="45"/>
        <v>1020.239</v>
      </c>
      <c r="X99" s="1317">
        <f t="shared" si="45"/>
        <v>1464.0739999999998</v>
      </c>
      <c r="Y99" s="1317">
        <f t="shared" si="45"/>
        <v>4223.116</v>
      </c>
      <c r="Z99" s="1283"/>
      <c r="AA99" s="1317">
        <f t="shared" ref="AA99:AE101" si="46">AA91</f>
        <v>1052.319</v>
      </c>
      <c r="AB99" s="1317">
        <f t="shared" si="46"/>
        <v>1311.373</v>
      </c>
      <c r="AC99" s="1317">
        <f t="shared" si="46"/>
        <v>1372.6129999999998</v>
      </c>
      <c r="AD99" s="1317">
        <f t="shared" si="46"/>
        <v>1948.0309999999999</v>
      </c>
      <c r="AE99" s="1317">
        <f t="shared" si="46"/>
        <v>5684.3359999999993</v>
      </c>
      <c r="AF99" s="1283"/>
      <c r="AG99" s="1317">
        <f t="shared" ref="AG99:AK101" si="47">AG91</f>
        <v>1368.828</v>
      </c>
      <c r="AH99" s="1317">
        <f t="shared" si="47"/>
        <v>1613.7269999999999</v>
      </c>
      <c r="AI99" s="1317">
        <f t="shared" si="47"/>
        <v>1748.7570000000001</v>
      </c>
      <c r="AJ99" s="1317">
        <f t="shared" si="47"/>
        <v>2412.5529999999999</v>
      </c>
      <c r="AK99" s="1317">
        <f t="shared" si="47"/>
        <v>7143.8649999999998</v>
      </c>
      <c r="AL99" s="1283"/>
      <c r="AM99" s="1317">
        <f t="shared" ref="AM99:AQ101" si="48">AM91</f>
        <v>1749.11</v>
      </c>
      <c r="AN99" s="1317">
        <f t="shared" si="48"/>
        <v>2055.9440000000004</v>
      </c>
      <c r="AO99" s="1317">
        <f t="shared" si="48"/>
        <v>2078.92</v>
      </c>
      <c r="AP99" s="1317">
        <f t="shared" si="48"/>
        <v>2943.2779999999998</v>
      </c>
      <c r="AQ99" s="1317">
        <f t="shared" si="48"/>
        <v>8827.2520000000004</v>
      </c>
      <c r="AR99" s="1283"/>
      <c r="AS99" s="1317">
        <f t="shared" ref="AS99:AW101" si="49">AS91</f>
        <v>1984.5170000000001</v>
      </c>
      <c r="AT99" s="1317">
        <f t="shared" si="49"/>
        <v>2321.8829999999998</v>
      </c>
      <c r="AU99" s="1317">
        <f t="shared" si="49"/>
        <v>2449.4179999999997</v>
      </c>
      <c r="AV99" s="1317">
        <f t="shared" si="49"/>
        <v>3374.3100000000004</v>
      </c>
      <c r="AW99" s="1317">
        <f t="shared" si="49"/>
        <v>10130.128000000001</v>
      </c>
      <c r="AX99" s="1283"/>
      <c r="AY99" s="1317">
        <f t="shared" ref="AY99:BC101" si="50">AY91</f>
        <v>2287.9920000000002</v>
      </c>
      <c r="AZ99" s="1317">
        <f t="shared" si="50"/>
        <v>2686.4079999999999</v>
      </c>
      <c r="BA99" s="1317">
        <f t="shared" si="50"/>
        <v>2696.0619999999999</v>
      </c>
      <c r="BB99" s="1317">
        <f t="shared" si="50"/>
        <v>3290.23</v>
      </c>
      <c r="BC99" s="1317">
        <f t="shared" si="50"/>
        <v>10960.691999999999</v>
      </c>
      <c r="BD99" s="1283"/>
      <c r="BE99" s="1317">
        <f t="shared" ref="BE99:BI101" si="51">BE91</f>
        <v>2265.0549999999998</v>
      </c>
      <c r="BF99" s="1317">
        <f t="shared" si="51"/>
        <v>2380.4369999999999</v>
      </c>
      <c r="BG99" s="1317">
        <f t="shared" si="51"/>
        <v>2253.3199999999997</v>
      </c>
      <c r="BH99" s="1317">
        <f t="shared" si="51"/>
        <v>2773.9810000000002</v>
      </c>
      <c r="BI99" s="1317">
        <f t="shared" si="51"/>
        <v>9672.7929999999997</v>
      </c>
      <c r="BJ99" s="1283"/>
      <c r="BK99" s="1317">
        <f t="shared" ref="BK99:BO101" si="52">BK91</f>
        <v>2028</v>
      </c>
      <c r="BL99" s="1317">
        <f t="shared" si="52"/>
        <v>2309</v>
      </c>
      <c r="BM99" s="1317">
        <f t="shared" si="52"/>
        <v>2307</v>
      </c>
      <c r="BN99" s="1317">
        <f t="shared" si="52"/>
        <v>2831.4</v>
      </c>
      <c r="BO99" s="1317">
        <f t="shared" si="52"/>
        <v>9475.4</v>
      </c>
      <c r="BP99" s="1283"/>
      <c r="BQ99" s="1317">
        <f t="shared" ref="BQ99:BU101" si="53">BQ91</f>
        <v>2072</v>
      </c>
      <c r="BR99" s="1317">
        <f t="shared" si="53"/>
        <v>2498</v>
      </c>
      <c r="BS99" s="1317">
        <f t="shared" si="53"/>
        <v>2509</v>
      </c>
      <c r="BT99" s="1317">
        <f t="shared" si="53"/>
        <v>3077</v>
      </c>
      <c r="BU99" s="1317">
        <f t="shared" si="53"/>
        <v>10156</v>
      </c>
      <c r="BV99" s="1283"/>
      <c r="BW99" s="1317">
        <f>BW91-BW97</f>
        <v>2215</v>
      </c>
      <c r="BX99" s="1317">
        <f>BX91-BX97</f>
        <v>2756</v>
      </c>
      <c r="BY99" s="1317">
        <f>BY91-BY97</f>
        <v>2950</v>
      </c>
      <c r="BZ99" s="1317">
        <f>BZ91-BZ97</f>
        <v>3877.9920000000002</v>
      </c>
      <c r="CA99" s="1317">
        <f>SUM(BW99:BZ99)</f>
        <v>11798.992</v>
      </c>
      <c r="CB99" s="1318"/>
      <c r="CC99" s="1319">
        <f>CC91-CC97</f>
        <v>2768</v>
      </c>
      <c r="CD99" s="1319">
        <f>CD91-CD97</f>
        <v>3292</v>
      </c>
      <c r="CE99" s="1319">
        <f>CE91-CE97</f>
        <v>3469.9</v>
      </c>
      <c r="CF99" s="1319">
        <f>CF91-CF97</f>
        <v>4851</v>
      </c>
      <c r="CG99" s="1320">
        <f>SUM(CC99:CF99)</f>
        <v>14380.9</v>
      </c>
      <c r="CH99" s="1318"/>
      <c r="CI99" s="1319">
        <f>CI91-CI97</f>
        <v>3591</v>
      </c>
      <c r="CJ99" s="1319">
        <f>CJ91-CJ97</f>
        <v>4163</v>
      </c>
      <c r="CK99" s="1319">
        <f>CK91-CK97</f>
        <v>4414</v>
      </c>
      <c r="CL99" s="1319">
        <f>CL91-CL97</f>
        <v>5828</v>
      </c>
      <c r="CM99" s="1320">
        <f>SUM(CI99:CL99)</f>
        <v>17996</v>
      </c>
      <c r="CN99" s="1318"/>
      <c r="CO99" s="1319">
        <f>CO91-CO97</f>
        <v>4529</v>
      </c>
      <c r="CP99" s="1319">
        <f>CP91-CP97</f>
        <v>5313</v>
      </c>
      <c r="CQ99" s="1319">
        <f>CQ91-CQ97</f>
        <v>5349</v>
      </c>
      <c r="CR99" s="1319">
        <f>CR91-CR97</f>
        <v>7239</v>
      </c>
      <c r="CS99" s="1320">
        <f>SUM(CO99:CR99)</f>
        <v>22430</v>
      </c>
      <c r="CT99" s="1318"/>
      <c r="CU99" s="1319">
        <f>CU91-CU97</f>
        <v>5331</v>
      </c>
      <c r="CV99" s="1319">
        <f>CV91-CV97</f>
        <v>5607</v>
      </c>
      <c r="CW99" s="1319">
        <f>CW91-CW97</f>
        <v>5453</v>
      </c>
      <c r="CX99" s="1319">
        <f>CX91-CX97</f>
        <v>6861</v>
      </c>
      <c r="CY99" s="1320">
        <f>SUM(CU99:CX99)</f>
        <v>23252</v>
      </c>
      <c r="CZ99" s="1318"/>
      <c r="DA99" s="1319">
        <f>DA91-DA97</f>
        <v>5054</v>
      </c>
      <c r="DB99" s="1319">
        <f>DB91-DB97</f>
        <v>5858</v>
      </c>
      <c r="DC99" s="1319">
        <f>DC91-DC97</f>
        <v>6404.4</v>
      </c>
      <c r="DD99" s="1319">
        <f>DD91-DD97</f>
        <v>9505</v>
      </c>
      <c r="DE99" s="1320">
        <f>SUM(DA99:DD99)</f>
        <v>26821.4</v>
      </c>
      <c r="DF99" s="1318"/>
      <c r="DG99" s="1319">
        <f>DG91-DG97</f>
        <v>7502</v>
      </c>
      <c r="DH99" s="1319">
        <f>DH91-DH97</f>
        <v>8627</v>
      </c>
      <c r="DI99" s="1319">
        <f>DI91-DI97</f>
        <v>8764</v>
      </c>
      <c r="DJ99" s="1319">
        <f>DJ91-DJ97</f>
        <v>10775</v>
      </c>
      <c r="DK99" s="1320">
        <f>SUM(DG99:DJ99)</f>
        <v>35668</v>
      </c>
      <c r="DL99" s="1318"/>
      <c r="DM99" s="1319">
        <f>DM91-DM97</f>
        <v>8374</v>
      </c>
      <c r="DN99" s="1319">
        <f>DN91-DN97</f>
        <v>8792</v>
      </c>
      <c r="DO99" s="1319">
        <f>DO91-DO97</f>
        <v>9039.3392000000003</v>
      </c>
      <c r="DP99" s="1319">
        <f>DP91-DP97</f>
        <v>10916.1597</v>
      </c>
      <c r="DQ99" s="1320">
        <f>SUM(DM99:DP99)</f>
        <v>37121.498900000006</v>
      </c>
      <c r="DR99" s="1318"/>
      <c r="DS99" s="1319">
        <f>DS91-DS97</f>
        <v>8181</v>
      </c>
      <c r="DT99" s="1319">
        <f>DT91-DT97</f>
        <v>9094</v>
      </c>
      <c r="DU99" s="1319">
        <f>DU91-DU97</f>
        <v>8958</v>
      </c>
      <c r="DV99" s="1319">
        <f>DV91-DV97</f>
        <v>10947</v>
      </c>
      <c r="DW99" s="1320">
        <f>SUM(DS99:DV99)</f>
        <v>37180</v>
      </c>
      <c r="DX99" s="1318"/>
      <c r="DY99" s="1319">
        <f>DY91-DY97</f>
        <v>8372</v>
      </c>
      <c r="DZ99" s="1319">
        <f>DZ91-DZ97</f>
        <v>9276</v>
      </c>
      <c r="EA99" s="1319">
        <f>EA91-EA97</f>
        <v>9307</v>
      </c>
      <c r="EB99" s="1319">
        <f>EB91-EB97</f>
        <v>11320</v>
      </c>
      <c r="EC99" s="1320">
        <f>SUM(DY99:EB99)</f>
        <v>38275</v>
      </c>
      <c r="ED99" s="1318"/>
      <c r="EE99" s="1319">
        <f>EE91-EE97</f>
        <v>8596</v>
      </c>
      <c r="EF99" s="1319">
        <f>EF91-EF97</f>
        <v>9598</v>
      </c>
      <c r="EG99" s="1319">
        <f>EG91-EG97</f>
        <v>9327</v>
      </c>
      <c r="EH99" s="1319">
        <f>EH91-EH97</f>
        <v>10705</v>
      </c>
      <c r="EI99" s="1320">
        <f>SUM(EE99:EH99)</f>
        <v>38226</v>
      </c>
      <c r="EJ99" s="1318"/>
      <c r="EK99" s="1319">
        <f>EK91-EK97</f>
        <v>8448</v>
      </c>
      <c r="EL99" s="1319">
        <f>EL91-EL97</f>
        <v>8993</v>
      </c>
      <c r="EM99" s="1319">
        <f>EM91-EM97</f>
        <v>9012</v>
      </c>
      <c r="EN99" s="1319">
        <f>EN91-EN97</f>
        <v>10594</v>
      </c>
      <c r="EO99" s="1320">
        <f>SUM(EK99:EN99)</f>
        <v>37047</v>
      </c>
      <c r="EP99" s="1318"/>
      <c r="EQ99" s="1319">
        <f>EQ91-EQ97</f>
        <v>8612</v>
      </c>
      <c r="ER99" s="1319">
        <f>ER91-ER97</f>
        <v>9034.7799999999988</v>
      </c>
      <c r="ES99" s="1319">
        <f>ES91-ES97</f>
        <v>9205</v>
      </c>
      <c r="ET99" s="1319">
        <f>ET91-ET97</f>
        <v>10891</v>
      </c>
      <c r="EU99" s="1320">
        <f>SUM(EQ99:ET99)</f>
        <v>37742.78</v>
      </c>
      <c r="EV99" s="1318"/>
      <c r="EW99" s="1319">
        <f>EW91-EW97</f>
        <v>9212</v>
      </c>
      <c r="EX99" s="1319">
        <f>EX91-EX97</f>
        <v>9621</v>
      </c>
      <c r="EY99" s="1319">
        <f>EY91-EY97</f>
        <v>9771</v>
      </c>
      <c r="EZ99" s="1319">
        <f>EZ91-EZ97</f>
        <v>11139.672666097718</v>
      </c>
      <c r="FA99" s="1320">
        <f>SUM(EW99:EZ99)</f>
        <v>39743.672666097715</v>
      </c>
      <c r="FB99" s="1318"/>
      <c r="FC99" s="1319">
        <f>FC91-FC97</f>
        <v>9549.3946591173699</v>
      </c>
      <c r="FD99" s="1319">
        <f>FD91-FD97</f>
        <v>9972.8770320631811</v>
      </c>
      <c r="FE99" s="1319">
        <f>FE91-FE97</f>
        <v>10086.835491560028</v>
      </c>
      <c r="FF99" s="1319">
        <f>FF91-FF97</f>
        <v>11353.477190248725</v>
      </c>
      <c r="FG99" s="1320">
        <f>SUM(FC99:FF99)</f>
        <v>40962.584372989302</v>
      </c>
      <c r="FH99" s="1318"/>
      <c r="FI99" s="1319">
        <f>FI91-FI97</f>
        <v>9939.594532346644</v>
      </c>
      <c r="FJ99" s="1319">
        <f>FJ91-FJ97</f>
        <v>10333.853603262749</v>
      </c>
      <c r="FK99" s="1319">
        <f>FK91-FK97</f>
        <v>10435.008118755788</v>
      </c>
      <c r="FL99" s="1319">
        <f>FL91-FL97</f>
        <v>11626.39968560894</v>
      </c>
      <c r="FM99" s="1320">
        <f>SUM(FI99:FL99)</f>
        <v>42334.855939974121</v>
      </c>
      <c r="FN99" s="1321"/>
      <c r="FO99" s="1322">
        <f>CE99+CF99+CI99+CJ99</f>
        <v>16074.9</v>
      </c>
      <c r="FP99" s="1323">
        <f>CK99+CL99+CO99+CP99</f>
        <v>20084</v>
      </c>
      <c r="FQ99" s="1323">
        <f>CV99+CU99+CR99+CQ99</f>
        <v>23526</v>
      </c>
      <c r="FR99" s="1323">
        <f>CW99+CX99+DA99+DB99</f>
        <v>23226</v>
      </c>
      <c r="FS99" s="1716">
        <f>DC99+DD99+DG99+DH99</f>
        <v>32038.400000000001</v>
      </c>
      <c r="FT99" s="1717">
        <f>DI99+DJ99+DM99+DN99</f>
        <v>36705</v>
      </c>
      <c r="FU99" s="1717">
        <f>DO99+DP99+DS99+DT99</f>
        <v>37230.498899999999</v>
      </c>
      <c r="FV99" s="1717">
        <f>DY99+DV99+DZ99+DU99</f>
        <v>37553</v>
      </c>
      <c r="FW99" s="1717">
        <f>EA99+EB99+EE99+EF99</f>
        <v>38821</v>
      </c>
      <c r="FX99" s="1717">
        <f>EG99+EH99+EK99+EL99</f>
        <v>37473</v>
      </c>
      <c r="FY99" s="1717">
        <f>EM99+EN99+EQ99+ER99</f>
        <v>37252.78</v>
      </c>
      <c r="FZ99" s="1717">
        <f>ES99+ET99+EW99+EX99</f>
        <v>38929</v>
      </c>
      <c r="GA99" s="1717">
        <f>EY99+EZ99+FC99+FD99</f>
        <v>40432.944357278269</v>
      </c>
      <c r="GB99" s="1717">
        <f>FE99+FF99+FI99+FJ99</f>
        <v>41713.760817418151</v>
      </c>
      <c r="GC99" s="1843"/>
      <c r="GD99" s="1843"/>
      <c r="GE99" s="1843"/>
      <c r="GF99" s="1843"/>
      <c r="GI99"/>
      <c r="GJ99"/>
      <c r="GK99"/>
      <c r="GL99"/>
      <c r="GM99"/>
      <c r="GN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</row>
    <row r="100" spans="1:281" s="37" customFormat="1" hidden="1" outlineLevel="1" x14ac:dyDescent="0.2">
      <c r="A100" s="247" t="s">
        <v>473</v>
      </c>
      <c r="B100" s="949"/>
      <c r="C100" s="42" t="str">
        <f>C92</f>
        <v>-</v>
      </c>
      <c r="D100" s="42">
        <f t="shared" ref="D100:M100" si="54">D92</f>
        <v>0.82076287848997209</v>
      </c>
      <c r="E100" s="42">
        <f t="shared" si="54"/>
        <v>1.3906094769124446</v>
      </c>
      <c r="F100" s="42">
        <f t="shared" si="54"/>
        <v>1.3714698708103712</v>
      </c>
      <c r="G100" s="42">
        <f t="shared" si="54"/>
        <v>1.1494487577048207</v>
      </c>
      <c r="H100" s="42">
        <f t="shared" si="54"/>
        <v>1.0693835448915858</v>
      </c>
      <c r="I100" s="42">
        <f t="shared" si="54"/>
        <v>0.56969852689277167</v>
      </c>
      <c r="J100" s="42">
        <f t="shared" si="54"/>
        <v>0.12173746985453793</v>
      </c>
      <c r="K100" s="42">
        <f t="shared" si="54"/>
        <v>0.14694406045436104</v>
      </c>
      <c r="L100" s="42">
        <f t="shared" si="54"/>
        <v>0.27480916030534353</v>
      </c>
      <c r="M100" s="42">
        <f t="shared" si="54"/>
        <v>0.33143512974051892</v>
      </c>
      <c r="N100" s="36"/>
      <c r="O100" s="42" t="str">
        <f t="shared" si="44"/>
        <v>-</v>
      </c>
      <c r="P100" s="42" t="str">
        <f t="shared" si="44"/>
        <v>-</v>
      </c>
      <c r="Q100" s="42" t="str">
        <f t="shared" si="44"/>
        <v>-</v>
      </c>
      <c r="R100" s="42" t="str">
        <f t="shared" si="44"/>
        <v>-</v>
      </c>
      <c r="S100" s="42">
        <f t="shared" si="44"/>
        <v>0.48258873536027069</v>
      </c>
      <c r="T100" s="36"/>
      <c r="U100" s="42">
        <f t="shared" si="45"/>
        <v>0.38695249014329502</v>
      </c>
      <c r="V100" s="42">
        <f t="shared" si="45"/>
        <v>0.44268067076445661</v>
      </c>
      <c r="W100" s="42">
        <f t="shared" si="45"/>
        <v>0.41259406434104773</v>
      </c>
      <c r="X100" s="42">
        <f t="shared" si="45"/>
        <v>0.4383576043910915</v>
      </c>
      <c r="Y100" s="42">
        <f t="shared" si="45"/>
        <v>0.42342084844742534</v>
      </c>
      <c r="Z100" s="36"/>
      <c r="AA100" s="42">
        <f t="shared" si="46"/>
        <v>0.36345544134967089</v>
      </c>
      <c r="AB100" s="42">
        <f t="shared" si="46"/>
        <v>0.35612512926577056</v>
      </c>
      <c r="AC100" s="42">
        <f t="shared" si="46"/>
        <v>0.3453837777226707</v>
      </c>
      <c r="AD100" s="42">
        <f t="shared" si="46"/>
        <v>0.33055501292967437</v>
      </c>
      <c r="AE100" s="42">
        <f t="shared" si="46"/>
        <v>0.34600517721985358</v>
      </c>
      <c r="AF100" s="36"/>
      <c r="AG100" s="42">
        <f t="shared" si="47"/>
        <v>0.30077286450211393</v>
      </c>
      <c r="AH100" s="42">
        <f t="shared" si="47"/>
        <v>0.23056292908272469</v>
      </c>
      <c r="AI100" s="42">
        <f t="shared" si="47"/>
        <v>0.27403499748290328</v>
      </c>
      <c r="AJ100" s="42">
        <f t="shared" si="47"/>
        <v>0.23845719087632578</v>
      </c>
      <c r="AK100" s="42">
        <f t="shared" si="47"/>
        <v>0.25676332292813098</v>
      </c>
      <c r="AL100" s="36"/>
      <c r="AM100" s="42">
        <f t="shared" si="48"/>
        <v>0.27781576648052186</v>
      </c>
      <c r="AN100" s="42">
        <f t="shared" si="48"/>
        <v>0.27403457957882638</v>
      </c>
      <c r="AO100" s="42">
        <f t="shared" si="48"/>
        <v>0.18879867242847359</v>
      </c>
      <c r="AP100" s="42">
        <f t="shared" si="48"/>
        <v>0.21998480447890678</v>
      </c>
      <c r="AQ100" s="42">
        <f t="shared" si="48"/>
        <v>0.2356409310646268</v>
      </c>
      <c r="AR100" s="36"/>
      <c r="AS100" s="42">
        <f t="shared" si="49"/>
        <v>0.13458673268119226</v>
      </c>
      <c r="AT100" s="42">
        <f t="shared" si="49"/>
        <v>0.12935128583268773</v>
      </c>
      <c r="AU100" s="42">
        <f t="shared" si="49"/>
        <v>0.17821657399034097</v>
      </c>
      <c r="AV100" s="42">
        <f t="shared" si="49"/>
        <v>0.14644624123171535</v>
      </c>
      <c r="AW100" s="42">
        <f t="shared" si="49"/>
        <v>0.14759700980554302</v>
      </c>
      <c r="AX100" s="36"/>
      <c r="AY100" s="42">
        <f t="shared" si="50"/>
        <v>0.15292134055792928</v>
      </c>
      <c r="AZ100" s="42">
        <f t="shared" si="50"/>
        <v>0.15699542138858846</v>
      </c>
      <c r="BA100" s="42">
        <f t="shared" si="50"/>
        <v>0.10069494059405137</v>
      </c>
      <c r="BB100" s="42">
        <f t="shared" si="50"/>
        <v>-2.4917686875242762E-2</v>
      </c>
      <c r="BC100" s="42">
        <f t="shared" si="50"/>
        <v>8.1989487200951228E-2</v>
      </c>
      <c r="BD100" s="36"/>
      <c r="BE100" s="42">
        <f t="shared" si="51"/>
        <v>-1.0024947639677206E-2</v>
      </c>
      <c r="BF100" s="42">
        <f t="shared" si="51"/>
        <v>-0.11389595325803081</v>
      </c>
      <c r="BG100" s="42">
        <f t="shared" si="51"/>
        <v>-0.16421803356154285</v>
      </c>
      <c r="BH100" s="42">
        <f t="shared" si="51"/>
        <v>-0.15690362071952413</v>
      </c>
      <c r="BI100" s="42">
        <f t="shared" si="51"/>
        <v>-0.11750161394919223</v>
      </c>
      <c r="BJ100" s="36"/>
      <c r="BK100" s="42">
        <f t="shared" si="52"/>
        <v>-0.10465750279794528</v>
      </c>
      <c r="BL100" s="42">
        <f t="shared" si="52"/>
        <v>-3.0010035972386495E-2</v>
      </c>
      <c r="BM100" s="42">
        <f t="shared" si="52"/>
        <v>2.3822626169385686E-2</v>
      </c>
      <c r="BN100" s="42">
        <f t="shared" si="52"/>
        <v>2.0699132402132392E-2</v>
      </c>
      <c r="BO100" s="42">
        <f t="shared" si="52"/>
        <v>-2.0407032384544999E-2</v>
      </c>
      <c r="BP100" s="36"/>
      <c r="BQ100" s="42">
        <f t="shared" si="53"/>
        <v>2.1696252465483346E-2</v>
      </c>
      <c r="BR100" s="42">
        <f t="shared" si="53"/>
        <v>8.1853616284105701E-2</v>
      </c>
      <c r="BS100" s="42">
        <f t="shared" si="53"/>
        <v>8.7559601213697436E-2</v>
      </c>
      <c r="BT100" s="42">
        <f t="shared" si="53"/>
        <v>8.6741541286995849E-2</v>
      </c>
      <c r="BU100" s="42">
        <f t="shared" si="53"/>
        <v>7.1828102243704839E-2</v>
      </c>
      <c r="BV100" s="36"/>
      <c r="BW100" s="22">
        <f>BW99/BQ99-1</f>
        <v>6.9015444015444016E-2</v>
      </c>
      <c r="BX100" s="22">
        <f>BX99/BR99-1</f>
        <v>0.10328262610088079</v>
      </c>
      <c r="BY100" s="22">
        <f>BY99/BS99-1</f>
        <v>0.17576723794340365</v>
      </c>
      <c r="BZ100" s="22">
        <f>BZ99/BT99-1</f>
        <v>0.26031589210269757</v>
      </c>
      <c r="CA100" s="22">
        <f>CA99/BU99-1</f>
        <v>0.16177550216620729</v>
      </c>
      <c r="CB100" s="36"/>
      <c r="CC100" s="22">
        <f>CC99/BW99-1</f>
        <v>0.24966139954853284</v>
      </c>
      <c r="CD100" s="22">
        <f>CD99/BX99-1</f>
        <v>0.19448476052249641</v>
      </c>
      <c r="CE100" s="22">
        <f>CE99/BY99-1</f>
        <v>0.17623728813559336</v>
      </c>
      <c r="CF100" s="22">
        <f>CF99/BZ99-1</f>
        <v>0.25090510759176388</v>
      </c>
      <c r="CG100" s="234">
        <f>CG99/CA99-1</f>
        <v>0.21882445551280982</v>
      </c>
      <c r="CH100" s="36"/>
      <c r="CI100" s="22">
        <f>CI99/CC99-1</f>
        <v>0.29732658959537561</v>
      </c>
      <c r="CJ100" s="22">
        <f>CJ99/CD99-1</f>
        <v>0.26458080194410694</v>
      </c>
      <c r="CK100" s="22">
        <f>CK99/CE99-1</f>
        <v>0.27208276895587757</v>
      </c>
      <c r="CL100" s="22">
        <f>CL99/CF99-1</f>
        <v>0.20140177283034433</v>
      </c>
      <c r="CM100" s="234">
        <f>CM99/CG99-1</f>
        <v>0.25138204145776699</v>
      </c>
      <c r="CN100" s="36"/>
      <c r="CO100" s="22">
        <f>CO99/CI99-1</f>
        <v>0.26120857699805078</v>
      </c>
      <c r="CP100" s="22">
        <f>CP99/CJ99-1</f>
        <v>0.27624309392265189</v>
      </c>
      <c r="CQ100" s="22">
        <f>CQ99/CK99-1</f>
        <v>0.21182600815586761</v>
      </c>
      <c r="CR100" s="22">
        <f>CR99/CL99-1</f>
        <v>0.24210706932052162</v>
      </c>
      <c r="CS100" s="234">
        <f>CS99/CM99-1</f>
        <v>0.24638808624138697</v>
      </c>
      <c r="CT100" s="36"/>
      <c r="CU100" s="22">
        <f>CU99/CO99-1</f>
        <v>0.17708103334069336</v>
      </c>
      <c r="CV100" s="22">
        <f>CV99/CP99-1</f>
        <v>5.5335968379446543E-2</v>
      </c>
      <c r="CW100" s="22">
        <f>CW99/CQ99-1</f>
        <v>1.9442886520844915E-2</v>
      </c>
      <c r="CX100" s="22">
        <f>CX99/CR99-1</f>
        <v>-5.2217157065893027E-2</v>
      </c>
      <c r="CY100" s="234">
        <f>CY99/CS99-1</f>
        <v>3.6647347302719568E-2</v>
      </c>
      <c r="CZ100" s="36"/>
      <c r="DA100" s="22">
        <f>DA99/CU99-1</f>
        <v>-5.1960232601763301E-2</v>
      </c>
      <c r="DB100" s="22">
        <f>DB99/CV99-1</f>
        <v>4.4765471731763817E-2</v>
      </c>
      <c r="DC100" s="22">
        <f>DC99/CW99-1</f>
        <v>0.1744727672840638</v>
      </c>
      <c r="DD100" s="22">
        <f>DD99/CX99-1</f>
        <v>0.38536656464072294</v>
      </c>
      <c r="DE100" s="234">
        <f>DE99/CY99-1</f>
        <v>0.15350937553758826</v>
      </c>
      <c r="DF100" s="36"/>
      <c r="DG100" s="22">
        <f>DG99/DA99-1</f>
        <v>0.48436881677878918</v>
      </c>
      <c r="DH100" s="22">
        <f>DH99/DB99-1</f>
        <v>0.47268692386480038</v>
      </c>
      <c r="DI100" s="22">
        <f>DI99/DC99-1</f>
        <v>0.3684342014864781</v>
      </c>
      <c r="DJ100" s="22">
        <f>DJ99/DD99-1</f>
        <v>0.13361388742766955</v>
      </c>
      <c r="DK100" s="234">
        <f>DK99/DE99-1</f>
        <v>0.32983364030214668</v>
      </c>
      <c r="DL100" s="36"/>
      <c r="DM100" s="22">
        <f>DM99/DG99-1</f>
        <v>0.11623567048786998</v>
      </c>
      <c r="DN100" s="22">
        <f>DN99/DH99-1</f>
        <v>1.9125999768169644E-2</v>
      </c>
      <c r="DO100" s="22">
        <f>DO99/DI99-1</f>
        <v>3.1417069831127353E-2</v>
      </c>
      <c r="DP100" s="22">
        <f>DP99/DJ99-1</f>
        <v>1.3100668213457123E-2</v>
      </c>
      <c r="DQ100" s="234">
        <f>DQ99/DK99-1</f>
        <v>4.075078221374917E-2</v>
      </c>
      <c r="DR100" s="36"/>
      <c r="DS100" s="22">
        <f>DS99/DM99-1</f>
        <v>-2.3047528063052325E-2</v>
      </c>
      <c r="DT100" s="22">
        <f>DT99/DN99-1</f>
        <v>3.4349408553230099E-2</v>
      </c>
      <c r="DU100" s="22">
        <f>DU99/DO99-1</f>
        <v>-8.9983568710421125E-3</v>
      </c>
      <c r="DV100" s="22">
        <f>DV99/DP99-1</f>
        <v>2.8251968501340485E-3</v>
      </c>
      <c r="DW100" s="234">
        <f>DW99/DQ99-1</f>
        <v>1.5759358251559163E-3</v>
      </c>
      <c r="DX100" s="36"/>
      <c r="DY100" s="22">
        <f>DY99/DS99-1</f>
        <v>2.334677912235672E-2</v>
      </c>
      <c r="DZ100" s="22">
        <f>DZ99/DT99-1</f>
        <v>2.0013195513525428E-2</v>
      </c>
      <c r="EA100" s="22">
        <f>EA99/DU99-1</f>
        <v>3.8959589194016431E-2</v>
      </c>
      <c r="EB100" s="22">
        <f>EB99/DV99-1</f>
        <v>3.4073262080935418E-2</v>
      </c>
      <c r="EC100" s="234">
        <f>EC99/DW99-1</f>
        <v>2.9451317912856378E-2</v>
      </c>
      <c r="ED100" s="36"/>
      <c r="EE100" s="22">
        <f>EE99/DY99-1</f>
        <v>2.6755852842809347E-2</v>
      </c>
      <c r="EF100" s="22">
        <f>EF99/DZ99-1</f>
        <v>3.4713238464855634E-2</v>
      </c>
      <c r="EG100" s="22">
        <f>EG99/EA99-1</f>
        <v>2.1489201676156977E-3</v>
      </c>
      <c r="EH100" s="22">
        <f>EH99/EB99-1</f>
        <v>-5.4328621908127261E-2</v>
      </c>
      <c r="EI100" s="234">
        <f>EI99/EC99-1</f>
        <v>-1.2802090137165045E-3</v>
      </c>
      <c r="EJ100" s="36"/>
      <c r="EK100" s="22">
        <f>EK99/EE99-1</f>
        <v>-1.7217310376919537E-2</v>
      </c>
      <c r="EL100" s="22">
        <f>EL99/EF99-1</f>
        <v>-6.3033965409460269E-2</v>
      </c>
      <c r="EM100" s="22">
        <f>EM99/EG99-1</f>
        <v>-3.3772917336764241E-2</v>
      </c>
      <c r="EN100" s="22">
        <f>EN99/EH99-1</f>
        <v>-1.0368986454927565E-2</v>
      </c>
      <c r="EO100" s="234">
        <f>EO99/EI99-1</f>
        <v>-3.084288180819339E-2</v>
      </c>
      <c r="EP100" s="36"/>
      <c r="EQ100" s="22">
        <f>EQ99/EK99-1</f>
        <v>1.9412878787878896E-2</v>
      </c>
      <c r="ER100" s="22">
        <f>ER99/EL99-1</f>
        <v>4.6458356499499143E-3</v>
      </c>
      <c r="ES100" s="22">
        <f>ES99/EM99-1</f>
        <v>2.1415889924545128E-2</v>
      </c>
      <c r="ET100" s="22">
        <f>ET99/EN99-1</f>
        <v>2.8034736643383074E-2</v>
      </c>
      <c r="EU100" s="234">
        <f>EU99/EO99-1</f>
        <v>1.8781007908872382E-2</v>
      </c>
      <c r="EV100" s="36"/>
      <c r="EW100" s="22">
        <f>EW99/EQ99-1</f>
        <v>6.9670227589410105E-2</v>
      </c>
      <c r="EX100" s="22">
        <f>EX99/ER99-1</f>
        <v>6.4884811805046905E-2</v>
      </c>
      <c r="EY100" s="22">
        <f>EY99/ES99-1</f>
        <v>6.1488321564367121E-2</v>
      </c>
      <c r="EZ100" s="22">
        <f>EZ99/ET99-1</f>
        <v>2.2832858883272245E-2</v>
      </c>
      <c r="FA100" s="234">
        <f>FA99/EU99-1</f>
        <v>5.3013918585163022E-2</v>
      </c>
      <c r="FB100" s="36"/>
      <c r="FC100" s="22">
        <f>FC99/EW99-1</f>
        <v>3.6625560043136218E-2</v>
      </c>
      <c r="FD100" s="22">
        <f>FD99/EX99-1</f>
        <v>3.6573852204883073E-2</v>
      </c>
      <c r="FE100" s="22">
        <f>FE99/EY99-1</f>
        <v>3.232376333640663E-2</v>
      </c>
      <c r="FF100" s="22">
        <f>FF99/EZ99-1</f>
        <v>1.9193070618824803E-2</v>
      </c>
      <c r="FG100" s="234">
        <f>FG99/FA99-1</f>
        <v>3.0669327345063113E-2</v>
      </c>
      <c r="FH100" s="36"/>
      <c r="FI100" s="22">
        <f>FI99/FC99-1</f>
        <v>4.0861215517648208E-2</v>
      </c>
      <c r="FJ100" s="22">
        <f>FJ99/FD99-1</f>
        <v>3.6195830956204045E-2</v>
      </c>
      <c r="FK100" s="22">
        <f>FK99/FE99-1</f>
        <v>3.451752806785513E-2</v>
      </c>
      <c r="FL100" s="22">
        <f>FL99/FF99-1</f>
        <v>2.4038670337455992E-2</v>
      </c>
      <c r="FM100" s="234">
        <f>FM99/FG99-1</f>
        <v>3.3500610080883897E-2</v>
      </c>
      <c r="FN100" s="1123"/>
      <c r="FO100" s="235"/>
      <c r="FP100" s="236">
        <f t="shared" ref="FP100:GB100" si="55">FP99/FO99-1</f>
        <v>0.24940124044317535</v>
      </c>
      <c r="FQ100" s="236">
        <f t="shared" si="55"/>
        <v>0.17138020314678348</v>
      </c>
      <c r="FR100" s="236">
        <f t="shared" si="55"/>
        <v>-1.2751849018107664E-2</v>
      </c>
      <c r="FS100" s="316">
        <f t="shared" si="55"/>
        <v>0.37941961594764484</v>
      </c>
      <c r="FT100" s="236">
        <f t="shared" si="55"/>
        <v>0.1456564622453056</v>
      </c>
      <c r="FU100" s="236">
        <f t="shared" si="55"/>
        <v>1.4316820596648849E-2</v>
      </c>
      <c r="FV100" s="236">
        <f t="shared" si="55"/>
        <v>8.6622825245030732E-3</v>
      </c>
      <c r="FW100" s="236">
        <f t="shared" si="55"/>
        <v>3.3765611269405804E-2</v>
      </c>
      <c r="FX100" s="236">
        <f t="shared" si="55"/>
        <v>-3.4723474408181132E-2</v>
      </c>
      <c r="FY100" s="236">
        <f t="shared" si="55"/>
        <v>-5.8767646038481169E-3</v>
      </c>
      <c r="FZ100" s="236">
        <f t="shared" si="55"/>
        <v>4.4995836552332413E-2</v>
      </c>
      <c r="GA100" s="236">
        <f t="shared" si="55"/>
        <v>3.8633007713485323E-2</v>
      </c>
      <c r="GB100" s="236">
        <f t="shared" si="55"/>
        <v>3.1677546132237611E-2</v>
      </c>
      <c r="GC100" s="236"/>
      <c r="GD100" s="236"/>
      <c r="GE100" s="236"/>
      <c r="GF100" s="236"/>
      <c r="GI100"/>
      <c r="GJ100"/>
      <c r="GK100"/>
      <c r="GL100"/>
      <c r="GM100"/>
      <c r="GN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</row>
    <row r="101" spans="1:281" s="37" customFormat="1" hidden="1" outlineLevel="1" x14ac:dyDescent="0.2">
      <c r="A101" s="247" t="s">
        <v>563</v>
      </c>
      <c r="B101" s="952"/>
      <c r="C101" s="42" t="str">
        <f>C93</f>
        <v>-</v>
      </c>
      <c r="D101" s="42" t="str">
        <f t="shared" ref="D101:M101" si="56">D93</f>
        <v>-</v>
      </c>
      <c r="E101" s="42" t="str">
        <f t="shared" si="56"/>
        <v>-</v>
      </c>
      <c r="F101" s="42" t="str">
        <f t="shared" si="56"/>
        <v>-</v>
      </c>
      <c r="G101" s="42" t="str">
        <f t="shared" si="56"/>
        <v>-</v>
      </c>
      <c r="H101" s="42" t="str">
        <f t="shared" si="56"/>
        <v>-</v>
      </c>
      <c r="I101" s="42" t="str">
        <f t="shared" si="56"/>
        <v>-</v>
      </c>
      <c r="J101" s="42" t="str">
        <f t="shared" si="56"/>
        <v>-</v>
      </c>
      <c r="K101" s="42" t="str">
        <f t="shared" si="56"/>
        <v>-</v>
      </c>
      <c r="L101" s="42" t="str">
        <f t="shared" si="56"/>
        <v>-</v>
      </c>
      <c r="M101" s="42" t="str">
        <f t="shared" si="56"/>
        <v>-</v>
      </c>
      <c r="N101" s="36"/>
      <c r="O101" s="42" t="str">
        <f t="shared" si="44"/>
        <v>-</v>
      </c>
      <c r="P101" s="42" t="str">
        <f t="shared" si="44"/>
        <v>-</v>
      </c>
      <c r="Q101" s="42" t="str">
        <f t="shared" si="44"/>
        <v>-</v>
      </c>
      <c r="R101" s="42" t="str">
        <f t="shared" si="44"/>
        <v>-</v>
      </c>
      <c r="S101" s="42" t="str">
        <f t="shared" si="44"/>
        <v>-</v>
      </c>
      <c r="T101" s="36"/>
      <c r="U101" s="42">
        <f t="shared" si="45"/>
        <v>-0.2417536858506758</v>
      </c>
      <c r="V101" s="42">
        <f t="shared" si="45"/>
        <v>0.25291039293705775</v>
      </c>
      <c r="W101" s="42">
        <f t="shared" si="45"/>
        <v>5.5055842812823164E-2</v>
      </c>
      <c r="X101" s="42">
        <f t="shared" si="45"/>
        <v>0.43503041934291842</v>
      </c>
      <c r="Y101" s="42" t="str">
        <f t="shared" si="45"/>
        <v>-</v>
      </c>
      <c r="Z101" s="36"/>
      <c r="AA101" s="42">
        <f t="shared" si="46"/>
        <v>-0.28123919965794075</v>
      </c>
      <c r="AB101" s="42">
        <f t="shared" si="46"/>
        <v>0.2461744014885221</v>
      </c>
      <c r="AC101" s="42">
        <f t="shared" si="46"/>
        <v>4.6699146619611387E-2</v>
      </c>
      <c r="AD101" s="42">
        <f t="shared" si="46"/>
        <v>0.41921357294444994</v>
      </c>
      <c r="AE101" s="42" t="str">
        <f t="shared" si="46"/>
        <v>-</v>
      </c>
      <c r="AF101" s="36"/>
      <c r="AG101" s="42">
        <f t="shared" si="47"/>
        <v>-0.29732740392735024</v>
      </c>
      <c r="AH101" s="42">
        <f t="shared" si="47"/>
        <v>0.17891144833390316</v>
      </c>
      <c r="AI101" s="42">
        <f t="shared" si="47"/>
        <v>8.3675863389532479E-2</v>
      </c>
      <c r="AJ101" s="42">
        <f t="shared" si="47"/>
        <v>0.37958161139598001</v>
      </c>
      <c r="AK101" s="42" t="str">
        <f t="shared" si="47"/>
        <v>-</v>
      </c>
      <c r="AL101" s="36"/>
      <c r="AM101" s="42">
        <f t="shared" si="48"/>
        <v>-0.27499623842460663</v>
      </c>
      <c r="AN101" s="42">
        <f t="shared" si="48"/>
        <v>0.17542292937551118</v>
      </c>
      <c r="AO101" s="42">
        <f t="shared" si="48"/>
        <v>1.1175401664636597E-2</v>
      </c>
      <c r="AP101" s="42">
        <f t="shared" si="48"/>
        <v>0.41577261270274946</v>
      </c>
      <c r="AQ101" s="42" t="str">
        <f t="shared" si="48"/>
        <v>-</v>
      </c>
      <c r="AR101" s="36"/>
      <c r="AS101" s="42">
        <f t="shared" si="49"/>
        <v>-0.32574598797667087</v>
      </c>
      <c r="AT101" s="42">
        <f t="shared" si="49"/>
        <v>0.16999904762720597</v>
      </c>
      <c r="AU101" s="42">
        <f t="shared" si="49"/>
        <v>5.4927401596032155E-2</v>
      </c>
      <c r="AV101" s="42">
        <f t="shared" si="49"/>
        <v>0.37759663724199011</v>
      </c>
      <c r="AW101" s="42" t="str">
        <f t="shared" si="49"/>
        <v>-</v>
      </c>
      <c r="AX101" s="36"/>
      <c r="AY101" s="42">
        <f t="shared" si="50"/>
        <v>-0.32193781839842817</v>
      </c>
      <c r="AZ101" s="42">
        <f t="shared" si="50"/>
        <v>0.17413347599117457</v>
      </c>
      <c r="BA101" s="42">
        <f t="shared" si="50"/>
        <v>3.5936462369081656E-3</v>
      </c>
      <c r="BB101" s="42">
        <f t="shared" si="50"/>
        <v>0.22038365586548081</v>
      </c>
      <c r="BC101" s="42" t="str">
        <f t="shared" si="50"/>
        <v>-</v>
      </c>
      <c r="BD101" s="36"/>
      <c r="BE101" s="42">
        <f t="shared" si="51"/>
        <v>-0.31158156116745639</v>
      </c>
      <c r="BF101" s="42">
        <f t="shared" si="51"/>
        <v>5.0940043398504775E-2</v>
      </c>
      <c r="BG101" s="42">
        <f t="shared" si="51"/>
        <v>-5.340069911533063E-2</v>
      </c>
      <c r="BH101" s="42">
        <f t="shared" si="51"/>
        <v>0.231063941206753</v>
      </c>
      <c r="BI101" s="42" t="str">
        <f t="shared" si="51"/>
        <v>-</v>
      </c>
      <c r="BJ101" s="36"/>
      <c r="BK101" s="42">
        <f t="shared" si="52"/>
        <v>-0.26892073161279773</v>
      </c>
      <c r="BL101" s="42">
        <f t="shared" si="52"/>
        <v>0.13856015779092701</v>
      </c>
      <c r="BM101" s="42">
        <f t="shared" si="52"/>
        <v>-8.6617583369419382E-4</v>
      </c>
      <c r="BN101" s="42">
        <f t="shared" si="52"/>
        <v>0.22730819245773737</v>
      </c>
      <c r="BO101" s="42" t="str">
        <f t="shared" si="52"/>
        <v>-</v>
      </c>
      <c r="BP101" s="36"/>
      <c r="BQ101" s="42">
        <f t="shared" si="53"/>
        <v>-0.26820654093381369</v>
      </c>
      <c r="BR101" s="42">
        <f t="shared" si="53"/>
        <v>0.20559845559845558</v>
      </c>
      <c r="BS101" s="42">
        <f t="shared" si="53"/>
        <v>4.4035228182546238E-3</v>
      </c>
      <c r="BT101" s="42">
        <f t="shared" si="53"/>
        <v>0.22638501394978072</v>
      </c>
      <c r="BU101" s="42" t="str">
        <f t="shared" si="53"/>
        <v>-</v>
      </c>
      <c r="BV101" s="36"/>
      <c r="BW101" s="22">
        <f>BW99/BT99-1</f>
        <v>-0.28014299642508933</v>
      </c>
      <c r="BX101" s="22">
        <f>BX99/BW99-1</f>
        <v>0.24424379232505644</v>
      </c>
      <c r="BY101" s="22">
        <f>BY99/BX99-1</f>
        <v>7.0391872278664724E-2</v>
      </c>
      <c r="BZ101" s="22">
        <f>BZ99/BY99-1</f>
        <v>0.31457355932203401</v>
      </c>
      <c r="CA101" s="250" t="s">
        <v>945</v>
      </c>
      <c r="CB101" s="36"/>
      <c r="CC101" s="22">
        <f>CC99/BZ99-1</f>
        <v>-0.28622854301917078</v>
      </c>
      <c r="CD101" s="22">
        <f>CD99/CC99-1</f>
        <v>0.18930635838150289</v>
      </c>
      <c r="CE101" s="22">
        <f>CE99/CD99-1</f>
        <v>5.4040097205346305E-2</v>
      </c>
      <c r="CF101" s="22">
        <f>CF99/CE99-1</f>
        <v>0.39802299778091577</v>
      </c>
      <c r="CG101" s="251" t="s">
        <v>945</v>
      </c>
      <c r="CH101" s="36"/>
      <c r="CI101" s="22">
        <f>CI99/CF99-1</f>
        <v>-0.25974025974025972</v>
      </c>
      <c r="CJ101" s="22">
        <f>CJ99/CI99-1</f>
        <v>0.1592871066555277</v>
      </c>
      <c r="CK101" s="22">
        <f>CK99/CJ99-1</f>
        <v>6.0293057890943969E-2</v>
      </c>
      <c r="CL101" s="22">
        <f>CL99/CK99-1</f>
        <v>0.32034435885817847</v>
      </c>
      <c r="CM101" s="251" t="s">
        <v>945</v>
      </c>
      <c r="CN101" s="36"/>
      <c r="CO101" s="22">
        <f>CO99/CL99-1</f>
        <v>-0.22288949897048727</v>
      </c>
      <c r="CP101" s="22">
        <f>CP99/CO99-1</f>
        <v>0.17310664605873272</v>
      </c>
      <c r="CQ101" s="22">
        <f>CQ99/CP99-1</f>
        <v>6.7758328627893771E-3</v>
      </c>
      <c r="CR101" s="22">
        <f>CR99/CQ99-1</f>
        <v>0.35333707234997203</v>
      </c>
      <c r="CS101" s="251" t="s">
        <v>945</v>
      </c>
      <c r="CT101" s="36"/>
      <c r="CU101" s="22">
        <f>CU99/CR99-1</f>
        <v>-0.26357231661831748</v>
      </c>
      <c r="CV101" s="22">
        <f>CV99/CU99-1</f>
        <v>5.1772650534608999E-2</v>
      </c>
      <c r="CW101" s="22">
        <f>CW99/CV99-1</f>
        <v>-2.7465667915106073E-2</v>
      </c>
      <c r="CX101" s="22">
        <f>CX99/CW99-1</f>
        <v>0.25820649183935451</v>
      </c>
      <c r="CY101" s="251" t="s">
        <v>945</v>
      </c>
      <c r="CZ101" s="36"/>
      <c r="DA101" s="22">
        <f>DA99/CX99-1</f>
        <v>-0.26337268619734733</v>
      </c>
      <c r="DB101" s="22">
        <f>DB99/DA99-1</f>
        <v>0.15908191531460236</v>
      </c>
      <c r="DC101" s="22">
        <f>DC99/DB99-1</f>
        <v>9.3274155001707104E-2</v>
      </c>
      <c r="DD101" s="22">
        <f>DD99/DC99-1</f>
        <v>0.48413590656423722</v>
      </c>
      <c r="DE101" s="251" t="s">
        <v>945</v>
      </c>
      <c r="DF101" s="36"/>
      <c r="DG101" s="22">
        <f>DG99/DD99-1</f>
        <v>-0.21073119410836405</v>
      </c>
      <c r="DH101" s="22">
        <f>DH99/DG99-1</f>
        <v>0.14996001066382303</v>
      </c>
      <c r="DI101" s="22">
        <f>DI99/DH99-1</f>
        <v>1.5880375565086258E-2</v>
      </c>
      <c r="DJ101" s="22">
        <f>DJ99/DI99-1</f>
        <v>0.22946143313555445</v>
      </c>
      <c r="DK101" s="251" t="s">
        <v>945</v>
      </c>
      <c r="DL101" s="36"/>
      <c r="DM101" s="22">
        <f>DM99/DJ99-1</f>
        <v>-0.22283062645011598</v>
      </c>
      <c r="DN101" s="22">
        <f>DN99/DM99-1</f>
        <v>4.9916407929305073E-2</v>
      </c>
      <c r="DO101" s="22">
        <f>DO99/DN99-1</f>
        <v>2.8132302092811701E-2</v>
      </c>
      <c r="DP101" s="22">
        <f>DP99/DO99-1</f>
        <v>0.20762806422841162</v>
      </c>
      <c r="DQ101" s="251" t="s">
        <v>945</v>
      </c>
      <c r="DR101" s="36"/>
      <c r="DS101" s="22">
        <f>DS99/DP99-1</f>
        <v>-0.25056061611117686</v>
      </c>
      <c r="DT101" s="22">
        <f>DT99/DS99-1</f>
        <v>0.11160004889377828</v>
      </c>
      <c r="DU101" s="22">
        <f>DU99/DT99-1</f>
        <v>-1.4954915328788232E-2</v>
      </c>
      <c r="DV101" s="22">
        <f>DV99/DU99-1</f>
        <v>0.22203616878767574</v>
      </c>
      <c r="DW101" s="251" t="s">
        <v>945</v>
      </c>
      <c r="DX101" s="36"/>
      <c r="DY101" s="22">
        <f>DY99/DV99-1</f>
        <v>-0.23522426235498306</v>
      </c>
      <c r="DZ101" s="22">
        <f>DZ99/DY99-1</f>
        <v>0.10797897754419483</v>
      </c>
      <c r="EA101" s="22">
        <f>EA99/DZ99-1</f>
        <v>3.3419577404052436E-3</v>
      </c>
      <c r="EB101" s="22">
        <f>EB99/EA99-1</f>
        <v>0.21628881487052753</v>
      </c>
      <c r="EC101" s="251" t="s">
        <v>945</v>
      </c>
      <c r="ED101" s="36"/>
      <c r="EE101" s="22">
        <f>EE99/EB99-1</f>
        <v>-0.24063604240282688</v>
      </c>
      <c r="EF101" s="22">
        <f>EF99/EE99-1</f>
        <v>0.11656584457887398</v>
      </c>
      <c r="EG101" s="22">
        <f>EG99/EF99-1</f>
        <v>-2.8235048968535126E-2</v>
      </c>
      <c r="EH101" s="22">
        <f>EH99/EG99-1</f>
        <v>0.14774311139701934</v>
      </c>
      <c r="EI101" s="251" t="s">
        <v>945</v>
      </c>
      <c r="EJ101" s="36"/>
      <c r="EK101" s="22">
        <f>EK99/EH99-1</f>
        <v>-0.21083605791686133</v>
      </c>
      <c r="EL101" s="22">
        <f>EL99/EK99-1</f>
        <v>6.4512310606060552E-2</v>
      </c>
      <c r="EM101" s="22">
        <f>EM99/EL99-1</f>
        <v>2.1127543645056424E-3</v>
      </c>
      <c r="EN101" s="22">
        <f>EN99/EM99-1</f>
        <v>0.17554371948513103</v>
      </c>
      <c r="EO101" s="251" t="s">
        <v>945</v>
      </c>
      <c r="EP101" s="36"/>
      <c r="EQ101" s="22">
        <f>EQ99/EN99-1</f>
        <v>-0.18708703039456298</v>
      </c>
      <c r="ER101" s="22">
        <f>ER99/EQ99-1</f>
        <v>4.9091964700417989E-2</v>
      </c>
      <c r="ES101" s="22">
        <f>ES99/ER99-1</f>
        <v>1.8840525170507938E-2</v>
      </c>
      <c r="ET101" s="22">
        <f>ET99/ES99-1</f>
        <v>0.18316132536664864</v>
      </c>
      <c r="EU101" s="251" t="s">
        <v>945</v>
      </c>
      <c r="EV101" s="36"/>
      <c r="EW101" s="22">
        <f>EW99/ET99-1</f>
        <v>-0.15416398861445235</v>
      </c>
      <c r="EX101" s="22">
        <f>EX99/EW99-1</f>
        <v>4.4398610508032954E-2</v>
      </c>
      <c r="EY101" s="22">
        <f>EY99/EX99-1</f>
        <v>1.5590894917368203E-2</v>
      </c>
      <c r="EZ101" s="22">
        <f>EZ99/EY99-1</f>
        <v>0.14007498373735738</v>
      </c>
      <c r="FA101" s="251" t="s">
        <v>945</v>
      </c>
      <c r="FB101" s="36"/>
      <c r="FC101" s="22">
        <f>FC99/EZ99-1</f>
        <v>-0.14275805534395747</v>
      </c>
      <c r="FD101" s="22">
        <f>FD99/FC99-1</f>
        <v>4.4346514942859461E-2</v>
      </c>
      <c r="FE101" s="22">
        <f>FE99/FD99-1</f>
        <v>1.1426838928271899E-2</v>
      </c>
      <c r="FF101" s="22">
        <f>FF99/FE99-1</f>
        <v>0.12557374408936628</v>
      </c>
      <c r="FG101" s="251" t="s">
        <v>945</v>
      </c>
      <c r="FH101" s="36"/>
      <c r="FI101" s="22">
        <f>FI99/FF99-1</f>
        <v>-0.12453300730779082</v>
      </c>
      <c r="FJ101" s="22">
        <f>FJ99/FI99-1</f>
        <v>3.9665508450375864E-2</v>
      </c>
      <c r="FK101" s="22">
        <f>FK99/FJ99-1</f>
        <v>9.7886538145945945E-3</v>
      </c>
      <c r="FL101" s="22">
        <f>FL99/FK99-1</f>
        <v>0.11417255773014268</v>
      </c>
      <c r="FM101" s="251" t="s">
        <v>945</v>
      </c>
      <c r="FN101" s="1123"/>
      <c r="FO101" s="235"/>
      <c r="FS101" s="235"/>
      <c r="FT101" s="33"/>
      <c r="FU101" s="33"/>
      <c r="FV101" s="33"/>
      <c r="FW101" s="33"/>
      <c r="FX101" s="33"/>
      <c r="FY101" s="33"/>
      <c r="FZ101" s="33"/>
      <c r="GA101" s="33"/>
      <c r="GB101" s="33"/>
      <c r="GC101" s="33"/>
      <c r="GD101" s="33"/>
      <c r="GE101" s="33"/>
      <c r="GF101" s="33"/>
      <c r="GI101"/>
      <c r="GJ101"/>
      <c r="GK101"/>
      <c r="GL101"/>
      <c r="GM101"/>
      <c r="GN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</row>
    <row r="102" spans="1:281" s="37" customFormat="1" ht="3.95" customHeight="1" collapsed="1" x14ac:dyDescent="0.2">
      <c r="A102" s="247"/>
      <c r="B102" s="952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  <c r="AI102" s="36"/>
      <c r="AJ102" s="36"/>
      <c r="AK102" s="36"/>
      <c r="AL102" s="36"/>
      <c r="AM102" s="36"/>
      <c r="AN102" s="36"/>
      <c r="AO102" s="36"/>
      <c r="AP102" s="36"/>
      <c r="AQ102" s="36"/>
      <c r="AR102" s="36"/>
      <c r="AS102" s="36"/>
      <c r="AT102" s="36"/>
      <c r="AU102" s="36"/>
      <c r="AV102" s="36"/>
      <c r="AW102" s="36"/>
      <c r="AX102" s="36"/>
      <c r="AY102" s="36"/>
      <c r="AZ102" s="36"/>
      <c r="BA102" s="36"/>
      <c r="BB102" s="36"/>
      <c r="BC102" s="36"/>
      <c r="BD102" s="36"/>
      <c r="BE102" s="36"/>
      <c r="BF102" s="36"/>
      <c r="BG102" s="36"/>
      <c r="BH102" s="36"/>
      <c r="BI102" s="36"/>
      <c r="BJ102" s="36"/>
      <c r="BK102" s="36"/>
      <c r="BL102" s="36"/>
      <c r="BM102" s="36"/>
      <c r="BN102" s="36"/>
      <c r="BO102" s="36"/>
      <c r="BP102" s="36"/>
      <c r="BU102" s="36"/>
      <c r="BV102" s="36"/>
      <c r="CA102" s="36"/>
      <c r="CB102" s="36"/>
      <c r="CG102" s="264"/>
      <c r="CH102" s="36"/>
      <c r="CM102" s="264"/>
      <c r="CN102" s="36"/>
      <c r="CS102" s="264"/>
      <c r="CT102" s="36"/>
      <c r="CY102" s="264"/>
      <c r="CZ102" s="36"/>
      <c r="DE102" s="264"/>
      <c r="DF102" s="36"/>
      <c r="DK102" s="264"/>
      <c r="DL102" s="36"/>
      <c r="DQ102" s="264"/>
      <c r="DR102" s="36"/>
      <c r="DV102" s="268"/>
      <c r="DW102" s="269"/>
      <c r="DX102" s="268"/>
      <c r="DY102" s="268"/>
      <c r="DZ102" s="243"/>
      <c r="EA102" s="268"/>
      <c r="EB102" s="268"/>
      <c r="EC102" s="269"/>
      <c r="ED102" s="268"/>
      <c r="EE102" s="268"/>
      <c r="EF102" s="268"/>
      <c r="EG102" s="268"/>
      <c r="EH102" s="268"/>
      <c r="EI102" s="269"/>
      <c r="EJ102" s="268"/>
      <c r="EK102" s="268"/>
      <c r="EO102" s="264"/>
      <c r="EP102" s="36"/>
      <c r="EQ102" s="268"/>
      <c r="EU102" s="264"/>
      <c r="EV102" s="36"/>
      <c r="EW102" s="268"/>
      <c r="FA102" s="264"/>
      <c r="FB102" s="36"/>
      <c r="FG102" s="264"/>
      <c r="FH102" s="36"/>
      <c r="FM102" s="264"/>
      <c r="FN102" s="1123"/>
      <c r="FO102" s="235"/>
      <c r="FS102" s="235"/>
      <c r="FT102" s="33"/>
      <c r="FU102" s="33"/>
      <c r="FV102" s="33"/>
      <c r="FW102" s="33"/>
      <c r="FX102" s="33"/>
      <c r="FY102" s="33"/>
      <c r="FZ102" s="33"/>
      <c r="GA102" s="33"/>
      <c r="GB102" s="33"/>
      <c r="GC102" s="33"/>
      <c r="GD102" s="33"/>
      <c r="GE102" s="33"/>
      <c r="GF102" s="33"/>
      <c r="GI102"/>
      <c r="GJ102"/>
      <c r="GK102"/>
      <c r="GL102"/>
      <c r="GM102"/>
      <c r="GN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</row>
    <row r="103" spans="1:281" s="242" customFormat="1" collapsed="1" x14ac:dyDescent="0.2">
      <c r="A103" s="221" t="s">
        <v>992</v>
      </c>
      <c r="B103" s="949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43"/>
      <c r="AR103" s="34"/>
      <c r="AS103" s="34"/>
      <c r="AT103" s="34"/>
      <c r="AU103" s="34"/>
      <c r="AV103" s="34"/>
      <c r="AW103" s="43"/>
      <c r="AX103" s="34"/>
      <c r="AY103" s="34"/>
      <c r="AZ103" s="34"/>
      <c r="BA103" s="34"/>
      <c r="BB103" s="34"/>
      <c r="BC103" s="43"/>
      <c r="BD103" s="34"/>
      <c r="BE103" s="34"/>
      <c r="BF103" s="34"/>
      <c r="BG103" s="34"/>
      <c r="BH103" s="34"/>
      <c r="BI103" s="43"/>
      <c r="BJ103" s="34"/>
      <c r="BK103" s="34"/>
      <c r="BL103" s="34"/>
      <c r="BM103" s="34"/>
      <c r="BN103" s="34"/>
      <c r="BO103" s="43"/>
      <c r="BQ103" s="34"/>
      <c r="BR103" s="34"/>
      <c r="BS103" s="34"/>
      <c r="BU103" s="43"/>
      <c r="BY103" s="268"/>
      <c r="BZ103" s="268"/>
      <c r="CA103" s="268"/>
      <c r="CB103" s="268"/>
      <c r="CC103" s="268"/>
      <c r="CD103" s="268"/>
      <c r="CE103" s="268"/>
      <c r="CF103" s="268"/>
      <c r="CG103" s="269"/>
      <c r="CH103" s="268"/>
      <c r="CI103" s="268"/>
      <c r="CJ103" s="268"/>
      <c r="CK103" s="268"/>
      <c r="CL103" s="268"/>
      <c r="CM103" s="269"/>
      <c r="CN103" s="268"/>
      <c r="CO103" s="268"/>
      <c r="CP103" s="268"/>
      <c r="CQ103" s="268"/>
      <c r="CR103" s="268"/>
      <c r="CS103" s="269"/>
      <c r="CT103" s="268"/>
      <c r="CU103" s="268"/>
      <c r="CV103" s="268"/>
      <c r="CW103" s="268"/>
      <c r="CX103" s="268"/>
      <c r="CY103" s="269"/>
      <c r="CZ103" s="268"/>
      <c r="DA103" s="268"/>
      <c r="DB103" s="268"/>
      <c r="DC103" s="268"/>
      <c r="DD103" s="268"/>
      <c r="DE103" s="269"/>
      <c r="DF103" s="268"/>
      <c r="DG103" s="268"/>
      <c r="DH103" s="268"/>
      <c r="DI103" s="268"/>
      <c r="DJ103" s="268"/>
      <c r="DK103" s="269"/>
      <c r="DL103" s="268"/>
      <c r="DM103" s="268"/>
      <c r="DN103" s="268"/>
      <c r="DO103" s="268"/>
      <c r="DP103" s="268"/>
      <c r="DQ103" s="269"/>
      <c r="DR103" s="268"/>
      <c r="DS103" s="268"/>
      <c r="DT103" s="268"/>
      <c r="DU103" s="268"/>
      <c r="DV103" s="268"/>
      <c r="DW103" s="269"/>
      <c r="DX103" s="268"/>
      <c r="DY103" s="243"/>
      <c r="DZ103" s="243"/>
      <c r="EA103" s="243"/>
      <c r="EB103" s="243"/>
      <c r="EC103" s="269"/>
      <c r="ED103" s="268"/>
      <c r="EE103" s="243"/>
      <c r="EF103" s="243"/>
      <c r="EG103" s="243"/>
      <c r="EH103" s="243"/>
      <c r="EI103" s="269"/>
      <c r="EJ103" s="268"/>
      <c r="EK103" s="268"/>
      <c r="EL103" s="268"/>
      <c r="EM103" s="268"/>
      <c r="EN103" s="268"/>
      <c r="EO103" s="269"/>
      <c r="EP103" s="268"/>
      <c r="EQ103" s="268"/>
      <c r="ER103" s="268"/>
      <c r="ES103" s="268"/>
      <c r="ET103" s="268"/>
      <c r="EU103" s="269"/>
      <c r="EV103" s="268"/>
      <c r="EW103" s="268"/>
      <c r="EX103" s="268"/>
      <c r="EY103" s="268"/>
      <c r="EZ103" s="268"/>
      <c r="FA103" s="269"/>
      <c r="FB103" s="268"/>
      <c r="FC103" s="268"/>
      <c r="FD103" s="268"/>
      <c r="FE103" s="268"/>
      <c r="FF103" s="268"/>
      <c r="FG103" s="269"/>
      <c r="FH103" s="268"/>
      <c r="FI103" s="268"/>
      <c r="FJ103" s="268"/>
      <c r="FK103" s="268"/>
      <c r="FL103" s="268"/>
      <c r="FM103" s="269"/>
      <c r="FN103" s="347"/>
      <c r="FO103" s="270"/>
      <c r="FP103" s="271"/>
      <c r="FQ103" s="271"/>
      <c r="FR103" s="271"/>
      <c r="FS103" s="270"/>
      <c r="FT103" s="271"/>
      <c r="FU103" s="271"/>
      <c r="FV103" s="271"/>
      <c r="FW103" s="271"/>
      <c r="FX103" s="271"/>
      <c r="FY103" s="271"/>
      <c r="FZ103" s="271"/>
      <c r="GA103" s="271"/>
      <c r="GB103" s="271"/>
      <c r="GC103" s="271"/>
      <c r="GD103" s="271"/>
      <c r="GE103" s="271"/>
      <c r="GF103" s="271"/>
      <c r="GI103"/>
      <c r="GJ103"/>
      <c r="GK103"/>
      <c r="GL103"/>
      <c r="GM103"/>
      <c r="GN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</row>
    <row r="104" spans="1:281" s="33" customFormat="1" ht="10.5" customHeight="1" x14ac:dyDescent="0.2">
      <c r="A104" s="273" t="s">
        <v>1269</v>
      </c>
      <c r="B104" s="954" t="s">
        <v>764</v>
      </c>
      <c r="C104" s="59" t="s">
        <v>945</v>
      </c>
      <c r="D104" s="59" t="s">
        <v>945</v>
      </c>
      <c r="E104" s="59" t="s">
        <v>945</v>
      </c>
      <c r="F104" s="59" t="s">
        <v>945</v>
      </c>
      <c r="G104" s="59" t="s">
        <v>945</v>
      </c>
      <c r="H104" s="59" t="s">
        <v>945</v>
      </c>
      <c r="I104" s="59" t="s">
        <v>945</v>
      </c>
      <c r="J104" s="59" t="s">
        <v>945</v>
      </c>
      <c r="K104" s="59" t="s">
        <v>945</v>
      </c>
      <c r="L104" s="59" t="s">
        <v>945</v>
      </c>
      <c r="M104" s="59" t="s">
        <v>945</v>
      </c>
      <c r="N104" s="244"/>
      <c r="O104" s="59" t="s">
        <v>945</v>
      </c>
      <c r="P104" s="59" t="s">
        <v>945</v>
      </c>
      <c r="Q104" s="59" t="s">
        <v>945</v>
      </c>
      <c r="R104" s="59" t="s">
        <v>945</v>
      </c>
      <c r="S104" s="59" t="s">
        <v>945</v>
      </c>
      <c r="T104" s="244"/>
      <c r="U104" s="59" t="s">
        <v>945</v>
      </c>
      <c r="V104" s="59" t="s">
        <v>945</v>
      </c>
      <c r="W104" s="59" t="s">
        <v>945</v>
      </c>
      <c r="X104" s="59" t="s">
        <v>945</v>
      </c>
      <c r="Y104" s="59" t="s">
        <v>945</v>
      </c>
      <c r="Z104" s="244"/>
      <c r="AA104" s="59" t="s">
        <v>945</v>
      </c>
      <c r="AB104" s="59" t="s">
        <v>945</v>
      </c>
      <c r="AC104" s="59" t="s">
        <v>945</v>
      </c>
      <c r="AD104" s="59" t="s">
        <v>945</v>
      </c>
      <c r="AE104" s="59" t="s">
        <v>945</v>
      </c>
      <c r="AF104" s="244"/>
      <c r="AG104" s="59" t="s">
        <v>945</v>
      </c>
      <c r="AH104" s="59" t="s">
        <v>945</v>
      </c>
      <c r="AI104" s="59" t="s">
        <v>945</v>
      </c>
      <c r="AJ104" s="59" t="s">
        <v>945</v>
      </c>
      <c r="AK104" s="59" t="s">
        <v>945</v>
      </c>
      <c r="AL104" s="244"/>
      <c r="AM104" s="59" t="s">
        <v>945</v>
      </c>
      <c r="AN104" s="59" t="s">
        <v>945</v>
      </c>
      <c r="AO104" s="59" t="s">
        <v>945</v>
      </c>
      <c r="AP104" s="59" t="s">
        <v>945</v>
      </c>
      <c r="AQ104" s="59" t="s">
        <v>945</v>
      </c>
      <c r="AR104" s="244"/>
      <c r="AS104" s="59" t="s">
        <v>945</v>
      </c>
      <c r="AT104" s="59" t="s">
        <v>945</v>
      </c>
      <c r="AU104" s="59" t="s">
        <v>945</v>
      </c>
      <c r="AV104" s="59" t="s">
        <v>945</v>
      </c>
      <c r="AW104" s="59" t="s">
        <v>945</v>
      </c>
      <c r="AX104" s="244"/>
      <c r="AY104" s="59" t="s">
        <v>945</v>
      </c>
      <c r="AZ104" s="59" t="s">
        <v>945</v>
      </c>
      <c r="BA104" s="59" t="s">
        <v>945</v>
      </c>
      <c r="BB104" s="59" t="s">
        <v>945</v>
      </c>
      <c r="BC104" s="59" t="s">
        <v>945</v>
      </c>
      <c r="BD104" s="244"/>
      <c r="BE104" s="60">
        <v>116.56</v>
      </c>
      <c r="BF104" s="60">
        <v>116.675</v>
      </c>
      <c r="BG104" s="60">
        <v>112.696</v>
      </c>
      <c r="BH104" s="60">
        <v>115.64400000000001</v>
      </c>
      <c r="BI104" s="60">
        <f>SUM(BE104:BH104)</f>
        <v>461.57500000000005</v>
      </c>
      <c r="BJ104" s="60"/>
      <c r="BK104" s="60">
        <v>117</v>
      </c>
      <c r="BL104" s="60">
        <v>117</v>
      </c>
      <c r="BM104" s="60">
        <v>120</v>
      </c>
      <c r="BN104" s="60">
        <v>120</v>
      </c>
      <c r="BO104" s="60">
        <f>SUM(BK104:BN104)</f>
        <v>474</v>
      </c>
      <c r="BP104" s="60"/>
      <c r="BQ104" s="243">
        <v>121</v>
      </c>
      <c r="BR104" s="243">
        <v>143</v>
      </c>
      <c r="BS104" s="243">
        <v>143</v>
      </c>
      <c r="BT104" s="243">
        <v>140</v>
      </c>
      <c r="BU104" s="60">
        <f>SUM(BQ104:BT104)</f>
        <v>547</v>
      </c>
      <c r="BV104" s="60"/>
      <c r="BW104" s="243">
        <v>136</v>
      </c>
      <c r="BX104" s="243">
        <v>141</v>
      </c>
      <c r="BY104" s="243">
        <v>160</v>
      </c>
      <c r="BZ104" s="243">
        <v>179</v>
      </c>
      <c r="CA104" s="60">
        <f>SUM(BW104:BZ104)</f>
        <v>616</v>
      </c>
      <c r="CB104" s="60"/>
      <c r="CC104" s="243">
        <v>160</v>
      </c>
      <c r="CD104" s="243">
        <v>175</v>
      </c>
      <c r="CE104" s="243">
        <f>178-1</f>
        <v>177</v>
      </c>
      <c r="CF104" s="243">
        <f>206-1</f>
        <v>205</v>
      </c>
      <c r="CG104" s="174">
        <f>SUM(CC104:CF104)</f>
        <v>717</v>
      </c>
      <c r="CH104" s="60"/>
      <c r="CI104" s="243">
        <f>200-3</f>
        <v>197</v>
      </c>
      <c r="CJ104" s="243">
        <f>205-3</f>
        <v>202</v>
      </c>
      <c r="CK104" s="243">
        <f>210-3</f>
        <v>207</v>
      </c>
      <c r="CL104" s="243">
        <f>229-3</f>
        <v>226</v>
      </c>
      <c r="CM104" s="174">
        <f>SUM(CI104:CL104)</f>
        <v>832</v>
      </c>
      <c r="CN104" s="60"/>
      <c r="CO104" s="243">
        <f>228-4</f>
        <v>224</v>
      </c>
      <c r="CP104" s="243">
        <f>246-3</f>
        <v>243</v>
      </c>
      <c r="CQ104" s="243">
        <f>254-1</f>
        <v>253</v>
      </c>
      <c r="CR104" s="243">
        <f>269-2</f>
        <v>267</v>
      </c>
      <c r="CS104" s="174">
        <f>SUM(CO104:CR104)</f>
        <v>987</v>
      </c>
      <c r="CT104" s="60"/>
      <c r="CU104" s="243">
        <f>282-3</f>
        <v>279</v>
      </c>
      <c r="CV104" s="243">
        <f>257-3</f>
        <v>254</v>
      </c>
      <c r="CW104" s="243">
        <f>256-3</f>
        <v>253</v>
      </c>
      <c r="CX104" s="243">
        <f>293-4</f>
        <v>289</v>
      </c>
      <c r="CY104" s="174">
        <f>SUM(CU104:CX104)</f>
        <v>1075</v>
      </c>
      <c r="CZ104" s="60"/>
      <c r="DA104" s="243">
        <f>226-4</f>
        <v>222</v>
      </c>
      <c r="DB104" s="243">
        <f>264-4</f>
        <v>260</v>
      </c>
      <c r="DC104" s="243">
        <f>281-4</f>
        <v>277</v>
      </c>
      <c r="DD104" s="243">
        <f>292-5</f>
        <v>287</v>
      </c>
      <c r="DE104" s="174">
        <f>SUM(DA104:DD104)</f>
        <v>1046</v>
      </c>
      <c r="DF104" s="60"/>
      <c r="DG104" s="243">
        <f>308-5</f>
        <v>303</v>
      </c>
      <c r="DH104" s="243">
        <f>307-3</f>
        <v>304</v>
      </c>
      <c r="DI104" s="243">
        <f>299-4</f>
        <v>295</v>
      </c>
      <c r="DJ104" s="243">
        <f>350-3</f>
        <v>347</v>
      </c>
      <c r="DK104" s="174">
        <f>SUM(DG104:DJ104)</f>
        <v>1249</v>
      </c>
      <c r="DL104" s="60"/>
      <c r="DM104" s="243">
        <f>297-4</f>
        <v>293</v>
      </c>
      <c r="DN104" s="243">
        <f>298-5</f>
        <v>293</v>
      </c>
      <c r="DO104" s="243">
        <f>305-5</f>
        <v>300</v>
      </c>
      <c r="DP104" s="243">
        <f>327-5</f>
        <v>322</v>
      </c>
      <c r="DQ104" s="174">
        <f>SUM(DM104:DP104)</f>
        <v>1208</v>
      </c>
      <c r="DR104" s="60"/>
      <c r="DS104" s="243">
        <f>283-5</f>
        <v>278</v>
      </c>
      <c r="DT104" s="243">
        <f>270-5</f>
        <v>265</v>
      </c>
      <c r="DU104" s="243">
        <f>306-5</f>
        <v>301</v>
      </c>
      <c r="DV104" s="243">
        <f>DV122+DV116+DV126</f>
        <v>484</v>
      </c>
      <c r="DW104" s="174">
        <f>SUM(DS104:DV104)</f>
        <v>1328</v>
      </c>
      <c r="DX104" s="60"/>
      <c r="DY104" s="243">
        <f t="shared" ref="DY104:EI104" si="57">DY122+DY116+DY126</f>
        <v>453</v>
      </c>
      <c r="DZ104" s="243">
        <f t="shared" si="57"/>
        <v>457</v>
      </c>
      <c r="EA104" s="243">
        <f t="shared" si="57"/>
        <v>465</v>
      </c>
      <c r="EB104" s="243">
        <f t="shared" si="57"/>
        <v>514</v>
      </c>
      <c r="EC104" s="174">
        <f t="shared" si="57"/>
        <v>1889</v>
      </c>
      <c r="ED104" s="60">
        <f t="shared" si="57"/>
        <v>0</v>
      </c>
      <c r="EE104" s="243">
        <f t="shared" si="57"/>
        <v>492</v>
      </c>
      <c r="EF104" s="243">
        <f t="shared" si="57"/>
        <v>540</v>
      </c>
      <c r="EG104" s="243">
        <f t="shared" si="57"/>
        <v>581</v>
      </c>
      <c r="EH104" s="243">
        <f t="shared" si="57"/>
        <v>667</v>
      </c>
      <c r="EI104" s="174">
        <f t="shared" si="57"/>
        <v>2280</v>
      </c>
      <c r="EJ104" s="60"/>
      <c r="EK104" s="243">
        <f>EK122+EK116+EK126</f>
        <v>645</v>
      </c>
      <c r="EL104" s="243">
        <f>EL122+EL116+EL126</f>
        <v>653</v>
      </c>
      <c r="EM104" s="243">
        <f>EM122+EM116+EM126</f>
        <v>662</v>
      </c>
      <c r="EN104" s="243">
        <f>EN122+EN116+EN126</f>
        <v>660</v>
      </c>
      <c r="EO104" s="174">
        <f>EO122+EO116+EO126</f>
        <v>2620</v>
      </c>
      <c r="EP104" s="1529"/>
      <c r="EQ104" s="243">
        <f>EQ122+EQ116+EQ126</f>
        <v>678</v>
      </c>
      <c r="ER104" s="243">
        <f>ER122+ER116+ER126</f>
        <v>701</v>
      </c>
      <c r="ES104" s="243">
        <f>ES122+ES116+ES126</f>
        <v>762</v>
      </c>
      <c r="ET104" s="243">
        <f>ET110+ET119+ET126</f>
        <v>821</v>
      </c>
      <c r="EU104" s="174">
        <f>EU122+EU116+EU126</f>
        <v>2955.2999999999997</v>
      </c>
      <c r="EV104" s="1529"/>
      <c r="EW104" s="243">
        <f>EW110+EW119+EW126</f>
        <v>840</v>
      </c>
      <c r="EX104" s="243">
        <f>EX122+EX116+EX126</f>
        <v>874</v>
      </c>
      <c r="EY104" s="243">
        <f>EY122+EY116+EY126</f>
        <v>875</v>
      </c>
      <c r="EZ104" s="243">
        <f t="shared" ref="EZ104" si="58">EZ107+EZ126</f>
        <v>956.88567481342034</v>
      </c>
      <c r="FA104" s="174">
        <f>FA122+FA116+FA126</f>
        <v>3545.8856748134203</v>
      </c>
      <c r="FB104" s="1529"/>
      <c r="FC104" s="243">
        <f>FC107+FC126</f>
        <v>964.61344273044188</v>
      </c>
      <c r="FD104" s="243">
        <f t="shared" ref="FD104:FF104" si="59">FD107+FD126</f>
        <v>982.78782255245744</v>
      </c>
      <c r="FE104" s="243">
        <f t="shared" si="59"/>
        <v>960.62077063709535</v>
      </c>
      <c r="FF104" s="243">
        <f t="shared" si="59"/>
        <v>1025.1098371587057</v>
      </c>
      <c r="FG104" s="174">
        <f>FG122+FG116+FG126</f>
        <v>3933.1318730787002</v>
      </c>
      <c r="FH104" s="1529"/>
      <c r="FI104" s="243">
        <f>FI107+FI126</f>
        <v>1042.1368876126685</v>
      </c>
      <c r="FJ104" s="243">
        <f t="shared" ref="FJ104:FL104" si="60">FJ107+FJ126</f>
        <v>1060.4499180234202</v>
      </c>
      <c r="FK104" s="243">
        <f t="shared" si="60"/>
        <v>1039.5229951753938</v>
      </c>
      <c r="FL104" s="243">
        <f t="shared" si="60"/>
        <v>1108.4458633706881</v>
      </c>
      <c r="FM104" s="174">
        <f>FM122+FM116+FM126</f>
        <v>4250.5556641821713</v>
      </c>
      <c r="FN104" s="226"/>
      <c r="FO104" s="245">
        <f>CE104+CF104+CI104+CJ104</f>
        <v>781</v>
      </c>
      <c r="FP104" s="243">
        <f>CK104+CL104+CO104+CP104</f>
        <v>900</v>
      </c>
      <c r="FQ104" s="243">
        <f>CV104+CU104+CR104+CQ104</f>
        <v>1053</v>
      </c>
      <c r="FR104" s="243">
        <f>CW104+CX104+DA104+DB104</f>
        <v>1024</v>
      </c>
      <c r="FS104" s="245">
        <f>DC104+DD104+DG104+DH104</f>
        <v>1171</v>
      </c>
      <c r="FT104" s="243">
        <f>DI104+DJ104+DM104+DN104</f>
        <v>1228</v>
      </c>
      <c r="FU104" s="243">
        <f>DO104+DP104+DS104+DT104</f>
        <v>1165</v>
      </c>
      <c r="FV104" s="243">
        <f>DY104+DV104+DZ104+DU104</f>
        <v>1695</v>
      </c>
      <c r="FW104" s="243">
        <f>EA104+EB104+EE104+EF104</f>
        <v>2011</v>
      </c>
      <c r="FX104" s="243">
        <f>EG104+EH104+EK104+EL104</f>
        <v>2546</v>
      </c>
      <c r="FY104" s="243">
        <f>EM104+EN104+EQ104+ER104</f>
        <v>2701</v>
      </c>
      <c r="FZ104" s="243">
        <f>ES104+ET104+EW104+EX104</f>
        <v>3297</v>
      </c>
      <c r="GA104" s="243">
        <f>EY104+EZ104+FC104+FD104</f>
        <v>3779.2869400963195</v>
      </c>
      <c r="GB104" s="243">
        <f>FE104+FF104+FI104+FJ104</f>
        <v>4088.3174134318897</v>
      </c>
      <c r="GC104" s="243"/>
      <c r="GD104" s="243"/>
      <c r="GE104" s="243"/>
      <c r="GF104" s="243"/>
      <c r="GI104"/>
      <c r="GJ104"/>
      <c r="GK104"/>
      <c r="GL104"/>
      <c r="GM104"/>
      <c r="GN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</row>
    <row r="105" spans="1:281" s="37" customFormat="1" ht="10.5" customHeight="1" x14ac:dyDescent="0.2">
      <c r="A105" s="247" t="s">
        <v>1167</v>
      </c>
      <c r="B105" s="952"/>
      <c r="C105" s="259" t="s">
        <v>945</v>
      </c>
      <c r="D105" s="259" t="s">
        <v>945</v>
      </c>
      <c r="E105" s="259" t="s">
        <v>945</v>
      </c>
      <c r="F105" s="259" t="s">
        <v>945</v>
      </c>
      <c r="G105" s="259" t="s">
        <v>945</v>
      </c>
      <c r="H105" s="259" t="s">
        <v>945</v>
      </c>
      <c r="I105" s="259" t="s">
        <v>945</v>
      </c>
      <c r="J105" s="259" t="s">
        <v>945</v>
      </c>
      <c r="K105" s="259" t="s">
        <v>945</v>
      </c>
      <c r="L105" s="259" t="s">
        <v>945</v>
      </c>
      <c r="M105" s="259" t="s">
        <v>945</v>
      </c>
      <c r="N105" s="36"/>
      <c r="O105" s="259" t="s">
        <v>945</v>
      </c>
      <c r="P105" s="259" t="s">
        <v>945</v>
      </c>
      <c r="Q105" s="259" t="s">
        <v>945</v>
      </c>
      <c r="R105" s="259" t="s">
        <v>945</v>
      </c>
      <c r="S105" s="259" t="s">
        <v>945</v>
      </c>
      <c r="T105" s="36"/>
      <c r="U105" s="259" t="s">
        <v>945</v>
      </c>
      <c r="V105" s="259" t="s">
        <v>945</v>
      </c>
      <c r="W105" s="259" t="s">
        <v>945</v>
      </c>
      <c r="X105" s="259" t="s">
        <v>945</v>
      </c>
      <c r="Y105" s="259" t="s">
        <v>945</v>
      </c>
      <c r="Z105" s="36"/>
      <c r="AA105" s="259" t="s">
        <v>945</v>
      </c>
      <c r="AB105" s="259" t="s">
        <v>945</v>
      </c>
      <c r="AC105" s="259" t="s">
        <v>945</v>
      </c>
      <c r="AD105" s="259" t="s">
        <v>945</v>
      </c>
      <c r="AE105" s="259" t="s">
        <v>945</v>
      </c>
      <c r="AF105" s="36"/>
      <c r="AG105" s="259" t="s">
        <v>945</v>
      </c>
      <c r="AH105" s="259" t="s">
        <v>945</v>
      </c>
      <c r="AI105" s="259" t="s">
        <v>945</v>
      </c>
      <c r="AJ105" s="259" t="s">
        <v>945</v>
      </c>
      <c r="AK105" s="259" t="s">
        <v>945</v>
      </c>
      <c r="AL105" s="36"/>
      <c r="AM105" s="259" t="s">
        <v>945</v>
      </c>
      <c r="AN105" s="259" t="s">
        <v>945</v>
      </c>
      <c r="AO105" s="259" t="s">
        <v>945</v>
      </c>
      <c r="AP105" s="259" t="s">
        <v>945</v>
      </c>
      <c r="AQ105" s="259" t="s">
        <v>945</v>
      </c>
      <c r="AR105" s="36"/>
      <c r="AS105" s="259" t="s">
        <v>945</v>
      </c>
      <c r="AT105" s="259" t="s">
        <v>945</v>
      </c>
      <c r="AU105" s="259" t="s">
        <v>945</v>
      </c>
      <c r="AV105" s="259" t="s">
        <v>945</v>
      </c>
      <c r="AW105" s="259" t="s">
        <v>945</v>
      </c>
      <c r="AX105" s="36"/>
      <c r="AY105" s="259" t="s">
        <v>945</v>
      </c>
      <c r="AZ105" s="259" t="s">
        <v>945</v>
      </c>
      <c r="BA105" s="259" t="s">
        <v>945</v>
      </c>
      <c r="BB105" s="259" t="s">
        <v>945</v>
      </c>
      <c r="BC105" s="259" t="s">
        <v>945</v>
      </c>
      <c r="BD105" s="36"/>
      <c r="BE105" s="236">
        <f>1-BE104/(BE14+BE46)</f>
        <v>0.92500673948527701</v>
      </c>
      <c r="BF105" s="236">
        <f>1-BF104/(BF14+BF46)</f>
        <v>0.93073719253962239</v>
      </c>
      <c r="BG105" s="236">
        <f>1-BG104/(BG14+BG46)</f>
        <v>0.93142300788024457</v>
      </c>
      <c r="BH105" s="236">
        <f>1-BH104/(BH14+BH46)</f>
        <v>0.94491875988620244</v>
      </c>
      <c r="BI105" s="236">
        <f>1-BI104/(BI14+BI46)</f>
        <v>0.93388755635116316</v>
      </c>
      <c r="BJ105" s="36"/>
      <c r="BK105" s="236">
        <f>1-BK104/(BK14+BK46)</f>
        <v>0.92029972752043598</v>
      </c>
      <c r="BL105" s="236">
        <f>1-BL104/(BL14+BL46)</f>
        <v>0.93193717277486909</v>
      </c>
      <c r="BM105" s="236">
        <f>1-BM104/(BM14+BM46)</f>
        <v>0.93181818181818188</v>
      </c>
      <c r="BN105" s="236">
        <f>1-BN104/(BN14+BN46)</f>
        <v>0.94672349493873198</v>
      </c>
      <c r="BO105" s="236">
        <f>1-BO104/(BO14+BO46)</f>
        <v>0.93416118009834148</v>
      </c>
      <c r="BP105" s="36"/>
      <c r="BQ105" s="236">
        <f>1-BQ104/(BQ14+BQ46)</f>
        <v>0.92238614496472093</v>
      </c>
      <c r="BR105" s="236">
        <f>1-BR104/(BR14+BR46)</f>
        <v>0.92737430167597767</v>
      </c>
      <c r="BS105" s="236">
        <f>1-BS104/(BS14+BS46)</f>
        <v>0.9293129016312407</v>
      </c>
      <c r="BT105" s="236">
        <f>1-BT104/(BT14+BT46)</f>
        <v>0.94442238983723703</v>
      </c>
      <c r="BU105" s="236">
        <f>1-BU104/(BU14+BU46)</f>
        <v>0.93221809169764558</v>
      </c>
      <c r="BV105" s="36"/>
      <c r="BW105" s="188">
        <f>1-BW104/(BW14+BW46)</f>
        <v>0.92179413456009196</v>
      </c>
      <c r="BX105" s="188">
        <f>1-BX104/(BX14+BX46)</f>
        <v>0.93657219973009442</v>
      </c>
      <c r="BY105" s="188">
        <f>1-BY104/(BY14+BY46)</f>
        <v>0.9354578459056071</v>
      </c>
      <c r="BZ105" s="188">
        <f>1-BZ104/(BZ14+BZ46)</f>
        <v>0.9457575757575758</v>
      </c>
      <c r="CA105" s="188">
        <f>1-CA104/(CA14+CA46)</f>
        <v>0.93676213941073816</v>
      </c>
      <c r="CB105" s="36"/>
      <c r="CC105" s="188">
        <f>1-CC104/(CC14+CC46)</f>
        <v>0.92951541850220265</v>
      </c>
      <c r="CD105" s="188">
        <f>1-CD104/(CD14+CD46)</f>
        <v>0.93563810224347188</v>
      </c>
      <c r="CE105" s="188">
        <f>1-CE104/(CE14+CE46)</f>
        <v>0.93818537403087243</v>
      </c>
      <c r="CF105" s="188">
        <f>1-CF104/(CF14+CF46)</f>
        <v>0.94975490196078427</v>
      </c>
      <c r="CG105" s="274">
        <f>1-CG104/(CG14+CG46)</f>
        <v>0.93991150145821456</v>
      </c>
      <c r="CH105" s="36"/>
      <c r="CI105" s="188">
        <f>1-CI104/(CI14+CI46)</f>
        <v>0.93001776198934283</v>
      </c>
      <c r="CJ105" s="188">
        <f>1-CJ104/(CJ14+CJ46)</f>
        <v>0.93816957453321093</v>
      </c>
      <c r="CK105" s="188">
        <f>1-CK104/(CK14+CK46)</f>
        <v>0.94140956694027733</v>
      </c>
      <c r="CL105" s="188">
        <f>1-CL104/(CL14+CL46)</f>
        <v>0.9529950083194676</v>
      </c>
      <c r="CM105" s="274">
        <f>1-CM104/(CM14+CM46)</f>
        <v>0.94231435900991467</v>
      </c>
      <c r="CN105" s="36"/>
      <c r="CO105" s="188">
        <f>1-CO104/(CO14+CO46)</f>
        <v>0.93661573288058853</v>
      </c>
      <c r="CP105" s="188">
        <f>1-CP104/(CP14+CP46)</f>
        <v>0.94228028503562944</v>
      </c>
      <c r="CQ105" s="188">
        <f>1-CQ104/(CQ14+CQ46)</f>
        <v>0.94063819802909432</v>
      </c>
      <c r="CR105" s="188">
        <f>1-CR104/(CR14+CR46)</f>
        <v>0.95561835106382975</v>
      </c>
      <c r="CS105" s="274">
        <f>1-CS104/(CS14+CS46)</f>
        <v>0.94523360337365447</v>
      </c>
      <c r="CT105" s="36"/>
      <c r="CU105" s="188">
        <f>1-CU104/(CU14+CU46)</f>
        <v>0.93453777569216334</v>
      </c>
      <c r="CV105" s="188">
        <f>1-CV104/(CV14+CV46)</f>
        <v>0.94424934152765583</v>
      </c>
      <c r="CW105" s="188">
        <f>1-CW104/(CW14+CW46)</f>
        <v>0.94357716324710084</v>
      </c>
      <c r="CX105" s="188">
        <f>1-CX104/(CX14+CX46)</f>
        <v>0.95030949105914719</v>
      </c>
      <c r="CY105" s="274">
        <f>1-CY104/(CY14+CY46)</f>
        <v>0.943770268856575</v>
      </c>
      <c r="CZ105" s="36"/>
      <c r="DA105" s="188">
        <f>1-DA104/(DA14+DA46)</f>
        <v>0.94655753490611461</v>
      </c>
      <c r="DB105" s="188">
        <f>1-DB104/(DB14+DB46)</f>
        <v>0.94708994708994709</v>
      </c>
      <c r="DC105" s="188">
        <f>1-DC104/(DC14+DC46)</f>
        <v>0.94505494505494503</v>
      </c>
      <c r="DD105" s="188">
        <f>1-DD104/(DD14+DD46)</f>
        <v>0.95652832475007576</v>
      </c>
      <c r="DE105" s="274">
        <f>1-DE104/(DE14+DE46)</f>
        <v>0.94949641260368689</v>
      </c>
      <c r="DF105" s="36"/>
      <c r="DG105" s="188">
        <f>1-DG104/(DG14+DG46)</f>
        <v>0.9363579080025205</v>
      </c>
      <c r="DH105" s="188">
        <f>1-DH104/(DH14+DH46)</f>
        <v>0.94676939240063041</v>
      </c>
      <c r="DI105" s="188">
        <f>1-DI104/(DI14+DI46)</f>
        <v>0.95058626465661644</v>
      </c>
      <c r="DJ105" s="188">
        <f>1-DJ104/(DJ14+DJ46)</f>
        <v>0.95501685247601764</v>
      </c>
      <c r="DK105" s="274">
        <f>1-DK104/(DK14+DK46)</f>
        <v>0.948294419605895</v>
      </c>
      <c r="DL105" s="36"/>
      <c r="DM105" s="188">
        <f>1-DM104/(DM14+DM46)</f>
        <v>0.94704500271100667</v>
      </c>
      <c r="DN105" s="188">
        <f>1-DN104/(DN14+DN46)</f>
        <v>0.95152217074784906</v>
      </c>
      <c r="DO105" s="188">
        <f>1-DO104/(DO14+DO46)</f>
        <v>0.95343061161130083</v>
      </c>
      <c r="DP105" s="188">
        <f>1-DP104/(DP14+DP46)</f>
        <v>0.96057303783519044</v>
      </c>
      <c r="DQ105" s="274">
        <f>1-DQ104/(DQ14+DQ46)</f>
        <v>0.95386847934010544</v>
      </c>
      <c r="DR105" s="36"/>
      <c r="DS105" s="188">
        <f>1-DS104/(DS14+DS46)</f>
        <v>0.95253542769335842</v>
      </c>
      <c r="DT105" s="188">
        <f>1-DT104/(DT14+DT46)</f>
        <v>0.96090868859713818</v>
      </c>
      <c r="DU105" s="188">
        <f>1-DU104/(DU14+DU46)</f>
        <v>0.95568315665488812</v>
      </c>
      <c r="DV105" s="188">
        <f>1-DV104/(DV14+DV46)</f>
        <v>0.9433984329318208</v>
      </c>
      <c r="DW105" s="274">
        <f>1-DW104/(DW14+DW46)</f>
        <v>0.95253583044426171</v>
      </c>
      <c r="DX105" s="36"/>
      <c r="DY105" s="188">
        <f>1-DY104/(DY14+DY46)</f>
        <v>0.92690011295788288</v>
      </c>
      <c r="DZ105" s="188">
        <f>1-DZ104/(DZ14+DZ46)</f>
        <v>0.93468629412605408</v>
      </c>
      <c r="EA105" s="188">
        <f>1-EA104/(EA14+EA46)</f>
        <v>0.93456234168308472</v>
      </c>
      <c r="EB105" s="188">
        <f>1-EB104/(EB14+EB46)</f>
        <v>0.94237022087677991</v>
      </c>
      <c r="EC105" s="274">
        <f>1-EC104/(EC14+EC46)</f>
        <v>0.93535028577295598</v>
      </c>
      <c r="ED105" s="36"/>
      <c r="EE105" s="188">
        <f>1-EE104/(EE14+EE46)</f>
        <v>0.92520522955305562</v>
      </c>
      <c r="EF105" s="188">
        <f>1-EF104/(EF14+EF46)</f>
        <v>0.92640043614556356</v>
      </c>
      <c r="EG105" s="188">
        <f>1-EG104/(EG14+EG46)</f>
        <v>0.91903567447045709</v>
      </c>
      <c r="EH105" s="188">
        <f>1-EH104/(EH14+EH46)</f>
        <v>0.9206424747174301</v>
      </c>
      <c r="EI105" s="274">
        <f>1-EI104/(EI14+EI46)</f>
        <v>0.92270138323840523</v>
      </c>
      <c r="EJ105" s="36"/>
      <c r="EK105" s="188">
        <f>1-EK104/(EK14+EK46)</f>
        <v>0.90015479876160986</v>
      </c>
      <c r="EL105" s="188">
        <f>1-EL104/(EL14+EL46)</f>
        <v>0.90687393040501996</v>
      </c>
      <c r="EM105" s="188">
        <f>1-EM104/(EM14+EM46)</f>
        <v>0.90657634772791418</v>
      </c>
      <c r="EN105" s="188">
        <f>1-EN104/(EN14+EN46)</f>
        <v>0.92181021206018243</v>
      </c>
      <c r="EO105" s="274">
        <f>1-EO104/(EO14+EO46)</f>
        <v>0.90965205696748164</v>
      </c>
      <c r="EP105" s="1539"/>
      <c r="EQ105" s="188">
        <f>1-EQ104/(EQ14+EQ46)</f>
        <v>0.90042590688794244</v>
      </c>
      <c r="ER105" s="188">
        <f>1-ER104/(ER14+ER46)</f>
        <v>0.90280088740987241</v>
      </c>
      <c r="ES105" s="188">
        <f>1-ES104/(ES14+ES46)</f>
        <v>0.897497982243745</v>
      </c>
      <c r="ET105" s="188">
        <f>1-ET104/(ET14+ET46)</f>
        <v>0.90809358558155151</v>
      </c>
      <c r="EU105" s="274">
        <f>1-EU104/(EU14+EU46)</f>
        <v>0.90274779518230885</v>
      </c>
      <c r="EV105" s="1539"/>
      <c r="EW105" s="188">
        <f>1-EW104/(EW14+EW46)</f>
        <v>0.88662437575921182</v>
      </c>
      <c r="EX105" s="188">
        <f>1-EX104/(EX14+EX46)</f>
        <v>0.88843502680622921</v>
      </c>
      <c r="EY105" s="188">
        <f>1-EY104/(EY14+EY46)</f>
        <v>0.89043325820185326</v>
      </c>
      <c r="EZ105" s="188">
        <f>1-EZ104/(EZ14+EZ46)</f>
        <v>0.89653940614255134</v>
      </c>
      <c r="FA105" s="274">
        <f>1-FA104/(FA14+FA46)</f>
        <v>0.89082122627582594</v>
      </c>
      <c r="FB105" s="1539"/>
      <c r="FC105" s="188">
        <f>1-FC104/(FC14+FC46)</f>
        <v>0.87778088047945702</v>
      </c>
      <c r="FD105" s="188">
        <f>1-FD104/(FD14+FD46)</f>
        <v>0.88178564306968732</v>
      </c>
      <c r="FE105" s="188">
        <f>1-FE104/(FE14+FE46)</f>
        <v>0.88649043664380311</v>
      </c>
      <c r="FF105" s="188">
        <f>1-FF104/(FF14+FF46)</f>
        <v>0.89347612326251424</v>
      </c>
      <c r="FG105" s="274">
        <f>1-FG104/(FG14+FG46)</f>
        <v>0.88530566180753334</v>
      </c>
      <c r="FH105" s="1539"/>
      <c r="FI105" s="188">
        <f>1-FI104/(FI14+FI46)</f>
        <v>0.87554953893576792</v>
      </c>
      <c r="FJ105" s="188">
        <f>1-FJ104/(FJ14+FJ46)</f>
        <v>0.879177954761304</v>
      </c>
      <c r="FK105" s="188">
        <f>1-FK104/(FK14+FK46)</f>
        <v>0.88347149884858078</v>
      </c>
      <c r="FL105" s="188">
        <f>1-FL104/(FL14+FL46)</f>
        <v>0.88931902676826502</v>
      </c>
      <c r="FM105" s="274">
        <f>1-FM104/(FM14+FM46)</f>
        <v>0.88221173633264727</v>
      </c>
      <c r="FN105" s="1123"/>
      <c r="FO105" s="275">
        <f t="shared" ref="FO105:GA105" si="61">1-FO104/(FO14+FO46)</f>
        <v>0.94004022909085327</v>
      </c>
      <c r="FP105" s="188">
        <f t="shared" si="61"/>
        <v>0.94404724898974202</v>
      </c>
      <c r="FQ105" s="188">
        <f t="shared" si="61"/>
        <v>0.9448575617930457</v>
      </c>
      <c r="FR105" s="188">
        <f t="shared" si="61"/>
        <v>0.94712928541924823</v>
      </c>
      <c r="FS105" s="275">
        <f t="shared" si="61"/>
        <v>0.94705047161706324</v>
      </c>
      <c r="FT105" s="188">
        <f t="shared" si="61"/>
        <v>0.95138751435018409</v>
      </c>
      <c r="FU105" s="188">
        <f t="shared" si="61"/>
        <v>0.95723986052486698</v>
      </c>
      <c r="FV105" s="188">
        <f t="shared" si="61"/>
        <v>0.94060342712969125</v>
      </c>
      <c r="FW105" s="188">
        <f t="shared" si="61"/>
        <v>0.9328323313293253</v>
      </c>
      <c r="FX105" s="188">
        <f t="shared" si="61"/>
        <v>0.91236705331635282</v>
      </c>
      <c r="FY105" s="188">
        <f t="shared" si="61"/>
        <v>0.90858941383511571</v>
      </c>
      <c r="FZ105" s="188">
        <f t="shared" si="61"/>
        <v>0.89569756406200574</v>
      </c>
      <c r="GA105" s="188">
        <f t="shared" si="61"/>
        <v>0.88698606646568479</v>
      </c>
      <c r="GB105" s="188">
        <f t="shared" ref="GB105" si="62">1-GB104/(GB14+GB46)</f>
        <v>0.88397677175609679</v>
      </c>
      <c r="GC105" s="188"/>
      <c r="GD105" s="188"/>
      <c r="GE105" s="188"/>
      <c r="GF105" s="188"/>
      <c r="GI105"/>
      <c r="GJ105"/>
      <c r="GK105"/>
      <c r="GL105"/>
      <c r="GM105"/>
      <c r="GN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</row>
    <row r="106" spans="1:281" s="37" customFormat="1" ht="3.95" customHeight="1" x14ac:dyDescent="0.2">
      <c r="A106" s="247"/>
      <c r="B106" s="952"/>
      <c r="C106" s="259"/>
      <c r="D106" s="259"/>
      <c r="E106" s="259"/>
      <c r="F106" s="259"/>
      <c r="G106" s="259"/>
      <c r="H106" s="259"/>
      <c r="I106" s="259"/>
      <c r="J106" s="259"/>
      <c r="K106" s="259"/>
      <c r="L106" s="259"/>
      <c r="M106" s="259"/>
      <c r="N106" s="36"/>
      <c r="O106" s="259"/>
      <c r="P106" s="259"/>
      <c r="Q106" s="259"/>
      <c r="R106" s="259"/>
      <c r="S106" s="259"/>
      <c r="T106" s="36"/>
      <c r="U106" s="259"/>
      <c r="V106" s="259"/>
      <c r="W106" s="259"/>
      <c r="X106" s="259"/>
      <c r="Y106" s="259"/>
      <c r="Z106" s="36"/>
      <c r="AA106" s="259"/>
      <c r="AB106" s="259"/>
      <c r="AC106" s="259"/>
      <c r="AD106" s="259"/>
      <c r="AE106" s="259"/>
      <c r="AF106" s="36"/>
      <c r="AG106" s="259"/>
      <c r="AH106" s="259"/>
      <c r="AI106" s="259"/>
      <c r="AJ106" s="259"/>
      <c r="AK106" s="259"/>
      <c r="AL106" s="36"/>
      <c r="AM106" s="259"/>
      <c r="AN106" s="259"/>
      <c r="AO106" s="259"/>
      <c r="AP106" s="259"/>
      <c r="AQ106" s="259"/>
      <c r="AR106" s="36"/>
      <c r="AS106" s="259"/>
      <c r="AT106" s="259"/>
      <c r="AU106" s="259"/>
      <c r="AV106" s="259"/>
      <c r="AW106" s="259"/>
      <c r="AX106" s="36"/>
      <c r="AY106" s="259"/>
      <c r="AZ106" s="259"/>
      <c r="BA106" s="259"/>
      <c r="BB106" s="259"/>
      <c r="BC106" s="259"/>
      <c r="BD106" s="36"/>
      <c r="BE106" s="236"/>
      <c r="BF106" s="236"/>
      <c r="BG106" s="236"/>
      <c r="BH106" s="236"/>
      <c r="BI106" s="236"/>
      <c r="BJ106" s="36"/>
      <c r="BK106" s="236"/>
      <c r="BL106" s="236"/>
      <c r="BM106" s="236"/>
      <c r="BN106" s="236"/>
      <c r="BO106" s="236"/>
      <c r="BP106" s="36"/>
      <c r="BQ106" s="236"/>
      <c r="BR106" s="236"/>
      <c r="BS106" s="236"/>
      <c r="BT106" s="236"/>
      <c r="BU106" s="236"/>
      <c r="BV106" s="36"/>
      <c r="BW106" s="188"/>
      <c r="BX106" s="188"/>
      <c r="BY106" s="188"/>
      <c r="BZ106" s="188"/>
      <c r="CA106" s="188"/>
      <c r="CB106" s="36"/>
      <c r="CC106" s="188"/>
      <c r="CD106" s="188"/>
      <c r="CE106" s="188"/>
      <c r="CF106" s="188"/>
      <c r="CG106" s="274"/>
      <c r="CH106" s="36"/>
      <c r="CI106" s="188"/>
      <c r="CJ106" s="188"/>
      <c r="CK106" s="188"/>
      <c r="CL106" s="188"/>
      <c r="CM106" s="274"/>
      <c r="CN106" s="36"/>
      <c r="CO106" s="188"/>
      <c r="CP106" s="188"/>
      <c r="CQ106" s="188"/>
      <c r="CR106" s="188"/>
      <c r="CS106" s="274"/>
      <c r="CT106" s="36"/>
      <c r="CU106" s="188"/>
      <c r="CV106" s="188"/>
      <c r="CW106" s="188"/>
      <c r="CX106" s="188"/>
      <c r="CY106" s="274"/>
      <c r="CZ106" s="36"/>
      <c r="DA106" s="188"/>
      <c r="DB106" s="188"/>
      <c r="DC106" s="188"/>
      <c r="DD106" s="188"/>
      <c r="DE106" s="274"/>
      <c r="DF106" s="36"/>
      <c r="DG106" s="188"/>
      <c r="DH106" s="188"/>
      <c r="DI106" s="188"/>
      <c r="DJ106" s="188"/>
      <c r="DK106" s="274"/>
      <c r="DL106" s="36"/>
      <c r="DM106" s="188"/>
      <c r="DN106" s="188"/>
      <c r="DO106" s="188"/>
      <c r="DP106" s="188"/>
      <c r="DQ106" s="274"/>
      <c r="DR106" s="36"/>
      <c r="DS106" s="188"/>
      <c r="DT106" s="188"/>
      <c r="DU106" s="188"/>
      <c r="DV106" s="188"/>
      <c r="DW106" s="274"/>
      <c r="DX106" s="36"/>
      <c r="DY106" s="188"/>
      <c r="DZ106" s="188"/>
      <c r="EA106" s="188"/>
      <c r="EB106" s="188"/>
      <c r="EC106" s="274"/>
      <c r="ED106" s="36"/>
      <c r="EE106" s="188"/>
      <c r="EF106" s="188"/>
      <c r="EG106" s="188"/>
      <c r="EH106" s="188"/>
      <c r="EI106" s="274"/>
      <c r="EJ106" s="36"/>
      <c r="EK106" s="188"/>
      <c r="EL106" s="188"/>
      <c r="EM106" s="188"/>
      <c r="EN106" s="188"/>
      <c r="EO106" s="274"/>
      <c r="EP106" s="1539"/>
      <c r="EQ106" s="188"/>
      <c r="ER106" s="188"/>
      <c r="ES106" s="188"/>
      <c r="ET106" s="188"/>
      <c r="EU106" s="274"/>
      <c r="EV106" s="1539"/>
      <c r="EW106" s="188"/>
      <c r="EX106" s="188"/>
      <c r="EY106" s="188"/>
      <c r="EZ106" s="188"/>
      <c r="FA106" s="274"/>
      <c r="FB106" s="1539"/>
      <c r="FC106" s="188"/>
      <c r="FD106" s="188"/>
      <c r="FE106" s="188"/>
      <c r="FF106" s="188"/>
      <c r="FG106" s="274"/>
      <c r="FH106" s="1539"/>
      <c r="FI106" s="188"/>
      <c r="FJ106" s="188"/>
      <c r="FK106" s="188"/>
      <c r="FL106" s="188"/>
      <c r="FM106" s="274"/>
      <c r="FN106" s="1123"/>
      <c r="FO106" s="275"/>
      <c r="FP106" s="188"/>
      <c r="FQ106" s="188"/>
      <c r="FR106" s="188"/>
      <c r="FS106" s="275"/>
      <c r="FT106" s="188"/>
      <c r="FU106" s="188"/>
      <c r="FV106" s="188"/>
      <c r="FW106" s="188"/>
      <c r="FX106" s="188"/>
      <c r="FY106" s="188"/>
      <c r="FZ106" s="188"/>
      <c r="GA106" s="188"/>
      <c r="GB106" s="188"/>
      <c r="GC106" s="188"/>
      <c r="GD106" s="188"/>
      <c r="GE106" s="188"/>
      <c r="GF106" s="188"/>
      <c r="GI106"/>
      <c r="GJ106"/>
      <c r="GK106"/>
      <c r="GL106"/>
      <c r="GM106"/>
      <c r="GN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</row>
    <row r="107" spans="1:281" s="37" customFormat="1" ht="10.5" customHeight="1" x14ac:dyDescent="0.2">
      <c r="A107" s="247" t="s">
        <v>1265</v>
      </c>
      <c r="B107" s="952"/>
      <c r="C107" s="259"/>
      <c r="D107" s="259"/>
      <c r="E107" s="259"/>
      <c r="F107" s="259"/>
      <c r="G107" s="259"/>
      <c r="H107" s="259"/>
      <c r="I107" s="259"/>
      <c r="J107" s="259"/>
      <c r="K107" s="259"/>
      <c r="L107" s="259"/>
      <c r="M107" s="259"/>
      <c r="N107" s="36"/>
      <c r="O107" s="259"/>
      <c r="P107" s="259"/>
      <c r="Q107" s="259"/>
      <c r="R107" s="259"/>
      <c r="S107" s="259"/>
      <c r="T107" s="36"/>
      <c r="U107" s="259"/>
      <c r="V107" s="259"/>
      <c r="W107" s="259"/>
      <c r="X107" s="259"/>
      <c r="Y107" s="259"/>
      <c r="Z107" s="36"/>
      <c r="AA107" s="259"/>
      <c r="AB107" s="259"/>
      <c r="AC107" s="259"/>
      <c r="AD107" s="259"/>
      <c r="AE107" s="259"/>
      <c r="AF107" s="36"/>
      <c r="AG107" s="259"/>
      <c r="AH107" s="259"/>
      <c r="AI107" s="259"/>
      <c r="AJ107" s="259"/>
      <c r="AK107" s="259"/>
      <c r="AL107" s="36"/>
      <c r="AM107" s="259"/>
      <c r="AN107" s="259"/>
      <c r="AO107" s="259"/>
      <c r="AP107" s="259"/>
      <c r="AQ107" s="259"/>
      <c r="AR107" s="36"/>
      <c r="AS107" s="259"/>
      <c r="AT107" s="259"/>
      <c r="AU107" s="259"/>
      <c r="AV107" s="259"/>
      <c r="AW107" s="259"/>
      <c r="AX107" s="36"/>
      <c r="AY107" s="259"/>
      <c r="AZ107" s="259"/>
      <c r="BA107" s="259"/>
      <c r="BB107" s="259"/>
      <c r="BC107" s="259"/>
      <c r="BD107" s="36"/>
      <c r="BE107" s="236"/>
      <c r="BF107" s="236"/>
      <c r="BG107" s="236"/>
      <c r="BH107" s="236"/>
      <c r="BI107" s="236"/>
      <c r="BJ107" s="36"/>
      <c r="BK107" s="236"/>
      <c r="BL107" s="236"/>
      <c r="BM107" s="236"/>
      <c r="BN107" s="236"/>
      <c r="BO107" s="236"/>
      <c r="BP107" s="36"/>
      <c r="BQ107" s="236"/>
      <c r="BR107" s="236"/>
      <c r="BS107" s="236"/>
      <c r="BT107" s="236"/>
      <c r="BU107" s="236"/>
      <c r="BV107" s="36"/>
      <c r="BW107" s="188"/>
      <c r="BX107" s="188"/>
      <c r="BY107" s="188"/>
      <c r="BZ107" s="188"/>
      <c r="CA107" s="188"/>
      <c r="CB107" s="36"/>
      <c r="CC107" s="188"/>
      <c r="CD107" s="188"/>
      <c r="CE107" s="188"/>
      <c r="CF107" s="188"/>
      <c r="CG107" s="274"/>
      <c r="CH107" s="36"/>
      <c r="CI107" s="188"/>
      <c r="CJ107" s="188"/>
      <c r="CK107" s="188"/>
      <c r="CL107" s="188"/>
      <c r="CM107" s="274"/>
      <c r="CN107" s="36"/>
      <c r="CO107" s="188"/>
      <c r="CP107" s="188"/>
      <c r="CQ107" s="188"/>
      <c r="CR107" s="188"/>
      <c r="CS107" s="274"/>
      <c r="CT107" s="36"/>
      <c r="CU107" s="188"/>
      <c r="CV107" s="188"/>
      <c r="CW107" s="188"/>
      <c r="CX107" s="188"/>
      <c r="CY107" s="274"/>
      <c r="CZ107" s="36"/>
      <c r="DA107" s="188"/>
      <c r="DB107" s="188"/>
      <c r="DC107" s="188"/>
      <c r="DD107" s="188"/>
      <c r="DE107" s="274"/>
      <c r="DF107" s="36"/>
      <c r="DG107" s="188"/>
      <c r="DH107" s="188"/>
      <c r="DI107" s="188"/>
      <c r="DJ107" s="188"/>
      <c r="DK107" s="274"/>
      <c r="DL107" s="36"/>
      <c r="DM107" s="188"/>
      <c r="DN107" s="188"/>
      <c r="DO107" s="188"/>
      <c r="DP107" s="188"/>
      <c r="DQ107" s="274"/>
      <c r="DR107" s="36"/>
      <c r="DS107" s="188"/>
      <c r="DT107" s="188"/>
      <c r="DU107" s="188"/>
      <c r="DV107" s="243">
        <f>DV116+DV122</f>
        <v>173</v>
      </c>
      <c r="DW107" s="174"/>
      <c r="DX107" s="60"/>
      <c r="DY107" s="243">
        <f t="shared" ref="DY107:EB107" si="63">DY116+DY122</f>
        <v>171</v>
      </c>
      <c r="DZ107" s="243">
        <f t="shared" si="63"/>
        <v>177</v>
      </c>
      <c r="EA107" s="243">
        <f t="shared" si="63"/>
        <v>185</v>
      </c>
      <c r="EB107" s="243">
        <f t="shared" si="63"/>
        <v>217</v>
      </c>
      <c r="EC107" s="174">
        <f>SUM(DY107:EB107)</f>
        <v>750</v>
      </c>
      <c r="ED107" s="60"/>
      <c r="EE107" s="243">
        <f t="shared" ref="EE107:EH107" si="64">EE116+EE122</f>
        <v>225</v>
      </c>
      <c r="EF107" s="243">
        <f t="shared" si="64"/>
        <v>248</v>
      </c>
      <c r="EG107" s="243">
        <f t="shared" si="64"/>
        <v>287</v>
      </c>
      <c r="EH107" s="243">
        <f t="shared" si="64"/>
        <v>342</v>
      </c>
      <c r="EI107" s="174">
        <f>SUM(EE107:EH107)</f>
        <v>1102</v>
      </c>
      <c r="EJ107" s="60"/>
      <c r="EK107" s="243">
        <f t="shared" ref="EK107:EN107" si="65">EK116+EK122</f>
        <v>360</v>
      </c>
      <c r="EL107" s="243">
        <f t="shared" si="65"/>
        <v>366</v>
      </c>
      <c r="EM107" s="243">
        <f t="shared" si="65"/>
        <v>375</v>
      </c>
      <c r="EN107" s="243">
        <f t="shared" si="65"/>
        <v>398</v>
      </c>
      <c r="EO107" s="174">
        <f>SUM(EK107:EN107)</f>
        <v>1499</v>
      </c>
      <c r="EP107" s="60"/>
      <c r="EQ107" s="243">
        <f t="shared" ref="EQ107:ET107" si="66">EQ116+EQ122</f>
        <v>409</v>
      </c>
      <c r="ER107" s="243">
        <f t="shared" si="66"/>
        <v>465</v>
      </c>
      <c r="ES107" s="243">
        <f t="shared" si="66"/>
        <v>498</v>
      </c>
      <c r="ET107" s="243">
        <f t="shared" si="66"/>
        <v>554.29999999999995</v>
      </c>
      <c r="EU107" s="174">
        <f>SUM(EQ107:ET107)</f>
        <v>1926.3</v>
      </c>
      <c r="EV107" s="1539"/>
      <c r="EW107" s="243">
        <f t="shared" ref="EW107:EY107" si="67">EW116+EW122</f>
        <v>590</v>
      </c>
      <c r="EX107" s="243">
        <f t="shared" si="67"/>
        <v>624</v>
      </c>
      <c r="EY107" s="243">
        <f t="shared" si="67"/>
        <v>659</v>
      </c>
      <c r="EZ107" s="243">
        <f t="shared" ref="EZ107" si="68">EZ110+EZ113+EZ116</f>
        <v>692.64884999999992</v>
      </c>
      <c r="FA107" s="174">
        <f>SUM(EW107:EZ107)</f>
        <v>2565.64885</v>
      </c>
      <c r="FB107" s="1539"/>
      <c r="FC107" s="243">
        <f>FC110+FC113+FC116</f>
        <v>707.45671800000014</v>
      </c>
      <c r="FD107" s="243">
        <f t="shared" ref="FD107:FF107" si="69">FD110+FD113+FD116</f>
        <v>728.99350000000015</v>
      </c>
      <c r="FE107" s="243">
        <f t="shared" si="69"/>
        <v>742.49710000000005</v>
      </c>
      <c r="FF107" s="243">
        <f t="shared" si="69"/>
        <v>762.74032800000009</v>
      </c>
      <c r="FG107" s="174">
        <f>SUM(FC107:FF107)</f>
        <v>2941.6876460000003</v>
      </c>
      <c r="FH107" s="1539"/>
      <c r="FI107" s="243">
        <f>FI110+FI113+FI116</f>
        <v>782.71385250000003</v>
      </c>
      <c r="FJ107" s="243">
        <f t="shared" ref="FJ107:FL107" si="70">FJ110+FJ113+FJ116</f>
        <v>805.72956500000009</v>
      </c>
      <c r="FK107" s="243">
        <f t="shared" si="70"/>
        <v>820.84048750000011</v>
      </c>
      <c r="FL107" s="243">
        <f t="shared" si="70"/>
        <v>848.37654450000002</v>
      </c>
      <c r="FM107" s="174">
        <f>SUM(FI107:FL107)</f>
        <v>3257.6604495000001</v>
      </c>
      <c r="FN107" s="1123"/>
      <c r="FO107" s="275"/>
      <c r="FP107" s="188"/>
      <c r="FQ107" s="188"/>
      <c r="FR107" s="188"/>
      <c r="FS107" s="275"/>
      <c r="FT107" s="188"/>
      <c r="FU107" s="188"/>
      <c r="FV107" s="188"/>
      <c r="FW107" s="188"/>
      <c r="FX107" s="188"/>
      <c r="FY107" s="188"/>
      <c r="FZ107" s="188"/>
      <c r="GA107" s="188"/>
      <c r="GB107" s="188"/>
      <c r="GC107" s="188"/>
      <c r="GD107" s="188"/>
      <c r="GE107" s="188"/>
      <c r="GF107" s="188"/>
      <c r="GI107"/>
      <c r="GJ107"/>
      <c r="GK107"/>
      <c r="GL107"/>
      <c r="GM107"/>
      <c r="GN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</row>
    <row r="108" spans="1:281" s="37" customFormat="1" ht="10.5" customHeight="1" x14ac:dyDescent="0.2">
      <c r="A108" s="247" t="s">
        <v>1266</v>
      </c>
      <c r="B108" s="952"/>
      <c r="C108" s="259"/>
      <c r="D108" s="259"/>
      <c r="E108" s="259"/>
      <c r="F108" s="259"/>
      <c r="G108" s="259"/>
      <c r="H108" s="259"/>
      <c r="I108" s="259"/>
      <c r="J108" s="259"/>
      <c r="K108" s="259"/>
      <c r="L108" s="259"/>
      <c r="M108" s="259"/>
      <c r="N108" s="36"/>
      <c r="O108" s="259"/>
      <c r="P108" s="259"/>
      <c r="Q108" s="259"/>
      <c r="R108" s="259"/>
      <c r="S108" s="259"/>
      <c r="T108" s="36"/>
      <c r="U108" s="259"/>
      <c r="V108" s="259"/>
      <c r="W108" s="259"/>
      <c r="X108" s="259"/>
      <c r="Y108" s="259"/>
      <c r="Z108" s="36"/>
      <c r="AA108" s="259"/>
      <c r="AB108" s="259"/>
      <c r="AC108" s="259"/>
      <c r="AD108" s="259"/>
      <c r="AE108" s="259"/>
      <c r="AF108" s="36"/>
      <c r="AG108" s="259"/>
      <c r="AH108" s="259"/>
      <c r="AI108" s="259"/>
      <c r="AJ108" s="259"/>
      <c r="AK108" s="259"/>
      <c r="AL108" s="36"/>
      <c r="AM108" s="259"/>
      <c r="AN108" s="259"/>
      <c r="AO108" s="259"/>
      <c r="AP108" s="259"/>
      <c r="AQ108" s="259"/>
      <c r="AR108" s="36"/>
      <c r="AS108" s="259"/>
      <c r="AT108" s="259"/>
      <c r="AU108" s="259"/>
      <c r="AV108" s="259"/>
      <c r="AW108" s="259"/>
      <c r="AX108" s="36"/>
      <c r="AY108" s="259"/>
      <c r="AZ108" s="259"/>
      <c r="BA108" s="259"/>
      <c r="BB108" s="259"/>
      <c r="BC108" s="259"/>
      <c r="BD108" s="36"/>
      <c r="BE108" s="236"/>
      <c r="BF108" s="236"/>
      <c r="BG108" s="236"/>
      <c r="BH108" s="236"/>
      <c r="BI108" s="236"/>
      <c r="BJ108" s="36"/>
      <c r="BK108" s="236"/>
      <c r="BL108" s="236"/>
      <c r="BM108" s="236"/>
      <c r="BN108" s="236"/>
      <c r="BO108" s="236"/>
      <c r="BP108" s="36"/>
      <c r="BQ108" s="236"/>
      <c r="BR108" s="236"/>
      <c r="BS108" s="236"/>
      <c r="BT108" s="236"/>
      <c r="BU108" s="236"/>
      <c r="BV108" s="36"/>
      <c r="BW108" s="188"/>
      <c r="BX108" s="188"/>
      <c r="BY108" s="188"/>
      <c r="BZ108" s="188"/>
      <c r="CA108" s="188"/>
      <c r="CB108" s="36"/>
      <c r="CC108" s="188"/>
      <c r="CD108" s="188"/>
      <c r="CE108" s="188"/>
      <c r="CF108" s="188"/>
      <c r="CG108" s="274"/>
      <c r="CH108" s="36"/>
      <c r="CI108" s="188"/>
      <c r="CJ108" s="188"/>
      <c r="CK108" s="188"/>
      <c r="CL108" s="188"/>
      <c r="CM108" s="274"/>
      <c r="CN108" s="36"/>
      <c r="CO108" s="188"/>
      <c r="CP108" s="188"/>
      <c r="CQ108" s="188"/>
      <c r="CR108" s="188"/>
      <c r="CS108" s="274"/>
      <c r="CT108" s="36"/>
      <c r="CU108" s="188"/>
      <c r="CV108" s="188"/>
      <c r="CW108" s="188"/>
      <c r="CX108" s="188"/>
      <c r="CY108" s="274"/>
      <c r="CZ108" s="36"/>
      <c r="DA108" s="188"/>
      <c r="DB108" s="188"/>
      <c r="DC108" s="188"/>
      <c r="DD108" s="188"/>
      <c r="DE108" s="274"/>
      <c r="DF108" s="36"/>
      <c r="DG108" s="188"/>
      <c r="DH108" s="188"/>
      <c r="DI108" s="188"/>
      <c r="DJ108" s="188"/>
      <c r="DK108" s="274"/>
      <c r="DL108" s="36"/>
      <c r="DM108" s="188"/>
      <c r="DN108" s="188"/>
      <c r="DO108" s="188"/>
      <c r="DP108" s="188"/>
      <c r="DQ108" s="274"/>
      <c r="DR108" s="36"/>
      <c r="DS108" s="188"/>
      <c r="DT108" s="188"/>
      <c r="DU108" s="188"/>
      <c r="DV108" s="188">
        <f>1-DV107/(DV20)</f>
        <v>0.54232804232804233</v>
      </c>
      <c r="DW108" s="274"/>
      <c r="DX108" s="36"/>
      <c r="DY108" s="188">
        <f>1-DY107/(DY20)</f>
        <v>0.53278688524590168</v>
      </c>
      <c r="DZ108" s="188">
        <f>1-DZ107/(DZ20)</f>
        <v>0.50696378830083566</v>
      </c>
      <c r="EA108" s="188">
        <f>1-EA107/(EA20)</f>
        <v>0.55205811138014527</v>
      </c>
      <c r="EB108" s="188">
        <f>1-EB107/(EB20)</f>
        <v>0.52307692307692299</v>
      </c>
      <c r="EC108" s="274">
        <f>1-EC107/(EC20)</f>
        <v>0.52919020715630882</v>
      </c>
      <c r="ED108" s="36"/>
      <c r="EE108" s="188">
        <f>1-EE107/(EE20)</f>
        <v>0.52830188679245282</v>
      </c>
      <c r="EF108" s="188">
        <f>1-EF107/(EF20)</f>
        <v>0.52215799614643543</v>
      </c>
      <c r="EG108" s="188">
        <f>1-EG107/(EG20)</f>
        <v>0.45849056603773586</v>
      </c>
      <c r="EH108" s="188">
        <f>1-EH107/(EH20)</f>
        <v>0.40932642487046633</v>
      </c>
      <c r="EI108" s="274">
        <f>1-EI107/(EI20)</f>
        <v>0.47648456057007127</v>
      </c>
      <c r="EJ108" s="36"/>
      <c r="EK108" s="188">
        <f>1-EK107/(EK20)</f>
        <v>0.41176470588235292</v>
      </c>
      <c r="EL108" s="188">
        <f>1-EL107/(EL20)</f>
        <v>0.43865030674846628</v>
      </c>
      <c r="EM108" s="188">
        <f>1-EM107/(EM20)</f>
        <v>0.49118046132971505</v>
      </c>
      <c r="EN108" s="188">
        <f>1-EN107/(EN20)</f>
        <v>0.53720930232558139</v>
      </c>
      <c r="EO108" s="274">
        <f>1-EO107/(EO20)</f>
        <v>0.47605732261447042</v>
      </c>
      <c r="EP108" s="36"/>
      <c r="EQ108" s="188">
        <f>1-EQ107/(EQ20)</f>
        <v>0.5851926977687627</v>
      </c>
      <c r="ER108" s="188">
        <f>1-ER107/(ER20)</f>
        <v>0.57221711131554742</v>
      </c>
      <c r="ES108" s="188">
        <f>1-ES107/(ES20)</f>
        <v>0.60413354531001584</v>
      </c>
      <c r="ET108" s="188">
        <f>1-ET107/(ET20)</f>
        <v>0.60687943262411359</v>
      </c>
      <c r="EU108" s="274">
        <f>1-EU107/(EU20)</f>
        <v>0.59369331364691003</v>
      </c>
      <c r="EV108" s="1539"/>
      <c r="EW108" s="188">
        <f>1-EW107/(EW20)</f>
        <v>0.60455764075067031</v>
      </c>
      <c r="EX108" s="188">
        <f>1-EX107/(EX20)</f>
        <v>0.59162303664921467</v>
      </c>
      <c r="EY108" s="188">
        <f>1-EY107/(EY20)</f>
        <v>0.58052196053469129</v>
      </c>
      <c r="EZ108" s="188">
        <f>1-EZ107/(EZ20)</f>
        <v>0.5923604759971044</v>
      </c>
      <c r="FA108" s="274">
        <f>1-FA107/(FA20)</f>
        <v>0.59211772495814896</v>
      </c>
      <c r="FB108" s="1539"/>
      <c r="FC108" s="188">
        <f>1-FC107/(FC20)</f>
        <v>0.60829740633278151</v>
      </c>
      <c r="FD108" s="188">
        <f>1-FD107/(FD20)</f>
        <v>0.61870730686751396</v>
      </c>
      <c r="FE108" s="188">
        <f>1-FE107/(FE20)</f>
        <v>0.62591495010920295</v>
      </c>
      <c r="FF108" s="188">
        <f>1-FF107/(FF20)</f>
        <v>0.64140345958019196</v>
      </c>
      <c r="FG108" s="274">
        <f>1-FG107/(FG20)</f>
        <v>0.62429868024028168</v>
      </c>
      <c r="FH108" s="1539"/>
      <c r="FI108" s="188">
        <f>1-FI107/(FI20)</f>
        <v>0.64961766362531947</v>
      </c>
      <c r="FJ108" s="188">
        <f>1-FJ107/(FJ20)</f>
        <v>0.65741202929897691</v>
      </c>
      <c r="FK108" s="188">
        <f>1-FK107/(FK20)</f>
        <v>0.66166167836671597</v>
      </c>
      <c r="FL108" s="188">
        <f>1-FL107/(FL20)</f>
        <v>0.67171018032100116</v>
      </c>
      <c r="FM108" s="274">
        <f>1-FM107/(FM20)</f>
        <v>0.66052246445027951</v>
      </c>
      <c r="FN108" s="1123"/>
      <c r="FO108" s="275"/>
      <c r="FP108" s="188"/>
      <c r="FQ108" s="188"/>
      <c r="FR108" s="188"/>
      <c r="FS108" s="275"/>
      <c r="FT108" s="188"/>
      <c r="FU108" s="188"/>
      <c r="FV108" s="188"/>
      <c r="FW108" s="188"/>
      <c r="FX108" s="188"/>
      <c r="FY108" s="188"/>
      <c r="FZ108" s="188"/>
      <c r="GA108" s="188"/>
      <c r="GB108" s="188"/>
      <c r="GC108" s="188"/>
      <c r="GD108" s="188"/>
      <c r="GE108" s="188"/>
      <c r="GF108" s="188"/>
      <c r="GI108"/>
      <c r="GJ108"/>
      <c r="GK108"/>
      <c r="GL108"/>
      <c r="GM108"/>
      <c r="GN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</row>
    <row r="109" spans="1:281" s="37" customFormat="1" ht="3.95" customHeight="1" x14ac:dyDescent="0.2">
      <c r="A109" s="247"/>
      <c r="B109" s="952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59"/>
      <c r="N109" s="36"/>
      <c r="O109" s="259"/>
      <c r="P109" s="259"/>
      <c r="Q109" s="259"/>
      <c r="R109" s="259"/>
      <c r="S109" s="259"/>
      <c r="T109" s="36"/>
      <c r="U109" s="259"/>
      <c r="V109" s="259"/>
      <c r="W109" s="259"/>
      <c r="X109" s="259"/>
      <c r="Y109" s="259"/>
      <c r="Z109" s="36"/>
      <c r="AA109" s="259"/>
      <c r="AB109" s="259"/>
      <c r="AC109" s="259"/>
      <c r="AD109" s="259"/>
      <c r="AE109" s="259"/>
      <c r="AF109" s="36"/>
      <c r="AG109" s="259"/>
      <c r="AH109" s="259"/>
      <c r="AI109" s="259"/>
      <c r="AJ109" s="259"/>
      <c r="AK109" s="259"/>
      <c r="AL109" s="36"/>
      <c r="AM109" s="259"/>
      <c r="AN109" s="259"/>
      <c r="AO109" s="259"/>
      <c r="AP109" s="259"/>
      <c r="AQ109" s="259"/>
      <c r="AR109" s="36"/>
      <c r="AS109" s="259"/>
      <c r="AT109" s="259"/>
      <c r="AU109" s="259"/>
      <c r="AV109" s="259"/>
      <c r="AW109" s="259"/>
      <c r="AX109" s="36"/>
      <c r="AY109" s="259"/>
      <c r="AZ109" s="259"/>
      <c r="BA109" s="259"/>
      <c r="BB109" s="259"/>
      <c r="BC109" s="259"/>
      <c r="BD109" s="36"/>
      <c r="BE109" s="236"/>
      <c r="BF109" s="236"/>
      <c r="BG109" s="236"/>
      <c r="BH109" s="236"/>
      <c r="BI109" s="236"/>
      <c r="BJ109" s="36"/>
      <c r="BK109" s="236"/>
      <c r="BL109" s="236"/>
      <c r="BM109" s="236"/>
      <c r="BN109" s="236"/>
      <c r="BO109" s="236"/>
      <c r="BP109" s="36"/>
      <c r="BQ109" s="236"/>
      <c r="BR109" s="236"/>
      <c r="BS109" s="236"/>
      <c r="BT109" s="236"/>
      <c r="BU109" s="236"/>
      <c r="BV109" s="36"/>
      <c r="BW109" s="188"/>
      <c r="BX109" s="188"/>
      <c r="BY109" s="188"/>
      <c r="BZ109" s="188"/>
      <c r="CA109" s="188"/>
      <c r="CB109" s="36"/>
      <c r="CC109" s="188"/>
      <c r="CD109" s="188"/>
      <c r="CE109" s="188"/>
      <c r="CF109" s="188"/>
      <c r="CG109" s="274"/>
      <c r="CH109" s="36"/>
      <c r="CI109" s="188"/>
      <c r="CJ109" s="188"/>
      <c r="CK109" s="188"/>
      <c r="CL109" s="188"/>
      <c r="CM109" s="274"/>
      <c r="CN109" s="36"/>
      <c r="CO109" s="188"/>
      <c r="CP109" s="188"/>
      <c r="CQ109" s="188"/>
      <c r="CR109" s="188"/>
      <c r="CS109" s="274"/>
      <c r="CT109" s="36"/>
      <c r="CU109" s="188"/>
      <c r="CV109" s="188"/>
      <c r="CW109" s="188"/>
      <c r="CX109" s="188"/>
      <c r="CY109" s="274"/>
      <c r="CZ109" s="36"/>
      <c r="DA109" s="188"/>
      <c r="DB109" s="188"/>
      <c r="DC109" s="188"/>
      <c r="DD109" s="188"/>
      <c r="DE109" s="274"/>
      <c r="DF109" s="36"/>
      <c r="DG109" s="188"/>
      <c r="DH109" s="188"/>
      <c r="DI109" s="188"/>
      <c r="DJ109" s="188"/>
      <c r="DK109" s="274"/>
      <c r="DL109" s="36"/>
      <c r="DM109" s="188"/>
      <c r="DN109" s="188"/>
      <c r="DO109" s="188"/>
      <c r="DP109" s="188"/>
      <c r="DQ109" s="274"/>
      <c r="DR109" s="36"/>
      <c r="DS109" s="188"/>
      <c r="DT109" s="188"/>
      <c r="DU109" s="188"/>
      <c r="DV109" s="188"/>
      <c r="DW109" s="274"/>
      <c r="DX109" s="36"/>
      <c r="DY109" s="188"/>
      <c r="DZ109" s="188"/>
      <c r="EA109" s="188"/>
      <c r="EB109" s="188"/>
      <c r="EC109" s="274"/>
      <c r="ED109" s="36"/>
      <c r="EE109" s="188"/>
      <c r="EF109" s="188"/>
      <c r="EG109" s="188"/>
      <c r="EH109" s="188"/>
      <c r="EI109" s="274"/>
      <c r="EJ109" s="36"/>
      <c r="EK109" s="188"/>
      <c r="EL109" s="900"/>
      <c r="EM109" s="900"/>
      <c r="EN109" s="900"/>
      <c r="EO109" s="274"/>
      <c r="EP109" s="36"/>
      <c r="EQ109" s="900"/>
      <c r="ER109" s="900"/>
      <c r="ES109" s="900"/>
      <c r="ET109" s="900"/>
      <c r="EU109" s="274"/>
      <c r="EV109" s="36"/>
      <c r="EW109" s="900"/>
      <c r="EX109" s="900"/>
      <c r="EY109" s="900"/>
      <c r="EZ109" s="900"/>
      <c r="FA109" s="274"/>
      <c r="FB109" s="36"/>
      <c r="FC109" s="900"/>
      <c r="FD109" s="900"/>
      <c r="FE109" s="900"/>
      <c r="FF109" s="900"/>
      <c r="FG109" s="274"/>
      <c r="FH109" s="36"/>
      <c r="FI109" s="900"/>
      <c r="FJ109" s="900"/>
      <c r="FK109" s="900"/>
      <c r="FL109" s="900"/>
      <c r="FM109" s="274"/>
      <c r="FN109" s="1123"/>
      <c r="FO109" s="275"/>
      <c r="FP109" s="188"/>
      <c r="FQ109" s="188"/>
      <c r="FR109" s="188"/>
      <c r="FS109" s="275"/>
      <c r="FT109" s="188"/>
      <c r="FU109" s="188"/>
      <c r="FV109" s="188"/>
      <c r="FW109" s="188"/>
      <c r="FX109" s="188"/>
      <c r="FY109" s="188"/>
      <c r="FZ109" s="188"/>
      <c r="GA109" s="188"/>
      <c r="GB109" s="188"/>
      <c r="GC109" s="188"/>
      <c r="GD109" s="188"/>
      <c r="GE109" s="188"/>
      <c r="GF109" s="188"/>
      <c r="GI109"/>
      <c r="GJ109"/>
      <c r="GK109"/>
      <c r="GL109"/>
      <c r="GM109"/>
      <c r="GN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</row>
    <row r="110" spans="1:281" s="37" customFormat="1" ht="10.5" customHeight="1" x14ac:dyDescent="0.2">
      <c r="A110" s="247" t="s">
        <v>1264</v>
      </c>
      <c r="B110" s="952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59"/>
      <c r="N110" s="36"/>
      <c r="O110" s="259"/>
      <c r="P110" s="259"/>
      <c r="Q110" s="259"/>
      <c r="R110" s="259"/>
      <c r="S110" s="259"/>
      <c r="T110" s="36"/>
      <c r="U110" s="259"/>
      <c r="V110" s="259"/>
      <c r="W110" s="259"/>
      <c r="X110" s="259"/>
      <c r="Y110" s="259"/>
      <c r="Z110" s="36"/>
      <c r="AA110" s="259"/>
      <c r="AB110" s="259"/>
      <c r="AC110" s="259"/>
      <c r="AD110" s="259"/>
      <c r="AE110" s="259"/>
      <c r="AF110" s="36"/>
      <c r="AG110" s="259"/>
      <c r="AH110" s="259"/>
      <c r="AI110" s="259"/>
      <c r="AJ110" s="259"/>
      <c r="AK110" s="259"/>
      <c r="AL110" s="36"/>
      <c r="AM110" s="259"/>
      <c r="AN110" s="259"/>
      <c r="AO110" s="259"/>
      <c r="AP110" s="259"/>
      <c r="AQ110" s="259"/>
      <c r="AR110" s="36"/>
      <c r="AS110" s="259"/>
      <c r="AT110" s="259"/>
      <c r="AU110" s="259"/>
      <c r="AV110" s="259"/>
      <c r="AW110" s="259"/>
      <c r="AX110" s="36"/>
      <c r="AY110" s="259"/>
      <c r="AZ110" s="259"/>
      <c r="BA110" s="259"/>
      <c r="BB110" s="259"/>
      <c r="BC110" s="259"/>
      <c r="BD110" s="36"/>
      <c r="BE110" s="236"/>
      <c r="BF110" s="236"/>
      <c r="BG110" s="236"/>
      <c r="BH110" s="236"/>
      <c r="BI110" s="236"/>
      <c r="BJ110" s="36"/>
      <c r="BK110" s="236"/>
      <c r="BL110" s="236"/>
      <c r="BM110" s="236"/>
      <c r="BN110" s="236"/>
      <c r="BO110" s="236"/>
      <c r="BP110" s="36"/>
      <c r="BQ110" s="236"/>
      <c r="BR110" s="236"/>
      <c r="BS110" s="236"/>
      <c r="BT110" s="236"/>
      <c r="BU110" s="236"/>
      <c r="BV110" s="36"/>
      <c r="BW110" s="188"/>
      <c r="BX110" s="188"/>
      <c r="BY110" s="188"/>
      <c r="BZ110" s="188"/>
      <c r="CA110" s="188"/>
      <c r="CB110" s="36"/>
      <c r="CC110" s="188"/>
      <c r="CD110" s="188"/>
      <c r="CE110" s="188"/>
      <c r="CF110" s="188"/>
      <c r="CG110" s="274"/>
      <c r="CH110" s="36"/>
      <c r="CI110" s="188"/>
      <c r="CJ110" s="188"/>
      <c r="CK110" s="188"/>
      <c r="CL110" s="188"/>
      <c r="CM110" s="274"/>
      <c r="CN110" s="36"/>
      <c r="CO110" s="188"/>
      <c r="CP110" s="188"/>
      <c r="CQ110" s="188"/>
      <c r="CR110" s="188"/>
      <c r="CS110" s="274"/>
      <c r="CT110" s="36"/>
      <c r="CU110" s="188"/>
      <c r="CV110" s="188"/>
      <c r="CW110" s="188"/>
      <c r="CX110" s="188"/>
      <c r="CY110" s="274"/>
      <c r="CZ110" s="36"/>
      <c r="DA110" s="188"/>
      <c r="DB110" s="188"/>
      <c r="DC110" s="188"/>
      <c r="DD110" s="188"/>
      <c r="DE110" s="274"/>
      <c r="DF110" s="36"/>
      <c r="DG110" s="188"/>
      <c r="DH110" s="188"/>
      <c r="DI110" s="188"/>
      <c r="DJ110" s="188"/>
      <c r="DK110" s="274"/>
      <c r="DL110" s="36"/>
      <c r="DM110" s="188"/>
      <c r="DN110" s="188"/>
      <c r="DO110" s="188"/>
      <c r="DP110" s="188"/>
      <c r="DQ110" s="274"/>
      <c r="DR110" s="36"/>
      <c r="DS110" s="188"/>
      <c r="DT110" s="188"/>
      <c r="DU110" s="188"/>
      <c r="DV110" s="188"/>
      <c r="DW110" s="274"/>
      <c r="DX110" s="36"/>
      <c r="DY110" s="188"/>
      <c r="DZ110" s="188"/>
      <c r="EA110" s="188"/>
      <c r="EB110" s="188"/>
      <c r="EC110" s="274"/>
      <c r="ED110" s="36"/>
      <c r="EE110" s="188"/>
      <c r="EF110" s="188"/>
      <c r="EG110" s="188"/>
      <c r="EH110" s="188"/>
      <c r="EI110" s="274"/>
      <c r="EJ110" s="36"/>
      <c r="EK110" s="188"/>
      <c r="EL110" s="900"/>
      <c r="EM110" s="900"/>
      <c r="EN110" s="243">
        <f>272-4</f>
        <v>268</v>
      </c>
      <c r="EO110" s="274"/>
      <c r="EP110" s="36"/>
      <c r="EQ110" s="243">
        <v>278</v>
      </c>
      <c r="ER110" s="243">
        <v>310</v>
      </c>
      <c r="ES110" s="243">
        <v>324</v>
      </c>
      <c r="ET110" s="243">
        <f>355-6</f>
        <v>349</v>
      </c>
      <c r="EU110" s="174">
        <f>SUM(EQ110:ET110)</f>
        <v>1261</v>
      </c>
      <c r="EV110" s="36"/>
      <c r="EW110" s="243">
        <v>365</v>
      </c>
      <c r="EX110" s="243">
        <v>385</v>
      </c>
      <c r="EY110" s="243">
        <v>387</v>
      </c>
      <c r="EZ110" s="243">
        <f>EZ23*(1-EZ111)</f>
        <v>402.54824999999994</v>
      </c>
      <c r="FA110" s="174">
        <f>SUM(EW110:EZ110)</f>
        <v>1539.5482499999998</v>
      </c>
      <c r="FB110" s="36"/>
      <c r="FC110" s="243">
        <f>FC23*(1-FC111)</f>
        <v>408.53835000000009</v>
      </c>
      <c r="FD110" s="243">
        <f>FD23*(1-FD111)</f>
        <v>426.6880000000001</v>
      </c>
      <c r="FE110" s="243">
        <f>FE23*(1-FE111)</f>
        <v>435.43500000000006</v>
      </c>
      <c r="FF110" s="243">
        <f>FF23*(1-FF111)</f>
        <v>447.38593199999997</v>
      </c>
      <c r="FG110" s="174">
        <f>SUM(FC110:FF110)</f>
        <v>1718.0472820000002</v>
      </c>
      <c r="FH110" s="36"/>
      <c r="FI110" s="243">
        <f>FI23*(1-FI111)</f>
        <v>460.44281250000006</v>
      </c>
      <c r="FJ110" s="243">
        <f>FJ23*(1-FJ111)</f>
        <v>475.28704000000005</v>
      </c>
      <c r="FK110" s="243">
        <f>FK23*(1-FK111)</f>
        <v>480.17970000000003</v>
      </c>
      <c r="FL110" s="243">
        <f>FL23*(1-FL111)</f>
        <v>487.33110449999992</v>
      </c>
      <c r="FM110" s="174">
        <f>SUM(FI110:FL110)</f>
        <v>1903.2406570000003</v>
      </c>
      <c r="FN110" s="1123"/>
      <c r="FO110" s="275"/>
      <c r="FP110" s="188"/>
      <c r="FQ110" s="188"/>
      <c r="FR110" s="188"/>
      <c r="FS110" s="275"/>
      <c r="FT110" s="188"/>
      <c r="FU110" s="188"/>
      <c r="FV110" s="188"/>
      <c r="FW110" s="188"/>
      <c r="FX110" s="188"/>
      <c r="FY110" s="188"/>
      <c r="FZ110" s="188"/>
      <c r="GA110" s="188"/>
      <c r="GB110" s="188"/>
      <c r="GC110" s="188"/>
      <c r="GD110" s="188"/>
      <c r="GE110" s="188"/>
      <c r="GF110" s="188"/>
      <c r="GI110"/>
      <c r="GJ110"/>
      <c r="GK110"/>
      <c r="GL110"/>
      <c r="GM110"/>
      <c r="GN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</row>
    <row r="111" spans="1:281" s="37" customFormat="1" ht="10.5" customHeight="1" x14ac:dyDescent="0.2">
      <c r="A111" s="247" t="s">
        <v>1249</v>
      </c>
      <c r="B111" s="952"/>
      <c r="C111" s="259"/>
      <c r="D111" s="259"/>
      <c r="E111" s="259"/>
      <c r="F111" s="259"/>
      <c r="G111" s="259"/>
      <c r="H111" s="259"/>
      <c r="I111" s="259"/>
      <c r="J111" s="259"/>
      <c r="K111" s="259"/>
      <c r="L111" s="259"/>
      <c r="M111" s="259"/>
      <c r="N111" s="36"/>
      <c r="O111" s="259"/>
      <c r="P111" s="259"/>
      <c r="Q111" s="259"/>
      <c r="R111" s="259"/>
      <c r="S111" s="259"/>
      <c r="T111" s="36"/>
      <c r="U111" s="259"/>
      <c r="V111" s="259"/>
      <c r="W111" s="259"/>
      <c r="X111" s="259"/>
      <c r="Y111" s="259"/>
      <c r="Z111" s="36"/>
      <c r="AA111" s="259"/>
      <c r="AB111" s="259"/>
      <c r="AC111" s="259"/>
      <c r="AD111" s="259"/>
      <c r="AE111" s="259"/>
      <c r="AF111" s="36"/>
      <c r="AG111" s="259"/>
      <c r="AH111" s="259"/>
      <c r="AI111" s="259"/>
      <c r="AJ111" s="259"/>
      <c r="AK111" s="259"/>
      <c r="AL111" s="36"/>
      <c r="AM111" s="259"/>
      <c r="AN111" s="259"/>
      <c r="AO111" s="259"/>
      <c r="AP111" s="259"/>
      <c r="AQ111" s="259"/>
      <c r="AR111" s="36"/>
      <c r="AS111" s="259"/>
      <c r="AT111" s="259"/>
      <c r="AU111" s="259"/>
      <c r="AV111" s="259"/>
      <c r="AW111" s="259"/>
      <c r="AX111" s="36"/>
      <c r="AY111" s="259"/>
      <c r="AZ111" s="259"/>
      <c r="BA111" s="259"/>
      <c r="BB111" s="259"/>
      <c r="BC111" s="259"/>
      <c r="BD111" s="36"/>
      <c r="BE111" s="236"/>
      <c r="BF111" s="236"/>
      <c r="BG111" s="236"/>
      <c r="BH111" s="236"/>
      <c r="BI111" s="236"/>
      <c r="BJ111" s="36"/>
      <c r="BK111" s="236"/>
      <c r="BL111" s="236"/>
      <c r="BM111" s="236"/>
      <c r="BN111" s="236"/>
      <c r="BO111" s="236"/>
      <c r="BP111" s="36"/>
      <c r="BQ111" s="236"/>
      <c r="BR111" s="236"/>
      <c r="BS111" s="236"/>
      <c r="BT111" s="236"/>
      <c r="BU111" s="236"/>
      <c r="BV111" s="36"/>
      <c r="BW111" s="188"/>
      <c r="BX111" s="188"/>
      <c r="BY111" s="188"/>
      <c r="BZ111" s="188"/>
      <c r="CA111" s="188"/>
      <c r="CB111" s="36"/>
      <c r="CC111" s="188"/>
      <c r="CD111" s="188"/>
      <c r="CE111" s="188"/>
      <c r="CF111" s="188"/>
      <c r="CG111" s="274"/>
      <c r="CH111" s="36"/>
      <c r="CI111" s="188"/>
      <c r="CJ111" s="188"/>
      <c r="CK111" s="188"/>
      <c r="CL111" s="188"/>
      <c r="CM111" s="274"/>
      <c r="CN111" s="36"/>
      <c r="CO111" s="188"/>
      <c r="CP111" s="188"/>
      <c r="CQ111" s="188"/>
      <c r="CR111" s="188"/>
      <c r="CS111" s="274"/>
      <c r="CT111" s="36"/>
      <c r="CU111" s="188"/>
      <c r="CV111" s="188"/>
      <c r="CW111" s="188"/>
      <c r="CX111" s="188"/>
      <c r="CY111" s="274"/>
      <c r="CZ111" s="36"/>
      <c r="DA111" s="188"/>
      <c r="DB111" s="188"/>
      <c r="DC111" s="188"/>
      <c r="DD111" s="188"/>
      <c r="DE111" s="274"/>
      <c r="DF111" s="36"/>
      <c r="DG111" s="188"/>
      <c r="DH111" s="188"/>
      <c r="DI111" s="188"/>
      <c r="DJ111" s="188"/>
      <c r="DK111" s="274"/>
      <c r="DL111" s="36"/>
      <c r="DM111" s="188"/>
      <c r="DN111" s="188"/>
      <c r="DO111" s="188"/>
      <c r="DP111" s="188"/>
      <c r="DQ111" s="274"/>
      <c r="DR111" s="36"/>
      <c r="DS111" s="188"/>
      <c r="DT111" s="188"/>
      <c r="DU111" s="188"/>
      <c r="DV111" s="188"/>
      <c r="DW111" s="274"/>
      <c r="DX111" s="36"/>
      <c r="DY111" s="188"/>
      <c r="DZ111" s="188"/>
      <c r="EA111" s="188"/>
      <c r="EB111" s="188"/>
      <c r="EC111" s="274"/>
      <c r="ED111" s="36"/>
      <c r="EE111" s="188"/>
      <c r="EF111" s="188"/>
      <c r="EG111" s="188"/>
      <c r="EH111" s="188"/>
      <c r="EI111" s="274"/>
      <c r="EJ111" s="36"/>
      <c r="EK111" s="188"/>
      <c r="EL111" s="900"/>
      <c r="EM111" s="900"/>
      <c r="EN111" s="1662">
        <f>1-EN110/(EN23)</f>
        <v>0.53552859618717497</v>
      </c>
      <c r="EO111" s="274"/>
      <c r="EP111" s="36"/>
      <c r="EQ111" s="1662">
        <f>1-EQ110/(EQ23)</f>
        <v>0.58753709198813064</v>
      </c>
      <c r="ER111" s="1662">
        <f>1-ER110/(ER23)</f>
        <v>0.59210526315789469</v>
      </c>
      <c r="ES111" s="1662">
        <f>1-ES110/(ES23)</f>
        <v>0.65310492505353324</v>
      </c>
      <c r="ET111" s="1662">
        <f>1-ET110/(ET23)</f>
        <v>0.65342601787487586</v>
      </c>
      <c r="EU111" s="274">
        <f>1-EU110/(EU23)</f>
        <v>0.62637037037037036</v>
      </c>
      <c r="EV111" s="36"/>
      <c r="EW111" s="1662">
        <f>1-EW110/(EW23)</f>
        <v>0.6648301193755739</v>
      </c>
      <c r="EX111" s="1662">
        <f>1-EX110/(EX23)</f>
        <v>0.65929203539823011</v>
      </c>
      <c r="EY111" s="1662">
        <f>1-EY110/(EY23)</f>
        <v>0.66493506493506493</v>
      </c>
      <c r="EZ111" s="900">
        <v>0.67500000000000004</v>
      </c>
      <c r="FA111" s="274">
        <f>1-FA110/(FA23)</f>
        <v>0.66623056143918524</v>
      </c>
      <c r="FB111" s="36"/>
      <c r="FC111" s="900">
        <v>0.69499999999999995</v>
      </c>
      <c r="FD111" s="900">
        <v>0.70499999999999996</v>
      </c>
      <c r="FE111" s="900">
        <v>0.71</v>
      </c>
      <c r="FF111" s="900">
        <v>0.72</v>
      </c>
      <c r="FG111" s="274">
        <f>1-FG110/(FG23)</f>
        <v>0.70807210875853188</v>
      </c>
      <c r="FH111" s="36"/>
      <c r="FI111" s="900">
        <f>+FC111+0.03</f>
        <v>0.72499999999999998</v>
      </c>
      <c r="FJ111" s="900">
        <f t="shared" ref="FJ111:FL111" si="71">+FD111+0.03</f>
        <v>0.73499999999999999</v>
      </c>
      <c r="FK111" s="900">
        <f t="shared" si="71"/>
        <v>0.74</v>
      </c>
      <c r="FL111" s="900">
        <f t="shared" si="71"/>
        <v>0.75</v>
      </c>
      <c r="FM111" s="274">
        <f>1-FM110/(FM23)</f>
        <v>0.73799154568816649</v>
      </c>
      <c r="FN111" s="1123"/>
      <c r="FO111" s="275"/>
      <c r="FP111" s="188"/>
      <c r="FQ111" s="188"/>
      <c r="FR111" s="188"/>
      <c r="FS111" s="275"/>
      <c r="FT111" s="188"/>
      <c r="FU111" s="188"/>
      <c r="FV111" s="188"/>
      <c r="FW111" s="188"/>
      <c r="FX111" s="188"/>
      <c r="FY111" s="188"/>
      <c r="FZ111" s="188"/>
      <c r="GA111" s="188"/>
      <c r="GB111" s="188"/>
      <c r="GC111" s="188"/>
      <c r="GD111" s="188"/>
      <c r="GE111" s="188"/>
      <c r="GF111" s="188"/>
      <c r="GI111"/>
      <c r="GJ111"/>
      <c r="GK111"/>
      <c r="GL111"/>
      <c r="GM111"/>
      <c r="GN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</row>
    <row r="112" spans="1:281" s="37" customFormat="1" ht="3.95" customHeight="1" x14ac:dyDescent="0.2">
      <c r="A112" s="247"/>
      <c r="B112" s="952"/>
      <c r="C112" s="259"/>
      <c r="D112" s="259"/>
      <c r="E112" s="259"/>
      <c r="F112" s="259"/>
      <c r="G112" s="259"/>
      <c r="H112" s="259"/>
      <c r="I112" s="259"/>
      <c r="J112" s="259"/>
      <c r="K112" s="259"/>
      <c r="L112" s="259"/>
      <c r="M112" s="259"/>
      <c r="N112" s="36"/>
      <c r="O112" s="259"/>
      <c r="P112" s="259"/>
      <c r="Q112" s="259"/>
      <c r="R112" s="259"/>
      <c r="S112" s="259"/>
      <c r="T112" s="36"/>
      <c r="U112" s="259"/>
      <c r="V112" s="259"/>
      <c r="W112" s="259"/>
      <c r="X112" s="259"/>
      <c r="Y112" s="259"/>
      <c r="Z112" s="36"/>
      <c r="AA112" s="259"/>
      <c r="AB112" s="259"/>
      <c r="AC112" s="259"/>
      <c r="AD112" s="259"/>
      <c r="AE112" s="259"/>
      <c r="AF112" s="36"/>
      <c r="AG112" s="259"/>
      <c r="AH112" s="259"/>
      <c r="AI112" s="259"/>
      <c r="AJ112" s="259"/>
      <c r="AK112" s="259"/>
      <c r="AL112" s="36"/>
      <c r="AM112" s="259"/>
      <c r="AN112" s="259"/>
      <c r="AO112" s="259"/>
      <c r="AP112" s="259"/>
      <c r="AQ112" s="259"/>
      <c r="AR112" s="36"/>
      <c r="AS112" s="259"/>
      <c r="AT112" s="259"/>
      <c r="AU112" s="259"/>
      <c r="AV112" s="259"/>
      <c r="AW112" s="259"/>
      <c r="AX112" s="36"/>
      <c r="AY112" s="259"/>
      <c r="AZ112" s="259"/>
      <c r="BA112" s="259"/>
      <c r="BB112" s="259"/>
      <c r="BC112" s="259"/>
      <c r="BD112" s="36"/>
      <c r="BE112" s="236"/>
      <c r="BF112" s="236"/>
      <c r="BG112" s="236"/>
      <c r="BH112" s="236"/>
      <c r="BI112" s="236"/>
      <c r="BJ112" s="36"/>
      <c r="BK112" s="236"/>
      <c r="BL112" s="236"/>
      <c r="BM112" s="236"/>
      <c r="BN112" s="236"/>
      <c r="BO112" s="236"/>
      <c r="BP112" s="36"/>
      <c r="BQ112" s="236"/>
      <c r="BR112" s="236"/>
      <c r="BS112" s="236"/>
      <c r="BT112" s="236"/>
      <c r="BU112" s="236"/>
      <c r="BV112" s="36"/>
      <c r="BW112" s="188"/>
      <c r="BX112" s="188"/>
      <c r="BY112" s="188"/>
      <c r="BZ112" s="188"/>
      <c r="CA112" s="188"/>
      <c r="CB112" s="36"/>
      <c r="CC112" s="188"/>
      <c r="CD112" s="188"/>
      <c r="CE112" s="188"/>
      <c r="CF112" s="188"/>
      <c r="CG112" s="274"/>
      <c r="CH112" s="36"/>
      <c r="CI112" s="188"/>
      <c r="CJ112" s="188"/>
      <c r="CK112" s="188"/>
      <c r="CL112" s="188"/>
      <c r="CM112" s="274"/>
      <c r="CN112" s="36"/>
      <c r="CO112" s="188"/>
      <c r="CP112" s="188"/>
      <c r="CQ112" s="188"/>
      <c r="CR112" s="188"/>
      <c r="CS112" s="274"/>
      <c r="CT112" s="36"/>
      <c r="CU112" s="188"/>
      <c r="CV112" s="188"/>
      <c r="CW112" s="188"/>
      <c r="CX112" s="188"/>
      <c r="CY112" s="274"/>
      <c r="CZ112" s="36"/>
      <c r="DA112" s="188"/>
      <c r="DB112" s="188"/>
      <c r="DC112" s="188"/>
      <c r="DD112" s="188"/>
      <c r="DE112" s="274"/>
      <c r="DF112" s="36"/>
      <c r="DG112" s="188"/>
      <c r="DH112" s="188"/>
      <c r="DI112" s="188"/>
      <c r="DJ112" s="188"/>
      <c r="DK112" s="274"/>
      <c r="DL112" s="36"/>
      <c r="DM112" s="188"/>
      <c r="DN112" s="188"/>
      <c r="DO112" s="188"/>
      <c r="DP112" s="188"/>
      <c r="DQ112" s="274"/>
      <c r="DR112" s="36"/>
      <c r="DS112" s="188"/>
      <c r="DT112" s="188"/>
      <c r="DU112" s="188"/>
      <c r="DV112" s="188"/>
      <c r="DW112" s="274"/>
      <c r="DX112" s="36"/>
      <c r="DY112" s="188"/>
      <c r="DZ112" s="188"/>
      <c r="EA112" s="188"/>
      <c r="EB112" s="188"/>
      <c r="EC112" s="274"/>
      <c r="ED112" s="36"/>
      <c r="EE112" s="188"/>
      <c r="EF112" s="188"/>
      <c r="EG112" s="188"/>
      <c r="EH112" s="188"/>
      <c r="EI112" s="274"/>
      <c r="EJ112" s="36"/>
      <c r="EK112" s="188"/>
      <c r="EL112" s="900"/>
      <c r="EM112" s="900"/>
      <c r="EN112" s="900"/>
      <c r="EO112" s="274"/>
      <c r="EP112" s="36"/>
      <c r="EQ112" s="188"/>
      <c r="ER112" s="900"/>
      <c r="ES112" s="900"/>
      <c r="ET112" s="900"/>
      <c r="EU112" s="274"/>
      <c r="EV112" s="36"/>
      <c r="EW112" s="188"/>
      <c r="EX112" s="900"/>
      <c r="EY112" s="900"/>
      <c r="EZ112" s="900"/>
      <c r="FA112" s="274"/>
      <c r="FB112" s="36"/>
      <c r="FC112" s="900"/>
      <c r="FD112" s="900"/>
      <c r="FE112" s="900"/>
      <c r="FF112" s="900"/>
      <c r="FG112" s="274"/>
      <c r="FH112" s="36"/>
      <c r="FI112" s="900"/>
      <c r="FJ112" s="900"/>
      <c r="FK112" s="900"/>
      <c r="FL112" s="900"/>
      <c r="FM112" s="274"/>
      <c r="FN112" s="1123"/>
      <c r="FO112" s="275"/>
      <c r="FP112" s="188"/>
      <c r="FQ112" s="188"/>
      <c r="FR112" s="188"/>
      <c r="FS112" s="275"/>
      <c r="FT112" s="188"/>
      <c r="FU112" s="188"/>
      <c r="FV112" s="188"/>
      <c r="FW112" s="188"/>
      <c r="FX112" s="188"/>
      <c r="FY112" s="188"/>
      <c r="FZ112" s="188"/>
      <c r="GA112" s="188"/>
      <c r="GB112" s="188"/>
      <c r="GC112" s="188"/>
      <c r="GD112" s="188"/>
      <c r="GE112" s="188"/>
      <c r="GF112" s="188"/>
      <c r="GI112"/>
      <c r="GJ112"/>
      <c r="GK112"/>
      <c r="GL112"/>
      <c r="GM112"/>
      <c r="GN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</row>
    <row r="113" spans="1:281" s="37" customFormat="1" ht="10.5" hidden="1" customHeight="1" outlineLevel="1" x14ac:dyDescent="0.2">
      <c r="A113" s="247" t="s">
        <v>1263</v>
      </c>
      <c r="B113" s="952"/>
      <c r="C113" s="259"/>
      <c r="D113" s="259"/>
      <c r="E113" s="259"/>
      <c r="F113" s="259"/>
      <c r="G113" s="259"/>
      <c r="H113" s="259"/>
      <c r="I113" s="259"/>
      <c r="J113" s="259"/>
      <c r="K113" s="259"/>
      <c r="L113" s="259"/>
      <c r="M113" s="259"/>
      <c r="N113" s="36"/>
      <c r="O113" s="259"/>
      <c r="P113" s="259"/>
      <c r="Q113" s="259"/>
      <c r="R113" s="259"/>
      <c r="S113" s="259"/>
      <c r="T113" s="36"/>
      <c r="U113" s="259"/>
      <c r="V113" s="259"/>
      <c r="W113" s="259"/>
      <c r="X113" s="259"/>
      <c r="Y113" s="259"/>
      <c r="Z113" s="36"/>
      <c r="AA113" s="259"/>
      <c r="AB113" s="259"/>
      <c r="AC113" s="259"/>
      <c r="AD113" s="259"/>
      <c r="AE113" s="259"/>
      <c r="AF113" s="36"/>
      <c r="AG113" s="259"/>
      <c r="AH113" s="259"/>
      <c r="AI113" s="259"/>
      <c r="AJ113" s="259"/>
      <c r="AK113" s="259"/>
      <c r="AL113" s="36"/>
      <c r="AM113" s="259"/>
      <c r="AN113" s="259"/>
      <c r="AO113" s="259"/>
      <c r="AP113" s="259"/>
      <c r="AQ113" s="259"/>
      <c r="AR113" s="36"/>
      <c r="AS113" s="259"/>
      <c r="AT113" s="259"/>
      <c r="AU113" s="259"/>
      <c r="AV113" s="259"/>
      <c r="AW113" s="259"/>
      <c r="AX113" s="36"/>
      <c r="AY113" s="259"/>
      <c r="AZ113" s="259"/>
      <c r="BA113" s="259"/>
      <c r="BB113" s="259"/>
      <c r="BC113" s="259"/>
      <c r="BD113" s="36"/>
      <c r="BE113" s="236"/>
      <c r="BF113" s="236"/>
      <c r="BG113" s="236"/>
      <c r="BH113" s="236"/>
      <c r="BI113" s="236"/>
      <c r="BJ113" s="36"/>
      <c r="BK113" s="236"/>
      <c r="BL113" s="236"/>
      <c r="BM113" s="236"/>
      <c r="BN113" s="236"/>
      <c r="BO113" s="236"/>
      <c r="BP113" s="36"/>
      <c r="BQ113" s="236"/>
      <c r="BR113" s="236"/>
      <c r="BS113" s="236"/>
      <c r="BT113" s="236"/>
      <c r="BU113" s="236"/>
      <c r="BV113" s="36"/>
      <c r="BW113" s="188"/>
      <c r="BX113" s="188"/>
      <c r="BY113" s="188"/>
      <c r="BZ113" s="188"/>
      <c r="CA113" s="188"/>
      <c r="CB113" s="36"/>
      <c r="CC113" s="188"/>
      <c r="CD113" s="188"/>
      <c r="CE113" s="188"/>
      <c r="CF113" s="188"/>
      <c r="CG113" s="274"/>
      <c r="CH113" s="36"/>
      <c r="CI113" s="188"/>
      <c r="CJ113" s="188"/>
      <c r="CK113" s="188"/>
      <c r="CL113" s="188"/>
      <c r="CM113" s="274"/>
      <c r="CN113" s="36"/>
      <c r="CO113" s="188"/>
      <c r="CP113" s="188"/>
      <c r="CQ113" s="188"/>
      <c r="CR113" s="188"/>
      <c r="CS113" s="274"/>
      <c r="CT113" s="36"/>
      <c r="CU113" s="188"/>
      <c r="CV113" s="188"/>
      <c r="CW113" s="188"/>
      <c r="CX113" s="188"/>
      <c r="CY113" s="274"/>
      <c r="CZ113" s="36"/>
      <c r="DA113" s="188"/>
      <c r="DB113" s="188"/>
      <c r="DC113" s="188"/>
      <c r="DD113" s="188"/>
      <c r="DE113" s="274"/>
      <c r="DF113" s="36"/>
      <c r="DG113" s="188"/>
      <c r="DH113" s="188"/>
      <c r="DI113" s="188"/>
      <c r="DJ113" s="188"/>
      <c r="DK113" s="274"/>
      <c r="DL113" s="36"/>
      <c r="DM113" s="188"/>
      <c r="DN113" s="188"/>
      <c r="DO113" s="188"/>
      <c r="DP113" s="188"/>
      <c r="DQ113" s="274"/>
      <c r="DR113" s="36"/>
      <c r="DS113" s="188"/>
      <c r="DT113" s="188"/>
      <c r="DU113" s="188"/>
      <c r="DV113" s="188"/>
      <c r="DW113" s="274"/>
      <c r="DX113" s="36"/>
      <c r="DY113" s="188"/>
      <c r="DZ113" s="188"/>
      <c r="EA113" s="188"/>
      <c r="EB113" s="188"/>
      <c r="EC113" s="274"/>
      <c r="ED113" s="36"/>
      <c r="EE113" s="188"/>
      <c r="EF113" s="188"/>
      <c r="EG113" s="188"/>
      <c r="EH113" s="188"/>
      <c r="EI113" s="274"/>
      <c r="EJ113" s="36"/>
      <c r="EK113" s="243"/>
      <c r="EL113" s="243"/>
      <c r="EM113" s="243"/>
      <c r="EN113" s="243">
        <f>EN122-EN110</f>
        <v>32</v>
      </c>
      <c r="EO113" s="174"/>
      <c r="EP113" s="60"/>
      <c r="EQ113" s="243">
        <f>EQ122-EQ110</f>
        <v>36</v>
      </c>
      <c r="ER113" s="243">
        <f>ER122-ER110</f>
        <v>45</v>
      </c>
      <c r="ES113" s="243">
        <f>ES122-ES110</f>
        <v>50</v>
      </c>
      <c r="ET113" s="243">
        <f>ET122-ET110</f>
        <v>57.639999999999986</v>
      </c>
      <c r="EU113" s="174">
        <f>SUM(EQ113:ET113)</f>
        <v>188.64</v>
      </c>
      <c r="EV113" s="36"/>
      <c r="EW113" s="243">
        <f>EW119-EW116</f>
        <v>63.849600000000009</v>
      </c>
      <c r="EX113" s="243">
        <f>EX119-EX116</f>
        <v>75.199999999999989</v>
      </c>
      <c r="EY113" s="243">
        <f>EY119-EY116</f>
        <v>96.224999999999994</v>
      </c>
      <c r="EZ113" s="243">
        <f>EZ26*(1-EZ114)</f>
        <v>104.81939999999999</v>
      </c>
      <c r="FA113" s="174">
        <f>SUM(EW113:EZ113)</f>
        <v>340.09399999999999</v>
      </c>
      <c r="FB113" s="36"/>
      <c r="FC113" s="243">
        <f>FC26*(1-FC114)</f>
        <v>106.55568</v>
      </c>
      <c r="FD113" s="243">
        <f>FD26*(1-FD114)</f>
        <v>107.0895</v>
      </c>
      <c r="FE113" s="243">
        <f>FE26*(1-FE114)</f>
        <v>107.70209999999999</v>
      </c>
      <c r="FF113" s="243">
        <f>FF26*(1-FF114)</f>
        <v>113.160348</v>
      </c>
      <c r="FG113" s="174">
        <f>SUM(FC113:FF113)</f>
        <v>434.50762799999995</v>
      </c>
      <c r="FH113" s="36"/>
      <c r="FI113" s="243">
        <f>FI26*(1-FI114)</f>
        <v>117.44040000000001</v>
      </c>
      <c r="FJ113" s="243">
        <f>FJ26*(1-FJ114)</f>
        <v>119.46812500000001</v>
      </c>
      <c r="FK113" s="243">
        <f>FK26*(1-FK114)</f>
        <v>119.99418750000001</v>
      </c>
      <c r="FL113" s="243">
        <f>FL26*(1-FL114)</f>
        <v>131.58179999999999</v>
      </c>
      <c r="FM113" s="174">
        <f>SUM(FI113:FL113)</f>
        <v>488.48451249999999</v>
      </c>
      <c r="FN113" s="1123"/>
      <c r="FO113" s="275"/>
      <c r="FP113" s="188"/>
      <c r="FQ113" s="188"/>
      <c r="FR113" s="188"/>
      <c r="FS113" s="275"/>
      <c r="FT113" s="188"/>
      <c r="FU113" s="188"/>
      <c r="FV113" s="188"/>
      <c r="FW113" s="188"/>
      <c r="FX113" s="188"/>
      <c r="FY113" s="188"/>
      <c r="FZ113" s="188"/>
      <c r="GA113" s="188"/>
      <c r="GB113" s="188"/>
      <c r="GC113" s="188"/>
      <c r="GD113" s="188"/>
      <c r="GE113" s="188"/>
      <c r="GF113" s="188"/>
      <c r="GI113"/>
      <c r="GJ113"/>
      <c r="GK113"/>
      <c r="GL113"/>
      <c r="GM113"/>
      <c r="GN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</row>
    <row r="114" spans="1:281" s="37" customFormat="1" ht="10.5" hidden="1" customHeight="1" outlineLevel="1" x14ac:dyDescent="0.2">
      <c r="A114" s="247" t="s">
        <v>1250</v>
      </c>
      <c r="B114" s="952"/>
      <c r="C114" s="259"/>
      <c r="D114" s="259"/>
      <c r="E114" s="259"/>
      <c r="F114" s="259"/>
      <c r="G114" s="259"/>
      <c r="H114" s="259"/>
      <c r="I114" s="259"/>
      <c r="J114" s="259"/>
      <c r="K114" s="259"/>
      <c r="L114" s="259"/>
      <c r="M114" s="259"/>
      <c r="N114" s="36"/>
      <c r="O114" s="259"/>
      <c r="P114" s="259"/>
      <c r="Q114" s="259"/>
      <c r="R114" s="259"/>
      <c r="S114" s="259"/>
      <c r="T114" s="36"/>
      <c r="U114" s="259"/>
      <c r="V114" s="259"/>
      <c r="W114" s="259"/>
      <c r="X114" s="259"/>
      <c r="Y114" s="259"/>
      <c r="Z114" s="36"/>
      <c r="AA114" s="259"/>
      <c r="AB114" s="259"/>
      <c r="AC114" s="259"/>
      <c r="AD114" s="259"/>
      <c r="AE114" s="259"/>
      <c r="AF114" s="36"/>
      <c r="AG114" s="259"/>
      <c r="AH114" s="259"/>
      <c r="AI114" s="259"/>
      <c r="AJ114" s="259"/>
      <c r="AK114" s="259"/>
      <c r="AL114" s="36"/>
      <c r="AM114" s="259"/>
      <c r="AN114" s="259"/>
      <c r="AO114" s="259"/>
      <c r="AP114" s="259"/>
      <c r="AQ114" s="259"/>
      <c r="AR114" s="36"/>
      <c r="AS114" s="259"/>
      <c r="AT114" s="259"/>
      <c r="AU114" s="259"/>
      <c r="AV114" s="259"/>
      <c r="AW114" s="259"/>
      <c r="AX114" s="36"/>
      <c r="AY114" s="259"/>
      <c r="AZ114" s="259"/>
      <c r="BA114" s="259"/>
      <c r="BB114" s="259"/>
      <c r="BC114" s="259"/>
      <c r="BD114" s="36"/>
      <c r="BE114" s="236"/>
      <c r="BF114" s="236"/>
      <c r="BG114" s="236"/>
      <c r="BH114" s="236"/>
      <c r="BI114" s="236"/>
      <c r="BJ114" s="36"/>
      <c r="BK114" s="236"/>
      <c r="BL114" s="236"/>
      <c r="BM114" s="236"/>
      <c r="BN114" s="236"/>
      <c r="BO114" s="236"/>
      <c r="BP114" s="36"/>
      <c r="BQ114" s="236"/>
      <c r="BR114" s="236"/>
      <c r="BS114" s="236"/>
      <c r="BT114" s="236"/>
      <c r="BU114" s="236"/>
      <c r="BV114" s="36"/>
      <c r="BW114" s="188"/>
      <c r="BX114" s="188"/>
      <c r="BY114" s="188"/>
      <c r="BZ114" s="188"/>
      <c r="CA114" s="188"/>
      <c r="CB114" s="36"/>
      <c r="CC114" s="188"/>
      <c r="CD114" s="188"/>
      <c r="CE114" s="188"/>
      <c r="CF114" s="188"/>
      <c r="CG114" s="274"/>
      <c r="CH114" s="36"/>
      <c r="CI114" s="188"/>
      <c r="CJ114" s="188"/>
      <c r="CK114" s="188"/>
      <c r="CL114" s="188"/>
      <c r="CM114" s="274"/>
      <c r="CN114" s="36"/>
      <c r="CO114" s="188"/>
      <c r="CP114" s="188"/>
      <c r="CQ114" s="188"/>
      <c r="CR114" s="188"/>
      <c r="CS114" s="274"/>
      <c r="CT114" s="36"/>
      <c r="CU114" s="188"/>
      <c r="CV114" s="188"/>
      <c r="CW114" s="188"/>
      <c r="CX114" s="188"/>
      <c r="CY114" s="274"/>
      <c r="CZ114" s="36"/>
      <c r="DA114" s="188"/>
      <c r="DB114" s="188"/>
      <c r="DC114" s="188"/>
      <c r="DD114" s="188"/>
      <c r="DE114" s="274"/>
      <c r="DF114" s="36"/>
      <c r="DG114" s="188"/>
      <c r="DH114" s="188"/>
      <c r="DI114" s="188"/>
      <c r="DJ114" s="188"/>
      <c r="DK114" s="274"/>
      <c r="DL114" s="36"/>
      <c r="DM114" s="188"/>
      <c r="DN114" s="188"/>
      <c r="DO114" s="188"/>
      <c r="DP114" s="188"/>
      <c r="DQ114" s="274"/>
      <c r="DR114" s="36"/>
      <c r="DS114" s="188"/>
      <c r="DT114" s="188"/>
      <c r="DU114" s="188"/>
      <c r="DV114" s="188"/>
      <c r="DW114" s="274"/>
      <c r="DX114" s="36"/>
      <c r="DY114" s="188"/>
      <c r="DZ114" s="188"/>
      <c r="EA114" s="188"/>
      <c r="EB114" s="188"/>
      <c r="EC114" s="274"/>
      <c r="ED114" s="36"/>
      <c r="EE114" s="188"/>
      <c r="EF114" s="188"/>
      <c r="EG114" s="188"/>
      <c r="EH114" s="188"/>
      <c r="EI114" s="274"/>
      <c r="EJ114" s="36"/>
      <c r="EK114" s="1662"/>
      <c r="EL114" s="1662"/>
      <c r="EM114" s="1662"/>
      <c r="EN114" s="1662">
        <f>1-EN113/(EN26)</f>
        <v>0.7192982456140351</v>
      </c>
      <c r="EO114" s="1663"/>
      <c r="EP114" s="1539"/>
      <c r="EQ114" s="1662">
        <f>1-EQ113/(EQ26)</f>
        <v>0.74468085106382986</v>
      </c>
      <c r="ER114" s="1662">
        <f>1-ER113/(ER26)</f>
        <v>0.70394736842105265</v>
      </c>
      <c r="ES114" s="1662">
        <f>1-ES113/(ES26)</f>
        <v>0.65753424657534243</v>
      </c>
      <c r="ET114" s="1662">
        <f>1-ET113/(ET26)</f>
        <v>0.6950264550264551</v>
      </c>
      <c r="EU114" s="274">
        <f>1-EU113/(EU26)</f>
        <v>0.69961783439490444</v>
      </c>
      <c r="EV114" s="36"/>
      <c r="EW114" s="1662">
        <f>1-EW113/(EW26)</f>
        <v>0.6656388772517805</v>
      </c>
      <c r="EX114" s="1662">
        <f>1-EX113/(EX26)</f>
        <v>0.60000000000000009</v>
      </c>
      <c r="EY114" s="1662">
        <f>1-EY113/(EY26)</f>
        <v>0.50271317829457374</v>
      </c>
      <c r="EZ114" s="900">
        <v>0.53</v>
      </c>
      <c r="FA114" s="274">
        <f>1-FA113/(FA26)</f>
        <v>0.57246693820083472</v>
      </c>
      <c r="FB114" s="36"/>
      <c r="FC114" s="900">
        <v>0.53500000000000003</v>
      </c>
      <c r="FD114" s="900">
        <v>0.53500000000000003</v>
      </c>
      <c r="FE114" s="900">
        <v>0.54</v>
      </c>
      <c r="FF114" s="900">
        <v>0.56999999999999995</v>
      </c>
      <c r="FG114" s="274">
        <f>1-FG113/(FG26)</f>
        <v>0.54585068668888215</v>
      </c>
      <c r="FH114" s="36"/>
      <c r="FI114" s="900">
        <v>0.59</v>
      </c>
      <c r="FJ114" s="900">
        <v>0.58499999999999996</v>
      </c>
      <c r="FK114" s="900">
        <v>0.59</v>
      </c>
      <c r="FL114" s="900">
        <f t="shared" ref="FL114" si="72">FK114+0.01</f>
        <v>0.6</v>
      </c>
      <c r="FM114" s="274">
        <f>1-FM113/(FM26)</f>
        <v>0.59154704475753661</v>
      </c>
      <c r="FN114" s="1123"/>
      <c r="FO114" s="275"/>
      <c r="FP114" s="188"/>
      <c r="FQ114" s="188"/>
      <c r="FR114" s="188"/>
      <c r="FS114" s="275"/>
      <c r="FT114" s="188"/>
      <c r="FU114" s="188"/>
      <c r="FV114" s="188"/>
      <c r="FW114" s="188"/>
      <c r="FX114" s="188"/>
      <c r="FY114" s="188"/>
      <c r="FZ114" s="188"/>
      <c r="GA114" s="188"/>
      <c r="GB114" s="188"/>
      <c r="GC114" s="188"/>
      <c r="GD114" s="188"/>
      <c r="GE114" s="188"/>
      <c r="GF114" s="188"/>
      <c r="GI114"/>
      <c r="GJ114"/>
      <c r="GK114"/>
      <c r="GL114"/>
      <c r="GM114"/>
      <c r="GN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</row>
    <row r="115" spans="1:281" s="37" customFormat="1" ht="3.95" hidden="1" customHeight="1" outlineLevel="1" x14ac:dyDescent="0.2">
      <c r="A115" s="247"/>
      <c r="B115" s="952"/>
      <c r="C115" s="259"/>
      <c r="D115" s="259"/>
      <c r="E115" s="259"/>
      <c r="F115" s="259"/>
      <c r="G115" s="259"/>
      <c r="H115" s="259"/>
      <c r="I115" s="259"/>
      <c r="J115" s="259"/>
      <c r="K115" s="259"/>
      <c r="L115" s="259"/>
      <c r="M115" s="259"/>
      <c r="N115" s="36"/>
      <c r="O115" s="259"/>
      <c r="P115" s="259"/>
      <c r="Q115" s="259"/>
      <c r="R115" s="259"/>
      <c r="S115" s="259"/>
      <c r="T115" s="36"/>
      <c r="U115" s="259"/>
      <c r="V115" s="259"/>
      <c r="W115" s="259"/>
      <c r="X115" s="259"/>
      <c r="Y115" s="259"/>
      <c r="Z115" s="36"/>
      <c r="AA115" s="259"/>
      <c r="AB115" s="259"/>
      <c r="AC115" s="259"/>
      <c r="AD115" s="259"/>
      <c r="AE115" s="259"/>
      <c r="AF115" s="36"/>
      <c r="AG115" s="259"/>
      <c r="AH115" s="259"/>
      <c r="AI115" s="259"/>
      <c r="AJ115" s="259"/>
      <c r="AK115" s="259"/>
      <c r="AL115" s="36"/>
      <c r="AM115" s="259"/>
      <c r="AN115" s="259"/>
      <c r="AO115" s="259"/>
      <c r="AP115" s="259"/>
      <c r="AQ115" s="259"/>
      <c r="AR115" s="36"/>
      <c r="AS115" s="259"/>
      <c r="AT115" s="259"/>
      <c r="AU115" s="259"/>
      <c r="AV115" s="259"/>
      <c r="AW115" s="259"/>
      <c r="AX115" s="36"/>
      <c r="AY115" s="259"/>
      <c r="AZ115" s="259"/>
      <c r="BA115" s="259"/>
      <c r="BB115" s="259"/>
      <c r="BC115" s="259"/>
      <c r="BD115" s="36"/>
      <c r="BE115" s="236"/>
      <c r="BF115" s="236"/>
      <c r="BG115" s="236"/>
      <c r="BH115" s="236"/>
      <c r="BI115" s="236"/>
      <c r="BJ115" s="36"/>
      <c r="BK115" s="236"/>
      <c r="BL115" s="236"/>
      <c r="BM115" s="236"/>
      <c r="BN115" s="236"/>
      <c r="BO115" s="236"/>
      <c r="BP115" s="36"/>
      <c r="BQ115" s="236"/>
      <c r="BR115" s="236"/>
      <c r="BS115" s="236"/>
      <c r="BT115" s="236"/>
      <c r="BU115" s="236"/>
      <c r="BV115" s="36"/>
      <c r="BW115" s="188"/>
      <c r="BX115" s="188"/>
      <c r="BY115" s="188"/>
      <c r="BZ115" s="188"/>
      <c r="CA115" s="188"/>
      <c r="CB115" s="36"/>
      <c r="CC115" s="188"/>
      <c r="CD115" s="188"/>
      <c r="CE115" s="188"/>
      <c r="CF115" s="188"/>
      <c r="CG115" s="274"/>
      <c r="CH115" s="36"/>
      <c r="CI115" s="188"/>
      <c r="CJ115" s="188"/>
      <c r="CK115" s="188"/>
      <c r="CL115" s="188"/>
      <c r="CM115" s="274"/>
      <c r="CN115" s="36"/>
      <c r="CO115" s="188"/>
      <c r="CP115" s="188"/>
      <c r="CQ115" s="188"/>
      <c r="CR115" s="188"/>
      <c r="CS115" s="274"/>
      <c r="CT115" s="36"/>
      <c r="CU115" s="188"/>
      <c r="CV115" s="188"/>
      <c r="CW115" s="188"/>
      <c r="CX115" s="188"/>
      <c r="CY115" s="274"/>
      <c r="CZ115" s="36"/>
      <c r="DA115" s="188"/>
      <c r="DB115" s="188"/>
      <c r="DC115" s="188"/>
      <c r="DD115" s="188"/>
      <c r="DE115" s="274"/>
      <c r="DF115" s="36"/>
      <c r="DG115" s="188"/>
      <c r="DH115" s="188"/>
      <c r="DI115" s="188"/>
      <c r="DJ115" s="188"/>
      <c r="DK115" s="274"/>
      <c r="DL115" s="36"/>
      <c r="DM115" s="188"/>
      <c r="DN115" s="188"/>
      <c r="DO115" s="188"/>
      <c r="DP115" s="188"/>
      <c r="DQ115" s="274"/>
      <c r="DR115" s="36"/>
      <c r="DS115" s="188"/>
      <c r="DT115" s="188"/>
      <c r="DU115" s="188"/>
      <c r="DV115" s="188"/>
      <c r="DW115" s="274"/>
      <c r="DX115" s="36"/>
      <c r="DY115" s="188"/>
      <c r="DZ115" s="188"/>
      <c r="EA115" s="188"/>
      <c r="EB115" s="188"/>
      <c r="EC115" s="274"/>
      <c r="ED115" s="36"/>
      <c r="EE115" s="188"/>
      <c r="EF115" s="188"/>
      <c r="EG115" s="188"/>
      <c r="EH115" s="188"/>
      <c r="EI115" s="274"/>
      <c r="EJ115" s="36"/>
      <c r="EK115" s="188"/>
      <c r="EL115" s="900"/>
      <c r="EM115" s="900"/>
      <c r="EN115" s="900"/>
      <c r="EO115" s="274"/>
      <c r="EP115" s="36"/>
      <c r="EQ115" s="188"/>
      <c r="ER115" s="900"/>
      <c r="ES115" s="900"/>
      <c r="ET115" s="900"/>
      <c r="EU115" s="274"/>
      <c r="EV115" s="36"/>
      <c r="EW115" s="188"/>
      <c r="EX115" s="900"/>
      <c r="EY115" s="900"/>
      <c r="EZ115" s="900"/>
      <c r="FA115" s="274"/>
      <c r="FB115" s="36"/>
      <c r="FC115" s="900"/>
      <c r="FD115" s="900"/>
      <c r="FE115" s="900"/>
      <c r="FF115" s="900"/>
      <c r="FG115" s="274"/>
      <c r="FH115" s="36"/>
      <c r="FI115" s="900"/>
      <c r="FJ115" s="900"/>
      <c r="FK115" s="900"/>
      <c r="FL115" s="900"/>
      <c r="FM115" s="274"/>
      <c r="FN115" s="1123"/>
      <c r="FO115" s="275"/>
      <c r="FP115" s="188"/>
      <c r="FQ115" s="188"/>
      <c r="FR115" s="188"/>
      <c r="FS115" s="275"/>
      <c r="FT115" s="188"/>
      <c r="FU115" s="188"/>
      <c r="FV115" s="188"/>
      <c r="FW115" s="188"/>
      <c r="FX115" s="188"/>
      <c r="FY115" s="188"/>
      <c r="FZ115" s="188"/>
      <c r="GA115" s="188"/>
      <c r="GB115" s="188"/>
      <c r="GC115" s="188"/>
      <c r="GD115" s="188"/>
      <c r="GE115" s="188"/>
      <c r="GF115" s="188"/>
      <c r="GI115"/>
      <c r="GJ115"/>
      <c r="GK115"/>
      <c r="GL115"/>
      <c r="GM115"/>
      <c r="GN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</row>
    <row r="116" spans="1:281" s="37" customFormat="1" ht="10.5" hidden="1" customHeight="1" outlineLevel="1" x14ac:dyDescent="0.2">
      <c r="A116" s="273" t="s">
        <v>1262</v>
      </c>
      <c r="B116" s="952"/>
      <c r="C116" s="259"/>
      <c r="D116" s="259"/>
      <c r="E116" s="259"/>
      <c r="F116" s="259"/>
      <c r="G116" s="259"/>
      <c r="H116" s="259"/>
      <c r="I116" s="259"/>
      <c r="J116" s="259"/>
      <c r="K116" s="259"/>
      <c r="L116" s="259"/>
      <c r="M116" s="259"/>
      <c r="N116" s="36"/>
      <c r="O116" s="259"/>
      <c r="P116" s="259"/>
      <c r="Q116" s="259"/>
      <c r="R116" s="259"/>
      <c r="S116" s="259"/>
      <c r="T116" s="36"/>
      <c r="U116" s="259"/>
      <c r="V116" s="259"/>
      <c r="W116" s="259"/>
      <c r="X116" s="259"/>
      <c r="Y116" s="259"/>
      <c r="Z116" s="36"/>
      <c r="AA116" s="259"/>
      <c r="AB116" s="259"/>
      <c r="AC116" s="259"/>
      <c r="AD116" s="259"/>
      <c r="AE116" s="259"/>
      <c r="AF116" s="36"/>
      <c r="AG116" s="259"/>
      <c r="AH116" s="259"/>
      <c r="AI116" s="259"/>
      <c r="AJ116" s="259"/>
      <c r="AK116" s="259"/>
      <c r="AL116" s="36"/>
      <c r="AM116" s="259"/>
      <c r="AN116" s="259"/>
      <c r="AO116" s="259"/>
      <c r="AP116" s="259"/>
      <c r="AQ116" s="259"/>
      <c r="AR116" s="36"/>
      <c r="AS116" s="259"/>
      <c r="AT116" s="259"/>
      <c r="AU116" s="259"/>
      <c r="AV116" s="259"/>
      <c r="AW116" s="259"/>
      <c r="AX116" s="36"/>
      <c r="AY116" s="259"/>
      <c r="AZ116" s="259"/>
      <c r="BA116" s="259"/>
      <c r="BB116" s="259"/>
      <c r="BC116" s="259"/>
      <c r="BD116" s="36"/>
      <c r="BE116" s="236"/>
      <c r="BF116" s="236"/>
      <c r="BG116" s="236"/>
      <c r="BH116" s="236"/>
      <c r="BI116" s="236"/>
      <c r="BJ116" s="36"/>
      <c r="BK116" s="236"/>
      <c r="BL116" s="236"/>
      <c r="BM116" s="236"/>
      <c r="BN116" s="236"/>
      <c r="BO116" s="236"/>
      <c r="BP116" s="36"/>
      <c r="BQ116" s="236"/>
      <c r="BR116" s="236"/>
      <c r="BS116" s="236"/>
      <c r="BT116" s="236"/>
      <c r="BU116" s="236"/>
      <c r="BV116" s="36"/>
      <c r="BW116" s="188"/>
      <c r="BX116" s="188"/>
      <c r="BY116" s="188"/>
      <c r="BZ116" s="188"/>
      <c r="CA116" s="188"/>
      <c r="CB116" s="36"/>
      <c r="CC116" s="188"/>
      <c r="CD116" s="188"/>
      <c r="CE116" s="188"/>
      <c r="CF116" s="188"/>
      <c r="CG116" s="274"/>
      <c r="CH116" s="36"/>
      <c r="CI116" s="188"/>
      <c r="CJ116" s="188"/>
      <c r="CK116" s="188"/>
      <c r="CL116" s="188"/>
      <c r="CM116" s="274"/>
      <c r="CN116" s="36"/>
      <c r="CO116" s="188"/>
      <c r="CP116" s="188"/>
      <c r="CQ116" s="188"/>
      <c r="CR116" s="188"/>
      <c r="CS116" s="274"/>
      <c r="CT116" s="36"/>
      <c r="CU116" s="188"/>
      <c r="CV116" s="188"/>
      <c r="CW116" s="188"/>
      <c r="CX116" s="188"/>
      <c r="CY116" s="174"/>
      <c r="CZ116" s="60"/>
      <c r="DA116" s="243"/>
      <c r="DB116" s="243"/>
      <c r="DC116" s="243"/>
      <c r="DD116" s="243"/>
      <c r="DE116" s="174"/>
      <c r="DF116" s="60"/>
      <c r="DG116" s="243"/>
      <c r="DH116" s="243"/>
      <c r="DI116" s="243"/>
      <c r="DJ116" s="243"/>
      <c r="DK116" s="174"/>
      <c r="DL116" s="60"/>
      <c r="DM116" s="243"/>
      <c r="DN116" s="243"/>
      <c r="DO116" s="243"/>
      <c r="DP116" s="243"/>
      <c r="DQ116" s="174"/>
      <c r="DR116" s="60"/>
      <c r="DS116" s="243"/>
      <c r="DT116" s="243"/>
      <c r="DU116" s="243"/>
      <c r="DV116" s="243">
        <f>76-2</f>
        <v>74</v>
      </c>
      <c r="DW116" s="174"/>
      <c r="DX116" s="60"/>
      <c r="DY116" s="243">
        <f>72-1</f>
        <v>71</v>
      </c>
      <c r="DZ116" s="243">
        <f>76-1</f>
        <v>75</v>
      </c>
      <c r="EA116" s="243">
        <f>76-1</f>
        <v>75</v>
      </c>
      <c r="EB116" s="243">
        <f>84-1</f>
        <v>83</v>
      </c>
      <c r="EC116" s="174">
        <f>SUM(DY116:EB116)</f>
        <v>304</v>
      </c>
      <c r="ED116" s="60"/>
      <c r="EE116" s="243">
        <f>79-1</f>
        <v>78</v>
      </c>
      <c r="EF116" s="243">
        <f>87-1</f>
        <v>86</v>
      </c>
      <c r="EG116" s="243">
        <f>88-1</f>
        <v>87</v>
      </c>
      <c r="EH116" s="243">
        <f>90-1</f>
        <v>89</v>
      </c>
      <c r="EI116" s="174">
        <f>SUM(EE116:EH116)</f>
        <v>340</v>
      </c>
      <c r="EJ116" s="60"/>
      <c r="EK116" s="243">
        <f>89-1</f>
        <v>88</v>
      </c>
      <c r="EL116" s="243">
        <f>91-1</f>
        <v>90</v>
      </c>
      <c r="EM116" s="1796">
        <f>88-1</f>
        <v>87</v>
      </c>
      <c r="EN116" s="243">
        <f>99-1</f>
        <v>98</v>
      </c>
      <c r="EO116" s="174">
        <f>SUM(EK116:EN116)</f>
        <v>363</v>
      </c>
      <c r="EP116" s="60"/>
      <c r="EQ116" s="243">
        <f>96-1</f>
        <v>95</v>
      </c>
      <c r="ER116" s="243">
        <f>111-1</f>
        <v>110</v>
      </c>
      <c r="ES116" s="243">
        <f>125-1</f>
        <v>124</v>
      </c>
      <c r="ET116" s="243">
        <f>ET29*(1-ET117)</f>
        <v>147.66</v>
      </c>
      <c r="EU116" s="174">
        <f>SUM(EQ116:ET116)</f>
        <v>476.65999999999997</v>
      </c>
      <c r="EV116" s="60"/>
      <c r="EW116" s="243">
        <f>EW29*(1-EW117)</f>
        <v>161.15039999999999</v>
      </c>
      <c r="EX116" s="243">
        <f>EX29*(1-EX117)</f>
        <v>163.80000000000001</v>
      </c>
      <c r="EY116" s="243">
        <f>EY29*(1-EY117)</f>
        <v>175.77500000000001</v>
      </c>
      <c r="EZ116" s="243">
        <f>EZ29*(1-EZ117)</f>
        <v>185.28120000000001</v>
      </c>
      <c r="FA116" s="174">
        <f>SUM(EW116:EZ116)</f>
        <v>686.00660000000005</v>
      </c>
      <c r="FB116" s="60"/>
      <c r="FC116" s="243">
        <f>FC29*(1-FC117)</f>
        <v>192.36268800000002</v>
      </c>
      <c r="FD116" s="243">
        <f>FD29*(1-FD117)</f>
        <v>195.21600000000001</v>
      </c>
      <c r="FE116" s="243">
        <f>FE29*(1-FE117)</f>
        <v>199.36</v>
      </c>
      <c r="FF116" s="243">
        <f>FF29*(1-FF117)</f>
        <v>202.19404800000007</v>
      </c>
      <c r="FG116" s="174">
        <f>SUM(FC116:FF116)</f>
        <v>789.13273600000014</v>
      </c>
      <c r="FH116" s="60"/>
      <c r="FI116" s="243">
        <f>FI29*(1-FI117)</f>
        <v>204.83063999999996</v>
      </c>
      <c r="FJ116" s="243">
        <f>FJ29*(1-FJ117)</f>
        <v>210.97440000000003</v>
      </c>
      <c r="FK116" s="243">
        <f>FK29*(1-FK117)</f>
        <v>220.66659999999999</v>
      </c>
      <c r="FL116" s="243">
        <f>FL29*(1-FL117)</f>
        <v>229.46364000000005</v>
      </c>
      <c r="FM116" s="174">
        <f>SUM(FI116:FL116)</f>
        <v>865.93528000000003</v>
      </c>
      <c r="FN116" s="226"/>
      <c r="FO116" s="245"/>
      <c r="FP116" s="243"/>
      <c r="FQ116" s="243"/>
      <c r="FR116" s="243"/>
      <c r="FS116" s="245"/>
      <c r="FT116" s="243"/>
      <c r="FU116" s="243"/>
      <c r="FV116" s="243"/>
      <c r="FW116" s="243"/>
      <c r="FX116" s="243"/>
      <c r="FY116" s="243"/>
      <c r="FZ116" s="243"/>
      <c r="GA116" s="243"/>
      <c r="GB116" s="243"/>
      <c r="GC116" s="243"/>
      <c r="GD116" s="243"/>
      <c r="GE116" s="243"/>
      <c r="GF116" s="243"/>
      <c r="GI116"/>
      <c r="GJ116"/>
      <c r="GK116"/>
      <c r="GL116"/>
      <c r="GM116"/>
      <c r="GN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</row>
    <row r="117" spans="1:281" s="37" customFormat="1" ht="10.5" hidden="1" customHeight="1" outlineLevel="1" x14ac:dyDescent="0.2">
      <c r="A117" s="247" t="s">
        <v>1166</v>
      </c>
      <c r="B117" s="952"/>
      <c r="C117" s="259"/>
      <c r="D117" s="259"/>
      <c r="E117" s="259"/>
      <c r="F117" s="259"/>
      <c r="G117" s="259"/>
      <c r="H117" s="259"/>
      <c r="I117" s="259"/>
      <c r="J117" s="259"/>
      <c r="K117" s="259"/>
      <c r="L117" s="259"/>
      <c r="M117" s="259"/>
      <c r="N117" s="36"/>
      <c r="O117" s="259"/>
      <c r="P117" s="259"/>
      <c r="Q117" s="259"/>
      <c r="R117" s="259"/>
      <c r="S117" s="259"/>
      <c r="T117" s="36"/>
      <c r="U117" s="259"/>
      <c r="V117" s="259"/>
      <c r="W117" s="259"/>
      <c r="X117" s="259"/>
      <c r="Y117" s="259"/>
      <c r="Z117" s="36"/>
      <c r="AA117" s="259"/>
      <c r="AB117" s="259"/>
      <c r="AC117" s="259"/>
      <c r="AD117" s="259"/>
      <c r="AE117" s="259"/>
      <c r="AF117" s="36"/>
      <c r="AG117" s="259"/>
      <c r="AH117" s="259"/>
      <c r="AI117" s="259"/>
      <c r="AJ117" s="259"/>
      <c r="AK117" s="259"/>
      <c r="AL117" s="36"/>
      <c r="AM117" s="259"/>
      <c r="AN117" s="259"/>
      <c r="AO117" s="259"/>
      <c r="AP117" s="259"/>
      <c r="AQ117" s="259"/>
      <c r="AR117" s="36"/>
      <c r="AS117" s="259"/>
      <c r="AT117" s="259"/>
      <c r="AU117" s="259"/>
      <c r="AV117" s="259"/>
      <c r="AW117" s="259"/>
      <c r="AX117" s="36"/>
      <c r="AY117" s="259"/>
      <c r="AZ117" s="259"/>
      <c r="BA117" s="259"/>
      <c r="BB117" s="259"/>
      <c r="BC117" s="259"/>
      <c r="BD117" s="36"/>
      <c r="BE117" s="236"/>
      <c r="BF117" s="236"/>
      <c r="BG117" s="236"/>
      <c r="BH117" s="236"/>
      <c r="BI117" s="236"/>
      <c r="BJ117" s="36"/>
      <c r="BK117" s="236"/>
      <c r="BL117" s="236"/>
      <c r="BM117" s="236"/>
      <c r="BN117" s="236"/>
      <c r="BO117" s="236"/>
      <c r="BP117" s="36"/>
      <c r="BQ117" s="236"/>
      <c r="BR117" s="236"/>
      <c r="BS117" s="236"/>
      <c r="BT117" s="236"/>
      <c r="BU117" s="236"/>
      <c r="BV117" s="36"/>
      <c r="BW117" s="188"/>
      <c r="BX117" s="188"/>
      <c r="BY117" s="188"/>
      <c r="BZ117" s="188"/>
      <c r="CA117" s="188"/>
      <c r="CB117" s="36"/>
      <c r="CC117" s="188"/>
      <c r="CD117" s="188"/>
      <c r="CE117" s="188"/>
      <c r="CF117" s="188"/>
      <c r="CG117" s="274"/>
      <c r="CH117" s="36"/>
      <c r="CI117" s="188"/>
      <c r="CJ117" s="188"/>
      <c r="CK117" s="188"/>
      <c r="CL117" s="188"/>
      <c r="CM117" s="274"/>
      <c r="CN117" s="36"/>
      <c r="CO117" s="188"/>
      <c r="CP117" s="188"/>
      <c r="CQ117" s="188"/>
      <c r="CR117" s="188"/>
      <c r="CS117" s="274"/>
      <c r="CT117" s="36"/>
      <c r="CU117" s="188"/>
      <c r="CV117" s="188"/>
      <c r="CW117" s="188"/>
      <c r="CX117" s="188"/>
      <c r="CY117" s="274"/>
      <c r="CZ117" s="36"/>
      <c r="DA117" s="188"/>
      <c r="DB117" s="188"/>
      <c r="DC117" s="188"/>
      <c r="DD117" s="188"/>
      <c r="DE117" s="274"/>
      <c r="DF117" s="36"/>
      <c r="DG117" s="188"/>
      <c r="DH117" s="188"/>
      <c r="DI117" s="188"/>
      <c r="DJ117" s="188"/>
      <c r="DK117" s="274"/>
      <c r="DL117" s="36"/>
      <c r="DM117" s="188"/>
      <c r="DN117" s="188"/>
      <c r="DO117" s="188"/>
      <c r="DP117" s="188"/>
      <c r="DQ117" s="274"/>
      <c r="DR117" s="36"/>
      <c r="DS117" s="188"/>
      <c r="DT117" s="188"/>
      <c r="DU117" s="188"/>
      <c r="DV117" s="188">
        <f>1-DV116/(DV29)</f>
        <v>0.34513274336283184</v>
      </c>
      <c r="DW117" s="274"/>
      <c r="DX117" s="36"/>
      <c r="DY117" s="188">
        <f>1-DY116/(DY29)</f>
        <v>0.34862385321100919</v>
      </c>
      <c r="DZ117" s="188">
        <f>1-DZ116/(DZ29)</f>
        <v>0.22680412371134018</v>
      </c>
      <c r="EA117" s="188">
        <f>1-EA116/(EA29)</f>
        <v>0.3801652892561983</v>
      </c>
      <c r="EB117" s="188">
        <f>1-EB116/(EB29)</f>
        <v>0.3515625</v>
      </c>
      <c r="EC117" s="274">
        <f>1-EC116/(EC29)</f>
        <v>0.33186813186813191</v>
      </c>
      <c r="ED117" s="36"/>
      <c r="EE117" s="188">
        <f>1-EE116/(EE29)</f>
        <v>0.43478260869565222</v>
      </c>
      <c r="EF117" s="188">
        <f>1-EF116/(EF29)</f>
        <v>0.44516129032258067</v>
      </c>
      <c r="EG117" s="188">
        <f>1-EG116/(EG29)</f>
        <v>0.43870967741935485</v>
      </c>
      <c r="EH117" s="188">
        <f>1-EH116/(EH29)</f>
        <v>0.44374999999999998</v>
      </c>
      <c r="EI117" s="274">
        <f>1-EI116/(EI29)</f>
        <v>0.44078947368421051</v>
      </c>
      <c r="EJ117" s="36"/>
      <c r="EK117" s="188">
        <f>1-EK116/(EK29)</f>
        <v>0.44999999999999996</v>
      </c>
      <c r="EL117" s="188">
        <f>1-EL116/(EL29)</f>
        <v>0.45454545454545459</v>
      </c>
      <c r="EM117" s="188">
        <f>1-EM116/(EM29)</f>
        <v>0.42763157894736847</v>
      </c>
      <c r="EN117" s="188">
        <f>1-EN116/(EN29)</f>
        <v>0.42011834319526631</v>
      </c>
      <c r="EO117" s="274">
        <f>1-EO116/(EO29)</f>
        <v>0.4380804953560371</v>
      </c>
      <c r="EP117" s="36"/>
      <c r="EQ117" s="188">
        <f>1-EQ116/(EQ29)</f>
        <v>0.44444444444444442</v>
      </c>
      <c r="ER117" s="188">
        <f>1-ER116/(ER29)</f>
        <v>0.37142857142857144</v>
      </c>
      <c r="ES117" s="188">
        <f>1-ES116/(ES29)</f>
        <v>0.3033707865168539</v>
      </c>
      <c r="ET117" s="188">
        <v>0.31</v>
      </c>
      <c r="EU117" s="274">
        <f>1-EU116/(EU29)</f>
        <v>0.354119241192412</v>
      </c>
      <c r="EV117" s="36"/>
      <c r="EW117" s="900">
        <v>0.24</v>
      </c>
      <c r="EX117" s="900">
        <v>0.22</v>
      </c>
      <c r="EY117" s="900">
        <v>0.21</v>
      </c>
      <c r="EZ117" s="900">
        <v>0.22</v>
      </c>
      <c r="FA117" s="274">
        <f>1-FA116/(FA29)</f>
        <v>0.22228528024668948</v>
      </c>
      <c r="FB117" s="36"/>
      <c r="FC117" s="900">
        <v>0.19</v>
      </c>
      <c r="FD117" s="900">
        <v>0.17</v>
      </c>
      <c r="FE117" s="900">
        <v>0.2</v>
      </c>
      <c r="FF117" s="900">
        <v>0.24</v>
      </c>
      <c r="FG117" s="274">
        <f>1-FG116/(FG29)</f>
        <v>0.20122573916198072</v>
      </c>
      <c r="FH117" s="36"/>
      <c r="FI117" s="900">
        <v>0.25</v>
      </c>
      <c r="FJ117" s="900">
        <v>0.22</v>
      </c>
      <c r="FK117" s="900">
        <v>0.23</v>
      </c>
      <c r="FL117" s="900">
        <f t="shared" ref="FL117" si="73">FK117+0.02</f>
        <v>0.25</v>
      </c>
      <c r="FM117" s="274">
        <f>1-FM116/(FM29)</f>
        <v>0.23781289678940687</v>
      </c>
      <c r="FN117" s="1123"/>
      <c r="FO117" s="275"/>
      <c r="FP117" s="188"/>
      <c r="FQ117" s="188"/>
      <c r="FR117" s="188"/>
      <c r="FS117" s="275"/>
      <c r="FT117" s="188"/>
      <c r="FU117" s="188"/>
      <c r="FV117" s="188"/>
      <c r="FW117" s="188"/>
      <c r="FX117" s="188"/>
      <c r="FY117" s="188"/>
      <c r="FZ117" s="188"/>
      <c r="GA117" s="188"/>
      <c r="GB117" s="188"/>
      <c r="GC117" s="188"/>
      <c r="GD117" s="188"/>
      <c r="GE117" s="188"/>
      <c r="GF117" s="188"/>
      <c r="GI117"/>
      <c r="GJ117"/>
      <c r="GK117"/>
      <c r="GL117"/>
      <c r="GM117"/>
      <c r="GN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</row>
    <row r="118" spans="1:281" s="37" customFormat="1" ht="8.1" hidden="1" customHeight="1" outlineLevel="1" x14ac:dyDescent="0.2">
      <c r="A118" s="247"/>
      <c r="B118" s="952"/>
      <c r="C118" s="259"/>
      <c r="D118" s="259"/>
      <c r="E118" s="259"/>
      <c r="F118" s="259"/>
      <c r="G118" s="259"/>
      <c r="H118" s="259"/>
      <c r="I118" s="259"/>
      <c r="J118" s="259"/>
      <c r="K118" s="259"/>
      <c r="L118" s="259"/>
      <c r="M118" s="259"/>
      <c r="N118" s="36"/>
      <c r="O118" s="259"/>
      <c r="P118" s="259"/>
      <c r="Q118" s="259"/>
      <c r="R118" s="259"/>
      <c r="S118" s="259"/>
      <c r="T118" s="36"/>
      <c r="U118" s="259"/>
      <c r="V118" s="259"/>
      <c r="W118" s="259"/>
      <c r="X118" s="259"/>
      <c r="Y118" s="259"/>
      <c r="Z118" s="36"/>
      <c r="AA118" s="259"/>
      <c r="AB118" s="259"/>
      <c r="AC118" s="259"/>
      <c r="AD118" s="259"/>
      <c r="AE118" s="259"/>
      <c r="AF118" s="36"/>
      <c r="AG118" s="259"/>
      <c r="AH118" s="259"/>
      <c r="AI118" s="259"/>
      <c r="AJ118" s="259"/>
      <c r="AK118" s="259"/>
      <c r="AL118" s="36"/>
      <c r="AM118" s="259"/>
      <c r="AN118" s="259"/>
      <c r="AO118" s="259"/>
      <c r="AP118" s="259"/>
      <c r="AQ118" s="259"/>
      <c r="AR118" s="36"/>
      <c r="AS118" s="259"/>
      <c r="AT118" s="259"/>
      <c r="AU118" s="259"/>
      <c r="AV118" s="259"/>
      <c r="AW118" s="259"/>
      <c r="AX118" s="36"/>
      <c r="AY118" s="259"/>
      <c r="AZ118" s="259"/>
      <c r="BA118" s="259"/>
      <c r="BB118" s="259"/>
      <c r="BC118" s="259"/>
      <c r="BD118" s="36"/>
      <c r="BE118" s="236"/>
      <c r="BF118" s="236"/>
      <c r="BG118" s="236"/>
      <c r="BH118" s="236"/>
      <c r="BI118" s="236"/>
      <c r="BJ118" s="36"/>
      <c r="BK118" s="236"/>
      <c r="BL118" s="236"/>
      <c r="BM118" s="236"/>
      <c r="BN118" s="236"/>
      <c r="BO118" s="236"/>
      <c r="BP118" s="36"/>
      <c r="BQ118" s="236"/>
      <c r="BR118" s="236"/>
      <c r="BS118" s="236"/>
      <c r="BT118" s="236"/>
      <c r="BU118" s="236"/>
      <c r="BV118" s="36"/>
      <c r="BW118" s="188"/>
      <c r="BX118" s="188"/>
      <c r="BY118" s="188"/>
      <c r="BZ118" s="188"/>
      <c r="CA118" s="188"/>
      <c r="CB118" s="36"/>
      <c r="CC118" s="188"/>
      <c r="CD118" s="188"/>
      <c r="CE118" s="188"/>
      <c r="CF118" s="188"/>
      <c r="CG118" s="274"/>
      <c r="CH118" s="36"/>
      <c r="CI118" s="188"/>
      <c r="CJ118" s="188"/>
      <c r="CK118" s="188"/>
      <c r="CL118" s="188"/>
      <c r="CM118" s="274"/>
      <c r="CN118" s="36"/>
      <c r="CO118" s="188"/>
      <c r="CP118" s="188"/>
      <c r="CQ118" s="188"/>
      <c r="CR118" s="188"/>
      <c r="CS118" s="274"/>
      <c r="CT118" s="36"/>
      <c r="CU118" s="188"/>
      <c r="CV118" s="188"/>
      <c r="CW118" s="188"/>
      <c r="CX118" s="188"/>
      <c r="CY118" s="274"/>
      <c r="CZ118" s="36"/>
      <c r="DA118" s="188"/>
      <c r="DB118" s="188"/>
      <c r="DC118" s="188"/>
      <c r="DD118" s="188"/>
      <c r="DE118" s="274"/>
      <c r="DF118" s="36"/>
      <c r="DG118" s="188"/>
      <c r="DH118" s="188"/>
      <c r="DI118" s="188"/>
      <c r="DJ118" s="188"/>
      <c r="DK118" s="274"/>
      <c r="DL118" s="36"/>
      <c r="DM118" s="188"/>
      <c r="DN118" s="188"/>
      <c r="DO118" s="188"/>
      <c r="DP118" s="188"/>
      <c r="DQ118" s="274"/>
      <c r="DR118" s="36"/>
      <c r="DS118" s="188"/>
      <c r="DT118" s="188"/>
      <c r="DU118" s="188"/>
      <c r="DV118" s="188"/>
      <c r="DW118" s="274"/>
      <c r="DX118" s="36"/>
      <c r="DY118" s="188"/>
      <c r="DZ118" s="188"/>
      <c r="EA118" s="188"/>
      <c r="EB118" s="188"/>
      <c r="EC118" s="274"/>
      <c r="ED118" s="36"/>
      <c r="EE118" s="188"/>
      <c r="EF118" s="188"/>
      <c r="EG118" s="188"/>
      <c r="EH118" s="188"/>
      <c r="EI118" s="274"/>
      <c r="EJ118" s="36"/>
      <c r="EK118" s="188"/>
      <c r="EL118" s="900"/>
      <c r="EM118" s="900"/>
      <c r="EN118" s="900"/>
      <c r="EO118" s="274"/>
      <c r="EP118" s="36"/>
      <c r="EQ118" s="188"/>
      <c r="ER118" s="900"/>
      <c r="ES118" s="900"/>
      <c r="ET118" s="900"/>
      <c r="EU118" s="274"/>
      <c r="EV118" s="36"/>
      <c r="EW118" s="188"/>
      <c r="EX118" s="900"/>
      <c r="EY118" s="900"/>
      <c r="EZ118" s="900"/>
      <c r="FA118" s="274"/>
      <c r="FB118" s="36"/>
      <c r="FC118" s="900"/>
      <c r="FD118" s="900"/>
      <c r="FE118" s="900"/>
      <c r="FF118" s="900"/>
      <c r="FG118" s="274"/>
      <c r="FH118" s="36"/>
      <c r="FI118" s="900"/>
      <c r="FJ118" s="900"/>
      <c r="FK118" s="900"/>
      <c r="FL118" s="900"/>
      <c r="FM118" s="274"/>
      <c r="FN118" s="1123"/>
      <c r="FO118" s="275"/>
      <c r="FP118" s="188"/>
      <c r="FQ118" s="188"/>
      <c r="FR118" s="188"/>
      <c r="FS118" s="275"/>
      <c r="FT118" s="188"/>
      <c r="FU118" s="188"/>
      <c r="FV118" s="188"/>
      <c r="FW118" s="188"/>
      <c r="FX118" s="188"/>
      <c r="FY118" s="188"/>
      <c r="FZ118" s="188"/>
      <c r="GA118" s="188"/>
      <c r="GB118" s="188"/>
      <c r="GC118" s="188"/>
      <c r="GD118" s="188"/>
      <c r="GE118" s="188"/>
      <c r="GF118" s="188"/>
      <c r="GI118"/>
      <c r="GJ118"/>
      <c r="GK118"/>
      <c r="GL118"/>
      <c r="GM118"/>
      <c r="GN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</row>
    <row r="119" spans="1:281" s="37" customFormat="1" ht="10.5" customHeight="1" collapsed="1" x14ac:dyDescent="0.2">
      <c r="A119" s="247" t="s">
        <v>1267</v>
      </c>
      <c r="B119" s="952"/>
      <c r="C119" s="259"/>
      <c r="D119" s="259"/>
      <c r="E119" s="259"/>
      <c r="F119" s="259"/>
      <c r="G119" s="259"/>
      <c r="H119" s="259"/>
      <c r="I119" s="259"/>
      <c r="J119" s="259"/>
      <c r="K119" s="259"/>
      <c r="L119" s="259"/>
      <c r="M119" s="259"/>
      <c r="N119" s="36"/>
      <c r="O119" s="259"/>
      <c r="P119" s="259"/>
      <c r="Q119" s="259"/>
      <c r="R119" s="259"/>
      <c r="S119" s="259"/>
      <c r="T119" s="36"/>
      <c r="U119" s="259"/>
      <c r="V119" s="259"/>
      <c r="W119" s="259"/>
      <c r="X119" s="259"/>
      <c r="Y119" s="259"/>
      <c r="Z119" s="36"/>
      <c r="AA119" s="259"/>
      <c r="AB119" s="259"/>
      <c r="AC119" s="259"/>
      <c r="AD119" s="259"/>
      <c r="AE119" s="259"/>
      <c r="AF119" s="36"/>
      <c r="AG119" s="259"/>
      <c r="AH119" s="259"/>
      <c r="AI119" s="259"/>
      <c r="AJ119" s="259"/>
      <c r="AK119" s="259"/>
      <c r="AL119" s="36"/>
      <c r="AM119" s="259"/>
      <c r="AN119" s="259"/>
      <c r="AO119" s="259"/>
      <c r="AP119" s="259"/>
      <c r="AQ119" s="259"/>
      <c r="AR119" s="36"/>
      <c r="AS119" s="259"/>
      <c r="AT119" s="259"/>
      <c r="AU119" s="259"/>
      <c r="AV119" s="259"/>
      <c r="AW119" s="259"/>
      <c r="AX119" s="36"/>
      <c r="AY119" s="259"/>
      <c r="AZ119" s="259"/>
      <c r="BA119" s="259"/>
      <c r="BB119" s="259"/>
      <c r="BC119" s="259"/>
      <c r="BD119" s="36"/>
      <c r="BE119" s="236"/>
      <c r="BF119" s="236"/>
      <c r="BG119" s="236"/>
      <c r="BH119" s="236"/>
      <c r="BI119" s="236"/>
      <c r="BJ119" s="36"/>
      <c r="BK119" s="236"/>
      <c r="BL119" s="236"/>
      <c r="BM119" s="236"/>
      <c r="BN119" s="236"/>
      <c r="BO119" s="236"/>
      <c r="BP119" s="36"/>
      <c r="BQ119" s="236"/>
      <c r="BR119" s="236"/>
      <c r="BS119" s="236"/>
      <c r="BT119" s="236"/>
      <c r="BU119" s="236"/>
      <c r="BV119" s="36"/>
      <c r="BW119" s="188"/>
      <c r="BX119" s="188"/>
      <c r="BY119" s="188"/>
      <c r="BZ119" s="188"/>
      <c r="CA119" s="188"/>
      <c r="CB119" s="36"/>
      <c r="CC119" s="188"/>
      <c r="CD119" s="188"/>
      <c r="CE119" s="188"/>
      <c r="CF119" s="188"/>
      <c r="CG119" s="274"/>
      <c r="CH119" s="36"/>
      <c r="CI119" s="188"/>
      <c r="CJ119" s="188"/>
      <c r="CK119" s="188"/>
      <c r="CL119" s="188"/>
      <c r="CM119" s="274"/>
      <c r="CN119" s="36"/>
      <c r="CO119" s="188"/>
      <c r="CP119" s="188"/>
      <c r="CQ119" s="188"/>
      <c r="CR119" s="188"/>
      <c r="CS119" s="274"/>
      <c r="CT119" s="36"/>
      <c r="CU119" s="188"/>
      <c r="CV119" s="188"/>
      <c r="CW119" s="188"/>
      <c r="CX119" s="188"/>
      <c r="CY119" s="274"/>
      <c r="CZ119" s="36"/>
      <c r="DA119" s="188"/>
      <c r="DB119" s="188"/>
      <c r="DC119" s="188"/>
      <c r="DD119" s="188"/>
      <c r="DE119" s="274"/>
      <c r="DF119" s="36"/>
      <c r="DG119" s="188"/>
      <c r="DH119" s="188"/>
      <c r="DI119" s="188"/>
      <c r="DJ119" s="188"/>
      <c r="DK119" s="274"/>
      <c r="DL119" s="36"/>
      <c r="DM119" s="188"/>
      <c r="DN119" s="188"/>
      <c r="DO119" s="188"/>
      <c r="DP119" s="188"/>
      <c r="DQ119" s="274"/>
      <c r="DR119" s="36"/>
      <c r="DS119" s="188"/>
      <c r="DT119" s="188"/>
      <c r="DU119" s="188"/>
      <c r="DV119" s="188"/>
      <c r="DW119" s="274"/>
      <c r="DX119" s="36"/>
      <c r="DY119" s="188"/>
      <c r="DZ119" s="188"/>
      <c r="EA119" s="188"/>
      <c r="EB119" s="188"/>
      <c r="EC119" s="274"/>
      <c r="ED119" s="36"/>
      <c r="EE119" s="188"/>
      <c r="EF119" s="188"/>
      <c r="EG119" s="188"/>
      <c r="EH119" s="188"/>
      <c r="EI119" s="274"/>
      <c r="EJ119" s="36"/>
      <c r="EK119" s="1662"/>
      <c r="EL119" s="1662"/>
      <c r="EM119" s="1662"/>
      <c r="EN119" s="243">
        <f>131-1</f>
        <v>130</v>
      </c>
      <c r="EO119" s="1663"/>
      <c r="EP119" s="1539"/>
      <c r="EQ119" s="243">
        <v>131</v>
      </c>
      <c r="ER119" s="243">
        <v>155</v>
      </c>
      <c r="ES119" s="243">
        <v>174</v>
      </c>
      <c r="ET119" s="243">
        <f>214-2</f>
        <v>212</v>
      </c>
      <c r="EU119" s="174">
        <f>SUM(EQ119:ET119)</f>
        <v>672</v>
      </c>
      <c r="EV119" s="36"/>
      <c r="EW119" s="243">
        <v>225</v>
      </c>
      <c r="EX119" s="243">
        <v>239</v>
      </c>
      <c r="EY119" s="243">
        <v>272</v>
      </c>
      <c r="EZ119" s="243">
        <f t="shared" ref="EZ119" si="74">EZ116+EZ113</f>
        <v>290.10059999999999</v>
      </c>
      <c r="FA119" s="174">
        <f>SUM(EW119:EZ119)</f>
        <v>1026.1006</v>
      </c>
      <c r="FB119" s="36"/>
      <c r="FC119" s="243">
        <f>FC116+FC113</f>
        <v>298.91836799999999</v>
      </c>
      <c r="FD119" s="243">
        <f t="shared" ref="FD119:FF119" si="75">FD116+FD113</f>
        <v>302.30549999999999</v>
      </c>
      <c r="FE119" s="243">
        <f t="shared" si="75"/>
        <v>307.06209999999999</v>
      </c>
      <c r="FF119" s="243">
        <f t="shared" si="75"/>
        <v>315.35439600000007</v>
      </c>
      <c r="FG119" s="174">
        <f>SUM(FC119:FF119)</f>
        <v>1223.6403640000001</v>
      </c>
      <c r="FH119" s="36"/>
      <c r="FI119" s="243">
        <f>FI116+FI113</f>
        <v>322.27103999999997</v>
      </c>
      <c r="FJ119" s="243">
        <f t="shared" ref="FJ119:FL119" si="76">FJ116+FJ113</f>
        <v>330.44252500000005</v>
      </c>
      <c r="FK119" s="243">
        <f t="shared" si="76"/>
        <v>340.66078749999997</v>
      </c>
      <c r="FL119" s="243">
        <f t="shared" si="76"/>
        <v>361.04544000000004</v>
      </c>
      <c r="FM119" s="174">
        <f>SUM(FI119:FL119)</f>
        <v>1354.4197925000001</v>
      </c>
      <c r="FN119" s="1123"/>
      <c r="FO119" s="275"/>
      <c r="FP119" s="188"/>
      <c r="FQ119" s="188"/>
      <c r="FR119" s="188"/>
      <c r="FS119" s="275"/>
      <c r="FT119" s="188"/>
      <c r="FU119" s="188"/>
      <c r="FV119" s="188"/>
      <c r="FW119" s="188"/>
      <c r="FX119" s="188"/>
      <c r="FY119" s="188"/>
      <c r="FZ119" s="188"/>
      <c r="GA119" s="188"/>
      <c r="GB119" s="188"/>
      <c r="GC119" s="188"/>
      <c r="GD119" s="188"/>
      <c r="GE119" s="188"/>
      <c r="GF119" s="188"/>
      <c r="GI119"/>
      <c r="GJ119"/>
      <c r="GK119"/>
      <c r="GL119"/>
      <c r="GM119"/>
      <c r="GN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</row>
    <row r="120" spans="1:281" s="37" customFormat="1" ht="10.5" customHeight="1" x14ac:dyDescent="0.2">
      <c r="A120" s="247" t="s">
        <v>1251</v>
      </c>
      <c r="B120" s="952"/>
      <c r="C120" s="259"/>
      <c r="D120" s="259"/>
      <c r="E120" s="259"/>
      <c r="F120" s="259"/>
      <c r="G120" s="259"/>
      <c r="H120" s="259"/>
      <c r="I120" s="259"/>
      <c r="J120" s="259"/>
      <c r="K120" s="259"/>
      <c r="L120" s="259"/>
      <c r="M120" s="259"/>
      <c r="N120" s="36"/>
      <c r="O120" s="259"/>
      <c r="P120" s="259"/>
      <c r="Q120" s="259"/>
      <c r="R120" s="259"/>
      <c r="S120" s="259"/>
      <c r="T120" s="36"/>
      <c r="U120" s="259"/>
      <c r="V120" s="259"/>
      <c r="W120" s="259"/>
      <c r="X120" s="259"/>
      <c r="Y120" s="259"/>
      <c r="Z120" s="36"/>
      <c r="AA120" s="259"/>
      <c r="AB120" s="259"/>
      <c r="AC120" s="259"/>
      <c r="AD120" s="259"/>
      <c r="AE120" s="259"/>
      <c r="AF120" s="36"/>
      <c r="AG120" s="259"/>
      <c r="AH120" s="259"/>
      <c r="AI120" s="259"/>
      <c r="AJ120" s="259"/>
      <c r="AK120" s="259"/>
      <c r="AL120" s="36"/>
      <c r="AM120" s="259"/>
      <c r="AN120" s="259"/>
      <c r="AO120" s="259"/>
      <c r="AP120" s="259"/>
      <c r="AQ120" s="259"/>
      <c r="AR120" s="36"/>
      <c r="AS120" s="259"/>
      <c r="AT120" s="259"/>
      <c r="AU120" s="259"/>
      <c r="AV120" s="259"/>
      <c r="AW120" s="259"/>
      <c r="AX120" s="36"/>
      <c r="AY120" s="259"/>
      <c r="AZ120" s="259"/>
      <c r="BA120" s="259"/>
      <c r="BB120" s="259"/>
      <c r="BC120" s="259"/>
      <c r="BD120" s="36"/>
      <c r="BE120" s="236"/>
      <c r="BF120" s="236"/>
      <c r="BG120" s="236"/>
      <c r="BH120" s="236"/>
      <c r="BI120" s="236"/>
      <c r="BJ120" s="36"/>
      <c r="BK120" s="236"/>
      <c r="BL120" s="236"/>
      <c r="BM120" s="236"/>
      <c r="BN120" s="236"/>
      <c r="BO120" s="236"/>
      <c r="BP120" s="36"/>
      <c r="BQ120" s="236"/>
      <c r="BR120" s="236"/>
      <c r="BS120" s="236"/>
      <c r="BT120" s="236"/>
      <c r="BU120" s="236"/>
      <c r="BV120" s="36"/>
      <c r="BW120" s="188"/>
      <c r="BX120" s="188"/>
      <c r="BY120" s="188"/>
      <c r="BZ120" s="188"/>
      <c r="CA120" s="188"/>
      <c r="CB120" s="36"/>
      <c r="CC120" s="188"/>
      <c r="CD120" s="188"/>
      <c r="CE120" s="188"/>
      <c r="CF120" s="188"/>
      <c r="CG120" s="274"/>
      <c r="CH120" s="36"/>
      <c r="CI120" s="188"/>
      <c r="CJ120" s="188"/>
      <c r="CK120" s="188"/>
      <c r="CL120" s="188"/>
      <c r="CM120" s="274"/>
      <c r="CN120" s="36"/>
      <c r="CO120" s="188"/>
      <c r="CP120" s="188"/>
      <c r="CQ120" s="188"/>
      <c r="CR120" s="188"/>
      <c r="CS120" s="274"/>
      <c r="CT120" s="36"/>
      <c r="CU120" s="188"/>
      <c r="CV120" s="188"/>
      <c r="CW120" s="188"/>
      <c r="CX120" s="188"/>
      <c r="CY120" s="274"/>
      <c r="CZ120" s="36"/>
      <c r="DA120" s="188"/>
      <c r="DB120" s="188"/>
      <c r="DC120" s="188"/>
      <c r="DD120" s="188"/>
      <c r="DE120" s="274"/>
      <c r="DF120" s="36"/>
      <c r="DG120" s="188"/>
      <c r="DH120" s="188"/>
      <c r="DI120" s="188"/>
      <c r="DJ120" s="188"/>
      <c r="DK120" s="274"/>
      <c r="DL120" s="36"/>
      <c r="DM120" s="188"/>
      <c r="DN120" s="188"/>
      <c r="DO120" s="188"/>
      <c r="DP120" s="188"/>
      <c r="DQ120" s="274"/>
      <c r="DR120" s="36"/>
      <c r="DS120" s="188"/>
      <c r="DT120" s="188"/>
      <c r="DU120" s="188"/>
      <c r="DV120" s="188"/>
      <c r="DW120" s="274"/>
      <c r="DX120" s="36"/>
      <c r="DY120" s="188"/>
      <c r="DZ120" s="188"/>
      <c r="EA120" s="188"/>
      <c r="EB120" s="188"/>
      <c r="EC120" s="274"/>
      <c r="ED120" s="36"/>
      <c r="EE120" s="188"/>
      <c r="EF120" s="188"/>
      <c r="EG120" s="188"/>
      <c r="EH120" s="188"/>
      <c r="EI120" s="274"/>
      <c r="EJ120" s="36"/>
      <c r="EK120" s="1662"/>
      <c r="EL120" s="1662"/>
      <c r="EM120" s="1662"/>
      <c r="EN120" s="1662">
        <f>1-EN119/(EN32)</f>
        <v>0.54063604240282692</v>
      </c>
      <c r="EO120" s="1663"/>
      <c r="EP120" s="1539"/>
      <c r="EQ120" s="1662">
        <f>1-EQ119/(EQ32)</f>
        <v>0.58012820512820507</v>
      </c>
      <c r="ER120" s="1662">
        <f>1-ER119/(ER32)</f>
        <v>0.52743902439024393</v>
      </c>
      <c r="ES120" s="1662">
        <f>1-ES119/(ES32)</f>
        <v>0.46296296296296291</v>
      </c>
      <c r="ET120" s="1662">
        <f>1-ET119/(ET32)</f>
        <v>0.47394540942928043</v>
      </c>
      <c r="EU120" s="274">
        <f>1-EU119/(EU32)</f>
        <v>0.5084125822970007</v>
      </c>
      <c r="EV120" s="36"/>
      <c r="EW120" s="1662">
        <f>1-EW119/(EW32)</f>
        <v>0.44168734491315131</v>
      </c>
      <c r="EX120" s="1662">
        <f>1-EX119/(EX32)</f>
        <v>0.39949748743718594</v>
      </c>
      <c r="EY120" s="1662">
        <f>1-EY119/(EY32)</f>
        <v>0.34615384615384615</v>
      </c>
      <c r="EZ120" s="188">
        <f>1-EZ119/(EZ32)</f>
        <v>0.37011334028139664</v>
      </c>
      <c r="FA120" s="274">
        <f>1-FA119/(FA32)</f>
        <v>0.38833746632013166</v>
      </c>
      <c r="FB120" s="36"/>
      <c r="FC120" s="188">
        <f>1-FC119/(FC32)</f>
        <v>0.3594196428571429</v>
      </c>
      <c r="FD120" s="188">
        <f>1-FD119/(FD32)</f>
        <v>0.3505789473684211</v>
      </c>
      <c r="FE120" s="188">
        <f>1-FE119/(FE32)</f>
        <v>0.36470129413346863</v>
      </c>
      <c r="FF120" s="188">
        <f>1-FF119/(FF32)</f>
        <v>0.40410168092569942</v>
      </c>
      <c r="FG120" s="274">
        <f>1-FG119/(FG32)</f>
        <v>0.37077553214148007</v>
      </c>
      <c r="FH120" s="36"/>
      <c r="FI120" s="188">
        <f>1-FI119/(FI32)</f>
        <v>0.42405063291139244</v>
      </c>
      <c r="FJ120" s="188">
        <f>1-FJ119/(FJ32)</f>
        <v>0.40818560772268531</v>
      </c>
      <c r="FK120" s="188">
        <f>1-FK119/(FK32)</f>
        <v>0.41189206277959167</v>
      </c>
      <c r="FL120" s="188">
        <f>1-FL119/(FL32)</f>
        <v>0.43134034230766938</v>
      </c>
      <c r="FM120" s="274">
        <f>1-FM119/(FM32)</f>
        <v>0.41921675839275807</v>
      </c>
      <c r="FN120" s="1123"/>
      <c r="FO120" s="275"/>
      <c r="FP120" s="188"/>
      <c r="FQ120" s="188"/>
      <c r="FR120" s="188"/>
      <c r="FS120" s="275"/>
      <c r="FT120" s="188"/>
      <c r="FU120" s="188"/>
      <c r="FV120" s="188"/>
      <c r="FW120" s="188"/>
      <c r="FX120" s="188"/>
      <c r="FY120" s="188"/>
      <c r="FZ120" s="188"/>
      <c r="GA120" s="188"/>
      <c r="GB120" s="188"/>
      <c r="GC120" s="188"/>
      <c r="GD120" s="188"/>
      <c r="GE120" s="188"/>
      <c r="GF120" s="188"/>
      <c r="GI120"/>
      <c r="GJ120"/>
      <c r="GK120"/>
      <c r="GL120"/>
      <c r="GM120"/>
      <c r="GN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</row>
    <row r="121" spans="1:281" s="37" customFormat="1" ht="8.1" hidden="1" customHeight="1" outlineLevel="1" x14ac:dyDescent="0.2">
      <c r="A121" s="247"/>
      <c r="B121" s="952"/>
      <c r="C121" s="259"/>
      <c r="D121" s="259"/>
      <c r="E121" s="259"/>
      <c r="F121" s="259"/>
      <c r="G121" s="259"/>
      <c r="H121" s="259"/>
      <c r="I121" s="259"/>
      <c r="J121" s="259"/>
      <c r="K121" s="259"/>
      <c r="L121" s="259"/>
      <c r="M121" s="259"/>
      <c r="N121" s="36"/>
      <c r="O121" s="259"/>
      <c r="P121" s="259"/>
      <c r="Q121" s="259"/>
      <c r="R121" s="259"/>
      <c r="S121" s="259"/>
      <c r="T121" s="36"/>
      <c r="U121" s="259"/>
      <c r="V121" s="259"/>
      <c r="W121" s="259"/>
      <c r="X121" s="259"/>
      <c r="Y121" s="259"/>
      <c r="Z121" s="36"/>
      <c r="AA121" s="259"/>
      <c r="AB121" s="259"/>
      <c r="AC121" s="259"/>
      <c r="AD121" s="259"/>
      <c r="AE121" s="259"/>
      <c r="AF121" s="36"/>
      <c r="AG121" s="259"/>
      <c r="AH121" s="259"/>
      <c r="AI121" s="259"/>
      <c r="AJ121" s="259"/>
      <c r="AK121" s="259"/>
      <c r="AL121" s="36"/>
      <c r="AM121" s="259"/>
      <c r="AN121" s="259"/>
      <c r="AO121" s="259"/>
      <c r="AP121" s="259"/>
      <c r="AQ121" s="259"/>
      <c r="AR121" s="36"/>
      <c r="AS121" s="259"/>
      <c r="AT121" s="259"/>
      <c r="AU121" s="259"/>
      <c r="AV121" s="259"/>
      <c r="AW121" s="259"/>
      <c r="AX121" s="36"/>
      <c r="AY121" s="259"/>
      <c r="AZ121" s="259"/>
      <c r="BA121" s="259"/>
      <c r="BB121" s="259"/>
      <c r="BC121" s="259"/>
      <c r="BD121" s="36"/>
      <c r="BE121" s="236"/>
      <c r="BF121" s="236"/>
      <c r="BG121" s="236"/>
      <c r="BH121" s="236"/>
      <c r="BI121" s="236"/>
      <c r="BJ121" s="36"/>
      <c r="BK121" s="236"/>
      <c r="BL121" s="236"/>
      <c r="BM121" s="236"/>
      <c r="BN121" s="236"/>
      <c r="BO121" s="236"/>
      <c r="BP121" s="36"/>
      <c r="BQ121" s="236"/>
      <c r="BR121" s="236"/>
      <c r="BS121" s="236"/>
      <c r="BT121" s="236"/>
      <c r="BU121" s="236"/>
      <c r="BV121" s="36"/>
      <c r="BW121" s="188"/>
      <c r="BX121" s="188"/>
      <c r="BY121" s="188"/>
      <c r="BZ121" s="188"/>
      <c r="CA121" s="188"/>
      <c r="CB121" s="36"/>
      <c r="CC121" s="188"/>
      <c r="CD121" s="188"/>
      <c r="CE121" s="188"/>
      <c r="CF121" s="188"/>
      <c r="CG121" s="274"/>
      <c r="CH121" s="36"/>
      <c r="CI121" s="188"/>
      <c r="CJ121" s="188"/>
      <c r="CK121" s="188"/>
      <c r="CL121" s="188"/>
      <c r="CM121" s="274"/>
      <c r="CN121" s="36"/>
      <c r="CO121" s="188"/>
      <c r="CP121" s="188"/>
      <c r="CQ121" s="188"/>
      <c r="CR121" s="188"/>
      <c r="CS121" s="274"/>
      <c r="CT121" s="36"/>
      <c r="CU121" s="188"/>
      <c r="CV121" s="188"/>
      <c r="CW121" s="188"/>
      <c r="CX121" s="188"/>
      <c r="CY121" s="274"/>
      <c r="CZ121" s="36"/>
      <c r="DA121" s="188"/>
      <c r="DB121" s="188"/>
      <c r="DC121" s="188"/>
      <c r="DD121" s="188"/>
      <c r="DE121" s="274"/>
      <c r="DF121" s="36"/>
      <c r="DG121" s="188"/>
      <c r="DH121" s="188"/>
      <c r="DI121" s="188"/>
      <c r="DJ121" s="188"/>
      <c r="DK121" s="274"/>
      <c r="DL121" s="36"/>
      <c r="DM121" s="188"/>
      <c r="DN121" s="188"/>
      <c r="DO121" s="188"/>
      <c r="DP121" s="188"/>
      <c r="DQ121" s="274"/>
      <c r="DR121" s="36"/>
      <c r="DS121" s="188"/>
      <c r="DT121" s="188"/>
      <c r="DU121" s="188"/>
      <c r="DV121" s="188"/>
      <c r="DW121" s="274"/>
      <c r="DX121" s="36"/>
      <c r="DY121" s="188"/>
      <c r="DZ121" s="188"/>
      <c r="EA121" s="188"/>
      <c r="EB121" s="188"/>
      <c r="EC121" s="274"/>
      <c r="ED121" s="36"/>
      <c r="EE121" s="188"/>
      <c r="EF121" s="188"/>
      <c r="EG121" s="188"/>
      <c r="EH121" s="188"/>
      <c r="EI121" s="274"/>
      <c r="EJ121" s="36"/>
      <c r="EK121" s="188"/>
      <c r="EL121" s="900"/>
      <c r="EM121" s="900"/>
      <c r="EN121" s="900"/>
      <c r="EO121" s="274"/>
      <c r="EP121" s="36"/>
      <c r="EQ121" s="188"/>
      <c r="ER121" s="900"/>
      <c r="ES121" s="900"/>
      <c r="ET121" s="900"/>
      <c r="EU121" s="274"/>
      <c r="EV121" s="36"/>
      <c r="EW121" s="188"/>
      <c r="EX121" s="900"/>
      <c r="EY121" s="900"/>
      <c r="EZ121" s="900"/>
      <c r="FA121" s="274"/>
      <c r="FB121" s="36"/>
      <c r="FC121" s="900"/>
      <c r="FD121" s="900"/>
      <c r="FE121" s="900"/>
      <c r="FF121" s="900"/>
      <c r="FG121" s="274"/>
      <c r="FH121" s="36"/>
      <c r="FI121" s="900"/>
      <c r="FJ121" s="900"/>
      <c r="FK121" s="900"/>
      <c r="FL121" s="900"/>
      <c r="FM121" s="274"/>
      <c r="FN121" s="1123"/>
      <c r="FO121" s="275"/>
      <c r="FP121" s="188"/>
      <c r="FQ121" s="188"/>
      <c r="FR121" s="188"/>
      <c r="FS121" s="275"/>
      <c r="FT121" s="188"/>
      <c r="FU121" s="188"/>
      <c r="FV121" s="188"/>
      <c r="FW121" s="188"/>
      <c r="FX121" s="188"/>
      <c r="FY121" s="188"/>
      <c r="FZ121" s="188"/>
      <c r="GA121" s="188"/>
      <c r="GB121" s="188"/>
      <c r="GC121" s="188"/>
      <c r="GD121" s="188"/>
      <c r="GE121" s="188"/>
      <c r="GF121" s="188"/>
      <c r="GI121"/>
      <c r="GJ121"/>
      <c r="GK121"/>
      <c r="GL121"/>
      <c r="GM121"/>
      <c r="GN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</row>
    <row r="122" spans="1:281" s="37" customFormat="1" ht="10.5" hidden="1" customHeight="1" outlineLevel="1" x14ac:dyDescent="0.2">
      <c r="A122" s="273" t="s">
        <v>1268</v>
      </c>
      <c r="B122" s="952"/>
      <c r="C122" s="259"/>
      <c r="D122" s="259"/>
      <c r="E122" s="259"/>
      <c r="F122" s="259"/>
      <c r="G122" s="259"/>
      <c r="H122" s="259"/>
      <c r="I122" s="259"/>
      <c r="J122" s="259"/>
      <c r="K122" s="259"/>
      <c r="L122" s="259"/>
      <c r="M122" s="259"/>
      <c r="N122" s="36"/>
      <c r="O122" s="259"/>
      <c r="P122" s="259"/>
      <c r="Q122" s="259"/>
      <c r="R122" s="259"/>
      <c r="S122" s="259"/>
      <c r="T122" s="36"/>
      <c r="U122" s="259"/>
      <c r="V122" s="259"/>
      <c r="W122" s="259"/>
      <c r="X122" s="259"/>
      <c r="Y122" s="259"/>
      <c r="Z122" s="36"/>
      <c r="AA122" s="259"/>
      <c r="AB122" s="259"/>
      <c r="AC122" s="259"/>
      <c r="AD122" s="259"/>
      <c r="AE122" s="259"/>
      <c r="AF122" s="36"/>
      <c r="AG122" s="259"/>
      <c r="AH122" s="259"/>
      <c r="AI122" s="259"/>
      <c r="AJ122" s="259"/>
      <c r="AK122" s="259"/>
      <c r="AL122" s="36"/>
      <c r="AM122" s="259"/>
      <c r="AN122" s="259"/>
      <c r="AO122" s="259"/>
      <c r="AP122" s="259"/>
      <c r="AQ122" s="259"/>
      <c r="AR122" s="36"/>
      <c r="AS122" s="259"/>
      <c r="AT122" s="259"/>
      <c r="AU122" s="259"/>
      <c r="AV122" s="259"/>
      <c r="AW122" s="259"/>
      <c r="AX122" s="36"/>
      <c r="AY122" s="259"/>
      <c r="AZ122" s="259"/>
      <c r="BA122" s="259"/>
      <c r="BB122" s="259"/>
      <c r="BC122" s="259"/>
      <c r="BD122" s="36"/>
      <c r="BE122" s="236"/>
      <c r="BF122" s="236"/>
      <c r="BG122" s="236"/>
      <c r="BH122" s="236"/>
      <c r="BI122" s="236"/>
      <c r="BJ122" s="36"/>
      <c r="BK122" s="236"/>
      <c r="BL122" s="236"/>
      <c r="BM122" s="236"/>
      <c r="BN122" s="236"/>
      <c r="BO122" s="236"/>
      <c r="BP122" s="36"/>
      <c r="BQ122" s="236"/>
      <c r="BR122" s="236"/>
      <c r="BS122" s="236"/>
      <c r="BT122" s="236"/>
      <c r="BU122" s="236"/>
      <c r="BV122" s="36"/>
      <c r="BW122" s="188"/>
      <c r="BX122" s="188"/>
      <c r="BY122" s="188"/>
      <c r="BZ122" s="188"/>
      <c r="CA122" s="188"/>
      <c r="CB122" s="36"/>
      <c r="CC122" s="188"/>
      <c r="CD122" s="188"/>
      <c r="CE122" s="188"/>
      <c r="CF122" s="188"/>
      <c r="CG122" s="274"/>
      <c r="CH122" s="36"/>
      <c r="CI122" s="188"/>
      <c r="CJ122" s="188"/>
      <c r="CK122" s="188"/>
      <c r="CL122" s="188"/>
      <c r="CM122" s="274"/>
      <c r="CN122" s="36"/>
      <c r="CO122" s="188"/>
      <c r="CP122" s="188"/>
      <c r="CQ122" s="188"/>
      <c r="CR122" s="188"/>
      <c r="CS122" s="274"/>
      <c r="CT122" s="36"/>
      <c r="CU122" s="188"/>
      <c r="CV122" s="188"/>
      <c r="CW122" s="188"/>
      <c r="CX122" s="188"/>
      <c r="CY122" s="174"/>
      <c r="CZ122" s="60"/>
      <c r="DA122" s="243"/>
      <c r="DB122" s="243"/>
      <c r="DC122" s="243"/>
      <c r="DD122" s="243"/>
      <c r="DE122" s="174"/>
      <c r="DF122" s="60"/>
      <c r="DG122" s="243"/>
      <c r="DH122" s="243"/>
      <c r="DI122" s="243"/>
      <c r="DJ122" s="243"/>
      <c r="DK122" s="174"/>
      <c r="DL122" s="60"/>
      <c r="DM122" s="243"/>
      <c r="DN122" s="243"/>
      <c r="DO122" s="243"/>
      <c r="DP122" s="243"/>
      <c r="DQ122" s="174"/>
      <c r="DR122" s="60"/>
      <c r="DS122" s="243"/>
      <c r="DT122" s="243"/>
      <c r="DU122" s="243"/>
      <c r="DV122" s="243">
        <f>101-2</f>
        <v>99</v>
      </c>
      <c r="DW122" s="174"/>
      <c r="DX122" s="60"/>
      <c r="DY122" s="243">
        <f>102-2</f>
        <v>100</v>
      </c>
      <c r="DZ122" s="243">
        <f>104-2</f>
        <v>102</v>
      </c>
      <c r="EA122" s="243">
        <f>112-2</f>
        <v>110</v>
      </c>
      <c r="EB122" s="243">
        <f>137-3</f>
        <v>134</v>
      </c>
      <c r="EC122" s="174">
        <f>SUM(DY122:EB122)</f>
        <v>446</v>
      </c>
      <c r="ED122" s="60"/>
      <c r="EE122" s="243">
        <f>149-2</f>
        <v>147</v>
      </c>
      <c r="EF122" s="243">
        <f>165-3</f>
        <v>162</v>
      </c>
      <c r="EG122" s="243">
        <f>203-3</f>
        <v>200</v>
      </c>
      <c r="EH122" s="243">
        <f>256-3</f>
        <v>253</v>
      </c>
      <c r="EI122" s="174">
        <f>SUM(EE122:EH122)</f>
        <v>762</v>
      </c>
      <c r="EJ122" s="60"/>
      <c r="EK122" s="243">
        <f>276-4</f>
        <v>272</v>
      </c>
      <c r="EL122" s="243">
        <f>280-4</f>
        <v>276</v>
      </c>
      <c r="EM122" s="243">
        <v>288</v>
      </c>
      <c r="EN122" s="243">
        <f>304-4</f>
        <v>300</v>
      </c>
      <c r="EO122" s="174">
        <f>SUM(EK122:EN122)</f>
        <v>1136</v>
      </c>
      <c r="EP122" s="60"/>
      <c r="EQ122" s="243">
        <f>319-5</f>
        <v>314</v>
      </c>
      <c r="ER122" s="243">
        <f>361-6</f>
        <v>355</v>
      </c>
      <c r="ES122" s="243">
        <f>380-6</f>
        <v>374</v>
      </c>
      <c r="ET122" s="243">
        <f>ET35*(1-ET124)</f>
        <v>406.64</v>
      </c>
      <c r="EU122" s="174">
        <f>SUM(EQ122:ET122)</f>
        <v>1449.6399999999999</v>
      </c>
      <c r="EV122" s="60"/>
      <c r="EW122" s="243">
        <f>EW110+EW113</f>
        <v>428.84960000000001</v>
      </c>
      <c r="EX122" s="243">
        <f>EX110+EX113</f>
        <v>460.2</v>
      </c>
      <c r="EY122" s="243">
        <f>EY110+EY113</f>
        <v>483.22500000000002</v>
      </c>
      <c r="EZ122" s="243">
        <f t="shared" ref="EZ122" si="77">EZ110+EZ113</f>
        <v>507.36764999999991</v>
      </c>
      <c r="FA122" s="174">
        <f>SUM(EW122:EZ122)</f>
        <v>1879.6422500000001</v>
      </c>
      <c r="FB122" s="60"/>
      <c r="FC122" s="243">
        <f>FC110+FC113</f>
        <v>515.09403000000009</v>
      </c>
      <c r="FD122" s="243">
        <f t="shared" ref="FD122:FF122" si="78">FD110+FD113</f>
        <v>533.77750000000015</v>
      </c>
      <c r="FE122" s="243">
        <f t="shared" si="78"/>
        <v>543.13710000000003</v>
      </c>
      <c r="FF122" s="243">
        <f t="shared" si="78"/>
        <v>560.54628000000002</v>
      </c>
      <c r="FG122" s="174">
        <f>SUM(FC122:FF122)</f>
        <v>2152.5549100000003</v>
      </c>
      <c r="FH122" s="60"/>
      <c r="FI122" s="243">
        <f>FI110+FI113</f>
        <v>577.88321250000013</v>
      </c>
      <c r="FJ122" s="243">
        <f t="shared" ref="FJ122:FL122" si="79">FJ110+FJ113</f>
        <v>594.75516500000003</v>
      </c>
      <c r="FK122" s="243">
        <f t="shared" si="79"/>
        <v>600.17388750000009</v>
      </c>
      <c r="FL122" s="243">
        <f t="shared" si="79"/>
        <v>618.91290449999997</v>
      </c>
      <c r="FM122" s="174">
        <f>SUM(FI122:FL122)</f>
        <v>2391.7251695000004</v>
      </c>
      <c r="FN122" s="226"/>
      <c r="FO122" s="245"/>
      <c r="FP122" s="243"/>
      <c r="FQ122" s="243"/>
      <c r="FR122" s="243"/>
      <c r="FS122" s="245"/>
      <c r="FT122" s="243"/>
      <c r="FU122" s="243"/>
      <c r="FV122" s="243"/>
      <c r="FW122" s="243"/>
      <c r="FX122" s="243"/>
      <c r="FY122" s="243"/>
      <c r="FZ122" s="243"/>
      <c r="GA122" s="243"/>
      <c r="GB122" s="243"/>
      <c r="GC122" s="243"/>
      <c r="GD122" s="243"/>
      <c r="GE122" s="243"/>
      <c r="GF122" s="243"/>
      <c r="GI122"/>
      <c r="GJ122"/>
      <c r="GK122"/>
      <c r="GL122"/>
      <c r="GM122"/>
      <c r="GN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</row>
    <row r="123" spans="1:281" s="37" customFormat="1" ht="10.5" hidden="1" customHeight="1" outlineLevel="1" x14ac:dyDescent="0.2">
      <c r="A123" s="273"/>
      <c r="B123" s="952"/>
      <c r="C123" s="259"/>
      <c r="D123" s="259"/>
      <c r="E123" s="259"/>
      <c r="F123" s="259"/>
      <c r="G123" s="259"/>
      <c r="H123" s="259"/>
      <c r="I123" s="259"/>
      <c r="J123" s="259"/>
      <c r="K123" s="259"/>
      <c r="L123" s="259"/>
      <c r="M123" s="259"/>
      <c r="N123" s="36"/>
      <c r="O123" s="259"/>
      <c r="P123" s="259"/>
      <c r="Q123" s="259"/>
      <c r="R123" s="259"/>
      <c r="S123" s="259"/>
      <c r="T123" s="36"/>
      <c r="U123" s="259"/>
      <c r="V123" s="259"/>
      <c r="W123" s="259"/>
      <c r="X123" s="259"/>
      <c r="Y123" s="259"/>
      <c r="Z123" s="36"/>
      <c r="AA123" s="259"/>
      <c r="AB123" s="259"/>
      <c r="AC123" s="259"/>
      <c r="AD123" s="259"/>
      <c r="AE123" s="259"/>
      <c r="AF123" s="36"/>
      <c r="AG123" s="259"/>
      <c r="AH123" s="259"/>
      <c r="AI123" s="259"/>
      <c r="AJ123" s="259"/>
      <c r="AK123" s="259"/>
      <c r="AL123" s="36"/>
      <c r="AM123" s="259"/>
      <c r="AN123" s="259"/>
      <c r="AO123" s="259"/>
      <c r="AP123" s="259"/>
      <c r="AQ123" s="259"/>
      <c r="AR123" s="36"/>
      <c r="AS123" s="259"/>
      <c r="AT123" s="259"/>
      <c r="AU123" s="259"/>
      <c r="AV123" s="259"/>
      <c r="AW123" s="259"/>
      <c r="AX123" s="36"/>
      <c r="AY123" s="259"/>
      <c r="AZ123" s="259"/>
      <c r="BA123" s="259"/>
      <c r="BB123" s="259"/>
      <c r="BC123" s="259"/>
      <c r="BD123" s="36"/>
      <c r="BE123" s="236"/>
      <c r="BF123" s="236"/>
      <c r="BG123" s="236"/>
      <c r="BH123" s="236"/>
      <c r="BI123" s="236"/>
      <c r="BJ123" s="36"/>
      <c r="BK123" s="236"/>
      <c r="BL123" s="236"/>
      <c r="BM123" s="236"/>
      <c r="BN123" s="236"/>
      <c r="BO123" s="236"/>
      <c r="BP123" s="36"/>
      <c r="BQ123" s="236"/>
      <c r="BR123" s="236"/>
      <c r="BS123" s="236"/>
      <c r="BT123" s="236"/>
      <c r="BU123" s="236"/>
      <c r="BV123" s="36"/>
      <c r="BW123" s="188"/>
      <c r="BX123" s="188"/>
      <c r="BY123" s="188"/>
      <c r="BZ123" s="188"/>
      <c r="CA123" s="188"/>
      <c r="CB123" s="36"/>
      <c r="CC123" s="188"/>
      <c r="CD123" s="188"/>
      <c r="CE123" s="188"/>
      <c r="CF123" s="188"/>
      <c r="CG123" s="274"/>
      <c r="CH123" s="36"/>
      <c r="CI123" s="188"/>
      <c r="CJ123" s="188"/>
      <c r="CK123" s="188"/>
      <c r="CL123" s="188"/>
      <c r="CM123" s="274"/>
      <c r="CN123" s="36"/>
      <c r="CO123" s="188"/>
      <c r="CP123" s="188"/>
      <c r="CQ123" s="188"/>
      <c r="CR123" s="188"/>
      <c r="CS123" s="274"/>
      <c r="CT123" s="36"/>
      <c r="CU123" s="188"/>
      <c r="CV123" s="188"/>
      <c r="CW123" s="188"/>
      <c r="CX123" s="188"/>
      <c r="CY123" s="174"/>
      <c r="CZ123" s="60"/>
      <c r="DA123" s="243"/>
      <c r="DB123" s="243"/>
      <c r="DC123" s="243"/>
      <c r="DD123" s="243"/>
      <c r="DE123" s="174"/>
      <c r="DF123" s="60"/>
      <c r="DG123" s="243"/>
      <c r="DH123" s="243"/>
      <c r="DI123" s="243"/>
      <c r="DJ123" s="243"/>
      <c r="DK123" s="174"/>
      <c r="DL123" s="60"/>
      <c r="DM123" s="243"/>
      <c r="DN123" s="243"/>
      <c r="DO123" s="243"/>
      <c r="DP123" s="243"/>
      <c r="DQ123" s="174"/>
      <c r="DR123" s="60"/>
      <c r="DS123" s="243"/>
      <c r="DT123" s="243"/>
      <c r="DU123" s="243"/>
      <c r="DV123" s="243"/>
      <c r="DW123" s="174"/>
      <c r="DX123" s="60"/>
      <c r="DY123" s="243"/>
      <c r="DZ123" s="243"/>
      <c r="EA123" s="243"/>
      <c r="EB123" s="243"/>
      <c r="EC123" s="174"/>
      <c r="ED123" s="60"/>
      <c r="EE123" s="243"/>
      <c r="EF123" s="243"/>
      <c r="EG123" s="243"/>
      <c r="EH123" s="243"/>
      <c r="EI123" s="174"/>
      <c r="EJ123" s="60"/>
      <c r="EK123" s="243"/>
      <c r="EL123" s="243"/>
      <c r="EM123" s="243"/>
      <c r="EN123" s="243"/>
      <c r="EO123" s="174"/>
      <c r="EP123" s="60"/>
      <c r="EQ123" s="243"/>
      <c r="ER123" s="243"/>
      <c r="ES123" s="243"/>
      <c r="ET123" s="243"/>
      <c r="EU123" s="174"/>
      <c r="EV123" s="60"/>
      <c r="EW123" s="243"/>
      <c r="EX123" s="243"/>
      <c r="EY123" s="243"/>
      <c r="EZ123" s="243"/>
      <c r="FA123" s="174"/>
      <c r="FB123" s="60"/>
      <c r="FC123" s="243"/>
      <c r="FD123" s="243"/>
      <c r="FE123" s="243"/>
      <c r="FF123" s="243"/>
      <c r="FG123" s="174"/>
      <c r="FH123" s="60"/>
      <c r="FI123" s="243"/>
      <c r="FJ123" s="243"/>
      <c r="FK123" s="243"/>
      <c r="FL123" s="243"/>
      <c r="FM123" s="174"/>
      <c r="FN123" s="226"/>
      <c r="FO123" s="245"/>
      <c r="FP123" s="243"/>
      <c r="FQ123" s="243"/>
      <c r="FR123" s="243"/>
      <c r="FS123" s="245"/>
      <c r="FT123" s="243"/>
      <c r="FU123" s="243"/>
      <c r="FV123" s="243"/>
      <c r="FW123" s="243"/>
      <c r="FX123" s="243"/>
      <c r="FY123" s="243"/>
      <c r="FZ123" s="243"/>
      <c r="GA123" s="243"/>
      <c r="GB123" s="243"/>
      <c r="GC123" s="243"/>
      <c r="GD123" s="243"/>
      <c r="GE123" s="243"/>
      <c r="GF123" s="243"/>
      <c r="GI123"/>
      <c r="GJ123"/>
      <c r="GK123"/>
      <c r="GL123"/>
      <c r="GM123"/>
      <c r="GN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</row>
    <row r="124" spans="1:281" s="37" customFormat="1" ht="10.5" hidden="1" customHeight="1" outlineLevel="1" x14ac:dyDescent="0.2">
      <c r="A124" s="247" t="s">
        <v>1165</v>
      </c>
      <c r="B124" s="952"/>
      <c r="C124" s="259"/>
      <c r="D124" s="259"/>
      <c r="E124" s="259"/>
      <c r="F124" s="259"/>
      <c r="G124" s="259"/>
      <c r="H124" s="259"/>
      <c r="I124" s="259"/>
      <c r="J124" s="259"/>
      <c r="K124" s="259"/>
      <c r="L124" s="259"/>
      <c r="M124" s="259"/>
      <c r="N124" s="36"/>
      <c r="O124" s="259"/>
      <c r="P124" s="259"/>
      <c r="Q124" s="259"/>
      <c r="R124" s="259"/>
      <c r="S124" s="259"/>
      <c r="T124" s="36"/>
      <c r="U124" s="259"/>
      <c r="V124" s="259"/>
      <c r="W124" s="259"/>
      <c r="X124" s="259"/>
      <c r="Y124" s="259"/>
      <c r="Z124" s="36"/>
      <c r="AA124" s="259"/>
      <c r="AB124" s="259"/>
      <c r="AC124" s="259"/>
      <c r="AD124" s="259"/>
      <c r="AE124" s="259"/>
      <c r="AF124" s="36"/>
      <c r="AG124" s="259"/>
      <c r="AH124" s="259"/>
      <c r="AI124" s="259"/>
      <c r="AJ124" s="259"/>
      <c r="AK124" s="259"/>
      <c r="AL124" s="36"/>
      <c r="AM124" s="259"/>
      <c r="AN124" s="259"/>
      <c r="AO124" s="259"/>
      <c r="AP124" s="259"/>
      <c r="AQ124" s="259"/>
      <c r="AR124" s="36"/>
      <c r="AS124" s="259"/>
      <c r="AT124" s="259"/>
      <c r="AU124" s="259"/>
      <c r="AV124" s="259"/>
      <c r="AW124" s="259"/>
      <c r="AX124" s="36"/>
      <c r="AY124" s="259"/>
      <c r="AZ124" s="259"/>
      <c r="BA124" s="259"/>
      <c r="BB124" s="259"/>
      <c r="BC124" s="259"/>
      <c r="BD124" s="36"/>
      <c r="BE124" s="236"/>
      <c r="BF124" s="236"/>
      <c r="BG124" s="236"/>
      <c r="BH124" s="236"/>
      <c r="BI124" s="236"/>
      <c r="BJ124" s="36"/>
      <c r="BK124" s="236"/>
      <c r="BL124" s="236"/>
      <c r="BM124" s="236"/>
      <c r="BN124" s="236"/>
      <c r="BO124" s="236"/>
      <c r="BP124" s="36"/>
      <c r="BQ124" s="236"/>
      <c r="BR124" s="236"/>
      <c r="BS124" s="236"/>
      <c r="BT124" s="236"/>
      <c r="BU124" s="236"/>
      <c r="BV124" s="36"/>
      <c r="BW124" s="188"/>
      <c r="BX124" s="188"/>
      <c r="BY124" s="188"/>
      <c r="BZ124" s="188"/>
      <c r="CA124" s="188"/>
      <c r="CB124" s="36"/>
      <c r="CC124" s="188"/>
      <c r="CD124" s="188"/>
      <c r="CE124" s="188"/>
      <c r="CF124" s="188"/>
      <c r="CG124" s="274"/>
      <c r="CH124" s="36"/>
      <c r="CI124" s="188"/>
      <c r="CJ124" s="188"/>
      <c r="CK124" s="188"/>
      <c r="CL124" s="188"/>
      <c r="CM124" s="274"/>
      <c r="CN124" s="36"/>
      <c r="CO124" s="188"/>
      <c r="CP124" s="188"/>
      <c r="CQ124" s="188"/>
      <c r="CR124" s="188"/>
      <c r="CS124" s="274"/>
      <c r="CT124" s="36"/>
      <c r="CU124" s="188"/>
      <c r="CV124" s="188"/>
      <c r="CW124" s="188"/>
      <c r="CX124" s="188"/>
      <c r="CY124" s="274"/>
      <c r="CZ124" s="36"/>
      <c r="DA124" s="188"/>
      <c r="DB124" s="188"/>
      <c r="DC124" s="188"/>
      <c r="DD124" s="188"/>
      <c r="DE124" s="274"/>
      <c r="DF124" s="36"/>
      <c r="DG124" s="188"/>
      <c r="DH124" s="188"/>
      <c r="DI124" s="188"/>
      <c r="DJ124" s="188"/>
      <c r="DK124" s="274"/>
      <c r="DL124" s="36"/>
      <c r="DM124" s="188"/>
      <c r="DN124" s="188"/>
      <c r="DO124" s="188"/>
      <c r="DP124" s="188"/>
      <c r="DQ124" s="274"/>
      <c r="DR124" s="36"/>
      <c r="DS124" s="188"/>
      <c r="DT124" s="188"/>
      <c r="DU124" s="188"/>
      <c r="DV124" s="188">
        <f>1-DV122/(DV35)</f>
        <v>0.62641509433962272</v>
      </c>
      <c r="DW124" s="274"/>
      <c r="DX124" s="36"/>
      <c r="DY124" s="188">
        <f>1-DY122/(DY35)</f>
        <v>0.6108949416342413</v>
      </c>
      <c r="DZ124" s="188">
        <f>1-DZ122/(DZ35)</f>
        <v>0.61068702290076338</v>
      </c>
      <c r="EA124" s="188">
        <f>1-EA122/(EA35)</f>
        <v>0.62328767123287676</v>
      </c>
      <c r="EB124" s="188">
        <f>1-EB122/(EB35)</f>
        <v>0.5902140672782874</v>
      </c>
      <c r="EC124" s="274">
        <f>1-EC122/(EC35)</f>
        <v>0.60808435852372589</v>
      </c>
      <c r="ED124" s="36"/>
      <c r="EE124" s="188">
        <f>1-EE122/(EE35)</f>
        <v>0.5663716814159292</v>
      </c>
      <c r="EF124" s="188">
        <f>1-EF122/(EF35)</f>
        <v>0.55494505494505497</v>
      </c>
      <c r="EG124" s="188">
        <f>1-EG122/(EG35)</f>
        <v>0.46666666666666667</v>
      </c>
      <c r="EH124" s="188">
        <f>1-EH122/(EH35)</f>
        <v>0.39618138424821003</v>
      </c>
      <c r="EI124" s="274">
        <f>1-EI122/(EI35)</f>
        <v>0.49098196392785576</v>
      </c>
      <c r="EJ124" s="36"/>
      <c r="EK124" s="1662">
        <f>1-EK122/(EK35)</f>
        <v>0.39823008849557517</v>
      </c>
      <c r="EL124" s="1662">
        <f>1-EL122/(EL35)</f>
        <v>0.43326488706365507</v>
      </c>
      <c r="EM124" s="1662">
        <f>1-EM122/(EM35)</f>
        <v>0.50769230769230766</v>
      </c>
      <c r="EN124" s="188">
        <f>1-EN122/(EN35)</f>
        <v>0.56584659913169322</v>
      </c>
      <c r="EO124" s="1663">
        <f>1-EO122/(EO35)</f>
        <v>0.48713318284424378</v>
      </c>
      <c r="EP124" s="1539"/>
      <c r="EQ124" s="1662">
        <f>1-EQ122/(EQ35)</f>
        <v>0.6147239263803681</v>
      </c>
      <c r="ER124" s="1662">
        <f>1-ER122/(ER35)</f>
        <v>0.61074561403508776</v>
      </c>
      <c r="ES124" s="1662">
        <f>1-ES122/(ES35)</f>
        <v>0.65370370370370368</v>
      </c>
      <c r="ET124" s="188">
        <v>0.66</v>
      </c>
      <c r="EU124" s="274">
        <f>1-EU122/(EU35)</f>
        <v>0.63786160379715218</v>
      </c>
      <c r="EV124" s="36"/>
      <c r="EW124" s="1662">
        <f>1-EW122/(EW35)</f>
        <v>0.664950779711866</v>
      </c>
      <c r="EX124" s="1662">
        <f>1-EX122/(EX35)</f>
        <v>0.65083459787556908</v>
      </c>
      <c r="EY124" s="1662">
        <f>1-EY122/(EY35)</f>
        <v>0.6416573971078976</v>
      </c>
      <c r="EZ124" s="188">
        <f>1-EZ122/(EZ35)</f>
        <v>0.65287545411629488</v>
      </c>
      <c r="FA124" s="274">
        <f>1-FA122/(FA35)</f>
        <v>0.65243880001997012</v>
      </c>
      <c r="FB124" s="36"/>
      <c r="FC124" s="188">
        <f>1-FC122/(FC35)</f>
        <v>0.6716264147767913</v>
      </c>
      <c r="FD124" s="188">
        <f>1-FD122/(FD35)</f>
        <v>0.68164996719747117</v>
      </c>
      <c r="FE124" s="188">
        <f>1-FE122/(FE35)</f>
        <v>0.68706721171213991</v>
      </c>
      <c r="FF124" s="188">
        <f>1-FF122/(FF35)</f>
        <v>0.69878819680376447</v>
      </c>
      <c r="FG124" s="274">
        <f>1-FG122/(FG35)</f>
        <v>0.68538764697521271</v>
      </c>
      <c r="FH124" s="36"/>
      <c r="FI124" s="188">
        <f>1-FI122/(FI35)</f>
        <v>0.70527853746791758</v>
      </c>
      <c r="FJ124" s="188">
        <f>1-FJ122/(FJ35)</f>
        <v>0.71425385711904088</v>
      </c>
      <c r="FK124" s="188">
        <f>1-FK122/(FK35)</f>
        <v>0.71948117300017356</v>
      </c>
      <c r="FL124" s="188">
        <f>1-FL122/(FL35)</f>
        <v>0.72834190774002494</v>
      </c>
      <c r="FM124" s="274">
        <f>1-FM122/(FM35)</f>
        <v>0.71728953977501331</v>
      </c>
      <c r="FN124" s="1123"/>
      <c r="FO124" s="275"/>
      <c r="FP124" s="188"/>
      <c r="FQ124" s="188"/>
      <c r="FR124" s="188"/>
      <c r="FS124" s="275"/>
      <c r="FT124" s="188"/>
      <c r="FU124" s="188"/>
      <c r="FV124" s="188"/>
      <c r="FW124" s="188"/>
      <c r="FX124" s="188"/>
      <c r="FY124" s="188"/>
      <c r="FZ124" s="188"/>
      <c r="GA124" s="188"/>
      <c r="GB124" s="188"/>
      <c r="GC124" s="188"/>
      <c r="GD124" s="188"/>
      <c r="GE124" s="188"/>
      <c r="GF124" s="188"/>
      <c r="GI124"/>
      <c r="GJ124"/>
      <c r="GK124"/>
      <c r="GL124"/>
      <c r="GM124"/>
      <c r="GN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</row>
    <row r="125" spans="1:281" s="37" customFormat="1" ht="3.95" customHeight="1" collapsed="1" x14ac:dyDescent="0.2">
      <c r="A125" s="247"/>
      <c r="B125" s="952"/>
      <c r="C125" s="259"/>
      <c r="D125" s="259"/>
      <c r="E125" s="259"/>
      <c r="F125" s="259"/>
      <c r="G125" s="259"/>
      <c r="H125" s="259"/>
      <c r="I125" s="259"/>
      <c r="J125" s="259"/>
      <c r="K125" s="259"/>
      <c r="L125" s="259"/>
      <c r="M125" s="259"/>
      <c r="N125" s="36"/>
      <c r="O125" s="259"/>
      <c r="P125" s="259"/>
      <c r="Q125" s="259"/>
      <c r="R125" s="259"/>
      <c r="S125" s="259"/>
      <c r="T125" s="36"/>
      <c r="U125" s="259"/>
      <c r="V125" s="259"/>
      <c r="W125" s="259"/>
      <c r="X125" s="259"/>
      <c r="Y125" s="259"/>
      <c r="Z125" s="36"/>
      <c r="AA125" s="259"/>
      <c r="AB125" s="259"/>
      <c r="AC125" s="259"/>
      <c r="AD125" s="259"/>
      <c r="AE125" s="259"/>
      <c r="AF125" s="36"/>
      <c r="AG125" s="259"/>
      <c r="AH125" s="259"/>
      <c r="AI125" s="259"/>
      <c r="AJ125" s="259"/>
      <c r="AK125" s="259"/>
      <c r="AL125" s="36"/>
      <c r="AM125" s="259"/>
      <c r="AN125" s="259"/>
      <c r="AO125" s="259"/>
      <c r="AP125" s="259"/>
      <c r="AQ125" s="259"/>
      <c r="AR125" s="36"/>
      <c r="AS125" s="259"/>
      <c r="AT125" s="259"/>
      <c r="AU125" s="259"/>
      <c r="AV125" s="259"/>
      <c r="AW125" s="259"/>
      <c r="AX125" s="36"/>
      <c r="AY125" s="259"/>
      <c r="AZ125" s="259"/>
      <c r="BA125" s="259"/>
      <c r="BB125" s="259"/>
      <c r="BC125" s="259"/>
      <c r="BD125" s="36"/>
      <c r="BE125" s="236"/>
      <c r="BF125" s="236"/>
      <c r="BG125" s="236"/>
      <c r="BH125" s="236"/>
      <c r="BI125" s="236"/>
      <c r="BJ125" s="36"/>
      <c r="BK125" s="236"/>
      <c r="BL125" s="236"/>
      <c r="BM125" s="236"/>
      <c r="BN125" s="236"/>
      <c r="BO125" s="236"/>
      <c r="BP125" s="36"/>
      <c r="BQ125" s="236"/>
      <c r="BR125" s="236"/>
      <c r="BS125" s="236"/>
      <c r="BT125" s="236"/>
      <c r="BU125" s="236"/>
      <c r="BV125" s="36"/>
      <c r="BW125" s="188"/>
      <c r="BX125" s="188"/>
      <c r="BY125" s="188"/>
      <c r="BZ125" s="188"/>
      <c r="CA125" s="188"/>
      <c r="CB125" s="36"/>
      <c r="CC125" s="188"/>
      <c r="CD125" s="188"/>
      <c r="CE125" s="188"/>
      <c r="CF125" s="188"/>
      <c r="CG125" s="274"/>
      <c r="CH125" s="36"/>
      <c r="CI125" s="188"/>
      <c r="CJ125" s="188"/>
      <c r="CK125" s="188"/>
      <c r="CL125" s="188"/>
      <c r="CM125" s="274"/>
      <c r="CN125" s="36"/>
      <c r="CO125" s="188"/>
      <c r="CP125" s="188"/>
      <c r="CQ125" s="188"/>
      <c r="CR125" s="188"/>
      <c r="CS125" s="274"/>
      <c r="CT125" s="36"/>
      <c r="CU125" s="188"/>
      <c r="CV125" s="188"/>
      <c r="CW125" s="188"/>
      <c r="CX125" s="188"/>
      <c r="CY125" s="274"/>
      <c r="CZ125" s="36"/>
      <c r="DA125" s="188"/>
      <c r="DB125" s="188"/>
      <c r="DC125" s="188"/>
      <c r="DD125" s="188"/>
      <c r="DE125" s="274"/>
      <c r="DF125" s="36"/>
      <c r="DG125" s="188"/>
      <c r="DH125" s="188"/>
      <c r="DI125" s="188"/>
      <c r="DJ125" s="188"/>
      <c r="DK125" s="274"/>
      <c r="DL125" s="36"/>
      <c r="DM125" s="188"/>
      <c r="DN125" s="188"/>
      <c r="DO125" s="188"/>
      <c r="DP125" s="188"/>
      <c r="DQ125" s="274"/>
      <c r="DR125" s="36"/>
      <c r="DS125" s="188"/>
      <c r="DT125" s="188"/>
      <c r="DU125" s="188"/>
      <c r="DV125" s="188"/>
      <c r="DW125" s="274"/>
      <c r="DX125" s="36"/>
      <c r="DY125" s="188"/>
      <c r="DZ125" s="188"/>
      <c r="EA125" s="188"/>
      <c r="EB125" s="188"/>
      <c r="EC125" s="274"/>
      <c r="ED125" s="36"/>
      <c r="EE125" s="188"/>
      <c r="EF125" s="188"/>
      <c r="EG125" s="188"/>
      <c r="EH125" s="188"/>
      <c r="EI125" s="274"/>
      <c r="EJ125" s="36"/>
      <c r="EK125" s="188"/>
      <c r="EL125" s="900"/>
      <c r="EM125" s="900"/>
      <c r="EN125" s="900"/>
      <c r="EO125" s="274"/>
      <c r="EP125" s="36"/>
      <c r="EQ125" s="188"/>
      <c r="ER125" s="900"/>
      <c r="ES125" s="900"/>
      <c r="ET125" s="900"/>
      <c r="EU125" s="274"/>
      <c r="EV125" s="36"/>
      <c r="EW125" s="188"/>
      <c r="EX125" s="900"/>
      <c r="EY125" s="900"/>
      <c r="EZ125" s="900"/>
      <c r="FA125" s="274"/>
      <c r="FB125" s="36"/>
      <c r="FC125" s="900"/>
      <c r="FD125" s="900"/>
      <c r="FE125" s="900"/>
      <c r="FF125" s="900"/>
      <c r="FG125" s="274"/>
      <c r="FH125" s="36"/>
      <c r="FI125" s="900"/>
      <c r="FJ125" s="900"/>
      <c r="FK125" s="900"/>
      <c r="FL125" s="900"/>
      <c r="FM125" s="274"/>
      <c r="FN125" s="1123"/>
      <c r="FO125" s="275"/>
      <c r="FP125" s="188"/>
      <c r="FQ125" s="188"/>
      <c r="FR125" s="188"/>
      <c r="FS125" s="275"/>
      <c r="FT125" s="188"/>
      <c r="FU125" s="188"/>
      <c r="FV125" s="188"/>
      <c r="FW125" s="188"/>
      <c r="FX125" s="188"/>
      <c r="FY125" s="188"/>
      <c r="FZ125" s="188"/>
      <c r="GA125" s="188"/>
      <c r="GB125" s="188"/>
      <c r="GC125" s="188"/>
      <c r="GD125" s="188"/>
      <c r="GE125" s="188"/>
      <c r="GF125" s="188"/>
      <c r="GI125"/>
      <c r="GJ125"/>
      <c r="GK125"/>
      <c r="GL125"/>
      <c r="GM125"/>
      <c r="GN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</row>
    <row r="126" spans="1:281" s="37" customFormat="1" ht="10.5" customHeight="1" x14ac:dyDescent="0.2">
      <c r="A126" s="273" t="s">
        <v>1224</v>
      </c>
      <c r="B126" s="952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59"/>
      <c r="N126" s="36"/>
      <c r="O126" s="259"/>
      <c r="P126" s="259"/>
      <c r="Q126" s="259"/>
      <c r="R126" s="259"/>
      <c r="S126" s="259"/>
      <c r="T126" s="36"/>
      <c r="U126" s="259"/>
      <c r="V126" s="259"/>
      <c r="W126" s="259"/>
      <c r="X126" s="259"/>
      <c r="Y126" s="259"/>
      <c r="Z126" s="36"/>
      <c r="AA126" s="259"/>
      <c r="AB126" s="259"/>
      <c r="AC126" s="259"/>
      <c r="AD126" s="259"/>
      <c r="AE126" s="259"/>
      <c r="AF126" s="36"/>
      <c r="AG126" s="259"/>
      <c r="AH126" s="259"/>
      <c r="AI126" s="259"/>
      <c r="AJ126" s="259"/>
      <c r="AK126" s="259"/>
      <c r="AL126" s="36"/>
      <c r="AM126" s="259"/>
      <c r="AN126" s="259"/>
      <c r="AO126" s="259"/>
      <c r="AP126" s="259"/>
      <c r="AQ126" s="259"/>
      <c r="AR126" s="36"/>
      <c r="AS126" s="259"/>
      <c r="AT126" s="259"/>
      <c r="AU126" s="259"/>
      <c r="AV126" s="259"/>
      <c r="AW126" s="259"/>
      <c r="AX126" s="36"/>
      <c r="AY126" s="259"/>
      <c r="AZ126" s="259"/>
      <c r="BA126" s="259"/>
      <c r="BB126" s="259"/>
      <c r="BC126" s="259"/>
      <c r="BD126" s="36"/>
      <c r="BE126" s="236"/>
      <c r="BF126" s="236"/>
      <c r="BG126" s="236"/>
      <c r="BH126" s="236"/>
      <c r="BI126" s="236"/>
      <c r="BJ126" s="36"/>
      <c r="BK126" s="236"/>
      <c r="BL126" s="236"/>
      <c r="BM126" s="236"/>
      <c r="BN126" s="236"/>
      <c r="BO126" s="236"/>
      <c r="BP126" s="36"/>
      <c r="BQ126" s="236"/>
      <c r="BR126" s="236"/>
      <c r="BS126" s="236"/>
      <c r="BT126" s="236"/>
      <c r="BU126" s="236"/>
      <c r="BV126" s="36"/>
      <c r="BW126" s="188"/>
      <c r="BX126" s="188"/>
      <c r="BY126" s="188"/>
      <c r="BZ126" s="188"/>
      <c r="CA126" s="188"/>
      <c r="CB126" s="36"/>
      <c r="CC126" s="188"/>
      <c r="CD126" s="188"/>
      <c r="CE126" s="188"/>
      <c r="CF126" s="188"/>
      <c r="CG126" s="274"/>
      <c r="CH126" s="36"/>
      <c r="CI126" s="188"/>
      <c r="CJ126" s="188"/>
      <c r="CK126" s="188"/>
      <c r="CL126" s="188"/>
      <c r="CM126" s="274"/>
      <c r="CN126" s="36"/>
      <c r="CO126" s="188"/>
      <c r="CP126" s="188"/>
      <c r="CQ126" s="188"/>
      <c r="CR126" s="188"/>
      <c r="CS126" s="274"/>
      <c r="CT126" s="36"/>
      <c r="CU126" s="188"/>
      <c r="CV126" s="188"/>
      <c r="CW126" s="188"/>
      <c r="CX126" s="188"/>
      <c r="CY126" s="174"/>
      <c r="CZ126" s="60"/>
      <c r="DA126" s="243"/>
      <c r="DB126" s="243"/>
      <c r="DC126" s="243"/>
      <c r="DD126" s="243"/>
      <c r="DE126" s="174"/>
      <c r="DF126" s="60"/>
      <c r="DG126" s="243"/>
      <c r="DH126" s="243"/>
      <c r="DI126" s="243"/>
      <c r="DJ126" s="243"/>
      <c r="DK126" s="174"/>
      <c r="DL126" s="60"/>
      <c r="DM126" s="243"/>
      <c r="DN126" s="243"/>
      <c r="DO126" s="243"/>
      <c r="DP126" s="243"/>
      <c r="DQ126" s="174"/>
      <c r="DR126" s="60"/>
      <c r="DS126" s="243"/>
      <c r="DT126" s="243"/>
      <c r="DU126" s="243"/>
      <c r="DV126" s="243">
        <f>316-5</f>
        <v>311</v>
      </c>
      <c r="DW126" s="174"/>
      <c r="DX126" s="60"/>
      <c r="DY126" s="243">
        <f>288-6</f>
        <v>282</v>
      </c>
      <c r="DZ126" s="243">
        <f>285-5</f>
        <v>280</v>
      </c>
      <c r="EA126" s="243">
        <f>286-6</f>
        <v>280</v>
      </c>
      <c r="EB126" s="243">
        <f>303-6</f>
        <v>297</v>
      </c>
      <c r="EC126" s="174">
        <f>SUM(DY126:EB126)</f>
        <v>1139</v>
      </c>
      <c r="ED126" s="60"/>
      <c r="EE126" s="243">
        <f>272-5</f>
        <v>267</v>
      </c>
      <c r="EF126" s="243">
        <f>296-4</f>
        <v>292</v>
      </c>
      <c r="EG126" s="243">
        <f>300-6</f>
        <v>294</v>
      </c>
      <c r="EH126" s="243">
        <f>331-6</f>
        <v>325</v>
      </c>
      <c r="EI126" s="174">
        <f>SUM(EE126:EH126)</f>
        <v>1178</v>
      </c>
      <c r="EJ126" s="60"/>
      <c r="EK126" s="243">
        <f>291-6</f>
        <v>285</v>
      </c>
      <c r="EL126" s="243">
        <f>293-6</f>
        <v>287</v>
      </c>
      <c r="EM126" s="243">
        <f>293-6</f>
        <v>287</v>
      </c>
      <c r="EN126" s="243">
        <f>268-6</f>
        <v>262</v>
      </c>
      <c r="EO126" s="174">
        <f>SUM(EK126:EN126)</f>
        <v>1121</v>
      </c>
      <c r="EP126" s="60"/>
      <c r="EQ126" s="243">
        <f>275-6</f>
        <v>269</v>
      </c>
      <c r="ER126" s="243">
        <f>242-6</f>
        <v>236</v>
      </c>
      <c r="ES126" s="243">
        <f>270-6</f>
        <v>264</v>
      </c>
      <c r="ET126" s="243">
        <f>266-6</f>
        <v>260</v>
      </c>
      <c r="EU126" s="174">
        <f>SUM(EQ126:ET126)</f>
        <v>1029</v>
      </c>
      <c r="EV126" s="60"/>
      <c r="EW126" s="243">
        <f>257-7</f>
        <v>250</v>
      </c>
      <c r="EX126" s="243">
        <f>257-7</f>
        <v>250</v>
      </c>
      <c r="EY126" s="243">
        <f>223-7</f>
        <v>216</v>
      </c>
      <c r="EZ126" s="243">
        <f>(EZ17+EZ46)*(1-EZ127)</f>
        <v>264.23682481342041</v>
      </c>
      <c r="FA126" s="174">
        <f>SUM(EW126:EZ126)</f>
        <v>980.23682481342041</v>
      </c>
      <c r="FB126" s="60"/>
      <c r="FC126" s="243">
        <f>(FC17+FC46)*(1-FC127)</f>
        <v>257.15672473044174</v>
      </c>
      <c r="FD126" s="243">
        <f>(FD17+FD46)*(1-FD127)</f>
        <v>253.79432255245726</v>
      </c>
      <c r="FE126" s="243">
        <f>(FE17+FE46)*(1-FE127)</f>
        <v>218.12367063709533</v>
      </c>
      <c r="FF126" s="243">
        <f>(FF17+FF46)*(1-FF127)</f>
        <v>262.36950915870557</v>
      </c>
      <c r="FG126" s="174">
        <f>SUM(FC126:FF126)</f>
        <v>991.4442270786999</v>
      </c>
      <c r="FH126" s="60"/>
      <c r="FI126" s="243">
        <f>(FI17+FI46)*(1-FI127)</f>
        <v>259.42303511266852</v>
      </c>
      <c r="FJ126" s="243">
        <f>(FJ17+FJ46)*(1-FJ127)</f>
        <v>254.72035302342013</v>
      </c>
      <c r="FK126" s="243">
        <f>(FK17+FK46)*(1-FK127)</f>
        <v>218.68250767539374</v>
      </c>
      <c r="FL126" s="243">
        <f>(FL17+FL46)*(1-FL127)</f>
        <v>260.06931887068811</v>
      </c>
      <c r="FM126" s="174">
        <f>SUM(FI126:FL126)</f>
        <v>992.89521468217049</v>
      </c>
      <c r="FN126" s="226"/>
      <c r="FO126" s="245"/>
      <c r="FP126" s="243"/>
      <c r="FQ126" s="243"/>
      <c r="FR126" s="243"/>
      <c r="FS126" s="245"/>
      <c r="FT126" s="243"/>
      <c r="FU126" s="243"/>
      <c r="FV126" s="243"/>
      <c r="FW126" s="243"/>
      <c r="FX126" s="243"/>
      <c r="FY126" s="243"/>
      <c r="FZ126" s="243"/>
      <c r="GA126" s="243"/>
      <c r="GB126" s="243"/>
      <c r="GC126" s="243"/>
      <c r="GD126" s="243"/>
      <c r="GE126" s="243"/>
      <c r="GF126" s="243"/>
      <c r="GI126"/>
      <c r="GJ126"/>
      <c r="GK126"/>
      <c r="GL126"/>
      <c r="GM126"/>
      <c r="GN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</row>
    <row r="127" spans="1:281" s="37" customFormat="1" ht="10.5" customHeight="1" x14ac:dyDescent="0.2">
      <c r="A127" s="247" t="s">
        <v>1225</v>
      </c>
      <c r="B127" s="952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59"/>
      <c r="N127" s="36"/>
      <c r="O127" s="259"/>
      <c r="P127" s="259"/>
      <c r="Q127" s="259"/>
      <c r="R127" s="259"/>
      <c r="S127" s="259"/>
      <c r="T127" s="36"/>
      <c r="U127" s="259"/>
      <c r="V127" s="259"/>
      <c r="W127" s="259"/>
      <c r="X127" s="259"/>
      <c r="Y127" s="259"/>
      <c r="Z127" s="36"/>
      <c r="AA127" s="259"/>
      <c r="AB127" s="259"/>
      <c r="AC127" s="259"/>
      <c r="AD127" s="259"/>
      <c r="AE127" s="259"/>
      <c r="AF127" s="36"/>
      <c r="AG127" s="259"/>
      <c r="AH127" s="259"/>
      <c r="AI127" s="259"/>
      <c r="AJ127" s="259"/>
      <c r="AK127" s="259"/>
      <c r="AL127" s="36"/>
      <c r="AM127" s="259"/>
      <c r="AN127" s="259"/>
      <c r="AO127" s="259"/>
      <c r="AP127" s="259"/>
      <c r="AQ127" s="259"/>
      <c r="AR127" s="36"/>
      <c r="AS127" s="259"/>
      <c r="AT127" s="259"/>
      <c r="AU127" s="259"/>
      <c r="AV127" s="259"/>
      <c r="AW127" s="259"/>
      <c r="AX127" s="36"/>
      <c r="AY127" s="259"/>
      <c r="AZ127" s="259"/>
      <c r="BA127" s="259"/>
      <c r="BB127" s="259"/>
      <c r="BC127" s="259"/>
      <c r="BD127" s="36"/>
      <c r="BE127" s="236"/>
      <c r="BF127" s="236"/>
      <c r="BG127" s="236"/>
      <c r="BH127" s="236"/>
      <c r="BI127" s="236"/>
      <c r="BJ127" s="36"/>
      <c r="BK127" s="236"/>
      <c r="BL127" s="236"/>
      <c r="BM127" s="236"/>
      <c r="BN127" s="236"/>
      <c r="BO127" s="236"/>
      <c r="BP127" s="36"/>
      <c r="BQ127" s="236"/>
      <c r="BR127" s="236"/>
      <c r="BS127" s="236"/>
      <c r="BT127" s="236"/>
      <c r="BU127" s="236"/>
      <c r="BV127" s="36"/>
      <c r="BW127" s="188"/>
      <c r="BX127" s="188"/>
      <c r="BY127" s="188"/>
      <c r="BZ127" s="188"/>
      <c r="CA127" s="188"/>
      <c r="CB127" s="36"/>
      <c r="CC127" s="188"/>
      <c r="CD127" s="188"/>
      <c r="CE127" s="188"/>
      <c r="CF127" s="188"/>
      <c r="CG127" s="274"/>
      <c r="CH127" s="36"/>
      <c r="CI127" s="188"/>
      <c r="CJ127" s="188"/>
      <c r="CK127" s="188"/>
      <c r="CL127" s="188"/>
      <c r="CM127" s="274"/>
      <c r="CN127" s="36"/>
      <c r="CO127" s="188"/>
      <c r="CP127" s="188"/>
      <c r="CQ127" s="188"/>
      <c r="CR127" s="188"/>
      <c r="CS127" s="274"/>
      <c r="CT127" s="36"/>
      <c r="CU127" s="188"/>
      <c r="CV127" s="188"/>
      <c r="CW127" s="188"/>
      <c r="CX127" s="188"/>
      <c r="CY127" s="274"/>
      <c r="CZ127" s="36"/>
      <c r="DA127" s="188"/>
      <c r="DB127" s="188"/>
      <c r="DC127" s="188"/>
      <c r="DD127" s="188"/>
      <c r="DE127" s="274"/>
      <c r="DF127" s="36"/>
      <c r="DG127" s="188"/>
      <c r="DH127" s="188"/>
      <c r="DI127" s="188"/>
      <c r="DJ127" s="188"/>
      <c r="DK127" s="274"/>
      <c r="DL127" s="36"/>
      <c r="DM127" s="188"/>
      <c r="DN127" s="188"/>
      <c r="DO127" s="188"/>
      <c r="DP127" s="188"/>
      <c r="DQ127" s="274"/>
      <c r="DR127" s="36"/>
      <c r="DS127" s="188"/>
      <c r="DT127" s="188"/>
      <c r="DU127" s="188"/>
      <c r="DV127" s="188">
        <f>1-DV126/(DV46+DV17)</f>
        <v>0.96194787715649088</v>
      </c>
      <c r="DW127" s="274"/>
      <c r="DX127" s="36"/>
      <c r="DY127" s="188">
        <f>1-DY126/(DY46+DY17)</f>
        <v>0.95163779797633341</v>
      </c>
      <c r="DZ127" s="188">
        <f>1-DZ126/(DZ46+DZ17)</f>
        <v>0.95781862006628504</v>
      </c>
      <c r="EA127" s="188">
        <f>1-EA126/(EA46+EA17)</f>
        <v>0.95816524727327057</v>
      </c>
      <c r="EB127" s="188">
        <f>1-EB126/(EB46+EB17)</f>
        <v>0.96491020793950855</v>
      </c>
      <c r="EC127" s="274">
        <f>1-EC126/(EC46+EC17)</f>
        <v>0.95877072323173818</v>
      </c>
      <c r="ED127" s="36"/>
      <c r="EE127" s="188">
        <f>1-EE126/(EE46+EE17)</f>
        <v>0.95623668251106375</v>
      </c>
      <c r="EF127" s="188">
        <f>1-EF126/(EF46+EF17)</f>
        <v>0.95717219125843356</v>
      </c>
      <c r="EG127" s="188">
        <f>1-EG126/(EG46+EG17)</f>
        <v>0.95576286488113149</v>
      </c>
      <c r="EH127" s="188">
        <f>1-EH126/(EH46+EH17)</f>
        <v>0.9584717607973422</v>
      </c>
      <c r="EI127" s="274">
        <f>1-EI126/(EI46+EI17)</f>
        <v>0.95699317294001685</v>
      </c>
      <c r="EJ127" s="36"/>
      <c r="EK127" s="188">
        <f>1-EK126/(EK46+EK17)</f>
        <v>0.95126538987688103</v>
      </c>
      <c r="EL127" s="188">
        <f>1-EL126/(EL46+EL17)</f>
        <v>0.95487421383647797</v>
      </c>
      <c r="EM127" s="188">
        <f>1-EM126/(EM46+EM17)</f>
        <v>0.95479603087100329</v>
      </c>
      <c r="EN127" s="188">
        <f>1-EN126/(EN46+EN17)</f>
        <v>0.96543991557841968</v>
      </c>
      <c r="EO127" s="274">
        <f>1-EO126/(EO46+EO17)</f>
        <v>0.95711225036345549</v>
      </c>
      <c r="EP127" s="36"/>
      <c r="EQ127" s="188">
        <f>1-EQ126/(EQ46+EQ17)</f>
        <v>0.95380388116091364</v>
      </c>
      <c r="ER127" s="188">
        <f>1-ER126/(ER46+ER17)</f>
        <v>0.96146938775510205</v>
      </c>
      <c r="ES127" s="188">
        <f>1-ES126/(ES46+ES17)</f>
        <v>0.95725388601036265</v>
      </c>
      <c r="ET127" s="188">
        <f>1-ET126/(ET46+ET17)</f>
        <v>0.96543931942044392</v>
      </c>
      <c r="EU127" s="274">
        <f>1-EU126/(EU46+EU17)</f>
        <v>0.95987834834483565</v>
      </c>
      <c r="EV127" s="36"/>
      <c r="EW127" s="188">
        <f>1-EW126/(EW46+EW17)</f>
        <v>0.95774885921919894</v>
      </c>
      <c r="EX127" s="188">
        <f>1-EX126/(EX46+EX17)</f>
        <v>0.96035521725340944</v>
      </c>
      <c r="EY127" s="188">
        <f>1-EY126/(EY46+EY17)</f>
        <v>0.96632891660171472</v>
      </c>
      <c r="EZ127" s="900">
        <v>0.96499999999999997</v>
      </c>
      <c r="FA127" s="274">
        <f>1-FA126/(FA46+FA17)</f>
        <v>0.96256869882296514</v>
      </c>
      <c r="FB127" s="36"/>
      <c r="FC127" s="900">
        <f t="shared" ref="FC127" si="80">EW127</f>
        <v>0.95774885921919894</v>
      </c>
      <c r="FD127" s="900">
        <f t="shared" ref="FD127" si="81">EX127</f>
        <v>0.96035521725340944</v>
      </c>
      <c r="FE127" s="900">
        <f t="shared" ref="FE127" si="82">EY127</f>
        <v>0.96632891660171472</v>
      </c>
      <c r="FF127" s="900">
        <f t="shared" ref="FF127" si="83">EZ127</f>
        <v>0.96499999999999997</v>
      </c>
      <c r="FG127" s="274">
        <f>1-FG126/(FG46+FG17)</f>
        <v>0.96253390188540422</v>
      </c>
      <c r="FH127" s="36"/>
      <c r="FI127" s="900">
        <f t="shared" ref="FI127" si="84">FC127</f>
        <v>0.95774885921919894</v>
      </c>
      <c r="FJ127" s="900">
        <f t="shared" ref="FJ127" si="85">FD127</f>
        <v>0.96035521725340944</v>
      </c>
      <c r="FK127" s="900">
        <f t="shared" ref="FK127" si="86">FE127</f>
        <v>0.96632891660171472</v>
      </c>
      <c r="FL127" s="900">
        <f t="shared" ref="FL127" si="87">FF127</f>
        <v>0.96499999999999997</v>
      </c>
      <c r="FM127" s="274">
        <f>1-FM126/(FM46+FM17)</f>
        <v>0.96251855133510134</v>
      </c>
      <c r="FN127" s="1123"/>
      <c r="FO127" s="275"/>
      <c r="FP127" s="188"/>
      <c r="FQ127" s="188"/>
      <c r="FR127" s="188"/>
      <c r="FS127" s="275"/>
      <c r="FT127" s="188"/>
      <c r="FU127" s="188"/>
      <c r="FV127" s="188"/>
      <c r="FW127" s="188"/>
      <c r="FX127" s="188"/>
      <c r="FY127" s="188"/>
      <c r="FZ127" s="188"/>
      <c r="GA127" s="188"/>
      <c r="GB127" s="188"/>
      <c r="GC127" s="188"/>
      <c r="GD127" s="188"/>
      <c r="GE127" s="188"/>
      <c r="GF127" s="188"/>
      <c r="GI127"/>
      <c r="GJ127"/>
      <c r="GK127"/>
      <c r="GL127"/>
      <c r="GM127"/>
      <c r="GN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</row>
    <row r="128" spans="1:281" s="37" customFormat="1" ht="3.95" customHeight="1" x14ac:dyDescent="0.2">
      <c r="A128" s="247"/>
      <c r="B128" s="952"/>
      <c r="C128" s="259"/>
      <c r="D128" s="259"/>
      <c r="E128" s="259"/>
      <c r="F128" s="259"/>
      <c r="G128" s="259"/>
      <c r="H128" s="259"/>
      <c r="I128" s="259"/>
      <c r="J128" s="259"/>
      <c r="K128" s="259"/>
      <c r="L128" s="259"/>
      <c r="M128" s="259"/>
      <c r="N128" s="36"/>
      <c r="O128" s="259"/>
      <c r="P128" s="259"/>
      <c r="Q128" s="259"/>
      <c r="R128" s="259"/>
      <c r="S128" s="259"/>
      <c r="T128" s="36"/>
      <c r="U128" s="259"/>
      <c r="V128" s="259"/>
      <c r="W128" s="259"/>
      <c r="X128" s="259"/>
      <c r="Y128" s="259"/>
      <c r="Z128" s="36"/>
      <c r="AA128" s="259"/>
      <c r="AB128" s="259"/>
      <c r="AC128" s="259"/>
      <c r="AD128" s="259"/>
      <c r="AE128" s="259"/>
      <c r="AF128" s="36"/>
      <c r="AG128" s="259"/>
      <c r="AH128" s="259"/>
      <c r="AI128" s="259"/>
      <c r="AJ128" s="259"/>
      <c r="AK128" s="259"/>
      <c r="AL128" s="36"/>
      <c r="AM128" s="259"/>
      <c r="AN128" s="259"/>
      <c r="AO128" s="259"/>
      <c r="AP128" s="259"/>
      <c r="AQ128" s="259"/>
      <c r="AR128" s="36"/>
      <c r="AS128" s="259"/>
      <c r="AT128" s="259"/>
      <c r="AU128" s="259"/>
      <c r="AV128" s="259"/>
      <c r="AW128" s="259"/>
      <c r="AX128" s="36"/>
      <c r="AY128" s="259"/>
      <c r="AZ128" s="259"/>
      <c r="BA128" s="259"/>
      <c r="BB128" s="259"/>
      <c r="BC128" s="259"/>
      <c r="BD128" s="36"/>
      <c r="BE128" s="236"/>
      <c r="BF128" s="236"/>
      <c r="BG128" s="236"/>
      <c r="BH128" s="236"/>
      <c r="BI128" s="236"/>
      <c r="BJ128" s="36"/>
      <c r="BK128" s="236"/>
      <c r="BL128" s="236"/>
      <c r="BM128" s="236"/>
      <c r="BN128" s="236"/>
      <c r="BO128" s="236"/>
      <c r="BP128" s="36"/>
      <c r="BQ128" s="236"/>
      <c r="BR128" s="236"/>
      <c r="BS128" s="236"/>
      <c r="BT128" s="236"/>
      <c r="BU128" s="236"/>
      <c r="BV128" s="36"/>
      <c r="BW128" s="188"/>
      <c r="BX128" s="188"/>
      <c r="BY128" s="188"/>
      <c r="BZ128" s="188"/>
      <c r="CA128" s="188"/>
      <c r="CB128" s="36"/>
      <c r="CC128" s="188"/>
      <c r="CD128" s="188"/>
      <c r="CE128" s="188"/>
      <c r="CF128" s="188"/>
      <c r="CG128" s="274"/>
      <c r="CH128" s="36"/>
      <c r="CI128" s="188"/>
      <c r="CJ128" s="188"/>
      <c r="CK128" s="188"/>
      <c r="CL128" s="188"/>
      <c r="CM128" s="274"/>
      <c r="CN128" s="36"/>
      <c r="CO128" s="188"/>
      <c r="CP128" s="188"/>
      <c r="CQ128" s="188"/>
      <c r="CR128" s="188"/>
      <c r="CS128" s="274"/>
      <c r="CT128" s="36"/>
      <c r="CU128" s="188"/>
      <c r="CV128" s="188"/>
      <c r="CW128" s="188"/>
      <c r="CX128" s="188"/>
      <c r="CY128" s="274"/>
      <c r="CZ128" s="36"/>
      <c r="DA128" s="188"/>
      <c r="DB128" s="188"/>
      <c r="DC128" s="188"/>
      <c r="DD128" s="188"/>
      <c r="DE128" s="274"/>
      <c r="DF128" s="36"/>
      <c r="DG128" s="188"/>
      <c r="DH128" s="188"/>
      <c r="DI128" s="188"/>
      <c r="DJ128" s="900"/>
      <c r="DK128" s="274"/>
      <c r="DL128" s="36"/>
      <c r="DM128" s="900"/>
      <c r="DN128" s="900"/>
      <c r="DO128" s="900"/>
      <c r="DP128" s="900"/>
      <c r="DQ128" s="274"/>
      <c r="DR128" s="36"/>
      <c r="DS128" s="900"/>
      <c r="DT128" s="900"/>
      <c r="DU128" s="900"/>
      <c r="DV128" s="900"/>
      <c r="DW128" s="274"/>
      <c r="DX128" s="36"/>
      <c r="DY128" s="900"/>
      <c r="DZ128" s="900"/>
      <c r="EA128" s="900"/>
      <c r="EB128" s="900"/>
      <c r="EC128" s="274"/>
      <c r="ED128" s="36"/>
      <c r="EE128" s="900"/>
      <c r="EF128" s="900"/>
      <c r="EG128" s="900"/>
      <c r="EH128" s="900"/>
      <c r="EI128" s="274"/>
      <c r="EJ128" s="36"/>
      <c r="EK128" s="900"/>
      <c r="EL128" s="900"/>
      <c r="EM128" s="900"/>
      <c r="EN128" s="900"/>
      <c r="EO128" s="274"/>
      <c r="EP128" s="36"/>
      <c r="EQ128" s="900"/>
      <c r="ER128" s="900"/>
      <c r="ES128" s="900"/>
      <c r="ET128" s="900"/>
      <c r="EU128" s="274"/>
      <c r="EV128" s="36"/>
      <c r="EW128" s="900"/>
      <c r="EX128" s="900"/>
      <c r="EY128" s="900"/>
      <c r="EZ128" s="900"/>
      <c r="FA128" s="274"/>
      <c r="FB128" s="36"/>
      <c r="FC128" s="900"/>
      <c r="FD128" s="900"/>
      <c r="FE128" s="900"/>
      <c r="FF128" s="900"/>
      <c r="FG128" s="274"/>
      <c r="FH128" s="36"/>
      <c r="FI128" s="900"/>
      <c r="FJ128" s="900"/>
      <c r="FK128" s="900"/>
      <c r="FL128" s="900"/>
      <c r="FM128" s="274"/>
      <c r="FN128" s="1123"/>
      <c r="FO128" s="275"/>
      <c r="FP128" s="188"/>
      <c r="FQ128" s="188"/>
      <c r="FR128" s="188"/>
      <c r="FS128" s="275"/>
      <c r="FT128" s="188"/>
      <c r="FU128" s="188"/>
      <c r="FV128" s="188"/>
      <c r="FW128" s="188"/>
      <c r="FX128" s="188"/>
      <c r="FY128" s="188"/>
      <c r="FZ128" s="188"/>
      <c r="GA128" s="188"/>
      <c r="GB128" s="188"/>
      <c r="GC128" s="188"/>
      <c r="GD128" s="188"/>
      <c r="GE128" s="188"/>
      <c r="GF128" s="188"/>
      <c r="GI128"/>
      <c r="GJ128"/>
      <c r="GK128"/>
      <c r="GL128"/>
      <c r="GM128"/>
      <c r="GN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</row>
    <row r="129" spans="1:281" s="37" customFormat="1" ht="10.5" customHeight="1" x14ac:dyDescent="0.2">
      <c r="A129" s="258" t="s">
        <v>1252</v>
      </c>
      <c r="B129" s="952"/>
      <c r="C129" s="259"/>
      <c r="D129" s="259"/>
      <c r="E129" s="259"/>
      <c r="F129" s="259"/>
      <c r="G129" s="259"/>
      <c r="H129" s="259"/>
      <c r="I129" s="259"/>
      <c r="J129" s="259"/>
      <c r="K129" s="259"/>
      <c r="L129" s="259"/>
      <c r="M129" s="259"/>
      <c r="N129" s="36"/>
      <c r="O129" s="259"/>
      <c r="P129" s="259"/>
      <c r="Q129" s="259"/>
      <c r="R129" s="259"/>
      <c r="S129" s="259"/>
      <c r="T129" s="36"/>
      <c r="U129" s="259"/>
      <c r="V129" s="259"/>
      <c r="W129" s="259"/>
      <c r="X129" s="259"/>
      <c r="Y129" s="259"/>
      <c r="Z129" s="36"/>
      <c r="AA129" s="259"/>
      <c r="AB129" s="259"/>
      <c r="AC129" s="259"/>
      <c r="AD129" s="259"/>
      <c r="AE129" s="259"/>
      <c r="AF129" s="36"/>
      <c r="AG129" s="259"/>
      <c r="AH129" s="259"/>
      <c r="AI129" s="259"/>
      <c r="AJ129" s="259"/>
      <c r="AK129" s="259"/>
      <c r="AL129" s="36"/>
      <c r="AM129" s="259"/>
      <c r="AN129" s="259"/>
      <c r="AO129" s="259"/>
      <c r="AP129" s="259"/>
      <c r="AQ129" s="259"/>
      <c r="AR129" s="36"/>
      <c r="AS129" s="259"/>
      <c r="AT129" s="259"/>
      <c r="AU129" s="259"/>
      <c r="AV129" s="259"/>
      <c r="AW129" s="259"/>
      <c r="AX129" s="36"/>
      <c r="AY129" s="259"/>
      <c r="AZ129" s="259"/>
      <c r="BA129" s="259"/>
      <c r="BB129" s="259"/>
      <c r="BC129" s="259"/>
      <c r="BD129" s="36"/>
      <c r="BE129" s="236"/>
      <c r="BF129" s="236"/>
      <c r="BG129" s="236"/>
      <c r="BH129" s="236"/>
      <c r="BI129" s="236"/>
      <c r="BJ129" s="36"/>
      <c r="BK129" s="236"/>
      <c r="BL129" s="236"/>
      <c r="BM129" s="236"/>
      <c r="BN129" s="236"/>
      <c r="BO129" s="236"/>
      <c r="BP129" s="36"/>
      <c r="BQ129" s="236"/>
      <c r="BR129" s="236"/>
      <c r="BS129" s="236"/>
      <c r="BT129" s="236"/>
      <c r="BU129" s="236"/>
      <c r="BV129" s="36"/>
      <c r="BW129" s="188"/>
      <c r="BX129" s="188"/>
      <c r="BY129" s="188"/>
      <c r="BZ129" s="188"/>
      <c r="CA129" s="188"/>
      <c r="CB129" s="36"/>
      <c r="CC129" s="188"/>
      <c r="CD129" s="188"/>
      <c r="CE129" s="188"/>
      <c r="CF129" s="188"/>
      <c r="CG129" s="274"/>
      <c r="CH129" s="36"/>
      <c r="CI129" s="188"/>
      <c r="CJ129" s="188"/>
      <c r="CK129" s="188"/>
      <c r="CL129" s="188"/>
      <c r="CM129" s="274"/>
      <c r="CN129" s="36"/>
      <c r="CO129" s="188"/>
      <c r="CP129" s="188"/>
      <c r="CQ129" s="188"/>
      <c r="CR129" s="188"/>
      <c r="CS129" s="274"/>
      <c r="CT129" s="36"/>
      <c r="CU129" s="188"/>
      <c r="CV129" s="188"/>
      <c r="CW129" s="188"/>
      <c r="CX129" s="188"/>
      <c r="CY129" s="274"/>
      <c r="CZ129" s="36"/>
      <c r="DA129" s="188"/>
      <c r="DB129" s="188"/>
      <c r="DC129" s="188"/>
      <c r="DD129" s="188"/>
      <c r="DE129" s="274"/>
      <c r="DF129" s="36"/>
      <c r="DG129" s="188"/>
      <c r="DH129" s="188"/>
      <c r="DI129" s="188"/>
      <c r="DJ129" s="900"/>
      <c r="DK129" s="274"/>
      <c r="DL129" s="36"/>
      <c r="DM129" s="900"/>
      <c r="DN129" s="900"/>
      <c r="DO129" s="900"/>
      <c r="DP129" s="900"/>
      <c r="DQ129" s="274"/>
      <c r="DR129" s="36"/>
      <c r="DS129" s="243">
        <f t="shared" ref="DS129:DV129" si="88">DS132+DS135</f>
        <v>607</v>
      </c>
      <c r="DT129" s="243">
        <f t="shared" si="88"/>
        <v>592</v>
      </c>
      <c r="DU129" s="243">
        <f t="shared" si="88"/>
        <v>554</v>
      </c>
      <c r="DV129" s="243">
        <f t="shared" si="88"/>
        <v>631</v>
      </c>
      <c r="DW129" s="174">
        <f>SUM(DS129:DV129)</f>
        <v>2384</v>
      </c>
      <c r="DX129" s="36"/>
      <c r="DY129" s="243">
        <f t="shared" ref="DY129:EB129" si="89">DY132+DY135</f>
        <v>534</v>
      </c>
      <c r="DZ129" s="243">
        <f t="shared" si="89"/>
        <v>581</v>
      </c>
      <c r="EA129" s="243">
        <f t="shared" si="89"/>
        <v>584</v>
      </c>
      <c r="EB129" s="243">
        <f t="shared" si="89"/>
        <v>646</v>
      </c>
      <c r="EC129" s="174">
        <f>SUM(DY129:EB129)</f>
        <v>2345</v>
      </c>
      <c r="ED129" s="36"/>
      <c r="EE129" s="243">
        <f t="shared" ref="EE129:EH129" si="90">EE132+EE135</f>
        <v>488</v>
      </c>
      <c r="EF129" s="243">
        <f t="shared" si="90"/>
        <v>584</v>
      </c>
      <c r="EG129" s="243">
        <f t="shared" si="90"/>
        <v>582</v>
      </c>
      <c r="EH129" s="243">
        <f t="shared" si="90"/>
        <v>622</v>
      </c>
      <c r="EI129" s="174">
        <f>SUM(EE129:EH129)</f>
        <v>2276</v>
      </c>
      <c r="EJ129" s="36"/>
      <c r="EK129" s="243">
        <f t="shared" ref="EK129:EN129" si="91">EK132+EK135</f>
        <v>480</v>
      </c>
      <c r="EL129" s="243">
        <f t="shared" si="91"/>
        <v>496</v>
      </c>
      <c r="EM129" s="243">
        <f t="shared" si="91"/>
        <v>507</v>
      </c>
      <c r="EN129" s="243">
        <f t="shared" si="91"/>
        <v>570</v>
      </c>
      <c r="EO129" s="174">
        <f>SUM(EK129:EN129)</f>
        <v>2053</v>
      </c>
      <c r="EP129" s="36"/>
      <c r="EQ129" s="243">
        <f t="shared" ref="EQ129:ER129" si="92">EQ132+EQ135</f>
        <v>388</v>
      </c>
      <c r="ER129" s="243">
        <f t="shared" si="92"/>
        <v>383</v>
      </c>
      <c r="ES129" s="243">
        <f>ES132+ES135</f>
        <v>434</v>
      </c>
      <c r="ET129" s="243">
        <f>440-3</f>
        <v>437</v>
      </c>
      <c r="EU129" s="174">
        <f>SUM(EQ129:ET129)</f>
        <v>1642</v>
      </c>
      <c r="EV129" s="36"/>
      <c r="EW129" s="243">
        <f>373-3</f>
        <v>370</v>
      </c>
      <c r="EX129" s="243">
        <f>351-3</f>
        <v>348</v>
      </c>
      <c r="EY129" s="243">
        <f>394-2</f>
        <v>392</v>
      </c>
      <c r="EZ129" s="243">
        <f t="shared" ref="EZ129" si="93">EZ132+EZ135</f>
        <v>412.57773000000003</v>
      </c>
      <c r="FA129" s="174">
        <f>SUM(EW129:EZ129)</f>
        <v>1522.57773</v>
      </c>
      <c r="FB129" s="36"/>
      <c r="FC129" s="243">
        <f>FC132+FC135</f>
        <v>313.1057494591812</v>
      </c>
      <c r="FD129" s="243">
        <f t="shared" ref="FD129:FF129" si="94">FD132+FD135</f>
        <v>299.78071199999999</v>
      </c>
      <c r="FE129" s="243">
        <f t="shared" si="94"/>
        <v>329.60883200000001</v>
      </c>
      <c r="FF129" s="243">
        <f t="shared" si="94"/>
        <v>348.78935999999999</v>
      </c>
      <c r="FG129" s="174">
        <f>SUM(FC129:FF129)</f>
        <v>1291.2846534591813</v>
      </c>
      <c r="FH129" s="36"/>
      <c r="FI129" s="243">
        <f>FI132+FI135</f>
        <v>274.63528518999999</v>
      </c>
      <c r="FJ129" s="243">
        <f t="shared" ref="FJ129:FL129" si="95">FJ132+FJ135</f>
        <v>260.65392558000002</v>
      </c>
      <c r="FK129" s="243">
        <f t="shared" si="95"/>
        <v>284.74441238000003</v>
      </c>
      <c r="FL129" s="243">
        <f t="shared" si="95"/>
        <v>299.97303896250003</v>
      </c>
      <c r="FM129" s="174">
        <f>SUM(FI129:FL129)</f>
        <v>1120.0066621125002</v>
      </c>
      <c r="FN129" s="1123"/>
      <c r="FO129" s="275"/>
      <c r="FP129" s="188"/>
      <c r="FQ129" s="188"/>
      <c r="FR129" s="188"/>
      <c r="FS129" s="275"/>
      <c r="FT129" s="188"/>
      <c r="FU129" s="188"/>
      <c r="FV129" s="188"/>
      <c r="FW129" s="188"/>
      <c r="FX129" s="188"/>
      <c r="FY129" s="188"/>
      <c r="FZ129" s="188"/>
      <c r="GA129" s="188"/>
      <c r="GB129" s="188"/>
      <c r="GC129" s="188"/>
      <c r="GD129" s="188"/>
      <c r="GE129" s="188"/>
      <c r="GF129" s="188"/>
      <c r="GI129"/>
      <c r="GJ129"/>
      <c r="GK129"/>
      <c r="GL129"/>
      <c r="GM129"/>
      <c r="GN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</row>
    <row r="130" spans="1:281" s="37" customFormat="1" ht="10.5" customHeight="1" x14ac:dyDescent="0.2">
      <c r="A130" s="247" t="s">
        <v>1253</v>
      </c>
      <c r="B130" s="952"/>
      <c r="C130" s="259"/>
      <c r="D130" s="259"/>
      <c r="E130" s="259"/>
      <c r="F130" s="259"/>
      <c r="G130" s="259"/>
      <c r="H130" s="259"/>
      <c r="I130" s="259"/>
      <c r="J130" s="259"/>
      <c r="K130" s="259"/>
      <c r="L130" s="259"/>
      <c r="M130" s="259"/>
      <c r="N130" s="36"/>
      <c r="O130" s="259"/>
      <c r="P130" s="259"/>
      <c r="Q130" s="259"/>
      <c r="R130" s="259"/>
      <c r="S130" s="259"/>
      <c r="T130" s="36"/>
      <c r="U130" s="259"/>
      <c r="V130" s="259"/>
      <c r="W130" s="259"/>
      <c r="X130" s="259"/>
      <c r="Y130" s="259"/>
      <c r="Z130" s="36"/>
      <c r="AA130" s="259"/>
      <c r="AB130" s="259"/>
      <c r="AC130" s="259"/>
      <c r="AD130" s="259"/>
      <c r="AE130" s="259"/>
      <c r="AF130" s="36"/>
      <c r="AG130" s="259"/>
      <c r="AH130" s="259"/>
      <c r="AI130" s="259"/>
      <c r="AJ130" s="259"/>
      <c r="AK130" s="259"/>
      <c r="AL130" s="36"/>
      <c r="AM130" s="259"/>
      <c r="AN130" s="259"/>
      <c r="AO130" s="259"/>
      <c r="AP130" s="259"/>
      <c r="AQ130" s="259"/>
      <c r="AR130" s="36"/>
      <c r="AS130" s="259"/>
      <c r="AT130" s="259"/>
      <c r="AU130" s="259"/>
      <c r="AV130" s="259"/>
      <c r="AW130" s="259"/>
      <c r="AX130" s="36"/>
      <c r="AY130" s="259"/>
      <c r="AZ130" s="259"/>
      <c r="BA130" s="259"/>
      <c r="BB130" s="259"/>
      <c r="BC130" s="259"/>
      <c r="BD130" s="36"/>
      <c r="BE130" s="236"/>
      <c r="BF130" s="236"/>
      <c r="BG130" s="236"/>
      <c r="BH130" s="236"/>
      <c r="BI130" s="236"/>
      <c r="BJ130" s="36"/>
      <c r="BK130" s="236"/>
      <c r="BL130" s="236"/>
      <c r="BM130" s="236"/>
      <c r="BN130" s="236"/>
      <c r="BO130" s="236"/>
      <c r="BP130" s="36"/>
      <c r="BQ130" s="236"/>
      <c r="BR130" s="236"/>
      <c r="BS130" s="236"/>
      <c r="BT130" s="236"/>
      <c r="BU130" s="236"/>
      <c r="BV130" s="36"/>
      <c r="BW130" s="188"/>
      <c r="BX130" s="188"/>
      <c r="BY130" s="188"/>
      <c r="BZ130" s="188"/>
      <c r="CA130" s="188"/>
      <c r="CB130" s="36"/>
      <c r="CC130" s="188"/>
      <c r="CD130" s="188"/>
      <c r="CE130" s="188"/>
      <c r="CF130" s="188"/>
      <c r="CG130" s="274"/>
      <c r="CH130" s="36"/>
      <c r="CI130" s="188"/>
      <c r="CJ130" s="188"/>
      <c r="CK130" s="188"/>
      <c r="CL130" s="188"/>
      <c r="CM130" s="274"/>
      <c r="CN130" s="36"/>
      <c r="CO130" s="188"/>
      <c r="CP130" s="188"/>
      <c r="CQ130" s="188"/>
      <c r="CR130" s="188"/>
      <c r="CS130" s="274"/>
      <c r="CT130" s="36"/>
      <c r="CU130" s="188"/>
      <c r="CV130" s="188"/>
      <c r="CW130" s="188"/>
      <c r="CX130" s="188"/>
      <c r="CY130" s="274"/>
      <c r="CZ130" s="36"/>
      <c r="DA130" s="188"/>
      <c r="DB130" s="188"/>
      <c r="DC130" s="188"/>
      <c r="DD130" s="188"/>
      <c r="DE130" s="274"/>
      <c r="DF130" s="36"/>
      <c r="DG130" s="188"/>
      <c r="DH130" s="188"/>
      <c r="DI130" s="188"/>
      <c r="DJ130" s="900"/>
      <c r="DK130" s="274"/>
      <c r="DL130" s="36"/>
      <c r="DM130" s="900"/>
      <c r="DN130" s="900"/>
      <c r="DO130" s="900"/>
      <c r="DP130" s="900"/>
      <c r="DQ130" s="274"/>
      <c r="DR130" s="36"/>
      <c r="DS130" s="188">
        <f>1-DS129/(DS60+DS67)</f>
        <v>0.55268975681650701</v>
      </c>
      <c r="DT130" s="188">
        <f>1-DT129/(DT60+DT67)</f>
        <v>0.55287009063444104</v>
      </c>
      <c r="DU130" s="188">
        <f>1-DU129/(DU60+DU67)</f>
        <v>0.55430410297666932</v>
      </c>
      <c r="DV130" s="188">
        <f>1-DV129/(DV60+DV67)</f>
        <v>0.56027874564459923</v>
      </c>
      <c r="DW130" s="274">
        <f>1-DW129/(DW60+DW67)</f>
        <v>0.55514088449337562</v>
      </c>
      <c r="DX130" s="36"/>
      <c r="DY130" s="188">
        <f>1-DY129/(DY60+DY67)</f>
        <v>0.5781990521327014</v>
      </c>
      <c r="DZ130" s="188">
        <f>1-DZ129/(DZ60+DZ67)</f>
        <v>0.56217030896759601</v>
      </c>
      <c r="EA130" s="188">
        <f>1-EA129/(EA60+EA67)</f>
        <v>0.55924528301886789</v>
      </c>
      <c r="EB130" s="188">
        <f>1-EB129/(EB60+EB67)</f>
        <v>0.55964553510565773</v>
      </c>
      <c r="EC130" s="274">
        <f>1-EC129/(EC60+EC67)</f>
        <v>0.56453110492107705</v>
      </c>
      <c r="ED130" s="36"/>
      <c r="EE130" s="188">
        <f>1-EE129/(EE60+EE67)</f>
        <v>0.58147512864494</v>
      </c>
      <c r="EF130" s="188">
        <f>1-EF129/(EF60+EF67)</f>
        <v>0.56287425149700598</v>
      </c>
      <c r="EG130" s="188">
        <f>1-EG129/(EG60+EG67)</f>
        <v>0.55230769230769239</v>
      </c>
      <c r="EH130" s="188">
        <f>1-EH129/(EH60+EH67)</f>
        <v>0.55823863636363635</v>
      </c>
      <c r="EI130" s="274">
        <f>1-EI129/(EI60+EI67)</f>
        <v>0.56314779270633397</v>
      </c>
      <c r="EJ130" s="36"/>
      <c r="EK130" s="188">
        <f>1-EK129/(EK60+EK67)</f>
        <v>0.57484499557130198</v>
      </c>
      <c r="EL130" s="188">
        <f>1-EL129/(EL60+EL67)</f>
        <v>0.55832591273374887</v>
      </c>
      <c r="EM130" s="188">
        <f>1-EM129/(EM60+EM67)</f>
        <v>0.55330396475770927</v>
      </c>
      <c r="EN130" s="188">
        <f>1-EN129/(EN60+EN67)</f>
        <v>0.55572876071706934</v>
      </c>
      <c r="EO130" s="274">
        <f>1-EO129/(EO60+EO67)</f>
        <v>0.56038543897216275</v>
      </c>
      <c r="EP130" s="36"/>
      <c r="EQ130" s="188">
        <f>1-EQ129/(EQ60+EQ67)</f>
        <v>0.61044176706827313</v>
      </c>
      <c r="ER130" s="188">
        <f>1-ER129/(ER60+ER67)</f>
        <v>0.62228796844181455</v>
      </c>
      <c r="ES130" s="188">
        <f>1-ES129/(ES60+ES67)</f>
        <v>0.5778210116731517</v>
      </c>
      <c r="ET130" s="188">
        <f>1-ET129/(ET60+ET67)</f>
        <v>0.6077199281867145</v>
      </c>
      <c r="EU130" s="274">
        <f>1-EU129/(EU60+EU67)</f>
        <v>0.60452793834296725</v>
      </c>
      <c r="EV130" s="36"/>
      <c r="EW130" s="188">
        <f>1-EW129/(EW60+EW67)</f>
        <v>0.60763520678685046</v>
      </c>
      <c r="EX130" s="188">
        <f>1-EX129/(EX60+EX67)</f>
        <v>0.62978723404255321</v>
      </c>
      <c r="EY130" s="188">
        <f>1-EY129/(EY60+EY67)</f>
        <v>0.60563380281690149</v>
      </c>
      <c r="EZ130" s="188">
        <f>1-EZ129/(EZ60+EZ67)</f>
        <v>0.59904947438729539</v>
      </c>
      <c r="FA130" s="274">
        <f>1-FA129/(FA60+FA67)</f>
        <v>0.61019506379302546</v>
      </c>
      <c r="FB130" s="36"/>
      <c r="FC130" s="188">
        <f>1-FC129/(FC60+FC67)</f>
        <v>0.60709653920337847</v>
      </c>
      <c r="FD130" s="188">
        <f>1-FD129/(FD60+FD67)</f>
        <v>0.63093421361966473</v>
      </c>
      <c r="FE130" s="188">
        <f>1-FE129/(FE60+FE67)</f>
        <v>0.60427760603587266</v>
      </c>
      <c r="FF130" s="188">
        <f>1-FF129/(FF60+FF67)</f>
        <v>0.59831249247100859</v>
      </c>
      <c r="FG130" s="274">
        <f>1-FG129/(FG60+FG67)</f>
        <v>0.60993224589026185</v>
      </c>
      <c r="FH130" s="36"/>
      <c r="FI130" s="188">
        <f>1-FI129/(FI60+FI67)</f>
        <v>0.61082460369750524</v>
      </c>
      <c r="FJ130" s="188">
        <f>1-FJ129/(FJ60+FJ67)</f>
        <v>0.63282822852657783</v>
      </c>
      <c r="FK130" s="188">
        <f>1-FK129/(FK60+FK67)</f>
        <v>0.60629679956919069</v>
      </c>
      <c r="FL130" s="188">
        <f>1-FL129/(FL60+FL67)</f>
        <v>0.59989579414736716</v>
      </c>
      <c r="FM130" s="274">
        <f>1-FM129/(FM60+FM67)</f>
        <v>0.61226194034170356</v>
      </c>
      <c r="FN130" s="1123"/>
      <c r="FO130" s="275"/>
      <c r="FP130" s="188"/>
      <c r="FQ130" s="188"/>
      <c r="FR130" s="188"/>
      <c r="FS130" s="275"/>
      <c r="FT130" s="188"/>
      <c r="FU130" s="188"/>
      <c r="FV130" s="188"/>
      <c r="FW130" s="188"/>
      <c r="FX130" s="188"/>
      <c r="FY130" s="188"/>
      <c r="FZ130" s="188"/>
      <c r="GA130" s="188"/>
      <c r="GB130" s="188"/>
      <c r="GC130" s="188"/>
      <c r="GD130" s="188"/>
      <c r="GE130" s="188"/>
      <c r="GF130" s="188"/>
      <c r="GI130"/>
      <c r="GJ130"/>
      <c r="GK130"/>
      <c r="GL130"/>
      <c r="GM130"/>
      <c r="GN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</row>
    <row r="131" spans="1:281" s="37" customFormat="1" ht="8.1" hidden="1" customHeight="1" outlineLevel="1" x14ac:dyDescent="0.2">
      <c r="A131" s="247"/>
      <c r="B131" s="952"/>
      <c r="C131" s="259"/>
      <c r="D131" s="259"/>
      <c r="E131" s="259"/>
      <c r="F131" s="259"/>
      <c r="G131" s="259"/>
      <c r="H131" s="259"/>
      <c r="I131" s="259"/>
      <c r="J131" s="259"/>
      <c r="K131" s="259"/>
      <c r="L131" s="259"/>
      <c r="M131" s="259"/>
      <c r="N131" s="36"/>
      <c r="O131" s="259"/>
      <c r="P131" s="259"/>
      <c r="Q131" s="259"/>
      <c r="R131" s="259"/>
      <c r="S131" s="259"/>
      <c r="T131" s="36"/>
      <c r="U131" s="259"/>
      <c r="V131" s="259"/>
      <c r="W131" s="259"/>
      <c r="X131" s="259"/>
      <c r="Y131" s="259"/>
      <c r="Z131" s="36"/>
      <c r="AA131" s="259"/>
      <c r="AB131" s="259"/>
      <c r="AC131" s="259"/>
      <c r="AD131" s="259"/>
      <c r="AE131" s="259"/>
      <c r="AF131" s="36"/>
      <c r="AG131" s="259"/>
      <c r="AH131" s="259"/>
      <c r="AI131" s="259"/>
      <c r="AJ131" s="259"/>
      <c r="AK131" s="259"/>
      <c r="AL131" s="36"/>
      <c r="AM131" s="259"/>
      <c r="AN131" s="259"/>
      <c r="AO131" s="259"/>
      <c r="AP131" s="259"/>
      <c r="AQ131" s="259"/>
      <c r="AR131" s="36"/>
      <c r="AS131" s="259"/>
      <c r="AT131" s="259"/>
      <c r="AU131" s="259"/>
      <c r="AV131" s="259"/>
      <c r="AW131" s="259"/>
      <c r="AX131" s="36"/>
      <c r="AY131" s="259"/>
      <c r="AZ131" s="259"/>
      <c r="BA131" s="259"/>
      <c r="BB131" s="259"/>
      <c r="BC131" s="259"/>
      <c r="BD131" s="36"/>
      <c r="BE131" s="236"/>
      <c r="BF131" s="236"/>
      <c r="BG131" s="236"/>
      <c r="BH131" s="236"/>
      <c r="BI131" s="236"/>
      <c r="BJ131" s="36"/>
      <c r="BK131" s="236"/>
      <c r="BL131" s="236"/>
      <c r="BM131" s="236"/>
      <c r="BN131" s="236"/>
      <c r="BO131" s="236"/>
      <c r="BP131" s="36"/>
      <c r="BQ131" s="236"/>
      <c r="BR131" s="236"/>
      <c r="BS131" s="236"/>
      <c r="BT131" s="236"/>
      <c r="BU131" s="236"/>
      <c r="BV131" s="36"/>
      <c r="BW131" s="188"/>
      <c r="BX131" s="188"/>
      <c r="BY131" s="188"/>
      <c r="BZ131" s="188"/>
      <c r="CA131" s="188"/>
      <c r="CB131" s="36"/>
      <c r="CC131" s="188"/>
      <c r="CD131" s="188"/>
      <c r="CE131" s="188"/>
      <c r="CF131" s="188"/>
      <c r="CG131" s="274"/>
      <c r="CH131" s="36"/>
      <c r="CI131" s="188"/>
      <c r="CJ131" s="188"/>
      <c r="CK131" s="188"/>
      <c r="CL131" s="188"/>
      <c r="CM131" s="274"/>
      <c r="CN131" s="36"/>
      <c r="CO131" s="188"/>
      <c r="CP131" s="188"/>
      <c r="CQ131" s="188"/>
      <c r="CR131" s="188"/>
      <c r="CS131" s="274"/>
      <c r="CT131" s="36"/>
      <c r="CU131" s="188"/>
      <c r="CV131" s="188"/>
      <c r="CW131" s="188"/>
      <c r="CX131" s="188"/>
      <c r="CY131" s="274"/>
      <c r="CZ131" s="36"/>
      <c r="DA131" s="188"/>
      <c r="DB131" s="188"/>
      <c r="DC131" s="188"/>
      <c r="DD131" s="188"/>
      <c r="DE131" s="274"/>
      <c r="DF131" s="36"/>
      <c r="DG131" s="188"/>
      <c r="DH131" s="188"/>
      <c r="DI131" s="188"/>
      <c r="DJ131" s="900"/>
      <c r="DK131" s="274"/>
      <c r="DL131" s="36"/>
      <c r="DM131" s="900"/>
      <c r="DN131" s="900"/>
      <c r="DO131" s="900"/>
      <c r="DP131" s="900"/>
      <c r="DQ131" s="274"/>
      <c r="DR131" s="36"/>
      <c r="DS131" s="900"/>
      <c r="DT131" s="900"/>
      <c r="DU131" s="900"/>
      <c r="DV131" s="900"/>
      <c r="DW131" s="274"/>
      <c r="DX131" s="36"/>
      <c r="DY131" s="900"/>
      <c r="DZ131" s="900"/>
      <c r="EA131" s="900"/>
      <c r="EB131" s="900"/>
      <c r="EC131" s="274"/>
      <c r="ED131" s="36"/>
      <c r="EE131" s="900"/>
      <c r="EF131" s="900"/>
      <c r="EG131" s="900"/>
      <c r="EH131" s="900"/>
      <c r="EI131" s="274"/>
      <c r="EJ131" s="36"/>
      <c r="EK131" s="900"/>
      <c r="EL131" s="900"/>
      <c r="EM131" s="900"/>
      <c r="EN131" s="900"/>
      <c r="EO131" s="274"/>
      <c r="EP131" s="36"/>
      <c r="EQ131" s="900"/>
      <c r="ER131" s="900"/>
      <c r="ES131" s="900"/>
      <c r="ET131" s="900"/>
      <c r="EU131" s="274"/>
      <c r="EV131" s="36"/>
      <c r="EW131" s="900"/>
      <c r="EX131" s="900"/>
      <c r="EY131" s="900"/>
      <c r="EZ131" s="900"/>
      <c r="FA131" s="274"/>
      <c r="FB131" s="36"/>
      <c r="FC131" s="900"/>
      <c r="FD131" s="900"/>
      <c r="FE131" s="900"/>
      <c r="FF131" s="900"/>
      <c r="FG131" s="274"/>
      <c r="FH131" s="36"/>
      <c r="FI131" s="900"/>
      <c r="FJ131" s="900"/>
      <c r="FK131" s="900"/>
      <c r="FL131" s="900"/>
      <c r="FM131" s="274"/>
      <c r="FN131" s="1123"/>
      <c r="FO131" s="275"/>
      <c r="FP131" s="188"/>
      <c r="FQ131" s="188"/>
      <c r="FR131" s="188"/>
      <c r="FS131" s="275"/>
      <c r="FT131" s="188"/>
      <c r="FU131" s="188"/>
      <c r="FV131" s="188"/>
      <c r="FW131" s="188"/>
      <c r="FX131" s="188"/>
      <c r="FY131" s="188"/>
      <c r="FZ131" s="188"/>
      <c r="GA131" s="188"/>
      <c r="GB131" s="188"/>
      <c r="GC131" s="188"/>
      <c r="GD131" s="188"/>
      <c r="GE131" s="188"/>
      <c r="GF131" s="188"/>
      <c r="GI131"/>
      <c r="GJ131"/>
      <c r="GK131"/>
      <c r="GL131"/>
      <c r="GM131"/>
      <c r="GN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</row>
    <row r="132" spans="1:281" s="37" customFormat="1" ht="10.5" hidden="1" customHeight="1" outlineLevel="1" x14ac:dyDescent="0.2">
      <c r="A132" s="258" t="s">
        <v>531</v>
      </c>
      <c r="B132" s="952"/>
      <c r="C132" s="259"/>
      <c r="D132" s="259"/>
      <c r="E132" s="259"/>
      <c r="F132" s="259"/>
      <c r="G132" s="259"/>
      <c r="H132" s="259"/>
      <c r="I132" s="259"/>
      <c r="J132" s="259"/>
      <c r="K132" s="259"/>
      <c r="L132" s="259"/>
      <c r="M132" s="259"/>
      <c r="N132" s="36"/>
      <c r="O132" s="259"/>
      <c r="P132" s="259"/>
      <c r="Q132" s="259"/>
      <c r="R132" s="259"/>
      <c r="S132" s="259"/>
      <c r="T132" s="36"/>
      <c r="U132" s="259"/>
      <c r="V132" s="259"/>
      <c r="W132" s="259"/>
      <c r="X132" s="259"/>
      <c r="Y132" s="259"/>
      <c r="Z132" s="36"/>
      <c r="AA132" s="259"/>
      <c r="AB132" s="259"/>
      <c r="AC132" s="259"/>
      <c r="AD132" s="259"/>
      <c r="AE132" s="259"/>
      <c r="AF132" s="36"/>
      <c r="AG132" s="259"/>
      <c r="AH132" s="259"/>
      <c r="AI132" s="259"/>
      <c r="AJ132" s="259"/>
      <c r="AK132" s="259"/>
      <c r="AL132" s="36"/>
      <c r="AM132" s="259"/>
      <c r="AN132" s="259"/>
      <c r="AO132" s="259"/>
      <c r="AP132" s="259"/>
      <c r="AQ132" s="259"/>
      <c r="AR132" s="36"/>
      <c r="AS132" s="259"/>
      <c r="AT132" s="259"/>
      <c r="AU132" s="259"/>
      <c r="AV132" s="259"/>
      <c r="AW132" s="259"/>
      <c r="AX132" s="36"/>
      <c r="AY132" s="259"/>
      <c r="AZ132" s="259"/>
      <c r="BA132" s="259"/>
      <c r="BB132" s="259"/>
      <c r="BC132" s="259"/>
      <c r="BD132" s="36"/>
      <c r="BE132" s="236"/>
      <c r="BF132" s="236"/>
      <c r="BG132" s="236"/>
      <c r="BH132" s="236"/>
      <c r="BI132" s="236"/>
      <c r="BJ132" s="36"/>
      <c r="BK132" s="236"/>
      <c r="BL132" s="236"/>
      <c r="BM132" s="236"/>
      <c r="BN132" s="236"/>
      <c r="BO132" s="236"/>
      <c r="BP132" s="36"/>
      <c r="BQ132" s="236"/>
      <c r="BR132" s="236"/>
      <c r="BS132" s="236"/>
      <c r="BT132" s="236"/>
      <c r="BU132" s="236"/>
      <c r="BV132" s="36"/>
      <c r="BW132" s="188"/>
      <c r="BX132" s="188"/>
      <c r="BY132" s="188"/>
      <c r="BZ132" s="188"/>
      <c r="CA132" s="188"/>
      <c r="CB132" s="36"/>
      <c r="CC132" s="188"/>
      <c r="CD132" s="188"/>
      <c r="CE132" s="188"/>
      <c r="CF132" s="188"/>
      <c r="CG132" s="274"/>
      <c r="CH132" s="36"/>
      <c r="CI132" s="188"/>
      <c r="CJ132" s="188"/>
      <c r="CK132" s="188"/>
      <c r="CL132" s="188"/>
      <c r="CM132" s="274"/>
      <c r="CN132" s="36"/>
      <c r="CO132" s="188"/>
      <c r="CP132" s="188"/>
      <c r="CQ132" s="188"/>
      <c r="CR132" s="188"/>
      <c r="CS132" s="274"/>
      <c r="CT132" s="36"/>
      <c r="CU132" s="188"/>
      <c r="CV132" s="188"/>
      <c r="CW132" s="188"/>
      <c r="CX132" s="188"/>
      <c r="CY132" s="274"/>
      <c r="CZ132" s="36"/>
      <c r="DA132" s="188"/>
      <c r="DB132" s="188"/>
      <c r="DC132" s="243">
        <f>206-2-24</f>
        <v>180</v>
      </c>
      <c r="DD132" s="243">
        <f>675-1-5.7</f>
        <v>668.3</v>
      </c>
      <c r="DE132" s="174">
        <f>SUM(DA132:DD132)</f>
        <v>848.3</v>
      </c>
      <c r="DF132" s="36"/>
      <c r="DG132" s="243">
        <f>557-1</f>
        <v>556</v>
      </c>
      <c r="DH132" s="243">
        <f>525-1</f>
        <v>524</v>
      </c>
      <c r="DI132" s="243">
        <f>465-1</f>
        <v>464</v>
      </c>
      <c r="DJ132" s="243">
        <f>511-0</f>
        <v>511</v>
      </c>
      <c r="DK132" s="174">
        <f>SUM(DG132:DJ132)</f>
        <v>2055</v>
      </c>
      <c r="DL132" s="36"/>
      <c r="DM132" s="243">
        <f>472-1</f>
        <v>471</v>
      </c>
      <c r="DN132" s="243">
        <f>471-0</f>
        <v>471</v>
      </c>
      <c r="DO132" s="243">
        <f>424</f>
        <v>424</v>
      </c>
      <c r="DP132" s="243">
        <f>476</f>
        <v>476</v>
      </c>
      <c r="DQ132" s="174">
        <f>SUM(DM132:DP132)</f>
        <v>1842</v>
      </c>
      <c r="DR132" s="36"/>
      <c r="DS132" s="243">
        <f>384</f>
        <v>384</v>
      </c>
      <c r="DT132" s="243">
        <f>367-1</f>
        <v>366</v>
      </c>
      <c r="DU132" s="243">
        <f>337-1</f>
        <v>336</v>
      </c>
      <c r="DV132" s="243">
        <f>413-1</f>
        <v>412</v>
      </c>
      <c r="DW132" s="174">
        <f>SUM(DS132:DV132)</f>
        <v>1498</v>
      </c>
      <c r="DX132" s="36"/>
      <c r="DY132" s="243">
        <f>330-2</f>
        <v>328</v>
      </c>
      <c r="DZ132" s="243">
        <f>369-1</f>
        <v>368</v>
      </c>
      <c r="EA132" s="243">
        <f>379-1</f>
        <v>378</v>
      </c>
      <c r="EB132" s="243">
        <f>443-1</f>
        <v>442</v>
      </c>
      <c r="EC132" s="174">
        <f>SUM(DY132:EB132)</f>
        <v>1516</v>
      </c>
      <c r="ED132" s="36"/>
      <c r="EE132" s="243">
        <f>298-1</f>
        <v>297</v>
      </c>
      <c r="EF132" s="243">
        <f>369-1</f>
        <v>368</v>
      </c>
      <c r="EG132" s="243">
        <f>367-1</f>
        <v>366</v>
      </c>
      <c r="EH132" s="243">
        <f>438-2</f>
        <v>436</v>
      </c>
      <c r="EI132" s="174">
        <f>SUM(EE132:EH132)</f>
        <v>1467</v>
      </c>
      <c r="EJ132" s="36"/>
      <c r="EK132" s="243">
        <f>303-2</f>
        <v>301</v>
      </c>
      <c r="EL132" s="243">
        <f>325-2</f>
        <v>323</v>
      </c>
      <c r="EM132" s="243">
        <f>338-1</f>
        <v>337</v>
      </c>
      <c r="EN132" s="243">
        <f>405-2</f>
        <v>403</v>
      </c>
      <c r="EO132" s="174">
        <f>SUM(EK132:EN132)</f>
        <v>1364</v>
      </c>
      <c r="EP132" s="36"/>
      <c r="EQ132" s="243">
        <f>242-2</f>
        <v>240</v>
      </c>
      <c r="ER132" s="243">
        <f>-2+242</f>
        <v>240</v>
      </c>
      <c r="ES132" s="243">
        <f>290-2</f>
        <v>288</v>
      </c>
      <c r="ET132" s="243">
        <f>ET129-ET135</f>
        <v>292.24</v>
      </c>
      <c r="EU132" s="174">
        <f>SUM(EQ132:ET132)</f>
        <v>1060.24</v>
      </c>
      <c r="EV132" s="36"/>
      <c r="EW132" s="243">
        <f>EW129-EW135</f>
        <v>203.52399999999994</v>
      </c>
      <c r="EX132" s="243">
        <f>EX129-EX135</f>
        <v>191.24399999999997</v>
      </c>
      <c r="EY132" s="243">
        <f>EY129-EY135</f>
        <v>231.07999999999998</v>
      </c>
      <c r="EZ132" s="243">
        <f>EZ60*(1-EZ133)</f>
        <v>259.69499999999999</v>
      </c>
      <c r="FA132" s="174">
        <f>SUM(EW132:EZ132)</f>
        <v>885.54299999999989</v>
      </c>
      <c r="FB132" s="36"/>
      <c r="FC132" s="243">
        <f>FC60*(1-FC133)</f>
        <v>172.99539999999996</v>
      </c>
      <c r="FD132" s="243">
        <f>FD60*(1-FD133)</f>
        <v>162.55739999999997</v>
      </c>
      <c r="FE132" s="243">
        <f>FE60*(1-FE133)</f>
        <v>196.41800000000001</v>
      </c>
      <c r="FF132" s="243">
        <f>FF60*(1-FF133)</f>
        <v>220.74074999999999</v>
      </c>
      <c r="FG132" s="174">
        <f>SUM(FC132:FF132)</f>
        <v>752.71154999999999</v>
      </c>
      <c r="FH132" s="36"/>
      <c r="FI132" s="243">
        <f>FI60*(1-FI133)</f>
        <v>147.04608999999996</v>
      </c>
      <c r="FJ132" s="243">
        <f>FJ60*(1-FJ133)</f>
        <v>138.17378999999997</v>
      </c>
      <c r="FK132" s="243">
        <f>FK60*(1-FK133)</f>
        <v>166.95529999999999</v>
      </c>
      <c r="FL132" s="243">
        <f>FL60*(1-FL133)</f>
        <v>187.6296375</v>
      </c>
      <c r="FM132" s="174">
        <f>SUM(FI132:FL132)</f>
        <v>639.8048174999999</v>
      </c>
      <c r="FN132" s="1123"/>
      <c r="FO132" s="275"/>
      <c r="FP132" s="188"/>
      <c r="FQ132" s="243"/>
      <c r="FR132" s="243"/>
      <c r="FS132" s="245">
        <f>DC132+DD132+DG132+DH132</f>
        <v>1928.3</v>
      </c>
      <c r="FT132" s="243">
        <f>DI132+DJ132+DM132+DN132</f>
        <v>1917</v>
      </c>
      <c r="FU132" s="243">
        <f>DO132+DP132+DS132+DT132</f>
        <v>1650</v>
      </c>
      <c r="FV132" s="243">
        <f>DY132+DV132+DZ132+DU132</f>
        <v>1444</v>
      </c>
      <c r="FW132" s="243">
        <f>EA132+EB132+EE132+EF132</f>
        <v>1485</v>
      </c>
      <c r="FX132" s="243">
        <f>EG132+EH132+EK132+EL132</f>
        <v>1426</v>
      </c>
      <c r="FY132" s="243">
        <f>EM132+EN132+EQ132+ER132</f>
        <v>1220</v>
      </c>
      <c r="FZ132" s="243">
        <f>ES132+ET132+EW132+EX132</f>
        <v>975.00799999999981</v>
      </c>
      <c r="GA132" s="243">
        <f>EY132+EZ132+FC132+FD132</f>
        <v>826.3277999999998</v>
      </c>
      <c r="GB132" s="243">
        <f>FE132+FF132+FI132+FJ132</f>
        <v>702.37862999999993</v>
      </c>
      <c r="GC132" s="243"/>
      <c r="GD132" s="243"/>
      <c r="GE132" s="243"/>
      <c r="GF132" s="243"/>
      <c r="GI132"/>
      <c r="GJ132"/>
      <c r="GK132"/>
      <c r="GL132"/>
      <c r="GM132"/>
      <c r="GN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</row>
    <row r="133" spans="1:281" s="37" customFormat="1" ht="10.5" hidden="1" customHeight="1" outlineLevel="1" x14ac:dyDescent="0.2">
      <c r="A133" s="247" t="s">
        <v>532</v>
      </c>
      <c r="B133" s="952"/>
      <c r="C133" s="259"/>
      <c r="D133" s="259"/>
      <c r="E133" s="259"/>
      <c r="F133" s="259"/>
      <c r="G133" s="259"/>
      <c r="H133" s="259"/>
      <c r="I133" s="259"/>
      <c r="J133" s="259"/>
      <c r="K133" s="259"/>
      <c r="L133" s="259"/>
      <c r="M133" s="259"/>
      <c r="N133" s="36"/>
      <c r="O133" s="259"/>
      <c r="P133" s="259"/>
      <c r="Q133" s="259"/>
      <c r="R133" s="259"/>
      <c r="S133" s="259"/>
      <c r="T133" s="36"/>
      <c r="U133" s="259"/>
      <c r="V133" s="259"/>
      <c r="W133" s="259"/>
      <c r="X133" s="259"/>
      <c r="Y133" s="259"/>
      <c r="Z133" s="36"/>
      <c r="AA133" s="259"/>
      <c r="AB133" s="259"/>
      <c r="AC133" s="259"/>
      <c r="AD133" s="259"/>
      <c r="AE133" s="259"/>
      <c r="AF133" s="36"/>
      <c r="AG133" s="259"/>
      <c r="AH133" s="259"/>
      <c r="AI133" s="259"/>
      <c r="AJ133" s="259"/>
      <c r="AK133" s="259"/>
      <c r="AL133" s="36"/>
      <c r="AM133" s="259"/>
      <c r="AN133" s="259"/>
      <c r="AO133" s="259"/>
      <c r="AP133" s="259"/>
      <c r="AQ133" s="259"/>
      <c r="AR133" s="36"/>
      <c r="AS133" s="259"/>
      <c r="AT133" s="259"/>
      <c r="AU133" s="259"/>
      <c r="AV133" s="259"/>
      <c r="AW133" s="259"/>
      <c r="AX133" s="36"/>
      <c r="AY133" s="259"/>
      <c r="AZ133" s="259"/>
      <c r="BA133" s="259"/>
      <c r="BB133" s="259"/>
      <c r="BC133" s="259"/>
      <c r="BD133" s="36"/>
      <c r="BE133" s="236"/>
      <c r="BF133" s="236"/>
      <c r="BG133" s="236"/>
      <c r="BH133" s="236"/>
      <c r="BI133" s="236"/>
      <c r="BJ133" s="36"/>
      <c r="BK133" s="236"/>
      <c r="BL133" s="236"/>
      <c r="BM133" s="236"/>
      <c r="BN133" s="236"/>
      <c r="BO133" s="236"/>
      <c r="BP133" s="36"/>
      <c r="BQ133" s="236"/>
      <c r="BR133" s="236"/>
      <c r="BS133" s="236"/>
      <c r="BT133" s="236"/>
      <c r="BU133" s="236"/>
      <c r="BV133" s="36"/>
      <c r="BW133" s="188"/>
      <c r="BX133" s="188"/>
      <c r="BY133" s="188"/>
      <c r="BZ133" s="188"/>
      <c r="CA133" s="188"/>
      <c r="CB133" s="36"/>
      <c r="CC133" s="188"/>
      <c r="CD133" s="188"/>
      <c r="CE133" s="188"/>
      <c r="CF133" s="188"/>
      <c r="CG133" s="274"/>
      <c r="CH133" s="36"/>
      <c r="CI133" s="188"/>
      <c r="CJ133" s="188"/>
      <c r="CK133" s="188"/>
      <c r="CL133" s="188"/>
      <c r="CM133" s="274"/>
      <c r="CN133" s="36"/>
      <c r="CO133" s="188"/>
      <c r="CP133" s="188"/>
      <c r="CQ133" s="188"/>
      <c r="CR133" s="188"/>
      <c r="CS133" s="274"/>
      <c r="CT133" s="36"/>
      <c r="CU133" s="188"/>
      <c r="CV133" s="188"/>
      <c r="CW133" s="188"/>
      <c r="CX133" s="188"/>
      <c r="CY133" s="274"/>
      <c r="CZ133" s="36"/>
      <c r="DA133" s="188"/>
      <c r="DB133" s="188"/>
      <c r="DC133" s="188">
        <f>1-DC132/DC60</f>
        <v>0.34065934065934067</v>
      </c>
      <c r="DD133" s="188">
        <f>1-DD132/DD60</f>
        <v>0.4579886455798865</v>
      </c>
      <c r="DE133" s="274">
        <f>1-DE132/DE60</f>
        <v>0.43671978751660034</v>
      </c>
      <c r="DF133" s="36"/>
      <c r="DG133" s="188">
        <f>1-DG132/DG60</f>
        <v>0.48470806302131608</v>
      </c>
      <c r="DH133" s="188">
        <f>1-DH132/DH60</f>
        <v>0.52877697841726623</v>
      </c>
      <c r="DI133" s="188">
        <f>1-DI132/DI60</f>
        <v>0.55169082125603863</v>
      </c>
      <c r="DJ133" s="188">
        <f>1-DJ132/DJ60</f>
        <v>0.55834053586862575</v>
      </c>
      <c r="DK133" s="274">
        <f>1-DK132/DK60</f>
        <v>0.53114305270362761</v>
      </c>
      <c r="DL133" s="36"/>
      <c r="DM133" s="188">
        <f>1-DM132/DM60</f>
        <v>0.54227405247813409</v>
      </c>
      <c r="DN133" s="188">
        <f>1-DN132/DN60</f>
        <v>0.50577124868835255</v>
      </c>
      <c r="DO133" s="188">
        <f>1-DO132/DO60</f>
        <v>0.51208285385500574</v>
      </c>
      <c r="DP133" s="188">
        <f>1-DP132/DP60</f>
        <v>0.51279426816786078</v>
      </c>
      <c r="DQ133" s="274">
        <f>1-DQ132/DQ60</f>
        <v>0.51880877742946707</v>
      </c>
      <c r="DR133" s="36"/>
      <c r="DS133" s="188">
        <f>1-DS132/DS60</f>
        <v>0.50706033376123227</v>
      </c>
      <c r="DT133" s="188">
        <f>1-DT132/DT60</f>
        <v>0.50136239782016356</v>
      </c>
      <c r="DU133" s="188">
        <f>1-DU132/DU60</f>
        <v>0.49925484351713856</v>
      </c>
      <c r="DV133" s="188">
        <f>1-DV132/DV60</f>
        <v>0.51472320376914016</v>
      </c>
      <c r="DW133" s="274">
        <f>1-DW132/DW60</f>
        <v>0.50609957138147044</v>
      </c>
      <c r="DX133" s="36"/>
      <c r="DY133" s="188">
        <f>1-DY132/DY60</f>
        <v>0.50971599402092682</v>
      </c>
      <c r="DZ133" s="188">
        <f>1-DZ132/DZ60</f>
        <v>0.48459383753501406</v>
      </c>
      <c r="EA133" s="188">
        <f>1-EA132/EA60</f>
        <v>0.47862068965517246</v>
      </c>
      <c r="EB133" s="188">
        <f>1-EB132/EB60</f>
        <v>0.49195402298850577</v>
      </c>
      <c r="EC133" s="274">
        <f>1-EC132/EC60</f>
        <v>0.49093351242444594</v>
      </c>
      <c r="ED133" s="36"/>
      <c r="EE133" s="188">
        <f>1-EE132/EE60</f>
        <v>0.48615916955017302</v>
      </c>
      <c r="EF133" s="188">
        <f>1-EF132/EF60</f>
        <v>0.48675034867503486</v>
      </c>
      <c r="EG133" s="188">
        <f>1-EG132/EG60</f>
        <v>0.4859550561797753</v>
      </c>
      <c r="EH133" s="188">
        <f>1-EH132/EH60</f>
        <v>0.4669926650366748</v>
      </c>
      <c r="EI133" s="274">
        <f>1-EI132/EI60</f>
        <v>0.4807079646017699</v>
      </c>
      <c r="EJ133" s="36"/>
      <c r="EK133" s="188">
        <f>1-EK132/EK60</f>
        <v>0.47192982456140353</v>
      </c>
      <c r="EL133" s="188">
        <f>1-EL132/EL60</f>
        <v>0.43630017452006986</v>
      </c>
      <c r="EM133" s="188">
        <f>1-EM132/EM60</f>
        <v>0.44205298013245031</v>
      </c>
      <c r="EN133" s="188">
        <f>1-EN132/EN60</f>
        <v>0.44413793103448274</v>
      </c>
      <c r="EO133" s="274">
        <f>1-EO132/EO60</f>
        <v>0.44822006472491904</v>
      </c>
      <c r="EP133" s="36"/>
      <c r="EQ133" s="188">
        <f>1-EQ132/EQ60</f>
        <v>0.48051948051948057</v>
      </c>
      <c r="ER133" s="188">
        <f>1-ER132/ER60</f>
        <v>0.51710261569416494</v>
      </c>
      <c r="ES133" s="188">
        <f>1-ES132/ES60</f>
        <v>0.44615384615384612</v>
      </c>
      <c r="ET133" s="188">
        <f>1-ET132/ET60</f>
        <v>0.51048576214405361</v>
      </c>
      <c r="EU133" s="274">
        <f>1-EU132/EU60</f>
        <v>0.48928709055876685</v>
      </c>
      <c r="EV133" s="36"/>
      <c r="EW133" s="188">
        <f>1-EW132/EW60</f>
        <v>0.4755617398474542</v>
      </c>
      <c r="EX133" s="188">
        <f>1-EX132/EX60</f>
        <v>0.541908594423685</v>
      </c>
      <c r="EY133" s="188">
        <f>1-EY132/EY60</f>
        <v>0.49501748251748257</v>
      </c>
      <c r="EZ133" s="900">
        <v>0.5</v>
      </c>
      <c r="FA133" s="274">
        <f>1-FA132/FA60</f>
        <v>0.5032156180752293</v>
      </c>
      <c r="FB133" s="36"/>
      <c r="FC133" s="900">
        <f>EW133</f>
        <v>0.4755617398474542</v>
      </c>
      <c r="FD133" s="900">
        <f>EX133</f>
        <v>0.541908594423685</v>
      </c>
      <c r="FE133" s="900">
        <f>EY133</f>
        <v>0.49501748251748257</v>
      </c>
      <c r="FF133" s="900">
        <f>EZ133</f>
        <v>0.5</v>
      </c>
      <c r="FG133" s="274">
        <f>1-FG132/FG60</f>
        <v>0.5032156180752293</v>
      </c>
      <c r="FH133" s="36"/>
      <c r="FI133" s="900">
        <f>FC133</f>
        <v>0.4755617398474542</v>
      </c>
      <c r="FJ133" s="900">
        <f>FD133</f>
        <v>0.541908594423685</v>
      </c>
      <c r="FK133" s="900">
        <f>FE133</f>
        <v>0.49501748251748257</v>
      </c>
      <c r="FL133" s="900">
        <f>FF133</f>
        <v>0.5</v>
      </c>
      <c r="FM133" s="274">
        <f>1-FM132/FM60</f>
        <v>0.50321561807522941</v>
      </c>
      <c r="FN133" s="1123"/>
      <c r="FO133" s="275"/>
      <c r="FP133" s="188"/>
      <c r="FQ133" s="188"/>
      <c r="FR133" s="188"/>
      <c r="FS133" s="275">
        <f t="shared" ref="FS133:GA133" si="96">1-FS132/(FS38+FS60)</f>
        <v>0.47841493102515553</v>
      </c>
      <c r="FT133" s="188">
        <f t="shared" si="96"/>
        <v>0.54072831816003841</v>
      </c>
      <c r="FU133" s="188">
        <f t="shared" si="96"/>
        <v>0.50878237570705565</v>
      </c>
      <c r="FV133" s="188">
        <f t="shared" si="96"/>
        <v>0.50258353427488811</v>
      </c>
      <c r="FW133" s="188">
        <f t="shared" si="96"/>
        <v>0.48615916955017302</v>
      </c>
      <c r="FX133" s="188">
        <f t="shared" si="96"/>
        <v>0.46651702207257761</v>
      </c>
      <c r="FY133" s="188">
        <f t="shared" si="96"/>
        <v>0.46678321678321677</v>
      </c>
      <c r="FZ133" s="188">
        <f t="shared" si="96"/>
        <v>0.49285952063914784</v>
      </c>
      <c r="GA133" s="188">
        <f t="shared" si="96"/>
        <v>0.50272621795782202</v>
      </c>
      <c r="GB133" s="188">
        <f t="shared" ref="GB133" si="97">1-GB132/(GB38+GB60)</f>
        <v>0.50272621795782202</v>
      </c>
      <c r="GC133" s="188"/>
      <c r="GD133" s="188"/>
      <c r="GE133" s="188"/>
      <c r="GF133" s="188"/>
      <c r="GI133"/>
      <c r="GJ133"/>
      <c r="GK133"/>
      <c r="GL133"/>
      <c r="GM133"/>
      <c r="GN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</row>
    <row r="134" spans="1:281" s="37" customFormat="1" ht="8.1" hidden="1" customHeight="1" outlineLevel="1" x14ac:dyDescent="0.2">
      <c r="A134" s="247"/>
      <c r="B134" s="952"/>
      <c r="C134" s="259"/>
      <c r="D134" s="259"/>
      <c r="E134" s="259"/>
      <c r="F134" s="259"/>
      <c r="G134" s="259"/>
      <c r="H134" s="259"/>
      <c r="I134" s="259"/>
      <c r="J134" s="259"/>
      <c r="K134" s="259"/>
      <c r="L134" s="259"/>
      <c r="M134" s="259"/>
      <c r="N134" s="36"/>
      <c r="O134" s="259"/>
      <c r="P134" s="259"/>
      <c r="Q134" s="259"/>
      <c r="R134" s="259"/>
      <c r="S134" s="259"/>
      <c r="T134" s="36"/>
      <c r="U134" s="259"/>
      <c r="V134" s="259"/>
      <c r="W134" s="259"/>
      <c r="X134" s="259"/>
      <c r="Y134" s="259"/>
      <c r="Z134" s="36"/>
      <c r="AA134" s="259"/>
      <c r="AB134" s="259"/>
      <c r="AC134" s="259"/>
      <c r="AD134" s="259"/>
      <c r="AE134" s="259"/>
      <c r="AF134" s="36"/>
      <c r="AG134" s="259"/>
      <c r="AH134" s="259"/>
      <c r="AI134" s="259"/>
      <c r="AJ134" s="259"/>
      <c r="AK134" s="259"/>
      <c r="AL134" s="36"/>
      <c r="AM134" s="259"/>
      <c r="AN134" s="259"/>
      <c r="AO134" s="259"/>
      <c r="AP134" s="259"/>
      <c r="AQ134" s="259"/>
      <c r="AR134" s="36"/>
      <c r="AS134" s="259"/>
      <c r="AT134" s="259"/>
      <c r="AU134" s="259"/>
      <c r="AV134" s="259"/>
      <c r="AW134" s="259"/>
      <c r="AX134" s="36"/>
      <c r="AY134" s="259"/>
      <c r="AZ134" s="259"/>
      <c r="BA134" s="259"/>
      <c r="BB134" s="259"/>
      <c r="BC134" s="259"/>
      <c r="BD134" s="36"/>
      <c r="BE134" s="236"/>
      <c r="BF134" s="236"/>
      <c r="BG134" s="236"/>
      <c r="BH134" s="236"/>
      <c r="BI134" s="236"/>
      <c r="BJ134" s="36"/>
      <c r="BK134" s="236"/>
      <c r="BL134" s="236"/>
      <c r="BM134" s="236"/>
      <c r="BN134" s="236"/>
      <c r="BO134" s="236"/>
      <c r="BP134" s="36"/>
      <c r="BQ134" s="236"/>
      <c r="BR134" s="236"/>
      <c r="BS134" s="236"/>
      <c r="BT134" s="236"/>
      <c r="BU134" s="236"/>
      <c r="BV134" s="36"/>
      <c r="BW134" s="188"/>
      <c r="BX134" s="188"/>
      <c r="BY134" s="188"/>
      <c r="BZ134" s="188"/>
      <c r="CA134" s="188"/>
      <c r="CB134" s="36"/>
      <c r="CC134" s="188"/>
      <c r="CD134" s="188"/>
      <c r="CE134" s="188"/>
      <c r="CF134" s="188"/>
      <c r="CG134" s="274"/>
      <c r="CH134" s="36"/>
      <c r="CI134" s="188"/>
      <c r="CJ134" s="188"/>
      <c r="CK134" s="188"/>
      <c r="CL134" s="188"/>
      <c r="CM134" s="274"/>
      <c r="CN134" s="36"/>
      <c r="CO134" s="188"/>
      <c r="CP134" s="188"/>
      <c r="CQ134" s="188"/>
      <c r="CR134" s="188"/>
      <c r="CS134" s="274"/>
      <c r="CT134" s="36"/>
      <c r="CU134" s="188"/>
      <c r="CV134" s="188"/>
      <c r="CW134" s="188"/>
      <c r="CX134" s="188"/>
      <c r="CY134" s="274"/>
      <c r="CZ134" s="36"/>
      <c r="DA134" s="188"/>
      <c r="DB134" s="188"/>
      <c r="DC134" s="188"/>
      <c r="DD134" s="188"/>
      <c r="DE134" s="274"/>
      <c r="DF134" s="36"/>
      <c r="DG134" s="188"/>
      <c r="DH134" s="188"/>
      <c r="DI134" s="188"/>
      <c r="DJ134" s="900"/>
      <c r="DK134" s="274"/>
      <c r="DL134" s="36"/>
      <c r="DM134" s="900"/>
      <c r="DN134" s="900"/>
      <c r="DO134" s="900"/>
      <c r="DP134" s="900"/>
      <c r="DQ134" s="274"/>
      <c r="DR134" s="36"/>
      <c r="DS134" s="900"/>
      <c r="DT134" s="900"/>
      <c r="DU134" s="900"/>
      <c r="DV134" s="900"/>
      <c r="DW134" s="274"/>
      <c r="DX134" s="36"/>
      <c r="DY134" s="900"/>
      <c r="DZ134" s="900"/>
      <c r="EA134" s="900"/>
      <c r="EB134" s="900"/>
      <c r="EC134" s="274"/>
      <c r="ED134" s="36"/>
      <c r="EE134" s="900"/>
      <c r="EF134" s="900"/>
      <c r="EG134" s="900"/>
      <c r="EH134" s="900"/>
      <c r="EI134" s="274"/>
      <c r="EJ134" s="36"/>
      <c r="EK134" s="900"/>
      <c r="EL134" s="900"/>
      <c r="EM134" s="900"/>
      <c r="EN134" s="900"/>
      <c r="EO134" s="274"/>
      <c r="EP134" s="36"/>
      <c r="EQ134" s="900"/>
      <c r="ER134" s="900"/>
      <c r="ES134" s="900"/>
      <c r="ET134" s="900"/>
      <c r="EU134" s="274"/>
      <c r="EV134" s="36"/>
      <c r="EW134" s="900"/>
      <c r="EX134" s="900"/>
      <c r="EY134" s="900"/>
      <c r="EZ134" s="900"/>
      <c r="FA134" s="274"/>
      <c r="FB134" s="36"/>
      <c r="FC134" s="900"/>
      <c r="FD134" s="900"/>
      <c r="FE134" s="900"/>
      <c r="FF134" s="900"/>
      <c r="FG134" s="274"/>
      <c r="FH134" s="36"/>
      <c r="FI134" s="900"/>
      <c r="FJ134" s="900"/>
      <c r="FK134" s="900"/>
      <c r="FL134" s="900"/>
      <c r="FM134" s="274"/>
      <c r="FN134" s="1123"/>
      <c r="FO134" s="275"/>
      <c r="FP134" s="188"/>
      <c r="FQ134" s="188"/>
      <c r="FR134" s="188"/>
      <c r="FS134" s="275"/>
      <c r="FT134" s="188"/>
      <c r="FU134" s="188"/>
      <c r="FV134" s="188"/>
      <c r="FW134" s="188"/>
      <c r="FX134" s="188"/>
      <c r="FY134" s="188"/>
      <c r="FZ134" s="188"/>
      <c r="GA134" s="188"/>
      <c r="GB134" s="188"/>
      <c r="GC134" s="188"/>
      <c r="GD134" s="188"/>
      <c r="GE134" s="188"/>
      <c r="GF134" s="188"/>
      <c r="GI134"/>
      <c r="GJ134"/>
      <c r="GK134"/>
      <c r="GL134"/>
      <c r="GM134"/>
      <c r="GN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</row>
    <row r="135" spans="1:281" s="37" customFormat="1" ht="10.5" hidden="1" customHeight="1" outlineLevel="1" x14ac:dyDescent="0.2">
      <c r="A135" s="258" t="s">
        <v>72</v>
      </c>
      <c r="B135" s="952"/>
      <c r="C135" s="259"/>
      <c r="D135" s="259"/>
      <c r="E135" s="259"/>
      <c r="F135" s="259"/>
      <c r="G135" s="259"/>
      <c r="H135" s="259"/>
      <c r="I135" s="259"/>
      <c r="J135" s="259"/>
      <c r="K135" s="259"/>
      <c r="L135" s="259"/>
      <c r="M135" s="259"/>
      <c r="N135" s="36"/>
      <c r="O135" s="259"/>
      <c r="P135" s="259"/>
      <c r="Q135" s="259"/>
      <c r="R135" s="259"/>
      <c r="S135" s="259"/>
      <c r="T135" s="36"/>
      <c r="U135" s="259"/>
      <c r="V135" s="259"/>
      <c r="W135" s="259"/>
      <c r="X135" s="259"/>
      <c r="Y135" s="259"/>
      <c r="Z135" s="36"/>
      <c r="AA135" s="259"/>
      <c r="AB135" s="259"/>
      <c r="AC135" s="259"/>
      <c r="AD135" s="259"/>
      <c r="AE135" s="259"/>
      <c r="AF135" s="36"/>
      <c r="AG135" s="259"/>
      <c r="AH135" s="259"/>
      <c r="AI135" s="259"/>
      <c r="AJ135" s="259"/>
      <c r="AK135" s="259"/>
      <c r="AL135" s="36"/>
      <c r="AM135" s="259"/>
      <c r="AN135" s="259"/>
      <c r="AO135" s="259"/>
      <c r="AP135" s="259"/>
      <c r="AQ135" s="259"/>
      <c r="AR135" s="36"/>
      <c r="AS135" s="259"/>
      <c r="AT135" s="259"/>
      <c r="AU135" s="259"/>
      <c r="AV135" s="259"/>
      <c r="AW135" s="259"/>
      <c r="AX135" s="36"/>
      <c r="AY135" s="259"/>
      <c r="AZ135" s="259"/>
      <c r="BA135" s="259"/>
      <c r="BB135" s="259"/>
      <c r="BC135" s="259"/>
      <c r="BD135" s="36"/>
      <c r="BE135" s="236"/>
      <c r="BF135" s="236"/>
      <c r="BG135" s="236"/>
      <c r="BH135" s="236"/>
      <c r="BI135" s="236"/>
      <c r="BJ135" s="36"/>
      <c r="BK135" s="236"/>
      <c r="BL135" s="236"/>
      <c r="BM135" s="236"/>
      <c r="BN135" s="236"/>
      <c r="BO135" s="236"/>
      <c r="BP135" s="36"/>
      <c r="BQ135" s="236"/>
      <c r="BR135" s="236"/>
      <c r="BS135" s="236"/>
      <c r="BT135" s="236"/>
      <c r="BU135" s="236"/>
      <c r="BV135" s="36"/>
      <c r="BW135" s="188"/>
      <c r="BX135" s="188"/>
      <c r="BY135" s="188"/>
      <c r="BZ135" s="188"/>
      <c r="CA135" s="188"/>
      <c r="CB135" s="36"/>
      <c r="CC135" s="188"/>
      <c r="CD135" s="188"/>
      <c r="CE135" s="188"/>
      <c r="CF135" s="188"/>
      <c r="CG135" s="274"/>
      <c r="CH135" s="36"/>
      <c r="CI135" s="188"/>
      <c r="CJ135" s="188"/>
      <c r="CK135" s="188"/>
      <c r="CL135" s="188"/>
      <c r="CM135" s="274"/>
      <c r="CN135" s="36"/>
      <c r="CO135" s="188"/>
      <c r="CP135" s="188"/>
      <c r="CQ135" s="188"/>
      <c r="CR135" s="188"/>
      <c r="CS135" s="274"/>
      <c r="CT135" s="36"/>
      <c r="CU135" s="188"/>
      <c r="CV135" s="188"/>
      <c r="CW135" s="188"/>
      <c r="CX135" s="188"/>
      <c r="CY135" s="274"/>
      <c r="CZ135" s="36"/>
      <c r="DA135" s="188"/>
      <c r="DB135" s="188"/>
      <c r="DC135" s="243">
        <f>116-1</f>
        <v>115</v>
      </c>
      <c r="DD135" s="243">
        <f>306-1</f>
        <v>305</v>
      </c>
      <c r="DE135" s="174">
        <f>SUM(DA135:DD135)</f>
        <v>420</v>
      </c>
      <c r="DF135" s="36"/>
      <c r="DG135" s="243">
        <f>301-1</f>
        <v>300</v>
      </c>
      <c r="DH135" s="243">
        <f>356-1</f>
        <v>355</v>
      </c>
      <c r="DI135" s="243">
        <f>294-1</f>
        <v>293</v>
      </c>
      <c r="DJ135" s="243">
        <f>309-1</f>
        <v>308</v>
      </c>
      <c r="DK135" s="174">
        <f>SUM(DG135:DJ135)</f>
        <v>1256</v>
      </c>
      <c r="DL135" s="36"/>
      <c r="DM135" s="243">
        <f>283-1</f>
        <v>282</v>
      </c>
      <c r="DN135" s="243">
        <f>258-2</f>
        <v>256</v>
      </c>
      <c r="DO135" s="243">
        <f>257-1</f>
        <v>256</v>
      </c>
      <c r="DP135" s="243">
        <f>248-1</f>
        <v>247</v>
      </c>
      <c r="DQ135" s="174">
        <f>SUM(DM135:DP135)</f>
        <v>1041</v>
      </c>
      <c r="DR135" s="36"/>
      <c r="DS135" s="243">
        <f>224-1</f>
        <v>223</v>
      </c>
      <c r="DT135" s="243">
        <f>227-1</f>
        <v>226</v>
      </c>
      <c r="DU135" s="243">
        <f>219-1</f>
        <v>218</v>
      </c>
      <c r="DV135" s="243">
        <f>220-1</f>
        <v>219</v>
      </c>
      <c r="DW135" s="174">
        <f>SUM(DS135:DV135)</f>
        <v>886</v>
      </c>
      <c r="DX135" s="36"/>
      <c r="DY135" s="243">
        <f>209-3</f>
        <v>206</v>
      </c>
      <c r="DZ135" s="243">
        <f>214-1</f>
        <v>213</v>
      </c>
      <c r="EA135" s="243">
        <f>207-1</f>
        <v>206</v>
      </c>
      <c r="EB135" s="243">
        <f>205-1</f>
        <v>204</v>
      </c>
      <c r="EC135" s="174">
        <f>SUM(DY135:EB135)</f>
        <v>829</v>
      </c>
      <c r="ED135" s="36"/>
      <c r="EE135" s="243">
        <f>192-1</f>
        <v>191</v>
      </c>
      <c r="EF135" s="243">
        <f>218-2</f>
        <v>216</v>
      </c>
      <c r="EG135" s="243">
        <f>218-2</f>
        <v>216</v>
      </c>
      <c r="EH135" s="243">
        <f>188-2</f>
        <v>186</v>
      </c>
      <c r="EI135" s="174">
        <f>SUM(EE135:EH135)</f>
        <v>809</v>
      </c>
      <c r="EJ135" s="36"/>
      <c r="EK135" s="243">
        <f>180-1</f>
        <v>179</v>
      </c>
      <c r="EL135" s="243">
        <f>174-1</f>
        <v>173</v>
      </c>
      <c r="EM135" s="243">
        <f>171-1</f>
        <v>170</v>
      </c>
      <c r="EN135" s="243">
        <f>168-1</f>
        <v>167</v>
      </c>
      <c r="EO135" s="174">
        <f>SUM(EK135:EN135)</f>
        <v>689</v>
      </c>
      <c r="EP135" s="36"/>
      <c r="EQ135" s="243">
        <f>149-1</f>
        <v>148</v>
      </c>
      <c r="ER135" s="243">
        <f>144-1</f>
        <v>143</v>
      </c>
      <c r="ES135" s="243">
        <f>147-1</f>
        <v>146</v>
      </c>
      <c r="ET135" s="243">
        <f>ET67*(1-ET136)</f>
        <v>144.76000000000002</v>
      </c>
      <c r="EU135" s="174">
        <f>SUM(EQ135:ET135)</f>
        <v>581.76</v>
      </c>
      <c r="EV135" s="36"/>
      <c r="EW135" s="243">
        <f>EW67*(1-EW136)</f>
        <v>166.47600000000006</v>
      </c>
      <c r="EX135" s="243">
        <f>EX67*(1-EX136)</f>
        <v>156.75600000000003</v>
      </c>
      <c r="EY135" s="243">
        <f>EY67*(1-EY136)</f>
        <v>160.92000000000002</v>
      </c>
      <c r="EZ135" s="243">
        <f>EZ67*(1-EZ136)</f>
        <v>152.88273000000004</v>
      </c>
      <c r="FA135" s="174">
        <f>SUM(EW135:EZ135)</f>
        <v>637.03473000000008</v>
      </c>
      <c r="FB135" s="36"/>
      <c r="FC135" s="243">
        <f>FC67*(1-FC136)</f>
        <v>140.11034945918126</v>
      </c>
      <c r="FD135" s="243">
        <f>FD67*(1-FD136)</f>
        <v>137.22331200000002</v>
      </c>
      <c r="FE135" s="243">
        <f>FE67*(1-FE136)</f>
        <v>133.19083200000003</v>
      </c>
      <c r="FF135" s="243">
        <f>FF67*(1-FF136)</f>
        <v>128.04861000000002</v>
      </c>
      <c r="FG135" s="174">
        <f>SUM(FC135:FF135)</f>
        <v>538.57310345918131</v>
      </c>
      <c r="FH135" s="36"/>
      <c r="FI135" s="243">
        <f>FI67*(1-FI136)</f>
        <v>127.58919519000004</v>
      </c>
      <c r="FJ135" s="243">
        <f>FJ67*(1-FJ136)</f>
        <v>122.48013558000004</v>
      </c>
      <c r="FK135" s="243">
        <f>FK67*(1-FK136)</f>
        <v>117.78911238000005</v>
      </c>
      <c r="FL135" s="243">
        <f>FL67*(1-FL136)</f>
        <v>112.34340146250004</v>
      </c>
      <c r="FM135" s="174">
        <f>SUM(FI135:FL135)</f>
        <v>480.20184461250017</v>
      </c>
      <c r="FN135" s="1123"/>
      <c r="FO135" s="275"/>
      <c r="FP135" s="188"/>
      <c r="FQ135" s="243"/>
      <c r="FR135" s="243"/>
      <c r="FS135" s="245">
        <f>DC135+DD135+DG135+DH135</f>
        <v>1075</v>
      </c>
      <c r="FT135" s="243">
        <f>DI135+DJ135+DM135+DN135</f>
        <v>1139</v>
      </c>
      <c r="FU135" s="243">
        <f>DO135+DP135+DS135+DT135</f>
        <v>952</v>
      </c>
      <c r="FV135" s="243">
        <f>DY135+DV135+DZ135+DU135</f>
        <v>856</v>
      </c>
      <c r="FW135" s="243">
        <f>EA135+EB135+EE135+EF135</f>
        <v>817</v>
      </c>
      <c r="FX135" s="243">
        <f>EG135+EH135+EK135+EL135</f>
        <v>754</v>
      </c>
      <c r="FY135" s="243">
        <f>EM135+EN135+EQ135+ER135</f>
        <v>628</v>
      </c>
      <c r="FZ135" s="243">
        <f>ES135+ET135+EW135+EX135</f>
        <v>613.99200000000008</v>
      </c>
      <c r="GA135" s="243">
        <f>EY135+EZ135+FC135+FD135</f>
        <v>591.13639145918137</v>
      </c>
      <c r="GB135" s="243">
        <f>FE135+FF135+FI135+FJ135</f>
        <v>511.30877277000013</v>
      </c>
      <c r="GC135" s="243"/>
      <c r="GD135" s="243"/>
      <c r="GE135" s="243"/>
      <c r="GF135" s="243"/>
      <c r="GI135"/>
      <c r="GJ135"/>
      <c r="GK135"/>
      <c r="GL135"/>
      <c r="GM135"/>
      <c r="GN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</row>
    <row r="136" spans="1:281" s="37" customFormat="1" ht="10.5" hidden="1" customHeight="1" outlineLevel="1" x14ac:dyDescent="0.2">
      <c r="A136" s="247" t="s">
        <v>533</v>
      </c>
      <c r="B136" s="952"/>
      <c r="C136" s="259"/>
      <c r="D136" s="259"/>
      <c r="E136" s="259"/>
      <c r="F136" s="259"/>
      <c r="G136" s="259"/>
      <c r="H136" s="259"/>
      <c r="I136" s="259"/>
      <c r="J136" s="259"/>
      <c r="K136" s="259"/>
      <c r="L136" s="259"/>
      <c r="M136" s="259"/>
      <c r="N136" s="36"/>
      <c r="O136" s="259"/>
      <c r="P136" s="259"/>
      <c r="Q136" s="259"/>
      <c r="R136" s="259"/>
      <c r="S136" s="259"/>
      <c r="T136" s="36"/>
      <c r="U136" s="259"/>
      <c r="V136" s="259"/>
      <c r="W136" s="259"/>
      <c r="X136" s="259"/>
      <c r="Y136" s="259"/>
      <c r="Z136" s="36"/>
      <c r="AA136" s="259"/>
      <c r="AB136" s="259"/>
      <c r="AC136" s="259"/>
      <c r="AD136" s="259"/>
      <c r="AE136" s="259"/>
      <c r="AF136" s="36"/>
      <c r="AG136" s="259"/>
      <c r="AH136" s="259"/>
      <c r="AI136" s="259"/>
      <c r="AJ136" s="259"/>
      <c r="AK136" s="259"/>
      <c r="AL136" s="36"/>
      <c r="AM136" s="259"/>
      <c r="AN136" s="259"/>
      <c r="AO136" s="259"/>
      <c r="AP136" s="259"/>
      <c r="AQ136" s="259"/>
      <c r="AR136" s="36"/>
      <c r="AS136" s="259"/>
      <c r="AT136" s="259"/>
      <c r="AU136" s="259"/>
      <c r="AV136" s="259"/>
      <c r="AW136" s="259"/>
      <c r="AX136" s="36"/>
      <c r="AY136" s="259"/>
      <c r="AZ136" s="259"/>
      <c r="BA136" s="259"/>
      <c r="BB136" s="259"/>
      <c r="BC136" s="259"/>
      <c r="BD136" s="36"/>
      <c r="BE136" s="236"/>
      <c r="BF136" s="236"/>
      <c r="BG136" s="236"/>
      <c r="BH136" s="236"/>
      <c r="BI136" s="236"/>
      <c r="BJ136" s="36"/>
      <c r="BK136" s="236"/>
      <c r="BL136" s="236"/>
      <c r="BM136" s="236"/>
      <c r="BN136" s="236"/>
      <c r="BO136" s="236"/>
      <c r="BP136" s="36"/>
      <c r="BQ136" s="236"/>
      <c r="BR136" s="236"/>
      <c r="BS136" s="236"/>
      <c r="BT136" s="236"/>
      <c r="BU136" s="236"/>
      <c r="BV136" s="36"/>
      <c r="BW136" s="188"/>
      <c r="BX136" s="188"/>
      <c r="BY136" s="188"/>
      <c r="BZ136" s="188"/>
      <c r="CA136" s="188"/>
      <c r="CB136" s="36"/>
      <c r="CC136" s="188"/>
      <c r="CD136" s="188"/>
      <c r="CE136" s="188"/>
      <c r="CF136" s="188"/>
      <c r="CG136" s="274"/>
      <c r="CH136" s="36"/>
      <c r="CI136" s="188"/>
      <c r="CJ136" s="188"/>
      <c r="CK136" s="188"/>
      <c r="CL136" s="188"/>
      <c r="CM136" s="274"/>
      <c r="CN136" s="36"/>
      <c r="CO136" s="188"/>
      <c r="CP136" s="188"/>
      <c r="CQ136" s="188"/>
      <c r="CR136" s="188"/>
      <c r="CS136" s="274"/>
      <c r="CT136" s="36"/>
      <c r="CU136" s="188"/>
      <c r="CV136" s="188"/>
      <c r="CW136" s="188"/>
      <c r="CX136" s="188"/>
      <c r="CY136" s="274"/>
      <c r="CZ136" s="36"/>
      <c r="DA136" s="188"/>
      <c r="DB136" s="188"/>
      <c r="DC136" s="188">
        <f>1-DC135/DC67</f>
        <v>0.4866071428571429</v>
      </c>
      <c r="DD136" s="188">
        <f>1-DD135/DD67</f>
        <v>0.5566860465116279</v>
      </c>
      <c r="DE136" s="274">
        <f>1-DE135/DE67</f>
        <v>0.53947368421052633</v>
      </c>
      <c r="DF136" s="36"/>
      <c r="DG136" s="188">
        <f>1-DG135/DG67</f>
        <v>0.55882352941176472</v>
      </c>
      <c r="DH136" s="188">
        <f>1-DH135/DH67</f>
        <v>0.48250728862973757</v>
      </c>
      <c r="DI136" s="188">
        <f>1-DI135/DI67</f>
        <v>0.55335365853658536</v>
      </c>
      <c r="DJ136" s="188">
        <f>1-DJ135/DJ67</f>
        <v>0.55167394468704511</v>
      </c>
      <c r="DK136" s="274">
        <f>1-DK135/DK67</f>
        <v>0.53636028054632701</v>
      </c>
      <c r="DL136" s="36"/>
      <c r="DM136" s="188">
        <f>1-DM135/DM67</f>
        <v>0.57012195121951215</v>
      </c>
      <c r="DN136" s="188">
        <f>1-DN135/DN67</f>
        <v>0.59621451104100953</v>
      </c>
      <c r="DO136" s="188">
        <f>1-DO135/DO67</f>
        <v>0.58032786885245902</v>
      </c>
      <c r="DP136" s="188">
        <f>1-DP135/DP67</f>
        <v>0.5910596026490067</v>
      </c>
      <c r="DQ136" s="274">
        <f>1-DQ135/DQ67</f>
        <v>0.58426517571884984</v>
      </c>
      <c r="DR136" s="36"/>
      <c r="DS136" s="188">
        <f>1-DS135/DS67</f>
        <v>0.61418685121107264</v>
      </c>
      <c r="DT136" s="188">
        <f>1-DT135/DT67</f>
        <v>0.61694915254237293</v>
      </c>
      <c r="DU136" s="188">
        <f>1-DU135/DU67</f>
        <v>0.61888111888111896</v>
      </c>
      <c r="DV136" s="188">
        <f>1-DV135/DV67</f>
        <v>0.62627986348122866</v>
      </c>
      <c r="DW136" s="274">
        <f>1-DW135/DW67</f>
        <v>0.61908856405846946</v>
      </c>
      <c r="DX136" s="36"/>
      <c r="DY136" s="188">
        <f>1-DY135/DY67</f>
        <v>0.65494137353433834</v>
      </c>
      <c r="DZ136" s="188">
        <f>1-DZ135/DZ67</f>
        <v>0.65252854812398042</v>
      </c>
      <c r="EA136" s="188">
        <f>1-EA135/EA67</f>
        <v>0.65666666666666673</v>
      </c>
      <c r="EB136" s="188">
        <f>1-EB135/EB67</f>
        <v>0.65829145728643224</v>
      </c>
      <c r="EC136" s="274">
        <f>1-EC135/EC67</f>
        <v>0.6555878687162443</v>
      </c>
      <c r="ED136" s="36"/>
      <c r="EE136" s="188">
        <f>1-EE135/EE67</f>
        <v>0.6751700680272108</v>
      </c>
      <c r="EF136" s="188">
        <f>1-EF135/EF67</f>
        <v>0.65105008077544424</v>
      </c>
      <c r="EG136" s="188">
        <f>1-EG135/EG67</f>
        <v>0.63265306122448983</v>
      </c>
      <c r="EH136" s="188">
        <f>1-EH135/EH67</f>
        <v>0.68474576271186438</v>
      </c>
      <c r="EI136" s="274">
        <f>1-EI135/EI67</f>
        <v>0.66079664570230601</v>
      </c>
      <c r="EJ136" s="36"/>
      <c r="EK136" s="188">
        <f>1-EK135/EK67</f>
        <v>0.67978533094812166</v>
      </c>
      <c r="EL136" s="188">
        <f>1-EL135/EL67</f>
        <v>0.68545454545454543</v>
      </c>
      <c r="EM136" s="188">
        <f>1-EM135/EM67</f>
        <v>0.67984934086629001</v>
      </c>
      <c r="EN136" s="188">
        <f>1-EN135/EN67</f>
        <v>0.70071684587813621</v>
      </c>
      <c r="EO136" s="274">
        <f>1-EO135/EO67</f>
        <v>0.68653321201091899</v>
      </c>
      <c r="EP136" s="36"/>
      <c r="EQ136" s="188">
        <f>1-EQ135/EQ67</f>
        <v>0.72284644194756553</v>
      </c>
      <c r="ER136" s="188">
        <f>1-ER135/ER67</f>
        <v>0.72340425531914887</v>
      </c>
      <c r="ES136" s="188">
        <f>1-ES135/ES67</f>
        <v>0.71259842519685046</v>
      </c>
      <c r="ET136" s="900">
        <v>0.72</v>
      </c>
      <c r="EU136" s="274">
        <f>1-EU135/EU67</f>
        <v>0.71976878612716766</v>
      </c>
      <c r="EV136" s="36"/>
      <c r="EW136" s="900">
        <v>0.7</v>
      </c>
      <c r="EX136" s="900">
        <v>0.7</v>
      </c>
      <c r="EY136" s="900">
        <v>0.7</v>
      </c>
      <c r="EZ136" s="900">
        <v>0.7</v>
      </c>
      <c r="FA136" s="274">
        <f>1-FA135/FA67</f>
        <v>0.7</v>
      </c>
      <c r="FB136" s="36"/>
      <c r="FC136" s="900">
        <f>EW136</f>
        <v>0.7</v>
      </c>
      <c r="FD136" s="900">
        <f>EX136</f>
        <v>0.7</v>
      </c>
      <c r="FE136" s="900">
        <f>EY136</f>
        <v>0.7</v>
      </c>
      <c r="FF136" s="900">
        <f>EZ136</f>
        <v>0.7</v>
      </c>
      <c r="FG136" s="274">
        <f>1-FG135/FG67</f>
        <v>0.7</v>
      </c>
      <c r="FH136" s="36"/>
      <c r="FI136" s="900">
        <f>FC136</f>
        <v>0.7</v>
      </c>
      <c r="FJ136" s="900">
        <f>FD136</f>
        <v>0.7</v>
      </c>
      <c r="FK136" s="900">
        <f>FE136</f>
        <v>0.7</v>
      </c>
      <c r="FL136" s="900">
        <f>FF136</f>
        <v>0.7</v>
      </c>
      <c r="FM136" s="274">
        <f>1-FM135/FM67</f>
        <v>0.7</v>
      </c>
      <c r="FN136" s="1123"/>
      <c r="FO136" s="275"/>
      <c r="FP136" s="188"/>
      <c r="FQ136" s="188"/>
      <c r="FR136" s="188"/>
      <c r="FS136" s="275">
        <f t="shared" ref="FS136:GA136" si="98">1-FS135/(FS67)</f>
        <v>0.52809482001755925</v>
      </c>
      <c r="FT136" s="188">
        <f t="shared" si="98"/>
        <v>0.56741359665780478</v>
      </c>
      <c r="FU136" s="188">
        <f t="shared" si="98"/>
        <v>0.60033585222502106</v>
      </c>
      <c r="FV136" s="188">
        <f t="shared" si="98"/>
        <v>0.63851351351351349</v>
      </c>
      <c r="FW136" s="188">
        <f t="shared" si="98"/>
        <v>0.66014975041597346</v>
      </c>
      <c r="FX136" s="188">
        <f t="shared" si="98"/>
        <v>0.67031045037166592</v>
      </c>
      <c r="FY136" s="188">
        <f t="shared" si="98"/>
        <v>0.70654205607476639</v>
      </c>
      <c r="FZ136" s="188">
        <f t="shared" si="98"/>
        <v>0.7079621772797321</v>
      </c>
      <c r="GA136" s="188">
        <f t="shared" si="98"/>
        <v>0.7</v>
      </c>
      <c r="GB136" s="188">
        <f t="shared" ref="GB136" si="99">1-GB135/(GB67)</f>
        <v>0.7</v>
      </c>
      <c r="GC136" s="188"/>
      <c r="GD136" s="188"/>
      <c r="GE136" s="188"/>
      <c r="GF136" s="188"/>
      <c r="GI136"/>
      <c r="GJ136"/>
      <c r="GK136"/>
      <c r="GL136"/>
      <c r="GM136"/>
      <c r="GN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</row>
    <row r="137" spans="1:281" s="37" customFormat="1" ht="3.95" customHeight="1" collapsed="1" x14ac:dyDescent="0.2">
      <c r="A137" s="247"/>
      <c r="B137" s="952"/>
      <c r="C137" s="259"/>
      <c r="D137" s="259"/>
      <c r="E137" s="259"/>
      <c r="F137" s="259"/>
      <c r="G137" s="259"/>
      <c r="H137" s="259"/>
      <c r="I137" s="259"/>
      <c r="J137" s="259"/>
      <c r="K137" s="259"/>
      <c r="L137" s="259"/>
      <c r="M137" s="259"/>
      <c r="N137" s="36"/>
      <c r="O137" s="259"/>
      <c r="P137" s="259"/>
      <c r="Q137" s="259"/>
      <c r="R137" s="259"/>
      <c r="S137" s="259"/>
      <c r="T137" s="36"/>
      <c r="U137" s="259"/>
      <c r="V137" s="259"/>
      <c r="W137" s="259"/>
      <c r="X137" s="259"/>
      <c r="Y137" s="259"/>
      <c r="Z137" s="36"/>
      <c r="AA137" s="259"/>
      <c r="AB137" s="259"/>
      <c r="AC137" s="259"/>
      <c r="AD137" s="259"/>
      <c r="AE137" s="259"/>
      <c r="AF137" s="36"/>
      <c r="AG137" s="259"/>
      <c r="AH137" s="259"/>
      <c r="AI137" s="259"/>
      <c r="AJ137" s="259"/>
      <c r="AK137" s="259"/>
      <c r="AL137" s="36"/>
      <c r="AM137" s="259"/>
      <c r="AN137" s="259"/>
      <c r="AO137" s="259"/>
      <c r="AP137" s="259"/>
      <c r="AQ137" s="259"/>
      <c r="AR137" s="36"/>
      <c r="AS137" s="259"/>
      <c r="AT137" s="259"/>
      <c r="AU137" s="259"/>
      <c r="AV137" s="259"/>
      <c r="AW137" s="259"/>
      <c r="AX137" s="36"/>
      <c r="AY137" s="259"/>
      <c r="AZ137" s="259"/>
      <c r="BA137" s="259"/>
      <c r="BB137" s="259"/>
      <c r="BC137" s="259"/>
      <c r="BD137" s="36"/>
      <c r="BE137" s="236"/>
      <c r="BF137" s="236"/>
      <c r="BG137" s="236"/>
      <c r="BH137" s="236"/>
      <c r="BI137" s="236"/>
      <c r="BJ137" s="36"/>
      <c r="BK137" s="236"/>
      <c r="BL137" s="236"/>
      <c r="BM137" s="236"/>
      <c r="BN137" s="236"/>
      <c r="BO137" s="236"/>
      <c r="BP137" s="36"/>
      <c r="BQ137" s="236"/>
      <c r="BR137" s="236"/>
      <c r="BS137" s="236"/>
      <c r="BT137" s="236"/>
      <c r="BU137" s="236"/>
      <c r="BV137" s="36"/>
      <c r="BW137" s="188"/>
      <c r="BX137" s="188"/>
      <c r="BY137" s="188"/>
      <c r="BZ137" s="188"/>
      <c r="CA137" s="188"/>
      <c r="CB137" s="36"/>
      <c r="CC137" s="188"/>
      <c r="CD137" s="188"/>
      <c r="CE137" s="188"/>
      <c r="CF137" s="188"/>
      <c r="CG137" s="274"/>
      <c r="CH137" s="36"/>
      <c r="CI137" s="188"/>
      <c r="CJ137" s="188"/>
      <c r="CK137" s="188"/>
      <c r="CL137" s="188"/>
      <c r="CM137" s="274"/>
      <c r="CN137" s="36"/>
      <c r="CO137" s="188"/>
      <c r="CP137" s="188"/>
      <c r="CQ137" s="188"/>
      <c r="CR137" s="188"/>
      <c r="CS137" s="274"/>
      <c r="CT137" s="36"/>
      <c r="CU137" s="188"/>
      <c r="CV137" s="188"/>
      <c r="CW137" s="188"/>
      <c r="CX137" s="188"/>
      <c r="CY137" s="274"/>
      <c r="CZ137" s="36"/>
      <c r="DA137" s="188"/>
      <c r="DB137" s="188"/>
      <c r="DC137" s="188"/>
      <c r="DD137" s="188"/>
      <c r="DE137" s="274"/>
      <c r="DF137" s="36"/>
      <c r="DG137" s="188"/>
      <c r="DH137" s="188"/>
      <c r="DI137" s="188"/>
      <c r="DJ137" s="900"/>
      <c r="DK137" s="274"/>
      <c r="DL137" s="36"/>
      <c r="DM137" s="900"/>
      <c r="DN137" s="900"/>
      <c r="DO137" s="900"/>
      <c r="DP137" s="900"/>
      <c r="DQ137" s="274"/>
      <c r="DR137" s="36"/>
      <c r="DS137" s="900"/>
      <c r="DT137" s="900"/>
      <c r="DU137" s="900"/>
      <c r="DV137" s="900"/>
      <c r="DW137" s="274"/>
      <c r="DX137" s="36"/>
      <c r="DY137" s="900"/>
      <c r="DZ137" s="900"/>
      <c r="EA137" s="900"/>
      <c r="EB137" s="900"/>
      <c r="EC137" s="274"/>
      <c r="ED137" s="36"/>
      <c r="EE137" s="900"/>
      <c r="EF137" s="900"/>
      <c r="EG137" s="900"/>
      <c r="EH137" s="900"/>
      <c r="EI137" s="274"/>
      <c r="EJ137" s="36"/>
      <c r="EK137" s="900"/>
      <c r="EL137" s="900"/>
      <c r="EM137" s="900"/>
      <c r="EN137" s="900"/>
      <c r="EO137" s="274"/>
      <c r="EP137" s="36"/>
      <c r="EQ137" s="900"/>
      <c r="ER137" s="900"/>
      <c r="ES137" s="900"/>
      <c r="ET137" s="900"/>
      <c r="EU137" s="274"/>
      <c r="EV137" s="36"/>
      <c r="EW137" s="900"/>
      <c r="EX137" s="900"/>
      <c r="EY137" s="900"/>
      <c r="EZ137" s="900"/>
      <c r="FA137" s="274"/>
      <c r="FB137" s="36"/>
      <c r="FC137" s="900"/>
      <c r="FD137" s="900"/>
      <c r="FE137" s="900"/>
      <c r="FF137" s="900"/>
      <c r="FG137" s="274"/>
      <c r="FH137" s="36"/>
      <c r="FI137" s="900"/>
      <c r="FJ137" s="900"/>
      <c r="FK137" s="900"/>
      <c r="FL137" s="900"/>
      <c r="FM137" s="274"/>
      <c r="FN137" s="1123"/>
      <c r="FO137" s="275"/>
      <c r="FP137" s="188"/>
      <c r="FQ137" s="188"/>
      <c r="FR137" s="188"/>
      <c r="FS137" s="275"/>
      <c r="FT137" s="188"/>
      <c r="FU137" s="188"/>
      <c r="FV137" s="188"/>
      <c r="FW137" s="188"/>
      <c r="FX137" s="188"/>
      <c r="FY137" s="188"/>
      <c r="FZ137" s="188"/>
      <c r="GA137" s="188"/>
      <c r="GB137" s="188"/>
      <c r="GC137" s="188"/>
      <c r="GD137" s="188"/>
      <c r="GE137" s="188"/>
      <c r="GF137" s="188"/>
      <c r="GI137"/>
      <c r="GJ137"/>
      <c r="GK137"/>
      <c r="GL137"/>
      <c r="GM137"/>
      <c r="GN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</row>
    <row r="138" spans="1:281" s="33" customFormat="1" ht="10.5" customHeight="1" x14ac:dyDescent="0.2">
      <c r="A138" s="273" t="s">
        <v>47</v>
      </c>
      <c r="B138" s="954" t="s">
        <v>1093</v>
      </c>
      <c r="C138" s="59">
        <v>0</v>
      </c>
      <c r="D138" s="59">
        <v>0</v>
      </c>
      <c r="E138" s="59">
        <v>0</v>
      </c>
      <c r="F138" s="59">
        <v>0</v>
      </c>
      <c r="G138" s="244">
        <v>51.241</v>
      </c>
      <c r="H138" s="244">
        <v>100.98699999999999</v>
      </c>
      <c r="I138" s="244">
        <v>160.428</v>
      </c>
      <c r="J138" s="244">
        <v>266.43</v>
      </c>
      <c r="K138" s="244">
        <v>281.56200000000001</v>
      </c>
      <c r="L138" s="244">
        <v>346.63299999999998</v>
      </c>
      <c r="M138" s="244">
        <v>499.21299999999997</v>
      </c>
      <c r="N138" s="244"/>
      <c r="O138" s="244">
        <v>156.523</v>
      </c>
      <c r="P138" s="244">
        <v>187.578</v>
      </c>
      <c r="Q138" s="244">
        <v>196.68299999999999</v>
      </c>
      <c r="R138" s="244">
        <v>238.22800000000001</v>
      </c>
      <c r="S138" s="244">
        <f>SUM(O138:R138)</f>
        <v>779.01199999999994</v>
      </c>
      <c r="T138" s="244"/>
      <c r="U138" s="244">
        <v>231.50899999999999</v>
      </c>
      <c r="V138" s="244">
        <v>255.422</v>
      </c>
      <c r="W138" s="244">
        <v>286.84300000000002</v>
      </c>
      <c r="X138" s="244">
        <v>322.23899999999998</v>
      </c>
      <c r="Y138" s="244">
        <f>SUM(U138:X138)</f>
        <v>1096.0129999999999</v>
      </c>
      <c r="Z138" s="244"/>
      <c r="AA138" s="244">
        <v>336.10700000000003</v>
      </c>
      <c r="AB138" s="244">
        <v>377.483</v>
      </c>
      <c r="AC138" s="244">
        <v>401.44099999999997</v>
      </c>
      <c r="AD138" s="244">
        <v>435.435</v>
      </c>
      <c r="AE138" s="244">
        <f>SUM(AA138:AD138)</f>
        <v>1550.4659999999999</v>
      </c>
      <c r="AF138" s="244"/>
      <c r="AG138" s="244">
        <v>468.16699999999997</v>
      </c>
      <c r="AH138" s="244">
        <v>548.63099999999997</v>
      </c>
      <c r="AI138" s="244">
        <v>586.39800000000002</v>
      </c>
      <c r="AJ138" s="244">
        <v>670.41200000000003</v>
      </c>
      <c r="AK138" s="244">
        <f>SUM(AG138:AJ138)</f>
        <v>2273.6080000000002</v>
      </c>
      <c r="AL138" s="244"/>
      <c r="AM138" s="244">
        <v>679.29</v>
      </c>
      <c r="AN138" s="244">
        <v>779.84699999999998</v>
      </c>
      <c r="AO138" s="244">
        <v>792.02300000000002</v>
      </c>
      <c r="AP138" s="244">
        <v>812.98800000000006</v>
      </c>
      <c r="AQ138" s="244">
        <f>SUM(AM138:AP138)</f>
        <v>3064.1480000000001</v>
      </c>
      <c r="AR138" s="244"/>
      <c r="AS138" s="244">
        <v>756.75</v>
      </c>
      <c r="AT138" s="244">
        <v>753.17</v>
      </c>
      <c r="AU138" s="244">
        <v>707.26099999999997</v>
      </c>
      <c r="AV138" s="244">
        <v>725.49800000000005</v>
      </c>
      <c r="AW138" s="244">
        <f>SUM(AS138:AV138)</f>
        <v>2942.6790000000001</v>
      </c>
      <c r="AX138" s="244"/>
      <c r="AY138" s="244">
        <v>699.995</v>
      </c>
      <c r="AZ138" s="244">
        <v>721.86</v>
      </c>
      <c r="BA138" s="244">
        <v>730.30899999999997</v>
      </c>
      <c r="BB138" s="244">
        <v>744.89599999999996</v>
      </c>
      <c r="BC138" s="244">
        <f>SUM(AY138:BB138)</f>
        <v>2897.0599999999995</v>
      </c>
      <c r="BD138" s="244"/>
      <c r="BE138" s="244">
        <v>516.322</v>
      </c>
      <c r="BF138" s="244">
        <v>516.26599999999996</v>
      </c>
      <c r="BG138" s="244">
        <v>458.74799999999999</v>
      </c>
      <c r="BH138" s="244">
        <v>452.6</v>
      </c>
      <c r="BI138" s="244">
        <f>SUM(BE138:BH138)</f>
        <v>1943.9360000000001</v>
      </c>
      <c r="BJ138" s="244"/>
      <c r="BK138" s="244">
        <v>472</v>
      </c>
      <c r="BL138" s="244">
        <v>482</v>
      </c>
      <c r="BM138" s="244">
        <v>454</v>
      </c>
      <c r="BN138" s="244">
        <v>460</v>
      </c>
      <c r="BO138" s="244">
        <f>SUM(BK138:BN138)</f>
        <v>1868</v>
      </c>
      <c r="BP138" s="244"/>
      <c r="BQ138" s="243">
        <v>442</v>
      </c>
      <c r="BR138" s="243">
        <v>455</v>
      </c>
      <c r="BS138" s="243">
        <v>439</v>
      </c>
      <c r="BT138" s="243">
        <v>434</v>
      </c>
      <c r="BU138" s="244">
        <f>SUM(BQ138:BT138)</f>
        <v>1770</v>
      </c>
      <c r="BV138" s="244"/>
      <c r="BW138" s="243">
        <v>419</v>
      </c>
      <c r="BX138" s="243">
        <v>449</v>
      </c>
      <c r="BY138" s="243">
        <v>551</v>
      </c>
      <c r="BZ138" s="243">
        <v>607</v>
      </c>
      <c r="CA138" s="244">
        <f>SUM(BW138:BZ138)</f>
        <v>2026</v>
      </c>
      <c r="CB138" s="244"/>
      <c r="CC138" s="243">
        <v>560</v>
      </c>
      <c r="CD138" s="243">
        <v>580</v>
      </c>
      <c r="CE138" s="243">
        <f>612-2</f>
        <v>610</v>
      </c>
      <c r="CF138" s="243">
        <f>758-2</f>
        <v>756</v>
      </c>
      <c r="CG138" s="171">
        <f>SUM(CC138:CF138)</f>
        <v>2506</v>
      </c>
      <c r="CH138" s="244"/>
      <c r="CI138" s="243">
        <f>780-3</f>
        <v>777</v>
      </c>
      <c r="CJ138" s="243">
        <f>820-3</f>
        <v>817</v>
      </c>
      <c r="CK138" s="243">
        <f>820-3</f>
        <v>817</v>
      </c>
      <c r="CL138" s="243">
        <f>928-4</f>
        <v>924</v>
      </c>
      <c r="CM138" s="171">
        <f>SUM(CI138:CL138)</f>
        <v>3335</v>
      </c>
      <c r="CN138" s="244"/>
      <c r="CO138" s="243">
        <f>931-4</f>
        <v>927</v>
      </c>
      <c r="CP138" s="243">
        <f>992-3</f>
        <v>989</v>
      </c>
      <c r="CQ138" s="243">
        <f>989-2</f>
        <v>987</v>
      </c>
      <c r="CR138" s="243">
        <f>1072-4</f>
        <v>1068</v>
      </c>
      <c r="CS138" s="171">
        <f>SUM(CO138:CR138)</f>
        <v>3971</v>
      </c>
      <c r="CT138" s="244"/>
      <c r="CU138" s="243">
        <f>1026-3</f>
        <v>1023</v>
      </c>
      <c r="CV138" s="243">
        <f>939-3</f>
        <v>936</v>
      </c>
      <c r="CW138" s="243">
        <f>855-3</f>
        <v>852</v>
      </c>
      <c r="CX138" s="243">
        <f>886-3</f>
        <v>883</v>
      </c>
      <c r="CY138" s="171">
        <f>SUM(CU138:CX138)</f>
        <v>3694</v>
      </c>
      <c r="CZ138" s="244"/>
      <c r="DA138" s="243">
        <f>782-3</f>
        <v>779</v>
      </c>
      <c r="DB138" s="243">
        <f>832-3</f>
        <v>829</v>
      </c>
      <c r="DC138" s="243">
        <f>816-4</f>
        <v>812</v>
      </c>
      <c r="DD138" s="243">
        <f>969-4</f>
        <v>965</v>
      </c>
      <c r="DE138" s="171">
        <f>SUM(DA138:DD138)</f>
        <v>3385</v>
      </c>
      <c r="DF138" s="244"/>
      <c r="DG138" s="243">
        <f>896-4</f>
        <v>892</v>
      </c>
      <c r="DH138" s="243">
        <f>969-4</f>
        <v>965</v>
      </c>
      <c r="DI138" s="243">
        <f>954-5</f>
        <v>949</v>
      </c>
      <c r="DJ138" s="243">
        <f>1000-3</f>
        <v>997</v>
      </c>
      <c r="DK138" s="171">
        <f>SUM(DG138:DJ138)</f>
        <v>3803</v>
      </c>
      <c r="DL138" s="244"/>
      <c r="DM138" s="243">
        <f>936-4</f>
        <v>932</v>
      </c>
      <c r="DN138" s="243">
        <f>929-6</f>
        <v>923</v>
      </c>
      <c r="DO138" s="243">
        <f>922-6</f>
        <v>916</v>
      </c>
      <c r="DP138" s="243">
        <f>955-7</f>
        <v>948</v>
      </c>
      <c r="DQ138" s="171">
        <f>SUM(DM138:DP138)</f>
        <v>3719</v>
      </c>
      <c r="DR138" s="244"/>
      <c r="DS138" s="243">
        <f>884-9</f>
        <v>875</v>
      </c>
      <c r="DT138" s="243">
        <f>930-8</f>
        <v>922</v>
      </c>
      <c r="DU138" s="243">
        <f>854-7</f>
        <v>847</v>
      </c>
      <c r="DV138" s="243">
        <f>785-6</f>
        <v>779</v>
      </c>
      <c r="DW138" s="171">
        <f>SUM(DS138:DV138)</f>
        <v>3423</v>
      </c>
      <c r="DX138" s="244"/>
      <c r="DY138" s="243">
        <f>720-6</f>
        <v>714</v>
      </c>
      <c r="DZ138" s="243">
        <f>759-6</f>
        <v>753</v>
      </c>
      <c r="EA138" s="243">
        <f>715-6</f>
        <v>709</v>
      </c>
      <c r="EB138" s="243">
        <f>759-12</f>
        <v>747</v>
      </c>
      <c r="EC138" s="171">
        <f>SUM(DY138:EB138)</f>
        <v>2923</v>
      </c>
      <c r="ED138" s="244"/>
      <c r="EE138" s="243">
        <f>691-6</f>
        <v>685</v>
      </c>
      <c r="EF138" s="243">
        <f>764-9</f>
        <v>755</v>
      </c>
      <c r="EG138" s="243">
        <f>724-8</f>
        <v>716</v>
      </c>
      <c r="EH138" s="243">
        <f>750-8</f>
        <v>742</v>
      </c>
      <c r="EI138" s="171">
        <f>SUM(EE138:EH138)</f>
        <v>2898</v>
      </c>
      <c r="EJ138" s="244"/>
      <c r="EK138" s="243">
        <f>711-8</f>
        <v>703</v>
      </c>
      <c r="EL138" s="243">
        <f>690-7</f>
        <v>683</v>
      </c>
      <c r="EM138" s="243">
        <f>657-7</f>
        <v>650</v>
      </c>
      <c r="EN138" s="243">
        <f>692-7</f>
        <v>685</v>
      </c>
      <c r="EO138" s="171">
        <f>SUM(EK138:EN138)</f>
        <v>2721</v>
      </c>
      <c r="EP138" s="244"/>
      <c r="EQ138" s="243">
        <f>695-8</f>
        <v>687</v>
      </c>
      <c r="ER138" s="243">
        <f>697-9</f>
        <v>688</v>
      </c>
      <c r="ES138" s="243">
        <f>680-14</f>
        <v>666</v>
      </c>
      <c r="ET138" s="243">
        <f>728-14</f>
        <v>714</v>
      </c>
      <c r="EU138" s="171">
        <f>SUM(EQ138:ET138)</f>
        <v>2755</v>
      </c>
      <c r="EV138" s="244"/>
      <c r="EW138" s="243">
        <f>702-14</f>
        <v>688</v>
      </c>
      <c r="EX138" s="243">
        <f>720-14</f>
        <v>706</v>
      </c>
      <c r="EY138" s="243">
        <f>712-13</f>
        <v>699</v>
      </c>
      <c r="EZ138" s="243">
        <f>(EZ75)*(1-EZ139)</f>
        <v>728.28</v>
      </c>
      <c r="FA138" s="171">
        <f>SUM(EW138:EZ138)</f>
        <v>2821.2799999999997</v>
      </c>
      <c r="FB138" s="244"/>
      <c r="FC138" s="243">
        <f>(FC75)*(1-FC139)</f>
        <v>688</v>
      </c>
      <c r="FD138" s="243">
        <f>(FD75)*(1-FD139)</f>
        <v>706</v>
      </c>
      <c r="FE138" s="243">
        <f>(FE75)*(1-FE139)</f>
        <v>699</v>
      </c>
      <c r="FF138" s="243">
        <f>(FF75)*(1-FF139)</f>
        <v>728.28</v>
      </c>
      <c r="FG138" s="171">
        <f>SUM(FC138:FF138)</f>
        <v>2821.2799999999997</v>
      </c>
      <c r="FH138" s="244"/>
      <c r="FI138" s="243">
        <f>(FI75)*(1-FI139)</f>
        <v>688</v>
      </c>
      <c r="FJ138" s="243">
        <f>(FJ75)*(1-FJ139)</f>
        <v>706</v>
      </c>
      <c r="FK138" s="243">
        <f>(FK75)*(1-FK139)</f>
        <v>699</v>
      </c>
      <c r="FL138" s="243">
        <f>(FL75)*(1-FL139)</f>
        <v>728.28</v>
      </c>
      <c r="FM138" s="171">
        <f>SUM(FI138:FL138)</f>
        <v>2821.2799999999997</v>
      </c>
      <c r="FN138" s="226"/>
      <c r="FO138" s="245">
        <f>CE138+CF138+CI138+CJ138</f>
        <v>2960</v>
      </c>
      <c r="FP138" s="243">
        <f>CK138+CL138+CO138+CP138</f>
        <v>3657</v>
      </c>
      <c r="FQ138" s="243">
        <f>CV138+CU138+CR138+CQ138</f>
        <v>4014</v>
      </c>
      <c r="FR138" s="243">
        <f>CW138+CX138+DA138+DB138</f>
        <v>3343</v>
      </c>
      <c r="FS138" s="245">
        <f>DC138+DD138+DG138+DH138</f>
        <v>3634</v>
      </c>
      <c r="FT138" s="243">
        <f>DI138+DJ138+DM138+DN138</f>
        <v>3801</v>
      </c>
      <c r="FU138" s="243">
        <f>DO138+DP138+DS138+DT138</f>
        <v>3661</v>
      </c>
      <c r="FV138" s="243">
        <f>DY138+DV138+DZ138+DU138</f>
        <v>3093</v>
      </c>
      <c r="FW138" s="243">
        <f>EA138+EB138+EE138+EF138</f>
        <v>2896</v>
      </c>
      <c r="FX138" s="243">
        <f>EG138+EH138+EK138+EL138</f>
        <v>2844</v>
      </c>
      <c r="FY138" s="243">
        <f>EM138+EN138+EQ138+ER138</f>
        <v>2710</v>
      </c>
      <c r="FZ138" s="243">
        <f>ES138+ET138+EW138+EX138</f>
        <v>2774</v>
      </c>
      <c r="GA138" s="243">
        <f>EY138+EZ138+FC138+FD138</f>
        <v>2821.2799999999997</v>
      </c>
      <c r="GB138" s="243">
        <f>FE138+FF138+FI138+FJ138</f>
        <v>2821.2799999999997</v>
      </c>
      <c r="GC138" s="243"/>
      <c r="GD138" s="243"/>
      <c r="GE138" s="243"/>
      <c r="GF138" s="243"/>
      <c r="GI138"/>
      <c r="GJ138"/>
      <c r="GK138"/>
      <c r="GL138"/>
      <c r="GM138"/>
      <c r="GN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</row>
    <row r="139" spans="1:281" s="37" customFormat="1" ht="10.5" customHeight="1" x14ac:dyDescent="0.2">
      <c r="A139" s="247" t="s">
        <v>1094</v>
      </c>
      <c r="B139" s="952"/>
      <c r="C139" s="259" t="s">
        <v>945</v>
      </c>
      <c r="D139" s="259" t="s">
        <v>945</v>
      </c>
      <c r="E139" s="259" t="s">
        <v>945</v>
      </c>
      <c r="F139" s="259" t="s">
        <v>945</v>
      </c>
      <c r="G139" s="259" t="s">
        <v>945</v>
      </c>
      <c r="H139" s="259" t="s">
        <v>945</v>
      </c>
      <c r="I139" s="259" t="s">
        <v>945</v>
      </c>
      <c r="J139" s="259" t="s">
        <v>945</v>
      </c>
      <c r="K139" s="259" t="s">
        <v>945</v>
      </c>
      <c r="L139" s="259" t="s">
        <v>945</v>
      </c>
      <c r="M139" s="259" t="s">
        <v>945</v>
      </c>
      <c r="N139" s="36"/>
      <c r="O139" s="259" t="s">
        <v>945</v>
      </c>
      <c r="P139" s="259" t="s">
        <v>945</v>
      </c>
      <c r="Q139" s="259" t="s">
        <v>945</v>
      </c>
      <c r="R139" s="259" t="s">
        <v>945</v>
      </c>
      <c r="S139" s="259" t="s">
        <v>945</v>
      </c>
      <c r="T139" s="36"/>
      <c r="U139" s="259" t="s">
        <v>945</v>
      </c>
      <c r="V139" s="259" t="s">
        <v>945</v>
      </c>
      <c r="W139" s="259" t="s">
        <v>945</v>
      </c>
      <c r="X139" s="259" t="s">
        <v>945</v>
      </c>
      <c r="Y139" s="259" t="s">
        <v>945</v>
      </c>
      <c r="Z139" s="36"/>
      <c r="AA139" s="259" t="s">
        <v>945</v>
      </c>
      <c r="AB139" s="259" t="s">
        <v>945</v>
      </c>
      <c r="AC139" s="259" t="s">
        <v>945</v>
      </c>
      <c r="AD139" s="259" t="s">
        <v>945</v>
      </c>
      <c r="AE139" s="259" t="s">
        <v>945</v>
      </c>
      <c r="AF139" s="36"/>
      <c r="AG139" s="259" t="s">
        <v>945</v>
      </c>
      <c r="AH139" s="259" t="s">
        <v>945</v>
      </c>
      <c r="AI139" s="259" t="s">
        <v>945</v>
      </c>
      <c r="AJ139" s="259" t="s">
        <v>945</v>
      </c>
      <c r="AK139" s="259" t="s">
        <v>945</v>
      </c>
      <c r="AL139" s="36"/>
      <c r="AM139" s="259" t="s">
        <v>945</v>
      </c>
      <c r="AN139" s="259" t="s">
        <v>945</v>
      </c>
      <c r="AO139" s="259" t="s">
        <v>945</v>
      </c>
      <c r="AP139" s="259" t="s">
        <v>945</v>
      </c>
      <c r="AQ139" s="259" t="s">
        <v>945</v>
      </c>
      <c r="AR139" s="36"/>
      <c r="AS139" s="259" t="s">
        <v>945</v>
      </c>
      <c r="AT139" s="259" t="s">
        <v>945</v>
      </c>
      <c r="AU139" s="259" t="s">
        <v>945</v>
      </c>
      <c r="AV139" s="259" t="s">
        <v>945</v>
      </c>
      <c r="AW139" s="259" t="s">
        <v>945</v>
      </c>
      <c r="AX139" s="36"/>
      <c r="AY139" s="259" t="s">
        <v>945</v>
      </c>
      <c r="AZ139" s="259" t="s">
        <v>945</v>
      </c>
      <c r="BA139" s="259" t="s">
        <v>945</v>
      </c>
      <c r="BB139" s="259" t="s">
        <v>945</v>
      </c>
      <c r="BC139" s="259" t="s">
        <v>945</v>
      </c>
      <c r="BD139" s="36"/>
      <c r="BE139" s="236">
        <f>1-(BE138/(BE72+BE73+BE74+BE75))</f>
        <v>0.27358599401785633</v>
      </c>
      <c r="BF139" s="236">
        <f>1-(BF138/(BF72+BF73+BF74+BF75))</f>
        <v>0.25814364193122408</v>
      </c>
      <c r="BG139" s="236">
        <f>1-(BG138/(BG72+BG73+BG74+BG75))</f>
        <v>0.24791711067757427</v>
      </c>
      <c r="BH139" s="236">
        <f>1-(BH138/(BH72+BH73+BH74+BH75))</f>
        <v>0.32894861697585043</v>
      </c>
      <c r="BI139" s="188">
        <f>1-(BI138/(BI72+BI73+BI74+BI75))</f>
        <v>0.27764984707150564</v>
      </c>
      <c r="BJ139" s="95"/>
      <c r="BK139" s="188">
        <f>1-(BK138/(BK72+BK73+BK74+BK75))</f>
        <v>0.15714285714285714</v>
      </c>
      <c r="BL139" s="188">
        <f>1-(BL138/(BL72+BL73+BL74+BL75))</f>
        <v>0.18305084745762712</v>
      </c>
      <c r="BM139" s="188">
        <f>1-(BM138/(BM72+BM73+BM74+BM75))</f>
        <v>0.17001828153564902</v>
      </c>
      <c r="BN139" s="188">
        <f>1-(BN138/(BN72+BN73+BN74+BN75))</f>
        <v>0.20552677029360966</v>
      </c>
      <c r="BO139" s="188">
        <f>1-(BO138/(BO72+BO73+BO74+BO75))</f>
        <v>0.17926186291739898</v>
      </c>
      <c r="BP139" s="95"/>
      <c r="BQ139" s="188">
        <f>1-(BQ138/(BQ72+BQ73+BQ74+BQ75))</f>
        <v>0.13840155945419108</v>
      </c>
      <c r="BR139" s="188">
        <f>1-(BR138/(BR72+BR73+BR74+BR75))</f>
        <v>0.13988657844990549</v>
      </c>
      <c r="BS139" s="188">
        <f>1-(BS138/(BS72+BS73+BS74+BS75))</f>
        <v>9.6707818930041101E-2</v>
      </c>
      <c r="BT139" s="188">
        <f>1-(BT138/(BT72+BT73+BT74+BT75))</f>
        <v>0.22222222222222221</v>
      </c>
      <c r="BU139" s="188">
        <f>1-(BU138/(BU72+BU73+BU74+BU75))</f>
        <v>0.15148609779482258</v>
      </c>
      <c r="BV139" s="36"/>
      <c r="BW139" s="188">
        <f>1-(BW138/(BW72+BW73+BW74+BW75))</f>
        <v>0.11974789915966388</v>
      </c>
      <c r="BX139" s="188">
        <f>1-(BX138/(BX72+BX73+BX74+BX75))</f>
        <v>0.1575984990619137</v>
      </c>
      <c r="BY139" s="188">
        <f>1-(BY138/(BY72+BY73+BY74+BY75))</f>
        <v>0.10260586319218246</v>
      </c>
      <c r="BZ139" s="188">
        <f>1-(BZ138/(BZ72+BZ73+BZ74+BZ75))</f>
        <v>0.19602649006622519</v>
      </c>
      <c r="CA139" s="188">
        <f>1-(CA138/(CA72+CA73+CA74+CA75))</f>
        <v>0.14802354920100924</v>
      </c>
      <c r="CB139" s="95"/>
      <c r="CC139" s="188">
        <f>1-(CC138/CC75)</f>
        <v>0.12087912087912089</v>
      </c>
      <c r="CD139" s="188">
        <f>1-(CD138/CD75)</f>
        <v>0.14074074074074072</v>
      </c>
      <c r="CE139" s="188">
        <f>1-(CE138/CE75)</f>
        <v>9.0909090909090939E-2</v>
      </c>
      <c r="CF139" s="188">
        <f>1-(CF138/CF75)</f>
        <v>0.117852975495916</v>
      </c>
      <c r="CG139" s="274">
        <f>1-(CG138/CG75)</f>
        <v>0.11760563380281686</v>
      </c>
      <c r="CH139" s="95"/>
      <c r="CI139" s="188">
        <f>1-(CI138/CI75)</f>
        <v>8.1560283687943214E-2</v>
      </c>
      <c r="CJ139" s="188">
        <f>1-(CJ138/CJ75)</f>
        <v>0.13909378292939933</v>
      </c>
      <c r="CK139" s="188">
        <f>1-(CK138/CK75)</f>
        <v>0.10807860262008728</v>
      </c>
      <c r="CL139" s="188">
        <f>1-(CL138/CL75)</f>
        <v>0.14046511627906977</v>
      </c>
      <c r="CM139" s="274">
        <f>1-(CM138/CM75)</f>
        <v>0.11912308505018487</v>
      </c>
      <c r="CN139" s="95"/>
      <c r="CO139" s="188">
        <f>1-(CO138/CO75)</f>
        <v>0.12464589235127477</v>
      </c>
      <c r="CP139" s="188">
        <f>1-(CP138/CP75)</f>
        <v>0.14298093587521665</v>
      </c>
      <c r="CQ139" s="188">
        <f>1-(CQ138/CQ75)</f>
        <v>0.11000901713255185</v>
      </c>
      <c r="CR139" s="188">
        <f>1-(CR138/CR75)</f>
        <v>0.15573122529644268</v>
      </c>
      <c r="CS139" s="274">
        <f>1-(CS138/CS75)</f>
        <v>0.13429256594724226</v>
      </c>
      <c r="CT139" s="95"/>
      <c r="CU139" s="188">
        <f>1-(CU138/CU75)</f>
        <v>0.11734253666954275</v>
      </c>
      <c r="CV139" s="188">
        <f>1-(CV138/CV75)</f>
        <v>0.17241379310344829</v>
      </c>
      <c r="CW139" s="188">
        <f>1-(CW138/CW75)</f>
        <v>0.16470588235294115</v>
      </c>
      <c r="CX139" s="188">
        <f>1-(CX138/CX75)</f>
        <v>0.17089201877934268</v>
      </c>
      <c r="CY139" s="274">
        <f>1-(CY138/CY75)</f>
        <v>0.15565714285714283</v>
      </c>
      <c r="CZ139" s="95"/>
      <c r="DA139" s="188">
        <f>1-(DA138/DA75)</f>
        <v>0.14301430143014304</v>
      </c>
      <c r="DB139" s="188">
        <f>1-(DB138/DB75)</f>
        <v>0.13465553235908145</v>
      </c>
      <c r="DC139" s="188">
        <f>1-(DC138/DC75)</f>
        <v>0.1278195488721805</v>
      </c>
      <c r="DD139" s="188">
        <f>1-(DD138/DD75)</f>
        <v>0.12906137184115518</v>
      </c>
      <c r="DE139" s="274">
        <f>1-(DE138/DE75)</f>
        <v>0.13338453661034311</v>
      </c>
      <c r="DF139" s="95"/>
      <c r="DG139" s="188">
        <f>1-(DG138/DG75)</f>
        <v>0.16479400749063666</v>
      </c>
      <c r="DH139" s="188">
        <f>1-(DH138/DH75)</f>
        <v>0.18565400843881852</v>
      </c>
      <c r="DI139" s="188">
        <f>1-(DI138/DI75)</f>
        <v>0.17190226876090753</v>
      </c>
      <c r="DJ139" s="188">
        <f>1-(DJ138/DJ75)</f>
        <v>0.20112179487179482</v>
      </c>
      <c r="DK139" s="274">
        <f>1-(DK138/DK75)</f>
        <v>0.18162255218420487</v>
      </c>
      <c r="DL139" s="95"/>
      <c r="DM139" s="188">
        <f>1-(DM138/DM75)</f>
        <v>0.21016949152542375</v>
      </c>
      <c r="DN139" s="188">
        <f>1-(DN138/DN75)</f>
        <v>0.21779661016949148</v>
      </c>
      <c r="DO139" s="188">
        <f>1-(DO138/DO75)</f>
        <v>0.1974340318811445</v>
      </c>
      <c r="DP139" s="188">
        <f>1-(DP138/DP75)</f>
        <v>0.21141924820803759</v>
      </c>
      <c r="DQ139" s="274">
        <f>1-(DQ138/DQ75)</f>
        <v>0.20931202939156623</v>
      </c>
      <c r="DR139" s="95"/>
      <c r="DS139" s="188">
        <f>1-(DS138/DS75)</f>
        <v>0.12060301507537685</v>
      </c>
      <c r="DT139" s="188">
        <f>1-(DT138/DT75)</f>
        <v>8.7128712871287095E-2</v>
      </c>
      <c r="DU139" s="188">
        <f>1-(DU138/DU75)</f>
        <v>9.4117647058823528E-2</v>
      </c>
      <c r="DV139" s="188">
        <f>1-(DV138/DV75)</f>
        <v>0.20102564102564102</v>
      </c>
      <c r="DW139" s="274">
        <f>1-(DW138/DW75)</f>
        <v>0.1256704980842912</v>
      </c>
      <c r="DX139" s="95"/>
      <c r="DY139" s="188">
        <f>1-(DY138/DY75)</f>
        <v>0.22222222222222221</v>
      </c>
      <c r="DZ139" s="188">
        <f>1-(DZ138/DZ75)</f>
        <v>0.21480709071949944</v>
      </c>
      <c r="EA139" s="188">
        <f>1-(EA138/EA75)</f>
        <v>0.19796380090497734</v>
      </c>
      <c r="EB139" s="188">
        <f>1-(EB138/EB75)</f>
        <v>0.2053191489361702</v>
      </c>
      <c r="EC139" s="274">
        <f>1-(EC138/EC75)</f>
        <v>0.21021345582275064</v>
      </c>
      <c r="ED139" s="95"/>
      <c r="EE139" s="188">
        <f>1-(EE138/EE75)</f>
        <v>0.19883040935672514</v>
      </c>
      <c r="EF139" s="188">
        <f>1-(EF138/EF75)</f>
        <v>0.19251336898395721</v>
      </c>
      <c r="EG139" s="188">
        <f>1-(EG138/EG75)</f>
        <v>0.16550116550116545</v>
      </c>
      <c r="EH139" s="188">
        <f>1-(EH138/EH75)</f>
        <v>0.1746384872080089</v>
      </c>
      <c r="EI139" s="274">
        <f>1-(EI138/EI75)</f>
        <v>0.18297152523259097</v>
      </c>
      <c r="EJ139" s="95"/>
      <c r="EK139" s="188">
        <f>1-(EK138/EK75)</f>
        <v>0.18445475638051045</v>
      </c>
      <c r="EL139" s="188">
        <f>1-(EL138/EL75)</f>
        <v>0.20673635307781646</v>
      </c>
      <c r="EM139" s="188">
        <f>1-(EM138/EM75)</f>
        <v>0.18032786885245899</v>
      </c>
      <c r="EN139" s="188">
        <f>1-(EN138/EN75)</f>
        <v>0.21444954128440363</v>
      </c>
      <c r="EO139" s="274">
        <f>1-(EO138/EO75)</f>
        <v>0.19687131050767415</v>
      </c>
      <c r="EP139" s="95"/>
      <c r="EQ139" s="188">
        <f>1-(EQ138/EQ75)</f>
        <v>0.14975247524752477</v>
      </c>
      <c r="ER139" s="188">
        <f>1-(ER138/ER75)</f>
        <v>0.18462158382516769</v>
      </c>
      <c r="ES139" s="188">
        <f>1-(ES138/ES75)</f>
        <v>0.17980295566502458</v>
      </c>
      <c r="ET139" s="188">
        <f>1-(ET138/ET75)</f>
        <v>0.20134228187919467</v>
      </c>
      <c r="EU139" s="274">
        <f>1-(EU138/EU75)</f>
        <v>0.17951741924724063</v>
      </c>
      <c r="EV139" s="95"/>
      <c r="EW139" s="188">
        <f>1-(EW138/EW75)</f>
        <v>0.19999999999999996</v>
      </c>
      <c r="EX139" s="188">
        <f>1-(EX138/EX75)</f>
        <v>0.17523364485981308</v>
      </c>
      <c r="EY139" s="188">
        <f>1-(EY138/EY75)</f>
        <v>0.12185929648241201</v>
      </c>
      <c r="EZ139" s="900">
        <f>ET139</f>
        <v>0.20134228187919467</v>
      </c>
      <c r="FA139" s="274">
        <f>1-(FA138/FA75)</f>
        <v>0.17599915884902517</v>
      </c>
      <c r="FB139" s="95"/>
      <c r="FC139" s="900">
        <f>EW139</f>
        <v>0.19999999999999996</v>
      </c>
      <c r="FD139" s="900">
        <f>EX139</f>
        <v>0.17523364485981308</v>
      </c>
      <c r="FE139" s="900">
        <f>EY139</f>
        <v>0.12185929648241201</v>
      </c>
      <c r="FF139" s="900">
        <f>EZ139</f>
        <v>0.20134228187919467</v>
      </c>
      <c r="FG139" s="274">
        <f>1-(FG138/FG75)</f>
        <v>0.17599915884902517</v>
      </c>
      <c r="FH139" s="95"/>
      <c r="FI139" s="900">
        <f>FC139</f>
        <v>0.19999999999999996</v>
      </c>
      <c r="FJ139" s="900">
        <f>FD139</f>
        <v>0.17523364485981308</v>
      </c>
      <c r="FK139" s="900">
        <f>FE139</f>
        <v>0.12185929648241201</v>
      </c>
      <c r="FL139" s="900">
        <f>FF139</f>
        <v>0.20134228187919467</v>
      </c>
      <c r="FM139" s="274">
        <f>1-(FM138/FM75)</f>
        <v>0.17599915884902517</v>
      </c>
      <c r="FN139" s="1123"/>
      <c r="FO139" s="275">
        <f>1-(FO138/(FO72+FO73+FO74+FO75))</f>
        <v>0.55461931989166424</v>
      </c>
      <c r="FP139" s="188">
        <f>1-(FP138/(FP72+FP73+FP74+FP75))</f>
        <v>0.56505708848715508</v>
      </c>
      <c r="FQ139" s="188">
        <f>1-(FQ138/(FQ72+FQ73+FQ74+FQ75))</f>
        <v>0.56968267581475129</v>
      </c>
      <c r="FR139" s="188">
        <f>1-(FR138/(FR72+FR73+FR74+FR75))</f>
        <v>0.5770495951417004</v>
      </c>
      <c r="FS139" s="275">
        <f t="shared" ref="FS139:FY139" si="100">1-(FS138/(FS75))</f>
        <v>0.15330848089468774</v>
      </c>
      <c r="FT139" s="188">
        <f t="shared" si="100"/>
        <v>0.20046276819520403</v>
      </c>
      <c r="FU139" s="188">
        <f t="shared" si="100"/>
        <v>0.15810028145574551</v>
      </c>
      <c r="FV139" s="188">
        <f t="shared" si="100"/>
        <v>0.18325851597570642</v>
      </c>
      <c r="FW139" s="188">
        <f t="shared" si="100"/>
        <v>0.19867183176535697</v>
      </c>
      <c r="FX139" s="188">
        <f t="shared" si="100"/>
        <v>0.1827586206896552</v>
      </c>
      <c r="FY139" s="188">
        <f t="shared" si="100"/>
        <v>0.1829424924173445</v>
      </c>
      <c r="FZ139" s="188">
        <f>1-(FZ138/(FZ72+FZ73+FZ74+FZ75))</f>
        <v>0.47588669666173644</v>
      </c>
      <c r="GA139" s="188">
        <f>1-(GA138/(GA72+GA73+GA74+GA75))</f>
        <v>0.4515004600330137</v>
      </c>
      <c r="GB139" s="188">
        <f>1-(GB138/(GB72+GB73+GB74+GB75))</f>
        <v>0.43046182029006064</v>
      </c>
      <c r="GC139" s="188"/>
      <c r="GD139" s="188"/>
      <c r="GE139" s="188"/>
      <c r="GF139" s="188"/>
      <c r="GI139"/>
      <c r="GJ139"/>
      <c r="GK139"/>
      <c r="GL139"/>
      <c r="GM139"/>
      <c r="GN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</row>
    <row r="140" spans="1:281" s="37" customFormat="1" ht="3.95" customHeight="1" x14ac:dyDescent="0.2">
      <c r="A140" s="247"/>
      <c r="B140" s="952"/>
      <c r="C140" s="36"/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36"/>
      <c r="O140" s="36"/>
      <c r="P140" s="36"/>
      <c r="Q140" s="36"/>
      <c r="R140" s="36"/>
      <c r="S140" s="36"/>
      <c r="T140" s="36"/>
      <c r="U140" s="36"/>
      <c r="V140" s="36"/>
      <c r="W140" s="36"/>
      <c r="X140" s="36"/>
      <c r="Y140" s="36"/>
      <c r="Z140" s="36"/>
      <c r="AA140" s="36"/>
      <c r="AB140" s="36"/>
      <c r="AC140" s="36"/>
      <c r="AD140" s="36"/>
      <c r="AE140" s="36"/>
      <c r="AF140" s="36"/>
      <c r="AG140" s="36"/>
      <c r="AH140" s="36"/>
      <c r="AI140" s="36"/>
      <c r="AJ140" s="36"/>
      <c r="AK140" s="36"/>
      <c r="AL140" s="36"/>
      <c r="AM140" s="36"/>
      <c r="AN140" s="36"/>
      <c r="AO140" s="36"/>
      <c r="AP140" s="36"/>
      <c r="AQ140" s="36"/>
      <c r="AR140" s="36"/>
      <c r="AS140" s="36"/>
      <c r="AT140" s="36"/>
      <c r="AU140" s="36"/>
      <c r="AV140" s="36"/>
      <c r="AW140" s="36"/>
      <c r="AX140" s="36"/>
      <c r="AY140" s="36"/>
      <c r="AZ140" s="36"/>
      <c r="BA140" s="36"/>
      <c r="BB140" s="36"/>
      <c r="BC140" s="36"/>
      <c r="BD140" s="36"/>
      <c r="BE140" s="36"/>
      <c r="BF140" s="36"/>
      <c r="BG140" s="36"/>
      <c r="BH140" s="36"/>
      <c r="BI140" s="36"/>
      <c r="BJ140" s="36"/>
      <c r="BK140" s="36"/>
      <c r="BL140" s="36"/>
      <c r="BM140" s="36"/>
      <c r="BN140" s="36"/>
      <c r="BO140" s="36"/>
      <c r="BP140" s="36"/>
      <c r="BU140" s="36"/>
      <c r="BV140" s="36"/>
      <c r="CA140" s="36"/>
      <c r="CB140" s="36"/>
      <c r="CG140" s="264"/>
      <c r="CH140" s="36"/>
      <c r="CM140" s="264"/>
      <c r="CN140" s="36"/>
      <c r="CS140" s="264"/>
      <c r="CT140" s="36"/>
      <c r="CY140" s="264"/>
      <c r="CZ140" s="36"/>
      <c r="DE140" s="264"/>
      <c r="DF140" s="36"/>
      <c r="DK140" s="264"/>
      <c r="DL140" s="36"/>
      <c r="DQ140" s="264"/>
      <c r="DR140" s="36"/>
      <c r="DW140" s="264"/>
      <c r="DX140" s="36"/>
      <c r="EC140" s="264"/>
      <c r="ED140" s="36"/>
      <c r="EI140" s="264"/>
      <c r="EJ140" s="36"/>
      <c r="EO140" s="264"/>
      <c r="EP140" s="36"/>
      <c r="EU140" s="264"/>
      <c r="EV140" s="36"/>
      <c r="FA140" s="264"/>
      <c r="FB140" s="36"/>
      <c r="FG140" s="264"/>
      <c r="FH140" s="36"/>
      <c r="FM140" s="264"/>
      <c r="FN140" s="1123"/>
      <c r="FO140" s="235"/>
      <c r="FS140" s="235"/>
      <c r="FT140" s="33"/>
      <c r="FU140" s="33"/>
      <c r="FV140" s="33"/>
      <c r="FW140" s="33"/>
      <c r="FX140" s="33"/>
      <c r="FY140" s="33"/>
      <c r="FZ140" s="33"/>
      <c r="GA140" s="33"/>
      <c r="GB140" s="33"/>
      <c r="GC140" s="33"/>
      <c r="GD140" s="33"/>
      <c r="GE140" s="33"/>
      <c r="GF140" s="33"/>
      <c r="GI140"/>
      <c r="GJ140"/>
      <c r="GK140"/>
      <c r="GL140"/>
      <c r="GM140"/>
      <c r="GN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</row>
    <row r="141" spans="1:281" s="33" customFormat="1" ht="10.5" customHeight="1" x14ac:dyDescent="0.2">
      <c r="A141" s="273" t="s">
        <v>1095</v>
      </c>
      <c r="B141" s="954" t="s">
        <v>1096</v>
      </c>
      <c r="C141" s="243">
        <f t="shared" ref="C141:M141" si="101">SUM(C104,C138)</f>
        <v>0</v>
      </c>
      <c r="D141" s="243">
        <f t="shared" si="101"/>
        <v>0</v>
      </c>
      <c r="E141" s="243">
        <f t="shared" si="101"/>
        <v>0</v>
      </c>
      <c r="F141" s="243">
        <f t="shared" si="101"/>
        <v>0</v>
      </c>
      <c r="G141" s="243">
        <f t="shared" si="101"/>
        <v>51.241</v>
      </c>
      <c r="H141" s="243">
        <f t="shared" si="101"/>
        <v>100.98699999999999</v>
      </c>
      <c r="I141" s="243">
        <f t="shared" si="101"/>
        <v>160.428</v>
      </c>
      <c r="J141" s="243">
        <f t="shared" si="101"/>
        <v>266.43</v>
      </c>
      <c r="K141" s="243">
        <f t="shared" si="101"/>
        <v>281.56200000000001</v>
      </c>
      <c r="L141" s="243">
        <f t="shared" si="101"/>
        <v>346.63299999999998</v>
      </c>
      <c r="M141" s="243">
        <f t="shared" si="101"/>
        <v>499.21299999999997</v>
      </c>
      <c r="N141" s="244"/>
      <c r="O141" s="243">
        <f>SUM(O104,O138)</f>
        <v>156.523</v>
      </c>
      <c r="P141" s="243">
        <f>SUM(P104,P138)</f>
        <v>187.578</v>
      </c>
      <c r="Q141" s="243">
        <f>SUM(Q104,Q138)</f>
        <v>196.68299999999999</v>
      </c>
      <c r="R141" s="243">
        <f>SUM(R104,R138)</f>
        <v>238.22800000000001</v>
      </c>
      <c r="S141" s="243">
        <f>SUM(O141:R141)</f>
        <v>779.01199999999994</v>
      </c>
      <c r="T141" s="244"/>
      <c r="U141" s="243">
        <f>SUM(U104,U138)</f>
        <v>231.50899999999999</v>
      </c>
      <c r="V141" s="243">
        <f>SUM(V104,V138)</f>
        <v>255.422</v>
      </c>
      <c r="W141" s="243">
        <f>SUM(W104,W138)</f>
        <v>286.84300000000002</v>
      </c>
      <c r="X141" s="243">
        <f>SUM(X104,X138)</f>
        <v>322.23899999999998</v>
      </c>
      <c r="Y141" s="243">
        <f>SUM(U141:X141)</f>
        <v>1096.0129999999999</v>
      </c>
      <c r="Z141" s="244"/>
      <c r="AA141" s="243">
        <f>SUM(AA104,AA138)</f>
        <v>336.10700000000003</v>
      </c>
      <c r="AB141" s="243">
        <f>SUM(AB104,AB138)</f>
        <v>377.483</v>
      </c>
      <c r="AC141" s="243">
        <f>SUM(AC104,AC138)</f>
        <v>401.44099999999997</v>
      </c>
      <c r="AD141" s="243">
        <f>SUM(AD104,AD138)</f>
        <v>435.435</v>
      </c>
      <c r="AE141" s="243">
        <f>SUM(AA141:AD141)</f>
        <v>1550.4659999999999</v>
      </c>
      <c r="AF141" s="244"/>
      <c r="AG141" s="243">
        <f>SUM(AG104,AG138)</f>
        <v>468.16699999999997</v>
      </c>
      <c r="AH141" s="243">
        <f>SUM(AH104,AH138)</f>
        <v>548.63099999999997</v>
      </c>
      <c r="AI141" s="243">
        <f>SUM(AI104,AI138)</f>
        <v>586.39800000000002</v>
      </c>
      <c r="AJ141" s="243">
        <f>SUM(AJ104,AJ138)</f>
        <v>670.41200000000003</v>
      </c>
      <c r="AK141" s="243">
        <f>SUM(AG141:AJ141)</f>
        <v>2273.6080000000002</v>
      </c>
      <c r="AL141" s="244"/>
      <c r="AM141" s="243">
        <f>SUM(AM104,AM138)</f>
        <v>679.29</v>
      </c>
      <c r="AN141" s="243">
        <f>SUM(AN104,AN138)</f>
        <v>779.84699999999998</v>
      </c>
      <c r="AO141" s="243">
        <f>SUM(AO104,AO138)</f>
        <v>792.02300000000002</v>
      </c>
      <c r="AP141" s="243">
        <f>SUM(AP104,AP138)</f>
        <v>812.98800000000006</v>
      </c>
      <c r="AQ141" s="243">
        <f>SUM(AM141:AP141)</f>
        <v>3064.1480000000001</v>
      </c>
      <c r="AR141" s="244"/>
      <c r="AS141" s="243">
        <f>SUM(AS104,AS138)</f>
        <v>756.75</v>
      </c>
      <c r="AT141" s="243">
        <f>SUM(AT104,AT138)</f>
        <v>753.17</v>
      </c>
      <c r="AU141" s="243">
        <f>SUM(AU104,AU138)</f>
        <v>707.26099999999997</v>
      </c>
      <c r="AV141" s="243">
        <f>SUM(AV104,AV138)</f>
        <v>725.49800000000005</v>
      </c>
      <c r="AW141" s="243">
        <f>SUM(AS141:AV141)</f>
        <v>2942.6790000000001</v>
      </c>
      <c r="AX141" s="244"/>
      <c r="AY141" s="243">
        <f>SUM(AY104,AY138)</f>
        <v>699.995</v>
      </c>
      <c r="AZ141" s="243">
        <f>SUM(AZ104,AZ138)</f>
        <v>721.86</v>
      </c>
      <c r="BA141" s="243">
        <f>SUM(BA104,BA138)</f>
        <v>730.30899999999997</v>
      </c>
      <c r="BB141" s="243">
        <f>SUM(BB104,BB138)</f>
        <v>744.89599999999996</v>
      </c>
      <c r="BC141" s="243">
        <f>SUM(AY141:BB141)</f>
        <v>2897.0599999999995</v>
      </c>
      <c r="BD141" s="244"/>
      <c r="BE141" s="243">
        <f>SUM(BE104,BE138)</f>
        <v>632.88200000000006</v>
      </c>
      <c r="BF141" s="243">
        <f>SUM(BF104,BF138)</f>
        <v>632.94099999999992</v>
      </c>
      <c r="BG141" s="243">
        <f>SUM(BG104,BG138)</f>
        <v>571.44399999999996</v>
      </c>
      <c r="BH141" s="243">
        <f>SUM(BH104,BH138)</f>
        <v>568.24400000000003</v>
      </c>
      <c r="BI141" s="243">
        <f>SUM(BE141:BH141)</f>
        <v>2405.511</v>
      </c>
      <c r="BJ141" s="244"/>
      <c r="BK141" s="243">
        <f>SUM(BK104,BK138)</f>
        <v>589</v>
      </c>
      <c r="BL141" s="243">
        <f>SUM(BL104,BL138)</f>
        <v>599</v>
      </c>
      <c r="BM141" s="243">
        <f>SUM(BM104,BM138)</f>
        <v>574</v>
      </c>
      <c r="BN141" s="243">
        <f>SUM(BN104,BN138)</f>
        <v>580</v>
      </c>
      <c r="BO141" s="243">
        <f>SUM(BK141:BN141)</f>
        <v>2342</v>
      </c>
      <c r="BP141" s="244"/>
      <c r="BQ141" s="243">
        <f>SUM(BQ104,BQ138)</f>
        <v>563</v>
      </c>
      <c r="BR141" s="243">
        <f>SUM(BR104,BR138)</f>
        <v>598</v>
      </c>
      <c r="BS141" s="243">
        <f>SUM(BS104,BS138)</f>
        <v>582</v>
      </c>
      <c r="BT141" s="243">
        <f>SUM(BT104,BT138)</f>
        <v>574</v>
      </c>
      <c r="BU141" s="243">
        <f>SUM(BQ141:BT141)</f>
        <v>2317</v>
      </c>
      <c r="BV141" s="244"/>
      <c r="BW141" s="243">
        <f>BW104+BW138</f>
        <v>555</v>
      </c>
      <c r="BX141" s="243">
        <f>BX104+BX138</f>
        <v>590</v>
      </c>
      <c r="BY141" s="243">
        <f>BY104+BY138</f>
        <v>711</v>
      </c>
      <c r="BZ141" s="243">
        <f>BZ104+BZ138</f>
        <v>786</v>
      </c>
      <c r="CA141" s="244">
        <f>SUM(BW141:BZ141)</f>
        <v>2642</v>
      </c>
      <c r="CB141" s="244"/>
      <c r="CC141" s="243">
        <f>CC104+CC138</f>
        <v>720</v>
      </c>
      <c r="CD141" s="243">
        <f>CD104+CD138</f>
        <v>755</v>
      </c>
      <c r="CE141" s="243">
        <f>CE104+CE138</f>
        <v>787</v>
      </c>
      <c r="CF141" s="243">
        <f>CF104+CF138</f>
        <v>961</v>
      </c>
      <c r="CG141" s="171">
        <f>SUM(CC141:CF141)</f>
        <v>3223</v>
      </c>
      <c r="CH141" s="244"/>
      <c r="CI141" s="243">
        <f>CI104+CI138</f>
        <v>974</v>
      </c>
      <c r="CJ141" s="243">
        <f>CJ104+CJ138</f>
        <v>1019</v>
      </c>
      <c r="CK141" s="243">
        <f>CK104+CK138</f>
        <v>1024</v>
      </c>
      <c r="CL141" s="243">
        <f>CL104+CL138</f>
        <v>1150</v>
      </c>
      <c r="CM141" s="171">
        <f>SUM(CI141:CL141)</f>
        <v>4167</v>
      </c>
      <c r="CN141" s="244"/>
      <c r="CO141" s="243">
        <f>CO104+CO138</f>
        <v>1151</v>
      </c>
      <c r="CP141" s="243">
        <f>CP104+CP138</f>
        <v>1232</v>
      </c>
      <c r="CQ141" s="243">
        <f>CQ104+CQ138</f>
        <v>1240</v>
      </c>
      <c r="CR141" s="243">
        <f>CR104+CR138</f>
        <v>1335</v>
      </c>
      <c r="CS141" s="171">
        <f>SUM(CO141:CR141)</f>
        <v>4958</v>
      </c>
      <c r="CT141" s="244"/>
      <c r="CU141" s="243">
        <f>CU104+CU138</f>
        <v>1302</v>
      </c>
      <c r="CV141" s="243">
        <f>CV104+CV138</f>
        <v>1190</v>
      </c>
      <c r="CW141" s="243">
        <f>CW104+CW138</f>
        <v>1105</v>
      </c>
      <c r="CX141" s="243">
        <f>CX104+CX138</f>
        <v>1172</v>
      </c>
      <c r="CY141" s="171">
        <f>SUM(CU141:CX141)</f>
        <v>4769</v>
      </c>
      <c r="CZ141" s="244"/>
      <c r="DA141" s="243">
        <f>DA104+DA138</f>
        <v>1001</v>
      </c>
      <c r="DB141" s="243">
        <f>DB104+DB138</f>
        <v>1089</v>
      </c>
      <c r="DC141" s="243">
        <f>DC104+DC138+DC132+DC135</f>
        <v>1384</v>
      </c>
      <c r="DD141" s="243">
        <f>DD104+DD138+DD132+DD135</f>
        <v>2225.3000000000002</v>
      </c>
      <c r="DE141" s="171">
        <f>SUM(DA141:DD141)</f>
        <v>5699.3</v>
      </c>
      <c r="DF141" s="244"/>
      <c r="DG141" s="243">
        <f>DG104+DG138+DG132+DG135</f>
        <v>2051</v>
      </c>
      <c r="DH141" s="243">
        <f>DH104+DH138+DH132+DH135</f>
        <v>2148</v>
      </c>
      <c r="DI141" s="243">
        <f>DI104+DI138+DI132+DI135</f>
        <v>2001</v>
      </c>
      <c r="DJ141" s="243">
        <f>DJ104+DJ138+DJ132+DJ135</f>
        <v>2163</v>
      </c>
      <c r="DK141" s="171">
        <f>SUM(DG141:DJ141)</f>
        <v>8363</v>
      </c>
      <c r="DL141" s="244"/>
      <c r="DM141" s="243">
        <f>DM104+DM138+DM132+DM135</f>
        <v>1978</v>
      </c>
      <c r="DN141" s="243">
        <f>DN104+DN138+DN132+DN135</f>
        <v>1943</v>
      </c>
      <c r="DO141" s="243">
        <f>DO104+DO138+DO132+DO135</f>
        <v>1896</v>
      </c>
      <c r="DP141" s="243">
        <f>DP104+DP138+DP132+DP135</f>
        <v>1993</v>
      </c>
      <c r="DQ141" s="171">
        <f>SUM(DM141:DP141)</f>
        <v>7810</v>
      </c>
      <c r="DR141" s="244"/>
      <c r="DS141" s="243">
        <f>DS104+DS138+DS132+DS135</f>
        <v>1760</v>
      </c>
      <c r="DT141" s="243">
        <f>DT104+DT138+DT132+DT135</f>
        <v>1779</v>
      </c>
      <c r="DU141" s="243">
        <f>DU104+DU138+DU132+DU135</f>
        <v>1702</v>
      </c>
      <c r="DV141" s="243">
        <f>DV104+DV138+DV132+DV135</f>
        <v>1894</v>
      </c>
      <c r="DW141" s="171">
        <f>SUM(DS141:DV141)</f>
        <v>7135</v>
      </c>
      <c r="DX141" s="244"/>
      <c r="DY141" s="243">
        <f>DY104+DY138+DY132+DY135</f>
        <v>1701</v>
      </c>
      <c r="DZ141" s="243">
        <f>DZ104+DZ138+DZ132+DZ135</f>
        <v>1791</v>
      </c>
      <c r="EA141" s="243">
        <f>EA104+EA138+EA132+EA135</f>
        <v>1758</v>
      </c>
      <c r="EB141" s="243">
        <f>EB104+EB138+EB132+EB135</f>
        <v>1907</v>
      </c>
      <c r="EC141" s="171">
        <f>SUM(DY141:EB141)</f>
        <v>7157</v>
      </c>
      <c r="ED141" s="244"/>
      <c r="EE141" s="243">
        <f>EE104+EE138+EE132+EE135</f>
        <v>1665</v>
      </c>
      <c r="EF141" s="243">
        <f>EF104+EF138+EF132+EF135</f>
        <v>1879</v>
      </c>
      <c r="EG141" s="243">
        <f>EG104+EG138+EG132+EG135</f>
        <v>1879</v>
      </c>
      <c r="EH141" s="243">
        <f>EH104+EH138+EH132+EH135</f>
        <v>2031</v>
      </c>
      <c r="EI141" s="171">
        <f>SUM(EE141:EH141)</f>
        <v>7454</v>
      </c>
      <c r="EJ141" s="244"/>
      <c r="EK141" s="243">
        <f>EK104+EK138+EK132+EK135</f>
        <v>1828</v>
      </c>
      <c r="EL141" s="243">
        <f>EL104+EL138+EL132+EL135</f>
        <v>1832</v>
      </c>
      <c r="EM141" s="243">
        <f>EM104+EM138+EM132+EM135</f>
        <v>1819</v>
      </c>
      <c r="EN141" s="243">
        <f>EN104+EN138+EN132+EN135</f>
        <v>1915</v>
      </c>
      <c r="EO141" s="171">
        <f>SUM(EK141:EN141)</f>
        <v>7394</v>
      </c>
      <c r="EP141" s="244"/>
      <c r="EQ141" s="243">
        <f>EQ104+EQ138+EQ132+EQ135</f>
        <v>1753</v>
      </c>
      <c r="ER141" s="243">
        <f>ER104+ER138+ER132+ER135</f>
        <v>1772</v>
      </c>
      <c r="ES141" s="243">
        <f>ES104+ES138+ES132+ES135</f>
        <v>1862</v>
      </c>
      <c r="ET141" s="243">
        <f>ET104+ET138+ET129</f>
        <v>1972</v>
      </c>
      <c r="EU141" s="171">
        <f>SUM(EQ141:ET141)</f>
        <v>7359</v>
      </c>
      <c r="EV141" s="244"/>
      <c r="EW141" s="243">
        <f>EW104+EW138+EW129</f>
        <v>1898</v>
      </c>
      <c r="EX141" s="243">
        <f>EX104+EX138+EX132+EX135</f>
        <v>1928</v>
      </c>
      <c r="EY141" s="243">
        <f>EY104+EY138+EY132+EY135</f>
        <v>1966</v>
      </c>
      <c r="EZ141" s="243">
        <f t="shared" ref="EZ141" si="102">EZ104+EZ138+EZ129</f>
        <v>2097.7434048134205</v>
      </c>
      <c r="FA141" s="171">
        <f>SUM(EW141:EZ141)</f>
        <v>7889.7434048134201</v>
      </c>
      <c r="FB141" s="244"/>
      <c r="FC141" s="243">
        <f>FC104+FC138+FC129</f>
        <v>1965.7191921896231</v>
      </c>
      <c r="FD141" s="243">
        <f t="shared" ref="FD141:FF141" si="103">FD104+FD138+FD129</f>
        <v>1988.5685345524573</v>
      </c>
      <c r="FE141" s="243">
        <f t="shared" si="103"/>
        <v>1989.2296026370955</v>
      </c>
      <c r="FF141" s="243">
        <f t="shared" si="103"/>
        <v>2102.1791971587054</v>
      </c>
      <c r="FG141" s="171">
        <f>SUM(FC141:FF141)</f>
        <v>8045.6965265378813</v>
      </c>
      <c r="FH141" s="244"/>
      <c r="FI141" s="243">
        <f>FI104+FI138+FI129</f>
        <v>2004.7721728026686</v>
      </c>
      <c r="FJ141" s="243">
        <f t="shared" ref="FJ141:FL141" si="104">FJ104+FJ138+FJ129</f>
        <v>2027.1038436034203</v>
      </c>
      <c r="FK141" s="243">
        <f t="shared" si="104"/>
        <v>2023.2674075553939</v>
      </c>
      <c r="FL141" s="243">
        <f t="shared" si="104"/>
        <v>2136.698902333188</v>
      </c>
      <c r="FM141" s="171">
        <f>SUM(FI141:FL141)</f>
        <v>8191.8423262946708</v>
      </c>
      <c r="FN141" s="143"/>
      <c r="FO141" s="245">
        <f>CE141+CF141+CI141+CJ141</f>
        <v>3741</v>
      </c>
      <c r="FP141" s="243">
        <f>CK141+CL141+CO141+CP141</f>
        <v>4557</v>
      </c>
      <c r="FQ141" s="243">
        <f>CV141+CU141+CR141+CQ141</f>
        <v>5067</v>
      </c>
      <c r="FR141" s="243">
        <f>CW141+CX141+DA141+DB141</f>
        <v>4367</v>
      </c>
      <c r="FS141" s="245">
        <f>DC141+DD141+DG141+DH141</f>
        <v>7808.3</v>
      </c>
      <c r="FT141" s="243">
        <f>DI141+DJ141+DM141+DN141</f>
        <v>8085</v>
      </c>
      <c r="FU141" s="243">
        <f>DO141+DP141+DS141+DT141</f>
        <v>7428</v>
      </c>
      <c r="FV141" s="243">
        <f>DY141+DV141+DZ141+DU141</f>
        <v>7088</v>
      </c>
      <c r="FW141" s="243">
        <f>EA141+EB141+EE141+EF141</f>
        <v>7209</v>
      </c>
      <c r="FX141" s="243">
        <f>EG141+EH141+EK141+EL141</f>
        <v>7570</v>
      </c>
      <c r="FY141" s="243">
        <f>EM141+EN141+EQ141+ER141</f>
        <v>7259</v>
      </c>
      <c r="FZ141" s="243">
        <f>ES141+ET141+EW141+EX141</f>
        <v>7660</v>
      </c>
      <c r="GA141" s="243">
        <f>EY141+EZ141+FC141+FD141</f>
        <v>8018.0311315555009</v>
      </c>
      <c r="GB141" s="243">
        <f>FE141+FF141+FI141+FJ141</f>
        <v>8123.28481620189</v>
      </c>
      <c r="GC141" s="243"/>
      <c r="GD141" s="243"/>
      <c r="GE141" s="243"/>
      <c r="GF141" s="243"/>
      <c r="GI141"/>
      <c r="GJ141"/>
      <c r="GK141"/>
      <c r="GL141"/>
      <c r="GM141"/>
      <c r="GN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</row>
    <row r="142" spans="1:281" s="37" customFormat="1" ht="3" customHeight="1" x14ac:dyDescent="0.2">
      <c r="A142" s="276"/>
      <c r="B142" s="955"/>
      <c r="C142" s="267"/>
      <c r="D142" s="267"/>
      <c r="E142" s="267"/>
      <c r="F142" s="267"/>
      <c r="G142" s="267"/>
      <c r="H142" s="267"/>
      <c r="I142" s="267"/>
      <c r="J142" s="267"/>
      <c r="K142" s="267"/>
      <c r="L142" s="267"/>
      <c r="M142" s="267"/>
      <c r="N142" s="267"/>
      <c r="O142" s="267"/>
      <c r="P142" s="267"/>
      <c r="Q142" s="267"/>
      <c r="R142" s="267"/>
      <c r="S142" s="243"/>
      <c r="T142" s="267"/>
      <c r="U142" s="267"/>
      <c r="V142" s="267"/>
      <c r="W142" s="267"/>
      <c r="X142" s="267"/>
      <c r="Y142" s="267"/>
      <c r="Z142" s="267"/>
      <c r="AA142" s="267"/>
      <c r="AB142" s="267"/>
      <c r="AC142" s="267"/>
      <c r="AD142" s="267"/>
      <c r="AE142" s="267"/>
      <c r="AF142" s="267"/>
      <c r="AG142" s="267"/>
      <c r="AH142" s="267"/>
      <c r="AI142" s="267"/>
      <c r="AJ142" s="267"/>
      <c r="AK142" s="267"/>
      <c r="AL142" s="267"/>
      <c r="AM142" s="267"/>
      <c r="AN142" s="267"/>
      <c r="AO142" s="267"/>
      <c r="AP142" s="267"/>
      <c r="AQ142" s="267"/>
      <c r="AR142" s="267"/>
      <c r="AS142" s="267"/>
      <c r="AT142" s="267"/>
      <c r="AU142" s="267"/>
      <c r="AV142" s="267"/>
      <c r="AW142" s="267"/>
      <c r="AX142" s="267"/>
      <c r="AY142" s="267"/>
      <c r="AZ142" s="267"/>
      <c r="BA142" s="267"/>
      <c r="BB142" s="267"/>
      <c r="BC142" s="267"/>
      <c r="BD142" s="267"/>
      <c r="BE142" s="267"/>
      <c r="BF142" s="267"/>
      <c r="BG142" s="267"/>
      <c r="BH142" s="267"/>
      <c r="BI142" s="267"/>
      <c r="BJ142" s="267"/>
      <c r="BK142" s="267"/>
      <c r="BL142" s="267"/>
      <c r="BM142" s="267"/>
      <c r="BN142" s="267"/>
      <c r="BO142" s="267"/>
      <c r="BP142" s="267"/>
      <c r="BQ142" s="277"/>
      <c r="BR142" s="277"/>
      <c r="BS142" s="277"/>
      <c r="BT142" s="277"/>
      <c r="BU142" s="267"/>
      <c r="BV142" s="267"/>
      <c r="BW142" s="277"/>
      <c r="BX142" s="277"/>
      <c r="BY142" s="277"/>
      <c r="BZ142" s="277"/>
      <c r="CA142" s="267"/>
      <c r="CB142" s="267"/>
      <c r="CC142" s="277"/>
      <c r="CD142" s="277"/>
      <c r="CE142" s="277"/>
      <c r="CF142" s="277"/>
      <c r="CG142" s="278"/>
      <c r="CH142" s="267"/>
      <c r="CI142" s="277"/>
      <c r="CJ142" s="277"/>
      <c r="CK142" s="277"/>
      <c r="CL142" s="277"/>
      <c r="CM142" s="278"/>
      <c r="CN142" s="267"/>
      <c r="CO142" s="277"/>
      <c r="CP142" s="277"/>
      <c r="CQ142" s="277"/>
      <c r="CR142" s="277"/>
      <c r="CS142" s="278"/>
      <c r="CT142" s="267"/>
      <c r="CU142" s="277"/>
      <c r="CV142" s="277"/>
      <c r="CW142" s="277"/>
      <c r="CX142" s="277"/>
      <c r="CY142" s="278"/>
      <c r="CZ142" s="267"/>
      <c r="DA142" s="277"/>
      <c r="DB142" s="277"/>
      <c r="DC142" s="277"/>
      <c r="DD142" s="277"/>
      <c r="DE142" s="278"/>
      <c r="DF142" s="267"/>
      <c r="DG142" s="277"/>
      <c r="DH142" s="277"/>
      <c r="DI142" s="277"/>
      <c r="DJ142" s="277"/>
      <c r="DK142" s="278"/>
      <c r="DL142" s="267"/>
      <c r="DM142" s="277"/>
      <c r="DN142" s="277"/>
      <c r="DO142" s="277"/>
      <c r="DP142" s="277"/>
      <c r="DQ142" s="278"/>
      <c r="DR142" s="267"/>
      <c r="DS142" s="277"/>
      <c r="DT142" s="277"/>
      <c r="DU142" s="277"/>
      <c r="DV142" s="277"/>
      <c r="DW142" s="278"/>
      <c r="DX142" s="267"/>
      <c r="DY142" s="277"/>
      <c r="DZ142" s="277"/>
      <c r="EA142" s="277"/>
      <c r="EB142" s="277"/>
      <c r="EC142" s="278"/>
      <c r="ED142" s="267"/>
      <c r="EE142" s="277"/>
      <c r="EF142" s="277"/>
      <c r="EG142" s="277"/>
      <c r="EH142" s="277"/>
      <c r="EI142" s="278"/>
      <c r="EJ142" s="267"/>
      <c r="EK142" s="277"/>
      <c r="EL142" s="277"/>
      <c r="EM142" s="277"/>
      <c r="EN142" s="277"/>
      <c r="EO142" s="278"/>
      <c r="EP142" s="267"/>
      <c r="EQ142" s="277"/>
      <c r="ER142" s="277"/>
      <c r="ES142" s="277"/>
      <c r="ET142" s="277"/>
      <c r="EU142" s="278"/>
      <c r="EV142" s="267"/>
      <c r="EW142" s="277"/>
      <c r="EX142" s="277"/>
      <c r="EY142" s="277"/>
      <c r="EZ142" s="277"/>
      <c r="FA142" s="278"/>
      <c r="FB142" s="267"/>
      <c r="FC142" s="277"/>
      <c r="FD142" s="277"/>
      <c r="FE142" s="277"/>
      <c r="FF142" s="277"/>
      <c r="FG142" s="278"/>
      <c r="FH142" s="267"/>
      <c r="FI142" s="277"/>
      <c r="FJ142" s="277"/>
      <c r="FK142" s="277"/>
      <c r="FL142" s="277"/>
      <c r="FM142" s="278"/>
      <c r="FN142" s="436"/>
      <c r="FO142" s="279"/>
      <c r="FP142" s="280"/>
      <c r="FQ142" s="280"/>
      <c r="FR142" s="280"/>
      <c r="FS142" s="279"/>
      <c r="FT142" s="280"/>
      <c r="FU142" s="280"/>
      <c r="FV142" s="280"/>
      <c r="FW142" s="280"/>
      <c r="FX142" s="280"/>
      <c r="FY142" s="280"/>
      <c r="FZ142" s="280"/>
      <c r="GA142" s="280"/>
      <c r="GB142" s="280"/>
      <c r="GC142" s="277"/>
      <c r="GD142" s="277"/>
      <c r="GE142" s="277"/>
      <c r="GF142" s="277"/>
      <c r="GI142"/>
      <c r="GJ142"/>
      <c r="GK142"/>
      <c r="GL142"/>
      <c r="GM142"/>
      <c r="GN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</row>
    <row r="143" spans="1:281" s="33" customFormat="1" ht="10.5" customHeight="1" x14ac:dyDescent="0.2">
      <c r="A143" s="281" t="s">
        <v>853</v>
      </c>
      <c r="B143" s="956" t="s">
        <v>1097</v>
      </c>
      <c r="C143" s="282">
        <f t="shared" ref="C143:M143" si="105">C91-C141</f>
        <v>12.715</v>
      </c>
      <c r="D143" s="282">
        <f t="shared" si="105"/>
        <v>23.150999999999996</v>
      </c>
      <c r="E143" s="282">
        <f t="shared" si="105"/>
        <v>55.344999999999999</v>
      </c>
      <c r="F143" s="282">
        <f t="shared" si="105"/>
        <v>131.249</v>
      </c>
      <c r="G143" s="282">
        <f t="shared" si="105"/>
        <v>230.87200000000001</v>
      </c>
      <c r="H143" s="282">
        <f t="shared" si="105"/>
        <v>482.81299999999999</v>
      </c>
      <c r="I143" s="282">
        <f t="shared" si="105"/>
        <v>755.96199999999999</v>
      </c>
      <c r="J143" s="282">
        <f t="shared" si="105"/>
        <v>761.51900000000001</v>
      </c>
      <c r="K143" s="282">
        <f t="shared" si="105"/>
        <v>897.43799999999999</v>
      </c>
      <c r="L143" s="282">
        <f t="shared" si="105"/>
        <v>1156.367</v>
      </c>
      <c r="M143" s="282">
        <f t="shared" si="105"/>
        <v>1501.934</v>
      </c>
      <c r="N143" s="283"/>
      <c r="O143" s="282">
        <f>O91-O141</f>
        <v>399.95100000000002</v>
      </c>
      <c r="P143" s="282">
        <f>P91-P141</f>
        <v>482.702</v>
      </c>
      <c r="Q143" s="282">
        <f>Q91-Q141</f>
        <v>525.56200000000001</v>
      </c>
      <c r="R143" s="282">
        <f>R91-R141</f>
        <v>779.65100000000007</v>
      </c>
      <c r="S143" s="284">
        <f>SUM(O143:R143)</f>
        <v>2187.866</v>
      </c>
      <c r="T143" s="283"/>
      <c r="U143" s="282">
        <f>U91-U141</f>
        <v>540.29399999999998</v>
      </c>
      <c r="V143" s="282">
        <f>V91-V141</f>
        <v>711.57799999999997</v>
      </c>
      <c r="W143" s="282">
        <f>W91-W141</f>
        <v>733.39599999999996</v>
      </c>
      <c r="X143" s="282">
        <f>X91-X141</f>
        <v>1141.8349999999998</v>
      </c>
      <c r="Y143" s="284">
        <f>SUM(U143:X143)</f>
        <v>3127.1029999999996</v>
      </c>
      <c r="Z143" s="283"/>
      <c r="AA143" s="282">
        <f>AA91-AA141</f>
        <v>716.21199999999999</v>
      </c>
      <c r="AB143" s="282">
        <f>AB91-AB141</f>
        <v>933.8900000000001</v>
      </c>
      <c r="AC143" s="282">
        <f>AC91-AC141</f>
        <v>971.1719999999998</v>
      </c>
      <c r="AD143" s="282">
        <f>AD91-AD141</f>
        <v>1512.596</v>
      </c>
      <c r="AE143" s="284">
        <f>SUM(AA143:AD143)</f>
        <v>4133.87</v>
      </c>
      <c r="AF143" s="283"/>
      <c r="AG143" s="282">
        <f>AG91-AG141</f>
        <v>900.66100000000006</v>
      </c>
      <c r="AH143" s="282">
        <f>AH91-AH141</f>
        <v>1065.096</v>
      </c>
      <c r="AI143" s="282">
        <f>AI91-AI141</f>
        <v>1162.3589999999999</v>
      </c>
      <c r="AJ143" s="282">
        <f>AJ91-AJ141</f>
        <v>1742.1409999999998</v>
      </c>
      <c r="AK143" s="284">
        <f>SUM(AG143:AJ143)</f>
        <v>4870.2569999999996</v>
      </c>
      <c r="AL143" s="283"/>
      <c r="AM143" s="282">
        <f>AM91-AM141</f>
        <v>1069.82</v>
      </c>
      <c r="AN143" s="282">
        <f>AN91-AN141</f>
        <v>1276.0970000000004</v>
      </c>
      <c r="AO143" s="282">
        <f>AO91-AO141</f>
        <v>1286.8969999999999</v>
      </c>
      <c r="AP143" s="282">
        <f>AP91-AP141</f>
        <v>2130.29</v>
      </c>
      <c r="AQ143" s="284">
        <f>SUM(AM143:AP143)</f>
        <v>5763.1040000000003</v>
      </c>
      <c r="AR143" s="283"/>
      <c r="AS143" s="282">
        <f>AS91-AS141</f>
        <v>1227.7670000000001</v>
      </c>
      <c r="AT143" s="282">
        <f>AT91-AT141</f>
        <v>1568.7129999999997</v>
      </c>
      <c r="AU143" s="282">
        <f>AU91-AU141</f>
        <v>1742.1569999999997</v>
      </c>
      <c r="AV143" s="282">
        <f>AV91-AV141</f>
        <v>2648.8120000000004</v>
      </c>
      <c r="AW143" s="284">
        <f>SUM(AS143:AV143)</f>
        <v>7187.4489999999987</v>
      </c>
      <c r="AX143" s="283"/>
      <c r="AY143" s="282">
        <f>AY91-AY141</f>
        <v>1587.9970000000003</v>
      </c>
      <c r="AZ143" s="282">
        <f>AZ91-AZ141</f>
        <v>1964.5479999999998</v>
      </c>
      <c r="BA143" s="282">
        <f>BA91-BA141</f>
        <v>1965.7529999999999</v>
      </c>
      <c r="BB143" s="282">
        <f>BB91-BB141</f>
        <v>2545.3339999999998</v>
      </c>
      <c r="BC143" s="284">
        <f>SUM(AY143:BB143)</f>
        <v>8063.6319999999996</v>
      </c>
      <c r="BD143" s="283"/>
      <c r="BE143" s="282">
        <f>BE91-BE141</f>
        <v>1632.1729999999998</v>
      </c>
      <c r="BF143" s="282">
        <f>BF91-BF141</f>
        <v>1747.4960000000001</v>
      </c>
      <c r="BG143" s="282">
        <f>BG91-BG141</f>
        <v>1681.8759999999997</v>
      </c>
      <c r="BH143" s="282">
        <f>BH91-BH141</f>
        <v>2205.7370000000001</v>
      </c>
      <c r="BI143" s="284">
        <f>SUM(BE143:BH143)</f>
        <v>7267.2820000000002</v>
      </c>
      <c r="BJ143" s="283"/>
      <c r="BK143" s="284">
        <f>BK91-BK141</f>
        <v>1439</v>
      </c>
      <c r="BL143" s="284">
        <f>BL91-BL141</f>
        <v>1710</v>
      </c>
      <c r="BM143" s="284">
        <f>BM91-BM141</f>
        <v>1733</v>
      </c>
      <c r="BN143" s="284">
        <f>BN91-BN141</f>
        <v>2251.4</v>
      </c>
      <c r="BO143" s="284">
        <f>BO91-BO141</f>
        <v>7133.4</v>
      </c>
      <c r="BP143" s="283"/>
      <c r="BQ143" s="284">
        <f>BQ91-BQ141</f>
        <v>1509</v>
      </c>
      <c r="BR143" s="284">
        <f>BR91-BR141</f>
        <v>1900</v>
      </c>
      <c r="BS143" s="284">
        <f>BS91-BS141</f>
        <v>1927</v>
      </c>
      <c r="BT143" s="284">
        <f>BT91-BT141</f>
        <v>2503</v>
      </c>
      <c r="BU143" s="284">
        <f>BU91-BU141</f>
        <v>7839</v>
      </c>
      <c r="BV143" s="283"/>
      <c r="BW143" s="284">
        <f>BW91-BW141</f>
        <v>1660</v>
      </c>
      <c r="BX143" s="284">
        <f>BX91-BX141</f>
        <v>2166</v>
      </c>
      <c r="BY143" s="284">
        <f>BY91-BY141</f>
        <v>2382</v>
      </c>
      <c r="BZ143" s="284">
        <f>BZ91-BZ141</f>
        <v>3269</v>
      </c>
      <c r="CA143" s="284">
        <f>CA91-CA141</f>
        <v>9477</v>
      </c>
      <c r="CB143" s="283"/>
      <c r="CC143" s="284">
        <f>CC91-CC141</f>
        <v>2187</v>
      </c>
      <c r="CD143" s="284">
        <f>CD91-CD141</f>
        <v>2639</v>
      </c>
      <c r="CE143" s="284">
        <f>CE91-CE141</f>
        <v>2747.4</v>
      </c>
      <c r="CF143" s="284">
        <f>CF91-CF141</f>
        <v>3976</v>
      </c>
      <c r="CG143" s="285">
        <f>CG91-CG141</f>
        <v>11549.4</v>
      </c>
      <c r="CH143" s="283"/>
      <c r="CI143" s="284">
        <f>CI91-CI141</f>
        <v>2687</v>
      </c>
      <c r="CJ143" s="284">
        <f>CJ91-CJ141</f>
        <v>3197</v>
      </c>
      <c r="CK143" s="284">
        <f>CK91-CK141</f>
        <v>3425</v>
      </c>
      <c r="CL143" s="284">
        <f>CL91-CL141</f>
        <v>4733</v>
      </c>
      <c r="CM143" s="285">
        <f>CM91-CM141</f>
        <v>14042</v>
      </c>
      <c r="CN143" s="283"/>
      <c r="CO143" s="284">
        <f>CO91-CO141</f>
        <v>3442</v>
      </c>
      <c r="CP143" s="284">
        <f>CP91-CP141</f>
        <v>4132</v>
      </c>
      <c r="CQ143" s="284">
        <f>CQ91-CQ141</f>
        <v>4131</v>
      </c>
      <c r="CR143" s="284">
        <f>CR91-CR141</f>
        <v>5946</v>
      </c>
      <c r="CS143" s="285">
        <f>CS91-CS141</f>
        <v>17651</v>
      </c>
      <c r="CT143" s="283"/>
      <c r="CU143" s="284">
        <f>CU91-CU141</f>
        <v>4120</v>
      </c>
      <c r="CV143" s="284">
        <f>CV91-CV141</f>
        <v>4497</v>
      </c>
      <c r="CW143" s="284">
        <f>CW91-CW141</f>
        <v>4399</v>
      </c>
      <c r="CX143" s="284">
        <f>CX91-CX141</f>
        <v>5709</v>
      </c>
      <c r="CY143" s="285">
        <f>CY91-CY141</f>
        <v>18725</v>
      </c>
      <c r="CZ143" s="283"/>
      <c r="DA143" s="284">
        <f>DA91-DA141</f>
        <v>4062</v>
      </c>
      <c r="DB143" s="284">
        <f>DB91-DB141</f>
        <v>4783</v>
      </c>
      <c r="DC143" s="284">
        <f>DC91-DC141</f>
        <v>5085.3999999999996</v>
      </c>
      <c r="DD143" s="284">
        <f>DD91-DD141</f>
        <v>7405.7</v>
      </c>
      <c r="DE143" s="285">
        <f>DE91-DE141</f>
        <v>21336.100000000002</v>
      </c>
      <c r="DF143" s="283"/>
      <c r="DG143" s="284">
        <f>DG91-DG141</f>
        <v>5537</v>
      </c>
      <c r="DH143" s="284">
        <f>DH91-DH141</f>
        <v>6546</v>
      </c>
      <c r="DI143" s="284">
        <f>DI91-DI141</f>
        <v>6806</v>
      </c>
      <c r="DJ143" s="284">
        <f>DJ91-DJ141</f>
        <v>8643</v>
      </c>
      <c r="DK143" s="285">
        <f>DK91-DK141</f>
        <v>27532</v>
      </c>
      <c r="DL143" s="283"/>
      <c r="DM143" s="284">
        <f>DM91-DM141</f>
        <v>6420</v>
      </c>
      <c r="DN143" s="284">
        <f>DN91-DN141</f>
        <v>6868</v>
      </c>
      <c r="DO143" s="284">
        <f>DO91-DO141</f>
        <v>7166.3392000000003</v>
      </c>
      <c r="DP143" s="284">
        <f>DP91-DP141</f>
        <v>8957.1597000000002</v>
      </c>
      <c r="DQ143" s="285">
        <f>DQ91-DQ141</f>
        <v>29411.498900000006</v>
      </c>
      <c r="DR143" s="283"/>
      <c r="DS143" s="284">
        <f>DS91-DS141</f>
        <v>6449</v>
      </c>
      <c r="DT143" s="284">
        <f>DT91-DT141</f>
        <v>7334</v>
      </c>
      <c r="DU143" s="284">
        <f>DU91-DU141</f>
        <v>7268</v>
      </c>
      <c r="DV143" s="284">
        <f>DV91-DV141</f>
        <v>9067</v>
      </c>
      <c r="DW143" s="285">
        <f>DW91-DW141</f>
        <v>30118</v>
      </c>
      <c r="DX143" s="283"/>
      <c r="DY143" s="284">
        <f>DY91-DY141</f>
        <v>6680</v>
      </c>
      <c r="DZ143" s="284">
        <f>DZ91-DZ141</f>
        <v>7492</v>
      </c>
      <c r="EA143" s="284">
        <f>EA91-EA141</f>
        <v>7557</v>
      </c>
      <c r="EB143" s="284">
        <f>EB91-EB141</f>
        <v>9419</v>
      </c>
      <c r="EC143" s="285">
        <f>EC91-EC141</f>
        <v>31148</v>
      </c>
      <c r="ED143" s="283"/>
      <c r="EE143" s="284">
        <f>EE91-EE141</f>
        <v>6934</v>
      </c>
      <c r="EF143" s="284">
        <f>EF91-EF141</f>
        <v>7729</v>
      </c>
      <c r="EG143" s="284">
        <f>EG91-EG141</f>
        <v>7455</v>
      </c>
      <c r="EH143" s="284">
        <f>EH91-EH141</f>
        <v>8681</v>
      </c>
      <c r="EI143" s="285">
        <f>EI91-EI141</f>
        <v>30799</v>
      </c>
      <c r="EJ143" s="283"/>
      <c r="EK143" s="284">
        <f>EK91-EK141</f>
        <v>6623</v>
      </c>
      <c r="EL143" s="284">
        <f>EL91-EL141</f>
        <v>7164</v>
      </c>
      <c r="EM143" s="284">
        <f>EM91-EM141</f>
        <v>7195</v>
      </c>
      <c r="EN143" s="284">
        <f>EN91-EN141</f>
        <v>8681</v>
      </c>
      <c r="EO143" s="285">
        <f>EO91-EO141</f>
        <v>29663</v>
      </c>
      <c r="EP143" s="283"/>
      <c r="EQ143" s="284">
        <f>EQ91-EQ141</f>
        <v>6860</v>
      </c>
      <c r="ER143" s="284">
        <f>ER91-ER141</f>
        <v>7297.7799999999988</v>
      </c>
      <c r="ES143" s="284">
        <f>ES91-ES141</f>
        <v>7412</v>
      </c>
      <c r="ET143" s="284">
        <f>ET91-ET141</f>
        <v>8969</v>
      </c>
      <c r="EU143" s="285">
        <f>EU91-EU141</f>
        <v>30538.78</v>
      </c>
      <c r="EV143" s="283"/>
      <c r="EW143" s="284">
        <f>EW91-EW141</f>
        <v>7314</v>
      </c>
      <c r="EX143" s="284">
        <f>EX91-EX141</f>
        <v>7702</v>
      </c>
      <c r="EY143" s="284">
        <f>EY91-EY141</f>
        <v>7810</v>
      </c>
      <c r="EZ143" s="284">
        <f>EZ91-EZ141</f>
        <v>9091.9292612842983</v>
      </c>
      <c r="FA143" s="285">
        <f>FA91-FA141</f>
        <v>31917.929261284295</v>
      </c>
      <c r="FB143" s="283"/>
      <c r="FC143" s="284">
        <f>FC91-FC141</f>
        <v>7583.675466927747</v>
      </c>
      <c r="FD143" s="284">
        <f>FD91-FD141</f>
        <v>7993.308497510724</v>
      </c>
      <c r="FE143" s="284">
        <f>FE91-FE141</f>
        <v>8102.6058889229334</v>
      </c>
      <c r="FF143" s="284">
        <f>FF91-FF141</f>
        <v>9301.2979930900183</v>
      </c>
      <c r="FG143" s="285">
        <f>FG91-FG141</f>
        <v>32980.88784645142</v>
      </c>
      <c r="FH143" s="283"/>
      <c r="FI143" s="284">
        <f>FI91-FI141</f>
        <v>7934.8223595439758</v>
      </c>
      <c r="FJ143" s="284">
        <f>FJ91-FJ141</f>
        <v>8315.7497596593294</v>
      </c>
      <c r="FK143" s="284">
        <f>FK91-FK141</f>
        <v>8416.7407112003948</v>
      </c>
      <c r="FL143" s="284">
        <f>FL91-FL141</f>
        <v>9539.7007832757517</v>
      </c>
      <c r="FM143" s="285">
        <f>FM91-FM141</f>
        <v>34207.013613679446</v>
      </c>
      <c r="FN143" s="143"/>
      <c r="FO143" s="286">
        <f>FO91-FO141</f>
        <v>12607.4</v>
      </c>
      <c r="FP143" s="284">
        <f>FP91-FP141</f>
        <v>15732</v>
      </c>
      <c r="FQ143" s="284">
        <f>FQ91-FQ141</f>
        <v>18694</v>
      </c>
      <c r="FR143" s="284">
        <f>FR91-FR141</f>
        <v>18953</v>
      </c>
      <c r="FS143" s="1708">
        <f>DC143+DD143+DG143+DH143</f>
        <v>24574.1</v>
      </c>
      <c r="FT143" s="1709">
        <f>DI143+DJ143+DM143+DN143</f>
        <v>28737</v>
      </c>
      <c r="FU143" s="1709">
        <f>DO143+DP143+DS143+DT143</f>
        <v>29906.498899999999</v>
      </c>
      <c r="FV143" s="1709">
        <f>DY143+DV143+DZ143+DU143</f>
        <v>30507</v>
      </c>
      <c r="FW143" s="1709">
        <f>EA143+EB143+EE143+EF143</f>
        <v>31639</v>
      </c>
      <c r="FX143" s="1709">
        <f>EG143+EH143+EK143+EL143</f>
        <v>29923</v>
      </c>
      <c r="FY143" s="1709">
        <f>EM143+EN143+EQ143+ER143</f>
        <v>30033.78</v>
      </c>
      <c r="FZ143" s="1709">
        <f>ES143+ET143+EW143+EX143</f>
        <v>31397</v>
      </c>
      <c r="GA143" s="1709">
        <f>EY143+EZ143+FC143+FD143</f>
        <v>32478.913225722768</v>
      </c>
      <c r="GB143" s="1709">
        <f>FE143+FF143+FI143+FJ143</f>
        <v>33654.476001216259</v>
      </c>
      <c r="GC143" s="243"/>
      <c r="GD143" s="243"/>
      <c r="GE143" s="243"/>
      <c r="GF143" s="243"/>
      <c r="GI143"/>
      <c r="GJ143"/>
      <c r="GK143"/>
      <c r="GL143"/>
      <c r="GM143"/>
      <c r="GN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</row>
    <row r="144" spans="1:281" s="37" customFormat="1" ht="11.25" customHeight="1" x14ac:dyDescent="0.2">
      <c r="A144" s="237" t="s">
        <v>1098</v>
      </c>
      <c r="B144" s="951" t="s">
        <v>315</v>
      </c>
      <c r="C144" s="263" t="s">
        <v>945</v>
      </c>
      <c r="D144" s="263" t="s">
        <v>945</v>
      </c>
      <c r="E144" s="263" t="s">
        <v>945</v>
      </c>
      <c r="F144" s="263" t="s">
        <v>945</v>
      </c>
      <c r="G144" s="288">
        <f t="shared" ref="G144:M144" si="106">G143/G91</f>
        <v>0.8183671082155024</v>
      </c>
      <c r="H144" s="288">
        <f t="shared" si="106"/>
        <v>0.82701781431997268</v>
      </c>
      <c r="I144" s="288">
        <f t="shared" si="106"/>
        <v>0.82493479850282081</v>
      </c>
      <c r="J144" s="288">
        <f t="shared" si="106"/>
        <v>0.74081398979910473</v>
      </c>
      <c r="K144" s="288">
        <f t="shared" si="106"/>
        <v>0.76118575063613225</v>
      </c>
      <c r="L144" s="288">
        <f t="shared" si="106"/>
        <v>0.76937258815701925</v>
      </c>
      <c r="M144" s="288">
        <f t="shared" si="106"/>
        <v>0.75053656727866569</v>
      </c>
      <c r="N144" s="239"/>
      <c r="O144" s="288">
        <f>O143/O91</f>
        <v>0.71872360613433872</v>
      </c>
      <c r="P144" s="288">
        <f>P143/P91</f>
        <v>0.7201497881482366</v>
      </c>
      <c r="Q144" s="288">
        <f>Q143/Q91</f>
        <v>0.7276782809157557</v>
      </c>
      <c r="R144" s="288">
        <f>R143/R91</f>
        <v>0.76595646437346687</v>
      </c>
      <c r="S144" s="288">
        <f>S143/S91</f>
        <v>0.73743038979021047</v>
      </c>
      <c r="T144" s="239"/>
      <c r="U144" s="288">
        <f>U143/U91</f>
        <v>0.70004133179062533</v>
      </c>
      <c r="V144" s="288">
        <f>V143/V91</f>
        <v>0.7358614270941054</v>
      </c>
      <c r="W144" s="288">
        <f>W143/W91</f>
        <v>0.71884725049718734</v>
      </c>
      <c r="X144" s="288">
        <f>X143/X91</f>
        <v>0.7799025185885412</v>
      </c>
      <c r="Y144" s="288">
        <f>Y143/Y91</f>
        <v>0.74047291147105587</v>
      </c>
      <c r="Z144" s="239"/>
      <c r="AA144" s="288">
        <f>AA143/AA91</f>
        <v>0.68060350521087243</v>
      </c>
      <c r="AB144" s="288">
        <f>AB143/AB91</f>
        <v>0.71214673475815049</v>
      </c>
      <c r="AC144" s="288">
        <f>AC143/AC91</f>
        <v>0.70753519018106337</v>
      </c>
      <c r="AD144" s="288">
        <f>AD143/AD91</f>
        <v>0.7764742963536001</v>
      </c>
      <c r="AE144" s="288">
        <f>AE143/AE91</f>
        <v>0.72723885428306845</v>
      </c>
      <c r="AF144" s="239"/>
      <c r="AG144" s="288">
        <f>AG143/AG91</f>
        <v>0.65797967312182393</v>
      </c>
      <c r="AH144" s="288">
        <f>AH143/AH91</f>
        <v>0.66002242014913304</v>
      </c>
      <c r="AI144" s="288">
        <f>AI143/AI91</f>
        <v>0.66467725361499619</v>
      </c>
      <c r="AJ144" s="288">
        <f>AJ143/AJ91</f>
        <v>0.72211512037248504</v>
      </c>
      <c r="AK144" s="288">
        <f>AK143/AK91</f>
        <v>0.68173978651612255</v>
      </c>
      <c r="AL144" s="239"/>
      <c r="AM144" s="288">
        <f>AM143/AM91</f>
        <v>0.6116367752742824</v>
      </c>
      <c r="AN144" s="288">
        <f>AN143/AN91</f>
        <v>0.62068665294385461</v>
      </c>
      <c r="AO144" s="288">
        <f>AO143/AO91</f>
        <v>0.61902189598445345</v>
      </c>
      <c r="AP144" s="288">
        <f>AP143/AP91</f>
        <v>0.72378144368285979</v>
      </c>
      <c r="AQ144" s="288">
        <f>AQ143/AQ91</f>
        <v>0.65287634249027893</v>
      </c>
      <c r="AR144" s="239"/>
      <c r="AS144" s="288">
        <f>AS143/AS91</f>
        <v>0.61867295669424849</v>
      </c>
      <c r="AT144" s="288">
        <f>AT143/AT91</f>
        <v>0.67562103689117836</v>
      </c>
      <c r="AU144" s="288">
        <f>AU143/AU91</f>
        <v>0.71125344877844454</v>
      </c>
      <c r="AV144" s="288">
        <f>AV143/AV91</f>
        <v>0.78499367278050924</v>
      </c>
      <c r="AW144" s="288">
        <f>AW143/AW91</f>
        <v>0.70951216016224061</v>
      </c>
      <c r="AX144" s="239"/>
      <c r="AY144" s="288">
        <f>AY143/AY91</f>
        <v>0.6940570596400687</v>
      </c>
      <c r="AZ144" s="288">
        <f>AZ143/AZ91</f>
        <v>0.7312917471955116</v>
      </c>
      <c r="BA144" s="288">
        <f>BA143/BA91</f>
        <v>0.72912010183742071</v>
      </c>
      <c r="BB144" s="288">
        <f>BB143/BB91</f>
        <v>0.77360366904441324</v>
      </c>
      <c r="BC144" s="288">
        <f>BC143/BC91</f>
        <v>0.73568639644285239</v>
      </c>
      <c r="BD144" s="239"/>
      <c r="BE144" s="288">
        <f>BE143/BE91</f>
        <v>0.72058868327700643</v>
      </c>
      <c r="BF144" s="288">
        <f>BF143/BF91</f>
        <v>0.7341072248498911</v>
      </c>
      <c r="BG144" s="288">
        <f>BG143/BG91</f>
        <v>0.74639909111888236</v>
      </c>
      <c r="BH144" s="288">
        <f>BH143/BH91</f>
        <v>0.79515216578628334</v>
      </c>
      <c r="BI144" s="288">
        <f>BI143/BI91</f>
        <v>0.75131164287295304</v>
      </c>
      <c r="BJ144" s="239"/>
      <c r="BK144" s="288">
        <f>BK143/BK91</f>
        <v>0.70956607495069035</v>
      </c>
      <c r="BL144" s="288">
        <f>BL143/BL91</f>
        <v>0.74058033780857513</v>
      </c>
      <c r="BM144" s="288">
        <f>BM143/BM91</f>
        <v>0.75119202427394882</v>
      </c>
      <c r="BN144" s="288">
        <f>BN143/BN91</f>
        <v>0.79515434060888612</v>
      </c>
      <c r="BO144" s="288">
        <f>BO143/BO91</f>
        <v>0.75283365346053988</v>
      </c>
      <c r="BP144" s="239"/>
      <c r="BQ144" s="288">
        <f>BQ143/BQ91</f>
        <v>0.72828185328185324</v>
      </c>
      <c r="BR144" s="288">
        <f>BR143/BR91</f>
        <v>0.76060848678943149</v>
      </c>
      <c r="BS144" s="288">
        <f>BS143/BS91</f>
        <v>0.7680350737345556</v>
      </c>
      <c r="BT144" s="288">
        <f>BT143/BT91</f>
        <v>0.81345466363340913</v>
      </c>
      <c r="BU144" s="288">
        <f>BU143/BU91</f>
        <v>0.77185899960614412</v>
      </c>
      <c r="BV144" s="239"/>
      <c r="BW144" s="288">
        <f>BW143/BW91</f>
        <v>0.74943566591422117</v>
      </c>
      <c r="BX144" s="288">
        <f>BX143/BX91</f>
        <v>0.78592162554426703</v>
      </c>
      <c r="BY144" s="289">
        <f>BY143/BY91</f>
        <v>0.77012609117361785</v>
      </c>
      <c r="BZ144" s="289">
        <f>BZ143/BZ91</f>
        <v>0.80616522811344016</v>
      </c>
      <c r="CA144" s="289">
        <f>CA143/CA91</f>
        <v>0.78199521412657813</v>
      </c>
      <c r="CB144" s="208"/>
      <c r="CC144" s="289">
        <f>CC143/CC91</f>
        <v>0.75232198142414863</v>
      </c>
      <c r="CD144" s="289">
        <f>CD143/CD91</f>
        <v>0.77754861520329999</v>
      </c>
      <c r="CE144" s="289">
        <f>CE143/CE91</f>
        <v>0.77733137166138522</v>
      </c>
      <c r="CF144" s="289">
        <f>CF143/CF91</f>
        <v>0.80534737694956449</v>
      </c>
      <c r="CG144" s="290">
        <f>CG143/CG91</f>
        <v>0.7818228588448729</v>
      </c>
      <c r="CH144" s="208"/>
      <c r="CI144" s="289">
        <f>CI143/CI91</f>
        <v>0.73395247200218516</v>
      </c>
      <c r="CJ144" s="289">
        <f>CJ143/CJ91</f>
        <v>0.75830170777988615</v>
      </c>
      <c r="CK144" s="289">
        <f>CK143/CK91</f>
        <v>0.76983591818386155</v>
      </c>
      <c r="CL144" s="289">
        <f>CL143/CL91</f>
        <v>0.80452150263471023</v>
      </c>
      <c r="CM144" s="290">
        <f>CM143/CM91</f>
        <v>0.77115712010544235</v>
      </c>
      <c r="CN144" s="208"/>
      <c r="CO144" s="289">
        <f>CO143/CO91</f>
        <v>0.749401262791204</v>
      </c>
      <c r="CP144" s="289">
        <f>CP143/CP91</f>
        <v>0.77032065622669654</v>
      </c>
      <c r="CQ144" s="289">
        <f>CQ143/CQ91</f>
        <v>0.76913051573263824</v>
      </c>
      <c r="CR144" s="289">
        <f>CR143/CR91</f>
        <v>0.81664606510094773</v>
      </c>
      <c r="CS144" s="290">
        <f>CS143/CS91</f>
        <v>0.78070679817771682</v>
      </c>
      <c r="CT144" s="208"/>
      <c r="CU144" s="289">
        <f>CU143/CU91</f>
        <v>0.75986720767244564</v>
      </c>
      <c r="CV144" s="289">
        <f>CV143/CV91</f>
        <v>0.79075083523826273</v>
      </c>
      <c r="CW144" s="289">
        <f>CW143/CW91</f>
        <v>0.79923691860465118</v>
      </c>
      <c r="CX144" s="289">
        <f>CX143/CX91</f>
        <v>0.82967591919779105</v>
      </c>
      <c r="CY144" s="290">
        <f>CY143/CY91</f>
        <v>0.79701200306461228</v>
      </c>
      <c r="CZ144" s="208"/>
      <c r="DA144" s="289">
        <f>DA143/DA91</f>
        <v>0.80229113174007505</v>
      </c>
      <c r="DB144" s="289">
        <f>DB143/DB91</f>
        <v>0.81454359673024523</v>
      </c>
      <c r="DC144" s="289">
        <f>DC143/DC91</f>
        <v>0.78606980554610939</v>
      </c>
      <c r="DD144" s="289">
        <f>DD143/DD91</f>
        <v>0.76894403488734298</v>
      </c>
      <c r="DE144" s="290">
        <f>DE143/DE91</f>
        <v>0.78919120856358704</v>
      </c>
      <c r="DF144" s="208"/>
      <c r="DG144" s="289">
        <f>DG143/DG91</f>
        <v>0.72970479704797053</v>
      </c>
      <c r="DH144" s="289">
        <f>DH143/DH91</f>
        <v>0.75293305728088333</v>
      </c>
      <c r="DI144" s="289">
        <f>DI143/DI91</f>
        <v>0.77279436811627111</v>
      </c>
      <c r="DJ144" s="289">
        <f>DJ143/DJ91</f>
        <v>0.79983342587451411</v>
      </c>
      <c r="DK144" s="290">
        <f>DK143/DK91</f>
        <v>0.76701490458281096</v>
      </c>
      <c r="DL144" s="208"/>
      <c r="DM144" s="289">
        <f>DM143/DM91</f>
        <v>0.76446773041200289</v>
      </c>
      <c r="DN144" s="289">
        <f>DN143/DN91</f>
        <v>0.77948019521053225</v>
      </c>
      <c r="DO144" s="289">
        <f>DO143/DO91</f>
        <v>0.79078249465656725</v>
      </c>
      <c r="DP144" s="289">
        <f>DP143/DP91</f>
        <v>0.81799352204881537</v>
      </c>
      <c r="DQ144" s="290">
        <f>DQ143/DQ91</f>
        <v>0.79017502704599574</v>
      </c>
      <c r="DR144" s="208"/>
      <c r="DS144" s="289">
        <f>DS143/DS91</f>
        <v>0.7856011694481666</v>
      </c>
      <c r="DT144" s="289">
        <f>DT143/DT91</f>
        <v>0.80478437397124991</v>
      </c>
      <c r="DU144" s="289">
        <f>DU143/DU91</f>
        <v>0.81025641025641026</v>
      </c>
      <c r="DV144" s="289">
        <f>DV143/DV91</f>
        <v>0.82720554693914794</v>
      </c>
      <c r="DW144" s="290">
        <f>DW143/DW91</f>
        <v>0.80847180092878423</v>
      </c>
      <c r="DX144" s="208"/>
      <c r="DY144" s="289">
        <f>DY143/DY91</f>
        <v>0.79704092590383013</v>
      </c>
      <c r="DZ144" s="289">
        <f>DZ143/DZ91</f>
        <v>0.80706668102983947</v>
      </c>
      <c r="EA144" s="289">
        <f>EA143/EA91</f>
        <v>0.8112721417069243</v>
      </c>
      <c r="EB144" s="289">
        <f>EB143/EB91</f>
        <v>0.83162634645947375</v>
      </c>
      <c r="EC144" s="290">
        <f>EC143/EC91</f>
        <v>0.8131575512335204</v>
      </c>
      <c r="ED144" s="208"/>
      <c r="EE144" s="289">
        <f>EE143/EE91</f>
        <v>0.806372834050471</v>
      </c>
      <c r="EF144" s="289">
        <f>EF143/EF91</f>
        <v>0.80443380516236473</v>
      </c>
      <c r="EG144" s="289">
        <f>EG143/EG91</f>
        <v>0.7986929505035355</v>
      </c>
      <c r="EH144" s="289">
        <f>EH143/EH91</f>
        <v>0.81039955190440627</v>
      </c>
      <c r="EI144" s="290">
        <f>EI143/EI91</f>
        <v>0.80513946618565868</v>
      </c>
      <c r="EJ144" s="208"/>
      <c r="EK144" s="289">
        <f>EK143/EK91</f>
        <v>0.78369423736835875</v>
      </c>
      <c r="EL144" s="289">
        <f>EL143/EL91</f>
        <v>0.79635393508225882</v>
      </c>
      <c r="EM144" s="289">
        <f>EM143/EM91</f>
        <v>0.79820279565120922</v>
      </c>
      <c r="EN144" s="289">
        <f>EN143/EN91</f>
        <v>0.81927142317855794</v>
      </c>
      <c r="EO144" s="290">
        <f>EO143/EO91</f>
        <v>0.80046954691421324</v>
      </c>
      <c r="EP144" s="208"/>
      <c r="EQ144" s="289">
        <f>EQ143/EQ91</f>
        <v>0.79647045164286545</v>
      </c>
      <c r="ER144" s="289">
        <f>ER143/ER91</f>
        <v>0.80462591154360963</v>
      </c>
      <c r="ES144" s="289">
        <f>ES143/ES91</f>
        <v>0.79922363597153334</v>
      </c>
      <c r="ET144" s="289">
        <f>ET143/ET91</f>
        <v>0.81976053377205005</v>
      </c>
      <c r="EU144" s="290">
        <f>EU143/EU91</f>
        <v>0.80581976041868419</v>
      </c>
      <c r="EV144" s="208"/>
      <c r="EW144" s="289">
        <f>EW143/EW91</f>
        <v>0.79396439426834564</v>
      </c>
      <c r="EX144" s="289">
        <f>EX143/EX91</f>
        <v>0.79979231568016618</v>
      </c>
      <c r="EY144" s="289">
        <f>EY143/EY91</f>
        <v>0.7988952536824877</v>
      </c>
      <c r="EZ144" s="289">
        <f>EZ143/EZ91</f>
        <v>0.81252861746625282</v>
      </c>
      <c r="FA144" s="290">
        <f>FA143/FA91</f>
        <v>0.80180344952613281</v>
      </c>
      <c r="FB144" s="208"/>
      <c r="FC144" s="289">
        <f>FC143/FC91</f>
        <v>0.79415248166407748</v>
      </c>
      <c r="FD144" s="289">
        <f>FD143/FD91</f>
        <v>0.80078210459166166</v>
      </c>
      <c r="FE144" s="289">
        <f>FE143/FE91</f>
        <v>0.8028872345074668</v>
      </c>
      <c r="FF144" s="289">
        <f>FF143/FF91</f>
        <v>0.81565454447909014</v>
      </c>
      <c r="FG144" s="290">
        <f>FG143/FG91</f>
        <v>0.80389065652184943</v>
      </c>
      <c r="FH144" s="208"/>
      <c r="FI144" s="289">
        <f>FI143/FI91</f>
        <v>0.79830443120406036</v>
      </c>
      <c r="FJ144" s="289">
        <f>FJ143/FJ91</f>
        <v>0.80400922981603928</v>
      </c>
      <c r="FK144" s="289">
        <f>FK143/FK91</f>
        <v>0.80620059059910765</v>
      </c>
      <c r="FL144" s="289">
        <f>FL143/FL91</f>
        <v>0.81700704327836171</v>
      </c>
      <c r="FM144" s="290">
        <f>FM143/FM91</f>
        <v>0.80679095827745406</v>
      </c>
      <c r="FN144" s="1123"/>
      <c r="FO144" s="291">
        <f t="shared" ref="FO144:GA144" si="107">FO143/FO91</f>
        <v>0.77117026742678185</v>
      </c>
      <c r="FP144" s="289">
        <f t="shared" si="107"/>
        <v>0.77539553452609788</v>
      </c>
      <c r="FQ144" s="289">
        <f t="shared" si="107"/>
        <v>0.7867513993518791</v>
      </c>
      <c r="FR144" s="289">
        <f t="shared" si="107"/>
        <v>0.81273584905660379</v>
      </c>
      <c r="FS144" s="291">
        <f t="shared" si="107"/>
        <v>0.75887210336479072</v>
      </c>
      <c r="FT144" s="289">
        <f t="shared" si="107"/>
        <v>0.7804301776112107</v>
      </c>
      <c r="FU144" s="289">
        <f t="shared" si="107"/>
        <v>0.80104192586337353</v>
      </c>
      <c r="FV144" s="289">
        <f t="shared" si="107"/>
        <v>0.81146429046415747</v>
      </c>
      <c r="FW144" s="289">
        <f t="shared" si="107"/>
        <v>0.81443060131795719</v>
      </c>
      <c r="FX144" s="289">
        <f t="shared" si="107"/>
        <v>0.79809564452031045</v>
      </c>
      <c r="FY144" s="289">
        <f t="shared" si="107"/>
        <v>0.80535106259174027</v>
      </c>
      <c r="FZ144" s="289">
        <f t="shared" si="107"/>
        <v>0.80387638579512</v>
      </c>
      <c r="GA144" s="289">
        <f t="shared" si="107"/>
        <v>0.80200898465776527</v>
      </c>
      <c r="GB144" s="289">
        <f t="shared" ref="GB144" si="108">GB143/GB91</f>
        <v>0.80555959301640945</v>
      </c>
      <c r="GC144" s="188"/>
      <c r="GD144" s="188"/>
      <c r="GE144" s="188"/>
      <c r="GF144" s="188"/>
      <c r="GI144"/>
      <c r="GJ144"/>
      <c r="GK144"/>
      <c r="GL144"/>
      <c r="GM144"/>
      <c r="GN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</row>
    <row r="145" spans="1:281" s="37" customFormat="1" ht="3" customHeight="1" x14ac:dyDescent="0.2">
      <c r="A145" s="247"/>
      <c r="B145" s="952"/>
      <c r="C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36"/>
      <c r="O145" s="36"/>
      <c r="P145" s="36"/>
      <c r="Q145" s="36"/>
      <c r="R145" s="36"/>
      <c r="S145" s="36"/>
      <c r="T145" s="36"/>
      <c r="U145" s="36"/>
      <c r="V145" s="36"/>
      <c r="W145" s="36"/>
      <c r="X145" s="36"/>
      <c r="Y145" s="36"/>
      <c r="Z145" s="36"/>
      <c r="AA145" s="36"/>
      <c r="AB145" s="36"/>
      <c r="AC145" s="36"/>
      <c r="AD145" s="36"/>
      <c r="AE145" s="36"/>
      <c r="AF145" s="36"/>
      <c r="AG145" s="36"/>
      <c r="AH145" s="36"/>
      <c r="AI145" s="36"/>
      <c r="AJ145" s="36"/>
      <c r="AK145" s="36"/>
      <c r="AL145" s="36"/>
      <c r="AM145" s="36"/>
      <c r="AN145" s="36"/>
      <c r="AO145" s="36"/>
      <c r="AP145" s="36"/>
      <c r="AQ145" s="36"/>
      <c r="AR145" s="36"/>
      <c r="AS145" s="36"/>
      <c r="AT145" s="36"/>
      <c r="AU145" s="36"/>
      <c r="AV145" s="36"/>
      <c r="AW145" s="36"/>
      <c r="AX145" s="36"/>
      <c r="AY145" s="36"/>
      <c r="AZ145" s="36"/>
      <c r="BA145" s="36"/>
      <c r="BB145" s="36"/>
      <c r="BC145" s="36"/>
      <c r="BD145" s="36"/>
      <c r="BE145" s="36"/>
      <c r="BF145" s="36"/>
      <c r="BG145" s="36"/>
      <c r="BH145" s="36"/>
      <c r="BI145" s="36"/>
      <c r="BJ145" s="36"/>
      <c r="BK145" s="36"/>
      <c r="BL145" s="36"/>
      <c r="BM145" s="36"/>
      <c r="BN145" s="36"/>
      <c r="BO145" s="36"/>
      <c r="BP145" s="36"/>
      <c r="BU145" s="36"/>
      <c r="BV145" s="36"/>
      <c r="CA145" s="36"/>
      <c r="CB145" s="36"/>
      <c r="CG145" s="264"/>
      <c r="CH145" s="36"/>
      <c r="CM145" s="264"/>
      <c r="CN145" s="36"/>
      <c r="CS145" s="264"/>
      <c r="CT145" s="36"/>
      <c r="CY145" s="264"/>
      <c r="CZ145" s="36"/>
      <c r="DE145" s="264"/>
      <c r="DF145" s="36"/>
      <c r="DK145" s="264"/>
      <c r="DL145" s="36"/>
      <c r="DQ145" s="264"/>
      <c r="DR145" s="36"/>
      <c r="DW145" s="264"/>
      <c r="DX145" s="36"/>
      <c r="EC145" s="264"/>
      <c r="ED145" s="36"/>
      <c r="EI145" s="264"/>
      <c r="EJ145" s="36"/>
      <c r="EO145" s="264"/>
      <c r="EP145" s="36"/>
      <c r="EU145" s="264"/>
      <c r="EV145" s="36"/>
      <c r="FA145" s="264"/>
      <c r="FB145" s="36"/>
      <c r="FG145" s="264"/>
      <c r="FH145" s="36"/>
      <c r="FM145" s="264"/>
      <c r="FN145" s="1123"/>
      <c r="FO145" s="265"/>
      <c r="FP145" s="266"/>
      <c r="FQ145" s="266"/>
      <c r="FR145" s="266"/>
      <c r="FS145" s="1714"/>
      <c r="FT145" s="1715"/>
      <c r="FU145" s="1715"/>
      <c r="FV145" s="1715"/>
      <c r="FW145" s="1715"/>
      <c r="FX145" s="1715"/>
      <c r="FY145" s="1715"/>
      <c r="FZ145" s="1715"/>
      <c r="GA145" s="1715"/>
      <c r="GB145" s="1715"/>
      <c r="GI145"/>
      <c r="GJ145"/>
      <c r="GK145"/>
      <c r="GL145"/>
      <c r="GM145"/>
      <c r="GN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</row>
    <row r="146" spans="1:281" s="31" customFormat="1" ht="10.5" customHeight="1" x14ac:dyDescent="0.2">
      <c r="A146" s="292" t="s">
        <v>410</v>
      </c>
      <c r="B146" s="413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/>
      <c r="AK146" s="35"/>
      <c r="AL146" s="35"/>
      <c r="AM146" s="35"/>
      <c r="AN146" s="35"/>
      <c r="AO146" s="35"/>
      <c r="AP146" s="35"/>
      <c r="AQ146" s="35"/>
      <c r="AR146" s="35"/>
      <c r="AS146" s="35"/>
      <c r="AT146" s="35"/>
      <c r="AU146" s="35"/>
      <c r="AV146" s="35"/>
      <c r="AW146" s="35"/>
      <c r="AX146" s="35"/>
      <c r="AY146" s="35"/>
      <c r="AZ146" s="35"/>
      <c r="BA146" s="35"/>
      <c r="BB146" s="35"/>
      <c r="BC146" s="35"/>
      <c r="BD146" s="35"/>
      <c r="BE146" s="35"/>
      <c r="BF146" s="35"/>
      <c r="BG146" s="35"/>
      <c r="BH146" s="35"/>
      <c r="BI146" s="35"/>
      <c r="BJ146" s="35"/>
      <c r="BK146" s="293"/>
      <c r="BL146" s="35"/>
      <c r="BM146" s="35"/>
      <c r="BN146" s="35"/>
      <c r="BO146" s="87"/>
      <c r="BP146" s="35"/>
      <c r="BQ146" s="293"/>
      <c r="BT146" s="294"/>
      <c r="BU146" s="87"/>
      <c r="BV146" s="35"/>
      <c r="BW146" s="293"/>
      <c r="BX146" s="295"/>
      <c r="CB146" s="35"/>
      <c r="CF146" s="294"/>
      <c r="CG146" s="296"/>
      <c r="CH146" s="35"/>
      <c r="CI146" s="297"/>
      <c r="CJ146" s="298"/>
      <c r="CM146" s="296"/>
      <c r="CN146" s="35"/>
      <c r="CS146" s="296"/>
      <c r="CT146" s="35"/>
      <c r="CU146" s="879">
        <f>CU147/CR147-1</f>
        <v>-0.27759418374091205</v>
      </c>
      <c r="CY146" s="296"/>
      <c r="CZ146" s="35"/>
      <c r="DA146" s="879">
        <f>DA147/CX147-1</f>
        <v>-0.27938931297709924</v>
      </c>
      <c r="DB146" s="879"/>
      <c r="DC146" s="879"/>
      <c r="DD146" s="879"/>
      <c r="DE146" s="296"/>
      <c r="DF146" s="35"/>
      <c r="DG146" s="879"/>
      <c r="DH146" s="879"/>
      <c r="DK146" s="296"/>
      <c r="DL146" s="35"/>
      <c r="DM146" s="879"/>
      <c r="DQ146" s="296"/>
      <c r="DR146" s="35"/>
      <c r="DT146" s="957"/>
      <c r="DU146" s="305"/>
      <c r="DV146" s="305"/>
      <c r="DW146" s="327"/>
      <c r="DX146" s="305"/>
      <c r="DY146" s="1851">
        <f>DY147/DV147-1</f>
        <v>-0.24426386233269604</v>
      </c>
      <c r="DZ146" s="957"/>
      <c r="EC146" s="296"/>
      <c r="ED146" s="35"/>
      <c r="EE146" s="1851">
        <f>EE147/EB147-1</f>
        <v>-0.24236902050113895</v>
      </c>
      <c r="EI146" s="296"/>
      <c r="EJ146" s="35"/>
      <c r="EK146" s="1851"/>
      <c r="EL146" s="957"/>
      <c r="EO146" s="296"/>
      <c r="EP146" s="35"/>
      <c r="EQ146" s="1851"/>
      <c r="ER146" s="957"/>
      <c r="EU146" s="296"/>
      <c r="EV146" s="35"/>
      <c r="EW146" s="1851"/>
      <c r="EX146" s="957"/>
      <c r="FA146" s="296"/>
      <c r="FB146" s="35"/>
      <c r="FC146" s="1851"/>
      <c r="FG146" s="296"/>
      <c r="FH146" s="35"/>
      <c r="FM146" s="296"/>
      <c r="FN146" s="296"/>
      <c r="FO146" s="235"/>
      <c r="FS146" s="1718"/>
      <c r="FT146" s="33"/>
      <c r="FU146" s="33"/>
      <c r="FV146" s="33"/>
      <c r="FW146" s="33"/>
      <c r="FX146" s="33"/>
      <c r="FY146" s="33"/>
      <c r="FZ146" s="33"/>
      <c r="GA146" s="33"/>
      <c r="GB146" s="33"/>
      <c r="GC146" s="33"/>
      <c r="GD146" s="33"/>
      <c r="GE146" s="33"/>
      <c r="GF146" s="33"/>
      <c r="GI146"/>
      <c r="GJ146"/>
      <c r="GK146"/>
      <c r="GL146"/>
      <c r="GM146"/>
      <c r="GN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</row>
    <row r="147" spans="1:281" s="33" customFormat="1" ht="10.5" customHeight="1" x14ac:dyDescent="0.2">
      <c r="A147" s="273" t="s">
        <v>412</v>
      </c>
      <c r="B147" s="954" t="s">
        <v>413</v>
      </c>
      <c r="C147" s="244">
        <f>0.506*C91</f>
        <v>6.4337900000000001</v>
      </c>
      <c r="D147" s="244">
        <f>0.628*D91</f>
        <v>14.538827999999997</v>
      </c>
      <c r="E147" s="244">
        <f>0.601*E91</f>
        <v>33.262344999999996</v>
      </c>
      <c r="F147" s="244">
        <v>84.656999999999996</v>
      </c>
      <c r="G147" s="244">
        <v>124.15</v>
      </c>
      <c r="H147" s="244">
        <v>272.81200000000001</v>
      </c>
      <c r="I147" s="244">
        <v>465.07400000000001</v>
      </c>
      <c r="J147" s="244">
        <v>551.50699999999995</v>
      </c>
      <c r="K147" s="244">
        <v>566.43100000000004</v>
      </c>
      <c r="L147" s="244">
        <v>646.02699999999993</v>
      </c>
      <c r="M147" s="244">
        <v>749.79600000000005</v>
      </c>
      <c r="N147" s="244"/>
      <c r="O147" s="244">
        <v>217.922</v>
      </c>
      <c r="P147" s="244">
        <v>244.06700000000001</v>
      </c>
      <c r="Q147" s="244">
        <v>261.31400000000002</v>
      </c>
      <c r="R147" s="244">
        <v>380.04199999999997</v>
      </c>
      <c r="S147" s="244">
        <f>SUM(O147:R147)</f>
        <v>1103.345</v>
      </c>
      <c r="T147" s="244"/>
      <c r="U147" s="244">
        <v>279.02300000000002</v>
      </c>
      <c r="V147" s="244">
        <v>356.65</v>
      </c>
      <c r="W147" s="244">
        <v>365.28199999999998</v>
      </c>
      <c r="X147" s="244">
        <v>548.27599999999995</v>
      </c>
      <c r="Y147" s="244">
        <f>SUM(U147:X147)</f>
        <v>1549.2309999999998</v>
      </c>
      <c r="Z147" s="244"/>
      <c r="AA147" s="244">
        <v>359.85</v>
      </c>
      <c r="AB147" s="244">
        <v>454.68799999999999</v>
      </c>
      <c r="AC147" s="244">
        <v>460.36099999999999</v>
      </c>
      <c r="AD147" s="244">
        <v>695.495</v>
      </c>
      <c r="AE147" s="244">
        <f>SUM(AA147:AD147)</f>
        <v>1970.3939999999998</v>
      </c>
      <c r="AF147" s="244"/>
      <c r="AG147" s="244">
        <v>449.45100000000002</v>
      </c>
      <c r="AH147" s="244">
        <v>528.49</v>
      </c>
      <c r="AI147" s="244">
        <v>567.61900000000003</v>
      </c>
      <c r="AJ147" s="244">
        <v>825.74599999999998</v>
      </c>
      <c r="AK147" s="244">
        <f>SUM(AG147:AJ147)</f>
        <v>2371.306</v>
      </c>
      <c r="AL147" s="244"/>
      <c r="AM147" s="244">
        <v>510.07600000000002</v>
      </c>
      <c r="AN147" s="244">
        <v>591.755</v>
      </c>
      <c r="AO147" s="244">
        <v>566.75599999999997</v>
      </c>
      <c r="AP147" s="244">
        <v>953.79200000000003</v>
      </c>
      <c r="AQ147" s="244">
        <f>SUM(AM147:AP147)</f>
        <v>2622.3789999999999</v>
      </c>
      <c r="AR147" s="244"/>
      <c r="AS147" s="244">
        <v>538.42600000000004</v>
      </c>
      <c r="AT147" s="244">
        <v>631.43299999999999</v>
      </c>
      <c r="AU147" s="244">
        <v>594.69600000000003</v>
      </c>
      <c r="AV147" s="244">
        <v>852.19399999999996</v>
      </c>
      <c r="AW147" s="244">
        <f>SUM(AS147:AV147)</f>
        <v>2616.7489999999998</v>
      </c>
      <c r="AX147" s="244"/>
      <c r="AY147" s="244">
        <v>572.96400000000006</v>
      </c>
      <c r="AZ147" s="244">
        <v>640.86500000000001</v>
      </c>
      <c r="BA147" s="244">
        <v>665.60500000000002</v>
      </c>
      <c r="BB147" s="244">
        <v>811.88800000000003</v>
      </c>
      <c r="BC147" s="244">
        <f>SUM(AY147:BB147)</f>
        <v>2691.3220000000001</v>
      </c>
      <c r="BD147" s="244"/>
      <c r="BE147" s="244">
        <v>535.48099999999999</v>
      </c>
      <c r="BF147" s="244">
        <v>571.15200000000004</v>
      </c>
      <c r="BG147" s="244">
        <v>514.81600000000003</v>
      </c>
      <c r="BH147" s="244">
        <v>587.53200000000004</v>
      </c>
      <c r="BI147" s="244">
        <f>SUM(BE147:BH147)</f>
        <v>2208.9810000000002</v>
      </c>
      <c r="BJ147" s="244"/>
      <c r="BK147" s="244">
        <v>471</v>
      </c>
      <c r="BL147" s="244">
        <v>512</v>
      </c>
      <c r="BM147" s="244">
        <v>521</v>
      </c>
      <c r="BN147" s="244">
        <v>568</v>
      </c>
      <c r="BO147" s="244">
        <f>SUM(BK147:BN147)</f>
        <v>2072</v>
      </c>
      <c r="BP147" s="244"/>
      <c r="BQ147" s="243">
        <v>464</v>
      </c>
      <c r="BR147" s="243">
        <v>525</v>
      </c>
      <c r="BS147" s="243">
        <v>527</v>
      </c>
      <c r="BT147" s="243">
        <v>620</v>
      </c>
      <c r="BU147" s="244">
        <f>SUM(BQ147:BT147)</f>
        <v>2136</v>
      </c>
      <c r="BV147" s="244"/>
      <c r="BW147" s="243">
        <v>480</v>
      </c>
      <c r="BX147" s="243">
        <v>555</v>
      </c>
      <c r="BY147" s="243">
        <v>667</v>
      </c>
      <c r="BZ147" s="243">
        <v>803</v>
      </c>
      <c r="CA147" s="244">
        <f>SUM(BW147:BZ147)</f>
        <v>2505</v>
      </c>
      <c r="CB147" s="244"/>
      <c r="CC147" s="243">
        <v>613</v>
      </c>
      <c r="CD147" s="243">
        <v>705</v>
      </c>
      <c r="CE147" s="243">
        <f>756-2</f>
        <v>754</v>
      </c>
      <c r="CF147" s="243">
        <f>1100-2</f>
        <v>1098</v>
      </c>
      <c r="CG147" s="171">
        <f>SUM(CC147:CF147)</f>
        <v>3170</v>
      </c>
      <c r="CH147" s="244"/>
      <c r="CI147" s="243">
        <f>750-10</f>
        <v>740</v>
      </c>
      <c r="CJ147" s="243">
        <f>915-8</f>
        <v>907</v>
      </c>
      <c r="CK147" s="243">
        <f>967-9</f>
        <v>958</v>
      </c>
      <c r="CL147" s="243">
        <f>1275-11</f>
        <v>1264</v>
      </c>
      <c r="CM147" s="171">
        <f>SUM(CI147:CL147)</f>
        <v>3869</v>
      </c>
      <c r="CN147" s="244"/>
      <c r="CO147" s="243">
        <f>974-13</f>
        <v>961</v>
      </c>
      <c r="CP147" s="243">
        <f>1095-13</f>
        <v>1082</v>
      </c>
      <c r="CQ147" s="243">
        <f>1083-12</f>
        <v>1071</v>
      </c>
      <c r="CR147" s="243">
        <f>1526-13</f>
        <v>1513</v>
      </c>
      <c r="CS147" s="171">
        <f>SUM(CO147:CR147)</f>
        <v>4627</v>
      </c>
      <c r="CT147" s="244"/>
      <c r="CU147" s="243">
        <f>1112-19</f>
        <v>1093</v>
      </c>
      <c r="CV147" s="243">
        <f>1146-16</f>
        <v>1130</v>
      </c>
      <c r="CW147" s="243">
        <f>1054-16</f>
        <v>1038</v>
      </c>
      <c r="CX147" s="243">
        <f>1326-16</f>
        <v>1310</v>
      </c>
      <c r="CY147" s="171">
        <f>SUM(CU147:CX147)</f>
        <v>4571</v>
      </c>
      <c r="CZ147" s="244"/>
      <c r="DA147" s="243">
        <f>960-16</f>
        <v>944</v>
      </c>
      <c r="DB147" s="243">
        <f>1133-20</f>
        <v>1113</v>
      </c>
      <c r="DC147" s="243">
        <f>1241-21</f>
        <v>1220</v>
      </c>
      <c r="DD147" s="243">
        <f>1745-24</f>
        <v>1721</v>
      </c>
      <c r="DE147" s="171">
        <f>SUM(DA147:DD147)</f>
        <v>4998</v>
      </c>
      <c r="DF147" s="244"/>
      <c r="DG147" s="243">
        <f>1333-23</f>
        <v>1310</v>
      </c>
      <c r="DH147" s="243">
        <f>1530-19</f>
        <v>1511</v>
      </c>
      <c r="DI147" s="243">
        <f>1618-22</f>
        <v>1596</v>
      </c>
      <c r="DJ147" s="243">
        <f>2098-23</f>
        <v>2075</v>
      </c>
      <c r="DK147" s="171">
        <f>SUM(DG147:DJ147)</f>
        <v>6492</v>
      </c>
      <c r="DL147" s="244"/>
      <c r="DM147" s="243">
        <f>1630-26</f>
        <v>1604</v>
      </c>
      <c r="DN147" s="243">
        <f>1697-29</f>
        <v>1668</v>
      </c>
      <c r="DO147" s="243">
        <f>1700-30</f>
        <v>1670</v>
      </c>
      <c r="DP147" s="243">
        <f>2100-35</f>
        <v>2065</v>
      </c>
      <c r="DQ147" s="171">
        <f>SUM(DM147:DP147)</f>
        <v>7007</v>
      </c>
      <c r="DR147" s="244"/>
      <c r="DS147" s="243">
        <f>1545-37</f>
        <v>1508</v>
      </c>
      <c r="DT147" s="243">
        <f>1773-43</f>
        <v>1730</v>
      </c>
      <c r="DU147" s="243">
        <f>1802-32</f>
        <v>1770</v>
      </c>
      <c r="DV147" s="243">
        <f>2125-33</f>
        <v>2092</v>
      </c>
      <c r="DW147" s="171">
        <f>SUM(DS147:DV147)</f>
        <v>7100</v>
      </c>
      <c r="DX147" s="244"/>
      <c r="DY147" s="243">
        <f>1620-39</f>
        <v>1581</v>
      </c>
      <c r="DZ147" s="243">
        <f>1877-37</f>
        <v>1840</v>
      </c>
      <c r="EA147" s="243">
        <f>1829-40</f>
        <v>1789</v>
      </c>
      <c r="EB147" s="243">
        <f>2241-46</f>
        <v>2195</v>
      </c>
      <c r="EC147" s="171">
        <f>SUM(DY147:EB147)</f>
        <v>7405</v>
      </c>
      <c r="ED147" s="244"/>
      <c r="EE147" s="243">
        <f>1706-43</f>
        <v>1663</v>
      </c>
      <c r="EF147" s="243">
        <f>1897-43</f>
        <v>1854</v>
      </c>
      <c r="EG147" s="243">
        <f>1839-45</f>
        <v>1794</v>
      </c>
      <c r="EH147" s="243">
        <f>2212-49</f>
        <v>2163</v>
      </c>
      <c r="EI147" s="171">
        <f>SUM(EE147:EH147)</f>
        <v>7474</v>
      </c>
      <c r="EJ147" s="244"/>
      <c r="EK147" s="243">
        <f>1731-51</f>
        <v>1680</v>
      </c>
      <c r="EL147" s="243">
        <f>1945-55</f>
        <v>1890</v>
      </c>
      <c r="EM147" s="243">
        <f>1903-57</f>
        <v>1846</v>
      </c>
      <c r="EN147" s="243">
        <f>2306-57</f>
        <v>2249</v>
      </c>
      <c r="EO147" s="171">
        <f>SUM(EK147:EN147)</f>
        <v>7665</v>
      </c>
      <c r="EP147" s="244"/>
      <c r="EQ147" s="243">
        <f>1919-63</f>
        <v>1856</v>
      </c>
      <c r="ER147" s="243">
        <f>1960-59</f>
        <v>1901</v>
      </c>
      <c r="ES147" s="243">
        <f>2004-96+21</f>
        <v>1929</v>
      </c>
      <c r="ET147" s="243">
        <f>2313-78+16</f>
        <v>2251</v>
      </c>
      <c r="EU147" s="171">
        <f>SUM(EQ147:ET147)</f>
        <v>7937</v>
      </c>
      <c r="EV147" s="244"/>
      <c r="EW147" s="243">
        <f>1992-78</f>
        <v>1914</v>
      </c>
      <c r="EX147" s="243">
        <v>1989</v>
      </c>
      <c r="EY147" s="243">
        <f>2033-84</f>
        <v>1949</v>
      </c>
      <c r="EZ147" s="243">
        <f>EZ$91*EZ148</f>
        <v>2271.503551217837</v>
      </c>
      <c r="FA147" s="171">
        <f>SUM(EW147:EZ147)</f>
        <v>8123.5035512178365</v>
      </c>
      <c r="FB147" s="244"/>
      <c r="FC147" s="243">
        <f>FC$91*FC148</f>
        <v>1971.9499971077369</v>
      </c>
      <c r="FD147" s="243">
        <f>FD$91*FD148</f>
        <v>2006.3572834446995</v>
      </c>
      <c r="FE147" s="243">
        <f>FE$91*FE148</f>
        <v>2028.4589338035657</v>
      </c>
      <c r="FF147" s="243">
        <f>FF$91*FF148</f>
        <v>2314.9058696204911</v>
      </c>
      <c r="FG147" s="171">
        <f>SUM(FC147:FF147)</f>
        <v>8321.672083976493</v>
      </c>
      <c r="FH147" s="244"/>
      <c r="FI147" s="243">
        <f>FI$91*FI148</f>
        <v>1987.9189064693289</v>
      </c>
      <c r="FJ147" s="243">
        <f>FJ$91*FJ148</f>
        <v>2058.2278670492869</v>
      </c>
      <c r="FK147" s="243">
        <f>FK$91*FK148</f>
        <v>2108.8816399886691</v>
      </c>
      <c r="FL147" s="243">
        <f>FL$91*FL148</f>
        <v>2417.0147349210506</v>
      </c>
      <c r="FM147" s="171">
        <f>SUM(FI147:FL147)</f>
        <v>8572.0431484283363</v>
      </c>
      <c r="FN147" s="226"/>
      <c r="FO147" s="245">
        <f>CE147+CF147+CI147+CJ147</f>
        <v>3499</v>
      </c>
      <c r="FP147" s="243">
        <f>CK147+CL147+CO147+CP147</f>
        <v>4265</v>
      </c>
      <c r="FQ147" s="243">
        <f>CV147+CU147+CR147+CQ147</f>
        <v>4807</v>
      </c>
      <c r="FR147" s="243">
        <f>CW147+CX147+DA147+DB147</f>
        <v>4405</v>
      </c>
      <c r="FS147" s="245">
        <f>DC147+DD147+DG147+DH147</f>
        <v>5762</v>
      </c>
      <c r="FT147" s="243">
        <f>DI147+DJ147+DM147+DN147</f>
        <v>6943</v>
      </c>
      <c r="FU147" s="243">
        <f>DO147+DP147+DS147+DT147</f>
        <v>6973</v>
      </c>
      <c r="FV147" s="243">
        <f>DY147+DV147+DZ147+DU147</f>
        <v>7283</v>
      </c>
      <c r="FW147" s="243">
        <f>EA147+EB147+EE147+EF147</f>
        <v>7501</v>
      </c>
      <c r="FX147" s="243">
        <f>EG147+EH147+EK147+EL147</f>
        <v>7527</v>
      </c>
      <c r="FY147" s="243">
        <f>EM147+EN147+EQ147+ER147</f>
        <v>7852</v>
      </c>
      <c r="FZ147" s="243">
        <f>ES147+ET147+EW147+EX147</f>
        <v>8083</v>
      </c>
      <c r="GA147" s="243">
        <f>EY147+EZ147+FC147+FD147</f>
        <v>8198.8108317702718</v>
      </c>
      <c r="GB147" s="243">
        <f>FE147+FF147+FI147+FJ147</f>
        <v>8389.5115769426739</v>
      </c>
      <c r="GC147" s="243"/>
      <c r="GD147" s="243"/>
      <c r="GE147" s="243"/>
      <c r="GF147" s="243"/>
      <c r="GI147"/>
      <c r="GJ147"/>
      <c r="GK147"/>
      <c r="GL147"/>
      <c r="GM147"/>
      <c r="GN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</row>
    <row r="148" spans="1:281" s="33" customFormat="1" ht="10.5" hidden="1" customHeight="1" outlineLevel="1" x14ac:dyDescent="0.2">
      <c r="A148" s="1334" t="s">
        <v>414</v>
      </c>
      <c r="B148" s="1335"/>
      <c r="C148" s="1336">
        <f>ROUND(C147/C$91,4)</f>
        <v>0.50600000000000001</v>
      </c>
      <c r="D148" s="1336">
        <f t="shared" ref="D148:M148" si="109">ROUND(D147/D$91,4)</f>
        <v>0.628</v>
      </c>
      <c r="E148" s="1336">
        <f t="shared" si="109"/>
        <v>0.60099999999999998</v>
      </c>
      <c r="F148" s="1336">
        <f t="shared" si="109"/>
        <v>0.64500000000000002</v>
      </c>
      <c r="G148" s="1336">
        <f t="shared" si="109"/>
        <v>0.44009999999999999</v>
      </c>
      <c r="H148" s="1336">
        <f t="shared" si="109"/>
        <v>0.46729999999999999</v>
      </c>
      <c r="I148" s="1336">
        <f t="shared" si="109"/>
        <v>0.50749999999999995</v>
      </c>
      <c r="J148" s="1336">
        <f t="shared" si="109"/>
        <v>0.53649999999999998</v>
      </c>
      <c r="K148" s="1336">
        <f t="shared" si="109"/>
        <v>0.48039999999999999</v>
      </c>
      <c r="L148" s="1336">
        <f t="shared" si="109"/>
        <v>0.42980000000000002</v>
      </c>
      <c r="M148" s="1336">
        <f t="shared" si="109"/>
        <v>0.37469999999999998</v>
      </c>
      <c r="N148" s="1298"/>
      <c r="O148" s="1336">
        <f>ROUND(O147/O$91,4)</f>
        <v>0.3916</v>
      </c>
      <c r="P148" s="1336">
        <f>ROUND(P147/P$91,4)</f>
        <v>0.36409999999999998</v>
      </c>
      <c r="Q148" s="1336">
        <f>ROUND(Q147/Q$91,4)</f>
        <v>0.36180000000000001</v>
      </c>
      <c r="R148" s="1336">
        <f>ROUND(R147/R$91,4)</f>
        <v>0.37340000000000001</v>
      </c>
      <c r="S148" s="1336">
        <f>ROUND(S147/S$91,4)</f>
        <v>0.37190000000000001</v>
      </c>
      <c r="T148" s="1298"/>
      <c r="U148" s="1336">
        <f>ROUND(U147/U$91,4)</f>
        <v>0.36149999999999999</v>
      </c>
      <c r="V148" s="1336">
        <f>ROUND(V147/V$91,4)</f>
        <v>0.36880000000000002</v>
      </c>
      <c r="W148" s="1336">
        <f>ROUND(W147/W$91,4)</f>
        <v>0.35799999999999998</v>
      </c>
      <c r="X148" s="1336">
        <f>ROUND(X147/X$91,4)</f>
        <v>0.3745</v>
      </c>
      <c r="Y148" s="1336">
        <f>ROUND(Y147/Y$91,4)</f>
        <v>0.36680000000000001</v>
      </c>
      <c r="Z148" s="1298"/>
      <c r="AA148" s="1336">
        <f>ROUND(AA147/AA$91,4)</f>
        <v>0.34200000000000003</v>
      </c>
      <c r="AB148" s="1336">
        <f>ROUND(AB147/AB$91,4)</f>
        <v>0.34670000000000001</v>
      </c>
      <c r="AC148" s="1336">
        <f>ROUND(AC147/AC$91,4)</f>
        <v>0.33539999999999998</v>
      </c>
      <c r="AD148" s="1336">
        <f>ROUND(AD147/AD$91,4)</f>
        <v>0.35699999999999998</v>
      </c>
      <c r="AE148" s="1336">
        <f>ROUND(AE147/AE$91,4)</f>
        <v>0.34660000000000002</v>
      </c>
      <c r="AF148" s="1298"/>
      <c r="AG148" s="1336">
        <f>ROUND(AG147/AG$91,4)</f>
        <v>0.32829999999999998</v>
      </c>
      <c r="AH148" s="1336">
        <f>ROUND(AH147/AH$91,4)</f>
        <v>0.32750000000000001</v>
      </c>
      <c r="AI148" s="1336">
        <f>ROUND(AI147/AI$91,4)</f>
        <v>0.3246</v>
      </c>
      <c r="AJ148" s="1336">
        <f>ROUND(AJ147/AJ$91,4)</f>
        <v>0.34229999999999999</v>
      </c>
      <c r="AK148" s="1336">
        <f>ROUND(AK147/AK$91,4)</f>
        <v>0.33189999999999997</v>
      </c>
      <c r="AL148" s="1298"/>
      <c r="AM148" s="1336">
        <f>ROUND(AM147/AM$91,4)</f>
        <v>0.29160000000000003</v>
      </c>
      <c r="AN148" s="1336">
        <f>ROUND(AN147/AN$91,4)</f>
        <v>0.2878</v>
      </c>
      <c r="AO148" s="1336">
        <f>ROUND(AO147/AO$91,4)</f>
        <v>0.27260000000000001</v>
      </c>
      <c r="AP148" s="1336">
        <f>ROUND(AP147/AP$91,4)</f>
        <v>0.3241</v>
      </c>
      <c r="AQ148" s="1336">
        <f>ROUND(AQ147/AQ$91,4)</f>
        <v>0.29709999999999998</v>
      </c>
      <c r="AR148" s="1298"/>
      <c r="AS148" s="1336">
        <f>ROUND(AS147/AS$91,4)</f>
        <v>0.27129999999999999</v>
      </c>
      <c r="AT148" s="1336">
        <f>ROUND(AT147/AT$91,4)</f>
        <v>0.27189999999999998</v>
      </c>
      <c r="AU148" s="1336">
        <f>ROUND(AU147/AU$91,4)</f>
        <v>0.24279999999999999</v>
      </c>
      <c r="AV148" s="1336">
        <f>ROUND(AV147/AV$91,4)</f>
        <v>0.25259999999999999</v>
      </c>
      <c r="AW148" s="1336">
        <f>ROUND(AW147/AW$91,4)</f>
        <v>0.25829999999999997</v>
      </c>
      <c r="AX148" s="1298"/>
      <c r="AY148" s="1336">
        <f>ROUND(AY147/AY$91,4)</f>
        <v>0.25040000000000001</v>
      </c>
      <c r="AZ148" s="1336">
        <f>ROUND(AZ147/AZ$91,4)</f>
        <v>0.23860000000000001</v>
      </c>
      <c r="BA148" s="1336">
        <f>ROUND(BA147/BA$91,4)</f>
        <v>0.24690000000000001</v>
      </c>
      <c r="BB148" s="1336">
        <f>ROUND(BB147/BB$91,4)</f>
        <v>0.24679999999999999</v>
      </c>
      <c r="BC148" s="1336">
        <f>ROUND(BC147/BC$91,4)</f>
        <v>0.2455</v>
      </c>
      <c r="BD148" s="1298"/>
      <c r="BE148" s="1336">
        <f>ROUND(BE147/BE$91,4)</f>
        <v>0.2364</v>
      </c>
      <c r="BF148" s="1336">
        <f>ROUND(BF147/BF$91,4)</f>
        <v>0.2399</v>
      </c>
      <c r="BG148" s="1336">
        <f>ROUND(BG147/BG$91,4)</f>
        <v>0.22850000000000001</v>
      </c>
      <c r="BH148" s="1336">
        <f>ROUND(BH147/BH$91,4)</f>
        <v>0.21179999999999999</v>
      </c>
      <c r="BI148" s="1336">
        <f>ROUND(BI147/BI$91,4)</f>
        <v>0.22839999999999999</v>
      </c>
      <c r="BJ148" s="1298"/>
      <c r="BK148" s="1336">
        <f>ROUND(BK147/BK$91,4)</f>
        <v>0.23219999999999999</v>
      </c>
      <c r="BL148" s="1336">
        <f>ROUND(BL147/BL$91,4)</f>
        <v>0.22170000000000001</v>
      </c>
      <c r="BM148" s="1336">
        <f>ROUND(BM147/BM$91,4)</f>
        <v>0.2258</v>
      </c>
      <c r="BN148" s="1336">
        <f>ROUND(BN147/BN$91,4)</f>
        <v>0.2006</v>
      </c>
      <c r="BO148" s="1336">
        <f>ROUND(BO147/BO$91,4)</f>
        <v>0.21870000000000001</v>
      </c>
      <c r="BP148" s="1298"/>
      <c r="BQ148" s="1336">
        <f>ROUND(BQ147/BQ$91,4)</f>
        <v>0.22389999999999999</v>
      </c>
      <c r="BR148" s="1336">
        <f>ROUND(BR147/BR$91,4)</f>
        <v>0.2102</v>
      </c>
      <c r="BS148" s="1336">
        <f>ROUND(BS147/BS$91,4)</f>
        <v>0.21</v>
      </c>
      <c r="BT148" s="1336">
        <f>ROUND(BT147/BT$91,4)</f>
        <v>0.20150000000000001</v>
      </c>
      <c r="BU148" s="1336">
        <f>ROUND(BU147/BU$91,4)</f>
        <v>0.21029999999999999</v>
      </c>
      <c r="BV148" s="1298"/>
      <c r="BW148" s="1337">
        <f>ROUND(BW147/BW$91,4)</f>
        <v>0.2167</v>
      </c>
      <c r="BX148" s="1337">
        <f>ROUND(BX147/BX$91,4)</f>
        <v>0.2014</v>
      </c>
      <c r="BY148" s="1337">
        <f>ROUND(BY147/BY$91,4)</f>
        <v>0.21560000000000001</v>
      </c>
      <c r="BZ148" s="1337">
        <f>ROUND(BZ147/BZ$91,4)</f>
        <v>0.19800000000000001</v>
      </c>
      <c r="CA148" s="1337">
        <f>ROUND(CA147/CA$91,4)</f>
        <v>0.20669999999999999</v>
      </c>
      <c r="CB148" s="1337"/>
      <c r="CC148" s="1337">
        <f>ROUND(CC147/CC$91,4)</f>
        <v>0.2109</v>
      </c>
      <c r="CD148" s="1337">
        <f>ROUND(CD147/CD$91,4)</f>
        <v>0.2077</v>
      </c>
      <c r="CE148" s="1337">
        <f>ROUND(CE147/CE$91,4)</f>
        <v>0.21329999999999999</v>
      </c>
      <c r="CF148" s="1337">
        <f>ROUND(CF147/CF$91,4)</f>
        <v>0.22239999999999999</v>
      </c>
      <c r="CG148" s="1338">
        <f>ROUND(CG147/CG$91,4)</f>
        <v>0.21460000000000001</v>
      </c>
      <c r="CH148" s="1298"/>
      <c r="CI148" s="1337">
        <f>ROUND(CI147/CI$91,4)</f>
        <v>0.2021</v>
      </c>
      <c r="CJ148" s="1337">
        <f>ROUND(CJ147/CJ$91,4)</f>
        <v>0.21510000000000001</v>
      </c>
      <c r="CK148" s="1337">
        <f>ROUND(CK147/CK$91,4)</f>
        <v>0.21529999999999999</v>
      </c>
      <c r="CL148" s="1337">
        <f>ROUND(CL147/CL$91,4)</f>
        <v>0.21490000000000001</v>
      </c>
      <c r="CM148" s="1338">
        <f>ROUND(CM147/CM$91,4)</f>
        <v>0.21249999999999999</v>
      </c>
      <c r="CN148" s="1337"/>
      <c r="CO148" s="1337">
        <f>ROUND(CO147/CO$91,4)</f>
        <v>0.2092</v>
      </c>
      <c r="CP148" s="1337">
        <f>ROUND(CP147/CP$91,4)</f>
        <v>0.20169999999999999</v>
      </c>
      <c r="CQ148" s="1337">
        <f>ROUND(CQ147/CQ$91,4)</f>
        <v>0.19939999999999999</v>
      </c>
      <c r="CR148" s="1337">
        <f>ROUND(CR147/CR$91,4)</f>
        <v>0.20780000000000001</v>
      </c>
      <c r="CS148" s="1338">
        <f>ROUND(CS147/CS$91,4)</f>
        <v>0.20469999999999999</v>
      </c>
      <c r="CT148" s="1337"/>
      <c r="CU148" s="1337">
        <f>ROUND(CU147/CU$91,4)</f>
        <v>0.2016</v>
      </c>
      <c r="CV148" s="1337">
        <f>ROUND(CV147/CV$91,4)</f>
        <v>0.19869999999999999</v>
      </c>
      <c r="CW148" s="1337">
        <f>ROUND(CW147/CW$91,4)</f>
        <v>0.18859999999999999</v>
      </c>
      <c r="CX148" s="1337">
        <f>ROUND(CX147/CX$91,4)</f>
        <v>0.19040000000000001</v>
      </c>
      <c r="CY148" s="1338">
        <f>ROUND(CY147/CY$91,4)</f>
        <v>0.1946</v>
      </c>
      <c r="CZ148" s="1337"/>
      <c r="DA148" s="1337">
        <f>ROUND(DA147/DA$91,4)</f>
        <v>0.1865</v>
      </c>
      <c r="DB148" s="1337">
        <f>ROUND(DB147/DB$91,4)</f>
        <v>0.1895</v>
      </c>
      <c r="DC148" s="1337">
        <f>ROUND(DC147/DC$91,4)</f>
        <v>0.18859999999999999</v>
      </c>
      <c r="DD148" s="1337">
        <f>ROUND(DD147/DD$91,4)</f>
        <v>0.1787</v>
      </c>
      <c r="DE148" s="1338">
        <f>ROUND(DE147/DE$91,4)</f>
        <v>0.18490000000000001</v>
      </c>
      <c r="DF148" s="1337"/>
      <c r="DG148" s="1337">
        <f>ROUND(DG147/DG$91,4)</f>
        <v>0.1726</v>
      </c>
      <c r="DH148" s="1337">
        <f>ROUND(DH147/DH$91,4)</f>
        <v>0.17380000000000001</v>
      </c>
      <c r="DI148" s="1337">
        <f>ROUND(DI147/DI$91,4)</f>
        <v>0.1812</v>
      </c>
      <c r="DJ148" s="1337">
        <f>ROUND(DJ147/DJ$91,4)</f>
        <v>0.192</v>
      </c>
      <c r="DK148" s="1338">
        <f>ROUND(DK147/DK$91,4)</f>
        <v>0.18090000000000001</v>
      </c>
      <c r="DL148" s="1337"/>
      <c r="DM148" s="1337">
        <f>ROUND(DM147/DM$91,4)</f>
        <v>0.191</v>
      </c>
      <c r="DN148" s="1337">
        <f>ROUND(DN147/DN$91,4)</f>
        <v>0.1893</v>
      </c>
      <c r="DO148" s="1337">
        <f>ROUND(DO147/DO$91,4)</f>
        <v>0.18429999999999999</v>
      </c>
      <c r="DP148" s="1337">
        <f>ROUND(DP147/DP$91,4)</f>
        <v>0.18859999999999999</v>
      </c>
      <c r="DQ148" s="1338">
        <f>ROUND(DQ147/DQ$91,4)</f>
        <v>0.1883</v>
      </c>
      <c r="DR148" s="1337"/>
      <c r="DS148" s="1337">
        <f>ROUND(DS147/DS$91,4)</f>
        <v>0.1837</v>
      </c>
      <c r="DT148" s="1337">
        <f>ROUND(DT147/DT$91,4)</f>
        <v>0.1898</v>
      </c>
      <c r="DU148" s="1337">
        <f>ROUND(DU147/DU$91,4)</f>
        <v>0.1973</v>
      </c>
      <c r="DV148" s="1337">
        <f>ROUND(DV147/DV$91,4)</f>
        <v>0.19089999999999999</v>
      </c>
      <c r="DW148" s="1338">
        <f>ROUND(DW147/DW$91,4)</f>
        <v>0.19059999999999999</v>
      </c>
      <c r="DX148" s="1337"/>
      <c r="DY148" s="1337">
        <f>ROUND(DY147/DY$91,4)</f>
        <v>0.18859999999999999</v>
      </c>
      <c r="DZ148" s="1337">
        <f>ROUND(DZ147/DZ$91,4)</f>
        <v>0.19819999999999999</v>
      </c>
      <c r="EA148" s="1337">
        <f>ROUND(EA147/EA$91,4)</f>
        <v>0.19209999999999999</v>
      </c>
      <c r="EB148" s="1337">
        <f>ROUND(EB147/EB$91,4)</f>
        <v>0.1938</v>
      </c>
      <c r="EC148" s="1338">
        <f>ROUND(EC147/EC$91,4)</f>
        <v>0.1933</v>
      </c>
      <c r="ED148" s="1337"/>
      <c r="EE148" s="1337">
        <f>ROUND(EE147/EE$91,4)</f>
        <v>0.19339999999999999</v>
      </c>
      <c r="EF148" s="1337">
        <f>ROUND(EF147/EF$91,4)</f>
        <v>0.193</v>
      </c>
      <c r="EG148" s="1337">
        <f>ROUND(EG147/EG$91,4)</f>
        <v>0.19220000000000001</v>
      </c>
      <c r="EH148" s="1337">
        <f>ROUND(EH147/EH$91,4)</f>
        <v>0.2019</v>
      </c>
      <c r="EI148" s="1338">
        <f>ROUND(EI147/EI$91,4)</f>
        <v>0.19539999999999999</v>
      </c>
      <c r="EJ148" s="1337"/>
      <c r="EK148" s="1337">
        <f>ROUND(EK147/EK$91,4)</f>
        <v>0.1988</v>
      </c>
      <c r="EL148" s="1337">
        <f>ROUND(EL147/EL$91,4)</f>
        <v>0.21010000000000001</v>
      </c>
      <c r="EM148" s="1337">
        <f>ROUND(EM147/EM$91,4)</f>
        <v>0.20480000000000001</v>
      </c>
      <c r="EN148" s="1337">
        <f>ROUND(EN147/EN$91,4)</f>
        <v>0.2122</v>
      </c>
      <c r="EO148" s="1338">
        <f>ROUND(EO147/EO$91,4)</f>
        <v>0.20680000000000001</v>
      </c>
      <c r="EP148" s="1337"/>
      <c r="EQ148" s="1337">
        <f>ROUND(EQ147/EQ$91,4)</f>
        <v>0.2155</v>
      </c>
      <c r="ER148" s="1337">
        <f>ROUND(ER147/ER$91,4)</f>
        <v>0.20960000000000001</v>
      </c>
      <c r="ES148" s="1337">
        <f>ROUND(ES147/ES$91,4)</f>
        <v>0.20799999999999999</v>
      </c>
      <c r="ET148" s="1337">
        <f>ROUND(ET147/ET$91,4)</f>
        <v>0.20569999999999999</v>
      </c>
      <c r="EU148" s="1338">
        <v>0.219</v>
      </c>
      <c r="EV148" s="1337"/>
      <c r="EW148" s="1337">
        <f>ROUND(EW147/EW$91,4)</f>
        <v>0.20780000000000001</v>
      </c>
      <c r="EX148" s="1337">
        <f>ROUND(EX147/EX$91,4)</f>
        <v>0.20649999999999999</v>
      </c>
      <c r="EY148" s="1337">
        <f>ROUND(EY147/EY$91,4)</f>
        <v>0.19939999999999999</v>
      </c>
      <c r="EZ148" s="1339">
        <v>0.20300000000000001</v>
      </c>
      <c r="FA148" s="1338">
        <v>0.22140000000000001</v>
      </c>
      <c r="FB148" s="1337"/>
      <c r="FC148" s="1339">
        <v>0.20649999999999999</v>
      </c>
      <c r="FD148" s="1339">
        <v>0.20100000000000001</v>
      </c>
      <c r="FE148" s="1339">
        <v>0.20100000000000001</v>
      </c>
      <c r="FF148" s="1339">
        <v>0.20300000000000001</v>
      </c>
      <c r="FG148" s="1338">
        <v>0.21890000000000001</v>
      </c>
      <c r="FH148" s="1337"/>
      <c r="FI148" s="1339">
        <v>0.2</v>
      </c>
      <c r="FJ148" s="1339">
        <v>0.19900000000000001</v>
      </c>
      <c r="FK148" s="1339">
        <v>0.20200000000000001</v>
      </c>
      <c r="FL148" s="1339">
        <v>0.20699999999999999</v>
      </c>
      <c r="FM148" s="1338">
        <v>0.21890000000000001</v>
      </c>
      <c r="FN148" s="1321"/>
      <c r="FO148" s="1340">
        <f t="shared" ref="FO148:FY148" si="110">ROUND(FO147/FO$91,4)</f>
        <v>0.214</v>
      </c>
      <c r="FP148" s="1341">
        <f t="shared" si="110"/>
        <v>0.2102</v>
      </c>
      <c r="FQ148" s="1341">
        <f t="shared" si="110"/>
        <v>0.20230000000000001</v>
      </c>
      <c r="FR148" s="1341">
        <f t="shared" si="110"/>
        <v>0.18890000000000001</v>
      </c>
      <c r="FS148" s="1340">
        <f t="shared" si="110"/>
        <v>0.1779</v>
      </c>
      <c r="FT148" s="1341">
        <f t="shared" si="110"/>
        <v>0.18859999999999999</v>
      </c>
      <c r="FU148" s="1341">
        <f t="shared" si="110"/>
        <v>0.18679999999999999</v>
      </c>
      <c r="FV148" s="1341">
        <f t="shared" si="110"/>
        <v>0.19370000000000001</v>
      </c>
      <c r="FW148" s="1341">
        <f t="shared" si="110"/>
        <v>0.19309999999999999</v>
      </c>
      <c r="FX148" s="1341">
        <f t="shared" si="110"/>
        <v>0.20080000000000001</v>
      </c>
      <c r="FY148" s="1341">
        <f t="shared" si="110"/>
        <v>0.21060000000000001</v>
      </c>
      <c r="FZ148" s="1341">
        <f>ROUND(FZ147/FZ$91,4)</f>
        <v>0.20699999999999999</v>
      </c>
      <c r="GA148" s="1341">
        <f>ROUND(GA147/GA$91,4)</f>
        <v>0.20250000000000001</v>
      </c>
      <c r="GB148" s="1341">
        <f>ROUND(GB147/GB$91,4)</f>
        <v>0.20080000000000001</v>
      </c>
      <c r="GC148" s="1341"/>
      <c r="GD148" s="1341"/>
      <c r="GE148" s="1341"/>
      <c r="GF148" s="1341"/>
      <c r="GI148"/>
      <c r="GJ148"/>
      <c r="GK148"/>
      <c r="GL148"/>
      <c r="GM148"/>
      <c r="GN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</row>
    <row r="149" spans="1:281" s="299" customFormat="1" ht="10.5" hidden="1" customHeight="1" outlineLevel="1" x14ac:dyDescent="0.2">
      <c r="A149" s="1342" t="s">
        <v>117</v>
      </c>
      <c r="B149" s="1343"/>
      <c r="C149" s="1344"/>
      <c r="D149" s="1344">
        <f t="shared" ref="D149:M149" si="111">D147/C147-1</f>
        <v>1.2597610428689774</v>
      </c>
      <c r="E149" s="1344">
        <f t="shared" si="111"/>
        <v>1.2878284962171644</v>
      </c>
      <c r="F149" s="1344">
        <f t="shared" si="111"/>
        <v>1.5451302366083932</v>
      </c>
      <c r="G149" s="1344">
        <f t="shared" si="111"/>
        <v>0.46650601840367623</v>
      </c>
      <c r="H149" s="1344">
        <f t="shared" si="111"/>
        <v>1.1974385823600482</v>
      </c>
      <c r="I149" s="1344">
        <f t="shared" si="111"/>
        <v>0.70474172690350856</v>
      </c>
      <c r="J149" s="1344">
        <f t="shared" si="111"/>
        <v>0.18584784356898032</v>
      </c>
      <c r="K149" s="1344">
        <f t="shared" si="111"/>
        <v>2.7060399958658943E-2</v>
      </c>
      <c r="L149" s="1344">
        <f t="shared" si="111"/>
        <v>0.14052197001929612</v>
      </c>
      <c r="M149" s="1344">
        <f t="shared" si="111"/>
        <v>0.16062641344711626</v>
      </c>
      <c r="N149" s="1345"/>
      <c r="O149" s="1344"/>
      <c r="P149" s="1344"/>
      <c r="Q149" s="1344"/>
      <c r="R149" s="1344"/>
      <c r="S149" s="1344">
        <f>S147/M147-1</f>
        <v>0.47152692198944779</v>
      </c>
      <c r="T149" s="1345"/>
      <c r="U149" s="1344">
        <f>U147/O147-1</f>
        <v>0.28038013601196776</v>
      </c>
      <c r="V149" s="1344">
        <f>V147/P147-1</f>
        <v>0.46127907500809195</v>
      </c>
      <c r="W149" s="1344">
        <f>W147/Q147-1</f>
        <v>0.39786616867064128</v>
      </c>
      <c r="X149" s="1344">
        <f>X147/R147-1</f>
        <v>0.44267212571242132</v>
      </c>
      <c r="Y149" s="1344">
        <f>Y147/S147-1</f>
        <v>0.40412201079444765</v>
      </c>
      <c r="Z149" s="1345"/>
      <c r="AA149" s="1344">
        <f>AA147/U147-1</f>
        <v>0.2896786286435169</v>
      </c>
      <c r="AB149" s="1344">
        <f>AB147/V147-1</f>
        <v>0.27488574232440777</v>
      </c>
      <c r="AC149" s="1344">
        <f>AC147/W147-1</f>
        <v>0.26028931072431716</v>
      </c>
      <c r="AD149" s="1344">
        <f>AD147/X147-1</f>
        <v>0.268512573959101</v>
      </c>
      <c r="AE149" s="1344">
        <f>AE147/Y147-1</f>
        <v>0.27185293865149873</v>
      </c>
      <c r="AF149" s="1345"/>
      <c r="AG149" s="1344">
        <f>AG147/AA147-1</f>
        <v>0.24899541475614839</v>
      </c>
      <c r="AH149" s="1344">
        <f>AH147/AB147-1</f>
        <v>0.1623134984868746</v>
      </c>
      <c r="AI149" s="1344">
        <f>AI147/AC147-1</f>
        <v>0.23298672129046571</v>
      </c>
      <c r="AJ149" s="1344">
        <f>AJ147/AD147-1</f>
        <v>0.18727812565151436</v>
      </c>
      <c r="AK149" s="1344">
        <f>AK147/AE147-1</f>
        <v>0.20346793585445355</v>
      </c>
      <c r="AL149" s="1345"/>
      <c r="AM149" s="1344">
        <f>AM147/AG147-1</f>
        <v>0.13488678409882282</v>
      </c>
      <c r="AN149" s="1344">
        <f>AN147/AH147-1</f>
        <v>0.11970898219455428</v>
      </c>
      <c r="AO149" s="1344">
        <f>AO147/AI147-1</f>
        <v>-1.5203860335895047E-3</v>
      </c>
      <c r="AP149" s="1344">
        <f>AP147/AJ147-1</f>
        <v>0.15506705451797531</v>
      </c>
      <c r="AQ149" s="1344">
        <f>AQ147/AK147-1</f>
        <v>0.10587962920011162</v>
      </c>
      <c r="AR149" s="1345"/>
      <c r="AS149" s="1344">
        <f>AS147/AM147-1</f>
        <v>5.5579952791348752E-2</v>
      </c>
      <c r="AT149" s="1344">
        <f>AT147/AN147-1</f>
        <v>6.705139796030446E-2</v>
      </c>
      <c r="AU149" s="1344">
        <f>AU147/AO147-1</f>
        <v>4.9298110650791704E-2</v>
      </c>
      <c r="AV149" s="1344">
        <f>AV147/AP147-1</f>
        <v>-0.1065200798496948</v>
      </c>
      <c r="AW149" s="1344">
        <f>AW147/AQ147-1</f>
        <v>-2.146905538825683E-3</v>
      </c>
      <c r="AX149" s="1345"/>
      <c r="AY149" s="1344">
        <f>AY147/AS147-1</f>
        <v>6.4146233651420914E-2</v>
      </c>
      <c r="AZ149" s="1344">
        <f>AZ147/AT147-1</f>
        <v>1.493745179615269E-2</v>
      </c>
      <c r="BA149" s="1344">
        <f>BA147/AU147-1</f>
        <v>0.11923571034612634</v>
      </c>
      <c r="BB149" s="1344">
        <f>BB147/AV147-1</f>
        <v>-4.7296742291074501E-2</v>
      </c>
      <c r="BC149" s="1344">
        <f>BC147/AW147-1</f>
        <v>2.8498338969461745E-2</v>
      </c>
      <c r="BD149" s="1345"/>
      <c r="BE149" s="1344">
        <f>BE147/AY147-1</f>
        <v>-6.5419467889780258E-2</v>
      </c>
      <c r="BF149" s="1344">
        <f>BF147/AZ147-1</f>
        <v>-0.10877954015276226</v>
      </c>
      <c r="BG149" s="1344">
        <f>BG147/BA147-1</f>
        <v>-0.22654427175276626</v>
      </c>
      <c r="BH149" s="1344">
        <f>BH147/BB147-1</f>
        <v>-0.27633860828094514</v>
      </c>
      <c r="BI149" s="1344">
        <f>BI147/BC147-1</f>
        <v>-0.17922084388267179</v>
      </c>
      <c r="BJ149" s="1345"/>
      <c r="BK149" s="1344">
        <f>BK147/BE147-1</f>
        <v>-0.12041697091026571</v>
      </c>
      <c r="BL149" s="1344">
        <f>BL147/BF147-1</f>
        <v>-0.10356612600498649</v>
      </c>
      <c r="BM149" s="1344">
        <f>BM147/BG147-1</f>
        <v>1.201205867727495E-2</v>
      </c>
      <c r="BN149" s="1344">
        <f>BN147/BH147-1</f>
        <v>-3.3244146701796762E-2</v>
      </c>
      <c r="BO149" s="1344">
        <f>BO147/BI147-1</f>
        <v>-6.2010945318226041E-2</v>
      </c>
      <c r="BP149" s="1345"/>
      <c r="BQ149" s="1344">
        <f>BQ147/BK147-1</f>
        <v>-1.4861995753715496E-2</v>
      </c>
      <c r="BR149" s="1344">
        <f>BR147/BL147-1</f>
        <v>2.5390625E-2</v>
      </c>
      <c r="BS149" s="1344">
        <f>BS147/BM147-1</f>
        <v>1.1516314779270731E-2</v>
      </c>
      <c r="BT149" s="1344">
        <f>BT147/BN147-1</f>
        <v>9.1549295774647987E-2</v>
      </c>
      <c r="BU149" s="1344">
        <f>BU147/BO147-1</f>
        <v>3.0888030888030826E-2</v>
      </c>
      <c r="BV149" s="1345"/>
      <c r="BW149" s="1344">
        <f>BW147/BQ147-1</f>
        <v>3.4482758620689724E-2</v>
      </c>
      <c r="BX149" s="1344">
        <f>BX147/BR147-1</f>
        <v>5.7142857142857162E-2</v>
      </c>
      <c r="BY149" s="1344">
        <f>BY147/BS147-1</f>
        <v>0.26565464895635671</v>
      </c>
      <c r="BZ149" s="1344">
        <f>BZ147/BT147-1</f>
        <v>0.29516129032258065</v>
      </c>
      <c r="CA149" s="1344">
        <f>CA147/BU147-1</f>
        <v>0.172752808988764</v>
      </c>
      <c r="CB149" s="1345"/>
      <c r="CC149" s="1344">
        <f>CC147/BW147-1</f>
        <v>0.27708333333333335</v>
      </c>
      <c r="CD149" s="1344">
        <f>CD147/BX147-1</f>
        <v>0.27027027027027017</v>
      </c>
      <c r="CE149" s="1344">
        <f>CE147/BY147-1</f>
        <v>0.13043478260869557</v>
      </c>
      <c r="CF149" s="1344">
        <f>CF147/BZ147-1</f>
        <v>0.36737235367372345</v>
      </c>
      <c r="CG149" s="1346">
        <f>CG147/CA147-1</f>
        <v>0.26546906187624741</v>
      </c>
      <c r="CH149" s="1345"/>
      <c r="CI149" s="1344">
        <f>CI147/CC147-1</f>
        <v>0.20717781402936386</v>
      </c>
      <c r="CJ149" s="1344">
        <f>CJ147/CD147-1</f>
        <v>0.28652482269503543</v>
      </c>
      <c r="CK149" s="1344">
        <f>CK147/CE147-1</f>
        <v>0.27055702917771884</v>
      </c>
      <c r="CL149" s="1344">
        <f>CL147/CF147-1</f>
        <v>0.15118397085610202</v>
      </c>
      <c r="CM149" s="1346">
        <f>CM147/CG147-1</f>
        <v>0.22050473186119879</v>
      </c>
      <c r="CN149" s="1345"/>
      <c r="CO149" s="1344">
        <f>CO147/CI147-1</f>
        <v>0.2986486486486486</v>
      </c>
      <c r="CP149" s="1344">
        <f>CP147/CJ147-1</f>
        <v>0.19294377067254675</v>
      </c>
      <c r="CQ149" s="1344">
        <f>CQ147/CK147-1</f>
        <v>0.1179540709812108</v>
      </c>
      <c r="CR149" s="1344">
        <f>CR147/CL147-1</f>
        <v>0.196993670886076</v>
      </c>
      <c r="CS149" s="1346">
        <f>CS147/CM147-1</f>
        <v>0.19591625743086061</v>
      </c>
      <c r="CT149" s="1345"/>
      <c r="CU149" s="1344">
        <f>CU147/CO147-1</f>
        <v>0.1373569198751301</v>
      </c>
      <c r="CV149" s="1344">
        <f>CV147/CP147-1</f>
        <v>4.4362292051755903E-2</v>
      </c>
      <c r="CW149" s="1344">
        <f>CW147/CQ147-1</f>
        <v>-3.081232492997199E-2</v>
      </c>
      <c r="CX149" s="1344">
        <f>CX147/CR147-1</f>
        <v>-0.13417052214144087</v>
      </c>
      <c r="CY149" s="1346">
        <f>CY147/CS147-1</f>
        <v>-1.2102874432677768E-2</v>
      </c>
      <c r="CZ149" s="1345"/>
      <c r="DA149" s="1344">
        <f>DA147/CU147-1</f>
        <v>-0.13632204940530646</v>
      </c>
      <c r="DB149" s="1344">
        <f>DB147/CV147-1</f>
        <v>-1.5044247787610598E-2</v>
      </c>
      <c r="DC149" s="1344">
        <f>DC147/CW147-1</f>
        <v>0.17533718689788058</v>
      </c>
      <c r="DD149" s="1344">
        <f>DD147/CX147-1</f>
        <v>0.31374045801526718</v>
      </c>
      <c r="DE149" s="1346">
        <f>DE147/CY147-1</f>
        <v>9.3415007656967752E-2</v>
      </c>
      <c r="DF149" s="1345"/>
      <c r="DG149" s="1344">
        <f>DG147/DA147-1</f>
        <v>0.38771186440677963</v>
      </c>
      <c r="DH149" s="1344">
        <f>DH147/DB147-1</f>
        <v>0.35759209344115006</v>
      </c>
      <c r="DI149" s="1344">
        <f>DI147/DC147-1</f>
        <v>0.30819672131147535</v>
      </c>
      <c r="DJ149" s="1344">
        <f>DJ147/DD147-1</f>
        <v>0.20569436374201056</v>
      </c>
      <c r="DK149" s="1346">
        <f>DK147/DE147-1</f>
        <v>0.29891956782713081</v>
      </c>
      <c r="DL149" s="1345"/>
      <c r="DM149" s="1344">
        <f>DM147/DG147-1</f>
        <v>0.22442748091603049</v>
      </c>
      <c r="DN149" s="1344">
        <f>DN147/DH147-1</f>
        <v>0.10390469887491727</v>
      </c>
      <c r="DO149" s="1344">
        <f>DO147/DI147-1</f>
        <v>4.6365914786967499E-2</v>
      </c>
      <c r="DP149" s="1344">
        <f>DP147/DJ147-1</f>
        <v>-4.8192771084337727E-3</v>
      </c>
      <c r="DQ149" s="1346">
        <f>DQ147/DK147-1</f>
        <v>7.9328404189771939E-2</v>
      </c>
      <c r="DR149" s="1345"/>
      <c r="DS149" s="1344">
        <f>DS147/DM147-1</f>
        <v>-5.9850374064837952E-2</v>
      </c>
      <c r="DT149" s="1344">
        <f>DT147/DN147-1</f>
        <v>3.7170263788968816E-2</v>
      </c>
      <c r="DU149" s="1344">
        <f>DU147/DO147-1</f>
        <v>5.9880239520958112E-2</v>
      </c>
      <c r="DV149" s="1344">
        <f>DV147/DP147-1</f>
        <v>1.3075060532687699E-2</v>
      </c>
      <c r="DW149" s="1346">
        <f>DW147/DQ147-1</f>
        <v>1.3272441843870331E-2</v>
      </c>
      <c r="DX149" s="1345"/>
      <c r="DY149" s="1344">
        <f>DY147/DS147-1</f>
        <v>4.8408488063660382E-2</v>
      </c>
      <c r="DZ149" s="1344">
        <f>DZ147/DT147-1</f>
        <v>6.3583815028901647E-2</v>
      </c>
      <c r="EA149" s="1344">
        <f>EA147/DU147-1</f>
        <v>1.0734463276836248E-2</v>
      </c>
      <c r="EB149" s="1344">
        <f>EB147/DV147-1</f>
        <v>4.9235181644359471E-2</v>
      </c>
      <c r="EC149" s="1346">
        <f>EC147/DW147-1</f>
        <v>4.2957746478873293E-2</v>
      </c>
      <c r="ED149" s="1345"/>
      <c r="EE149" s="1344">
        <f>EE147/DY147-1</f>
        <v>5.1865907653383836E-2</v>
      </c>
      <c r="EF149" s="1344">
        <f>EF147/DZ147-1</f>
        <v>7.6086956521739246E-3</v>
      </c>
      <c r="EG149" s="1344">
        <f>EG147/EA147-1</f>
        <v>2.7948574622693734E-3</v>
      </c>
      <c r="EH149" s="1344">
        <f>EH147/EB147-1</f>
        <v>-1.4578587699316636E-2</v>
      </c>
      <c r="EI149" s="1346">
        <f>EI147/EC147-1</f>
        <v>9.3180283592166901E-3</v>
      </c>
      <c r="EJ149" s="1345"/>
      <c r="EK149" s="1344">
        <f>EK147/EE147-1</f>
        <v>1.0222489476849006E-2</v>
      </c>
      <c r="EL149" s="1344">
        <f>EL147/EF147-1</f>
        <v>1.9417475728155331E-2</v>
      </c>
      <c r="EM149" s="1344">
        <f>EM147/EG147-1</f>
        <v>2.8985507246376718E-2</v>
      </c>
      <c r="EN149" s="1344">
        <f>EN147/EH147-1</f>
        <v>3.9759593157651318E-2</v>
      </c>
      <c r="EO149" s="1346">
        <f>EO147/EI147-1</f>
        <v>2.5555258228525446E-2</v>
      </c>
      <c r="EP149" s="1345"/>
      <c r="EQ149" s="1344">
        <f>EQ147/EK147-1</f>
        <v>0.10476190476190483</v>
      </c>
      <c r="ER149" s="1344">
        <f>ER147/EL147-1</f>
        <v>5.8201058201057254E-3</v>
      </c>
      <c r="ES149" s="1344">
        <f>ES147/EM147-1</f>
        <v>4.4962080173347685E-2</v>
      </c>
      <c r="ET149" s="1344">
        <f>ET147/EN147-1</f>
        <v>8.8928412627842235E-4</v>
      </c>
      <c r="EU149" s="1346">
        <f>EU147/EO147-1</f>
        <v>3.5485975212002696E-2</v>
      </c>
      <c r="EV149" s="1345"/>
      <c r="EW149" s="1344">
        <f>EW147/EQ147-1</f>
        <v>3.125E-2</v>
      </c>
      <c r="EX149" s="1344">
        <f>EX147/ER147-1</f>
        <v>4.6291425565491817E-2</v>
      </c>
      <c r="EY149" s="1344">
        <f>EY147/ES147-1</f>
        <v>1.0368066355624705E-2</v>
      </c>
      <c r="EZ149" s="1344">
        <f>EZ147/ET147-1</f>
        <v>9.1086411451963833E-3</v>
      </c>
      <c r="FA149" s="1346">
        <f>FA147/EU147-1</f>
        <v>2.349799057803148E-2</v>
      </c>
      <c r="FB149" s="1345"/>
      <c r="FC149" s="1344">
        <f>FC147/EW147-1</f>
        <v>3.0276905489935668E-2</v>
      </c>
      <c r="FD149" s="1344">
        <f>FD147/EX147-1</f>
        <v>8.7266382326292025E-3</v>
      </c>
      <c r="FE149" s="1344">
        <f>FE147/EY147-1</f>
        <v>4.0769078401008629E-2</v>
      </c>
      <c r="FF149" s="1344">
        <f>FF147/EZ147-1</f>
        <v>1.9107308187735095E-2</v>
      </c>
      <c r="FG149" s="1346">
        <f>FG147/FA147-1</f>
        <v>2.4394466194201048E-2</v>
      </c>
      <c r="FH149" s="1345"/>
      <c r="FI149" s="1344">
        <f>FI147/FC147-1</f>
        <v>8.0980295570443062E-3</v>
      </c>
      <c r="FJ149" s="1344">
        <f>FJ147/FD147-1</f>
        <v>2.5853114015431666E-2</v>
      </c>
      <c r="FK149" s="1344">
        <f>FK147/FE147-1</f>
        <v>3.9647194648551487E-2</v>
      </c>
      <c r="FL149" s="1344">
        <f>FL147/FF147-1</f>
        <v>4.4109294740912963E-2</v>
      </c>
      <c r="FM149" s="1346">
        <f>FM147/FG147-1</f>
        <v>3.0086629456829606E-2</v>
      </c>
      <c r="FN149" s="1347"/>
      <c r="FO149" s="1348"/>
      <c r="FP149" s="1349">
        <f t="shared" ref="FP149:GB149" si="112">FP147/FO147-1</f>
        <v>0.21891969134038303</v>
      </c>
      <c r="FQ149" s="1349">
        <f t="shared" si="112"/>
        <v>0.12708089097303632</v>
      </c>
      <c r="FR149" s="1349">
        <f t="shared" si="112"/>
        <v>-8.3628042438111061E-2</v>
      </c>
      <c r="FS149" s="1348">
        <f t="shared" si="112"/>
        <v>0.30805902383654948</v>
      </c>
      <c r="FT149" s="1349">
        <f t="shared" si="112"/>
        <v>0.20496355432141611</v>
      </c>
      <c r="FU149" s="1349">
        <f t="shared" si="112"/>
        <v>4.3208987469394167E-3</v>
      </c>
      <c r="FV149" s="1349">
        <f t="shared" si="112"/>
        <v>4.4457192026387427E-2</v>
      </c>
      <c r="FW149" s="1349">
        <f t="shared" si="112"/>
        <v>2.9932720032953553E-2</v>
      </c>
      <c r="FX149" s="1349">
        <f t="shared" si="112"/>
        <v>3.4662045060658286E-3</v>
      </c>
      <c r="FY149" s="1349">
        <f t="shared" si="112"/>
        <v>4.3177892918825567E-2</v>
      </c>
      <c r="FZ149" s="1349">
        <f t="shared" si="112"/>
        <v>2.9419256240448277E-2</v>
      </c>
      <c r="GA149" s="1349">
        <f t="shared" si="112"/>
        <v>1.4327704041849687E-2</v>
      </c>
      <c r="GB149" s="1349">
        <f t="shared" si="112"/>
        <v>2.3259561549272334E-2</v>
      </c>
      <c r="GC149" s="1349"/>
      <c r="GD149" s="1349"/>
      <c r="GE149" s="1349"/>
      <c r="GF149" s="1349"/>
      <c r="GI149"/>
      <c r="GJ149"/>
      <c r="GK149"/>
      <c r="GL149"/>
      <c r="GM149"/>
      <c r="GN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</row>
    <row r="150" spans="1:281" s="33" customFormat="1" ht="10.5" customHeight="1" collapsed="1" x14ac:dyDescent="0.2">
      <c r="A150" s="273" t="s">
        <v>118</v>
      </c>
      <c r="B150" s="954" t="s">
        <v>119</v>
      </c>
      <c r="C150" s="244">
        <f>0.158*C91</f>
        <v>2.0089700000000001</v>
      </c>
      <c r="D150" s="244">
        <f>0.168*D91</f>
        <v>3.8893679999999997</v>
      </c>
      <c r="E150" s="244">
        <f>0.126*E91</f>
        <v>6.9734699999999998</v>
      </c>
      <c r="F150" s="244">
        <v>9.6039999999999992</v>
      </c>
      <c r="G150" s="244">
        <v>25.707999999999998</v>
      </c>
      <c r="H150" s="244">
        <v>52.57</v>
      </c>
      <c r="I150" s="244">
        <v>88.290999999999997</v>
      </c>
      <c r="J150" s="244">
        <v>82.73</v>
      </c>
      <c r="K150" s="244">
        <v>110.64100000000001</v>
      </c>
      <c r="L150" s="244">
        <v>146.41999999999999</v>
      </c>
      <c r="M150" s="244">
        <v>197.08600000000001</v>
      </c>
      <c r="N150" s="244"/>
      <c r="O150" s="244">
        <v>55.156999999999996</v>
      </c>
      <c r="P150" s="244">
        <v>57.225999999999999</v>
      </c>
      <c r="Q150" s="244">
        <v>67.863</v>
      </c>
      <c r="R150" s="244">
        <v>80.850999999999999</v>
      </c>
      <c r="S150" s="244">
        <f>SUM(O150:R150)</f>
        <v>261.09699999999998</v>
      </c>
      <c r="T150" s="244"/>
      <c r="U150" s="244">
        <v>84.441000000000003</v>
      </c>
      <c r="V150" s="244">
        <v>93.272000000000006</v>
      </c>
      <c r="W150" s="244">
        <v>92.805000000000007</v>
      </c>
      <c r="X150" s="244">
        <v>118.575</v>
      </c>
      <c r="Y150" s="244">
        <f>SUM(U150:X150)</f>
        <v>389.09300000000002</v>
      </c>
      <c r="Z150" s="244"/>
      <c r="AA150" s="244">
        <v>117.209</v>
      </c>
      <c r="AB150" s="244">
        <v>135.30000000000001</v>
      </c>
      <c r="AC150" s="244">
        <v>138.52699999999999</v>
      </c>
      <c r="AD150" s="244">
        <v>164.44</v>
      </c>
      <c r="AE150" s="244">
        <f>SUM(AA150:AD150)</f>
        <v>555.476</v>
      </c>
      <c r="AF150" s="244"/>
      <c r="AG150" s="244">
        <v>159.667</v>
      </c>
      <c r="AH150" s="244">
        <v>183.21700000000001</v>
      </c>
      <c r="AI150" s="244">
        <v>184.10599999999999</v>
      </c>
      <c r="AJ150" s="244">
        <v>192.15299999999999</v>
      </c>
      <c r="AK150" s="244">
        <f>SUM(AG150:AJ150)</f>
        <v>719.14300000000003</v>
      </c>
      <c r="AL150" s="244"/>
      <c r="AM150" s="244">
        <v>187.62299999999999</v>
      </c>
      <c r="AN150" s="244">
        <v>200.678</v>
      </c>
      <c r="AO150" s="244">
        <v>209.798</v>
      </c>
      <c r="AP150" s="244">
        <v>243.30699999999999</v>
      </c>
      <c r="AQ150" s="244">
        <f>SUM(AM150:AP150)</f>
        <v>841.40599999999995</v>
      </c>
      <c r="AR150" s="244"/>
      <c r="AS150" s="244">
        <v>235.941</v>
      </c>
      <c r="AT150" s="244">
        <v>248.16</v>
      </c>
      <c r="AU150" s="244">
        <v>255.55199999999999</v>
      </c>
      <c r="AV150" s="244">
        <v>270.22899999999998</v>
      </c>
      <c r="AW150" s="244">
        <f>SUM(AS150:AV150)</f>
        <v>1009.8820000000001</v>
      </c>
      <c r="AX150" s="244"/>
      <c r="AY150" s="244">
        <v>251.02699999999999</v>
      </c>
      <c r="AZ150" s="244">
        <v>266.27999999999997</v>
      </c>
      <c r="BA150" s="244">
        <v>301.45499999999998</v>
      </c>
      <c r="BB150" s="244">
        <v>319.82900000000001</v>
      </c>
      <c r="BC150" s="244">
        <f>SUM(AY150:BB150)</f>
        <v>1138.5909999999999</v>
      </c>
      <c r="BD150" s="244"/>
      <c r="BE150" s="244">
        <v>253.3</v>
      </c>
      <c r="BF150" s="244">
        <v>257.483</v>
      </c>
      <c r="BG150" s="244">
        <v>283.23099999999999</v>
      </c>
      <c r="BH150" s="244">
        <v>282.142</v>
      </c>
      <c r="BI150" s="244">
        <f>SUM(BE150:BH150)</f>
        <v>1076.1559999999999</v>
      </c>
      <c r="BJ150" s="244"/>
      <c r="BK150" s="244">
        <v>286</v>
      </c>
      <c r="BL150" s="244">
        <v>295</v>
      </c>
      <c r="BM150" s="244">
        <v>301</v>
      </c>
      <c r="BN150" s="244">
        <v>298</v>
      </c>
      <c r="BO150" s="244">
        <f>SUM(BK150:BN150)</f>
        <v>1180</v>
      </c>
      <c r="BP150" s="244"/>
      <c r="BQ150" s="243">
        <v>298</v>
      </c>
      <c r="BR150" s="243">
        <v>323</v>
      </c>
      <c r="BS150" s="243">
        <v>328</v>
      </c>
      <c r="BT150" s="243">
        <v>329</v>
      </c>
      <c r="BU150" s="244">
        <f>SUM(BQ150:BT150)</f>
        <v>1278</v>
      </c>
      <c r="BV150" s="244"/>
      <c r="BW150" s="243">
        <v>312</v>
      </c>
      <c r="BX150" s="243">
        <v>327</v>
      </c>
      <c r="BY150" s="243">
        <v>391</v>
      </c>
      <c r="BZ150" s="243">
        <v>451</v>
      </c>
      <c r="CA150" s="244">
        <f>SUM(BW150:BZ150)</f>
        <v>1481</v>
      </c>
      <c r="CB150" s="244"/>
      <c r="CC150" s="243">
        <v>396</v>
      </c>
      <c r="CD150" s="243">
        <v>464</v>
      </c>
      <c r="CE150" s="243">
        <f>467-3</f>
        <v>464</v>
      </c>
      <c r="CF150" s="243">
        <f>535.6-3</f>
        <v>532.6</v>
      </c>
      <c r="CG150" s="171">
        <f>SUM(CC150:CF150)</f>
        <v>1856.6</v>
      </c>
      <c r="CH150" s="244"/>
      <c r="CI150" s="243">
        <f>506-22</f>
        <v>484</v>
      </c>
      <c r="CJ150" s="243">
        <f>519-21</f>
        <v>498</v>
      </c>
      <c r="CK150" s="243">
        <f>570-21</f>
        <v>549</v>
      </c>
      <c r="CL150" s="243">
        <f>600-21</f>
        <v>579</v>
      </c>
      <c r="CM150" s="171">
        <f>SUM(CI150:CL150)</f>
        <v>2110</v>
      </c>
      <c r="CN150" s="244"/>
      <c r="CO150" s="243">
        <f>652-28</f>
        <v>624</v>
      </c>
      <c r="CP150" s="243">
        <f>674-25</f>
        <v>649</v>
      </c>
      <c r="CQ150" s="243">
        <f>682-31</f>
        <v>651</v>
      </c>
      <c r="CR150" s="243">
        <f>733-30</f>
        <v>703</v>
      </c>
      <c r="CS150" s="171">
        <f>SUM(CO150:CR150)</f>
        <v>2627</v>
      </c>
      <c r="CT150" s="244"/>
      <c r="CU150" s="243">
        <f>708-37</f>
        <v>671</v>
      </c>
      <c r="CV150" s="243">
        <f>651-45</f>
        <v>606</v>
      </c>
      <c r="CW150" s="243">
        <f>677-39</f>
        <v>638</v>
      </c>
      <c r="CX150" s="243">
        <f>731-34</f>
        <v>697</v>
      </c>
      <c r="CY150" s="171">
        <f>SUM(CU150:CX150)</f>
        <v>2612</v>
      </c>
      <c r="CZ150" s="244"/>
      <c r="DA150" s="243">
        <f>660-32</f>
        <v>628</v>
      </c>
      <c r="DB150" s="243">
        <f>708-44</f>
        <v>664</v>
      </c>
      <c r="DC150" s="243">
        <f>823-46</f>
        <v>777</v>
      </c>
      <c r="DD150" s="243">
        <f>1063-50</f>
        <v>1013</v>
      </c>
      <c r="DE150" s="171">
        <f>SUM(DA150:DD150)</f>
        <v>3082</v>
      </c>
      <c r="DF150" s="244"/>
      <c r="DG150" s="243">
        <f>1103-59</f>
        <v>1044</v>
      </c>
      <c r="DH150" s="243">
        <f>1119-55</f>
        <v>1064</v>
      </c>
      <c r="DI150" s="243">
        <f>1127-58</f>
        <v>1069</v>
      </c>
      <c r="DJ150" s="243">
        <f>1170-60</f>
        <v>1110</v>
      </c>
      <c r="DK150" s="171">
        <f>SUM(DG150:DJ150)</f>
        <v>4287</v>
      </c>
      <c r="DL150" s="244"/>
      <c r="DM150" s="243">
        <f>1050-71</f>
        <v>979</v>
      </c>
      <c r="DN150" s="243">
        <f>1102-68</f>
        <v>1034</v>
      </c>
      <c r="DO150" s="243">
        <f>1145-74</f>
        <v>1071</v>
      </c>
      <c r="DP150" s="243">
        <f>1226-82</f>
        <v>1144</v>
      </c>
      <c r="DQ150" s="171">
        <f>SUM(DM150:DP150)</f>
        <v>4228</v>
      </c>
      <c r="DR150" s="244"/>
      <c r="DS150" s="243">
        <f>1201-83</f>
        <v>1118</v>
      </c>
      <c r="DT150" s="243">
        <f>1199-89</f>
        <v>1110</v>
      </c>
      <c r="DU150" s="243">
        <f>1186-86</f>
        <v>1100</v>
      </c>
      <c r="DV150" s="243">
        <f>1264-93</f>
        <v>1171</v>
      </c>
      <c r="DW150" s="171">
        <f>SUM(DS150:DV150)</f>
        <v>4499</v>
      </c>
      <c r="DX150" s="244"/>
      <c r="DY150" s="243">
        <f>1237-97</f>
        <v>1140</v>
      </c>
      <c r="DZ150" s="243">
        <f>1273-87</f>
        <v>1186</v>
      </c>
      <c r="EA150" s="243">
        <f>1292-99</f>
        <v>1193</v>
      </c>
      <c r="EB150" s="243">
        <f>1349-101</f>
        <v>1248</v>
      </c>
      <c r="EC150" s="171">
        <f>SUM(DY150:EB150)</f>
        <v>4767</v>
      </c>
      <c r="ED150" s="244"/>
      <c r="EE150" s="243">
        <f>1329-108</f>
        <v>1221</v>
      </c>
      <c r="EF150" s="243">
        <f>1389-134</f>
        <v>1255</v>
      </c>
      <c r="EG150" s="243">
        <f>1370-138</f>
        <v>1232</v>
      </c>
      <c r="EH150" s="243">
        <f>1435-142</f>
        <v>1293</v>
      </c>
      <c r="EI150" s="171">
        <f>SUM(EE150:EH150)</f>
        <v>5001</v>
      </c>
      <c r="EJ150" s="244"/>
      <c r="EK150" s="243">
        <f>1390-148</f>
        <v>1242</v>
      </c>
      <c r="EL150" s="243">
        <f>1444-151</f>
        <v>1293</v>
      </c>
      <c r="EM150" s="243">
        <f>1419-154</f>
        <v>1265</v>
      </c>
      <c r="EN150" s="243">
        <f>1534-157</f>
        <v>1377</v>
      </c>
      <c r="EO150" s="171">
        <f>SUM(EK150:EN150)</f>
        <v>5177</v>
      </c>
      <c r="EP150" s="244"/>
      <c r="EQ150" s="243">
        <f>1520-195</f>
        <v>1325</v>
      </c>
      <c r="ER150" s="243">
        <f>1510-188</f>
        <v>1322</v>
      </c>
      <c r="ES150" s="243">
        <f>1521-191</f>
        <v>1330</v>
      </c>
      <c r="ET150" s="243">
        <f>1609-197</f>
        <v>1412</v>
      </c>
      <c r="EU150" s="171">
        <f>SUM(EQ150:ET150)</f>
        <v>5389</v>
      </c>
      <c r="EV150" s="244"/>
      <c r="EW150" s="243">
        <f>1574-234</f>
        <v>1340</v>
      </c>
      <c r="EX150" s="243">
        <f>1475-237</f>
        <v>1238</v>
      </c>
      <c r="EY150" s="243">
        <f>1498-221</f>
        <v>1277</v>
      </c>
      <c r="EZ150" s="243">
        <f>EZ$91*EZ151</f>
        <v>1342.760719931726</v>
      </c>
      <c r="FA150" s="171">
        <f>SUM(EW150:EZ150)</f>
        <v>5197.7607199317263</v>
      </c>
      <c r="FB150" s="244"/>
      <c r="FC150" s="243">
        <f>FC$91*FC151</f>
        <v>1370.3381335833424</v>
      </c>
      <c r="FD150" s="243">
        <f>FD$91*FD151</f>
        <v>1327.5896452644031</v>
      </c>
      <c r="FE150" s="243">
        <f>FE$91*FE151</f>
        <v>1328.0855506892997</v>
      </c>
      <c r="FF150" s="243">
        <f>FF$91*FF151</f>
        <v>1391.2242172103445</v>
      </c>
      <c r="FG150" s="171">
        <f>SUM(FC150:FF150)</f>
        <v>5417.2375467473894</v>
      </c>
      <c r="FH150" s="244"/>
      <c r="FI150" s="243">
        <f>FI$91*FI151</f>
        <v>1436.27140992409</v>
      </c>
      <c r="FJ150" s="243">
        <f>FJ$91*FJ151</f>
        <v>1385.9423828372085</v>
      </c>
      <c r="FK150" s="243">
        <f>FK$91*FK151</f>
        <v>1384.3450765470175</v>
      </c>
      <c r="FL150" s="243">
        <f>FL$91*FL151</f>
        <v>1447.8735610155086</v>
      </c>
      <c r="FM150" s="171">
        <f>SUM(FI150:FL150)</f>
        <v>5654.4324303238245</v>
      </c>
      <c r="FN150" s="226"/>
      <c r="FO150" s="245">
        <f>CE150+CF150+CI150+CJ150</f>
        <v>1978.6</v>
      </c>
      <c r="FP150" s="243">
        <f>CK150+CL150+CO150+CP150</f>
        <v>2401</v>
      </c>
      <c r="FQ150" s="243">
        <f>CV150+CU150+CR150+CQ150</f>
        <v>2631</v>
      </c>
      <c r="FR150" s="243">
        <f>CW150+CX150+DA150+DB150</f>
        <v>2627</v>
      </c>
      <c r="FS150" s="245">
        <f>DC150+DD150+DG150+DH150</f>
        <v>3898</v>
      </c>
      <c r="FT150" s="243">
        <f>DI150+DJ150+DM150+DN150</f>
        <v>4192</v>
      </c>
      <c r="FU150" s="243">
        <f>DO150+DP150+DS150+DT150</f>
        <v>4443</v>
      </c>
      <c r="FV150" s="243">
        <f>DY150+DV150+DZ150+DU150</f>
        <v>4597</v>
      </c>
      <c r="FW150" s="243">
        <f>EA150+EB150+EE150+EF150</f>
        <v>4917</v>
      </c>
      <c r="FX150" s="243">
        <f>EG150+EH150+EK150+EL150</f>
        <v>5060</v>
      </c>
      <c r="FY150" s="243">
        <f>EM150+EN150+EQ150+ER150</f>
        <v>5289</v>
      </c>
      <c r="FZ150" s="243">
        <f>ES150+ET150+EW150+EX150</f>
        <v>5320</v>
      </c>
      <c r="GA150" s="243">
        <f>EY150+EZ150+FC150+FD150</f>
        <v>5317.688498779472</v>
      </c>
      <c r="GB150" s="243">
        <f>FE150+FF150+FI150+FJ150</f>
        <v>5541.5235606609422</v>
      </c>
      <c r="GC150" s="243"/>
      <c r="GD150" s="243"/>
      <c r="GE150" s="243"/>
      <c r="GF150" s="243"/>
      <c r="GI150"/>
      <c r="GJ150"/>
      <c r="GK150"/>
      <c r="GL150"/>
      <c r="GM150"/>
      <c r="GN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</row>
    <row r="151" spans="1:281" s="33" customFormat="1" ht="10.5" hidden="1" customHeight="1" outlineLevel="1" x14ac:dyDescent="0.2">
      <c r="A151" s="1334" t="s">
        <v>414</v>
      </c>
      <c r="B151" s="1335"/>
      <c r="C151" s="1336">
        <f t="shared" ref="C151:M151" si="113">ROUND(C150/C$91,4)</f>
        <v>0.158</v>
      </c>
      <c r="D151" s="1336">
        <f t="shared" si="113"/>
        <v>0.16800000000000001</v>
      </c>
      <c r="E151" s="1336">
        <f t="shared" si="113"/>
        <v>0.126</v>
      </c>
      <c r="F151" s="1336">
        <f t="shared" si="113"/>
        <v>7.3200000000000001E-2</v>
      </c>
      <c r="G151" s="1336">
        <f t="shared" si="113"/>
        <v>9.11E-2</v>
      </c>
      <c r="H151" s="1336">
        <f t="shared" si="113"/>
        <v>0.09</v>
      </c>
      <c r="I151" s="1336">
        <f t="shared" si="113"/>
        <v>9.6299999999999997E-2</v>
      </c>
      <c r="J151" s="1336">
        <f t="shared" si="113"/>
        <v>8.0500000000000002E-2</v>
      </c>
      <c r="K151" s="1336">
        <f t="shared" si="113"/>
        <v>9.3799999999999994E-2</v>
      </c>
      <c r="L151" s="1336">
        <f t="shared" si="113"/>
        <v>9.74E-2</v>
      </c>
      <c r="M151" s="1336">
        <f t="shared" si="113"/>
        <v>9.8500000000000004E-2</v>
      </c>
      <c r="N151" s="1298"/>
      <c r="O151" s="1336">
        <f>ROUND(O150/O$91,4)</f>
        <v>9.9099999999999994E-2</v>
      </c>
      <c r="P151" s="1336">
        <f>ROUND(P150/P$91,4)</f>
        <v>8.5400000000000004E-2</v>
      </c>
      <c r="Q151" s="1336">
        <f>ROUND(Q150/Q$91,4)</f>
        <v>9.4E-2</v>
      </c>
      <c r="R151" s="1336">
        <f>ROUND(R150/R$91,4)</f>
        <v>7.9399999999999998E-2</v>
      </c>
      <c r="S151" s="1336">
        <f>ROUND(S150/S$91,4)</f>
        <v>8.7999999999999995E-2</v>
      </c>
      <c r="T151" s="1298"/>
      <c r="U151" s="1336">
        <f>ROUND(U150/U$91,4)</f>
        <v>0.1094</v>
      </c>
      <c r="V151" s="1336">
        <f>ROUND(V150/V$91,4)</f>
        <v>9.6500000000000002E-2</v>
      </c>
      <c r="W151" s="1336">
        <f>ROUND(W150/W$91,4)</f>
        <v>9.0999999999999998E-2</v>
      </c>
      <c r="X151" s="1336">
        <f>ROUND(X150/X$91,4)</f>
        <v>8.1000000000000003E-2</v>
      </c>
      <c r="Y151" s="1336">
        <f>ROUND(Y150/Y$91,4)</f>
        <v>9.2100000000000001E-2</v>
      </c>
      <c r="Z151" s="1298"/>
      <c r="AA151" s="1336">
        <f>ROUND(AA150/AA$91,4)</f>
        <v>0.1114</v>
      </c>
      <c r="AB151" s="1336">
        <f>ROUND(AB150/AB$91,4)</f>
        <v>0.1032</v>
      </c>
      <c r="AC151" s="1336">
        <f>ROUND(AC150/AC$91,4)</f>
        <v>0.1009</v>
      </c>
      <c r="AD151" s="1336">
        <f>ROUND(AD150/AD$91,4)</f>
        <v>8.4400000000000003E-2</v>
      </c>
      <c r="AE151" s="1336">
        <f>ROUND(AE150/AE$91,4)</f>
        <v>9.7699999999999995E-2</v>
      </c>
      <c r="AF151" s="1298"/>
      <c r="AG151" s="1336">
        <f>ROUND(AG150/AG$91,4)</f>
        <v>0.1166</v>
      </c>
      <c r="AH151" s="1336">
        <f>ROUND(AH150/AH$91,4)</f>
        <v>0.1135</v>
      </c>
      <c r="AI151" s="1336">
        <f>ROUND(AI150/AI$91,4)</f>
        <v>0.1053</v>
      </c>
      <c r="AJ151" s="1336">
        <f>ROUND(AJ150/AJ$91,4)</f>
        <v>7.9600000000000004E-2</v>
      </c>
      <c r="AK151" s="1336">
        <f>ROUND(AK150/AK$91,4)</f>
        <v>0.1007</v>
      </c>
      <c r="AL151" s="1298"/>
      <c r="AM151" s="1336">
        <f>ROUND(AM150/AM$91,4)</f>
        <v>0.10730000000000001</v>
      </c>
      <c r="AN151" s="1336">
        <f>ROUND(AN150/AN$91,4)</f>
        <v>9.7600000000000006E-2</v>
      </c>
      <c r="AO151" s="1336">
        <f>ROUND(AO150/AO$91,4)</f>
        <v>0.1009</v>
      </c>
      <c r="AP151" s="1336">
        <f>ROUND(AP150/AP$91,4)</f>
        <v>8.2699999999999996E-2</v>
      </c>
      <c r="AQ151" s="1336">
        <f>ROUND(AQ150/AQ$91,4)</f>
        <v>9.5299999999999996E-2</v>
      </c>
      <c r="AR151" s="1298"/>
      <c r="AS151" s="1336">
        <f>ROUND(AS150/AS$91,4)</f>
        <v>0.11890000000000001</v>
      </c>
      <c r="AT151" s="1336">
        <f>ROUND(AT150/AT$91,4)</f>
        <v>0.1069</v>
      </c>
      <c r="AU151" s="1336">
        <f>ROUND(AU150/AU$91,4)</f>
        <v>0.1043</v>
      </c>
      <c r="AV151" s="1336">
        <f>ROUND(AV150/AV$91,4)</f>
        <v>8.0100000000000005E-2</v>
      </c>
      <c r="AW151" s="1336">
        <f>ROUND(AW150/AW$91,4)</f>
        <v>9.9699999999999997E-2</v>
      </c>
      <c r="AX151" s="1298"/>
      <c r="AY151" s="1336">
        <f>ROUND(AY150/AY$91,4)</f>
        <v>0.10970000000000001</v>
      </c>
      <c r="AZ151" s="1336">
        <f>ROUND(AZ150/AZ$91,4)</f>
        <v>9.9099999999999994E-2</v>
      </c>
      <c r="BA151" s="1336">
        <f>ROUND(BA150/BA$91,4)</f>
        <v>0.1118</v>
      </c>
      <c r="BB151" s="1336">
        <f>ROUND(BB150/BB$91,4)</f>
        <v>9.7199999999999995E-2</v>
      </c>
      <c r="BC151" s="1336">
        <f>ROUND(BC150/BC$91,4)</f>
        <v>0.10390000000000001</v>
      </c>
      <c r="BD151" s="1298"/>
      <c r="BE151" s="1336">
        <f>ROUND(BE150/BE$91,4)</f>
        <v>0.1118</v>
      </c>
      <c r="BF151" s="1336">
        <f>ROUND(BF150/BF$91,4)</f>
        <v>0.1082</v>
      </c>
      <c r="BG151" s="1336">
        <f>ROUND(BG150/BG$91,4)</f>
        <v>0.12570000000000001</v>
      </c>
      <c r="BH151" s="1336">
        <f>ROUND(BH150/BH$91,4)</f>
        <v>0.1017</v>
      </c>
      <c r="BI151" s="1336">
        <f>ROUND(BI150/BI$91,4)</f>
        <v>0.1113</v>
      </c>
      <c r="BJ151" s="1298"/>
      <c r="BK151" s="1336">
        <f>ROUND(BK150/BK$91,4)</f>
        <v>0.14099999999999999</v>
      </c>
      <c r="BL151" s="1336">
        <f>ROUND(BL150/BL$91,4)</f>
        <v>0.1278</v>
      </c>
      <c r="BM151" s="1336">
        <f>ROUND(BM150/BM$91,4)</f>
        <v>0.1305</v>
      </c>
      <c r="BN151" s="1336">
        <f>ROUND(BN150/BN$91,4)</f>
        <v>0.1052</v>
      </c>
      <c r="BO151" s="1336">
        <f>ROUND(BO150/BO$91,4)</f>
        <v>0.1245</v>
      </c>
      <c r="BP151" s="1298"/>
      <c r="BQ151" s="1336">
        <f>ROUND(BQ150/BQ$91,4)</f>
        <v>0.14380000000000001</v>
      </c>
      <c r="BR151" s="1336">
        <f>ROUND(BR150/BR$91,4)</f>
        <v>0.1293</v>
      </c>
      <c r="BS151" s="1336">
        <f>ROUND(BS150/BS$91,4)</f>
        <v>0.13070000000000001</v>
      </c>
      <c r="BT151" s="1336">
        <f>ROUND(BT150/BT$91,4)</f>
        <v>0.1069</v>
      </c>
      <c r="BU151" s="1336">
        <f>ROUND(BU150/BU$91,4)</f>
        <v>0.1258</v>
      </c>
      <c r="BV151" s="1298"/>
      <c r="BW151" s="1337">
        <f>ROUND(BW150/BW$91,4)</f>
        <v>0.1409</v>
      </c>
      <c r="BX151" s="1337">
        <f>ROUND(BX150/BX$91,4)</f>
        <v>0.1187</v>
      </c>
      <c r="BY151" s="1337">
        <f>ROUND(BY150/BY$91,4)</f>
        <v>0.12640000000000001</v>
      </c>
      <c r="BZ151" s="1337">
        <f>ROUND(BZ150/BZ$91,4)</f>
        <v>0.11119999999999999</v>
      </c>
      <c r="CA151" s="1337">
        <f>ROUND(CA150/CA$91,4)</f>
        <v>0.1222</v>
      </c>
      <c r="CB151" s="1337"/>
      <c r="CC151" s="1337">
        <f>ROUND(CC150/CC$91,4)</f>
        <v>0.13619999999999999</v>
      </c>
      <c r="CD151" s="1337">
        <f>ROUND(CD150/CD$91,4)</f>
        <v>0.13669999999999999</v>
      </c>
      <c r="CE151" s="1337">
        <f>ROUND(CE150/CE$91,4)</f>
        <v>0.1313</v>
      </c>
      <c r="CF151" s="1337">
        <f>ROUND(CF150/CF$91,4)</f>
        <v>0.1079</v>
      </c>
      <c r="CG151" s="1338">
        <f>ROUND(CG150/CG$91,4)</f>
        <v>0.12570000000000001</v>
      </c>
      <c r="CH151" s="1298"/>
      <c r="CI151" s="1337">
        <f>ROUND(CI150/CI$91,4)</f>
        <v>0.13220000000000001</v>
      </c>
      <c r="CJ151" s="1337">
        <f>ROUND(CJ150/CJ$91,4)</f>
        <v>0.1181</v>
      </c>
      <c r="CK151" s="1337">
        <f>ROUND(CK150/CK$91,4)</f>
        <v>0.1234</v>
      </c>
      <c r="CL151" s="1337">
        <f>ROUND(CL150/CL$91,4)</f>
        <v>9.8400000000000001E-2</v>
      </c>
      <c r="CM151" s="1338">
        <f>ROUND(CM150/CM$91,4)</f>
        <v>0.1159</v>
      </c>
      <c r="CN151" s="1337"/>
      <c r="CO151" s="1337">
        <f>ROUND(CO150/CO$91,4)</f>
        <v>0.13589999999999999</v>
      </c>
      <c r="CP151" s="1337">
        <f>ROUND(CP150/CP$91,4)</f>
        <v>0.121</v>
      </c>
      <c r="CQ151" s="1337">
        <f>ROUND(CQ150/CQ$91,4)</f>
        <v>0.1212</v>
      </c>
      <c r="CR151" s="1337">
        <f>ROUND(CR150/CR$91,4)</f>
        <v>9.6600000000000005E-2</v>
      </c>
      <c r="CS151" s="1338">
        <f>ROUND(CS150/CS$91,4)</f>
        <v>0.1162</v>
      </c>
      <c r="CT151" s="1337"/>
      <c r="CU151" s="1337">
        <f>ROUND(CU150/CU$91,4)</f>
        <v>0.12379999999999999</v>
      </c>
      <c r="CV151" s="1337">
        <f>ROUND(CV150/CV$91,4)</f>
        <v>0.1066</v>
      </c>
      <c r="CW151" s="1337">
        <f>ROUND(CW150/CW$91,4)</f>
        <v>0.1159</v>
      </c>
      <c r="CX151" s="1337">
        <f>ROUND(CX150/CX$91,4)</f>
        <v>0.1013</v>
      </c>
      <c r="CY151" s="1338">
        <f>ROUND(CY150/CY$91,4)</f>
        <v>0.11119999999999999</v>
      </c>
      <c r="CZ151" s="1337"/>
      <c r="DA151" s="1337">
        <f>ROUND(DA150/DA$91,4)</f>
        <v>0.124</v>
      </c>
      <c r="DB151" s="1337">
        <f>ROUND(DB150/DB$91,4)</f>
        <v>0.11310000000000001</v>
      </c>
      <c r="DC151" s="1337">
        <f>ROUND(DC150/DC$91,4)</f>
        <v>0.1201</v>
      </c>
      <c r="DD151" s="1337">
        <f>ROUND(DD150/DD$91,4)</f>
        <v>0.1052</v>
      </c>
      <c r="DE151" s="1338">
        <f>ROUND(DE150/DE$91,4)</f>
        <v>0.114</v>
      </c>
      <c r="DF151" s="1337"/>
      <c r="DG151" s="1337">
        <f>ROUND(DG150/DG$91,4)</f>
        <v>0.1376</v>
      </c>
      <c r="DH151" s="1337">
        <f>ROUND(DH150/DH$91,4)</f>
        <v>0.12239999999999999</v>
      </c>
      <c r="DI151" s="1337">
        <f>ROUND(DI150/DI$91,4)</f>
        <v>0.12139999999999999</v>
      </c>
      <c r="DJ151" s="1337">
        <f>ROUND(DJ150/DJ$91,4)</f>
        <v>0.1027</v>
      </c>
      <c r="DK151" s="1338">
        <f>ROUND(DK150/DK$91,4)</f>
        <v>0.11940000000000001</v>
      </c>
      <c r="DL151" s="1337"/>
      <c r="DM151" s="1337">
        <f>ROUND(DM150/DM$91,4)</f>
        <v>0.1166</v>
      </c>
      <c r="DN151" s="1337">
        <f>ROUND(DN150/DN$91,4)</f>
        <v>0.1174</v>
      </c>
      <c r="DO151" s="1337">
        <f>ROUND(DO150/DO$91,4)</f>
        <v>0.1182</v>
      </c>
      <c r="DP151" s="1337">
        <f>ROUND(DP150/DP$91,4)</f>
        <v>0.1045</v>
      </c>
      <c r="DQ151" s="1338">
        <f>ROUND(DQ150/DQ$91,4)</f>
        <v>0.11360000000000001</v>
      </c>
      <c r="DR151" s="1337"/>
      <c r="DS151" s="1337">
        <f>ROUND(DS150/DS$91,4)</f>
        <v>0.13619999999999999</v>
      </c>
      <c r="DT151" s="1337">
        <f>ROUND(DT150/DT$91,4)</f>
        <v>0.12180000000000001</v>
      </c>
      <c r="DU151" s="1337">
        <f>ROUND(DU150/DU$91,4)</f>
        <v>0.1226</v>
      </c>
      <c r="DV151" s="1337">
        <f>ROUND(DV150/DV$91,4)</f>
        <v>0.10680000000000001</v>
      </c>
      <c r="DW151" s="1338">
        <f>ROUND(DW150/DW$91,4)</f>
        <v>0.1208</v>
      </c>
      <c r="DX151" s="1337"/>
      <c r="DY151" s="1337">
        <f>ROUND(DY150/DY$91,4)</f>
        <v>0.13600000000000001</v>
      </c>
      <c r="DZ151" s="1337">
        <f>ROUND(DZ150/DZ$91,4)</f>
        <v>0.1278</v>
      </c>
      <c r="EA151" s="1337">
        <f>ROUND(EA150/EA$91,4)</f>
        <v>0.12809999999999999</v>
      </c>
      <c r="EB151" s="1337">
        <f>ROUND(EB150/EB$91,4)</f>
        <v>0.11020000000000001</v>
      </c>
      <c r="EC151" s="1338">
        <f>ROUND(EC150/EC$91,4)</f>
        <v>0.1244</v>
      </c>
      <c r="ED151" s="1337"/>
      <c r="EE151" s="1337">
        <f>ROUND(EE150/EE$91,4)</f>
        <v>0.14199999999999999</v>
      </c>
      <c r="EF151" s="1337">
        <f>ROUND(EF150/EF$91,4)</f>
        <v>0.13059999999999999</v>
      </c>
      <c r="EG151" s="1337">
        <f>ROUND(EG150/EG$91,4)</f>
        <v>0.13200000000000001</v>
      </c>
      <c r="EH151" s="1337">
        <f>ROUND(EH150/EH$91,4)</f>
        <v>0.1207</v>
      </c>
      <c r="EI151" s="1338">
        <f>ROUND(EI150/EI$91,4)</f>
        <v>0.13070000000000001</v>
      </c>
      <c r="EJ151" s="1337"/>
      <c r="EK151" s="1337">
        <f>ROUND(EK150/EK$91,4)</f>
        <v>0.14699999999999999</v>
      </c>
      <c r="EL151" s="1337">
        <f>ROUND(EL150/EL$91,4)</f>
        <v>0.14369999999999999</v>
      </c>
      <c r="EM151" s="1337">
        <f>ROUND(EM150/EM$91,4)</f>
        <v>0.14030000000000001</v>
      </c>
      <c r="EN151" s="1337">
        <f>ROUND(EN150/EN$91,4)</f>
        <v>0.13</v>
      </c>
      <c r="EO151" s="1338">
        <f>ROUND(EO150/EO$91,4)</f>
        <v>0.13969999999999999</v>
      </c>
      <c r="EP151" s="1337"/>
      <c r="EQ151" s="1337">
        <f>ROUND(EQ150/EQ$91,4)</f>
        <v>0.15379999999999999</v>
      </c>
      <c r="ER151" s="1337">
        <f>ROUND(ER150/ER$91,4)</f>
        <v>0.14580000000000001</v>
      </c>
      <c r="ES151" s="1337">
        <f>ROUND(ES150/ES$91,4)</f>
        <v>0.1434</v>
      </c>
      <c r="ET151" s="1337">
        <f>ROUND(ET150/ET$91,4)</f>
        <v>0.12909999999999999</v>
      </c>
      <c r="EU151" s="1338">
        <f>ROUND(EU150/EU$91,4)</f>
        <v>0.14219999999999999</v>
      </c>
      <c r="EV151" s="1337"/>
      <c r="EW151" s="1337">
        <f>ROUND(EW150/EW$91,4)</f>
        <v>0.14549999999999999</v>
      </c>
      <c r="EX151" s="1337">
        <f>ROUND(EX150/EX$91,4)</f>
        <v>0.12859999999999999</v>
      </c>
      <c r="EY151" s="1337">
        <f>ROUND(EY150/EY$91,4)</f>
        <v>0.13059999999999999</v>
      </c>
      <c r="EZ151" s="1339">
        <v>0.12</v>
      </c>
      <c r="FA151" s="1338">
        <f>ROUND(FA150/FA$91,4)</f>
        <v>0.13059999999999999</v>
      </c>
      <c r="FB151" s="1337"/>
      <c r="FC151" s="1339">
        <v>0.14349999999999999</v>
      </c>
      <c r="FD151" s="1339">
        <v>0.13300000000000001</v>
      </c>
      <c r="FE151" s="1339">
        <f>+EY151+0.001</f>
        <v>0.13159999999999999</v>
      </c>
      <c r="FF151" s="1339">
        <f>+EZ151+0.002</f>
        <v>0.122</v>
      </c>
      <c r="FG151" s="1338">
        <f>ROUND(FG150/FG$91,4)</f>
        <v>0.13200000000000001</v>
      </c>
      <c r="FH151" s="1337"/>
      <c r="FI151" s="1339">
        <f>+FC151+0.001</f>
        <v>0.14449999999999999</v>
      </c>
      <c r="FJ151" s="1339">
        <f t="shared" ref="FJ151" si="114">+FD151+0.001</f>
        <v>0.13400000000000001</v>
      </c>
      <c r="FK151" s="1339">
        <f t="shared" ref="FK151" si="115">+FE151+0.001</f>
        <v>0.1326</v>
      </c>
      <c r="FL151" s="1339">
        <f>+FF151+0.002</f>
        <v>0.124</v>
      </c>
      <c r="FM151" s="1338">
        <f>ROUND(FM150/FM$91,4)</f>
        <v>0.13339999999999999</v>
      </c>
      <c r="FN151" s="1321"/>
      <c r="FO151" s="1340">
        <f t="shared" ref="FO151:FY151" si="116">ROUND(FO150/FO$91,4)</f>
        <v>0.121</v>
      </c>
      <c r="FP151" s="1341">
        <f t="shared" si="116"/>
        <v>0.1183</v>
      </c>
      <c r="FQ151" s="1341">
        <f t="shared" si="116"/>
        <v>0.11070000000000001</v>
      </c>
      <c r="FR151" s="1341">
        <f t="shared" si="116"/>
        <v>0.11269999999999999</v>
      </c>
      <c r="FS151" s="1340">
        <f t="shared" si="116"/>
        <v>0.12039999999999999</v>
      </c>
      <c r="FT151" s="1341">
        <f t="shared" si="116"/>
        <v>0.1138</v>
      </c>
      <c r="FU151" s="1341">
        <f t="shared" si="116"/>
        <v>0.11899999999999999</v>
      </c>
      <c r="FV151" s="1341">
        <f t="shared" si="116"/>
        <v>0.12230000000000001</v>
      </c>
      <c r="FW151" s="1341">
        <f t="shared" si="116"/>
        <v>0.12659999999999999</v>
      </c>
      <c r="FX151" s="1341">
        <f t="shared" si="116"/>
        <v>0.13500000000000001</v>
      </c>
      <c r="FY151" s="1341">
        <f t="shared" si="116"/>
        <v>0.14180000000000001</v>
      </c>
      <c r="FZ151" s="1341">
        <f>ROUND(FZ150/FZ$91,4)</f>
        <v>0.13619999999999999</v>
      </c>
      <c r="GA151" s="1341">
        <f>ROUND(GA150/GA$91,4)</f>
        <v>0.1313</v>
      </c>
      <c r="GB151" s="1341">
        <f>ROUND(GB150/GB$91,4)</f>
        <v>0.1326</v>
      </c>
      <c r="GC151" s="1341"/>
      <c r="GD151" s="1341"/>
      <c r="GE151" s="1341"/>
      <c r="GF151" s="1341"/>
      <c r="GI151"/>
      <c r="GJ151"/>
      <c r="GK151"/>
      <c r="GL151"/>
      <c r="GM151"/>
      <c r="GN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</row>
    <row r="152" spans="1:281" s="299" customFormat="1" ht="10.5" hidden="1" customHeight="1" outlineLevel="1" x14ac:dyDescent="0.2">
      <c r="A152" s="1342" t="s">
        <v>117</v>
      </c>
      <c r="B152" s="1343"/>
      <c r="C152" s="1344"/>
      <c r="D152" s="1344">
        <f t="shared" ref="D152:M152" si="117">D150/C150-1</f>
        <v>0.93600103535642609</v>
      </c>
      <c r="E152" s="1344">
        <f t="shared" si="117"/>
        <v>0.79295710768433336</v>
      </c>
      <c r="F152" s="1344">
        <f t="shared" si="117"/>
        <v>0.37721966252095429</v>
      </c>
      <c r="G152" s="1344">
        <f t="shared" si="117"/>
        <v>1.6768013327780094</v>
      </c>
      <c r="H152" s="1344">
        <f t="shared" si="117"/>
        <v>1.0448887505834761</v>
      </c>
      <c r="I152" s="1344">
        <f t="shared" si="117"/>
        <v>0.67949400798934745</v>
      </c>
      <c r="J152" s="1344">
        <f t="shared" si="117"/>
        <v>-6.2984902198412018E-2</v>
      </c>
      <c r="K152" s="1344">
        <f t="shared" si="117"/>
        <v>0.33737459204641596</v>
      </c>
      <c r="L152" s="1344">
        <f t="shared" si="117"/>
        <v>0.32337921746911169</v>
      </c>
      <c r="M152" s="1344">
        <f t="shared" si="117"/>
        <v>0.34603196284660576</v>
      </c>
      <c r="N152" s="1345"/>
      <c r="O152" s="1344"/>
      <c r="P152" s="1344"/>
      <c r="Q152" s="1344"/>
      <c r="R152" s="1344"/>
      <c r="S152" s="1344">
        <f>S150/M150-1</f>
        <v>0.32478714875739501</v>
      </c>
      <c r="T152" s="1345"/>
      <c r="U152" s="1344">
        <f>U150/O150-1</f>
        <v>0.5309208260057654</v>
      </c>
      <c r="V152" s="1344">
        <f>V150/P150-1</f>
        <v>0.62988851221472775</v>
      </c>
      <c r="W152" s="1344">
        <f>W150/Q150-1</f>
        <v>0.36753459175102798</v>
      </c>
      <c r="X152" s="1344">
        <f>X150/R150-1</f>
        <v>0.46658668414738225</v>
      </c>
      <c r="Y152" s="1344">
        <f>Y150/S150-1</f>
        <v>0.49022393976185108</v>
      </c>
      <c r="Z152" s="1345"/>
      <c r="AA152" s="1344">
        <f>AA150/U150-1</f>
        <v>0.38805793394204247</v>
      </c>
      <c r="AB152" s="1344">
        <f>AB150/V150-1</f>
        <v>0.45059610601252253</v>
      </c>
      <c r="AC152" s="1344">
        <f>AC150/W150-1</f>
        <v>0.49266742093637172</v>
      </c>
      <c r="AD152" s="1344">
        <f>AD150/X150-1</f>
        <v>0.38680160236137451</v>
      </c>
      <c r="AE152" s="1344">
        <f>AE150/Y150-1</f>
        <v>0.42761756186824229</v>
      </c>
      <c r="AF152" s="1345"/>
      <c r="AG152" s="1344">
        <f>AG150/AA150-1</f>
        <v>0.3622418073697411</v>
      </c>
      <c r="AH152" s="1344">
        <f>AH150/AB150-1</f>
        <v>0.35415373244641546</v>
      </c>
      <c r="AI152" s="1344">
        <f>AI150/AC150-1</f>
        <v>0.32902611043334518</v>
      </c>
      <c r="AJ152" s="1344">
        <f>AJ150/AD150-1</f>
        <v>0.16852955485283383</v>
      </c>
      <c r="AK152" s="1344">
        <f>AK150/AE150-1</f>
        <v>0.29464279284793582</v>
      </c>
      <c r="AL152" s="1345"/>
      <c r="AM152" s="1344">
        <f>AM150/AG150-1</f>
        <v>0.17508940482378943</v>
      </c>
      <c r="AN152" s="1344">
        <f>AN150/AH150-1</f>
        <v>9.5302291817898954E-2</v>
      </c>
      <c r="AO152" s="1344">
        <f>AO150/AI150-1</f>
        <v>0.1395500418237321</v>
      </c>
      <c r="AP152" s="1344">
        <f>AP150/AJ150-1</f>
        <v>0.26621494330039086</v>
      </c>
      <c r="AQ152" s="1344">
        <f>AQ150/AK150-1</f>
        <v>0.17001208382755584</v>
      </c>
      <c r="AR152" s="1345"/>
      <c r="AS152" s="1344">
        <f>AS150/AM150-1</f>
        <v>0.25752706224716593</v>
      </c>
      <c r="AT152" s="1344">
        <f>AT150/AN150-1</f>
        <v>0.23660789922163872</v>
      </c>
      <c r="AU152" s="1344">
        <f>AU150/AO150-1</f>
        <v>0.21808596840770633</v>
      </c>
      <c r="AV152" s="1344">
        <f>AV150/AP150-1</f>
        <v>0.1106503306522213</v>
      </c>
      <c r="AW152" s="1344">
        <f>AW150/AQ150-1</f>
        <v>0.20023151724613331</v>
      </c>
      <c r="AX152" s="1345"/>
      <c r="AY152" s="1344">
        <f>AY150/AS150-1</f>
        <v>6.3939713741994808E-2</v>
      </c>
      <c r="AZ152" s="1344">
        <f>AZ150/AT150-1</f>
        <v>7.3017408123791094E-2</v>
      </c>
      <c r="BA152" s="1344">
        <f>BA150/AU150-1</f>
        <v>0.1796229338842974</v>
      </c>
      <c r="BB152" s="1344">
        <f>BB150/AV150-1</f>
        <v>0.1835480277838426</v>
      </c>
      <c r="BC152" s="1344">
        <f>BC150/AW150-1</f>
        <v>0.12744954361004535</v>
      </c>
      <c r="BD152" s="1345"/>
      <c r="BE152" s="1344">
        <f>BE150/AY150-1</f>
        <v>9.0548028698109739E-3</v>
      </c>
      <c r="BF152" s="1344">
        <f>BF150/AZ150-1</f>
        <v>-3.3036653147063166E-2</v>
      </c>
      <c r="BG152" s="1344">
        <f>BG150/BA150-1</f>
        <v>-6.0453467350018997E-2</v>
      </c>
      <c r="BH152" s="1344">
        <f>BH150/BB150-1</f>
        <v>-0.11783484299422509</v>
      </c>
      <c r="BI152" s="1344">
        <f>BI150/BC150-1</f>
        <v>-5.4835318389131804E-2</v>
      </c>
      <c r="BJ152" s="1345"/>
      <c r="BK152" s="1344">
        <f>BK150/BE150-1</f>
        <v>0.12909593367548355</v>
      </c>
      <c r="BL152" s="1344">
        <f>BL150/BF150-1</f>
        <v>0.14570670685054932</v>
      </c>
      <c r="BM152" s="1344">
        <f>BM150/BG150-1</f>
        <v>6.2736776694641394E-2</v>
      </c>
      <c r="BN152" s="1344">
        <f>BN150/BH150-1</f>
        <v>5.6205740371869428E-2</v>
      </c>
      <c r="BO152" s="1344">
        <f>BO150/BI150-1</f>
        <v>9.6495303654860587E-2</v>
      </c>
      <c r="BP152" s="1345"/>
      <c r="BQ152" s="1344">
        <f>BQ150/BK150-1</f>
        <v>4.195804195804187E-2</v>
      </c>
      <c r="BR152" s="1344">
        <f>BR150/BL150-1</f>
        <v>9.4915254237288194E-2</v>
      </c>
      <c r="BS152" s="1344">
        <f>BS150/BM150-1</f>
        <v>8.9700996677740896E-2</v>
      </c>
      <c r="BT152" s="1344">
        <f>BT150/BN150-1</f>
        <v>0.10402684563758391</v>
      </c>
      <c r="BU152" s="1344">
        <f>BU150/BO150-1</f>
        <v>8.3050847457627031E-2</v>
      </c>
      <c r="BV152" s="1345"/>
      <c r="BW152" s="1344">
        <f>BW150/BQ150-1</f>
        <v>4.6979865771812124E-2</v>
      </c>
      <c r="BX152" s="1344">
        <f>BX150/BR150-1</f>
        <v>1.2383900928792491E-2</v>
      </c>
      <c r="BY152" s="1344">
        <f>BY150/BS150-1</f>
        <v>0.19207317073170738</v>
      </c>
      <c r="BZ152" s="1344">
        <f>BZ150/BT150-1</f>
        <v>0.37082066869300911</v>
      </c>
      <c r="CA152" s="1344">
        <f>CA150/BU150-1</f>
        <v>0.15884194053208134</v>
      </c>
      <c r="CB152" s="1345"/>
      <c r="CC152" s="1344">
        <f>CC150/BW150-1</f>
        <v>0.26923076923076916</v>
      </c>
      <c r="CD152" s="1344">
        <f>CD150/BX150-1</f>
        <v>0.41896024464831805</v>
      </c>
      <c r="CE152" s="1344">
        <f>CE150/BY150-1</f>
        <v>0.1867007672634271</v>
      </c>
      <c r="CF152" s="1344">
        <f>CF150/BZ150-1</f>
        <v>0.18093126385809311</v>
      </c>
      <c r="CG152" s="1346">
        <f>CG150/CA150-1</f>
        <v>0.25361242403781215</v>
      </c>
      <c r="CH152" s="1345"/>
      <c r="CI152" s="1344">
        <f>CI150/CC150-1</f>
        <v>0.22222222222222232</v>
      </c>
      <c r="CJ152" s="1344">
        <f>CJ150/CD150-1</f>
        <v>7.3275862068965525E-2</v>
      </c>
      <c r="CK152" s="1344">
        <f>CK150/CE150-1</f>
        <v>0.1831896551724137</v>
      </c>
      <c r="CL152" s="1344">
        <f>CL150/CF150-1</f>
        <v>8.7119789710852436E-2</v>
      </c>
      <c r="CM152" s="1346">
        <f>CM150/CG150-1</f>
        <v>0.13648604976839396</v>
      </c>
      <c r="CN152" s="1345"/>
      <c r="CO152" s="1344">
        <f>CO150/CI150-1</f>
        <v>0.28925619834710736</v>
      </c>
      <c r="CP152" s="1344">
        <f>CP150/CJ150-1</f>
        <v>0.30321285140562249</v>
      </c>
      <c r="CQ152" s="1344">
        <f>CQ150/CK150-1</f>
        <v>0.18579234972677594</v>
      </c>
      <c r="CR152" s="1344">
        <f>CR150/CL150-1</f>
        <v>0.21416234887737473</v>
      </c>
      <c r="CS152" s="1346">
        <f>CS150/CM150-1</f>
        <v>0.24502369668246438</v>
      </c>
      <c r="CT152" s="1345"/>
      <c r="CU152" s="1344">
        <f>CU150/CO150-1</f>
        <v>7.5320512820512775E-2</v>
      </c>
      <c r="CV152" s="1344">
        <f>CV150/CP150-1</f>
        <v>-6.6255778120184905E-2</v>
      </c>
      <c r="CW152" s="1344">
        <f>CW150/CQ150-1</f>
        <v>-1.9969278033794113E-2</v>
      </c>
      <c r="CX152" s="1344">
        <f>CX150/CR150-1</f>
        <v>-8.5348506401138335E-3</v>
      </c>
      <c r="CY152" s="1346">
        <f>CY150/CS150-1</f>
        <v>-5.7099352874000475E-3</v>
      </c>
      <c r="CZ152" s="1345"/>
      <c r="DA152" s="1344">
        <f>DA150/CU150-1</f>
        <v>-6.4083457526080467E-2</v>
      </c>
      <c r="DB152" s="1344">
        <f>DB150/CV150-1</f>
        <v>9.5709570957095647E-2</v>
      </c>
      <c r="DC152" s="1344">
        <f>DC150/CW150-1</f>
        <v>0.21786833855799381</v>
      </c>
      <c r="DD152" s="1344">
        <f>DD150/CX150-1</f>
        <v>0.4533715925394548</v>
      </c>
      <c r="DE152" s="1346">
        <f>DE150/CY150-1</f>
        <v>0.17993874425727419</v>
      </c>
      <c r="DF152" s="1345"/>
      <c r="DG152" s="1344">
        <f>DG150/DA150-1</f>
        <v>0.66242038216560517</v>
      </c>
      <c r="DH152" s="1344">
        <f>DH150/DB150-1</f>
        <v>0.60240963855421681</v>
      </c>
      <c r="DI152" s="1344">
        <f>DI150/DC150-1</f>
        <v>0.37580437580437587</v>
      </c>
      <c r="DJ152" s="1344">
        <f>DJ150/DD150-1</f>
        <v>9.5755182625863799E-2</v>
      </c>
      <c r="DK152" s="1346">
        <f>DK150/DE150-1</f>
        <v>0.39097988319273203</v>
      </c>
      <c r="DL152" s="1345"/>
      <c r="DM152" s="1344">
        <f>DM150/DG150-1</f>
        <v>-6.2260536398467403E-2</v>
      </c>
      <c r="DN152" s="1344">
        <f>DN150/DH150-1</f>
        <v>-2.8195488721804551E-2</v>
      </c>
      <c r="DO152" s="1344">
        <f>DO150/DI150-1</f>
        <v>1.8709073900842199E-3</v>
      </c>
      <c r="DP152" s="1344">
        <f>DP150/DJ150-1</f>
        <v>3.063063063063054E-2</v>
      </c>
      <c r="DQ152" s="1346">
        <f>DQ150/DK150-1</f>
        <v>-1.3762537905295025E-2</v>
      </c>
      <c r="DR152" s="1345"/>
      <c r="DS152" s="1344">
        <f>DS150/DM150-1</f>
        <v>0.14198161389172625</v>
      </c>
      <c r="DT152" s="1344">
        <f>DT150/DN150-1</f>
        <v>7.350096711798848E-2</v>
      </c>
      <c r="DU152" s="1344">
        <f>DU150/DO150-1</f>
        <v>2.7077497665732864E-2</v>
      </c>
      <c r="DV152" s="1344">
        <f>DV150/DP150-1</f>
        <v>2.3601398601398538E-2</v>
      </c>
      <c r="DW152" s="1346">
        <f>DW150/DQ150-1</f>
        <v>6.4096499526963058E-2</v>
      </c>
      <c r="DX152" s="1345"/>
      <c r="DY152" s="1344">
        <f>DY150/DS150-1</f>
        <v>1.9677996422182487E-2</v>
      </c>
      <c r="DZ152" s="1344">
        <f>DZ150/DT150-1</f>
        <v>6.8468468468468435E-2</v>
      </c>
      <c r="EA152" s="1344">
        <f>EA150/DU150-1</f>
        <v>8.4545454545454479E-2</v>
      </c>
      <c r="EB152" s="1344">
        <f>EB150/DV150-1</f>
        <v>6.5755764304013642E-2</v>
      </c>
      <c r="EC152" s="1346">
        <f>EC150/DW150-1</f>
        <v>5.9568793065125636E-2</v>
      </c>
      <c r="ED152" s="1345"/>
      <c r="EE152" s="1344">
        <f>EE150/DY150-1</f>
        <v>7.1052631578947478E-2</v>
      </c>
      <c r="EF152" s="1344">
        <f>EF150/DZ150-1</f>
        <v>5.817875210792578E-2</v>
      </c>
      <c r="EG152" s="1344">
        <f>EG150/EA150-1</f>
        <v>3.2690695725062779E-2</v>
      </c>
      <c r="EH152" s="1344">
        <f>EH150/EB150-1</f>
        <v>3.6057692307692291E-2</v>
      </c>
      <c r="EI152" s="1346">
        <f>EI150/EC150-1</f>
        <v>4.9087476400251795E-2</v>
      </c>
      <c r="EJ152" s="1345"/>
      <c r="EK152" s="1344">
        <f>EK150/EE150-1</f>
        <v>1.7199017199017286E-2</v>
      </c>
      <c r="EL152" s="1344">
        <f>EL150/EF150-1</f>
        <v>3.0278884462151323E-2</v>
      </c>
      <c r="EM152" s="1344">
        <f>EM150/EG150-1</f>
        <v>2.6785714285714191E-2</v>
      </c>
      <c r="EN152" s="1344">
        <f>EN150/EH150-1</f>
        <v>6.4965197215777204E-2</v>
      </c>
      <c r="EO152" s="1346">
        <f>EO150/EI150-1</f>
        <v>3.5192961407718437E-2</v>
      </c>
      <c r="EP152" s="1345"/>
      <c r="EQ152" s="1344">
        <f>EQ150/EK150-1</f>
        <v>6.6827697262479946E-2</v>
      </c>
      <c r="ER152" s="1344">
        <f>ER150/EL150-1</f>
        <v>2.2428460943542117E-2</v>
      </c>
      <c r="ES152" s="1344">
        <f>ES150/EM150-1</f>
        <v>5.1383399209486091E-2</v>
      </c>
      <c r="ET152" s="1344">
        <f>ET150/EN150-1</f>
        <v>2.5417574437182289E-2</v>
      </c>
      <c r="EU152" s="1346">
        <f>EU150/EO150-1</f>
        <v>4.0950357349816446E-2</v>
      </c>
      <c r="EV152" s="1345"/>
      <c r="EW152" s="1344">
        <f>EW150/EQ150-1</f>
        <v>1.132075471698113E-2</v>
      </c>
      <c r="EX152" s="1344">
        <f>EX150/ER150-1</f>
        <v>-6.35400907715582E-2</v>
      </c>
      <c r="EY152" s="1344">
        <f>EY150/ES150-1</f>
        <v>-3.9849624060150357E-2</v>
      </c>
      <c r="EZ152" s="1344">
        <f>EZ150/ET150-1</f>
        <v>-4.9036317328805867E-2</v>
      </c>
      <c r="FA152" s="1346">
        <f>FA150/EU150-1</f>
        <v>-3.5486969765870069E-2</v>
      </c>
      <c r="FB152" s="1345"/>
      <c r="FC152" s="1344">
        <f>FC150/EW150-1</f>
        <v>2.2640398196524192E-2</v>
      </c>
      <c r="FD152" s="1344">
        <f>FD150/EX150-1</f>
        <v>7.2366433977708366E-2</v>
      </c>
      <c r="FE152" s="1344">
        <f>FE150/EY150-1</f>
        <v>4.000434666350805E-2</v>
      </c>
      <c r="FF152" s="1344">
        <f>FF150/EZ150-1</f>
        <v>3.6092429990864261E-2</v>
      </c>
      <c r="FG152" s="1346">
        <f>FG150/FA150-1</f>
        <v>4.2225265579086901E-2</v>
      </c>
      <c r="FH152" s="1345"/>
      <c r="FI152" s="1344">
        <f>FI150/FC150-1</f>
        <v>4.8114603779095377E-2</v>
      </c>
      <c r="FJ152" s="1344">
        <f>FJ150/FD150-1</f>
        <v>4.3953896281846871E-2</v>
      </c>
      <c r="FK152" s="1344">
        <f>FK150/FE150-1</f>
        <v>4.2361371847256413E-2</v>
      </c>
      <c r="FL152" s="1344">
        <f>FL150/FF150-1</f>
        <v>4.0719061028678949E-2</v>
      </c>
      <c r="FM152" s="1346">
        <f>FM150/FG150-1</f>
        <v>4.3785209994871233E-2</v>
      </c>
      <c r="FN152" s="1347"/>
      <c r="FO152" s="1348"/>
      <c r="FP152" s="1349">
        <f t="shared" ref="FP152:GB152" si="118">FP150/FO150-1</f>
        <v>0.213484281815425</v>
      </c>
      <c r="FQ152" s="1349">
        <f t="shared" si="118"/>
        <v>9.5793419408579661E-2</v>
      </c>
      <c r="FR152" s="1349">
        <f t="shared" si="118"/>
        <v>-1.5203344735842395E-3</v>
      </c>
      <c r="FS152" s="1348">
        <f t="shared" si="118"/>
        <v>0.48382185001903322</v>
      </c>
      <c r="FT152" s="1349">
        <f t="shared" si="118"/>
        <v>7.5423293996921492E-2</v>
      </c>
      <c r="FU152" s="1349">
        <f t="shared" si="118"/>
        <v>5.9875954198473247E-2</v>
      </c>
      <c r="FV152" s="1349">
        <f t="shared" si="118"/>
        <v>3.4661264911096001E-2</v>
      </c>
      <c r="FW152" s="1349">
        <f t="shared" si="118"/>
        <v>6.9610615618881821E-2</v>
      </c>
      <c r="FX152" s="1349">
        <f t="shared" si="118"/>
        <v>2.9082774049216997E-2</v>
      </c>
      <c r="FY152" s="1349">
        <f t="shared" si="118"/>
        <v>4.5256916996047503E-2</v>
      </c>
      <c r="FZ152" s="1349">
        <f t="shared" si="118"/>
        <v>5.861221402911676E-3</v>
      </c>
      <c r="GA152" s="1349">
        <f t="shared" si="118"/>
        <v>-4.3449271062556694E-4</v>
      </c>
      <c r="GB152" s="1349">
        <f t="shared" si="118"/>
        <v>4.2092548657719497E-2</v>
      </c>
      <c r="GC152" s="1349"/>
      <c r="GD152" s="1349"/>
      <c r="GE152" s="1349"/>
      <c r="GF152" s="1349"/>
      <c r="GI152"/>
      <c r="GJ152"/>
      <c r="GK152"/>
      <c r="GL152"/>
      <c r="GM152"/>
      <c r="GN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</row>
    <row r="153" spans="1:281" s="33" customFormat="1" ht="10.5" customHeight="1" collapsed="1" x14ac:dyDescent="0.2">
      <c r="A153" s="273" t="s">
        <v>115</v>
      </c>
      <c r="B153" s="954" t="s">
        <v>116</v>
      </c>
      <c r="C153" s="244">
        <f>0.131*C91</f>
        <v>1.665665</v>
      </c>
      <c r="D153" s="244">
        <f>0.086*D91</f>
        <v>1.9909859999999995</v>
      </c>
      <c r="E153" s="244">
        <f>0.077*E91</f>
        <v>4.261565</v>
      </c>
      <c r="F153" s="244">
        <v>8.6029999999999998</v>
      </c>
      <c r="G153" s="244">
        <v>17.120999999999999</v>
      </c>
      <c r="H153" s="244">
        <v>34.344000000000001</v>
      </c>
      <c r="I153" s="244">
        <v>67.257999999999996</v>
      </c>
      <c r="J153" s="244">
        <v>100.503</v>
      </c>
      <c r="K153" s="244">
        <v>106.19900000000001</v>
      </c>
      <c r="L153" s="244">
        <v>122.779</v>
      </c>
      <c r="M153" s="244">
        <v>135.09899999999999</v>
      </c>
      <c r="N153" s="244"/>
      <c r="O153" s="244">
        <v>39.329000000000001</v>
      </c>
      <c r="P153" s="244">
        <v>43.476999999999997</v>
      </c>
      <c r="Q153" s="244">
        <v>42.033999999999999</v>
      </c>
      <c r="R153" s="244">
        <v>49.363</v>
      </c>
      <c r="S153" s="244">
        <f>SUM(O153:R153)</f>
        <v>174.203</v>
      </c>
      <c r="T153" s="244"/>
      <c r="U153" s="244">
        <v>51.707999999999998</v>
      </c>
      <c r="V153" s="244">
        <v>57.228000000000002</v>
      </c>
      <c r="W153" s="244">
        <v>55.366999999999997</v>
      </c>
      <c r="X153" s="244">
        <v>68.837999999999994</v>
      </c>
      <c r="Y153" s="244">
        <f>SUM(U153:X153)</f>
        <v>233.14099999999999</v>
      </c>
      <c r="Z153" s="244"/>
      <c r="AA153" s="244">
        <v>70.278999999999996</v>
      </c>
      <c r="AB153" s="244">
        <v>69.713999999999999</v>
      </c>
      <c r="AC153" s="244">
        <v>75.355999999999995</v>
      </c>
      <c r="AD153" s="244">
        <v>92.866</v>
      </c>
      <c r="AE153" s="244">
        <f>SUM(AA153:AD153)</f>
        <v>308.21499999999997</v>
      </c>
      <c r="AF153" s="244"/>
      <c r="AG153" s="244">
        <v>75.513999999999996</v>
      </c>
      <c r="AH153" s="244">
        <v>81.382999999999996</v>
      </c>
      <c r="AI153" s="244">
        <v>92.361000000000004</v>
      </c>
      <c r="AJ153" s="244">
        <v>119.298</v>
      </c>
      <c r="AK153" s="244">
        <f>SUM(AG153:AJ153)</f>
        <v>368.55599999999998</v>
      </c>
      <c r="AL153" s="244"/>
      <c r="AM153" s="244">
        <v>94.284999999999997</v>
      </c>
      <c r="AN153" s="244">
        <v>101.598</v>
      </c>
      <c r="AO153" s="244">
        <v>103.663</v>
      </c>
      <c r="AP153" s="244">
        <v>126.892</v>
      </c>
      <c r="AQ153" s="244">
        <f>SUM(AM153:AP153)</f>
        <v>426.43799999999999</v>
      </c>
      <c r="AR153" s="244"/>
      <c r="AS153" s="244">
        <v>107.53700000000001</v>
      </c>
      <c r="AT153" s="244">
        <v>113.05500000000001</v>
      </c>
      <c r="AU153" s="244">
        <v>122.188</v>
      </c>
      <c r="AV153" s="244">
        <v>137.87799999999999</v>
      </c>
      <c r="AW153" s="244">
        <f>SUM(AS153:AV153)</f>
        <v>480.65800000000002</v>
      </c>
      <c r="AX153" s="244"/>
      <c r="AY153" s="244">
        <v>105.965</v>
      </c>
      <c r="AZ153" s="244">
        <v>111.402</v>
      </c>
      <c r="BA153" s="244">
        <v>120.57</v>
      </c>
      <c r="BB153" s="244">
        <v>118.691</v>
      </c>
      <c r="BC153" s="244">
        <f>SUM(AY153:BB153)</f>
        <v>456.62800000000004</v>
      </c>
      <c r="BD153" s="244"/>
      <c r="BE153" s="244">
        <v>97.614000000000004</v>
      </c>
      <c r="BF153" s="244">
        <v>98.917000000000002</v>
      </c>
      <c r="BG153" s="244">
        <v>105.09</v>
      </c>
      <c r="BH153" s="244">
        <v>109.592</v>
      </c>
      <c r="BI153" s="244">
        <f>SUM(BE153:BH153)</f>
        <v>411.21299999999997</v>
      </c>
      <c r="BJ153" s="244"/>
      <c r="BK153" s="244">
        <v>102</v>
      </c>
      <c r="BL153" s="244">
        <v>109</v>
      </c>
      <c r="BM153" s="244">
        <v>115</v>
      </c>
      <c r="BN153" s="244">
        <v>115</v>
      </c>
      <c r="BO153" s="244">
        <f>SUM(BK153:BN153)</f>
        <v>441</v>
      </c>
      <c r="BP153" s="244"/>
      <c r="BQ153" s="243">
        <v>131</v>
      </c>
      <c r="BR153" s="243">
        <v>137</v>
      </c>
      <c r="BS153" s="243">
        <v>145</v>
      </c>
      <c r="BT153" s="243">
        <v>148</v>
      </c>
      <c r="BU153" s="244">
        <f>SUM(BQ153:BT153)</f>
        <v>561</v>
      </c>
      <c r="BV153" s="244"/>
      <c r="BW153" s="243">
        <f>153-28.5</f>
        <v>124.5</v>
      </c>
      <c r="BX153" s="243">
        <f>153-23.3</f>
        <v>129.69999999999999</v>
      </c>
      <c r="BY153" s="243">
        <v>146</v>
      </c>
      <c r="BZ153" s="243">
        <v>150</v>
      </c>
      <c r="CA153" s="244">
        <f>SUM(BW153:BZ153)</f>
        <v>550.20000000000005</v>
      </c>
      <c r="CB153" s="244"/>
      <c r="CC153" s="243">
        <v>156</v>
      </c>
      <c r="CD153" s="243">
        <v>109</v>
      </c>
      <c r="CE153" s="243">
        <v>146</v>
      </c>
      <c r="CF153" s="243">
        <f>144.55</f>
        <v>144.55000000000001</v>
      </c>
      <c r="CG153" s="171">
        <f>SUM(CC153:CF153)</f>
        <v>555.54999999999995</v>
      </c>
      <c r="CH153" s="244"/>
      <c r="CI153" s="243">
        <f>157-12</f>
        <v>145</v>
      </c>
      <c r="CJ153" s="243">
        <f>170-12</f>
        <v>158</v>
      </c>
      <c r="CK153" s="243">
        <f>175-12</f>
        <v>163</v>
      </c>
      <c r="CL153" s="243">
        <f>190-14</f>
        <v>176</v>
      </c>
      <c r="CM153" s="171">
        <f>SUM(CI153:CL153)</f>
        <v>642</v>
      </c>
      <c r="CN153" s="244"/>
      <c r="CO153" s="243">
        <f>195-20</f>
        <v>175</v>
      </c>
      <c r="CP153" s="243">
        <f>206-19</f>
        <v>187</v>
      </c>
      <c r="CQ153" s="243">
        <f>206-16</f>
        <v>190</v>
      </c>
      <c r="CR153" s="243">
        <f>201-15</f>
        <v>186</v>
      </c>
      <c r="CS153" s="171">
        <f>SUM(CO153:CR153)</f>
        <v>738</v>
      </c>
      <c r="CT153" s="244"/>
      <c r="CU153" s="243">
        <f>206-24</f>
        <v>182</v>
      </c>
      <c r="CV153" s="243">
        <f>174-22</f>
        <v>152</v>
      </c>
      <c r="CW153" s="243">
        <f>192-24</f>
        <v>168</v>
      </c>
      <c r="CX153" s="243">
        <f>214-25</f>
        <v>189</v>
      </c>
      <c r="CY153" s="171">
        <f>SUM(CU153:CX153)</f>
        <v>691</v>
      </c>
      <c r="CZ153" s="244"/>
      <c r="DA153" s="243">
        <f>201-29</f>
        <v>172</v>
      </c>
      <c r="DB153" s="243">
        <f>183-33</f>
        <v>150</v>
      </c>
      <c r="DC153" s="243">
        <f>236-34</f>
        <v>202</v>
      </c>
      <c r="DD153" s="243">
        <f>293-36</f>
        <v>257</v>
      </c>
      <c r="DE153" s="171">
        <f>SUM(DA153:DD153)</f>
        <v>781</v>
      </c>
      <c r="DF153" s="244"/>
      <c r="DG153" s="243">
        <f>272-36</f>
        <v>236</v>
      </c>
      <c r="DH153" s="243">
        <f>156-36</f>
        <v>120</v>
      </c>
      <c r="DI153" s="243">
        <f>286-37</f>
        <v>249</v>
      </c>
      <c r="DJ153" s="243">
        <f>255-35</f>
        <v>220</v>
      </c>
      <c r="DK153" s="171">
        <f>SUM(DG153:DJ153)</f>
        <v>825</v>
      </c>
      <c r="DL153" s="244"/>
      <c r="DM153" s="243">
        <f>311-40</f>
        <v>271</v>
      </c>
      <c r="DN153" s="243">
        <f>277-40</f>
        <v>237</v>
      </c>
      <c r="DO153" s="243">
        <f>261-41</f>
        <v>220</v>
      </c>
      <c r="DP153" s="243">
        <f>278-42</f>
        <v>236</v>
      </c>
      <c r="DQ153" s="171">
        <f>SUM(DM153:DP153)</f>
        <v>964</v>
      </c>
      <c r="DR153" s="244"/>
      <c r="DS153" s="243">
        <f>275-41</f>
        <v>234</v>
      </c>
      <c r="DT153" s="243">
        <f>263-41</f>
        <v>222</v>
      </c>
      <c r="DU153" s="243">
        <f>260-40</f>
        <v>220</v>
      </c>
      <c r="DV153" s="243">
        <f>274-43</f>
        <v>231</v>
      </c>
      <c r="DW153" s="171">
        <f>SUM(DS153:DV153)</f>
        <v>907</v>
      </c>
      <c r="DX153" s="244"/>
      <c r="DY153" s="243">
        <f>260-42</f>
        <v>218</v>
      </c>
      <c r="DZ153" s="243">
        <f>262-42</f>
        <v>220</v>
      </c>
      <c r="EA153" s="243">
        <f>251-42</f>
        <v>209</v>
      </c>
      <c r="EB153" s="243">
        <f>265-45</f>
        <v>220</v>
      </c>
      <c r="EC153" s="171">
        <f>SUM(DY153:EB153)</f>
        <v>867</v>
      </c>
      <c r="ED153" s="244"/>
      <c r="EE153" s="243">
        <f>276-45</f>
        <v>231</v>
      </c>
      <c r="EF153" s="243">
        <f>272-43</f>
        <v>229</v>
      </c>
      <c r="EG153" s="243">
        <f>252-29</f>
        <v>223</v>
      </c>
      <c r="EH153" s="243">
        <f>278-31</f>
        <v>247</v>
      </c>
      <c r="EI153" s="171">
        <f>SUM(EE153:EH153)</f>
        <v>930</v>
      </c>
      <c r="EJ153" s="244"/>
      <c r="EK153" s="243">
        <f>257-29</f>
        <v>228</v>
      </c>
      <c r="EL153" s="243">
        <f>285-27</f>
        <v>258</v>
      </c>
      <c r="EM153" s="243">
        <f>290-29</f>
        <v>261</v>
      </c>
      <c r="EN153" s="243">
        <f>323-34</f>
        <v>289</v>
      </c>
      <c r="EO153" s="171">
        <f>SUM(EK153:EN153)</f>
        <v>1036</v>
      </c>
      <c r="EP153" s="244"/>
      <c r="EQ153" s="243">
        <f>315-38</f>
        <v>277</v>
      </c>
      <c r="ER153" s="243">
        <f>303-35</f>
        <v>268</v>
      </c>
      <c r="ES153" s="243">
        <f>241-32</f>
        <v>209</v>
      </c>
      <c r="ET153" s="243">
        <f>317-26</f>
        <v>291</v>
      </c>
      <c r="EU153" s="171">
        <f>SUM(EQ153:ET153)</f>
        <v>1045</v>
      </c>
      <c r="EV153" s="244"/>
      <c r="EW153" s="243">
        <f>320-44</f>
        <v>276</v>
      </c>
      <c r="EX153" s="243">
        <f>321-46</f>
        <v>275</v>
      </c>
      <c r="EY153" s="243">
        <f>340-45</f>
        <v>295</v>
      </c>
      <c r="EZ153" s="243">
        <f>EZ$91*EZ154</f>
        <v>296.5263256515895</v>
      </c>
      <c r="FA153" s="171">
        <f>SUM(EW153:EZ153)</f>
        <v>1142.5263256515896</v>
      </c>
      <c r="FB153" s="244"/>
      <c r="FC153" s="243">
        <f>FC$91*FC154</f>
        <v>281.70714244396237</v>
      </c>
      <c r="FD153" s="243">
        <f>FD$91*FD154</f>
        <v>279.49255689776908</v>
      </c>
      <c r="FE153" s="243">
        <f>FE$91*FE154</f>
        <v>282.57139376368082</v>
      </c>
      <c r="FF153" s="243">
        <f>FF$91*FF154</f>
        <v>296.49040694646681</v>
      </c>
      <c r="FG153" s="171">
        <f>SUM(FC153:FF153)</f>
        <v>1140.261500051879</v>
      </c>
      <c r="FH153" s="244"/>
      <c r="FI153" s="243">
        <f>FI$91*FI154</f>
        <v>288.24824143805267</v>
      </c>
      <c r="FJ153" s="243">
        <f>FJ$91*FJ154</f>
        <v>284.42847408972563</v>
      </c>
      <c r="FK153" s="243">
        <f>FK$91*FK154</f>
        <v>287.10022326578417</v>
      </c>
      <c r="FL153" s="243">
        <f>FL$91*FL154</f>
        <v>297.74819198302794</v>
      </c>
      <c r="FM153" s="171">
        <f>SUM(FI153:FL153)</f>
        <v>1157.5251307765902</v>
      </c>
      <c r="FN153" s="226"/>
      <c r="FO153" s="245">
        <f>CE153+CF153+CI153+CJ153</f>
        <v>593.54999999999995</v>
      </c>
      <c r="FP153" s="243">
        <f>CK153+CL153+CO153+CP153</f>
        <v>701</v>
      </c>
      <c r="FQ153" s="243">
        <f>CV153+CU153+CR153+CQ153</f>
        <v>710</v>
      </c>
      <c r="FR153" s="243">
        <f>CW153+CX153+DA153+DB153</f>
        <v>679</v>
      </c>
      <c r="FS153" s="245">
        <f>DC153+DD153+DG153+DH153</f>
        <v>815</v>
      </c>
      <c r="FT153" s="243">
        <f>DI153+DJ153+DM153+DN153</f>
        <v>977</v>
      </c>
      <c r="FU153" s="243">
        <f>DO153+DP153+DS153+DT153</f>
        <v>912</v>
      </c>
      <c r="FV153" s="243">
        <f>DY153+DV153+DZ153+DU153</f>
        <v>889</v>
      </c>
      <c r="FW153" s="243">
        <f>EA153+EB153+EE153+EF153</f>
        <v>889</v>
      </c>
      <c r="FX153" s="243">
        <f>EG153+EH153+EK153+EL153</f>
        <v>956</v>
      </c>
      <c r="FY153" s="243">
        <f>EM153+EN153+EQ153+ER153</f>
        <v>1095</v>
      </c>
      <c r="FZ153" s="243">
        <f>ES153+ET153+EW153+EX153</f>
        <v>1051</v>
      </c>
      <c r="GA153" s="243">
        <f>EY153+EZ153+FC153+FD153</f>
        <v>1152.7260249933211</v>
      </c>
      <c r="GB153" s="243">
        <f>FE153+FF153+FI153+FJ153</f>
        <v>1151.738516237926</v>
      </c>
      <c r="GC153" s="243"/>
      <c r="GD153" s="243"/>
      <c r="GE153" s="243"/>
      <c r="GF153" s="243"/>
      <c r="GI153"/>
      <c r="GJ153"/>
      <c r="GK153"/>
      <c r="GL153"/>
      <c r="GM153"/>
      <c r="GN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</row>
    <row r="154" spans="1:281" s="33" customFormat="1" ht="10.5" hidden="1" customHeight="1" outlineLevel="1" x14ac:dyDescent="0.2">
      <c r="A154" s="1334" t="s">
        <v>414</v>
      </c>
      <c r="B154" s="1335"/>
      <c r="C154" s="1336">
        <f t="shared" ref="C154:M154" si="119">ROUND(C153/C$91,4)</f>
        <v>0.13100000000000001</v>
      </c>
      <c r="D154" s="1336">
        <f t="shared" si="119"/>
        <v>8.5999999999999993E-2</v>
      </c>
      <c r="E154" s="1336">
        <f t="shared" si="119"/>
        <v>7.6999999999999999E-2</v>
      </c>
      <c r="F154" s="1336">
        <f t="shared" si="119"/>
        <v>6.5500000000000003E-2</v>
      </c>
      <c r="G154" s="1336">
        <f t="shared" si="119"/>
        <v>6.0699999999999997E-2</v>
      </c>
      <c r="H154" s="1336">
        <f t="shared" si="119"/>
        <v>5.8799999999999998E-2</v>
      </c>
      <c r="I154" s="1336">
        <f t="shared" si="119"/>
        <v>7.3400000000000007E-2</v>
      </c>
      <c r="J154" s="1336">
        <f t="shared" si="119"/>
        <v>9.7799999999999998E-2</v>
      </c>
      <c r="K154" s="1336">
        <f t="shared" si="119"/>
        <v>9.01E-2</v>
      </c>
      <c r="L154" s="1336">
        <f t="shared" si="119"/>
        <v>8.1699999999999995E-2</v>
      </c>
      <c r="M154" s="1336">
        <f t="shared" si="119"/>
        <v>6.7500000000000004E-2</v>
      </c>
      <c r="N154" s="1298"/>
      <c r="O154" s="1336">
        <f>ROUND(O153/O$91,4)</f>
        <v>7.0699999999999999E-2</v>
      </c>
      <c r="P154" s="1336">
        <f>ROUND(P153/P$91,4)</f>
        <v>6.4899999999999999E-2</v>
      </c>
      <c r="Q154" s="1336">
        <f>ROUND(Q153/Q$91,4)</f>
        <v>5.8200000000000002E-2</v>
      </c>
      <c r="R154" s="1336">
        <f>ROUND(R153/R$91,4)</f>
        <v>4.8500000000000001E-2</v>
      </c>
      <c r="S154" s="1336">
        <f>ROUND(S153/S$91,4)</f>
        <v>5.8700000000000002E-2</v>
      </c>
      <c r="T154" s="1298"/>
      <c r="U154" s="1336">
        <f>ROUND(U153/U$91,4)</f>
        <v>6.7000000000000004E-2</v>
      </c>
      <c r="V154" s="1336">
        <f>ROUND(V153/V$91,4)</f>
        <v>5.9200000000000003E-2</v>
      </c>
      <c r="W154" s="1336">
        <f>ROUND(W153/W$91,4)</f>
        <v>5.4300000000000001E-2</v>
      </c>
      <c r="X154" s="1336">
        <f>ROUND(X153/X$91,4)</f>
        <v>4.7E-2</v>
      </c>
      <c r="Y154" s="1336">
        <f>ROUND(Y153/Y$91,4)</f>
        <v>5.5199999999999999E-2</v>
      </c>
      <c r="Z154" s="1298"/>
      <c r="AA154" s="1336">
        <f>ROUND(AA153/AA$91,4)</f>
        <v>6.6799999999999998E-2</v>
      </c>
      <c r="AB154" s="1336">
        <f>ROUND(AB153/AB$91,4)</f>
        <v>5.3199999999999997E-2</v>
      </c>
      <c r="AC154" s="1336">
        <f>ROUND(AC153/AC$91,4)</f>
        <v>5.4899999999999997E-2</v>
      </c>
      <c r="AD154" s="1336">
        <f>ROUND(AD153/AD$91,4)</f>
        <v>4.7699999999999999E-2</v>
      </c>
      <c r="AE154" s="1336">
        <f>ROUND(AE153/AE$91,4)</f>
        <v>5.4199999999999998E-2</v>
      </c>
      <c r="AF154" s="1298"/>
      <c r="AG154" s="1336">
        <f>ROUND(AG153/AG$91,4)</f>
        <v>5.5199999999999999E-2</v>
      </c>
      <c r="AH154" s="1336">
        <f>ROUND(AH153/AH$91,4)</f>
        <v>5.04E-2</v>
      </c>
      <c r="AI154" s="1336">
        <f>ROUND(AI153/AI$91,4)</f>
        <v>5.28E-2</v>
      </c>
      <c r="AJ154" s="1336">
        <f>ROUND(AJ153/AJ$91,4)</f>
        <v>4.9399999999999999E-2</v>
      </c>
      <c r="AK154" s="1336">
        <f>ROUND(AK153/AK$91,4)</f>
        <v>5.16E-2</v>
      </c>
      <c r="AL154" s="1298"/>
      <c r="AM154" s="1336">
        <f>ROUND(AM153/AM$91,4)</f>
        <v>5.3900000000000003E-2</v>
      </c>
      <c r="AN154" s="1336">
        <f>ROUND(AN153/AN$91,4)</f>
        <v>4.9399999999999999E-2</v>
      </c>
      <c r="AO154" s="1336">
        <f>ROUND(AO153/AO$91,4)</f>
        <v>4.99E-2</v>
      </c>
      <c r="AP154" s="1336">
        <f>ROUND(AP153/AP$91,4)</f>
        <v>4.3099999999999999E-2</v>
      </c>
      <c r="AQ154" s="1336">
        <f>ROUND(AQ153/AQ$91,4)</f>
        <v>4.8300000000000003E-2</v>
      </c>
      <c r="AR154" s="1298"/>
      <c r="AS154" s="1336">
        <f>ROUND(AS153/AS$91,4)</f>
        <v>5.4199999999999998E-2</v>
      </c>
      <c r="AT154" s="1336">
        <f>ROUND(AT153/AT$91,4)</f>
        <v>4.87E-2</v>
      </c>
      <c r="AU154" s="1336">
        <f>ROUND(AU153/AU$91,4)</f>
        <v>4.99E-2</v>
      </c>
      <c r="AV154" s="1336">
        <f>ROUND(AV153/AV$91,4)</f>
        <v>4.0899999999999999E-2</v>
      </c>
      <c r="AW154" s="1336">
        <f>ROUND(AW153/AW$91,4)</f>
        <v>4.7399999999999998E-2</v>
      </c>
      <c r="AX154" s="1298"/>
      <c r="AY154" s="1336">
        <f>ROUND(AY153/AY$91,4)</f>
        <v>4.6300000000000001E-2</v>
      </c>
      <c r="AZ154" s="1336">
        <f>ROUND(AZ153/AZ$91,4)</f>
        <v>4.1500000000000002E-2</v>
      </c>
      <c r="BA154" s="1336">
        <f>ROUND(BA153/BA$91,4)</f>
        <v>4.4699999999999997E-2</v>
      </c>
      <c r="BB154" s="1336">
        <f>ROUND(BB153/BB$91,4)</f>
        <v>3.61E-2</v>
      </c>
      <c r="BC154" s="1336">
        <f>ROUND(BC153/BC$91,4)</f>
        <v>4.1700000000000001E-2</v>
      </c>
      <c r="BD154" s="1298"/>
      <c r="BE154" s="1336">
        <f>ROUND(BE153/BE$91,4)</f>
        <v>4.3099999999999999E-2</v>
      </c>
      <c r="BF154" s="1336">
        <f>ROUND(BF153/BF$91,4)</f>
        <v>4.1599999999999998E-2</v>
      </c>
      <c r="BG154" s="1336">
        <f>ROUND(BG153/BG$91,4)</f>
        <v>4.6600000000000003E-2</v>
      </c>
      <c r="BH154" s="1336">
        <f>ROUND(BH153/BH$91,4)</f>
        <v>3.95E-2</v>
      </c>
      <c r="BI154" s="1336">
        <f>ROUND(BI153/BI$91,4)</f>
        <v>4.2500000000000003E-2</v>
      </c>
      <c r="BJ154" s="1298"/>
      <c r="BK154" s="1336">
        <f>ROUND(BK153/BK$91,4)</f>
        <v>5.0299999999999997E-2</v>
      </c>
      <c r="BL154" s="1336">
        <f>ROUND(BL153/BL$91,4)</f>
        <v>4.7199999999999999E-2</v>
      </c>
      <c r="BM154" s="1336">
        <f>ROUND(BM153/BM$91,4)</f>
        <v>4.9799999999999997E-2</v>
      </c>
      <c r="BN154" s="1336">
        <f>ROUND(BN153/BN$91,4)</f>
        <v>4.0599999999999997E-2</v>
      </c>
      <c r="BO154" s="1336">
        <f>ROUND(BO153/BO$91,4)</f>
        <v>4.65E-2</v>
      </c>
      <c r="BP154" s="1298"/>
      <c r="BQ154" s="1336">
        <f>ROUND(BQ153/BQ$91,4)</f>
        <v>6.3200000000000006E-2</v>
      </c>
      <c r="BR154" s="1336">
        <f>ROUND(BR153/BR$91,4)</f>
        <v>5.4800000000000001E-2</v>
      </c>
      <c r="BS154" s="1336">
        <f>ROUND(BS153/BS$91,4)</f>
        <v>5.7799999999999997E-2</v>
      </c>
      <c r="BT154" s="1336">
        <f>ROUND(BT153/BT$91,4)</f>
        <v>4.8099999999999997E-2</v>
      </c>
      <c r="BU154" s="1336">
        <f>ROUND(BU153/BU$91,4)</f>
        <v>5.5199999999999999E-2</v>
      </c>
      <c r="BV154" s="1298"/>
      <c r="BW154" s="1337">
        <f>ROUND(BW153/BW$91,4)</f>
        <v>5.62E-2</v>
      </c>
      <c r="BX154" s="1337">
        <f>ROUND(BX153/BX$91,4)</f>
        <v>4.7100000000000003E-2</v>
      </c>
      <c r="BY154" s="1337">
        <f>ROUND(BY153/BY$91,4)</f>
        <v>4.7199999999999999E-2</v>
      </c>
      <c r="BZ154" s="1337">
        <f>ROUND(BZ153/BZ$91,4)</f>
        <v>3.6999999999999998E-2</v>
      </c>
      <c r="CA154" s="1337">
        <f>ROUND(CA153/CA$91,4)</f>
        <v>4.5400000000000003E-2</v>
      </c>
      <c r="CB154" s="1337"/>
      <c r="CC154" s="1337">
        <f>ROUND(CC153/CC$91,4)</f>
        <v>5.3699999999999998E-2</v>
      </c>
      <c r="CD154" s="1337">
        <f>ROUND(CD153/CD$91,4)</f>
        <v>3.2099999999999997E-2</v>
      </c>
      <c r="CE154" s="1337">
        <f>ROUND(CE153/CE$91,4)</f>
        <v>4.1300000000000003E-2</v>
      </c>
      <c r="CF154" s="1337">
        <f>ROUND(CF153/CF$91,4)</f>
        <v>2.93E-2</v>
      </c>
      <c r="CG154" s="1338">
        <f>ROUND(CG153/CG$91,4)</f>
        <v>3.7600000000000001E-2</v>
      </c>
      <c r="CH154" s="1298"/>
      <c r="CI154" s="1337">
        <f>ROUND(CI153/CI$91,4)</f>
        <v>3.9600000000000003E-2</v>
      </c>
      <c r="CJ154" s="1337">
        <f>ROUND(CJ153/CJ$91,4)</f>
        <v>3.7499999999999999E-2</v>
      </c>
      <c r="CK154" s="1337">
        <f>ROUND(CK153/CK$91,4)</f>
        <v>3.6600000000000001E-2</v>
      </c>
      <c r="CL154" s="1337">
        <f>ROUND(CL153/CL$91,4)</f>
        <v>2.9899999999999999E-2</v>
      </c>
      <c r="CM154" s="1338">
        <f>ROUND(CM153/CM$91,4)</f>
        <v>3.5299999999999998E-2</v>
      </c>
      <c r="CN154" s="1337"/>
      <c r="CO154" s="1337">
        <f>ROUND(CO153/CO$91,4)</f>
        <v>3.8100000000000002E-2</v>
      </c>
      <c r="CP154" s="1337">
        <f>ROUND(CP153/CP$91,4)</f>
        <v>3.49E-2</v>
      </c>
      <c r="CQ154" s="1337">
        <f>ROUND(CQ153/CQ$91,4)</f>
        <v>3.5400000000000001E-2</v>
      </c>
      <c r="CR154" s="1337">
        <f>ROUND(CR153/CR$91,4)</f>
        <v>2.5499999999999998E-2</v>
      </c>
      <c r="CS154" s="1338">
        <f>ROUND(CS153/CS$91,4)</f>
        <v>3.2599999999999997E-2</v>
      </c>
      <c r="CT154" s="1337"/>
      <c r="CU154" s="1337">
        <f>ROUND(CU153/CU$91,4)</f>
        <v>3.3599999999999998E-2</v>
      </c>
      <c r="CV154" s="1337">
        <f>ROUND(CV153/CV$91,4)</f>
        <v>2.6700000000000002E-2</v>
      </c>
      <c r="CW154" s="1337">
        <f>ROUND(CW153/CW$91,4)</f>
        <v>3.0499999999999999E-2</v>
      </c>
      <c r="CX154" s="1337">
        <f>ROUND(CX153/CX$91,4)</f>
        <v>2.75E-2</v>
      </c>
      <c r="CY154" s="1338">
        <f>ROUND(CY153/CY$91,4)</f>
        <v>2.9399999999999999E-2</v>
      </c>
      <c r="CZ154" s="1337"/>
      <c r="DA154" s="1337">
        <f>ROUND(DA153/DA$91,4)</f>
        <v>3.4000000000000002E-2</v>
      </c>
      <c r="DB154" s="1337">
        <f>ROUND(DB153/DB$91,4)</f>
        <v>2.5499999999999998E-2</v>
      </c>
      <c r="DC154" s="1337">
        <f>ROUND(DC153/DC$91,4)</f>
        <v>3.1199999999999999E-2</v>
      </c>
      <c r="DD154" s="1337">
        <f>ROUND(DD153/DD$91,4)</f>
        <v>2.6700000000000002E-2</v>
      </c>
      <c r="DE154" s="1338">
        <f>ROUND(DE153/DE$91,4)</f>
        <v>2.8899999999999999E-2</v>
      </c>
      <c r="DF154" s="1337"/>
      <c r="DG154" s="1337">
        <f>ROUND(DG153/DG$91,4)</f>
        <v>3.1099999999999999E-2</v>
      </c>
      <c r="DH154" s="1337">
        <f>ROUND(DH153/DH$91,4)</f>
        <v>1.38E-2</v>
      </c>
      <c r="DI154" s="1337">
        <f>ROUND(DI153/DI$91,4)</f>
        <v>2.8299999999999999E-2</v>
      </c>
      <c r="DJ154" s="1337">
        <f>ROUND(DJ153/DJ$91,4)</f>
        <v>2.0400000000000001E-2</v>
      </c>
      <c r="DK154" s="1338">
        <f>ROUND(DK153/DK$91,4)</f>
        <v>2.3E-2</v>
      </c>
      <c r="DL154" s="1337"/>
      <c r="DM154" s="1337">
        <f>ROUND(DM153/DM$91,4)</f>
        <v>3.2300000000000002E-2</v>
      </c>
      <c r="DN154" s="1337">
        <f>ROUND(DN153/DN$91,4)</f>
        <v>2.69E-2</v>
      </c>
      <c r="DO154" s="1337">
        <f>ROUND(DO153/DO$91,4)</f>
        <v>2.4299999999999999E-2</v>
      </c>
      <c r="DP154" s="1337">
        <f>ROUND(DP153/DP$91,4)</f>
        <v>2.1600000000000001E-2</v>
      </c>
      <c r="DQ154" s="1338">
        <f>ROUND(DQ153/DQ$91,4)</f>
        <v>2.5899999999999999E-2</v>
      </c>
      <c r="DR154" s="1337"/>
      <c r="DS154" s="1337">
        <f>ROUND(DS153/DS$91,4)</f>
        <v>2.8500000000000001E-2</v>
      </c>
      <c r="DT154" s="1337">
        <f>ROUND(DT153/DT$91,4)</f>
        <v>2.4400000000000002E-2</v>
      </c>
      <c r="DU154" s="1337">
        <f>ROUND(DU153/DU$91,4)</f>
        <v>2.4500000000000001E-2</v>
      </c>
      <c r="DV154" s="1337">
        <f>ROUND(DV153/DV$91,4)</f>
        <v>2.1100000000000001E-2</v>
      </c>
      <c r="DW154" s="1338">
        <f>ROUND(DW153/DW$91,4)</f>
        <v>2.4299999999999999E-2</v>
      </c>
      <c r="DX154" s="1337"/>
      <c r="DY154" s="1337">
        <f>ROUND(DY153/DY$91,4)</f>
        <v>2.5999999999999999E-2</v>
      </c>
      <c r="DZ154" s="1337">
        <f>ROUND(DZ153/DZ$91,4)</f>
        <v>2.3699999999999999E-2</v>
      </c>
      <c r="EA154" s="1337">
        <f>ROUND(EA153/EA$91,4)</f>
        <v>2.24E-2</v>
      </c>
      <c r="EB154" s="1337">
        <f>ROUND(EB153/EB$91,4)</f>
        <v>1.9400000000000001E-2</v>
      </c>
      <c r="EC154" s="1338">
        <f>ROUND(EC153/EC$91,4)</f>
        <v>2.2599999999999999E-2</v>
      </c>
      <c r="ED154" s="1337"/>
      <c r="EE154" s="1337">
        <f>ROUND(EE153/EE$91,4)</f>
        <v>2.69E-2</v>
      </c>
      <c r="EF154" s="1337">
        <f>ROUND(EF153/EF$91,4)</f>
        <v>2.3800000000000002E-2</v>
      </c>
      <c r="EG154" s="1337">
        <f>ROUND(EG153/EG$91,4)</f>
        <v>2.3900000000000001E-2</v>
      </c>
      <c r="EH154" s="1337">
        <f>ROUND(EH153/EH$91,4)</f>
        <v>2.3099999999999999E-2</v>
      </c>
      <c r="EI154" s="1338">
        <f>ROUND(EI153/EI$91,4)</f>
        <v>2.4299999999999999E-2</v>
      </c>
      <c r="EJ154" s="1337"/>
      <c r="EK154" s="1337">
        <f>ROUND(EK153/EK$91,4)</f>
        <v>2.7E-2</v>
      </c>
      <c r="EL154" s="1337">
        <f>ROUND(EL153/EL$91,4)</f>
        <v>2.87E-2</v>
      </c>
      <c r="EM154" s="1337">
        <f>ROUND(EM153/EM$91,4)</f>
        <v>2.9000000000000001E-2</v>
      </c>
      <c r="EN154" s="1337">
        <f>ROUND(EN153/EN$91,4)</f>
        <v>2.7300000000000001E-2</v>
      </c>
      <c r="EO154" s="1338">
        <f>ROUND(EO153/EO$91,4)</f>
        <v>2.8000000000000001E-2</v>
      </c>
      <c r="EP154" s="1337"/>
      <c r="EQ154" s="1337">
        <f>ROUND(EQ153/EQ$91,4)</f>
        <v>3.2199999999999999E-2</v>
      </c>
      <c r="ER154" s="1337">
        <f>ROUND(ER153/ER$91,4)</f>
        <v>2.9499999999999998E-2</v>
      </c>
      <c r="ES154" s="1337">
        <f>ROUND(ES153/ES$91,4)</f>
        <v>2.2499999999999999E-2</v>
      </c>
      <c r="ET154" s="1337">
        <f>ROUND(ET153/ET$91,4)</f>
        <v>2.6599999999999999E-2</v>
      </c>
      <c r="EU154" s="1338">
        <f>ROUND(EU153/EU$91,4)</f>
        <v>2.76E-2</v>
      </c>
      <c r="EV154" s="1337"/>
      <c r="EW154" s="1337">
        <f>ROUND(EW153/EW$91,4)</f>
        <v>0.03</v>
      </c>
      <c r="EX154" s="1337">
        <f>ROUND(EX153/EX$91,4)</f>
        <v>2.86E-2</v>
      </c>
      <c r="EY154" s="1337">
        <f>ROUND(EY153/EY$91,4)</f>
        <v>3.0200000000000001E-2</v>
      </c>
      <c r="EZ154" s="1339">
        <v>2.6499999999999999E-2</v>
      </c>
      <c r="FA154" s="1338">
        <f>ROUND(FA153/FA$91,4)</f>
        <v>2.87E-2</v>
      </c>
      <c r="FB154" s="1337"/>
      <c r="FC154" s="1339">
        <v>2.9499999999999998E-2</v>
      </c>
      <c r="FD154" s="1339">
        <v>2.8000000000000001E-2</v>
      </c>
      <c r="FE154" s="1339">
        <v>2.8000000000000001E-2</v>
      </c>
      <c r="FF154" s="1339">
        <v>2.5999999999999999E-2</v>
      </c>
      <c r="FG154" s="1338">
        <f>ROUND(FG153/FG$91,4)</f>
        <v>2.7799999999999998E-2</v>
      </c>
      <c r="FH154" s="1337"/>
      <c r="FI154" s="1339">
        <f>FC154-0.0005</f>
        <v>2.8999999999999998E-2</v>
      </c>
      <c r="FJ154" s="1339">
        <f t="shared" ref="FJ154:FL154" si="120">FD154-0.0005</f>
        <v>2.75E-2</v>
      </c>
      <c r="FK154" s="1339">
        <f t="shared" si="120"/>
        <v>2.75E-2</v>
      </c>
      <c r="FL154" s="1339">
        <f t="shared" si="120"/>
        <v>2.5499999999999998E-2</v>
      </c>
      <c r="FM154" s="1338">
        <f>ROUND(FM153/FM$91,4)</f>
        <v>2.7300000000000001E-2</v>
      </c>
      <c r="FN154" s="1321"/>
      <c r="FO154" s="1340">
        <f t="shared" ref="FO154:FY154" si="121">ROUND(FO153/FO$91,4)</f>
        <v>3.6299999999999999E-2</v>
      </c>
      <c r="FP154" s="1341">
        <f t="shared" si="121"/>
        <v>3.4599999999999999E-2</v>
      </c>
      <c r="FQ154" s="1341">
        <f t="shared" si="121"/>
        <v>2.9899999999999999E-2</v>
      </c>
      <c r="FR154" s="1341">
        <f t="shared" si="121"/>
        <v>2.9100000000000001E-2</v>
      </c>
      <c r="FS154" s="1340">
        <f t="shared" si="121"/>
        <v>2.52E-2</v>
      </c>
      <c r="FT154" s="1341">
        <f t="shared" si="121"/>
        <v>2.6499999999999999E-2</v>
      </c>
      <c r="FU154" s="1341">
        <f t="shared" si="121"/>
        <v>2.4400000000000002E-2</v>
      </c>
      <c r="FV154" s="1341">
        <f t="shared" si="121"/>
        <v>2.3599999999999999E-2</v>
      </c>
      <c r="FW154" s="1341">
        <f t="shared" si="121"/>
        <v>2.29E-2</v>
      </c>
      <c r="FX154" s="1341">
        <f t="shared" si="121"/>
        <v>2.5499999999999998E-2</v>
      </c>
      <c r="FY154" s="1341">
        <f t="shared" si="121"/>
        <v>2.9399999999999999E-2</v>
      </c>
      <c r="FZ154" s="1341">
        <f>ROUND(FZ153/FZ$91,4)</f>
        <v>2.69E-2</v>
      </c>
      <c r="GA154" s="1341">
        <f>ROUND(GA153/GA$91,4)</f>
        <v>2.8500000000000001E-2</v>
      </c>
      <c r="GB154" s="1341">
        <f>ROUND(GB153/GB$91,4)</f>
        <v>2.76E-2</v>
      </c>
      <c r="GC154" s="1341"/>
      <c r="GD154" s="1341"/>
      <c r="GE154" s="1341"/>
      <c r="GF154" s="1341"/>
      <c r="GI154"/>
      <c r="GJ154"/>
      <c r="GK154"/>
      <c r="GL154"/>
      <c r="GM154"/>
      <c r="GN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</row>
    <row r="155" spans="1:281" s="300" customFormat="1" ht="10.5" hidden="1" customHeight="1" outlineLevel="1" x14ac:dyDescent="0.2">
      <c r="A155" s="1342" t="s">
        <v>117</v>
      </c>
      <c r="B155" s="1343"/>
      <c r="C155" s="1344"/>
      <c r="D155" s="1344">
        <f t="shared" ref="D155:M155" si="122">D153/C153-1</f>
        <v>0.1953099812987602</v>
      </c>
      <c r="E155" s="1344">
        <f t="shared" si="122"/>
        <v>1.1404294153750962</v>
      </c>
      <c r="F155" s="1344">
        <f t="shared" si="122"/>
        <v>1.0187419410474789</v>
      </c>
      <c r="G155" s="1344">
        <f t="shared" si="122"/>
        <v>0.99011972567708928</v>
      </c>
      <c r="H155" s="1344">
        <f t="shared" si="122"/>
        <v>1.005957595934817</v>
      </c>
      <c r="I155" s="1344">
        <f t="shared" si="122"/>
        <v>0.95836245050081503</v>
      </c>
      <c r="J155" s="1344">
        <f t="shared" si="122"/>
        <v>0.49429064200541206</v>
      </c>
      <c r="K155" s="1344">
        <f t="shared" si="122"/>
        <v>5.6674925126613207E-2</v>
      </c>
      <c r="L155" s="1344">
        <f t="shared" si="122"/>
        <v>0.15612199738227273</v>
      </c>
      <c r="M155" s="1344">
        <f t="shared" si="122"/>
        <v>0.10034289251419204</v>
      </c>
      <c r="N155" s="1345"/>
      <c r="O155" s="1344"/>
      <c r="P155" s="1344"/>
      <c r="Q155" s="1344"/>
      <c r="R155" s="1344"/>
      <c r="S155" s="1344">
        <f>S153/M153-1</f>
        <v>0.28944699812729935</v>
      </c>
      <c r="T155" s="1345"/>
      <c r="U155" s="1344">
        <f>U153/O153-1</f>
        <v>0.31475501538305051</v>
      </c>
      <c r="V155" s="1344">
        <f>V153/P153-1</f>
        <v>0.31628217218299337</v>
      </c>
      <c r="W155" s="1344">
        <f>W153/Q153-1</f>
        <v>0.31719560355902354</v>
      </c>
      <c r="X155" s="1344">
        <f>X153/R153-1</f>
        <v>0.39452626461114582</v>
      </c>
      <c r="Y155" s="1344">
        <f>Y153/S153-1</f>
        <v>0.33832942027404811</v>
      </c>
      <c r="Z155" s="1345"/>
      <c r="AA155" s="1344">
        <f>AA153/U153-1</f>
        <v>0.35915138856656603</v>
      </c>
      <c r="AB155" s="1344">
        <f>AB153/V153-1</f>
        <v>0.21817991193122244</v>
      </c>
      <c r="AC155" s="1344">
        <f>AC153/W153-1</f>
        <v>0.36102732674697924</v>
      </c>
      <c r="AD155" s="1344">
        <f>AD153/X153-1</f>
        <v>0.34905139603126201</v>
      </c>
      <c r="AE155" s="1344">
        <f>AE153/Y153-1</f>
        <v>0.32201114347111837</v>
      </c>
      <c r="AF155" s="1345"/>
      <c r="AG155" s="1344">
        <f>AG153/AA153-1</f>
        <v>7.4488823119281733E-2</v>
      </c>
      <c r="AH155" s="1344">
        <f>AH153/AB153-1</f>
        <v>0.16738388272083071</v>
      </c>
      <c r="AI155" s="1344">
        <f>AI153/AC153-1</f>
        <v>0.2256621901374809</v>
      </c>
      <c r="AJ155" s="1344">
        <f>AJ153/AD153-1</f>
        <v>0.28462515883100381</v>
      </c>
      <c r="AK155" s="1344">
        <f>AK153/AE153-1</f>
        <v>0.19577567607027557</v>
      </c>
      <c r="AL155" s="1345"/>
      <c r="AM155" s="1344">
        <f>AM153/AG153-1</f>
        <v>0.2485764229149563</v>
      </c>
      <c r="AN155" s="1344">
        <f>AN153/AH153-1</f>
        <v>0.24839339911283687</v>
      </c>
      <c r="AO155" s="1344">
        <f>AO153/AI153-1</f>
        <v>0.12236766600621474</v>
      </c>
      <c r="AP155" s="1344">
        <f>AP153/AJ153-1</f>
        <v>6.365571929118663E-2</v>
      </c>
      <c r="AQ155" s="1344">
        <f>AQ153/AK153-1</f>
        <v>0.15705076026438314</v>
      </c>
      <c r="AR155" s="1345"/>
      <c r="AS155" s="1344">
        <f>AS153/AM153-1</f>
        <v>0.14055257994378767</v>
      </c>
      <c r="AT155" s="1344">
        <f>AT153/AN153-1</f>
        <v>0.1127679678733835</v>
      </c>
      <c r="AU155" s="1344">
        <f>AU153/AO153-1</f>
        <v>0.17870406991887178</v>
      </c>
      <c r="AV155" s="1344">
        <f>AV153/AP153-1</f>
        <v>8.6577562021246335E-2</v>
      </c>
      <c r="AW155" s="1344">
        <f>AW153/AQ153-1</f>
        <v>0.12714626745271307</v>
      </c>
      <c r="AX155" s="1345"/>
      <c r="AY155" s="1344">
        <f>AY153/AS153-1</f>
        <v>-1.461822442508165E-2</v>
      </c>
      <c r="AZ155" s="1344">
        <f>AZ153/AT153-1</f>
        <v>-1.4621202069789119E-2</v>
      </c>
      <c r="BA155" s="1344">
        <f>BA153/AU153-1</f>
        <v>-1.3241889547255137E-2</v>
      </c>
      <c r="BB155" s="1344">
        <f>BB153/AV153-1</f>
        <v>-0.13915925673421425</v>
      </c>
      <c r="BC155" s="1344">
        <f>BC153/AW153-1</f>
        <v>-4.9993966604113482E-2</v>
      </c>
      <c r="BD155" s="1345"/>
      <c r="BE155" s="1344">
        <f>BE153/AY153-1</f>
        <v>-7.8809040720992818E-2</v>
      </c>
      <c r="BF155" s="1344">
        <f>BF153/AZ153-1</f>
        <v>-0.11207159656020538</v>
      </c>
      <c r="BG155" s="1344">
        <f>BG153/BA153-1</f>
        <v>-0.12839014680268712</v>
      </c>
      <c r="BH155" s="1344">
        <f>BH153/BB153-1</f>
        <v>-7.6661246429805208E-2</v>
      </c>
      <c r="BI155" s="1344">
        <f>BI153/BC153-1</f>
        <v>-9.945732631376103E-2</v>
      </c>
      <c r="BJ155" s="1345"/>
      <c r="BK155" s="1344">
        <f>BK153/BE153-1</f>
        <v>4.4932079414838011E-2</v>
      </c>
      <c r="BL155" s="1344">
        <f>BL153/BF153-1</f>
        <v>0.10193394462023719</v>
      </c>
      <c r="BM155" s="1344">
        <f>BM153/BG153-1</f>
        <v>9.4300123703492167E-2</v>
      </c>
      <c r="BN155" s="1344">
        <f>BN153/BH153-1</f>
        <v>4.934666763997364E-2</v>
      </c>
      <c r="BO155" s="1344">
        <f>BO153/BI153-1</f>
        <v>7.2436912257151542E-2</v>
      </c>
      <c r="BP155" s="1345"/>
      <c r="BQ155" s="1344">
        <f>BQ153/BK153-1</f>
        <v>0.28431372549019618</v>
      </c>
      <c r="BR155" s="1344">
        <f>BR153/BL153-1</f>
        <v>0.25688073394495414</v>
      </c>
      <c r="BS155" s="1344">
        <f>BS153/BM153-1</f>
        <v>0.26086956521739135</v>
      </c>
      <c r="BT155" s="1344">
        <f>BT153/BN153-1</f>
        <v>0.28695652173913033</v>
      </c>
      <c r="BU155" s="1344">
        <f>BU153/BO153-1</f>
        <v>0.27210884353741505</v>
      </c>
      <c r="BV155" s="1345"/>
      <c r="BW155" s="1344">
        <f>BW153/BQ153-1</f>
        <v>-4.961832061068705E-2</v>
      </c>
      <c r="BX155" s="1344">
        <f>BX153/BR153-1</f>
        <v>-5.3284671532846772E-2</v>
      </c>
      <c r="BY155" s="1344">
        <f>BY153/BS153-1</f>
        <v>6.8965517241379448E-3</v>
      </c>
      <c r="BZ155" s="1344">
        <f>BZ153/BT153-1</f>
        <v>1.3513513513513598E-2</v>
      </c>
      <c r="CA155" s="1344">
        <f>CA153/BU153-1</f>
        <v>-1.9251336898395643E-2</v>
      </c>
      <c r="CB155" s="1345"/>
      <c r="CC155" s="1344">
        <f>CC153/BW153-1</f>
        <v>0.25301204819277112</v>
      </c>
      <c r="CD155" s="1344">
        <f>CD153/BX153-1</f>
        <v>-0.15959907478797219</v>
      </c>
      <c r="CE155" s="1344">
        <f>CE153/BY153-1</f>
        <v>0</v>
      </c>
      <c r="CF155" s="1344">
        <f>CF153/BZ153-1</f>
        <v>-3.6333333333333218E-2</v>
      </c>
      <c r="CG155" s="1346">
        <f>CG153/CA153-1</f>
        <v>9.7237368229732279E-3</v>
      </c>
      <c r="CH155" s="1345"/>
      <c r="CI155" s="1344">
        <f>CI153/CC153-1</f>
        <v>-7.0512820512820484E-2</v>
      </c>
      <c r="CJ155" s="1344">
        <f>CJ153/CD153-1</f>
        <v>0.44954128440366969</v>
      </c>
      <c r="CK155" s="1344">
        <f>CK153/CE153-1</f>
        <v>0.11643835616438358</v>
      </c>
      <c r="CL155" s="1344">
        <f>CL153/CF153-1</f>
        <v>0.21757177447250076</v>
      </c>
      <c r="CM155" s="1346">
        <f>CM153/CG153-1</f>
        <v>0.15561155611556132</v>
      </c>
      <c r="CN155" s="1345"/>
      <c r="CO155" s="1344">
        <f>CO153/CI153-1</f>
        <v>0.2068965517241379</v>
      </c>
      <c r="CP155" s="1344">
        <f>CP153/CJ153-1</f>
        <v>0.18354430379746844</v>
      </c>
      <c r="CQ155" s="1344">
        <f>CQ153/CK153-1</f>
        <v>0.16564417177914104</v>
      </c>
      <c r="CR155" s="1344">
        <f>CR153/CL153-1</f>
        <v>5.6818181818181879E-2</v>
      </c>
      <c r="CS155" s="1346">
        <f>CS153/CM153-1</f>
        <v>0.14953271028037385</v>
      </c>
      <c r="CT155" s="1345"/>
      <c r="CU155" s="1344">
        <f>CU153/CO153-1</f>
        <v>4.0000000000000036E-2</v>
      </c>
      <c r="CV155" s="1344">
        <f>CV153/CP153-1</f>
        <v>-0.18716577540106949</v>
      </c>
      <c r="CW155" s="1344">
        <f>CW153/CQ153-1</f>
        <v>-0.11578947368421055</v>
      </c>
      <c r="CX155" s="1344">
        <f>CX153/CR153-1</f>
        <v>1.6129032258064502E-2</v>
      </c>
      <c r="CY155" s="1346">
        <f>CY153/CS153-1</f>
        <v>-6.3685636856368522E-2</v>
      </c>
      <c r="CZ155" s="1345"/>
      <c r="DA155" s="1344">
        <f>DA153/CU153-1</f>
        <v>-5.4945054945054972E-2</v>
      </c>
      <c r="DB155" s="1344">
        <f>DB153/CV153-1</f>
        <v>-1.3157894736842146E-2</v>
      </c>
      <c r="DC155" s="1344">
        <f>DC153/CW153-1</f>
        <v>0.20238095238095233</v>
      </c>
      <c r="DD155" s="1344">
        <f>DD153/CX153-1</f>
        <v>0.35978835978835977</v>
      </c>
      <c r="DE155" s="1346">
        <f>DE153/CY153-1</f>
        <v>0.13024602026049203</v>
      </c>
      <c r="DF155" s="1345"/>
      <c r="DG155" s="1344">
        <f>DG153/DA153-1</f>
        <v>0.37209302325581395</v>
      </c>
      <c r="DH155" s="1344">
        <f>DH153/DB153-1</f>
        <v>-0.19999999999999996</v>
      </c>
      <c r="DI155" s="1344">
        <f>DI153/DC153-1</f>
        <v>0.23267326732673266</v>
      </c>
      <c r="DJ155" s="1344">
        <f>DJ153/DD153-1</f>
        <v>-0.14396887159533078</v>
      </c>
      <c r="DK155" s="1346">
        <f>DK153/DE153-1</f>
        <v>5.6338028169014009E-2</v>
      </c>
      <c r="DL155" s="1345"/>
      <c r="DM155" s="1344">
        <f>DM153/DG153-1</f>
        <v>0.14830508474576276</v>
      </c>
      <c r="DN155" s="1344">
        <f>DN153/DH153-1</f>
        <v>0.97500000000000009</v>
      </c>
      <c r="DO155" s="1344">
        <f>DO153/DI153-1</f>
        <v>-0.11646586345381527</v>
      </c>
      <c r="DP155" s="1344">
        <f>DP153/DJ153-1</f>
        <v>7.2727272727272751E-2</v>
      </c>
      <c r="DQ155" s="1346">
        <f>DQ153/DK153-1</f>
        <v>0.16848484848484846</v>
      </c>
      <c r="DR155" s="1345"/>
      <c r="DS155" s="1344">
        <f>DS153/DM153-1</f>
        <v>-0.13653136531365317</v>
      </c>
      <c r="DT155" s="1344">
        <f>DT153/DN153-1</f>
        <v>-6.3291139240506333E-2</v>
      </c>
      <c r="DU155" s="1344">
        <f>DU153/DO153-1</f>
        <v>0</v>
      </c>
      <c r="DV155" s="1344">
        <f>DV153/DP153-1</f>
        <v>-2.1186440677966156E-2</v>
      </c>
      <c r="DW155" s="1346">
        <f>DW153/DQ153-1</f>
        <v>-5.9128630705394203E-2</v>
      </c>
      <c r="DX155" s="1345"/>
      <c r="DY155" s="1344">
        <f>DY153/DS153-1</f>
        <v>-6.8376068376068355E-2</v>
      </c>
      <c r="DZ155" s="1344">
        <f>DZ153/DT153-1</f>
        <v>-9.009009009009028E-3</v>
      </c>
      <c r="EA155" s="1344">
        <f>EA153/DU153-1</f>
        <v>-5.0000000000000044E-2</v>
      </c>
      <c r="EB155" s="1344">
        <f>EB153/DV153-1</f>
        <v>-4.7619047619047672E-2</v>
      </c>
      <c r="EC155" s="1346">
        <f>EC153/DW153-1</f>
        <v>-4.4101433296582115E-2</v>
      </c>
      <c r="ED155" s="1345"/>
      <c r="EE155" s="1344">
        <f>EE153/DY153-1</f>
        <v>5.9633027522935755E-2</v>
      </c>
      <c r="EF155" s="1344">
        <f>EF153/DZ153-1</f>
        <v>4.0909090909091006E-2</v>
      </c>
      <c r="EG155" s="1344">
        <f>EG153/EA153-1</f>
        <v>6.698564593301426E-2</v>
      </c>
      <c r="EH155" s="1344">
        <f>EH153/EB153-1</f>
        <v>0.1227272727272728</v>
      </c>
      <c r="EI155" s="1346">
        <f>EI153/EC153-1</f>
        <v>7.2664359861591699E-2</v>
      </c>
      <c r="EJ155" s="1345"/>
      <c r="EK155" s="1344">
        <f>EK153/EE153-1</f>
        <v>-1.2987012987012991E-2</v>
      </c>
      <c r="EL155" s="1344">
        <f>EL153/EF153-1</f>
        <v>0.1266375545851528</v>
      </c>
      <c r="EM155" s="1344">
        <f>EM153/EG153-1</f>
        <v>0.17040358744394624</v>
      </c>
      <c r="EN155" s="1344">
        <f>EN153/EH153-1</f>
        <v>0.17004048582995956</v>
      </c>
      <c r="EO155" s="1346">
        <f>EO153/EI153-1</f>
        <v>0.11397849462365595</v>
      </c>
      <c r="EP155" s="1345"/>
      <c r="EQ155" s="1344">
        <f>EQ153/EK153-1</f>
        <v>0.21491228070175428</v>
      </c>
      <c r="ER155" s="1344">
        <f>ER153/EL153-1</f>
        <v>3.8759689922480689E-2</v>
      </c>
      <c r="ES155" s="1344">
        <f>ES153/EM153-1</f>
        <v>-0.1992337164750958</v>
      </c>
      <c r="ET155" s="1344">
        <f>ET153/EN153-1</f>
        <v>6.9204152249136008E-3</v>
      </c>
      <c r="EU155" s="1346">
        <f>EU153/EO153-1</f>
        <v>8.6872586872586144E-3</v>
      </c>
      <c r="EV155" s="1345"/>
      <c r="EW155" s="1344">
        <f>EW153/EQ153-1</f>
        <v>-3.6101083032491488E-3</v>
      </c>
      <c r="EX155" s="1344">
        <f>EX153/ER153-1</f>
        <v>2.6119402985074647E-2</v>
      </c>
      <c r="EY155" s="1344">
        <f>EY153/ES153-1</f>
        <v>0.41148325358851667</v>
      </c>
      <c r="EZ155" s="1344">
        <f>EZ153/ET153-1</f>
        <v>1.8990809799276587E-2</v>
      </c>
      <c r="FA155" s="1346">
        <f>FA153/EU153-1</f>
        <v>9.3326627417789076E-2</v>
      </c>
      <c r="FB155" s="1345"/>
      <c r="FC155" s="1344">
        <f>FC153/EW153-1</f>
        <v>2.0678052333197083E-2</v>
      </c>
      <c r="FD155" s="1344">
        <f>FD153/EX153-1</f>
        <v>1.6336570537342165E-2</v>
      </c>
      <c r="FE155" s="1344">
        <f>FE153/EY153-1</f>
        <v>-4.2130868597692106E-2</v>
      </c>
      <c r="FF155" s="1344">
        <f>FF153/EZ153-1</f>
        <v>-1.2113158939186519E-4</v>
      </c>
      <c r="FG155" s="1346">
        <f>FG153/FA153-1</f>
        <v>-1.982296205226497E-3</v>
      </c>
      <c r="FH155" s="1345"/>
      <c r="FI155" s="1344">
        <f>FI153/FC153-1</f>
        <v>2.3219500000400073E-2</v>
      </c>
      <c r="FJ155" s="1344">
        <f>FJ153/FD153-1</f>
        <v>1.7660281356837615E-2</v>
      </c>
      <c r="FK155" s="1344">
        <f>FK153/FE153-1</f>
        <v>1.6027204458958444E-2</v>
      </c>
      <c r="FL155" s="1344">
        <f>FL153/FF153-1</f>
        <v>4.2422453040384944E-3</v>
      </c>
      <c r="FM155" s="1346">
        <f>FM153/FG153-1</f>
        <v>1.5140062804826604E-2</v>
      </c>
      <c r="FN155" s="1347"/>
      <c r="FO155" s="1348"/>
      <c r="FP155" s="1349">
        <f t="shared" ref="FP155:GB155" si="123">FP153/FO153-1</f>
        <v>0.18102939937663232</v>
      </c>
      <c r="FQ155" s="1349">
        <f t="shared" si="123"/>
        <v>1.2838801711840153E-2</v>
      </c>
      <c r="FR155" s="1349">
        <f t="shared" si="123"/>
        <v>-4.3661971830985968E-2</v>
      </c>
      <c r="FS155" s="1348">
        <f t="shared" si="123"/>
        <v>0.20029455081001468</v>
      </c>
      <c r="FT155" s="1349">
        <f t="shared" si="123"/>
        <v>0.19877300613496929</v>
      </c>
      <c r="FU155" s="1349">
        <f t="shared" si="123"/>
        <v>-6.6530194472876114E-2</v>
      </c>
      <c r="FV155" s="1349">
        <f t="shared" si="123"/>
        <v>-2.5219298245614086E-2</v>
      </c>
      <c r="FW155" s="1349">
        <f t="shared" si="123"/>
        <v>0</v>
      </c>
      <c r="FX155" s="1349">
        <f t="shared" si="123"/>
        <v>7.5365579302587138E-2</v>
      </c>
      <c r="FY155" s="1349">
        <f t="shared" si="123"/>
        <v>0.14539748953974896</v>
      </c>
      <c r="FZ155" s="1349">
        <f t="shared" si="123"/>
        <v>-4.0182648401826504E-2</v>
      </c>
      <c r="GA155" s="1349">
        <f t="shared" si="123"/>
        <v>9.6789747852826791E-2</v>
      </c>
      <c r="GB155" s="1349">
        <f t="shared" si="123"/>
        <v>-8.5667256050792062E-4</v>
      </c>
      <c r="GC155" s="1349"/>
      <c r="GD155" s="1349"/>
      <c r="GE155" s="1349"/>
      <c r="GF155" s="1349"/>
      <c r="GI155"/>
      <c r="GJ155"/>
      <c r="GK155"/>
      <c r="GL155"/>
      <c r="GM155"/>
      <c r="GN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</row>
    <row r="156" spans="1:281" s="33" customFormat="1" ht="10.5" customHeight="1" collapsed="1" x14ac:dyDescent="0.2">
      <c r="A156" s="273" t="s">
        <v>244</v>
      </c>
      <c r="B156" s="954" t="s">
        <v>116</v>
      </c>
      <c r="C156" s="244"/>
      <c r="D156" s="244"/>
      <c r="E156" s="244"/>
      <c r="F156" s="244"/>
      <c r="G156" s="244"/>
      <c r="H156" s="244"/>
      <c r="I156" s="244"/>
      <c r="J156" s="244"/>
      <c r="K156" s="244"/>
      <c r="L156" s="244"/>
      <c r="M156" s="244"/>
      <c r="N156" s="244"/>
      <c r="O156" s="244"/>
      <c r="P156" s="244"/>
      <c r="Q156" s="244"/>
      <c r="R156" s="244"/>
      <c r="S156" s="244"/>
      <c r="T156" s="244"/>
      <c r="U156" s="244"/>
      <c r="V156" s="244"/>
      <c r="W156" s="244"/>
      <c r="X156" s="244"/>
      <c r="Y156" s="244"/>
      <c r="Z156" s="244"/>
      <c r="AA156" s="244"/>
      <c r="AB156" s="244"/>
      <c r="AC156" s="244"/>
      <c r="AD156" s="244"/>
      <c r="AE156" s="244"/>
      <c r="AF156" s="244"/>
      <c r="AG156" s="244"/>
      <c r="AH156" s="244"/>
      <c r="AI156" s="244"/>
      <c r="AJ156" s="244"/>
      <c r="AK156" s="244"/>
      <c r="AL156" s="244"/>
      <c r="AM156" s="244"/>
      <c r="AN156" s="244"/>
      <c r="AO156" s="244"/>
      <c r="AP156" s="244"/>
      <c r="AQ156" s="244"/>
      <c r="AR156" s="244"/>
      <c r="AS156" s="244"/>
      <c r="AT156" s="244"/>
      <c r="AU156" s="244"/>
      <c r="AV156" s="244"/>
      <c r="AW156" s="244"/>
      <c r="AX156" s="244"/>
      <c r="AY156" s="244"/>
      <c r="AZ156" s="244"/>
      <c r="BA156" s="244"/>
      <c r="BB156" s="244"/>
      <c r="BC156" s="244"/>
      <c r="BD156" s="244"/>
      <c r="BE156" s="244"/>
      <c r="BF156" s="244"/>
      <c r="BG156" s="244"/>
      <c r="BH156" s="244"/>
      <c r="BI156" s="244"/>
      <c r="BJ156" s="244"/>
      <c r="BK156" s="244">
        <f>BK239</f>
        <v>152.18658892128281</v>
      </c>
      <c r="BL156" s="244">
        <f>BL239</f>
        <v>151.02803738317758</v>
      </c>
      <c r="BM156" s="244">
        <f>BM239</f>
        <v>120.50262697022765</v>
      </c>
      <c r="BN156" s="244">
        <f>BN239</f>
        <v>102.43895619757689</v>
      </c>
      <c r="BO156" s="244">
        <f>SUM(BK156:BN156)</f>
        <v>526.15620947226489</v>
      </c>
      <c r="BP156" s="244"/>
      <c r="BQ156" s="244">
        <f>BQ239</f>
        <v>98.090909090909093</v>
      </c>
      <c r="BR156" s="244">
        <f>BR239</f>
        <v>96.499189627228532</v>
      </c>
      <c r="BS156" s="244">
        <f>BS239</f>
        <v>86.542586750788644</v>
      </c>
      <c r="BT156" s="244">
        <f>BT239</f>
        <v>21.5</v>
      </c>
      <c r="BU156" s="244">
        <f>SUM(BQ156:BT156)</f>
        <v>302.6326854689263</v>
      </c>
      <c r="BV156" s="244"/>
      <c r="BW156" s="244">
        <f>BW239</f>
        <v>53.646365422396862</v>
      </c>
      <c r="BX156" s="244">
        <f>BX239</f>
        <v>58.053987730061344</v>
      </c>
      <c r="BY156" s="244">
        <f>BY239</f>
        <v>60.021818181818183</v>
      </c>
      <c r="BZ156" s="244">
        <f>BZ239</f>
        <v>115.77802359882004</v>
      </c>
      <c r="CA156" s="244">
        <f>SUM(BW156:BZ156)</f>
        <v>287.50019493309645</v>
      </c>
      <c r="CB156" s="244"/>
      <c r="CC156" s="244">
        <f>CC239</f>
        <v>48.051490514905147</v>
      </c>
      <c r="CD156" s="244">
        <f>CD239</f>
        <v>54.856922285126096</v>
      </c>
      <c r="CE156" s="244">
        <f>CE239</f>
        <v>57.777356517191784</v>
      </c>
      <c r="CF156" s="244">
        <f>CF239</f>
        <v>63.55630743204275</v>
      </c>
      <c r="CG156" s="171">
        <f>SUM(CC156:CF156)</f>
        <v>224.24207674926578</v>
      </c>
      <c r="CH156" s="244"/>
      <c r="CI156" s="244">
        <v>50</v>
      </c>
      <c r="CJ156" s="244">
        <v>47</v>
      </c>
      <c r="CK156" s="244">
        <v>48</v>
      </c>
      <c r="CL156" s="244">
        <v>53</v>
      </c>
      <c r="CM156" s="171">
        <f>SUM(CI156:CL156)</f>
        <v>198</v>
      </c>
      <c r="CN156" s="244"/>
      <c r="CO156" s="244">
        <v>69</v>
      </c>
      <c r="CP156" s="244">
        <v>63</v>
      </c>
      <c r="CQ156" s="244">
        <v>62</v>
      </c>
      <c r="CR156" s="244">
        <v>64</v>
      </c>
      <c r="CS156" s="171">
        <f>SUM(CO156:CR156)</f>
        <v>258</v>
      </c>
      <c r="CT156" s="244"/>
      <c r="CU156" s="244">
        <f>CU165</f>
        <v>86</v>
      </c>
      <c r="CV156" s="244">
        <f>CV165</f>
        <v>89</v>
      </c>
      <c r="CW156" s="244">
        <f>CW165</f>
        <v>85</v>
      </c>
      <c r="CX156" s="244">
        <f>CX165</f>
        <v>82</v>
      </c>
      <c r="CY156" s="171">
        <f>SUM(CU156:CX156)</f>
        <v>342</v>
      </c>
      <c r="CZ156" s="244"/>
      <c r="DA156" s="244">
        <v>84</v>
      </c>
      <c r="DB156" s="244">
        <v>104</v>
      </c>
      <c r="DC156" s="244">
        <f>DC239</f>
        <v>112</v>
      </c>
      <c r="DD156" s="60">
        <v>126</v>
      </c>
      <c r="DE156" s="171">
        <f>SUM(DA156:DD156)</f>
        <v>426</v>
      </c>
      <c r="DF156" s="244"/>
      <c r="DG156" s="244">
        <v>129</v>
      </c>
      <c r="DH156" s="244">
        <v>119</v>
      </c>
      <c r="DI156" s="244">
        <v>128</v>
      </c>
      <c r="DJ156" s="244">
        <v>127</v>
      </c>
      <c r="DK156" s="171">
        <f>SUM(DG156:DJ156)</f>
        <v>503</v>
      </c>
      <c r="DL156" s="244"/>
      <c r="DM156" s="244">
        <v>147</v>
      </c>
      <c r="DN156" s="244">
        <v>150</v>
      </c>
      <c r="DO156" s="244">
        <v>157</v>
      </c>
      <c r="DP156" s="244">
        <v>184</v>
      </c>
      <c r="DQ156" s="171">
        <f>SUM(DM156:DP156)</f>
        <v>638</v>
      </c>
      <c r="DR156" s="244"/>
      <c r="DS156" s="244">
        <v>176</v>
      </c>
      <c r="DT156" s="244">
        <v>188</v>
      </c>
      <c r="DU156" s="244">
        <v>172</v>
      </c>
      <c r="DV156" s="244">
        <v>190</v>
      </c>
      <c r="DW156" s="171">
        <f>SUM(DS156:DV156)</f>
        <v>726</v>
      </c>
      <c r="DX156" s="244"/>
      <c r="DY156" s="244">
        <v>198</v>
      </c>
      <c r="DZ156" s="244">
        <v>183</v>
      </c>
      <c r="EA156" s="244">
        <v>198</v>
      </c>
      <c r="EB156" s="244">
        <v>223</v>
      </c>
      <c r="EC156" s="171">
        <f>SUM(DY156:EB156)</f>
        <v>802</v>
      </c>
      <c r="ED156" s="244"/>
      <c r="EE156" s="244">
        <v>212</v>
      </c>
      <c r="EF156" s="244">
        <v>241</v>
      </c>
      <c r="EG156" s="244">
        <v>234</v>
      </c>
      <c r="EH156" s="244">
        <v>244</v>
      </c>
      <c r="EI156" s="171">
        <f>SUM(EE156:EH156)</f>
        <v>931</v>
      </c>
      <c r="EJ156" s="244"/>
      <c r="EK156" s="244">
        <v>250</v>
      </c>
      <c r="EL156" s="244">
        <v>254</v>
      </c>
      <c r="EM156" s="244">
        <v>260</v>
      </c>
      <c r="EN156" s="244">
        <v>269</v>
      </c>
      <c r="EO156" s="171">
        <f>SUM(EK156:EN156)</f>
        <v>1033</v>
      </c>
      <c r="EP156" s="244"/>
      <c r="EQ156" s="244">
        <v>319</v>
      </c>
      <c r="ER156" s="244">
        <v>327</v>
      </c>
      <c r="ES156" s="244">
        <v>371</v>
      </c>
      <c r="ET156" s="244">
        <v>334</v>
      </c>
      <c r="EU156" s="174">
        <f>SUM(EQ156:ET156)</f>
        <v>1351</v>
      </c>
      <c r="EV156" s="60"/>
      <c r="EW156" s="244">
        <v>302</v>
      </c>
      <c r="EX156" s="244">
        <v>418</v>
      </c>
      <c r="EY156" s="244">
        <v>389</v>
      </c>
      <c r="EZ156" s="60">
        <f>EZ239</f>
        <v>368.37485726736128</v>
      </c>
      <c r="FA156" s="171">
        <f>SUM(EW156:EZ156)</f>
        <v>1477.3748572673612</v>
      </c>
      <c r="FB156" s="244"/>
      <c r="FC156" s="244">
        <f>FC239</f>
        <v>402.96541119750179</v>
      </c>
      <c r="FD156" s="244">
        <f>FD239</f>
        <v>402.96541119750179</v>
      </c>
      <c r="FE156" s="244">
        <f>FE239</f>
        <v>402.96541119750179</v>
      </c>
      <c r="FF156" s="244">
        <f>FF239</f>
        <v>402.96541119750179</v>
      </c>
      <c r="FG156" s="171">
        <f>SUM(FC156:FF156)</f>
        <v>1611.8616447900072</v>
      </c>
      <c r="FH156" s="244"/>
      <c r="FI156" s="244">
        <f>FI239</f>
        <v>442.929379426048</v>
      </c>
      <c r="FJ156" s="244">
        <f>FJ239</f>
        <v>442.929379426048</v>
      </c>
      <c r="FK156" s="244">
        <f>FK239</f>
        <v>442.929379426048</v>
      </c>
      <c r="FL156" s="244">
        <f>FL239</f>
        <v>442.929379426048</v>
      </c>
      <c r="FM156" s="171">
        <f>SUM(FI156:FL156)</f>
        <v>1771.717517704192</v>
      </c>
      <c r="FN156" s="226"/>
      <c r="FO156" s="245">
        <f>CE156+CF156+CI156+CJ156</f>
        <v>218.33366394923453</v>
      </c>
      <c r="FP156" s="243">
        <f>CK156+CL156+CO156+CP156</f>
        <v>233</v>
      </c>
      <c r="FQ156" s="243">
        <f>CV156+CU156+CR156+CQ156</f>
        <v>301</v>
      </c>
      <c r="FR156" s="243">
        <f>CW156+CX156+DA156+DB156</f>
        <v>355</v>
      </c>
      <c r="FS156" s="245">
        <f>DC156+DD156+DG156+DH156</f>
        <v>486</v>
      </c>
      <c r="FT156" s="243">
        <f>DI156+DJ156+DM156+DN156</f>
        <v>552</v>
      </c>
      <c r="FU156" s="243">
        <f>DO156+DP156+DS156+DT156</f>
        <v>705</v>
      </c>
      <c r="FV156" s="243">
        <f>DY156+DV156+DZ156+DU156</f>
        <v>743</v>
      </c>
      <c r="FW156" s="243">
        <f>EA156+EB156+EE156+EF156</f>
        <v>874</v>
      </c>
      <c r="FX156" s="243">
        <f>EG156+EH156+EK156+EL156</f>
        <v>982</v>
      </c>
      <c r="FY156" s="243">
        <f>EM156+EN156+EQ156+ER156</f>
        <v>1175</v>
      </c>
      <c r="FZ156" s="243">
        <f>ES156+ET156+EW156+EX156</f>
        <v>1425</v>
      </c>
      <c r="GA156" s="243">
        <f>EY156+EZ156+FC156+FD156</f>
        <v>1563.305679662365</v>
      </c>
      <c r="GB156" s="243">
        <f>FE156+FF156+FI156+FJ156</f>
        <v>1691.7895812470995</v>
      </c>
      <c r="GC156" s="243"/>
      <c r="GD156" s="243"/>
      <c r="GE156" s="243"/>
      <c r="GF156" s="243"/>
      <c r="GI156"/>
      <c r="GJ156"/>
      <c r="GK156"/>
      <c r="GL156"/>
      <c r="GM156"/>
      <c r="GN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</row>
    <row r="157" spans="1:281" s="33" customFormat="1" ht="10.5" hidden="1" customHeight="1" outlineLevel="1" x14ac:dyDescent="0.2">
      <c r="A157" s="1334" t="s">
        <v>414</v>
      </c>
      <c r="B157" s="1335"/>
      <c r="C157" s="1336"/>
      <c r="D157" s="1336"/>
      <c r="E157" s="1336"/>
      <c r="F157" s="1336"/>
      <c r="G157" s="1336"/>
      <c r="H157" s="1336"/>
      <c r="I157" s="1336"/>
      <c r="J157" s="1336"/>
      <c r="K157" s="1336"/>
      <c r="L157" s="1336"/>
      <c r="M157" s="1336"/>
      <c r="N157" s="1298"/>
      <c r="O157" s="1336"/>
      <c r="P157" s="1336"/>
      <c r="Q157" s="1336"/>
      <c r="R157" s="1336"/>
      <c r="S157" s="1336"/>
      <c r="T157" s="1298"/>
      <c r="U157" s="1336"/>
      <c r="V157" s="1336"/>
      <c r="W157" s="1336"/>
      <c r="X157" s="1336"/>
      <c r="Y157" s="1336"/>
      <c r="Z157" s="1298"/>
      <c r="AA157" s="1336"/>
      <c r="AB157" s="1336"/>
      <c r="AC157" s="1336"/>
      <c r="AD157" s="1336"/>
      <c r="AE157" s="1336"/>
      <c r="AF157" s="1298"/>
      <c r="AG157" s="1336"/>
      <c r="AH157" s="1336"/>
      <c r="AI157" s="1336"/>
      <c r="AJ157" s="1336"/>
      <c r="AK157" s="1336"/>
      <c r="AL157" s="1298"/>
      <c r="AM157" s="1336"/>
      <c r="AN157" s="1336"/>
      <c r="AO157" s="1336"/>
      <c r="AP157" s="1336"/>
      <c r="AQ157" s="1336"/>
      <c r="AR157" s="1298"/>
      <c r="AS157" s="1336"/>
      <c r="AT157" s="1336"/>
      <c r="AU157" s="1336"/>
      <c r="AV157" s="1336"/>
      <c r="AW157" s="1336"/>
      <c r="AX157" s="1298"/>
      <c r="AY157" s="1336"/>
      <c r="AZ157" s="1336"/>
      <c r="BA157" s="1336"/>
      <c r="BB157" s="1336"/>
      <c r="BC157" s="1336"/>
      <c r="BD157" s="1298"/>
      <c r="BE157" s="1336"/>
      <c r="BF157" s="1336"/>
      <c r="BG157" s="1336"/>
      <c r="BH157" s="1336"/>
      <c r="BI157" s="1336"/>
      <c r="BJ157" s="1298"/>
      <c r="BK157" s="1336">
        <f>ROUND(BK156/BK$91,4)</f>
        <v>7.4999999999999997E-2</v>
      </c>
      <c r="BL157" s="1336">
        <f>ROUND(BL156/BL$91,4)</f>
        <v>6.54E-2</v>
      </c>
      <c r="BM157" s="1336">
        <f>ROUND(BM156/BM$91,4)</f>
        <v>5.2200000000000003E-2</v>
      </c>
      <c r="BN157" s="1336">
        <f>ROUND(BN156/BN$91,4)</f>
        <v>3.6200000000000003E-2</v>
      </c>
      <c r="BO157" s="1336">
        <f>ROUND(BO156/BO$91,4)</f>
        <v>5.5500000000000001E-2</v>
      </c>
      <c r="BP157" s="1298"/>
      <c r="BQ157" s="1336">
        <f>ROUND(BQ156/BQ$91,4)</f>
        <v>4.7300000000000002E-2</v>
      </c>
      <c r="BR157" s="1336">
        <f>ROUND(BR156/BR$91,4)</f>
        <v>3.8600000000000002E-2</v>
      </c>
      <c r="BS157" s="1336">
        <f>ROUND(BS156/BS$91,4)</f>
        <v>3.4500000000000003E-2</v>
      </c>
      <c r="BT157" s="1336">
        <f>ROUND(BT156/BT$91,4)</f>
        <v>7.0000000000000001E-3</v>
      </c>
      <c r="BU157" s="1336">
        <f>ROUND(BU156/BU$91,4)</f>
        <v>2.98E-2</v>
      </c>
      <c r="BV157" s="1298"/>
      <c r="BW157" s="1337">
        <f>ROUND(BW156/BW$91,4)</f>
        <v>2.4199999999999999E-2</v>
      </c>
      <c r="BX157" s="1337">
        <f>ROUND(BX156/BX$91,4)</f>
        <v>2.1100000000000001E-2</v>
      </c>
      <c r="BY157" s="1337">
        <f>ROUND(BY156/BY$91,4)</f>
        <v>1.9400000000000001E-2</v>
      </c>
      <c r="BZ157" s="1337">
        <f>ROUND(BZ156/BZ$91,4)</f>
        <v>2.86E-2</v>
      </c>
      <c r="CA157" s="1337">
        <f>ROUND(CA156/CA$91,4)</f>
        <v>2.3699999999999999E-2</v>
      </c>
      <c r="CB157" s="1337"/>
      <c r="CC157" s="1337">
        <f>ROUND(CC156/CC$91,4)</f>
        <v>1.6500000000000001E-2</v>
      </c>
      <c r="CD157" s="1337">
        <f>ROUND(CD156/CD$91,4)</f>
        <v>1.6199999999999999E-2</v>
      </c>
      <c r="CE157" s="1337">
        <f>ROUND(CE156/CE$91,4)</f>
        <v>1.6299999999999999E-2</v>
      </c>
      <c r="CF157" s="1337">
        <f>ROUND(CF156/CF$91,4)</f>
        <v>1.29E-2</v>
      </c>
      <c r="CG157" s="1338">
        <f>ROUND(CG156/CG$91,4)</f>
        <v>1.52E-2</v>
      </c>
      <c r="CH157" s="1298"/>
      <c r="CI157" s="1337">
        <f>ROUND(CI156/CI$91,4)</f>
        <v>1.37E-2</v>
      </c>
      <c r="CJ157" s="1337">
        <f>ROUND(CJ156/CJ$91,4)</f>
        <v>1.11E-2</v>
      </c>
      <c r="CK157" s="1337">
        <f>ROUND(CK156/CK$91,4)</f>
        <v>1.0800000000000001E-2</v>
      </c>
      <c r="CL157" s="1337">
        <f>ROUND(CL156/CL$91,4)</f>
        <v>8.9999999999999993E-3</v>
      </c>
      <c r="CM157" s="1338">
        <f>ROUND(CM156/CM$91,4)</f>
        <v>1.09E-2</v>
      </c>
      <c r="CN157" s="1337"/>
      <c r="CO157" s="1337">
        <f>ROUND(CO156/CO$91,4)</f>
        <v>1.4999999999999999E-2</v>
      </c>
      <c r="CP157" s="1337">
        <f>ROUND(CP156/CP$91,4)</f>
        <v>1.17E-2</v>
      </c>
      <c r="CQ157" s="1337">
        <f>ROUND(CQ156/CQ$91,4)</f>
        <v>1.15E-2</v>
      </c>
      <c r="CR157" s="1337">
        <f>ROUND(CR156/CR$91,4)</f>
        <v>8.8000000000000005E-3</v>
      </c>
      <c r="CS157" s="1338">
        <f>ROUND(CS156/CS$91,4)</f>
        <v>1.14E-2</v>
      </c>
      <c r="CT157" s="1337"/>
      <c r="CU157" s="1337">
        <f>ROUND(CU156/CU$91,4)</f>
        <v>1.5900000000000001E-2</v>
      </c>
      <c r="CV157" s="1337">
        <f>ROUND(CV156/CV$91,4)</f>
        <v>1.5599999999999999E-2</v>
      </c>
      <c r="CW157" s="1337">
        <f>ROUND(CW156/CW$91,4)</f>
        <v>1.54E-2</v>
      </c>
      <c r="CX157" s="1337">
        <f>ROUND(CX156/CX$91,4)</f>
        <v>1.1900000000000001E-2</v>
      </c>
      <c r="CY157" s="1338">
        <f>ROUND(CY156/CY$91,4)</f>
        <v>1.46E-2</v>
      </c>
      <c r="CZ157" s="1337"/>
      <c r="DA157" s="1337">
        <f>ROUND(DA156/DA$91,4)</f>
        <v>1.66E-2</v>
      </c>
      <c r="DB157" s="1337">
        <f>ROUND(DB156/DB$91,4)</f>
        <v>1.77E-2</v>
      </c>
      <c r="DC157" s="1337">
        <f>ROUND(DC156/DC$91,4)</f>
        <v>1.7299999999999999E-2</v>
      </c>
      <c r="DD157" s="1337">
        <f>ROUND(DD156/DD$91,4)</f>
        <v>1.3100000000000001E-2</v>
      </c>
      <c r="DE157" s="1338">
        <f>ROUND(DE156/DE$91,4)</f>
        <v>1.5800000000000002E-2</v>
      </c>
      <c r="DF157" s="1337"/>
      <c r="DG157" s="1337">
        <f>ROUND(DG156/DG$91,4)</f>
        <v>1.7000000000000001E-2</v>
      </c>
      <c r="DH157" s="1337">
        <f>ROUND(DH156/DH$91,4)</f>
        <v>1.37E-2</v>
      </c>
      <c r="DI157" s="1337">
        <f>ROUND(DI156/DI$91,4)</f>
        <v>1.4500000000000001E-2</v>
      </c>
      <c r="DJ157" s="1337">
        <f>ROUND(DJ156/DJ$91,4)</f>
        <v>1.18E-2</v>
      </c>
      <c r="DK157" s="1338">
        <f>ROUND(DK156/DK$91,4)</f>
        <v>1.4E-2</v>
      </c>
      <c r="DL157" s="1337"/>
      <c r="DM157" s="1337">
        <f>ROUND(DM156/DM$91,4)</f>
        <v>1.7500000000000002E-2</v>
      </c>
      <c r="DN157" s="1337">
        <f>ROUND(DN156/DN$91,4)</f>
        <v>1.7000000000000001E-2</v>
      </c>
      <c r="DO157" s="1337">
        <f>ROUND(DO156/DO$91,4)</f>
        <v>1.7299999999999999E-2</v>
      </c>
      <c r="DP157" s="1337">
        <f>ROUND(DP156/DP$91,4)</f>
        <v>1.6799999999999999E-2</v>
      </c>
      <c r="DQ157" s="1338">
        <f>ROUND(DQ156/DQ$91,4)</f>
        <v>1.7100000000000001E-2</v>
      </c>
      <c r="DR157" s="1337"/>
      <c r="DS157" s="1337">
        <f>ROUND(DS156/DS$91,4)</f>
        <v>2.1399999999999999E-2</v>
      </c>
      <c r="DT157" s="1337">
        <f>ROUND(DT156/DT$91,4)</f>
        <v>2.06E-2</v>
      </c>
      <c r="DU157" s="1337">
        <f>ROUND(DU156/DU$91,4)</f>
        <v>1.9199999999999998E-2</v>
      </c>
      <c r="DV157" s="1337">
        <f>ROUND(DV156/DV$91,4)</f>
        <v>1.7299999999999999E-2</v>
      </c>
      <c r="DW157" s="1338">
        <f>ROUND(DW156/DW$91,4)</f>
        <v>1.95E-2</v>
      </c>
      <c r="DX157" s="1337"/>
      <c r="DY157" s="1337">
        <f>ROUND(DY156/DY$91,4)</f>
        <v>2.3599999999999999E-2</v>
      </c>
      <c r="DZ157" s="1337">
        <f>ROUND(DZ156/DZ$91,4)</f>
        <v>1.9699999999999999E-2</v>
      </c>
      <c r="EA157" s="1337">
        <f>ROUND(EA156/EA$91,4)</f>
        <v>2.1299999999999999E-2</v>
      </c>
      <c r="EB157" s="1337">
        <f>ROUND(EB156/EB$91,4)</f>
        <v>1.9699999999999999E-2</v>
      </c>
      <c r="EC157" s="1338">
        <f>ROUND(EC156/EC$91,4)</f>
        <v>2.0899999999999998E-2</v>
      </c>
      <c r="ED157" s="1337"/>
      <c r="EE157" s="1337">
        <f>ROUND(EE156/EE$91,4)</f>
        <v>2.47E-2</v>
      </c>
      <c r="EF157" s="1337">
        <f>ROUND(EF156/EF$91,4)</f>
        <v>2.5100000000000001E-2</v>
      </c>
      <c r="EG157" s="1337">
        <f>ROUND(EG156/EG$91,4)</f>
        <v>2.5100000000000001E-2</v>
      </c>
      <c r="EH157" s="1337">
        <f>ROUND(EH156/EH$91,4)</f>
        <v>2.2800000000000001E-2</v>
      </c>
      <c r="EI157" s="1338">
        <f>ROUND(EI156/EI$91,4)</f>
        <v>2.4299999999999999E-2</v>
      </c>
      <c r="EJ157" s="1337"/>
      <c r="EK157" s="1337">
        <f>ROUND(EK156/EK$91,4)</f>
        <v>2.9600000000000001E-2</v>
      </c>
      <c r="EL157" s="1337">
        <f>ROUND(EL156/EL$91,4)</f>
        <v>2.8199999999999999E-2</v>
      </c>
      <c r="EM157" s="1337">
        <f>ROUND(EM156/EM$91,4)</f>
        <v>2.8799999999999999E-2</v>
      </c>
      <c r="EN157" s="1337">
        <f>ROUND(EN156/EN$91,4)</f>
        <v>2.5399999999999999E-2</v>
      </c>
      <c r="EO157" s="1338">
        <f>ROUND(EO156/EO$91,4)</f>
        <v>2.7900000000000001E-2</v>
      </c>
      <c r="EP157" s="1337"/>
      <c r="EQ157" s="1337">
        <f>ROUND(EQ156/EQ$91,4)</f>
        <v>3.6999999999999998E-2</v>
      </c>
      <c r="ER157" s="1337">
        <f>ROUND(ER156/ER$91,4)</f>
        <v>3.61E-2</v>
      </c>
      <c r="ES157" s="1337">
        <f>ROUND(ES156/ES$91,4)</f>
        <v>0.04</v>
      </c>
      <c r="ET157" s="1337">
        <f>ROUND(ET156/ET$91,4)</f>
        <v>3.0499999999999999E-2</v>
      </c>
      <c r="EU157" s="1338">
        <f>ROUND(EU156/EU$91,4)</f>
        <v>3.56E-2</v>
      </c>
      <c r="EV157" s="1337"/>
      <c r="EW157" s="1337">
        <f>ROUND(EW156/EW$91,4)</f>
        <v>3.2800000000000003E-2</v>
      </c>
      <c r="EX157" s="1337">
        <f>ROUND(EX156/EX$91,4)</f>
        <v>4.3400000000000001E-2</v>
      </c>
      <c r="EY157" s="1337">
        <f>ROUND(EY156/EY$91,4)</f>
        <v>3.9800000000000002E-2</v>
      </c>
      <c r="EZ157" s="1339">
        <f>ROUND(EZ156/EZ$91,4)</f>
        <v>3.2899999999999999E-2</v>
      </c>
      <c r="FA157" s="1338">
        <f>ROUND(FA156/FA$91,4)</f>
        <v>3.7100000000000001E-2</v>
      </c>
      <c r="FB157" s="1337"/>
      <c r="FC157" s="1339">
        <f>ROUND(FC156/FC$91,4)</f>
        <v>4.2200000000000001E-2</v>
      </c>
      <c r="FD157" s="1339">
        <f>ROUND(FD156/FD$91,4)</f>
        <v>4.0399999999999998E-2</v>
      </c>
      <c r="FE157" s="1339">
        <f>ROUND(FE156/FE$91,4)</f>
        <v>3.9899999999999998E-2</v>
      </c>
      <c r="FF157" s="1339">
        <f>ROUND(FF156/FF$91,4)</f>
        <v>3.5299999999999998E-2</v>
      </c>
      <c r="FG157" s="1338">
        <f>ROUND(FG156/FG$91,4)</f>
        <v>3.9300000000000002E-2</v>
      </c>
      <c r="FH157" s="1337"/>
      <c r="FI157" s="1339">
        <f>ROUND(FI156/FI$91,4)</f>
        <v>4.4600000000000001E-2</v>
      </c>
      <c r="FJ157" s="1339">
        <f>ROUND(FJ156/FJ$91,4)</f>
        <v>4.2799999999999998E-2</v>
      </c>
      <c r="FK157" s="1339">
        <f>ROUND(FK156/FK$91,4)</f>
        <v>4.24E-2</v>
      </c>
      <c r="FL157" s="1339">
        <f>ROUND(FL156/FL$91,4)</f>
        <v>3.7900000000000003E-2</v>
      </c>
      <c r="FM157" s="1338">
        <f>ROUND(FM156/FM$91,4)</f>
        <v>4.1799999999999997E-2</v>
      </c>
      <c r="FN157" s="1321"/>
      <c r="FO157" s="1340"/>
      <c r="FP157" s="1341"/>
      <c r="FQ157" s="1341"/>
      <c r="FR157" s="1341"/>
      <c r="FS157" s="1340"/>
      <c r="FT157" s="1341"/>
      <c r="FU157" s="1341"/>
      <c r="FV157" s="1341"/>
      <c r="FW157" s="1341"/>
      <c r="FX157" s="1341"/>
      <c r="FY157" s="1341"/>
      <c r="FZ157" s="1341"/>
      <c r="GA157" s="1341"/>
      <c r="GB157" s="1341"/>
      <c r="GC157" s="1341"/>
      <c r="GD157" s="1341"/>
      <c r="GE157" s="1341"/>
      <c r="GF157" s="1341"/>
      <c r="GI157"/>
      <c r="GJ157"/>
      <c r="GK157"/>
      <c r="GL157"/>
      <c r="GM157"/>
      <c r="GN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</row>
    <row r="158" spans="1:281" s="300" customFormat="1" ht="10.5" hidden="1" customHeight="1" outlineLevel="1" x14ac:dyDescent="0.2">
      <c r="A158" s="1334" t="s">
        <v>117</v>
      </c>
      <c r="B158" s="1335"/>
      <c r="C158" s="1336"/>
      <c r="D158" s="1336"/>
      <c r="E158" s="1336"/>
      <c r="F158" s="1336"/>
      <c r="G158" s="1336"/>
      <c r="H158" s="1336"/>
      <c r="I158" s="1336"/>
      <c r="J158" s="1336"/>
      <c r="K158" s="1336"/>
      <c r="L158" s="1336"/>
      <c r="M158" s="1336"/>
      <c r="N158" s="1298"/>
      <c r="O158" s="1336"/>
      <c r="P158" s="1336"/>
      <c r="Q158" s="1336"/>
      <c r="R158" s="1336"/>
      <c r="S158" s="1336"/>
      <c r="T158" s="1298"/>
      <c r="U158" s="1336"/>
      <c r="V158" s="1336"/>
      <c r="W158" s="1336"/>
      <c r="X158" s="1336"/>
      <c r="Y158" s="1336"/>
      <c r="Z158" s="1298"/>
      <c r="AA158" s="1336"/>
      <c r="AB158" s="1336"/>
      <c r="AC158" s="1336"/>
      <c r="AD158" s="1336"/>
      <c r="AE158" s="1336"/>
      <c r="AF158" s="1298"/>
      <c r="AG158" s="1336"/>
      <c r="AH158" s="1336"/>
      <c r="AI158" s="1336"/>
      <c r="AJ158" s="1336"/>
      <c r="AK158" s="1336"/>
      <c r="AL158" s="1298"/>
      <c r="AM158" s="1336"/>
      <c r="AN158" s="1336"/>
      <c r="AO158" s="1336"/>
      <c r="AP158" s="1336"/>
      <c r="AQ158" s="1336"/>
      <c r="AR158" s="1298"/>
      <c r="AS158" s="1336"/>
      <c r="AT158" s="1336"/>
      <c r="AU158" s="1336"/>
      <c r="AV158" s="1336"/>
      <c r="AW158" s="1336"/>
      <c r="AX158" s="1298"/>
      <c r="AY158" s="1336"/>
      <c r="AZ158" s="1336"/>
      <c r="BA158" s="1336"/>
      <c r="BB158" s="1336"/>
      <c r="BC158" s="1336"/>
      <c r="BD158" s="1298"/>
      <c r="BE158" s="1336"/>
      <c r="BF158" s="1336"/>
      <c r="BG158" s="1336"/>
      <c r="BH158" s="1336"/>
      <c r="BI158" s="1336"/>
      <c r="BJ158" s="1298"/>
      <c r="BK158" s="1336"/>
      <c r="BL158" s="1336"/>
      <c r="BM158" s="1336"/>
      <c r="BN158" s="1336"/>
      <c r="BO158" s="1336"/>
      <c r="BP158" s="1298"/>
      <c r="BQ158" s="1336">
        <f>BQ156/BK156-1</f>
        <v>-0.35545628700801113</v>
      </c>
      <c r="BR158" s="1336">
        <f>BR156/BL156-1</f>
        <v>-0.36105115779000918</v>
      </c>
      <c r="BS158" s="1336">
        <f>BS156/BM156-1</f>
        <v>-0.2818199160739413</v>
      </c>
      <c r="BT158" s="1336">
        <f>BT156/BN156-1</f>
        <v>-0.79011890790323602</v>
      </c>
      <c r="BU158" s="1336">
        <f>BU156/BO156-1</f>
        <v>-0.42482350294322835</v>
      </c>
      <c r="BV158" s="1298"/>
      <c r="BW158" s="1337">
        <f>BW156/BQ156-1</f>
        <v>-0.45309544055017104</v>
      </c>
      <c r="BX158" s="1337">
        <f>BX156/BR156-1</f>
        <v>-0.3983992201973825</v>
      </c>
      <c r="BY158" s="1337">
        <f>BY156/BS156-1</f>
        <v>-0.30644760648697367</v>
      </c>
      <c r="BZ158" s="1337">
        <f>BZ156/BT156-1</f>
        <v>4.3850243534334901</v>
      </c>
      <c r="CA158" s="1337">
        <f>CA156/BU156-1</f>
        <v>-5.0002829378400393E-2</v>
      </c>
      <c r="CB158" s="1337"/>
      <c r="CC158" s="1337">
        <f>CC156/BW156-1</f>
        <v>-0.10429177938596945</v>
      </c>
      <c r="CD158" s="1337">
        <f>CD156/BX156-1</f>
        <v>-5.5070557078713001E-2</v>
      </c>
      <c r="CE158" s="1337">
        <f>CE156/BY156-1</f>
        <v>-3.7394096557146428E-2</v>
      </c>
      <c r="CF158" s="1337">
        <f>CF156/BZ156-1</f>
        <v>-0.45105033359119728</v>
      </c>
      <c r="CG158" s="1338">
        <f>CG156/CA156-1</f>
        <v>-0.22002808797591022</v>
      </c>
      <c r="CH158" s="1298"/>
      <c r="CI158" s="1337">
        <f>CI156/CC156-1</f>
        <v>4.0550448367266512E-2</v>
      </c>
      <c r="CJ158" s="1337">
        <f>CJ156/CD156-1</f>
        <v>-0.14322572171090286</v>
      </c>
      <c r="CK158" s="1337">
        <f>CK156/CE156-1</f>
        <v>-0.16922471200776568</v>
      </c>
      <c r="CL158" s="1337">
        <f>CL156/CF156-1</f>
        <v>-0.16609378138165165</v>
      </c>
      <c r="CM158" s="1338">
        <f>CM156/CG156-1</f>
        <v>-0.11702565874203941</v>
      </c>
      <c r="CN158" s="1337"/>
      <c r="CO158" s="1337">
        <f>CO156/CI156-1</f>
        <v>0.37999999999999989</v>
      </c>
      <c r="CP158" s="1337">
        <f>CP156/CJ156-1</f>
        <v>0.34042553191489366</v>
      </c>
      <c r="CQ158" s="1337">
        <f>CQ156/CK156-1</f>
        <v>0.29166666666666674</v>
      </c>
      <c r="CR158" s="1337">
        <f>CR156/CL156-1</f>
        <v>0.20754716981132071</v>
      </c>
      <c r="CS158" s="1338">
        <f>CS156/CM156-1</f>
        <v>0.30303030303030298</v>
      </c>
      <c r="CT158" s="1337"/>
      <c r="CU158" s="1337">
        <f>CU156/CO156-1</f>
        <v>0.24637681159420288</v>
      </c>
      <c r="CV158" s="1337">
        <f>CV156/CP156-1</f>
        <v>0.41269841269841279</v>
      </c>
      <c r="CW158" s="1337">
        <f>CW156/CQ156-1</f>
        <v>0.37096774193548376</v>
      </c>
      <c r="CX158" s="1337">
        <f>CX156/CR156-1</f>
        <v>0.28125</v>
      </c>
      <c r="CY158" s="1338">
        <f>CY156/CS156-1</f>
        <v>0.32558139534883712</v>
      </c>
      <c r="CZ158" s="1337"/>
      <c r="DA158" s="1337">
        <f>DA156/CU156-1</f>
        <v>-2.3255813953488413E-2</v>
      </c>
      <c r="DB158" s="1337">
        <f>DB156/CV156-1</f>
        <v>0.1685393258426966</v>
      </c>
      <c r="DC158" s="1337">
        <f>DC156/CW156-1</f>
        <v>0.31764705882352939</v>
      </c>
      <c r="DD158" s="1337">
        <f>DD156/CX156-1</f>
        <v>0.53658536585365857</v>
      </c>
      <c r="DE158" s="1338">
        <f>DE156/CY156-1</f>
        <v>0.2456140350877194</v>
      </c>
      <c r="DF158" s="1337"/>
      <c r="DG158" s="1337">
        <f>DG156/DA156-1</f>
        <v>0.53571428571428581</v>
      </c>
      <c r="DH158" s="1337">
        <f>DH156/DB156-1</f>
        <v>0.14423076923076916</v>
      </c>
      <c r="DI158" s="1337">
        <f>DI156/DC156-1</f>
        <v>0.14285714285714279</v>
      </c>
      <c r="DJ158" s="1337">
        <f>DJ156/DD156-1</f>
        <v>7.9365079365079083E-3</v>
      </c>
      <c r="DK158" s="1338">
        <f>DK156/DE156-1</f>
        <v>0.18075117370892024</v>
      </c>
      <c r="DL158" s="1337"/>
      <c r="DM158" s="1337">
        <f>DM156/DG156-1</f>
        <v>0.13953488372093026</v>
      </c>
      <c r="DN158" s="1337">
        <f>DN156/DH156-1</f>
        <v>0.26050420168067223</v>
      </c>
      <c r="DO158" s="1337">
        <f>DO156/DI156-1</f>
        <v>0.2265625</v>
      </c>
      <c r="DP158" s="1337">
        <f>DP156/DJ156-1</f>
        <v>0.44881889763779537</v>
      </c>
      <c r="DQ158" s="1338">
        <f>DQ156/DK156-1</f>
        <v>0.26838966202783299</v>
      </c>
      <c r="DR158" s="1337"/>
      <c r="DS158" s="1337">
        <f>DS156/DM156-1</f>
        <v>0.19727891156462585</v>
      </c>
      <c r="DT158" s="1337">
        <f>DT156/DN156-1</f>
        <v>0.25333333333333341</v>
      </c>
      <c r="DU158" s="1337">
        <f>DU156/DO156-1</f>
        <v>9.5541401273885329E-2</v>
      </c>
      <c r="DV158" s="1337">
        <f>DV156/DP156-1</f>
        <v>3.2608695652173836E-2</v>
      </c>
      <c r="DW158" s="1338">
        <f>DW156/DQ156-1</f>
        <v>0.13793103448275867</v>
      </c>
      <c r="DX158" s="1337"/>
      <c r="DY158" s="1337">
        <f>DY156/DS156-1</f>
        <v>0.125</v>
      </c>
      <c r="DZ158" s="1337">
        <f>DZ156/DT156-1</f>
        <v>-2.6595744680851019E-2</v>
      </c>
      <c r="EA158" s="1337">
        <f>EA156/DU156-1</f>
        <v>0.15116279069767447</v>
      </c>
      <c r="EB158" s="1337">
        <f>EB156/DV156-1</f>
        <v>0.17368421052631589</v>
      </c>
      <c r="EC158" s="1338">
        <f>EC156/DW156-1</f>
        <v>0.10468319559228645</v>
      </c>
      <c r="ED158" s="1337"/>
      <c r="EE158" s="1337">
        <f>EE156/DY156-1</f>
        <v>7.0707070707070718E-2</v>
      </c>
      <c r="EF158" s="1337">
        <f>EF156/DZ156-1</f>
        <v>0.31693989071038242</v>
      </c>
      <c r="EG158" s="1337">
        <f>EG156/EA156-1</f>
        <v>0.18181818181818188</v>
      </c>
      <c r="EH158" s="1337">
        <f>EH156/EB156-1</f>
        <v>9.4170403587443996E-2</v>
      </c>
      <c r="EI158" s="1338">
        <f>EI156/EC156-1</f>
        <v>0.1608478802992519</v>
      </c>
      <c r="EJ158" s="1337"/>
      <c r="EK158" s="1337">
        <f>EK156/EE156-1</f>
        <v>0.179245283018868</v>
      </c>
      <c r="EL158" s="1337">
        <f>EL156/EF156-1</f>
        <v>5.3941908713692976E-2</v>
      </c>
      <c r="EM158" s="1337">
        <f>EM156/EG156-1</f>
        <v>0.11111111111111116</v>
      </c>
      <c r="EN158" s="1337">
        <f>EN156/EH156-1</f>
        <v>0.10245901639344268</v>
      </c>
      <c r="EO158" s="1338">
        <f>EO156/EI156-1</f>
        <v>0.10955961331901176</v>
      </c>
      <c r="EP158" s="1337"/>
      <c r="EQ158" s="1337">
        <f>EQ156/EK156-1</f>
        <v>0.27600000000000002</v>
      </c>
      <c r="ER158" s="1337">
        <f>ER156/EL156-1</f>
        <v>0.28740157480314954</v>
      </c>
      <c r="ES158" s="1337">
        <f>ES156/EM156-1</f>
        <v>0.42692307692307696</v>
      </c>
      <c r="ET158" s="1337">
        <f>ET156/EN156-1</f>
        <v>0.24163568773234201</v>
      </c>
      <c r="EU158" s="1338">
        <f>EU156/EO156-1</f>
        <v>0.3078412391093901</v>
      </c>
      <c r="EV158" s="1337"/>
      <c r="EW158" s="1337">
        <f>EW156/EQ156-1</f>
        <v>-5.3291536050156685E-2</v>
      </c>
      <c r="EX158" s="1337">
        <f>EX156/ER156-1</f>
        <v>0.27828746177370034</v>
      </c>
      <c r="EY158" s="1337">
        <f>EY156/ES156-1</f>
        <v>4.8517520215633381E-2</v>
      </c>
      <c r="EZ158" s="1339">
        <f>EZ156/ET156-1</f>
        <v>0.10291873433341703</v>
      </c>
      <c r="FA158" s="1338">
        <f>FA156/EU156-1</f>
        <v>9.3541715223805388E-2</v>
      </c>
      <c r="FB158" s="1337"/>
      <c r="FC158" s="1339">
        <f>FC156/EW156-1</f>
        <v>0.3343225536341119</v>
      </c>
      <c r="FD158" s="1339">
        <f>FD156/EX156-1</f>
        <v>-3.5967915795450223E-2</v>
      </c>
      <c r="FE158" s="1339">
        <f>FE156/EY156-1</f>
        <v>3.590079999357787E-2</v>
      </c>
      <c r="FF158" s="1339">
        <f>FF156/EZ156-1</f>
        <v>9.3900420312983401E-2</v>
      </c>
      <c r="FG158" s="1338">
        <f>FG156/FA156-1</f>
        <v>9.1030916670262307E-2</v>
      </c>
      <c r="FH158" s="1337"/>
      <c r="FI158" s="1339">
        <f>FI156/FC156-1</f>
        <v>9.9174686258516109E-2</v>
      </c>
      <c r="FJ158" s="1339">
        <f>FJ156/FD156-1</f>
        <v>9.9174686258516109E-2</v>
      </c>
      <c r="FK158" s="1339">
        <f>FK156/FE156-1</f>
        <v>9.9174686258516109E-2</v>
      </c>
      <c r="FL158" s="1339">
        <f>FL156/FF156-1</f>
        <v>9.9174686258516109E-2</v>
      </c>
      <c r="FM158" s="1338">
        <f>FM156/FG156-1</f>
        <v>9.9174686258516109E-2</v>
      </c>
      <c r="FN158" s="1321"/>
      <c r="FO158" s="1340"/>
      <c r="FP158" s="1341"/>
      <c r="FQ158" s="1341"/>
      <c r="FR158" s="1341"/>
      <c r="FS158" s="1340"/>
      <c r="FT158" s="1341"/>
      <c r="FU158" s="1341"/>
      <c r="FV158" s="1341"/>
      <c r="FW158" s="1341"/>
      <c r="FX158" s="1341"/>
      <c r="FY158" s="1341"/>
      <c r="FZ158" s="1341"/>
      <c r="GA158" s="1341"/>
      <c r="GB158" s="1341"/>
      <c r="GC158" s="1341"/>
      <c r="GD158" s="1341"/>
      <c r="GE158" s="1341"/>
      <c r="GF158" s="1341"/>
      <c r="GI158"/>
      <c r="GJ158"/>
      <c r="GK158"/>
      <c r="GL158"/>
      <c r="GM158"/>
      <c r="GN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</row>
    <row r="159" spans="1:281" s="300" customFormat="1" ht="10.5" hidden="1" customHeight="1" outlineLevel="1" x14ac:dyDescent="0.2">
      <c r="A159" s="1342" t="s">
        <v>124</v>
      </c>
      <c r="B159" s="1343"/>
      <c r="C159" s="1344"/>
      <c r="D159" s="1344"/>
      <c r="E159" s="1344"/>
      <c r="F159" s="1344"/>
      <c r="G159" s="1344"/>
      <c r="H159" s="1344"/>
      <c r="I159" s="1344"/>
      <c r="J159" s="1344"/>
      <c r="K159" s="1344"/>
      <c r="L159" s="1344"/>
      <c r="M159" s="1344"/>
      <c r="N159" s="1345"/>
      <c r="O159" s="1344"/>
      <c r="P159" s="1344"/>
      <c r="Q159" s="1344"/>
      <c r="R159" s="1344"/>
      <c r="S159" s="1344"/>
      <c r="T159" s="1345"/>
      <c r="U159" s="1344"/>
      <c r="V159" s="1344"/>
      <c r="W159" s="1344"/>
      <c r="X159" s="1344"/>
      <c r="Y159" s="1344"/>
      <c r="Z159" s="1345"/>
      <c r="AA159" s="1344"/>
      <c r="AB159" s="1344"/>
      <c r="AC159" s="1344"/>
      <c r="AD159" s="1344"/>
      <c r="AE159" s="1344"/>
      <c r="AF159" s="1345"/>
      <c r="AG159" s="1344"/>
      <c r="AH159" s="1344"/>
      <c r="AI159" s="1344"/>
      <c r="AJ159" s="1344"/>
      <c r="AK159" s="1344"/>
      <c r="AL159" s="1345"/>
      <c r="AM159" s="1344"/>
      <c r="AN159" s="1344"/>
      <c r="AO159" s="1344"/>
      <c r="AP159" s="1344"/>
      <c r="AQ159" s="1344"/>
      <c r="AR159" s="1345"/>
      <c r="AS159" s="1344"/>
      <c r="AT159" s="1344"/>
      <c r="AU159" s="1344"/>
      <c r="AV159" s="1344"/>
      <c r="AW159" s="1344"/>
      <c r="AX159" s="1345"/>
      <c r="AY159" s="1344"/>
      <c r="AZ159" s="1344"/>
      <c r="BA159" s="1344"/>
      <c r="BB159" s="1344"/>
      <c r="BC159" s="1344"/>
      <c r="BD159" s="1345"/>
      <c r="BE159" s="1344"/>
      <c r="BF159" s="1344"/>
      <c r="BG159" s="1344"/>
      <c r="BH159" s="1344"/>
      <c r="BI159" s="1344"/>
      <c r="BJ159" s="1345"/>
      <c r="BK159" s="1344"/>
      <c r="BL159" s="1344"/>
      <c r="BM159" s="1344"/>
      <c r="BN159" s="1344"/>
      <c r="BO159" s="1344"/>
      <c r="BP159" s="1345"/>
      <c r="BQ159" s="1344">
        <f>BQ156/BN156-1</f>
        <v>-4.2445250010958668E-2</v>
      </c>
      <c r="BR159" s="1344">
        <f>BR156/BQ156-1</f>
        <v>-1.6226982484231822E-2</v>
      </c>
      <c r="BS159" s="1344">
        <f>BS156/BR156-1</f>
        <v>-0.10317809833327862</v>
      </c>
      <c r="BT159" s="1344">
        <f>BT156/BS156-1</f>
        <v>-0.75156739811912221</v>
      </c>
      <c r="BU159" s="1344"/>
      <c r="BV159" s="1345"/>
      <c r="BW159" s="1344">
        <f>BW156/BT156-1</f>
        <v>1.495179787088226</v>
      </c>
      <c r="BX159" s="1344">
        <f>BX156/BW156-1</f>
        <v>8.2160688295657369E-2</v>
      </c>
      <c r="BY159" s="1344">
        <f>BY156/BX156-1</f>
        <v>3.3896559542246019E-2</v>
      </c>
      <c r="BZ159" s="1344">
        <f>BZ156/BY156-1</f>
        <v>0.92893229672092037</v>
      </c>
      <c r="CA159" s="1344"/>
      <c r="CB159" s="1345"/>
      <c r="CC159" s="1344">
        <f>CC156/BZ156-1</f>
        <v>-0.58496881341309348</v>
      </c>
      <c r="CD159" s="1344">
        <f>CD156/CC156-1</f>
        <v>0.141627901596725</v>
      </c>
      <c r="CE159" s="1344">
        <f>CE156/CD156-1</f>
        <v>5.3237296414230917E-2</v>
      </c>
      <c r="CF159" s="1344">
        <f>CF156/CE156-1</f>
        <v>0.10002103355371461</v>
      </c>
      <c r="CG159" s="1346"/>
      <c r="CH159" s="1345"/>
      <c r="CI159" s="1344">
        <f>CI156/CF156-1</f>
        <v>-0.2132960201713695</v>
      </c>
      <c r="CJ159" s="1344">
        <f>CJ156/CI156-1</f>
        <v>-6.0000000000000053E-2</v>
      </c>
      <c r="CK159" s="1344">
        <f>CK156/CJ156-1</f>
        <v>2.1276595744680771E-2</v>
      </c>
      <c r="CL159" s="1344">
        <f>CL156/CK156-1</f>
        <v>0.10416666666666674</v>
      </c>
      <c r="CM159" s="1346"/>
      <c r="CN159" s="1345"/>
      <c r="CO159" s="1344">
        <f>CO156/CL156-1</f>
        <v>0.30188679245283012</v>
      </c>
      <c r="CP159" s="1344">
        <f>CP156/CO156-1</f>
        <v>-8.6956521739130488E-2</v>
      </c>
      <c r="CQ159" s="1344">
        <f>CQ156/CP156-1</f>
        <v>-1.5873015873015928E-2</v>
      </c>
      <c r="CR159" s="1344">
        <f>CR156/CQ156-1</f>
        <v>3.2258064516129004E-2</v>
      </c>
      <c r="CS159" s="1346"/>
      <c r="CT159" s="1345"/>
      <c r="CU159" s="1344">
        <f>CU156/CR156-1</f>
        <v>0.34375</v>
      </c>
      <c r="CV159" s="1344">
        <f>CV156/CU156-1</f>
        <v>3.488372093023262E-2</v>
      </c>
      <c r="CW159" s="1344">
        <f>CW156/CV156-1</f>
        <v>-4.49438202247191E-2</v>
      </c>
      <c r="CX159" s="1344">
        <f>CX156/CW156-1</f>
        <v>-3.5294117647058809E-2</v>
      </c>
      <c r="CY159" s="1346"/>
      <c r="CZ159" s="1345"/>
      <c r="DA159" s="1344">
        <f>DA156/CX156-1</f>
        <v>2.4390243902439046E-2</v>
      </c>
      <c r="DB159" s="1344">
        <f>DB156/DA156-1</f>
        <v>0.23809523809523814</v>
      </c>
      <c r="DC159" s="1344">
        <f>DC156/DB156-1</f>
        <v>7.6923076923076872E-2</v>
      </c>
      <c r="DD159" s="1344">
        <f>DD156/DC156-1</f>
        <v>0.125</v>
      </c>
      <c r="DE159" s="1346"/>
      <c r="DF159" s="1345"/>
      <c r="DG159" s="1344">
        <f>DG156/DD156-1</f>
        <v>2.3809523809523725E-2</v>
      </c>
      <c r="DH159" s="1344">
        <f>DH156/DG156-1</f>
        <v>-7.7519379844961267E-2</v>
      </c>
      <c r="DI159" s="1344">
        <f>DI156/DH156-1</f>
        <v>7.5630252100840289E-2</v>
      </c>
      <c r="DJ159" s="1344">
        <f>DJ156/DI156-1</f>
        <v>-7.8125E-3</v>
      </c>
      <c r="DK159" s="1346"/>
      <c r="DL159" s="1345"/>
      <c r="DM159" s="1344">
        <f>DM156/DJ156-1</f>
        <v>0.15748031496062986</v>
      </c>
      <c r="DN159" s="1344">
        <f>DN156/DM156-1</f>
        <v>2.0408163265306145E-2</v>
      </c>
      <c r="DO159" s="1344">
        <f>DO156/DN156-1</f>
        <v>4.6666666666666634E-2</v>
      </c>
      <c r="DP159" s="1344">
        <f>DP156/DO156-1</f>
        <v>0.17197452229299359</v>
      </c>
      <c r="DQ159" s="1346"/>
      <c r="DR159" s="1345"/>
      <c r="DS159" s="1344">
        <f>DS156/DP156-1</f>
        <v>-4.3478260869565188E-2</v>
      </c>
      <c r="DT159" s="1344">
        <f>DT156/DS156-1</f>
        <v>6.8181818181818121E-2</v>
      </c>
      <c r="DU159" s="1344">
        <f>DU156/DT156-1</f>
        <v>-8.5106382978723416E-2</v>
      </c>
      <c r="DV159" s="1344">
        <f>DV156/DU156-1</f>
        <v>0.10465116279069764</v>
      </c>
      <c r="DW159" s="1346"/>
      <c r="DX159" s="1345"/>
      <c r="DY159" s="1344">
        <f>DY156/DV156-1</f>
        <v>4.2105263157894646E-2</v>
      </c>
      <c r="DZ159" s="1344">
        <f>DZ156/DY156-1</f>
        <v>-7.5757575757575801E-2</v>
      </c>
      <c r="EA159" s="1344">
        <f>EA156/DZ156-1</f>
        <v>8.1967213114754189E-2</v>
      </c>
      <c r="EB159" s="1344">
        <f>EB156/EA156-1</f>
        <v>0.1262626262626263</v>
      </c>
      <c r="EC159" s="1346"/>
      <c r="ED159" s="1345"/>
      <c r="EE159" s="1344">
        <f>EE156/EB156-1</f>
        <v>-4.9327354260089717E-2</v>
      </c>
      <c r="EF159" s="1344">
        <f>EF156/EE156-1</f>
        <v>0.1367924528301887</v>
      </c>
      <c r="EG159" s="1344">
        <f>EG156/EF156-1</f>
        <v>-2.9045643153526979E-2</v>
      </c>
      <c r="EH159" s="1344">
        <f>EH156/EG156-1</f>
        <v>4.2735042735042805E-2</v>
      </c>
      <c r="EI159" s="1346"/>
      <c r="EJ159" s="1345"/>
      <c r="EK159" s="1344">
        <f>EK156/EH156-1</f>
        <v>2.4590163934426146E-2</v>
      </c>
      <c r="EL159" s="1344">
        <f>EL156/EK156-1</f>
        <v>1.6000000000000014E-2</v>
      </c>
      <c r="EM159" s="1344">
        <f>EM156/EL156-1</f>
        <v>2.3622047244094446E-2</v>
      </c>
      <c r="EN159" s="1344">
        <f>EN156/EM156-1</f>
        <v>3.4615384615384714E-2</v>
      </c>
      <c r="EO159" s="1346"/>
      <c r="EP159" s="1345"/>
      <c r="EQ159" s="1344">
        <f>EQ156/EN156-1</f>
        <v>0.18587360594795532</v>
      </c>
      <c r="ER159" s="1344">
        <f>ER156/EQ156-1</f>
        <v>2.5078369905956022E-2</v>
      </c>
      <c r="ES159" s="1344">
        <f>ES156/ER156-1</f>
        <v>0.13455657492354733</v>
      </c>
      <c r="ET159" s="1344">
        <f>ET156/ES156-1</f>
        <v>-9.9730458221024221E-2</v>
      </c>
      <c r="EU159" s="1346"/>
      <c r="EV159" s="1345"/>
      <c r="EW159" s="1344">
        <f>EW156/ET156-1</f>
        <v>-9.5808383233532912E-2</v>
      </c>
      <c r="EX159" s="1344">
        <f>EX156/EW156-1</f>
        <v>0.38410596026490063</v>
      </c>
      <c r="EY159" s="1344">
        <f>EY156/EX156-1</f>
        <v>-6.9377990430621983E-2</v>
      </c>
      <c r="EZ159" s="1344">
        <f>EZ156/EY156-1</f>
        <v>-5.3020932474649674E-2</v>
      </c>
      <c r="FA159" s="1346"/>
      <c r="FB159" s="1345"/>
      <c r="FC159" s="1344">
        <f>FC156/EZ156-1</f>
        <v>9.3900420312983401E-2</v>
      </c>
      <c r="FD159" s="1344">
        <f>FD156/FC156-1</f>
        <v>0</v>
      </c>
      <c r="FE159" s="1344">
        <f>FE156/FD156-1</f>
        <v>0</v>
      </c>
      <c r="FF159" s="1344">
        <f>FF156/FE156-1</f>
        <v>0</v>
      </c>
      <c r="FG159" s="1346"/>
      <c r="FH159" s="1345"/>
      <c r="FI159" s="1344">
        <f>FI156/FF156-1</f>
        <v>9.9174686258516109E-2</v>
      </c>
      <c r="FJ159" s="1344">
        <f>FJ156/FI156-1</f>
        <v>0</v>
      </c>
      <c r="FK159" s="1344">
        <f>FK156/FJ156-1</f>
        <v>0</v>
      </c>
      <c r="FL159" s="1344">
        <f>FL156/FK156-1</f>
        <v>0</v>
      </c>
      <c r="FM159" s="1346"/>
      <c r="FN159" s="1347"/>
      <c r="FO159" s="1348"/>
      <c r="FP159" s="1349"/>
      <c r="FQ159" s="1349"/>
      <c r="FR159" s="1349"/>
      <c r="FS159" s="1348"/>
      <c r="FT159" s="1349"/>
      <c r="FU159" s="1349"/>
      <c r="FV159" s="1349"/>
      <c r="FW159" s="1349"/>
      <c r="FX159" s="1349"/>
      <c r="FY159" s="1349"/>
      <c r="FZ159" s="1349"/>
      <c r="GA159" s="1349"/>
      <c r="GB159" s="1349"/>
      <c r="GC159" s="1349"/>
      <c r="GD159" s="1349"/>
      <c r="GE159" s="1349"/>
      <c r="GF159" s="1349"/>
      <c r="GI159"/>
      <c r="GJ159"/>
      <c r="GK159"/>
      <c r="GL159"/>
      <c r="GM159"/>
      <c r="GN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</row>
    <row r="160" spans="1:281" s="33" customFormat="1" ht="10.5" customHeight="1" collapsed="1" x14ac:dyDescent="0.2">
      <c r="A160" s="273" t="s">
        <v>113</v>
      </c>
      <c r="B160" s="954"/>
      <c r="C160" s="243">
        <f t="shared" ref="C160:M160" si="124">SUM(C161:C165)</f>
        <v>0</v>
      </c>
      <c r="D160" s="243">
        <f t="shared" si="124"/>
        <v>0</v>
      </c>
      <c r="E160" s="243">
        <f t="shared" si="124"/>
        <v>0</v>
      </c>
      <c r="F160" s="243">
        <f t="shared" si="124"/>
        <v>0</v>
      </c>
      <c r="G160" s="243">
        <f t="shared" si="124"/>
        <v>0</v>
      </c>
      <c r="H160" s="243">
        <f t="shared" si="124"/>
        <v>0</v>
      </c>
      <c r="I160" s="243">
        <f t="shared" si="124"/>
        <v>0</v>
      </c>
      <c r="J160" s="243">
        <f t="shared" si="124"/>
        <v>0</v>
      </c>
      <c r="K160" s="243">
        <f t="shared" si="124"/>
        <v>0</v>
      </c>
      <c r="L160" s="243">
        <f t="shared" si="124"/>
        <v>0</v>
      </c>
      <c r="M160" s="243">
        <f t="shared" si="124"/>
        <v>0</v>
      </c>
      <c r="N160" s="244"/>
      <c r="O160" s="243">
        <f>SUM(O161:O165)</f>
        <v>0</v>
      </c>
      <c r="P160" s="243">
        <f>SUM(P161:P165)</f>
        <v>0</v>
      </c>
      <c r="Q160" s="243">
        <f>SUM(Q161:Q165)</f>
        <v>0</v>
      </c>
      <c r="R160" s="243">
        <f>SUM(R161:R165)</f>
        <v>0</v>
      </c>
      <c r="S160" s="244">
        <f>SUM(O160:R160)</f>
        <v>0</v>
      </c>
      <c r="T160" s="244"/>
      <c r="U160" s="243">
        <f>SUM(U161:U165)</f>
        <v>50.930999999999997</v>
      </c>
      <c r="V160" s="243">
        <f>SUM(V161:V165)</f>
        <v>0</v>
      </c>
      <c r="W160" s="243">
        <f>SUM(W161:W165)</f>
        <v>0</v>
      </c>
      <c r="X160" s="243">
        <f>SUM(X161:X165)</f>
        <v>0</v>
      </c>
      <c r="Y160" s="244">
        <f>SUM(U160:X160)</f>
        <v>50.930999999999997</v>
      </c>
      <c r="Z160" s="244"/>
      <c r="AA160" s="243">
        <f>SUM(AA161:AA165)</f>
        <v>0</v>
      </c>
      <c r="AB160" s="243">
        <f>SUM(AB161:AB165)</f>
        <v>0</v>
      </c>
      <c r="AC160" s="243">
        <f>SUM(AC161:AC165)</f>
        <v>36.799999999999997</v>
      </c>
      <c r="AD160" s="243">
        <f>SUM(AD161:AD165)</f>
        <v>0</v>
      </c>
      <c r="AE160" s="244">
        <f>SUM(AA160:AD160)</f>
        <v>36.799999999999997</v>
      </c>
      <c r="AF160" s="244"/>
      <c r="AG160" s="243">
        <f>SUM(AG161:AG165)</f>
        <v>167.054</v>
      </c>
      <c r="AH160" s="243">
        <f>SUM(AH161:AH165)</f>
        <v>0</v>
      </c>
      <c r="AI160" s="243">
        <f>SUM(AI161:AI165)</f>
        <v>0</v>
      </c>
      <c r="AJ160" s="243">
        <f>SUM(AJ161:AJ165)</f>
        <v>0</v>
      </c>
      <c r="AK160" s="244">
        <f>SUM(AG160:AJ160)</f>
        <v>167.054</v>
      </c>
      <c r="AL160" s="244"/>
      <c r="AM160" s="243">
        <f>SUM(AM161:AM165)</f>
        <v>0</v>
      </c>
      <c r="AN160" s="243">
        <f>SUM(AN161:AN165)</f>
        <v>0</v>
      </c>
      <c r="AO160" s="243">
        <f>SUM(AO161:AO165)</f>
        <v>0</v>
      </c>
      <c r="AP160" s="243">
        <f>SUM(AP161:AP165)</f>
        <v>0</v>
      </c>
      <c r="AQ160" s="244">
        <f>SUM(AM160:AP160)</f>
        <v>0</v>
      </c>
      <c r="AR160" s="244"/>
      <c r="AS160" s="243">
        <f>SUM(AS161:AS165)</f>
        <v>0</v>
      </c>
      <c r="AT160" s="243">
        <f>SUM(AT161:AT165)</f>
        <v>0</v>
      </c>
      <c r="AU160" s="243">
        <f>SUM(AU161:AU165)</f>
        <v>0</v>
      </c>
      <c r="AV160" s="243">
        <f>SUM(AV161:AV165)</f>
        <v>0</v>
      </c>
      <c r="AW160" s="244">
        <f>SUM(AS160:AV160)</f>
        <v>0</v>
      </c>
      <c r="AX160" s="244"/>
      <c r="AY160" s="243">
        <f>SUM(AY161:AY165)</f>
        <v>0</v>
      </c>
      <c r="AZ160" s="243">
        <f>SUM(AZ161:AZ165)</f>
        <v>0</v>
      </c>
      <c r="BA160" s="243">
        <f>SUM(BA161:BA165)</f>
        <v>0</v>
      </c>
      <c r="BB160" s="243">
        <f>SUM(BB161:BB165)</f>
        <v>0</v>
      </c>
      <c r="BC160" s="244">
        <f>SUM(AY160:BB160)</f>
        <v>0</v>
      </c>
      <c r="BD160" s="244"/>
      <c r="BE160" s="243">
        <f>SUM(BE161:BE165)</f>
        <v>0</v>
      </c>
      <c r="BF160" s="243">
        <f>SUM(BF161:BF165)</f>
        <v>0</v>
      </c>
      <c r="BG160" s="243">
        <f>SUM(BG161:BG165)</f>
        <v>0</v>
      </c>
      <c r="BH160" s="243">
        <f>SUM(BH161:BH165)</f>
        <v>0</v>
      </c>
      <c r="BI160" s="244">
        <f>SUM(BE160:BH160)</f>
        <v>0</v>
      </c>
      <c r="BJ160" s="244"/>
      <c r="BK160" s="243">
        <f>SUM(BK161:BK165)</f>
        <v>0</v>
      </c>
      <c r="BL160" s="243">
        <f>SUM(BL161:BL165)</f>
        <v>0</v>
      </c>
      <c r="BM160" s="243">
        <f>SUM(BM161:BM165)</f>
        <v>0</v>
      </c>
      <c r="BN160" s="243">
        <f>SUM(BN161:BN165)</f>
        <v>0</v>
      </c>
      <c r="BO160" s="244">
        <f>SUM(BK160:BN160)</f>
        <v>0</v>
      </c>
      <c r="BP160" s="244"/>
      <c r="BQ160" s="243">
        <f>SUM(BQ161:BQ165)</f>
        <v>0</v>
      </c>
      <c r="BR160" s="243">
        <f>SUM(BR161:BR165)</f>
        <v>0</v>
      </c>
      <c r="BS160" s="243">
        <f>SUM(BS161:BS165)</f>
        <v>0</v>
      </c>
      <c r="BT160" s="243">
        <f>SUM(BT161:BT165)</f>
        <v>0</v>
      </c>
      <c r="BU160" s="244">
        <f>SUM(BQ160:BT160)</f>
        <v>0</v>
      </c>
      <c r="BV160" s="244"/>
      <c r="BW160" s="243">
        <f>SUM(BW161:BW165)</f>
        <v>28.5</v>
      </c>
      <c r="BX160" s="243">
        <f>SUM(BX161:BX165)</f>
        <v>23.3</v>
      </c>
      <c r="BY160" s="243">
        <f>SUM(BY161:BY165)</f>
        <v>266</v>
      </c>
      <c r="BZ160" s="243">
        <f>SUM(BZ161:BZ165)</f>
        <v>281</v>
      </c>
      <c r="CA160" s="244">
        <f>SUM(BW160:BZ160)</f>
        <v>598.79999999999995</v>
      </c>
      <c r="CB160" s="244"/>
      <c r="CC160" s="243">
        <f>SUM(CC161:CC165)</f>
        <v>171</v>
      </c>
      <c r="CD160" s="243">
        <f>SUM(CD161:CD165)</f>
        <v>143</v>
      </c>
      <c r="CE160" s="243">
        <f>SUM(CE161:CE165)</f>
        <v>267</v>
      </c>
      <c r="CF160" s="243">
        <f>SUM(CF161:CF165)</f>
        <v>257</v>
      </c>
      <c r="CG160" s="171">
        <f>SUM(CC160:CF160)</f>
        <v>838</v>
      </c>
      <c r="CH160" s="244"/>
      <c r="CI160" s="243">
        <f>SUM(CI161:CI165)</f>
        <v>303</v>
      </c>
      <c r="CJ160" s="243">
        <f>SUM(CJ161:CJ165)</f>
        <v>222</v>
      </c>
      <c r="CK160" s="243">
        <f>SUM(CK161:CK165)</f>
        <v>326</v>
      </c>
      <c r="CL160" s="243">
        <f>SUM(CL161:CL165)</f>
        <v>382</v>
      </c>
      <c r="CM160" s="171">
        <f>SUM(CI160:CL160)</f>
        <v>1233</v>
      </c>
      <c r="CN160" s="244"/>
      <c r="CO160" s="243">
        <f>SUM(CO161:CO165)</f>
        <v>401</v>
      </c>
      <c r="CP160" s="243">
        <f>SUM(CP161:CP165)</f>
        <v>381</v>
      </c>
      <c r="CQ160" s="243">
        <f>SUM(CQ161:CQ165)</f>
        <v>322</v>
      </c>
      <c r="CR160" s="243">
        <f>SUM(CR161:CR165)</f>
        <v>531</v>
      </c>
      <c r="CS160" s="171">
        <f>SUM(CO160:CR160)</f>
        <v>1635</v>
      </c>
      <c r="CT160" s="244"/>
      <c r="CU160" s="243">
        <f>SUM(CU161:CU165)</f>
        <v>562</v>
      </c>
      <c r="CV160" s="243">
        <f>SUM(CV161:CV165)</f>
        <v>554</v>
      </c>
      <c r="CW160" s="243">
        <f>SUM(CW161:CW165)</f>
        <v>564</v>
      </c>
      <c r="CX160" s="243">
        <f>SUM(CX161:CX165)</f>
        <v>609</v>
      </c>
      <c r="CY160" s="171">
        <f>SUM(CU160:CX160)</f>
        <v>2289</v>
      </c>
      <c r="CZ160" s="244"/>
      <c r="DA160" s="243">
        <f>SUM(DA161:DA165)</f>
        <v>569</v>
      </c>
      <c r="DB160" s="243">
        <f>SUM(DB161:DB165)</f>
        <v>664</v>
      </c>
      <c r="DC160" s="243">
        <f>SUM(DC161:DC165)</f>
        <v>978</v>
      </c>
      <c r="DD160" s="243">
        <f>SUM(DD161:DD165)</f>
        <v>988</v>
      </c>
      <c r="DE160" s="171">
        <f>SUM(DA160:DD160)</f>
        <v>3199</v>
      </c>
      <c r="DF160" s="244"/>
      <c r="DG160" s="243">
        <f>SUM(DG161:DG165)</f>
        <v>944</v>
      </c>
      <c r="DH160" s="243">
        <f>SUM(DH161:DH165)</f>
        <v>969</v>
      </c>
      <c r="DI160" s="243">
        <f>SUM(DI161:DI165)</f>
        <v>862</v>
      </c>
      <c r="DJ160" s="243">
        <f>SUM(DJ161:DJ165)</f>
        <v>848</v>
      </c>
      <c r="DK160" s="171">
        <f>SUM(DG160:DJ160)</f>
        <v>3623</v>
      </c>
      <c r="DL160" s="244"/>
      <c r="DM160" s="243">
        <f>SUM(DM161:DM165)</f>
        <v>858</v>
      </c>
      <c r="DN160" s="243">
        <f>SUM(DN161:DN165)</f>
        <v>797</v>
      </c>
      <c r="DO160" s="243">
        <f>SUM(DO161:DO165)</f>
        <v>865</v>
      </c>
      <c r="DP160" s="243">
        <f>SUM(DP161:DP165)</f>
        <v>882</v>
      </c>
      <c r="DQ160" s="171">
        <f>SUM(DM160:DP160)</f>
        <v>3402</v>
      </c>
      <c r="DR160" s="244"/>
      <c r="DS160" s="243">
        <f>SUM(DS161:DS165)</f>
        <v>682</v>
      </c>
      <c r="DT160" s="243">
        <f>SUM(DT161:DT165)</f>
        <v>782</v>
      </c>
      <c r="DU160" s="243">
        <f>SUM(DU161:DU165)</f>
        <v>832</v>
      </c>
      <c r="DV160" s="243">
        <f>SUM(DV161:DV165)</f>
        <v>562.28829667646062</v>
      </c>
      <c r="DW160" s="171">
        <f>SUM(DS160:DV160)</f>
        <v>2858.2882966764605</v>
      </c>
      <c r="DX160" s="244"/>
      <c r="DY160" s="243">
        <f>SUM(DY161:DY165)</f>
        <v>859</v>
      </c>
      <c r="DZ160" s="243">
        <f>SUM(DZ161:DZ165)</f>
        <v>829</v>
      </c>
      <c r="EA160" s="243">
        <f>SUM(EA161:EA165)</f>
        <v>791</v>
      </c>
      <c r="EB160" s="243">
        <f>SUM(EB161:EB165)</f>
        <v>822</v>
      </c>
      <c r="EC160" s="171">
        <f>SUM(DY160:EB160)</f>
        <v>3301</v>
      </c>
      <c r="ED160" s="244"/>
      <c r="EE160" s="243">
        <f>SUM(EE161:EE165)</f>
        <v>853</v>
      </c>
      <c r="EF160" s="243">
        <f>SUM(EF161:EF165)</f>
        <v>839</v>
      </c>
      <c r="EG160" s="243">
        <f>SUM(EG161:EG165)</f>
        <v>817</v>
      </c>
      <c r="EH160" s="243">
        <f>SUM(EH161:EH165)</f>
        <v>990</v>
      </c>
      <c r="EI160" s="171">
        <f t="shared" ref="EI160:EI165" si="125">SUM(EE160:EH160)</f>
        <v>3499</v>
      </c>
      <c r="EJ160" s="244"/>
      <c r="EK160" s="243">
        <f>SUM(EK161:EK165)</f>
        <v>816</v>
      </c>
      <c r="EL160" s="243">
        <f>SUM(EL161:EL165)</f>
        <v>765</v>
      </c>
      <c r="EM160" s="243">
        <f>SUM(EM161:EM165)</f>
        <v>794</v>
      </c>
      <c r="EN160" s="243">
        <f>SUM(EN161:EN165)</f>
        <v>796</v>
      </c>
      <c r="EO160" s="171">
        <f>SUM(EK160:EN160)</f>
        <v>3171</v>
      </c>
      <c r="EP160" s="244"/>
      <c r="EQ160" s="243">
        <f>SUM(EQ161:EQ165)</f>
        <v>743</v>
      </c>
      <c r="ER160" s="243">
        <f>SUM(ER161:ER165)</f>
        <v>735</v>
      </c>
      <c r="ES160" s="243">
        <f>SUM(ES161:ES165)</f>
        <v>916</v>
      </c>
      <c r="ET160" s="243">
        <f>SUM(ET161:ET165)</f>
        <v>911</v>
      </c>
      <c r="EU160" s="171">
        <f>SUM(EQ160:ET160)</f>
        <v>3305</v>
      </c>
      <c r="EV160" s="244"/>
      <c r="EW160" s="243">
        <f>SUM(EW161:EW165)</f>
        <v>849</v>
      </c>
      <c r="EX160" s="243">
        <f>SUM(EX161:EX165)</f>
        <v>1122</v>
      </c>
      <c r="EY160" s="243">
        <f>SUM(EY161:EY165)</f>
        <v>874</v>
      </c>
      <c r="EZ160" s="243">
        <f>SUM(EZ161:EZ165)</f>
        <v>759.26295566359909</v>
      </c>
      <c r="FA160" s="171">
        <f>SUM(EW160:EZ160)</f>
        <v>3604.2629556635993</v>
      </c>
      <c r="FB160" s="244"/>
      <c r="FC160" s="243">
        <f>SUM(FC161:FC165)</f>
        <v>672.32302665632255</v>
      </c>
      <c r="FD160" s="243">
        <f>SUM(FD161:FD165)</f>
        <v>670.84155977129899</v>
      </c>
      <c r="FE160" s="243">
        <f>SUM(FE161:FE165)</f>
        <v>669.36824095414306</v>
      </c>
      <c r="FF160" s="243">
        <f>SUM(FF161:FF165)</f>
        <v>667.9030253904815</v>
      </c>
      <c r="FG160" s="171">
        <f>SUM(FC160:FF160)</f>
        <v>2680.4358527722461</v>
      </c>
      <c r="FH160" s="244"/>
      <c r="FI160" s="243">
        <f>SUM(FI161:FI165)</f>
        <v>706.40983674096628</v>
      </c>
      <c r="FJ160" s="243">
        <f>SUM(FJ161:FJ165)</f>
        <v>704.9606942257343</v>
      </c>
      <c r="FK160" s="243">
        <f>SUM(FK161:FK165)</f>
        <v>703.51952199433595</v>
      </c>
      <c r="FL160" s="243">
        <f>SUM(FL161:FL165)</f>
        <v>702.08627621021037</v>
      </c>
      <c r="FM160" s="171">
        <f>SUM(FI160:FL160)</f>
        <v>2816.976329171247</v>
      </c>
      <c r="FN160" s="226"/>
      <c r="FO160" s="245">
        <f>CE160+CF160+CI160+CJ160</f>
        <v>1049</v>
      </c>
      <c r="FP160" s="243">
        <f>CK160+CL160+CO160+CP160</f>
        <v>1490</v>
      </c>
      <c r="FQ160" s="243">
        <f>CV160+CU160+CR160+CQ160</f>
        <v>1969</v>
      </c>
      <c r="FR160" s="243">
        <f>CW160+CX160+DA160+DB160</f>
        <v>2406</v>
      </c>
      <c r="FS160" s="245">
        <f>DC160+DD160+DG160+DH160</f>
        <v>3879</v>
      </c>
      <c r="FT160" s="243">
        <f>DI160+DJ160+DM160+DN160</f>
        <v>3365</v>
      </c>
      <c r="FU160" s="243">
        <f>DO160+DP160+DS160+DT160</f>
        <v>3211</v>
      </c>
      <c r="FV160" s="243">
        <f>DY160+DV160+DZ160+DU160</f>
        <v>3082.2882966764605</v>
      </c>
      <c r="FW160" s="243">
        <f>EA160+EB160+EE160+EF160</f>
        <v>3305</v>
      </c>
      <c r="FX160" s="243">
        <f>EG160+EH160+EK160+EL160</f>
        <v>3388</v>
      </c>
      <c r="FY160" s="243">
        <f>EM160+EN160+EQ160+ER160</f>
        <v>3068</v>
      </c>
      <c r="FZ160" s="243">
        <f>ES160+ET160+EW160+EX160</f>
        <v>3798</v>
      </c>
      <c r="GA160" s="243">
        <f>EY160+EZ160+FC160+FD160</f>
        <v>2976.4275420912209</v>
      </c>
      <c r="GB160" s="243">
        <f>FE160+FF160+FI160+FJ160</f>
        <v>2748.6417973113253</v>
      </c>
      <c r="GC160" s="243"/>
      <c r="GD160" s="243"/>
      <c r="GE160" s="243"/>
      <c r="GF160" s="243"/>
      <c r="GI160"/>
      <c r="GJ160"/>
      <c r="GK160"/>
      <c r="GL160"/>
      <c r="GM160"/>
      <c r="GN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</row>
    <row r="161" spans="1:281" s="33" customFormat="1" ht="10.5" hidden="1" customHeight="1" outlineLevel="1" x14ac:dyDescent="0.2">
      <c r="A161" s="1334" t="s">
        <v>114</v>
      </c>
      <c r="B161" s="1350"/>
      <c r="C161" s="1281">
        <v>0</v>
      </c>
      <c r="D161" s="1281">
        <v>0</v>
      </c>
      <c r="E161" s="1281">
        <v>0</v>
      </c>
      <c r="F161" s="1281">
        <v>0</v>
      </c>
      <c r="G161" s="1281">
        <v>0</v>
      </c>
      <c r="H161" s="1281">
        <v>0</v>
      </c>
      <c r="I161" s="1281">
        <v>0</v>
      </c>
      <c r="J161" s="1281">
        <v>0</v>
      </c>
      <c r="K161" s="1281">
        <v>0</v>
      </c>
      <c r="L161" s="1281">
        <v>0</v>
      </c>
      <c r="M161" s="1281">
        <v>0</v>
      </c>
      <c r="N161" s="1298"/>
      <c r="O161" s="1281">
        <v>0</v>
      </c>
      <c r="P161" s="1281">
        <v>0</v>
      </c>
      <c r="Q161" s="1281">
        <v>0</v>
      </c>
      <c r="R161" s="1281">
        <v>0</v>
      </c>
      <c r="S161" s="1281">
        <f>SUM(O161:R161)</f>
        <v>0</v>
      </c>
      <c r="T161" s="1298"/>
      <c r="U161" s="1298">
        <v>50.930999999999997</v>
      </c>
      <c r="V161" s="1281">
        <v>0</v>
      </c>
      <c r="W161" s="1281">
        <v>0</v>
      </c>
      <c r="X161" s="1281">
        <v>0</v>
      </c>
      <c r="Y161" s="1281">
        <f>SUM(U161:X161)</f>
        <v>50.930999999999997</v>
      </c>
      <c r="Z161" s="1298"/>
      <c r="AA161" s="1281">
        <v>0</v>
      </c>
      <c r="AB161" s="1281">
        <v>0</v>
      </c>
      <c r="AC161" s="1298">
        <v>36.799999999999997</v>
      </c>
      <c r="AD161" s="1281">
        <v>0</v>
      </c>
      <c r="AE161" s="1281">
        <f>SUM(AA161:AD161)</f>
        <v>36.799999999999997</v>
      </c>
      <c r="AF161" s="1298"/>
      <c r="AG161" s="1298">
        <v>167.054</v>
      </c>
      <c r="AH161" s="1281">
        <v>0</v>
      </c>
      <c r="AI161" s="1281">
        <v>0</v>
      </c>
      <c r="AJ161" s="1281">
        <v>0</v>
      </c>
      <c r="AK161" s="1281">
        <f>SUM(AG161:AJ161)</f>
        <v>167.054</v>
      </c>
      <c r="AL161" s="1298"/>
      <c r="AM161" s="1281">
        <v>0</v>
      </c>
      <c r="AN161" s="1281">
        <v>0</v>
      </c>
      <c r="AO161" s="1281">
        <v>0</v>
      </c>
      <c r="AP161" s="1281">
        <v>0</v>
      </c>
      <c r="AQ161" s="1281">
        <f>SUM(AM161:AP161)</f>
        <v>0</v>
      </c>
      <c r="AR161" s="1298"/>
      <c r="AS161" s="1281">
        <v>0</v>
      </c>
      <c r="AT161" s="1281">
        <v>0</v>
      </c>
      <c r="AU161" s="1281">
        <v>0</v>
      </c>
      <c r="AV161" s="1281">
        <v>0</v>
      </c>
      <c r="AW161" s="1281">
        <f>SUM(AS161:AV161)</f>
        <v>0</v>
      </c>
      <c r="AX161" s="1298"/>
      <c r="AY161" s="1281">
        <v>0</v>
      </c>
      <c r="AZ161" s="1281">
        <v>0</v>
      </c>
      <c r="BA161" s="1281">
        <v>0</v>
      </c>
      <c r="BB161" s="1281">
        <v>0</v>
      </c>
      <c r="BC161" s="1281">
        <f>SUM(AY161:BB161)</f>
        <v>0</v>
      </c>
      <c r="BD161" s="1298"/>
      <c r="BE161" s="1281">
        <v>0</v>
      </c>
      <c r="BF161" s="1281">
        <v>0</v>
      </c>
      <c r="BG161" s="1281">
        <v>0</v>
      </c>
      <c r="BH161" s="1281">
        <v>0</v>
      </c>
      <c r="BI161" s="1281">
        <f>SUM(BE161:BH161)</f>
        <v>0</v>
      </c>
      <c r="BJ161" s="1298"/>
      <c r="BK161" s="1281">
        <v>0</v>
      </c>
      <c r="BL161" s="1281">
        <v>0</v>
      </c>
      <c r="BM161" s="1281">
        <v>0</v>
      </c>
      <c r="BN161" s="1281">
        <v>0</v>
      </c>
      <c r="BO161" s="1281">
        <f>SUM(BK161:BN161)</f>
        <v>0</v>
      </c>
      <c r="BP161" s="1298"/>
      <c r="BQ161" s="1281">
        <v>0</v>
      </c>
      <c r="BR161" s="1281">
        <v>0</v>
      </c>
      <c r="BS161" s="1281">
        <v>0</v>
      </c>
      <c r="BT161" s="1281">
        <v>0</v>
      </c>
      <c r="BU161" s="1281">
        <f>SUM(BQ161:BT161)</f>
        <v>0</v>
      </c>
      <c r="BV161" s="1298"/>
      <c r="BW161" s="1281">
        <v>28.5</v>
      </c>
      <c r="BX161" s="1281">
        <v>23.3</v>
      </c>
      <c r="BY161" s="1281">
        <v>51</v>
      </c>
      <c r="BZ161" s="1281">
        <v>105</v>
      </c>
      <c r="CA161" s="1281">
        <f>SUM(BW161:BZ161)</f>
        <v>207.8</v>
      </c>
      <c r="CB161" s="1298"/>
      <c r="CC161" s="1281">
        <v>28</v>
      </c>
      <c r="CD161" s="1281">
        <v>0</v>
      </c>
      <c r="CE161" s="1281">
        <v>84</v>
      </c>
      <c r="CF161" s="1281">
        <v>16</v>
      </c>
      <c r="CG161" s="1321">
        <f>SUM(CC161:CF161)</f>
        <v>128</v>
      </c>
      <c r="CH161" s="1298"/>
      <c r="CI161" s="1281">
        <v>48</v>
      </c>
      <c r="CJ161" s="1281">
        <v>0</v>
      </c>
      <c r="CK161" s="1281">
        <v>53</v>
      </c>
      <c r="CL161" s="1281">
        <v>74</v>
      </c>
      <c r="CM161" s="1321">
        <f>SUM(CI161:CL161)</f>
        <v>175</v>
      </c>
      <c r="CN161" s="1298"/>
      <c r="CO161" s="1281">
        <v>47</v>
      </c>
      <c r="CP161" s="1281">
        <v>22</v>
      </c>
      <c r="CQ161" s="1281">
        <v>-40</v>
      </c>
      <c r="CR161" s="1281">
        <v>96</v>
      </c>
      <c r="CS161" s="1321">
        <f>SUM(CO161:CR161)</f>
        <v>125</v>
      </c>
      <c r="CT161" s="1298"/>
      <c r="CU161" s="1281">
        <f>49+14</f>
        <v>63</v>
      </c>
      <c r="CV161" s="1281">
        <v>21</v>
      </c>
      <c r="CW161" s="1281">
        <v>27</v>
      </c>
      <c r="CX161" s="1281">
        <v>19</v>
      </c>
      <c r="CY161" s="1321">
        <f>SUM(CU161:CX161)</f>
        <v>130</v>
      </c>
      <c r="CZ161" s="1298"/>
      <c r="DA161" s="1281">
        <v>6</v>
      </c>
      <c r="DB161" s="1281">
        <v>10</v>
      </c>
      <c r="DC161" s="1281">
        <v>34</v>
      </c>
      <c r="DD161" s="1281">
        <v>103</v>
      </c>
      <c r="DE161" s="1321">
        <f>SUM(DA161:DD161)</f>
        <v>153</v>
      </c>
      <c r="DF161" s="1298"/>
      <c r="DG161" s="1281">
        <v>83</v>
      </c>
      <c r="DH161" s="1281">
        <v>47</v>
      </c>
      <c r="DI161" s="1281">
        <v>30</v>
      </c>
      <c r="DJ161" s="1281">
        <f>48-2</f>
        <v>46</v>
      </c>
      <c r="DK161" s="1321">
        <f>SUM(DG161:DJ161)</f>
        <v>206</v>
      </c>
      <c r="DL161" s="1298"/>
      <c r="DM161" s="1351">
        <f>19-1</f>
        <v>18</v>
      </c>
      <c r="DN161" s="1351">
        <f>5-2</f>
        <v>3</v>
      </c>
      <c r="DO161" s="1351">
        <v>38</v>
      </c>
      <c r="DP161" s="1351">
        <f>-7-12</f>
        <v>-19</v>
      </c>
      <c r="DQ161" s="1321">
        <f>SUM(DM161:DP161)</f>
        <v>40</v>
      </c>
      <c r="DR161" s="1298"/>
      <c r="DS161" s="1351">
        <v>-258</v>
      </c>
      <c r="DT161" s="1351">
        <v>-121</v>
      </c>
      <c r="DU161" s="1351">
        <v>32</v>
      </c>
      <c r="DV161" s="1351">
        <f>-257+4</f>
        <v>-253</v>
      </c>
      <c r="DW161" s="1321">
        <f>SUM(DS161:DV161)</f>
        <v>-600</v>
      </c>
      <c r="DX161" s="1298"/>
      <c r="DY161" s="1351">
        <v>10</v>
      </c>
      <c r="DZ161" s="1351">
        <v>17</v>
      </c>
      <c r="EA161" s="1351">
        <v>-5</v>
      </c>
      <c r="EB161" s="1351">
        <f>20+7</f>
        <v>27</v>
      </c>
      <c r="EC161" s="1321">
        <f>SUM(DY161:EB161)</f>
        <v>49</v>
      </c>
      <c r="ED161" s="1298"/>
      <c r="EE161" s="1351">
        <v>25</v>
      </c>
      <c r="EF161" s="1351">
        <v>-20</v>
      </c>
      <c r="EG161" s="1351">
        <v>8</v>
      </c>
      <c r="EH161" s="1351">
        <v>200</v>
      </c>
      <c r="EI161" s="1321">
        <f t="shared" si="125"/>
        <v>213</v>
      </c>
      <c r="EJ161" s="1298"/>
      <c r="EK161" s="1351">
        <v>31</v>
      </c>
      <c r="EL161" s="1351">
        <v>-7</v>
      </c>
      <c r="EM161" s="1351">
        <v>11</v>
      </c>
      <c r="EN161" s="1351">
        <v>7</v>
      </c>
      <c r="EO161" s="1321">
        <f>SUM(EK161:EN161)</f>
        <v>42</v>
      </c>
      <c r="EP161" s="1298"/>
      <c r="EQ161" s="1351">
        <v>14</v>
      </c>
      <c r="ER161" s="1351">
        <v>40</v>
      </c>
      <c r="ES161" s="1351">
        <v>30</v>
      </c>
      <c r="ET161" s="1351">
        <v>18</v>
      </c>
      <c r="EU161" s="1321">
        <f>SUM(EQ161:ET161)</f>
        <v>102</v>
      </c>
      <c r="EV161" s="1298"/>
      <c r="EW161" s="1351">
        <v>12</v>
      </c>
      <c r="EX161" s="1351">
        <v>17</v>
      </c>
      <c r="EY161" s="1351">
        <v>3</v>
      </c>
      <c r="EZ161" s="1351">
        <v>0</v>
      </c>
      <c r="FA161" s="1321">
        <f>SUM(EW161:EZ161)</f>
        <v>32</v>
      </c>
      <c r="FB161" s="1298"/>
      <c r="FC161" s="1351">
        <v>0</v>
      </c>
      <c r="FD161" s="1351">
        <v>0</v>
      </c>
      <c r="FE161" s="1351">
        <v>0</v>
      </c>
      <c r="FF161" s="1351">
        <v>0</v>
      </c>
      <c r="FG161" s="1321">
        <f>SUM(FC161:FF161)</f>
        <v>0</v>
      </c>
      <c r="FH161" s="1298"/>
      <c r="FI161" s="1351">
        <v>0</v>
      </c>
      <c r="FJ161" s="1351">
        <v>0</v>
      </c>
      <c r="FK161" s="1351">
        <v>0</v>
      </c>
      <c r="FL161" s="1351">
        <v>0</v>
      </c>
      <c r="FM161" s="1321">
        <f>SUM(FI161:FL161)</f>
        <v>0</v>
      </c>
      <c r="FN161" s="226"/>
      <c r="FO161" s="227"/>
      <c r="FS161" s="227"/>
      <c r="GI161"/>
      <c r="GJ161"/>
      <c r="GK161"/>
      <c r="GL161"/>
      <c r="GM161"/>
      <c r="GN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</row>
    <row r="162" spans="1:281" s="33" customFormat="1" ht="10.5" hidden="1" customHeight="1" outlineLevel="1" x14ac:dyDescent="0.2">
      <c r="A162" s="1334" t="s">
        <v>658</v>
      </c>
      <c r="B162" s="1350"/>
      <c r="C162" s="1281"/>
      <c r="D162" s="1281"/>
      <c r="E162" s="1281"/>
      <c r="F162" s="1281"/>
      <c r="G162" s="1281"/>
      <c r="H162" s="1281"/>
      <c r="I162" s="1281"/>
      <c r="J162" s="1281"/>
      <c r="K162" s="1281"/>
      <c r="L162" s="1281"/>
      <c r="M162" s="1281"/>
      <c r="N162" s="1298"/>
      <c r="O162" s="1281"/>
      <c r="P162" s="1281"/>
      <c r="Q162" s="1281"/>
      <c r="R162" s="1281"/>
      <c r="S162" s="1281"/>
      <c r="T162" s="1298"/>
      <c r="U162" s="1298"/>
      <c r="V162" s="1281"/>
      <c r="W162" s="1281"/>
      <c r="X162" s="1281"/>
      <c r="Y162" s="1281"/>
      <c r="Z162" s="1298"/>
      <c r="AA162" s="1281"/>
      <c r="AB162" s="1281"/>
      <c r="AC162" s="1298"/>
      <c r="AD162" s="1281"/>
      <c r="AE162" s="1281"/>
      <c r="AF162" s="1298"/>
      <c r="AG162" s="1298"/>
      <c r="AH162" s="1281"/>
      <c r="AI162" s="1281"/>
      <c r="AJ162" s="1281"/>
      <c r="AK162" s="1281"/>
      <c r="AL162" s="1298"/>
      <c r="AM162" s="1281"/>
      <c r="AN162" s="1281"/>
      <c r="AO162" s="1281"/>
      <c r="AP162" s="1281"/>
      <c r="AQ162" s="1281"/>
      <c r="AR162" s="1298"/>
      <c r="AS162" s="1281"/>
      <c r="AT162" s="1281"/>
      <c r="AU162" s="1281"/>
      <c r="AV162" s="1281"/>
      <c r="AW162" s="1281"/>
      <c r="AX162" s="1298"/>
      <c r="AY162" s="1281"/>
      <c r="AZ162" s="1281"/>
      <c r="BA162" s="1281"/>
      <c r="BB162" s="1281"/>
      <c r="BC162" s="1281"/>
      <c r="BD162" s="1298"/>
      <c r="BE162" s="1281"/>
      <c r="BF162" s="1281"/>
      <c r="BG162" s="1281"/>
      <c r="BH162" s="1281"/>
      <c r="BI162" s="1281"/>
      <c r="BJ162" s="1298"/>
      <c r="BK162" s="1281"/>
      <c r="BL162" s="1281"/>
      <c r="BM162" s="1281"/>
      <c r="BN162" s="1281"/>
      <c r="BO162" s="1281"/>
      <c r="BP162" s="1298"/>
      <c r="BQ162" s="1281"/>
      <c r="BR162" s="1281"/>
      <c r="BS162" s="1281"/>
      <c r="BT162" s="1281"/>
      <c r="BU162" s="1281"/>
      <c r="BV162" s="1298"/>
      <c r="BW162" s="1281"/>
      <c r="BX162" s="1281"/>
      <c r="BY162" s="1281"/>
      <c r="BZ162" s="1281"/>
      <c r="CA162" s="1281"/>
      <c r="CB162" s="1298"/>
      <c r="CC162" s="1281"/>
      <c r="CD162" s="1281"/>
      <c r="CE162" s="1281"/>
      <c r="CF162" s="1281"/>
      <c r="CG162" s="1321"/>
      <c r="CH162" s="1298"/>
      <c r="CI162" s="1281"/>
      <c r="CJ162" s="1281">
        <v>-36</v>
      </c>
      <c r="CK162" s="1281"/>
      <c r="CL162" s="1281"/>
      <c r="CM162" s="1321"/>
      <c r="CN162" s="1298"/>
      <c r="CO162" s="1281"/>
      <c r="CP162" s="1281"/>
      <c r="CQ162" s="1281"/>
      <c r="CR162" s="1281"/>
      <c r="CS162" s="1321"/>
      <c r="CT162" s="1298"/>
      <c r="CU162" s="1281"/>
      <c r="CV162" s="1281"/>
      <c r="CW162" s="1281"/>
      <c r="CX162" s="1281"/>
      <c r="CY162" s="1321"/>
      <c r="CZ162" s="1298"/>
      <c r="DA162" s="1281"/>
      <c r="DB162" s="1281"/>
      <c r="DC162" s="1281">
        <v>24</v>
      </c>
      <c r="DD162" s="1281"/>
      <c r="DE162" s="1321"/>
      <c r="DF162" s="1298"/>
      <c r="DG162" s="1281"/>
      <c r="DH162" s="1281"/>
      <c r="DI162" s="1281"/>
      <c r="DJ162" s="1281"/>
      <c r="DK162" s="1321"/>
      <c r="DL162" s="1298"/>
      <c r="DM162" s="1281"/>
      <c r="DN162" s="1281"/>
      <c r="DO162" s="1281"/>
      <c r="DP162" s="1281"/>
      <c r="DQ162" s="1321"/>
      <c r="DR162" s="1298"/>
      <c r="DS162" s="1281"/>
      <c r="DT162" s="1281"/>
      <c r="DU162" s="1281"/>
      <c r="DV162" s="1281"/>
      <c r="DW162" s="1321"/>
      <c r="DX162" s="1298"/>
      <c r="DY162" s="1281"/>
      <c r="DZ162" s="1281"/>
      <c r="EA162" s="1281"/>
      <c r="EB162" s="1281"/>
      <c r="EC162" s="1321">
        <f>Model!JB197</f>
        <v>0</v>
      </c>
      <c r="ED162" s="1298">
        <f>Model!JH197</f>
        <v>0</v>
      </c>
      <c r="EE162" s="1281">
        <f>Model!JN197</f>
        <v>0</v>
      </c>
      <c r="EF162" s="1281">
        <f>Model!JT197</f>
        <v>0</v>
      </c>
      <c r="EG162" s="1351">
        <f>Model!JZ197</f>
        <v>0</v>
      </c>
      <c r="EH162" s="1281">
        <f>Model!KF197</f>
        <v>0</v>
      </c>
      <c r="EI162" s="1321">
        <f>Model!KL197</f>
        <v>0</v>
      </c>
      <c r="EJ162" s="1298"/>
      <c r="EK162" s="1281">
        <v>0</v>
      </c>
      <c r="EL162" s="1281">
        <v>0</v>
      </c>
      <c r="EM162" s="1281"/>
      <c r="EN162" s="1281"/>
      <c r="EO162" s="1321"/>
      <c r="EP162" s="1298"/>
      <c r="EQ162" s="1281">
        <v>0</v>
      </c>
      <c r="ER162" s="1281">
        <v>0</v>
      </c>
      <c r="ES162" s="1281">
        <v>0</v>
      </c>
      <c r="ET162" s="1281"/>
      <c r="EU162" s="1321"/>
      <c r="EV162" s="1298"/>
      <c r="EW162" s="1281">
        <v>0</v>
      </c>
      <c r="EX162" s="1281">
        <v>0</v>
      </c>
      <c r="EY162" s="1281">
        <v>0</v>
      </c>
      <c r="EZ162" s="1281"/>
      <c r="FA162" s="1321"/>
      <c r="FB162" s="1298"/>
      <c r="FC162" s="1281"/>
      <c r="FD162" s="1281"/>
      <c r="FE162" s="1281"/>
      <c r="FF162" s="1281"/>
      <c r="FG162" s="1321"/>
      <c r="FH162" s="1298"/>
      <c r="FI162" s="1281"/>
      <c r="FJ162" s="1281"/>
      <c r="FK162" s="1281"/>
      <c r="FL162" s="1281"/>
      <c r="FM162" s="1321"/>
      <c r="FN162" s="226"/>
      <c r="FO162" s="227"/>
      <c r="FS162" s="227"/>
      <c r="GI162"/>
      <c r="GJ162"/>
      <c r="GK162"/>
      <c r="GL162"/>
      <c r="GM162"/>
      <c r="GN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</row>
    <row r="163" spans="1:281" s="33" customFormat="1" ht="10.5" hidden="1" customHeight="1" outlineLevel="1" x14ac:dyDescent="0.2">
      <c r="A163" s="1334" t="s">
        <v>659</v>
      </c>
      <c r="B163" s="1350"/>
      <c r="C163" s="1281">
        <v>0</v>
      </c>
      <c r="D163" s="1281">
        <v>0</v>
      </c>
      <c r="E163" s="1281">
        <v>0</v>
      </c>
      <c r="F163" s="1281">
        <v>0</v>
      </c>
      <c r="G163" s="1281">
        <v>0</v>
      </c>
      <c r="H163" s="1281">
        <v>0</v>
      </c>
      <c r="I163" s="1281">
        <v>0</v>
      </c>
      <c r="J163" s="1281">
        <v>0</v>
      </c>
      <c r="K163" s="1281">
        <v>0</v>
      </c>
      <c r="L163" s="1281">
        <v>0</v>
      </c>
      <c r="M163" s="1281">
        <v>0</v>
      </c>
      <c r="N163" s="1298"/>
      <c r="O163" s="1281">
        <v>0</v>
      </c>
      <c r="P163" s="1281">
        <v>0</v>
      </c>
      <c r="Q163" s="1281">
        <v>0</v>
      </c>
      <c r="R163" s="1281">
        <v>0</v>
      </c>
      <c r="S163" s="1281">
        <f>SUM(O163:R163)</f>
        <v>0</v>
      </c>
      <c r="T163" s="1298"/>
      <c r="U163" s="1281">
        <v>0</v>
      </c>
      <c r="V163" s="1281">
        <v>0</v>
      </c>
      <c r="W163" s="1281">
        <v>0</v>
      </c>
      <c r="X163" s="1281">
        <v>0</v>
      </c>
      <c r="Y163" s="1281">
        <f>SUM(U163:X163)</f>
        <v>0</v>
      </c>
      <c r="Z163" s="1298"/>
      <c r="AA163" s="1281">
        <v>0</v>
      </c>
      <c r="AB163" s="1281">
        <v>0</v>
      </c>
      <c r="AC163" s="1281">
        <v>0</v>
      </c>
      <c r="AD163" s="1281">
        <v>0</v>
      </c>
      <c r="AE163" s="1281">
        <f>SUM(AA163:AD163)</f>
        <v>0</v>
      </c>
      <c r="AF163" s="1298"/>
      <c r="AG163" s="1281">
        <v>0</v>
      </c>
      <c r="AH163" s="1281">
        <v>0</v>
      </c>
      <c r="AI163" s="1281">
        <v>0</v>
      </c>
      <c r="AJ163" s="1281">
        <v>0</v>
      </c>
      <c r="AK163" s="1281">
        <f>SUM(AG163:AJ163)</f>
        <v>0</v>
      </c>
      <c r="AL163" s="1298"/>
      <c r="AM163" s="1281">
        <v>0</v>
      </c>
      <c r="AN163" s="1281">
        <v>0</v>
      </c>
      <c r="AO163" s="1281">
        <v>0</v>
      </c>
      <c r="AP163" s="1281">
        <v>0</v>
      </c>
      <c r="AQ163" s="1281">
        <f>SUM(AM163:AP163)</f>
        <v>0</v>
      </c>
      <c r="AR163" s="1298"/>
      <c r="AS163" s="1281">
        <v>0</v>
      </c>
      <c r="AT163" s="1281">
        <v>0</v>
      </c>
      <c r="AU163" s="1281">
        <v>0</v>
      </c>
      <c r="AV163" s="1281">
        <v>0</v>
      </c>
      <c r="AW163" s="1281">
        <f>SUM(AS163:AV163)</f>
        <v>0</v>
      </c>
      <c r="AX163" s="1298"/>
      <c r="AY163" s="1281">
        <v>0</v>
      </c>
      <c r="AZ163" s="1281">
        <v>0</v>
      </c>
      <c r="BA163" s="1281">
        <v>0</v>
      </c>
      <c r="BB163" s="1281">
        <v>0</v>
      </c>
      <c r="BC163" s="1281">
        <f>SUM(AY163:BB163)</f>
        <v>0</v>
      </c>
      <c r="BD163" s="1298"/>
      <c r="BE163" s="1281">
        <v>0</v>
      </c>
      <c r="BF163" s="1281">
        <v>0</v>
      </c>
      <c r="BG163" s="1281">
        <v>0</v>
      </c>
      <c r="BH163" s="1281">
        <v>0</v>
      </c>
      <c r="BI163" s="1281">
        <f>SUM(BE163:BH163)</f>
        <v>0</v>
      </c>
      <c r="BJ163" s="1298"/>
      <c r="BK163" s="1281">
        <v>0</v>
      </c>
      <c r="BL163" s="1281">
        <v>0</v>
      </c>
      <c r="BM163" s="1281">
        <v>0</v>
      </c>
      <c r="BN163" s="1281">
        <v>0</v>
      </c>
      <c r="BO163" s="1281">
        <f>SUM(BK163:BN163)</f>
        <v>0</v>
      </c>
      <c r="BP163" s="1298"/>
      <c r="BQ163" s="1281">
        <v>0</v>
      </c>
      <c r="BR163" s="1281">
        <v>0</v>
      </c>
      <c r="BS163" s="1281">
        <v>0</v>
      </c>
      <c r="BT163" s="1281">
        <v>0</v>
      </c>
      <c r="BU163" s="1281">
        <f>SUM(BQ163:BT163)</f>
        <v>0</v>
      </c>
      <c r="BV163" s="1298"/>
      <c r="BW163" s="1281">
        <v>0</v>
      </c>
      <c r="BX163" s="1281">
        <v>0</v>
      </c>
      <c r="BY163" s="1281">
        <v>98</v>
      </c>
      <c r="BZ163" s="1281">
        <v>121</v>
      </c>
      <c r="CA163" s="1281">
        <f>SUM(BW163:BZ163)</f>
        <v>219</v>
      </c>
      <c r="CB163" s="1298"/>
      <c r="CC163" s="1281">
        <v>123</v>
      </c>
      <c r="CD163" s="1281">
        <v>126</v>
      </c>
      <c r="CE163" s="1281">
        <v>148</v>
      </c>
      <c r="CF163" s="1281">
        <v>185</v>
      </c>
      <c r="CG163" s="1321">
        <f>SUM(CC163:CF163)</f>
        <v>582</v>
      </c>
      <c r="CH163" s="1298"/>
      <c r="CI163" s="1281">
        <v>198</v>
      </c>
      <c r="CJ163" s="1281">
        <v>202</v>
      </c>
      <c r="CK163" s="1281">
        <v>222</v>
      </c>
      <c r="CL163" s="1281">
        <v>255</v>
      </c>
      <c r="CM163" s="1321">
        <f>SUM(CI163:CL163)</f>
        <v>877</v>
      </c>
      <c r="CN163" s="1298"/>
      <c r="CO163" s="1281">
        <v>285</v>
      </c>
      <c r="CP163" s="1281">
        <v>290</v>
      </c>
      <c r="CQ163" s="1281">
        <v>292</v>
      </c>
      <c r="CR163" s="1281">
        <v>344</v>
      </c>
      <c r="CS163" s="1321">
        <f>SUM(CO163:CR163)</f>
        <v>1211</v>
      </c>
      <c r="CT163" s="1298"/>
      <c r="CU163" s="1281">
        <v>413</v>
      </c>
      <c r="CV163" s="1281">
        <v>427</v>
      </c>
      <c r="CW163" s="1281">
        <v>437</v>
      </c>
      <c r="CX163" s="1281">
        <v>437</v>
      </c>
      <c r="CY163" s="1321">
        <f>SUM(CU163:CX163)</f>
        <v>1714</v>
      </c>
      <c r="CZ163" s="1298"/>
      <c r="DA163" s="1281">
        <v>431</v>
      </c>
      <c r="DB163" s="1281">
        <v>436</v>
      </c>
      <c r="DC163" s="1281">
        <v>502</v>
      </c>
      <c r="DD163" s="1281">
        <v>605</v>
      </c>
      <c r="DE163" s="1321">
        <f>SUM(DA163:DD163)</f>
        <v>1974</v>
      </c>
      <c r="DF163" s="1298"/>
      <c r="DG163" s="1281">
        <v>603</v>
      </c>
      <c r="DH163" s="1281">
        <v>614</v>
      </c>
      <c r="DI163" s="1281">
        <v>612</v>
      </c>
      <c r="DJ163" s="1281">
        <v>598</v>
      </c>
      <c r="DK163" s="1321">
        <f>SUM(DG163:DJ163)</f>
        <v>2427</v>
      </c>
      <c r="DL163" s="1298"/>
      <c r="DM163" s="1351">
        <v>592</v>
      </c>
      <c r="DN163" s="1351">
        <v>592</v>
      </c>
      <c r="DO163" s="1351">
        <v>606</v>
      </c>
      <c r="DP163" s="1351">
        <v>640</v>
      </c>
      <c r="DQ163" s="1321">
        <f>SUM(DM163:DP163)</f>
        <v>2430</v>
      </c>
      <c r="DR163" s="1298"/>
      <c r="DS163" s="1351">
        <v>619</v>
      </c>
      <c r="DT163" s="1351">
        <v>584</v>
      </c>
      <c r="DU163" s="1351">
        <v>586</v>
      </c>
      <c r="DV163" s="1351">
        <v>596</v>
      </c>
      <c r="DW163" s="1321">
        <f>SUM(DS163:DV163)</f>
        <v>2385</v>
      </c>
      <c r="DX163" s="1298"/>
      <c r="DY163" s="1351">
        <v>595</v>
      </c>
      <c r="DZ163" s="1351">
        <v>577</v>
      </c>
      <c r="EA163" s="1351">
        <v>560</v>
      </c>
      <c r="EB163" s="1351">
        <v>568</v>
      </c>
      <c r="EC163" s="1321">
        <f>SUM(DY163:EB163)</f>
        <v>2300</v>
      </c>
      <c r="ED163" s="1298"/>
      <c r="EE163" s="1351">
        <v>547</v>
      </c>
      <c r="EF163" s="1351">
        <v>568</v>
      </c>
      <c r="EG163" s="1351">
        <v>527</v>
      </c>
      <c r="EH163" s="1351">
        <v>507</v>
      </c>
      <c r="EI163" s="1321">
        <f t="shared" si="125"/>
        <v>2149</v>
      </c>
      <c r="EJ163" s="1298"/>
      <c r="EK163" s="1351">
        <v>452</v>
      </c>
      <c r="EL163" s="1351">
        <f>'Balance Sheet'!EL147</f>
        <v>423</v>
      </c>
      <c r="EM163" s="1351">
        <f>'Balance Sheet'!EM147</f>
        <v>408</v>
      </c>
      <c r="EN163" s="1351">
        <v>355</v>
      </c>
      <c r="EO163" s="1321">
        <f>SUM(EK163:EN163)</f>
        <v>1638</v>
      </c>
      <c r="EP163" s="1298"/>
      <c r="EQ163" s="1351">
        <v>311</v>
      </c>
      <c r="ER163" s="1351">
        <f>'Balance Sheet'!ER147</f>
        <v>302</v>
      </c>
      <c r="ES163" s="1351">
        <f>'Balance Sheet'!ES147</f>
        <v>397</v>
      </c>
      <c r="ET163" s="1351">
        <v>441</v>
      </c>
      <c r="EU163" s="1321">
        <f>SUM(EQ163:ET163)</f>
        <v>1451</v>
      </c>
      <c r="EV163" s="1298"/>
      <c r="EW163" s="1351">
        <v>411</v>
      </c>
      <c r="EX163" s="1351">
        <v>400</v>
      </c>
      <c r="EY163" s="1351">
        <v>394</v>
      </c>
      <c r="EZ163" s="1351">
        <f>'Balance Sheet'!EZ147</f>
        <v>390.88809839623775</v>
      </c>
      <c r="FA163" s="1321">
        <f>SUM(EW163:EZ163)</f>
        <v>1595.8880983962376</v>
      </c>
      <c r="FB163" s="1298"/>
      <c r="FC163" s="1351">
        <f>'Balance Sheet'!FC147</f>
        <v>269.3576154588207</v>
      </c>
      <c r="FD163" s="1351">
        <f>'Balance Sheet'!FD147</f>
        <v>267.87614857379714</v>
      </c>
      <c r="FE163" s="1351">
        <f>'Balance Sheet'!FE147</f>
        <v>266.40282975664127</v>
      </c>
      <c r="FF163" s="1351">
        <f>'Balance Sheet'!FF147</f>
        <v>264.93761419297971</v>
      </c>
      <c r="FG163" s="1321">
        <f>SUM(FC163:FF163)</f>
        <v>1068.5742079822389</v>
      </c>
      <c r="FH163" s="1298"/>
      <c r="FI163" s="1351">
        <f>'Balance Sheet'!FI147</f>
        <v>263.48045731491834</v>
      </c>
      <c r="FJ163" s="1351">
        <f>'Balance Sheet'!FJ147</f>
        <v>262.0313147996863</v>
      </c>
      <c r="FK163" s="1351">
        <f>'Balance Sheet'!FK147</f>
        <v>260.590142568288</v>
      </c>
      <c r="FL163" s="1351">
        <f>'Balance Sheet'!FL147</f>
        <v>259.15689678416243</v>
      </c>
      <c r="FM163" s="1321">
        <f>SUM(FI163:FL163)</f>
        <v>1045.258811467055</v>
      </c>
      <c r="FN163" s="226"/>
      <c r="FO163" s="227"/>
      <c r="FS163" s="227"/>
      <c r="GI163"/>
      <c r="GJ163"/>
      <c r="GK163"/>
      <c r="GL163"/>
      <c r="GM163"/>
      <c r="GN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</row>
    <row r="164" spans="1:281" s="33" customFormat="1" ht="10.5" hidden="1" customHeight="1" outlineLevel="1" x14ac:dyDescent="0.2">
      <c r="A164" s="1334" t="s">
        <v>660</v>
      </c>
      <c r="B164" s="1350"/>
      <c r="C164" s="1281">
        <v>0</v>
      </c>
      <c r="D164" s="1281">
        <v>0</v>
      </c>
      <c r="E164" s="1281">
        <v>0</v>
      </c>
      <c r="F164" s="1281">
        <v>0</v>
      </c>
      <c r="G164" s="1281">
        <v>0</v>
      </c>
      <c r="H164" s="1281">
        <v>0</v>
      </c>
      <c r="I164" s="1281">
        <v>0</v>
      </c>
      <c r="J164" s="1281">
        <v>0</v>
      </c>
      <c r="K164" s="1281">
        <v>0</v>
      </c>
      <c r="L164" s="1281">
        <v>0</v>
      </c>
      <c r="M164" s="1281">
        <v>0</v>
      </c>
      <c r="N164" s="1298"/>
      <c r="O164" s="1281">
        <v>0</v>
      </c>
      <c r="P164" s="1281">
        <v>0</v>
      </c>
      <c r="Q164" s="1281">
        <v>0</v>
      </c>
      <c r="R164" s="1281">
        <v>0</v>
      </c>
      <c r="S164" s="1281">
        <f>SUM(O164:R164)</f>
        <v>0</v>
      </c>
      <c r="T164" s="1298"/>
      <c r="U164" s="1281">
        <v>0</v>
      </c>
      <c r="V164" s="1281">
        <v>0</v>
      </c>
      <c r="W164" s="1281">
        <v>0</v>
      </c>
      <c r="X164" s="1281">
        <v>0</v>
      </c>
      <c r="Y164" s="1281">
        <f>SUM(U164:X164)</f>
        <v>0</v>
      </c>
      <c r="Z164" s="1298"/>
      <c r="AA164" s="1281">
        <v>0</v>
      </c>
      <c r="AB164" s="1281">
        <v>0</v>
      </c>
      <c r="AC164" s="1281">
        <v>0</v>
      </c>
      <c r="AD164" s="1281">
        <v>0</v>
      </c>
      <c r="AE164" s="1281">
        <f>SUM(AA164:AD164)</f>
        <v>0</v>
      </c>
      <c r="AF164" s="1298"/>
      <c r="AG164" s="1281">
        <v>0</v>
      </c>
      <c r="AH164" s="1281">
        <v>0</v>
      </c>
      <c r="AI164" s="1281">
        <v>0</v>
      </c>
      <c r="AJ164" s="1281">
        <v>0</v>
      </c>
      <c r="AK164" s="1281">
        <f>SUM(AG164:AJ164)</f>
        <v>0</v>
      </c>
      <c r="AL164" s="1298"/>
      <c r="AM164" s="1281">
        <v>0</v>
      </c>
      <c r="AN164" s="1281">
        <v>0</v>
      </c>
      <c r="AO164" s="1281">
        <v>0</v>
      </c>
      <c r="AP164" s="1281">
        <v>0</v>
      </c>
      <c r="AQ164" s="1281">
        <f>SUM(AM164:AP164)</f>
        <v>0</v>
      </c>
      <c r="AR164" s="1298"/>
      <c r="AS164" s="1281">
        <v>0</v>
      </c>
      <c r="AT164" s="1281">
        <v>0</v>
      </c>
      <c r="AU164" s="1281">
        <v>0</v>
      </c>
      <c r="AV164" s="1281">
        <v>0</v>
      </c>
      <c r="AW164" s="1281">
        <f>SUM(AS164:AV164)</f>
        <v>0</v>
      </c>
      <c r="AX164" s="1298"/>
      <c r="AY164" s="1281">
        <v>0</v>
      </c>
      <c r="AZ164" s="1281">
        <v>0</v>
      </c>
      <c r="BA164" s="1281">
        <v>0</v>
      </c>
      <c r="BB164" s="1281">
        <v>0</v>
      </c>
      <c r="BC164" s="1281">
        <f>SUM(AY164:BB164)</f>
        <v>0</v>
      </c>
      <c r="BD164" s="1298"/>
      <c r="BE164" s="1281">
        <v>0</v>
      </c>
      <c r="BF164" s="1281">
        <v>0</v>
      </c>
      <c r="BG164" s="1281">
        <v>0</v>
      </c>
      <c r="BH164" s="1281">
        <v>0</v>
      </c>
      <c r="BI164" s="1281">
        <f>SUM(BE164:BH164)</f>
        <v>0</v>
      </c>
      <c r="BJ164" s="1298"/>
      <c r="BK164" s="1281">
        <v>0</v>
      </c>
      <c r="BL164" s="1281">
        <v>0</v>
      </c>
      <c r="BM164" s="1281">
        <v>0</v>
      </c>
      <c r="BN164" s="1281">
        <v>0</v>
      </c>
      <c r="BO164" s="1281">
        <f>SUM(BK164:BN164)</f>
        <v>0</v>
      </c>
      <c r="BP164" s="1298"/>
      <c r="BQ164" s="1281">
        <v>0</v>
      </c>
      <c r="BR164" s="1281">
        <v>0</v>
      </c>
      <c r="BS164" s="1281">
        <v>0</v>
      </c>
      <c r="BT164" s="1281">
        <v>0</v>
      </c>
      <c r="BU164" s="1281">
        <f>SUM(BQ164:BT164)</f>
        <v>0</v>
      </c>
      <c r="BV164" s="1298"/>
      <c r="BW164" s="1281">
        <v>0</v>
      </c>
      <c r="BX164" s="1281">
        <v>0</v>
      </c>
      <c r="BY164" s="1281">
        <f>107</f>
        <v>107</v>
      </c>
      <c r="BZ164" s="1281">
        <v>40</v>
      </c>
      <c r="CA164" s="1281">
        <f>SUM(BW164:BZ164)</f>
        <v>147</v>
      </c>
      <c r="CB164" s="1298"/>
      <c r="CC164" s="1281">
        <v>11</v>
      </c>
      <c r="CD164" s="1281">
        <v>10</v>
      </c>
      <c r="CE164" s="1281">
        <v>27</v>
      </c>
      <c r="CF164" s="1281">
        <v>48</v>
      </c>
      <c r="CG164" s="1321">
        <f>SUM(CC164:CF164)</f>
        <v>96</v>
      </c>
      <c r="CH164" s="1298"/>
      <c r="CI164" s="1281">
        <v>7</v>
      </c>
      <c r="CJ164" s="1281">
        <v>9</v>
      </c>
      <c r="CK164" s="1281">
        <v>3</v>
      </c>
      <c r="CL164" s="1281">
        <v>0</v>
      </c>
      <c r="CM164" s="1321">
        <f>SUM(CI164:CL164)</f>
        <v>19</v>
      </c>
      <c r="CN164" s="1298"/>
      <c r="CO164" s="1281">
        <v>0</v>
      </c>
      <c r="CP164" s="1281">
        <v>6</v>
      </c>
      <c r="CQ164" s="1281">
        <v>8</v>
      </c>
      <c r="CR164" s="1281">
        <v>27</v>
      </c>
      <c r="CS164" s="1321">
        <f>SUM(CO164:CR164)</f>
        <v>41</v>
      </c>
      <c r="CT164" s="1298"/>
      <c r="CU164" s="1281">
        <v>0</v>
      </c>
      <c r="CV164" s="1281">
        <v>17</v>
      </c>
      <c r="CW164" s="1281">
        <v>15</v>
      </c>
      <c r="CX164" s="1281">
        <v>71</v>
      </c>
      <c r="CY164" s="1321">
        <f>SUM(CU164:CX164)</f>
        <v>103</v>
      </c>
      <c r="CZ164" s="1298"/>
      <c r="DA164" s="1281">
        <v>48</v>
      </c>
      <c r="DB164" s="1281">
        <v>114</v>
      </c>
      <c r="DC164" s="1281">
        <v>306</v>
      </c>
      <c r="DD164" s="1281">
        <v>154</v>
      </c>
      <c r="DE164" s="1321">
        <f>SUM(DA164:DD164)</f>
        <v>622</v>
      </c>
      <c r="DF164" s="1298"/>
      <c r="DG164" s="1281">
        <v>129</v>
      </c>
      <c r="DH164" s="1281">
        <v>189</v>
      </c>
      <c r="DI164" s="1281">
        <v>92</v>
      </c>
      <c r="DJ164" s="1281">
        <v>77</v>
      </c>
      <c r="DK164" s="1321">
        <f>SUM(DG164:DJ164)</f>
        <v>487</v>
      </c>
      <c r="DL164" s="1298"/>
      <c r="DM164" s="1351">
        <v>101</v>
      </c>
      <c r="DN164" s="1351">
        <v>52</v>
      </c>
      <c r="DO164" s="1351">
        <v>64</v>
      </c>
      <c r="DP164" s="1351">
        <v>77</v>
      </c>
      <c r="DQ164" s="1321">
        <f>SUM(DM164:DP164)</f>
        <v>294</v>
      </c>
      <c r="DR164" s="1298"/>
      <c r="DS164" s="1351">
        <v>145</v>
      </c>
      <c r="DT164" s="1351">
        <v>131</v>
      </c>
      <c r="DU164" s="1351">
        <v>42</v>
      </c>
      <c r="DV164" s="1351">
        <v>34</v>
      </c>
      <c r="DW164" s="1321">
        <f>SUM(DS164:DV164)</f>
        <v>352</v>
      </c>
      <c r="DX164" s="1298"/>
      <c r="DY164" s="1351">
        <v>56</v>
      </c>
      <c r="DZ164" s="1351">
        <v>52</v>
      </c>
      <c r="EA164" s="1351">
        <v>38</v>
      </c>
      <c r="EB164" s="1351">
        <v>37</v>
      </c>
      <c r="EC164" s="1321">
        <f>SUM(DY164:EB164)</f>
        <v>183</v>
      </c>
      <c r="ED164" s="1298"/>
      <c r="EE164" s="1351">
        <v>69</v>
      </c>
      <c r="EF164" s="1351">
        <v>51</v>
      </c>
      <c r="EG164" s="1351">
        <v>48</v>
      </c>
      <c r="EH164" s="1351">
        <v>39</v>
      </c>
      <c r="EI164" s="1321">
        <f t="shared" si="125"/>
        <v>207</v>
      </c>
      <c r="EJ164" s="1298"/>
      <c r="EK164" s="1351">
        <v>83</v>
      </c>
      <c r="EL164" s="1351">
        <v>95</v>
      </c>
      <c r="EM164" s="1351">
        <v>115</v>
      </c>
      <c r="EN164" s="1351">
        <v>165</v>
      </c>
      <c r="EO164" s="1321">
        <f>SUM(EK164:EN164)</f>
        <v>458</v>
      </c>
      <c r="EP164" s="1298"/>
      <c r="EQ164" s="1351">
        <v>99</v>
      </c>
      <c r="ER164" s="1351">
        <v>86</v>
      </c>
      <c r="ES164" s="1351">
        <v>161</v>
      </c>
      <c r="ET164" s="1351">
        <v>118</v>
      </c>
      <c r="EU164" s="1321">
        <f>SUM(EQ164:ET164)</f>
        <v>464</v>
      </c>
      <c r="EV164" s="1298"/>
      <c r="EW164" s="1351">
        <v>124</v>
      </c>
      <c r="EX164" s="1351">
        <v>292</v>
      </c>
      <c r="EY164" s="1351">
        <v>91</v>
      </c>
      <c r="EZ164" s="1351">
        <v>0</v>
      </c>
      <c r="FA164" s="1321">
        <f>SUM(EW164:EZ164)</f>
        <v>507</v>
      </c>
      <c r="FB164" s="1298"/>
      <c r="FC164" s="1351">
        <v>0</v>
      </c>
      <c r="FD164" s="1351">
        <v>0</v>
      </c>
      <c r="FE164" s="1351">
        <v>0</v>
      </c>
      <c r="FF164" s="1351">
        <v>0</v>
      </c>
      <c r="FG164" s="1321">
        <f>SUM(FC164:FF164)</f>
        <v>0</v>
      </c>
      <c r="FH164" s="1298"/>
      <c r="FI164" s="1351">
        <v>0</v>
      </c>
      <c r="FJ164" s="1351">
        <v>0</v>
      </c>
      <c r="FK164" s="1351">
        <v>0</v>
      </c>
      <c r="FL164" s="1351">
        <v>0</v>
      </c>
      <c r="FM164" s="1321">
        <f>SUM(FI164:FL164)</f>
        <v>0</v>
      </c>
      <c r="FN164" s="226"/>
      <c r="FO164" s="227"/>
      <c r="FS164" s="227"/>
      <c r="GI164"/>
      <c r="GJ164"/>
      <c r="GK164"/>
      <c r="GL164"/>
      <c r="GM164"/>
      <c r="GN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</row>
    <row r="165" spans="1:281" s="33" customFormat="1" ht="10.5" hidden="1" customHeight="1" outlineLevel="1" x14ac:dyDescent="0.2">
      <c r="A165" s="1283" t="s">
        <v>661</v>
      </c>
      <c r="B165" s="1350"/>
      <c r="C165" s="1266">
        <v>0</v>
      </c>
      <c r="D165" s="1266">
        <v>0</v>
      </c>
      <c r="E165" s="1266">
        <v>0</v>
      </c>
      <c r="F165" s="1266">
        <v>0</v>
      </c>
      <c r="G165" s="1266">
        <v>0</v>
      </c>
      <c r="H165" s="1266">
        <v>0</v>
      </c>
      <c r="I165" s="1266">
        <v>0</v>
      </c>
      <c r="J165" s="1266">
        <v>0</v>
      </c>
      <c r="K165" s="1266">
        <v>0</v>
      </c>
      <c r="L165" s="1266">
        <v>0</v>
      </c>
      <c r="M165" s="1266">
        <v>0</v>
      </c>
      <c r="N165" s="1283"/>
      <c r="O165" s="1266">
        <v>0</v>
      </c>
      <c r="P165" s="1266">
        <v>0</v>
      </c>
      <c r="Q165" s="1266">
        <v>0</v>
      </c>
      <c r="R165" s="1266">
        <v>0</v>
      </c>
      <c r="S165" s="1266">
        <f>SUM(O165:R165)</f>
        <v>0</v>
      </c>
      <c r="T165" s="1283"/>
      <c r="U165" s="1266">
        <v>0</v>
      </c>
      <c r="V165" s="1266">
        <v>0</v>
      </c>
      <c r="W165" s="1266">
        <v>0</v>
      </c>
      <c r="X165" s="1266">
        <v>0</v>
      </c>
      <c r="Y165" s="1266">
        <f>SUM(U165:X165)</f>
        <v>0</v>
      </c>
      <c r="Z165" s="1283"/>
      <c r="AA165" s="1266">
        <v>0</v>
      </c>
      <c r="AB165" s="1266">
        <v>0</v>
      </c>
      <c r="AC165" s="1266">
        <v>0</v>
      </c>
      <c r="AD165" s="1266">
        <v>0</v>
      </c>
      <c r="AE165" s="1266">
        <f>SUM(AA165:AD165)</f>
        <v>0</v>
      </c>
      <c r="AF165" s="1283"/>
      <c r="AG165" s="1266">
        <v>0</v>
      </c>
      <c r="AH165" s="1266">
        <v>0</v>
      </c>
      <c r="AI165" s="1266">
        <v>0</v>
      </c>
      <c r="AJ165" s="1266">
        <v>0</v>
      </c>
      <c r="AK165" s="1266">
        <f>SUM(AG165:AJ165)</f>
        <v>0</v>
      </c>
      <c r="AL165" s="1283"/>
      <c r="AM165" s="1266">
        <v>0</v>
      </c>
      <c r="AN165" s="1266">
        <v>0</v>
      </c>
      <c r="AO165" s="1266">
        <v>0</v>
      </c>
      <c r="AP165" s="1266">
        <v>0</v>
      </c>
      <c r="AQ165" s="1266">
        <f>SUM(AM165:AP165)</f>
        <v>0</v>
      </c>
      <c r="AR165" s="1283"/>
      <c r="AS165" s="1266">
        <v>0</v>
      </c>
      <c r="AT165" s="1266">
        <v>0</v>
      </c>
      <c r="AU165" s="1266">
        <v>0</v>
      </c>
      <c r="AV165" s="1266">
        <v>0</v>
      </c>
      <c r="AW165" s="1266">
        <f>SUM(AS165:AV165)</f>
        <v>0</v>
      </c>
      <c r="AX165" s="1283"/>
      <c r="AY165" s="1266">
        <v>0</v>
      </c>
      <c r="AZ165" s="1266">
        <v>0</v>
      </c>
      <c r="BA165" s="1266">
        <v>0</v>
      </c>
      <c r="BB165" s="1266">
        <v>0</v>
      </c>
      <c r="BC165" s="1266">
        <f>SUM(AY165:BB165)</f>
        <v>0</v>
      </c>
      <c r="BD165" s="1283"/>
      <c r="BE165" s="1266">
        <v>0</v>
      </c>
      <c r="BF165" s="1266">
        <v>0</v>
      </c>
      <c r="BG165" s="1266">
        <v>0</v>
      </c>
      <c r="BH165" s="1266">
        <v>0</v>
      </c>
      <c r="BI165" s="1266">
        <f>SUM(BE165:BH165)</f>
        <v>0</v>
      </c>
      <c r="BJ165" s="1283"/>
      <c r="BK165" s="1266">
        <v>0</v>
      </c>
      <c r="BL165" s="1266">
        <v>0</v>
      </c>
      <c r="BM165" s="1266">
        <v>0</v>
      </c>
      <c r="BN165" s="1266">
        <v>0</v>
      </c>
      <c r="BO165" s="1266">
        <f>SUM(BK165:BN165)</f>
        <v>0</v>
      </c>
      <c r="BP165" s="1283"/>
      <c r="BQ165" s="1266">
        <v>0</v>
      </c>
      <c r="BR165" s="1266">
        <v>0</v>
      </c>
      <c r="BS165" s="1266">
        <v>0</v>
      </c>
      <c r="BT165" s="1266">
        <v>0</v>
      </c>
      <c r="BU165" s="1266">
        <f>SUM(BQ165:BT165)</f>
        <v>0</v>
      </c>
      <c r="BV165" s="1283"/>
      <c r="BW165" s="1266">
        <v>0</v>
      </c>
      <c r="BX165" s="1266">
        <v>0</v>
      </c>
      <c r="BY165" s="1266">
        <v>10</v>
      </c>
      <c r="BZ165" s="1266">
        <f>4+1+4+6</f>
        <v>15</v>
      </c>
      <c r="CA165" s="1266">
        <f>SUM(BW165:BZ165)</f>
        <v>25</v>
      </c>
      <c r="CB165" s="1283"/>
      <c r="CC165" s="1266">
        <f>2+1+2+4</f>
        <v>9</v>
      </c>
      <c r="CD165" s="1266">
        <f>2+1+4</f>
        <v>7</v>
      </c>
      <c r="CE165" s="1266">
        <v>8</v>
      </c>
      <c r="CF165" s="1266">
        <v>8</v>
      </c>
      <c r="CG165" s="1352">
        <f>SUM(CC165:CF165)</f>
        <v>32</v>
      </c>
      <c r="CH165" s="1283"/>
      <c r="CI165" s="1266">
        <f>CI156</f>
        <v>50</v>
      </c>
      <c r="CJ165" s="1266">
        <f>CJ156</f>
        <v>47</v>
      </c>
      <c r="CK165" s="1266">
        <f>CK156</f>
        <v>48</v>
      </c>
      <c r="CL165" s="1266">
        <f>CL156</f>
        <v>53</v>
      </c>
      <c r="CM165" s="1352">
        <f>SUM(CI165:CL165)</f>
        <v>198</v>
      </c>
      <c r="CN165" s="1283"/>
      <c r="CO165" s="1266">
        <f>CO156</f>
        <v>69</v>
      </c>
      <c r="CP165" s="1266">
        <v>63</v>
      </c>
      <c r="CQ165" s="1266">
        <v>62</v>
      </c>
      <c r="CR165" s="1266">
        <v>64</v>
      </c>
      <c r="CS165" s="1352">
        <f>SUM(CO165:CR165)</f>
        <v>258</v>
      </c>
      <c r="CT165" s="1283"/>
      <c r="CU165" s="1266">
        <v>86</v>
      </c>
      <c r="CV165" s="1266">
        <v>89</v>
      </c>
      <c r="CW165" s="1266">
        <v>85</v>
      </c>
      <c r="CX165" s="1266">
        <v>82</v>
      </c>
      <c r="CY165" s="1352">
        <f>SUM(CU165:CX165)</f>
        <v>342</v>
      </c>
      <c r="CZ165" s="1283"/>
      <c r="DA165" s="1266">
        <v>84</v>
      </c>
      <c r="DB165" s="1266">
        <f>DB156</f>
        <v>104</v>
      </c>
      <c r="DC165" s="1266">
        <v>112</v>
      </c>
      <c r="DD165" s="1266">
        <v>126</v>
      </c>
      <c r="DE165" s="1352">
        <f>SUM(DA165:DD165)</f>
        <v>426</v>
      </c>
      <c r="DF165" s="1283"/>
      <c r="DG165" s="1266">
        <v>129</v>
      </c>
      <c r="DH165" s="1266">
        <v>119</v>
      </c>
      <c r="DI165" s="1266">
        <v>128</v>
      </c>
      <c r="DJ165" s="1266">
        <v>127</v>
      </c>
      <c r="DK165" s="1352">
        <f>SUM(DG165:DJ165)</f>
        <v>503</v>
      </c>
      <c r="DL165" s="1283"/>
      <c r="DM165" s="1353">
        <v>147</v>
      </c>
      <c r="DN165" s="1353">
        <v>150</v>
      </c>
      <c r="DO165" s="1353">
        <v>157</v>
      </c>
      <c r="DP165" s="1353">
        <v>184</v>
      </c>
      <c r="DQ165" s="1352">
        <f>SUM(DM165:DP165)</f>
        <v>638</v>
      </c>
      <c r="DR165" s="1283"/>
      <c r="DS165" s="1353">
        <v>176</v>
      </c>
      <c r="DT165" s="1353">
        <v>188</v>
      </c>
      <c r="DU165" s="1353">
        <v>172</v>
      </c>
      <c r="DV165" s="1353">
        <f>+DV239</f>
        <v>185.28829667646059</v>
      </c>
      <c r="DW165" s="1352">
        <f>SUM(DS165:DV165)</f>
        <v>721.28829667646062</v>
      </c>
      <c r="DX165" s="1283"/>
      <c r="DY165" s="1353">
        <f>+DY239</f>
        <v>198</v>
      </c>
      <c r="DZ165" s="1353">
        <f>+DZ239</f>
        <v>183</v>
      </c>
      <c r="EA165" s="1353">
        <f>+EA239</f>
        <v>198</v>
      </c>
      <c r="EB165" s="1353">
        <f>+EB239</f>
        <v>190</v>
      </c>
      <c r="EC165" s="1352">
        <f>SUM(DY165:EB165)</f>
        <v>769</v>
      </c>
      <c r="ED165" s="1283"/>
      <c r="EE165" s="1353">
        <f>+EE239</f>
        <v>212</v>
      </c>
      <c r="EF165" s="1353">
        <f>+EF239</f>
        <v>240</v>
      </c>
      <c r="EG165" s="1353">
        <f>+EG239</f>
        <v>234</v>
      </c>
      <c r="EH165" s="1353">
        <f>+EH239</f>
        <v>244</v>
      </c>
      <c r="EI165" s="1352">
        <f t="shared" si="125"/>
        <v>930</v>
      </c>
      <c r="EJ165" s="1283"/>
      <c r="EK165" s="1353">
        <f>+EK239</f>
        <v>250</v>
      </c>
      <c r="EL165" s="1353">
        <v>254</v>
      </c>
      <c r="EM165" s="1353">
        <v>260</v>
      </c>
      <c r="EN165" s="1353">
        <f>+EN239</f>
        <v>269</v>
      </c>
      <c r="EO165" s="1352">
        <f>SUM(EK165:EN165)</f>
        <v>1033</v>
      </c>
      <c r="EP165" s="1283"/>
      <c r="EQ165" s="1353">
        <f>+EQ239</f>
        <v>319</v>
      </c>
      <c r="ER165" s="1353">
        <f>242+59+6</f>
        <v>307</v>
      </c>
      <c r="ES165" s="1353">
        <f>247+75+6</f>
        <v>328</v>
      </c>
      <c r="ET165" s="1353">
        <v>334</v>
      </c>
      <c r="EU165" s="1352">
        <f>SUM(EQ165:ET165)</f>
        <v>1288</v>
      </c>
      <c r="EV165" s="1283"/>
      <c r="EW165" s="1353">
        <f>+EW239</f>
        <v>302</v>
      </c>
      <c r="EX165" s="1353">
        <v>413</v>
      </c>
      <c r="EY165" s="1353">
        <f>84+288+11+3</f>
        <v>386</v>
      </c>
      <c r="EZ165" s="1353">
        <f>+EZ239</f>
        <v>368.37485726736128</v>
      </c>
      <c r="FA165" s="1352">
        <f>SUM(EW165:EZ165)</f>
        <v>1469.3748572673612</v>
      </c>
      <c r="FB165" s="1283"/>
      <c r="FC165" s="1353">
        <f>+FC239</f>
        <v>402.96541119750179</v>
      </c>
      <c r="FD165" s="1353">
        <f>+FD239</f>
        <v>402.96541119750179</v>
      </c>
      <c r="FE165" s="1353">
        <f>+FE239</f>
        <v>402.96541119750179</v>
      </c>
      <c r="FF165" s="1353">
        <f>+FF239</f>
        <v>402.96541119750179</v>
      </c>
      <c r="FG165" s="1352">
        <f>SUM(FC165:FF165)</f>
        <v>1611.8616447900072</v>
      </c>
      <c r="FH165" s="1283"/>
      <c r="FI165" s="1353">
        <f>+FI239</f>
        <v>442.929379426048</v>
      </c>
      <c r="FJ165" s="1353">
        <f>+FJ239</f>
        <v>442.929379426048</v>
      </c>
      <c r="FK165" s="1353">
        <f>+FK239</f>
        <v>442.929379426048</v>
      </c>
      <c r="FL165" s="1353">
        <f>+FL239</f>
        <v>442.929379426048</v>
      </c>
      <c r="FM165" s="1352">
        <f>SUM(FI165:FL165)</f>
        <v>1771.717517704192</v>
      </c>
      <c r="FN165" s="226"/>
      <c r="FO165" s="227"/>
      <c r="FS165" s="227"/>
      <c r="GI165"/>
      <c r="GJ165"/>
      <c r="GK165"/>
      <c r="GL165"/>
      <c r="GM165"/>
      <c r="GN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</row>
    <row r="166" spans="1:281" s="33" customFormat="1" ht="5.25" customHeight="1" collapsed="1" x14ac:dyDescent="0.2">
      <c r="A166" s="41"/>
      <c r="B166" s="954"/>
      <c r="N166" s="242"/>
      <c r="T166" s="242"/>
      <c r="Z166" s="242"/>
      <c r="AF166" s="242"/>
      <c r="AL166" s="242"/>
      <c r="AR166" s="242"/>
      <c r="AX166" s="242"/>
      <c r="BD166" s="242"/>
      <c r="BJ166" s="242"/>
      <c r="BP166" s="242"/>
      <c r="BV166" s="242"/>
      <c r="CB166" s="242"/>
      <c r="CG166" s="226"/>
      <c r="CH166" s="242"/>
      <c r="CM166" s="226"/>
      <c r="CN166" s="242"/>
      <c r="CS166" s="226"/>
      <c r="CT166" s="242"/>
      <c r="CY166" s="226"/>
      <c r="CZ166" s="242"/>
      <c r="DE166" s="226"/>
      <c r="DF166" s="242"/>
      <c r="DK166" s="226"/>
      <c r="DL166" s="242"/>
      <c r="DQ166" s="226"/>
      <c r="DR166" s="242"/>
      <c r="DW166" s="226"/>
      <c r="DX166" s="242"/>
      <c r="EC166" s="226"/>
      <c r="ED166" s="242"/>
      <c r="EI166" s="226"/>
      <c r="EJ166" s="242"/>
      <c r="EO166" s="226"/>
      <c r="EP166" s="242"/>
      <c r="EU166" s="226"/>
      <c r="EV166" s="242"/>
      <c r="FA166" s="226"/>
      <c r="FB166" s="242"/>
      <c r="FG166" s="226"/>
      <c r="FH166" s="242"/>
      <c r="FM166" s="226"/>
      <c r="FN166" s="226"/>
      <c r="FO166" s="227"/>
      <c r="FS166" s="227"/>
      <c r="GI166"/>
      <c r="GJ166"/>
      <c r="GK166"/>
      <c r="GL166"/>
      <c r="GM166"/>
      <c r="GN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</row>
    <row r="167" spans="1:281" s="33" customFormat="1" ht="10.5" customHeight="1" x14ac:dyDescent="0.2">
      <c r="A167" s="273" t="s">
        <v>800</v>
      </c>
      <c r="B167" s="954" t="s">
        <v>801</v>
      </c>
      <c r="C167" s="244">
        <f t="shared" ref="C167:M167" si="126">C147+C150+C153</f>
        <v>10.108425</v>
      </c>
      <c r="D167" s="244">
        <f t="shared" si="126"/>
        <v>20.419181999999996</v>
      </c>
      <c r="E167" s="244">
        <f t="shared" si="126"/>
        <v>44.497379999999993</v>
      </c>
      <c r="F167" s="244">
        <f t="shared" si="126"/>
        <v>102.86399999999999</v>
      </c>
      <c r="G167" s="244">
        <f t="shared" si="126"/>
        <v>166.97900000000001</v>
      </c>
      <c r="H167" s="244">
        <f t="shared" si="126"/>
        <v>359.726</v>
      </c>
      <c r="I167" s="244">
        <f t="shared" si="126"/>
        <v>620.62300000000005</v>
      </c>
      <c r="J167" s="244">
        <f t="shared" si="126"/>
        <v>734.74</v>
      </c>
      <c r="K167" s="244">
        <f t="shared" si="126"/>
        <v>783.27099999999996</v>
      </c>
      <c r="L167" s="244">
        <f t="shared" si="126"/>
        <v>915.22599999999989</v>
      </c>
      <c r="M167" s="244">
        <f t="shared" si="126"/>
        <v>1081.981</v>
      </c>
      <c r="N167" s="244"/>
      <c r="O167" s="244">
        <f>O147+O150+O153</f>
        <v>312.40800000000002</v>
      </c>
      <c r="P167" s="244">
        <f>P147+P150+P153</f>
        <v>344.77</v>
      </c>
      <c r="Q167" s="244">
        <f>Q147+Q150+Q153</f>
        <v>371.21100000000001</v>
      </c>
      <c r="R167" s="244">
        <f>R147+R150+R153</f>
        <v>510.25599999999997</v>
      </c>
      <c r="S167" s="244">
        <f>S147+S150+S153</f>
        <v>1538.645</v>
      </c>
      <c r="T167" s="244"/>
      <c r="U167" s="244">
        <f>U147+U150+U153</f>
        <v>415.17200000000003</v>
      </c>
      <c r="V167" s="244">
        <f>V147+V150+V153</f>
        <v>507.15</v>
      </c>
      <c r="W167" s="244">
        <f>W147+W150+W153</f>
        <v>513.45399999999995</v>
      </c>
      <c r="X167" s="244">
        <f>X147+X150+X153</f>
        <v>735.68899999999996</v>
      </c>
      <c r="Y167" s="244">
        <f>Y147+Y150+Y153</f>
        <v>2171.4649999999997</v>
      </c>
      <c r="Z167" s="244"/>
      <c r="AA167" s="244">
        <f>AA147+AA150+AA153</f>
        <v>547.33799999999997</v>
      </c>
      <c r="AB167" s="244">
        <f>AB147+AB150+AB153</f>
        <v>659.702</v>
      </c>
      <c r="AC167" s="244">
        <f>AC147+AC150+AC153</f>
        <v>674.24399999999991</v>
      </c>
      <c r="AD167" s="244">
        <f>AD147+AD150+AD153</f>
        <v>952.80099999999993</v>
      </c>
      <c r="AE167" s="244">
        <f>AE147+AE150+AE153</f>
        <v>2834.085</v>
      </c>
      <c r="AF167" s="244"/>
      <c r="AG167" s="244">
        <f>AG147+AG150+AG153</f>
        <v>684.63200000000006</v>
      </c>
      <c r="AH167" s="244">
        <f>AH147+AH150+AH153</f>
        <v>793.09</v>
      </c>
      <c r="AI167" s="244">
        <f>AI147+AI150+AI153</f>
        <v>844.08600000000001</v>
      </c>
      <c r="AJ167" s="244">
        <f>AJ147+AJ150+AJ153</f>
        <v>1137.1970000000001</v>
      </c>
      <c r="AK167" s="244">
        <f>AK147+AK150+AK153</f>
        <v>3459.0050000000001</v>
      </c>
      <c r="AL167" s="244"/>
      <c r="AM167" s="244">
        <f>AM147+AM150+AM153</f>
        <v>791.98400000000004</v>
      </c>
      <c r="AN167" s="244">
        <f>AN147+AN150+AN153</f>
        <v>894.03099999999995</v>
      </c>
      <c r="AO167" s="244">
        <f>AO147+AO150+AO153</f>
        <v>880.21699999999998</v>
      </c>
      <c r="AP167" s="244">
        <f>AP147+AP150+AP153</f>
        <v>1323.991</v>
      </c>
      <c r="AQ167" s="244">
        <f>AQ147+AQ150+AQ153</f>
        <v>3890.223</v>
      </c>
      <c r="AR167" s="244"/>
      <c r="AS167" s="244">
        <f>AS147+AS150+AS153</f>
        <v>881.90400000000011</v>
      </c>
      <c r="AT167" s="244">
        <f>AT147+AT150+AT153</f>
        <v>992.64799999999991</v>
      </c>
      <c r="AU167" s="244">
        <f>AU147+AU150+AU153</f>
        <v>972.43600000000004</v>
      </c>
      <c r="AV167" s="244">
        <f>AV147+AV150+AV153</f>
        <v>1260.3009999999999</v>
      </c>
      <c r="AW167" s="244">
        <f>AW147+AW150+AW153</f>
        <v>4107.2889999999998</v>
      </c>
      <c r="AX167" s="244"/>
      <c r="AY167" s="244">
        <f>AY147+AY150+AY153</f>
        <v>929.95600000000002</v>
      </c>
      <c r="AZ167" s="244">
        <f>AZ147+AZ150+AZ153</f>
        <v>1018.547</v>
      </c>
      <c r="BA167" s="244">
        <f>BA147+BA150+BA153</f>
        <v>1087.6299999999999</v>
      </c>
      <c r="BB167" s="244">
        <f>BB147+BB150+BB153</f>
        <v>1250.4080000000001</v>
      </c>
      <c r="BC167" s="244">
        <f>BC147+BC150+BC153</f>
        <v>4286.5410000000002</v>
      </c>
      <c r="BD167" s="244"/>
      <c r="BE167" s="244">
        <f>BE147+BE150+BE153</f>
        <v>886.39499999999998</v>
      </c>
      <c r="BF167" s="244">
        <f>BF147+BF150+BF153</f>
        <v>927.55200000000002</v>
      </c>
      <c r="BG167" s="244">
        <f>BG147+BG150+BG153</f>
        <v>903.13700000000006</v>
      </c>
      <c r="BH167" s="244">
        <f>BH147+BH150+BH153</f>
        <v>979.26599999999996</v>
      </c>
      <c r="BI167" s="244">
        <f>BI147+BI150+BI153</f>
        <v>3696.3500000000004</v>
      </c>
      <c r="BJ167" s="244"/>
      <c r="BK167" s="244">
        <f>BK147+BK150+BK153</f>
        <v>859</v>
      </c>
      <c r="BL167" s="244">
        <f>BL147+BL150+BL153</f>
        <v>916</v>
      </c>
      <c r="BM167" s="244">
        <f>BM147+BM150+BM153</f>
        <v>937</v>
      </c>
      <c r="BN167" s="244">
        <f>BN147+BN150+BN153</f>
        <v>981</v>
      </c>
      <c r="BO167" s="244">
        <f>BO147+BO150+BO153</f>
        <v>3693</v>
      </c>
      <c r="BP167" s="244"/>
      <c r="BQ167" s="244">
        <f>BQ147+BQ150+BQ153</f>
        <v>893</v>
      </c>
      <c r="BR167" s="244">
        <f>BR147+BR150+BR153</f>
        <v>985</v>
      </c>
      <c r="BS167" s="244">
        <f>BS147+BS150+BS153</f>
        <v>1000</v>
      </c>
      <c r="BT167" s="244">
        <f>BT147+BT150+BT153</f>
        <v>1097</v>
      </c>
      <c r="BU167" s="244">
        <f>BU147+BU150+BU153</f>
        <v>3975</v>
      </c>
      <c r="BV167" s="244"/>
      <c r="BW167" s="244">
        <f>BW147+BW150+BW153</f>
        <v>916.5</v>
      </c>
      <c r="BX167" s="244">
        <f>BX147+BX150+BX153</f>
        <v>1011.7</v>
      </c>
      <c r="BY167" s="244">
        <f>BY147+BY150+BY153</f>
        <v>1204</v>
      </c>
      <c r="BZ167" s="244">
        <f>BZ147+BZ150+BZ153</f>
        <v>1404</v>
      </c>
      <c r="CA167" s="244">
        <f>CA147+CA150+CA153</f>
        <v>4536.2</v>
      </c>
      <c r="CB167" s="244"/>
      <c r="CC167" s="244">
        <f>CC147+CC150+CC153</f>
        <v>1165</v>
      </c>
      <c r="CD167" s="244">
        <f>CD147+CD150+CD153</f>
        <v>1278</v>
      </c>
      <c r="CE167" s="244">
        <f>CE147+CE150+CE153</f>
        <v>1364</v>
      </c>
      <c r="CF167" s="244">
        <f>CF147+CF150+CF153</f>
        <v>1775.1499999999999</v>
      </c>
      <c r="CG167" s="171">
        <f>CG147+CG150+CG153</f>
        <v>5582.1500000000005</v>
      </c>
      <c r="CH167" s="244"/>
      <c r="CI167" s="244">
        <f>CI147+CI150+CI153</f>
        <v>1369</v>
      </c>
      <c r="CJ167" s="244">
        <f>CJ147+CJ150+CJ153</f>
        <v>1563</v>
      </c>
      <c r="CK167" s="244">
        <f>CK147+CK150+CK153</f>
        <v>1670</v>
      </c>
      <c r="CL167" s="244">
        <f>CL147+CL150+CL153</f>
        <v>2019</v>
      </c>
      <c r="CM167" s="171">
        <f>CM147+CM150+CM153</f>
        <v>6621</v>
      </c>
      <c r="CN167" s="244"/>
      <c r="CO167" s="244">
        <f>CO147+CO150+CO153</f>
        <v>1760</v>
      </c>
      <c r="CP167" s="244">
        <f>CP147+CP150+CP153</f>
        <v>1918</v>
      </c>
      <c r="CQ167" s="244">
        <f>CQ147+CQ150+CQ153</f>
        <v>1912</v>
      </c>
      <c r="CR167" s="244">
        <f>CR147+CR150+CR153</f>
        <v>2402</v>
      </c>
      <c r="CS167" s="171">
        <f>CS147+CS150+CS153</f>
        <v>7992</v>
      </c>
      <c r="CT167" s="244"/>
      <c r="CU167" s="244">
        <f>CU147+CU150+CU153</f>
        <v>1946</v>
      </c>
      <c r="CV167" s="244">
        <f>CV147+CV150+CV153</f>
        <v>1888</v>
      </c>
      <c r="CW167" s="244">
        <f>CW147+CW150+CW153</f>
        <v>1844</v>
      </c>
      <c r="CX167" s="244">
        <f>CX147+CX150+CX153</f>
        <v>2196</v>
      </c>
      <c r="CY167" s="171">
        <f>CY147+CY150+CY153</f>
        <v>7874</v>
      </c>
      <c r="CZ167" s="244"/>
      <c r="DA167" s="244">
        <f>DA147+DA150+DA153</f>
        <v>1744</v>
      </c>
      <c r="DB167" s="244">
        <f>DB147+DB150+DB153</f>
        <v>1927</v>
      </c>
      <c r="DC167" s="244">
        <f>DC147+DC150+DC153</f>
        <v>2199</v>
      </c>
      <c r="DD167" s="244">
        <f>DD147+DD150+DD153</f>
        <v>2991</v>
      </c>
      <c r="DE167" s="171">
        <f>DE147+DE150+DE153</f>
        <v>8861</v>
      </c>
      <c r="DF167" s="244"/>
      <c r="DG167" s="244">
        <f>DG147+DG150+DG153</f>
        <v>2590</v>
      </c>
      <c r="DH167" s="244">
        <f>DH147+DH150+DH153</f>
        <v>2695</v>
      </c>
      <c r="DI167" s="244">
        <f>DI147+DI150+DI153</f>
        <v>2914</v>
      </c>
      <c r="DJ167" s="244">
        <f>DJ147+DJ150+DJ153</f>
        <v>3405</v>
      </c>
      <c r="DK167" s="171">
        <f>DK147+DK150+DK153</f>
        <v>11604</v>
      </c>
      <c r="DL167" s="244"/>
      <c r="DM167" s="244">
        <f>DM147+DM150+DM153</f>
        <v>2854</v>
      </c>
      <c r="DN167" s="244">
        <f>DN147+DN150+DN153</f>
        <v>2939</v>
      </c>
      <c r="DO167" s="244">
        <f>DO147+DO150+DO153</f>
        <v>2961</v>
      </c>
      <c r="DP167" s="244">
        <f>DP147+DP150+DP153</f>
        <v>3445</v>
      </c>
      <c r="DQ167" s="171">
        <f>DQ147+DQ150+DQ153</f>
        <v>12199</v>
      </c>
      <c r="DR167" s="244"/>
      <c r="DS167" s="244">
        <f>DS147+DS150+DS153</f>
        <v>2860</v>
      </c>
      <c r="DT167" s="244">
        <f>DT147+DT150+DT153</f>
        <v>3062</v>
      </c>
      <c r="DU167" s="244">
        <f>DU147+DU150+DU153</f>
        <v>3090</v>
      </c>
      <c r="DV167" s="244">
        <f>DV147+DV150+DV153</f>
        <v>3494</v>
      </c>
      <c r="DW167" s="171">
        <f>DW147+DW150+DW153</f>
        <v>12506</v>
      </c>
      <c r="DX167" s="244"/>
      <c r="DY167" s="244">
        <f>DY147+DY150+DY153</f>
        <v>2939</v>
      </c>
      <c r="DZ167" s="244">
        <f>DZ147+DZ150+DZ153</f>
        <v>3246</v>
      </c>
      <c r="EA167" s="244">
        <f>EA147+EA150+EA153</f>
        <v>3191</v>
      </c>
      <c r="EB167" s="244">
        <f>EB147+EB150+EB153</f>
        <v>3663</v>
      </c>
      <c r="EC167" s="171">
        <f>EC147+EC150+EC153</f>
        <v>13039</v>
      </c>
      <c r="ED167" s="244"/>
      <c r="EE167" s="244">
        <f>EE147+EE150+EE153</f>
        <v>3115</v>
      </c>
      <c r="EF167" s="244">
        <f>EF147+EF150+EF153</f>
        <v>3338</v>
      </c>
      <c r="EG167" s="244">
        <f>EG147+EG150+EG153</f>
        <v>3249</v>
      </c>
      <c r="EH167" s="244">
        <f>EH147+EH150+EH153</f>
        <v>3703</v>
      </c>
      <c r="EI167" s="171">
        <f>EI147+EI150+EI153</f>
        <v>13405</v>
      </c>
      <c r="EJ167" s="244"/>
      <c r="EK167" s="244">
        <f>EK147+EK150+EK153</f>
        <v>3150</v>
      </c>
      <c r="EL167" s="244">
        <f>EL147+EL150+EL153</f>
        <v>3441</v>
      </c>
      <c r="EM167" s="244">
        <f>EM147+EM150+EM153</f>
        <v>3372</v>
      </c>
      <c r="EN167" s="244">
        <f>EN147+EN150+EN153</f>
        <v>3915</v>
      </c>
      <c r="EO167" s="171">
        <f>EO147+EO150+EO153</f>
        <v>13878</v>
      </c>
      <c r="EP167" s="244"/>
      <c r="EQ167" s="244">
        <f>EQ147+EQ150+EQ153</f>
        <v>3458</v>
      </c>
      <c r="ER167" s="244">
        <f>ER147+ER150+ER153</f>
        <v>3491</v>
      </c>
      <c r="ES167" s="244">
        <f>ES147+ES150+ES153</f>
        <v>3468</v>
      </c>
      <c r="ET167" s="244">
        <f>ET147+ET150+ET153</f>
        <v>3954</v>
      </c>
      <c r="EU167" s="171">
        <f>EU147+EU150+EU153</f>
        <v>14371</v>
      </c>
      <c r="EV167" s="244"/>
      <c r="EW167" s="244">
        <f>EW147+EW150+EW153</f>
        <v>3530</v>
      </c>
      <c r="EX167" s="244">
        <f>EX147+EX150+EX153</f>
        <v>3502</v>
      </c>
      <c r="EY167" s="244">
        <f>EY147+EY150+EY153</f>
        <v>3521</v>
      </c>
      <c r="EZ167" s="244">
        <f>EZ147+EZ150+EZ153</f>
        <v>3910.7905968011523</v>
      </c>
      <c r="FA167" s="171">
        <f>FA147+FA150+FA153</f>
        <v>14463.790596801153</v>
      </c>
      <c r="FB167" s="244"/>
      <c r="FC167" s="244">
        <f>FC147+FC150+FC153</f>
        <v>3623.9952731350418</v>
      </c>
      <c r="FD167" s="244">
        <f>FD147+FD150+FD153</f>
        <v>3613.4394856068716</v>
      </c>
      <c r="FE167" s="244">
        <f>FE147+FE150+FE153</f>
        <v>3639.1158782565462</v>
      </c>
      <c r="FF167" s="244">
        <f>FF147+FF150+FF153</f>
        <v>4002.6204937773023</v>
      </c>
      <c r="FG167" s="171">
        <f>FG147+FG150+FG153</f>
        <v>14879.171130775761</v>
      </c>
      <c r="FH167" s="244"/>
      <c r="FI167" s="244">
        <f>FI147+FI150+FI153</f>
        <v>3712.4385578314714</v>
      </c>
      <c r="FJ167" s="244">
        <f>FJ147+FJ150+FJ153</f>
        <v>3728.5987239762208</v>
      </c>
      <c r="FK167" s="244">
        <f>FK147+FK150+FK153</f>
        <v>3780.3269398014709</v>
      </c>
      <c r="FL167" s="244">
        <f>FL147+FL150+FL153</f>
        <v>4162.6364879195871</v>
      </c>
      <c r="FM167" s="171">
        <f>FM147+FM150+FM153</f>
        <v>15384.000709528751</v>
      </c>
      <c r="FN167" s="226"/>
      <c r="FO167" s="245">
        <f>CE167+CF167+CI167+CJ167</f>
        <v>6071.15</v>
      </c>
      <c r="FP167" s="243">
        <f>CK167+CL167+CO167+CP167</f>
        <v>7367</v>
      </c>
      <c r="FQ167" s="243">
        <f>CV167+CU167+CR167+CQ167</f>
        <v>8148</v>
      </c>
      <c r="FR167" s="243">
        <f>CW167+CX167+DA167+DB167</f>
        <v>7711</v>
      </c>
      <c r="FS167" s="245">
        <f>DC167+DD167+DG167+DH167</f>
        <v>10475</v>
      </c>
      <c r="FT167" s="243">
        <f>DI167+DJ167+DM167+DN167</f>
        <v>12112</v>
      </c>
      <c r="FU167" s="243">
        <f>DO167+DP167+DS167+DT167</f>
        <v>12328</v>
      </c>
      <c r="FV167" s="243">
        <f>DY167+DV167+DZ167+DU167</f>
        <v>12769</v>
      </c>
      <c r="FW167" s="243">
        <f>EA167+EB167+EE167+EF167</f>
        <v>13307</v>
      </c>
      <c r="FX167" s="243">
        <f>EG167+EH167+EK167+EL167</f>
        <v>13543</v>
      </c>
      <c r="FY167" s="243">
        <f>EM167+EN167+EQ167+ER167</f>
        <v>14236</v>
      </c>
      <c r="FZ167" s="243">
        <f>ES167+ET167+EW167+EX167</f>
        <v>14454</v>
      </c>
      <c r="GA167" s="243">
        <f>EY167+EZ167+FC167+FD167</f>
        <v>14669.225355543067</v>
      </c>
      <c r="GB167" s="243">
        <f>FE167+FF167+FI167+FJ167</f>
        <v>15082.773653841541</v>
      </c>
      <c r="GC167" s="243"/>
      <c r="GD167" s="243"/>
      <c r="GE167" s="243"/>
      <c r="GF167" s="243"/>
      <c r="GI167"/>
      <c r="GJ167"/>
      <c r="GK167"/>
      <c r="GL167"/>
      <c r="GM167"/>
      <c r="GN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</row>
    <row r="168" spans="1:281" s="127" customFormat="1" ht="14.25" customHeight="1" x14ac:dyDescent="0.2">
      <c r="A168" s="1342" t="s">
        <v>117</v>
      </c>
      <c r="B168" s="326"/>
      <c r="C168" s="305"/>
      <c r="D168" s="305"/>
      <c r="E168" s="305"/>
      <c r="F168" s="305"/>
      <c r="G168" s="305"/>
      <c r="H168" s="305"/>
      <c r="I168" s="305"/>
      <c r="J168" s="305"/>
      <c r="K168" s="305"/>
      <c r="L168" s="305"/>
      <c r="M168" s="305"/>
      <c r="N168" s="305"/>
      <c r="O168" s="305"/>
      <c r="P168" s="305"/>
      <c r="Q168" s="305"/>
      <c r="R168" s="305"/>
      <c r="S168" s="305"/>
      <c r="T168" s="305"/>
      <c r="U168" s="305"/>
      <c r="V168" s="305"/>
      <c r="W168" s="305"/>
      <c r="X168" s="305"/>
      <c r="Y168" s="305"/>
      <c r="Z168" s="305"/>
      <c r="AA168" s="305"/>
      <c r="AB168" s="305"/>
      <c r="AC168" s="305"/>
      <c r="AD168" s="305"/>
      <c r="AE168" s="305"/>
      <c r="AF168" s="305"/>
      <c r="AG168" s="305"/>
      <c r="AH168" s="305"/>
      <c r="AI168" s="305"/>
      <c r="AJ168" s="305"/>
      <c r="AK168" s="305"/>
      <c r="AL168" s="305"/>
      <c r="AM168" s="305"/>
      <c r="AN168" s="305"/>
      <c r="AO168" s="305"/>
      <c r="AP168" s="305"/>
      <c r="AQ168" s="305"/>
      <c r="AR168" s="305"/>
      <c r="AS168" s="305"/>
      <c r="AT168" s="305"/>
      <c r="AU168" s="305"/>
      <c r="AV168" s="305"/>
      <c r="AW168" s="305"/>
      <c r="AX168" s="305"/>
      <c r="AY168" s="305"/>
      <c r="AZ168" s="305"/>
      <c r="BA168" s="305"/>
      <c r="BB168" s="305"/>
      <c r="BC168" s="305"/>
      <c r="BD168" s="305"/>
      <c r="BE168" s="305"/>
      <c r="BF168" s="305"/>
      <c r="BG168" s="305"/>
      <c r="BH168" s="305"/>
      <c r="BI168" s="305"/>
      <c r="BJ168" s="305"/>
      <c r="BK168" s="305"/>
      <c r="BL168" s="305"/>
      <c r="BM168" s="305"/>
      <c r="BN168" s="305"/>
      <c r="BO168" s="305"/>
      <c r="BP168" s="305"/>
      <c r="BQ168" s="305">
        <f>BQ167/Metrics!BQ300*1000*4</f>
        <v>88.582481896637248</v>
      </c>
      <c r="BR168" s="305">
        <f>BR167/Metrics!BR300*1000*4</f>
        <v>97.008494398621195</v>
      </c>
      <c r="BS168" s="305">
        <f>BS167/Metrics!BS300*1000*4</f>
        <v>97.101519638782349</v>
      </c>
      <c r="BT168" s="305">
        <f>BT167/Metrics!BT300*1000*4</f>
        <v>105.33390945316626</v>
      </c>
      <c r="BU168" s="305"/>
      <c r="BV168" s="305"/>
      <c r="BW168" s="305"/>
      <c r="BX168" s="305"/>
      <c r="BY168" s="305"/>
      <c r="BZ168" s="305"/>
      <c r="CA168" s="305"/>
      <c r="CB168" s="305"/>
      <c r="CC168" s="305"/>
      <c r="CD168" s="305"/>
      <c r="CE168" s="305"/>
      <c r="CF168" s="305"/>
      <c r="CG168" s="327"/>
      <c r="CH168" s="305"/>
      <c r="CI168" s="305"/>
      <c r="CJ168" s="305"/>
      <c r="CK168" s="305"/>
      <c r="CL168" s="305"/>
      <c r="CM168" s="327"/>
      <c r="CN168" s="305"/>
      <c r="CO168" s="305"/>
      <c r="CP168" s="305"/>
      <c r="CQ168" s="305"/>
      <c r="CR168" s="305"/>
      <c r="CS168" s="327"/>
      <c r="CT168" s="1344"/>
      <c r="CU168" s="1344">
        <f>CU167/CO167-1</f>
        <v>0.10568181818181821</v>
      </c>
      <c r="CV168" s="1344">
        <f>CV167/CP167-1</f>
        <v>-1.5641293013555768E-2</v>
      </c>
      <c r="CW168" s="1344">
        <f>CW167/CQ167-1</f>
        <v>-3.556485355648531E-2</v>
      </c>
      <c r="CX168" s="1344">
        <f>CX167/CR167-1</f>
        <v>-8.5761865112406355E-2</v>
      </c>
      <c r="CY168" s="1697">
        <f>CY167/CS167-1</f>
        <v>-1.4764764764764737E-2</v>
      </c>
      <c r="CZ168" s="1344"/>
      <c r="DA168" s="1344">
        <f>DA167/CU167-1</f>
        <v>-0.10380267214799588</v>
      </c>
      <c r="DB168" s="1344">
        <f>DB167/CV167-1</f>
        <v>2.0656779661016866E-2</v>
      </c>
      <c r="DC168" s="1344">
        <f>DC167/CW167-1</f>
        <v>0.19251626898047713</v>
      </c>
      <c r="DD168" s="1344">
        <f>DD167/CX167-1</f>
        <v>0.36202185792349728</v>
      </c>
      <c r="DE168" s="1697">
        <f>DE167/CY167-1</f>
        <v>0.12534925069850145</v>
      </c>
      <c r="DF168" s="1344"/>
      <c r="DG168" s="1344">
        <f>DG167/DA167-1</f>
        <v>0.48509174311926606</v>
      </c>
      <c r="DH168" s="1344">
        <f>DH167/DB167-1</f>
        <v>0.39854696419304614</v>
      </c>
      <c r="DI168" s="1344">
        <f>DI167/DC167-1</f>
        <v>0.32514779445202358</v>
      </c>
      <c r="DJ168" s="1344">
        <f>DJ167/DD167-1</f>
        <v>0.13841524573721165</v>
      </c>
      <c r="DK168" s="1697">
        <f>DK167/DE167-1</f>
        <v>0.30955874054847077</v>
      </c>
      <c r="DL168" s="1344"/>
      <c r="DM168" s="1344">
        <f>DM167/DG167-1</f>
        <v>0.1019305019305019</v>
      </c>
      <c r="DN168" s="1344">
        <f>DN167/DH167-1</f>
        <v>9.0538033395176187E-2</v>
      </c>
      <c r="DO168" s="1344">
        <f>DO167/DI167-1</f>
        <v>1.6129032258064502E-2</v>
      </c>
      <c r="DP168" s="1344">
        <f>DP167/DJ167-1</f>
        <v>1.1747430249632984E-2</v>
      </c>
      <c r="DQ168" s="1697">
        <f>DQ167/DK167-1</f>
        <v>5.127542226818349E-2</v>
      </c>
      <c r="DR168" s="1344"/>
      <c r="DS168" s="1344">
        <f>DS167/DM167-1</f>
        <v>2.1023125437982237E-3</v>
      </c>
      <c r="DT168" s="1344">
        <f>DT167/DN167-1</f>
        <v>4.1850969717591058E-2</v>
      </c>
      <c r="DU168" s="1344">
        <f>DU167/DO167-1</f>
        <v>4.3566362715298901E-2</v>
      </c>
      <c r="DV168" s="1344">
        <f>DV167/DP167-1</f>
        <v>1.4223512336719812E-2</v>
      </c>
      <c r="DW168" s="1697">
        <f>DW167/DQ167-1</f>
        <v>2.5165997212886371E-2</v>
      </c>
      <c r="DX168" s="1344"/>
      <c r="DY168" s="1344">
        <f>DY167/DS167-1</f>
        <v>2.7622377622377625E-2</v>
      </c>
      <c r="DZ168" s="1344">
        <f>DZ167/DT167-1</f>
        <v>6.0091443500979835E-2</v>
      </c>
      <c r="EA168" s="1344">
        <f>EA167/DU167-1</f>
        <v>3.2686084142394822E-2</v>
      </c>
      <c r="EB168" s="1344">
        <f>EB167/DV167-1</f>
        <v>4.8368631940469475E-2</v>
      </c>
      <c r="EC168" s="1697">
        <f>EC167/DW167-1</f>
        <v>4.2619542619542594E-2</v>
      </c>
      <c r="ED168" s="1344"/>
      <c r="EE168" s="1344">
        <f>EE167/DY167-1</f>
        <v>5.9884314392650628E-2</v>
      </c>
      <c r="EF168" s="1344">
        <f>EF167/DZ167-1</f>
        <v>2.8342575477510845E-2</v>
      </c>
      <c r="EG168" s="1344">
        <f>EG167/EA167-1</f>
        <v>1.817612033845184E-2</v>
      </c>
      <c r="EH168" s="1344">
        <f>EH167/EB167-1</f>
        <v>1.0920010920010936E-2</v>
      </c>
      <c r="EI168" s="1697">
        <f>EI167/EC167-1</f>
        <v>2.806963724211986E-2</v>
      </c>
      <c r="EJ168" s="1344"/>
      <c r="EK168" s="1344">
        <f>EK167/EE167-1</f>
        <v>1.1235955056179803E-2</v>
      </c>
      <c r="EL168" s="1344">
        <f>EL167/EF167-1</f>
        <v>3.0856800479329038E-2</v>
      </c>
      <c r="EM168" s="1344">
        <f>EM167/EG167-1</f>
        <v>3.7857802400738771E-2</v>
      </c>
      <c r="EN168" s="1344">
        <f>EN167/EH167-1</f>
        <v>5.7250877666756628E-2</v>
      </c>
      <c r="EO168" s="1697">
        <f>EO167/EI167-1</f>
        <v>3.5285341290563155E-2</v>
      </c>
      <c r="EP168" s="1344"/>
      <c r="EQ168" s="1344">
        <f>EQ167/EK167-1</f>
        <v>9.7777777777777741E-2</v>
      </c>
      <c r="ER168" s="1344">
        <f>ER167/EL167-1</f>
        <v>1.453065969195011E-2</v>
      </c>
      <c r="ES168" s="1344">
        <f>ES167/EM167-1</f>
        <v>2.8469750889679624E-2</v>
      </c>
      <c r="ET168" s="1344">
        <f>ET167/EN167-1</f>
        <v>9.9616858237547845E-3</v>
      </c>
      <c r="EU168" s="1697">
        <f>EU167/EO167-1</f>
        <v>3.5523850698947923E-2</v>
      </c>
      <c r="EV168" s="1344"/>
      <c r="EW168" s="1344">
        <f>EW167/EQ167-1</f>
        <v>2.0821283979178817E-2</v>
      </c>
      <c r="EX168" s="1344">
        <f>EX167/ER167-1</f>
        <v>3.1509596104268844E-3</v>
      </c>
      <c r="EY168" s="1344">
        <f>EY167/ES167-1</f>
        <v>1.5282583621683887E-2</v>
      </c>
      <c r="EZ168" s="1344">
        <f>EZ167/ET167-1</f>
        <v>-1.0928023064958992E-2</v>
      </c>
      <c r="FA168" s="1697">
        <f>FA167/EU167-1</f>
        <v>6.4567947116520585E-3</v>
      </c>
      <c r="FB168" s="1344"/>
      <c r="FC168" s="1344">
        <f>FC167/EW167-1</f>
        <v>2.6627556128907104E-2</v>
      </c>
      <c r="FD168" s="1344">
        <f>FD167/EX167-1</f>
        <v>3.1821669219552096E-2</v>
      </c>
      <c r="FE168" s="1344">
        <f>FE167/EY167-1</f>
        <v>3.3546117085074156E-2</v>
      </c>
      <c r="FF168" s="1344">
        <f>FF167/EZ167-1</f>
        <v>2.3481159295837051E-2</v>
      </c>
      <c r="FG168" s="1697">
        <f>FG167/FA167-1</f>
        <v>2.8718649595665058E-2</v>
      </c>
      <c r="FH168" s="1344"/>
      <c r="FI168" s="1344">
        <f>FI167/FC167-1</f>
        <v>2.440491171499759E-2</v>
      </c>
      <c r="FJ168" s="1344">
        <f>FJ167/FD167-1</f>
        <v>3.1869701659057448E-2</v>
      </c>
      <c r="FK168" s="1344">
        <f>FK167/FE167-1</f>
        <v>3.8803672724095017E-2</v>
      </c>
      <c r="FL168" s="1344">
        <f>FL167/FF167-1</f>
        <v>3.9977808136208326E-2</v>
      </c>
      <c r="FM168" s="1697">
        <f>FM167/FG167-1</f>
        <v>3.3928608947094485E-2</v>
      </c>
      <c r="FN168" s="961"/>
      <c r="FO168" s="958"/>
      <c r="FP168" s="959"/>
      <c r="FQ168" s="959"/>
      <c r="FR168" s="959"/>
      <c r="FS168" s="958"/>
      <c r="FT168" s="959"/>
      <c r="FU168" s="959"/>
      <c r="FV168" s="959"/>
      <c r="FW168" s="959"/>
      <c r="FX168" s="959"/>
      <c r="FY168" s="959"/>
      <c r="FZ168" s="959"/>
      <c r="GA168" s="959"/>
      <c r="GB168" s="959"/>
      <c r="GI168"/>
      <c r="GJ168"/>
      <c r="GK168"/>
      <c r="GL168"/>
      <c r="GM168"/>
      <c r="GN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</row>
    <row r="169" spans="1:281" s="1363" customFormat="1" collapsed="1" x14ac:dyDescent="0.2">
      <c r="A169" s="1358" t="s">
        <v>802</v>
      </c>
      <c r="B169" s="1359" t="s">
        <v>89</v>
      </c>
      <c r="C169" s="1360">
        <f t="shared" ref="C169:M169" si="127">C143-C167</f>
        <v>2.6065749999999994</v>
      </c>
      <c r="D169" s="1360">
        <f t="shared" si="127"/>
        <v>2.7318180000000005</v>
      </c>
      <c r="E169" s="1360">
        <f t="shared" si="127"/>
        <v>10.847620000000006</v>
      </c>
      <c r="F169" s="1360">
        <f t="shared" si="127"/>
        <v>28.385000000000005</v>
      </c>
      <c r="G169" s="1360">
        <f t="shared" si="127"/>
        <v>63.893000000000001</v>
      </c>
      <c r="H169" s="1360">
        <f t="shared" si="127"/>
        <v>123.08699999999999</v>
      </c>
      <c r="I169" s="1360">
        <f t="shared" si="127"/>
        <v>135.33899999999994</v>
      </c>
      <c r="J169" s="1360">
        <f t="shared" si="127"/>
        <v>26.778999999999996</v>
      </c>
      <c r="K169" s="1360">
        <f t="shared" si="127"/>
        <v>114.16700000000003</v>
      </c>
      <c r="L169" s="1360">
        <f t="shared" si="127"/>
        <v>241.14100000000008</v>
      </c>
      <c r="M169" s="1360">
        <f t="shared" si="127"/>
        <v>419.95299999999997</v>
      </c>
      <c r="N169" s="1360"/>
      <c r="O169" s="1360">
        <f>O143-O167</f>
        <v>87.543000000000006</v>
      </c>
      <c r="P169" s="1360">
        <f>P143-P167</f>
        <v>137.93200000000002</v>
      </c>
      <c r="Q169" s="1360">
        <f>Q143-Q167</f>
        <v>154.351</v>
      </c>
      <c r="R169" s="1360">
        <f>R143-R167</f>
        <v>269.3950000000001</v>
      </c>
      <c r="S169" s="1360">
        <f>SUM(O169:R169)</f>
        <v>649.22100000000012</v>
      </c>
      <c r="T169" s="1360"/>
      <c r="U169" s="1360">
        <f>U143-U167</f>
        <v>125.12199999999996</v>
      </c>
      <c r="V169" s="1360">
        <f>V143-V167</f>
        <v>204.428</v>
      </c>
      <c r="W169" s="1360">
        <f>W143-W167</f>
        <v>219.94200000000001</v>
      </c>
      <c r="X169" s="1360">
        <f>X143-X167</f>
        <v>406.14599999999984</v>
      </c>
      <c r="Y169" s="1360">
        <f>SUM(U169:X169)</f>
        <v>955.63799999999981</v>
      </c>
      <c r="Z169" s="1360"/>
      <c r="AA169" s="1360">
        <f>AA143-AA167</f>
        <v>168.87400000000002</v>
      </c>
      <c r="AB169" s="1360">
        <f>AB143-AB167</f>
        <v>274.1880000000001</v>
      </c>
      <c r="AC169" s="1360">
        <f>AC143-AC167</f>
        <v>296.92799999999988</v>
      </c>
      <c r="AD169" s="1360">
        <f>AD143-AD167</f>
        <v>559.79500000000007</v>
      </c>
      <c r="AE169" s="1360">
        <f>SUM(AA169:AD169)</f>
        <v>1299.7850000000001</v>
      </c>
      <c r="AF169" s="1360"/>
      <c r="AG169" s="1360">
        <f>AG143-AG167</f>
        <v>216.029</v>
      </c>
      <c r="AH169" s="1360">
        <f>AH143-AH167</f>
        <v>272.00599999999997</v>
      </c>
      <c r="AI169" s="1360">
        <f>AI143-AI167</f>
        <v>318.27299999999991</v>
      </c>
      <c r="AJ169" s="1360">
        <f>AJ143-AJ167</f>
        <v>604.94399999999973</v>
      </c>
      <c r="AK169" s="1360">
        <f>SUM(AG169:AJ169)</f>
        <v>1411.2519999999995</v>
      </c>
      <c r="AL169" s="1360"/>
      <c r="AM169" s="1360">
        <f>AM143-AM167</f>
        <v>277.8359999999999</v>
      </c>
      <c r="AN169" s="1360">
        <f>AN143-AN167</f>
        <v>382.06600000000049</v>
      </c>
      <c r="AO169" s="1360">
        <f>AO143-AO167</f>
        <v>406.67999999999995</v>
      </c>
      <c r="AP169" s="1360">
        <f>AP143-AP167</f>
        <v>806.29899999999998</v>
      </c>
      <c r="AQ169" s="1360">
        <f>SUM(AM169:AP169)</f>
        <v>1872.8810000000003</v>
      </c>
      <c r="AR169" s="1360"/>
      <c r="AS169" s="1360">
        <f>AS143-AS167</f>
        <v>345.86299999999994</v>
      </c>
      <c r="AT169" s="1360">
        <f>AT143-AT167</f>
        <v>576.06499999999983</v>
      </c>
      <c r="AU169" s="1360">
        <f>AU143-AU167</f>
        <v>769.72099999999966</v>
      </c>
      <c r="AV169" s="1360">
        <f>AV143-AV167</f>
        <v>1388.5110000000004</v>
      </c>
      <c r="AW169" s="1360">
        <f>SUM(AS169:AV169)</f>
        <v>3080.16</v>
      </c>
      <c r="AX169" s="1360"/>
      <c r="AY169" s="1360">
        <f>AY143-AY167</f>
        <v>658.04100000000028</v>
      </c>
      <c r="AZ169" s="1360">
        <f>AZ143-AZ167</f>
        <v>946.00099999999975</v>
      </c>
      <c r="BA169" s="1360">
        <f>BA143-BA167</f>
        <v>878.12300000000005</v>
      </c>
      <c r="BB169" s="1360">
        <f>BB143-BB167</f>
        <v>1294.9259999999997</v>
      </c>
      <c r="BC169" s="1360">
        <f>SUM(AY169:BB169)</f>
        <v>3777.0909999999994</v>
      </c>
      <c r="BD169" s="1360"/>
      <c r="BE169" s="1360">
        <f>BE143-BE167</f>
        <v>745.77799999999979</v>
      </c>
      <c r="BF169" s="1360">
        <f>BF143-BF167</f>
        <v>819.94400000000007</v>
      </c>
      <c r="BG169" s="1360">
        <f>BG143-BG167</f>
        <v>778.73899999999969</v>
      </c>
      <c r="BH169" s="1360">
        <f>BH143-BH167</f>
        <v>1226.471</v>
      </c>
      <c r="BI169" s="1360">
        <f>SUM(BE169:BH169)</f>
        <v>3570.9319999999993</v>
      </c>
      <c r="BJ169" s="1360"/>
      <c r="BK169" s="1360">
        <f>BK143-BK167</f>
        <v>580</v>
      </c>
      <c r="BL169" s="1360">
        <f>BL143-BL167</f>
        <v>794</v>
      </c>
      <c r="BM169" s="1360">
        <f>BM143-BM167</f>
        <v>796</v>
      </c>
      <c r="BN169" s="1360">
        <f>BN143-BN167</f>
        <v>1270.4000000000001</v>
      </c>
      <c r="BO169" s="1360">
        <f>SUM(BK169:BN169)</f>
        <v>3440.4</v>
      </c>
      <c r="BP169" s="1360"/>
      <c r="BQ169" s="1360">
        <f>BQ143-BQ167</f>
        <v>616</v>
      </c>
      <c r="BR169" s="1360">
        <f>BR143-BR167</f>
        <v>915</v>
      </c>
      <c r="BS169" s="1360">
        <f>BS143-BS167</f>
        <v>927</v>
      </c>
      <c r="BT169" s="1360">
        <f>BT143-BT167</f>
        <v>1406</v>
      </c>
      <c r="BU169" s="1360">
        <f>SUM(BQ169:BT169)</f>
        <v>3864</v>
      </c>
      <c r="BV169" s="1360"/>
      <c r="BW169" s="1360">
        <f>BW143-BW167</f>
        <v>743.5</v>
      </c>
      <c r="BX169" s="1360">
        <f>BX143-BX167</f>
        <v>1154.3</v>
      </c>
      <c r="BY169" s="1360">
        <f>BY143-BY167</f>
        <v>1178</v>
      </c>
      <c r="BZ169" s="1360">
        <f>BZ143-BZ167</f>
        <v>1865</v>
      </c>
      <c r="CA169" s="1360">
        <f>SUM(BW169:BZ169)</f>
        <v>4940.8</v>
      </c>
      <c r="CB169" s="1360"/>
      <c r="CC169" s="1360">
        <f>CC143-CC167</f>
        <v>1022</v>
      </c>
      <c r="CD169" s="1360">
        <f>CD143-CD167</f>
        <v>1361</v>
      </c>
      <c r="CE169" s="1360">
        <f>CE143-CE167</f>
        <v>1383.4</v>
      </c>
      <c r="CF169" s="1360">
        <f>CF143-CF167</f>
        <v>2200.8500000000004</v>
      </c>
      <c r="CG169" s="1361">
        <f>SUM(CC169:CF169)</f>
        <v>5967.25</v>
      </c>
      <c r="CH169" s="1360"/>
      <c r="CI169" s="1360">
        <f>CI143-CI167</f>
        <v>1318</v>
      </c>
      <c r="CJ169" s="1360">
        <f>CJ143-CJ167</f>
        <v>1634</v>
      </c>
      <c r="CK169" s="1360">
        <f>CK143-CK167</f>
        <v>1755</v>
      </c>
      <c r="CL169" s="1360">
        <f>CL143-CL167</f>
        <v>2714</v>
      </c>
      <c r="CM169" s="1361">
        <f>SUM(CI169:CL169)</f>
        <v>7421</v>
      </c>
      <c r="CN169" s="1360"/>
      <c r="CO169" s="1360">
        <f>CO143-CO167</f>
        <v>1682</v>
      </c>
      <c r="CP169" s="1360">
        <f>CP143-CP167</f>
        <v>2214</v>
      </c>
      <c r="CQ169" s="1360">
        <f>CQ143-CQ167</f>
        <v>2219</v>
      </c>
      <c r="CR169" s="1360">
        <f>CR143-CR167</f>
        <v>3544</v>
      </c>
      <c r="CS169" s="1361">
        <f>SUM(CO169:CR169)</f>
        <v>9659</v>
      </c>
      <c r="CT169" s="1360"/>
      <c r="CU169" s="1360">
        <f>CU143-CU167</f>
        <v>2174</v>
      </c>
      <c r="CV169" s="1360">
        <f>CV143-CV167</f>
        <v>2609</v>
      </c>
      <c r="CW169" s="1360">
        <f>CW143-CW167</f>
        <v>2555</v>
      </c>
      <c r="CX169" s="1360">
        <f>CX143-CX167</f>
        <v>3513</v>
      </c>
      <c r="CY169" s="1361">
        <f>SUM(CU169:CX169)</f>
        <v>10851</v>
      </c>
      <c r="CZ169" s="1360"/>
      <c r="DA169" s="1360">
        <f>DA143-DA167</f>
        <v>2318</v>
      </c>
      <c r="DB169" s="1360">
        <f>DB143-DB167</f>
        <v>2856</v>
      </c>
      <c r="DC169" s="1360">
        <f>DC143-DC167</f>
        <v>2886.3999999999996</v>
      </c>
      <c r="DD169" s="1360">
        <f>DD143-DD167</f>
        <v>4414.7</v>
      </c>
      <c r="DE169" s="1361">
        <f>SUM(DA169:DD169)</f>
        <v>12475.099999999999</v>
      </c>
      <c r="DF169" s="1360"/>
      <c r="DG169" s="1360">
        <f>DG143-DG167</f>
        <v>2947</v>
      </c>
      <c r="DH169" s="1360">
        <f>DH143-DH167</f>
        <v>3851</v>
      </c>
      <c r="DI169" s="1360">
        <f>DI143-DI167</f>
        <v>3892</v>
      </c>
      <c r="DJ169" s="1360">
        <f>DJ143-DJ167</f>
        <v>5238</v>
      </c>
      <c r="DK169" s="1361">
        <f>SUM(DG169:DJ169)</f>
        <v>15928</v>
      </c>
      <c r="DL169" s="1360"/>
      <c r="DM169" s="1360">
        <f>DM143-DM167</f>
        <v>3566</v>
      </c>
      <c r="DN169" s="1360">
        <f>DN143-DN167</f>
        <v>3929</v>
      </c>
      <c r="DO169" s="1360">
        <f>DO143-DO167</f>
        <v>4205.3392000000003</v>
      </c>
      <c r="DP169" s="1360">
        <f>DP143-DP167</f>
        <v>5512.1597000000002</v>
      </c>
      <c r="DQ169" s="1361">
        <f>SUM(DM169:DP169)</f>
        <v>17212.498899999999</v>
      </c>
      <c r="DR169" s="1360"/>
      <c r="DS169" s="1360">
        <f>DS143-DS167</f>
        <v>3589</v>
      </c>
      <c r="DT169" s="1360">
        <f>DT143-DT167</f>
        <v>4272</v>
      </c>
      <c r="DU169" s="1360">
        <f>DU143-DU167</f>
        <v>4178</v>
      </c>
      <c r="DV169" s="1360">
        <f>DV143-DV167</f>
        <v>5573</v>
      </c>
      <c r="DW169" s="1361">
        <f>SUM(DS169:DV169)</f>
        <v>17612</v>
      </c>
      <c r="DX169" s="1360"/>
      <c r="DY169" s="1360">
        <f>DY143-DY167</f>
        <v>3741</v>
      </c>
      <c r="DZ169" s="1360">
        <f>DZ143-DZ167</f>
        <v>4246</v>
      </c>
      <c r="EA169" s="1360">
        <f>EA143-EA167</f>
        <v>4366</v>
      </c>
      <c r="EB169" s="1360">
        <f>EB143-EB167</f>
        <v>5756</v>
      </c>
      <c r="EC169" s="1361">
        <f>SUM(DY169:EB169)</f>
        <v>18109</v>
      </c>
      <c r="ED169" s="1360"/>
      <c r="EE169" s="1360">
        <f>EE143-EE167</f>
        <v>3819</v>
      </c>
      <c r="EF169" s="1360">
        <f>EF143-EF167</f>
        <v>4391</v>
      </c>
      <c r="EG169" s="1360">
        <f>EG143-EG167</f>
        <v>4206</v>
      </c>
      <c r="EH169" s="1360">
        <f>EH143-EH167</f>
        <v>4978</v>
      </c>
      <c r="EI169" s="1361">
        <f>SUM(EE169:EH169)</f>
        <v>17394</v>
      </c>
      <c r="EJ169" s="1360"/>
      <c r="EK169" s="1360">
        <f>EK143-EK167</f>
        <v>3473</v>
      </c>
      <c r="EL169" s="1360">
        <f>EL143-EL167</f>
        <v>3723</v>
      </c>
      <c r="EM169" s="1360">
        <f>EM143-EM167</f>
        <v>3823</v>
      </c>
      <c r="EN169" s="1360">
        <f>EN143-EN167</f>
        <v>4766</v>
      </c>
      <c r="EO169" s="1361">
        <f>SUM(EK169:EN169)</f>
        <v>15785</v>
      </c>
      <c r="EP169" s="1360"/>
      <c r="EQ169" s="1360">
        <f>EQ143-EQ167</f>
        <v>3402</v>
      </c>
      <c r="ER169" s="1360">
        <f>ER143-ER167</f>
        <v>3806.7799999999988</v>
      </c>
      <c r="ES169" s="1360">
        <f>ES143-ES167</f>
        <v>3944</v>
      </c>
      <c r="ET169" s="1360">
        <f>ET143-ET167</f>
        <v>5015</v>
      </c>
      <c r="EU169" s="1361">
        <f>SUM(EQ169:ET169)</f>
        <v>16167.779999999999</v>
      </c>
      <c r="EV169" s="1360"/>
      <c r="EW169" s="1360">
        <f>EW143-EW167</f>
        <v>3784</v>
      </c>
      <c r="EX169" s="1360">
        <f>EX143-EX167</f>
        <v>4200</v>
      </c>
      <c r="EY169" s="1360">
        <f>EY143-EY167</f>
        <v>4289</v>
      </c>
      <c r="EZ169" s="1360">
        <f>EZ143-EZ167</f>
        <v>5181.1386644831455</v>
      </c>
      <c r="FA169" s="1361">
        <f>SUM(EW169:EZ169)</f>
        <v>17454.138664483144</v>
      </c>
      <c r="FB169" s="1360"/>
      <c r="FC169" s="1360">
        <f>FC143-FC167</f>
        <v>3959.6801937927053</v>
      </c>
      <c r="FD169" s="1360">
        <f>FD143-FD167</f>
        <v>4379.8690119038529</v>
      </c>
      <c r="FE169" s="1360">
        <f>FE143-FE167</f>
        <v>4463.4900106663872</v>
      </c>
      <c r="FF169" s="1360">
        <f>FF143-FF167</f>
        <v>5298.6774993127165</v>
      </c>
      <c r="FG169" s="1361">
        <f>SUM(FC169:FF169)</f>
        <v>18101.716715675662</v>
      </c>
      <c r="FH169" s="1360"/>
      <c r="FI169" s="1360">
        <f>FI143-FI167</f>
        <v>4222.3838017125045</v>
      </c>
      <c r="FJ169" s="1360">
        <f>FJ143-FJ167</f>
        <v>4587.1510356831086</v>
      </c>
      <c r="FK169" s="1360">
        <f>FK143-FK167</f>
        <v>4636.4137713989239</v>
      </c>
      <c r="FL169" s="1360">
        <f>FL143-FL167</f>
        <v>5377.0642953561646</v>
      </c>
      <c r="FM169" s="1361">
        <f>SUM(FI169:FL169)</f>
        <v>18823.012904150703</v>
      </c>
      <c r="FN169" s="1362"/>
      <c r="FO169" s="1358">
        <f>CE169+CF169+CI169+CJ169</f>
        <v>6536.25</v>
      </c>
      <c r="FP169" s="1360">
        <f>CK169+CL169+CO169+CP169</f>
        <v>8365</v>
      </c>
      <c r="FQ169" s="1360">
        <f>CV169+CU169+CR169+CQ169</f>
        <v>10546</v>
      </c>
      <c r="FR169" s="1360">
        <f>CW169+CX169+DA169+DB169</f>
        <v>11242</v>
      </c>
      <c r="FS169" s="1719">
        <f>DC169+DD169+DG169+DH169</f>
        <v>14099.099999999999</v>
      </c>
      <c r="FT169" s="1720">
        <f>DI169+DJ169+DM169+DN169</f>
        <v>16625</v>
      </c>
      <c r="FU169" s="1720">
        <f>DO169+DP169+DS169+DT169</f>
        <v>17578.498899999999</v>
      </c>
      <c r="FV169" s="1720">
        <f>DY169+DV169+DZ169+DU169</f>
        <v>17738</v>
      </c>
      <c r="FW169" s="1720">
        <f>EA169+EB169+EE169+EF169</f>
        <v>18332</v>
      </c>
      <c r="FX169" s="1720">
        <f>EG169+EH169+EK169+EL169</f>
        <v>16380</v>
      </c>
      <c r="FY169" s="1720">
        <f>EM169+EN169+EQ169+ER169</f>
        <v>15797.779999999999</v>
      </c>
      <c r="FZ169" s="1720">
        <f>ES169+ET169+EW169+EX169</f>
        <v>16943</v>
      </c>
      <c r="GA169" s="1720">
        <f>EY169+EZ169+FC169+FD169</f>
        <v>17809.687870179703</v>
      </c>
      <c r="GB169" s="1720">
        <f>FE169+FF169+FI169+FJ169</f>
        <v>18571.702347374718</v>
      </c>
      <c r="GC169" s="1844"/>
      <c r="GD169" s="1844"/>
      <c r="GE169" s="1844"/>
      <c r="GF169" s="1844"/>
      <c r="GH169" s="1382"/>
      <c r="GI169"/>
      <c r="GJ169"/>
      <c r="GK169"/>
      <c r="GL169"/>
      <c r="GM169"/>
      <c r="GN169"/>
      <c r="GP169" s="1364"/>
      <c r="GQ169" s="1364"/>
      <c r="GR169" s="1364"/>
      <c r="GS169" s="1364"/>
      <c r="GT169" s="1364"/>
      <c r="GU169" s="1364"/>
      <c r="GV169" s="1364"/>
      <c r="GW169" s="1364"/>
      <c r="GX169" s="1364"/>
      <c r="GY169" s="1364"/>
      <c r="GZ169" s="1364"/>
      <c r="HA169" s="1364"/>
      <c r="HB169" s="1364"/>
      <c r="HC169" s="1364"/>
      <c r="HD169" s="1364"/>
      <c r="HE169" s="1364"/>
      <c r="HF169" s="1364"/>
      <c r="HG169" s="1364"/>
      <c r="HH169" s="1364"/>
      <c r="HI169" s="1364"/>
      <c r="HJ169" s="1364"/>
      <c r="HK169" s="1364"/>
      <c r="HL169" s="1364"/>
      <c r="HM169" s="1364"/>
      <c r="HN169" s="1364"/>
      <c r="HO169" s="1364"/>
      <c r="HP169" s="1364"/>
      <c r="HQ169" s="1364"/>
      <c r="HR169" s="1364"/>
      <c r="HS169" s="1364"/>
      <c r="HT169" s="1364"/>
      <c r="HU169" s="1364"/>
      <c r="HV169" s="1364"/>
      <c r="HW169" s="1364"/>
      <c r="HX169" s="1364"/>
      <c r="HY169" s="1364"/>
      <c r="HZ169" s="1364"/>
      <c r="IA169" s="1364"/>
      <c r="IB169" s="1364"/>
      <c r="IC169" s="1364"/>
      <c r="ID169" s="1364"/>
      <c r="IE169" s="1364"/>
      <c r="IF169" s="1364"/>
      <c r="IG169" s="1364"/>
      <c r="IH169" s="1364"/>
      <c r="II169" s="1364"/>
      <c r="IJ169" s="1364"/>
      <c r="IK169" s="1364"/>
      <c r="IL169" s="1364"/>
      <c r="IM169" s="1364"/>
      <c r="IN169" s="1364"/>
      <c r="IO169" s="1364"/>
      <c r="IP169" s="1364"/>
      <c r="IQ169" s="1364"/>
      <c r="IR169" s="1364"/>
      <c r="IS169" s="1364"/>
      <c r="IT169" s="1364"/>
      <c r="IU169" s="1364"/>
      <c r="IV169" s="1364"/>
      <c r="IW169" s="1364"/>
      <c r="IX169" s="1364"/>
      <c r="IY169" s="1364"/>
      <c r="IZ169" s="1364"/>
      <c r="JA169" s="1364"/>
      <c r="JB169" s="1364"/>
      <c r="JC169" s="1364"/>
      <c r="JD169" s="1364"/>
      <c r="JE169" s="1364"/>
      <c r="JF169" s="1364"/>
      <c r="JG169" s="1364"/>
      <c r="JH169" s="1364"/>
      <c r="JI169" s="1364"/>
      <c r="JJ169" s="1364"/>
      <c r="JK169" s="1364"/>
      <c r="JL169" s="1364"/>
      <c r="JM169" s="1364"/>
      <c r="JN169" s="1364"/>
      <c r="JO169" s="1364"/>
      <c r="JP169" s="1364"/>
      <c r="JQ169" s="1364"/>
      <c r="JR169" s="1364"/>
      <c r="JS169" s="1364"/>
      <c r="JT169" s="1364"/>
      <c r="JU169" s="1364"/>
    </row>
    <row r="170" spans="1:281" s="37" customFormat="1" ht="12.75" customHeight="1" x14ac:dyDescent="0.2">
      <c r="A170" s="237" t="s">
        <v>854</v>
      </c>
      <c r="B170" s="960" t="s">
        <v>465</v>
      </c>
      <c r="C170" s="240">
        <f t="shared" ref="C170:M170" si="128">C169/C91</f>
        <v>0.20499999999999996</v>
      </c>
      <c r="D170" s="240">
        <f t="shared" si="128"/>
        <v>0.11800000000000004</v>
      </c>
      <c r="E170" s="240">
        <f t="shared" si="128"/>
        <v>0.19600000000000012</v>
      </c>
      <c r="F170" s="240">
        <f t="shared" si="128"/>
        <v>0.21626831442525282</v>
      </c>
      <c r="G170" s="240">
        <f t="shared" si="128"/>
        <v>0.22648016929386453</v>
      </c>
      <c r="H170" s="240">
        <f t="shared" si="128"/>
        <v>0.21083761562178829</v>
      </c>
      <c r="I170" s="240">
        <f t="shared" si="128"/>
        <v>0.14768712011261576</v>
      </c>
      <c r="J170" s="240">
        <f t="shared" si="128"/>
        <v>2.6050903303568556E-2</v>
      </c>
      <c r="K170" s="240">
        <f t="shared" si="128"/>
        <v>9.6833757421543709E-2</v>
      </c>
      <c r="L170" s="240">
        <f t="shared" si="128"/>
        <v>0.16043978709248174</v>
      </c>
      <c r="M170" s="240">
        <f t="shared" si="128"/>
        <v>0.20985614749940909</v>
      </c>
      <c r="N170" s="239"/>
      <c r="O170" s="240">
        <f>O169/O91</f>
        <v>0.15731732300161372</v>
      </c>
      <c r="P170" s="240">
        <f>P169/P91</f>
        <v>0.20578265799367432</v>
      </c>
      <c r="Q170" s="240">
        <f>Q169/Q91</f>
        <v>0.21371002914523465</v>
      </c>
      <c r="R170" s="240">
        <f>R169/R91</f>
        <v>0.26466308863823707</v>
      </c>
      <c r="S170" s="240">
        <f>S169/S91</f>
        <v>0.21882295126392126</v>
      </c>
      <c r="T170" s="239"/>
      <c r="U170" s="240">
        <f>U169/U91</f>
        <v>0.16211649864019698</v>
      </c>
      <c r="V170" s="240">
        <f>V169/V91</f>
        <v>0.21140434332988625</v>
      </c>
      <c r="W170" s="240">
        <f>W169/W91</f>
        <v>0.21557889866982149</v>
      </c>
      <c r="X170" s="240">
        <f>X169/X91</f>
        <v>0.27740810915295255</v>
      </c>
      <c r="Y170" s="240">
        <f>Y169/Y91</f>
        <v>0.22628741431682195</v>
      </c>
      <c r="Z170" s="239"/>
      <c r="AA170" s="240">
        <f>AA169/AA91</f>
        <v>0.16047795392841907</v>
      </c>
      <c r="AB170" s="240">
        <f>AB169/AB91</f>
        <v>0.20908467689970747</v>
      </c>
      <c r="AC170" s="240">
        <f>AC169/AC91</f>
        <v>0.21632317339264595</v>
      </c>
      <c r="AD170" s="240">
        <f>AD169/AD91</f>
        <v>0.28736452345984231</v>
      </c>
      <c r="AE170" s="240">
        <f>AE169/AE91</f>
        <v>0.22866083215348287</v>
      </c>
      <c r="AF170" s="239"/>
      <c r="AG170" s="240">
        <f>AG169/AG91</f>
        <v>0.15782041279108844</v>
      </c>
      <c r="AH170" s="240">
        <f>AH169/AH91</f>
        <v>0.1685576308756066</v>
      </c>
      <c r="AI170" s="240">
        <f>AI169/AI91</f>
        <v>0.18199955739991314</v>
      </c>
      <c r="AJ170" s="240">
        <f>AJ169/AJ91</f>
        <v>0.25074848096601393</v>
      </c>
      <c r="AK170" s="240">
        <f>AK169/AK91</f>
        <v>0.19754740606100474</v>
      </c>
      <c r="AL170" s="239"/>
      <c r="AM170" s="240">
        <f>AM169/AM91</f>
        <v>0.15884421219934705</v>
      </c>
      <c r="AN170" s="240">
        <f>AN169/AN91</f>
        <v>0.18583482818598193</v>
      </c>
      <c r="AO170" s="240">
        <f>AO169/AO91</f>
        <v>0.19562080310930671</v>
      </c>
      <c r="AP170" s="240">
        <f>AP169/AP91</f>
        <v>0.27394592016112651</v>
      </c>
      <c r="AQ170" s="240">
        <f>AQ169/AQ91</f>
        <v>0.21217033341746674</v>
      </c>
      <c r="AR170" s="239"/>
      <c r="AS170" s="240">
        <f>AS169/AS91</f>
        <v>0.17428069399254323</v>
      </c>
      <c r="AT170" s="240">
        <f>AT169/AT91</f>
        <v>0.24810250990252303</v>
      </c>
      <c r="AU170" s="240">
        <f>AU169/AU91</f>
        <v>0.31424648630817598</v>
      </c>
      <c r="AV170" s="240">
        <f>AV169/AV91</f>
        <v>0.41149479449131832</v>
      </c>
      <c r="AW170" s="240">
        <f>AW169/AW91</f>
        <v>0.30405933666386048</v>
      </c>
      <c r="AX170" s="239"/>
      <c r="AY170" s="240">
        <f>AY169/AY91</f>
        <v>0.28760633778439793</v>
      </c>
      <c r="AZ170" s="240">
        <f>AZ169/AZ91</f>
        <v>0.35214345698791838</v>
      </c>
      <c r="BA170" s="240">
        <f>BA169/BA91</f>
        <v>0.32570578866509747</v>
      </c>
      <c r="BB170" s="240">
        <f>BB169/BB91</f>
        <v>0.39356701507189457</v>
      </c>
      <c r="BC170" s="208">
        <f>BC169/BC91</f>
        <v>0.34460333343916605</v>
      </c>
      <c r="BD170" s="239"/>
      <c r="BE170" s="240">
        <f>BE169/BE91</f>
        <v>0.32925381502877404</v>
      </c>
      <c r="BF170" s="240">
        <f>BF169/BF91</f>
        <v>0.34445103987209075</v>
      </c>
      <c r="BG170" s="240">
        <f>BG169/BG91</f>
        <v>0.3455962757176077</v>
      </c>
      <c r="BH170" s="240">
        <f>BH169/BH91</f>
        <v>0.44213388628112443</v>
      </c>
      <c r="BI170" s="240">
        <f>BI169/BI91</f>
        <v>0.36917279218112076</v>
      </c>
      <c r="BJ170" s="239"/>
      <c r="BK170" s="240">
        <f>BK169/BK91</f>
        <v>0.28599605522682447</v>
      </c>
      <c r="BL170" s="240">
        <f>BL169/BL91</f>
        <v>0.34387180597661327</v>
      </c>
      <c r="BM170" s="240">
        <f>BM169/BM91</f>
        <v>0.34503684438664933</v>
      </c>
      <c r="BN170" s="240">
        <f>BN169/BN91</f>
        <v>0.44868263050081236</v>
      </c>
      <c r="BO170" s="240">
        <f>BO169/BO91</f>
        <v>0.36308757413935033</v>
      </c>
      <c r="BP170" s="239"/>
      <c r="BQ170" s="208">
        <f>BQ169/BQ91</f>
        <v>0.29729729729729731</v>
      </c>
      <c r="BR170" s="208">
        <f>BR169/BR91</f>
        <v>0.36629303442754202</v>
      </c>
      <c r="BS170" s="208">
        <f>BS169/BS91</f>
        <v>0.36946990833001198</v>
      </c>
      <c r="BT170" s="208">
        <f>BT169/BT91</f>
        <v>0.45693857653558662</v>
      </c>
      <c r="BU170" s="208">
        <f>BU169/BU91</f>
        <v>0.38046474990153606</v>
      </c>
      <c r="BV170" s="239"/>
      <c r="BW170" s="208">
        <f>BW169/BW91</f>
        <v>0.33566591422121894</v>
      </c>
      <c r="BX170" s="208">
        <f>BX169/BX91</f>
        <v>0.41883164005805512</v>
      </c>
      <c r="BY170" s="208">
        <f>BY169/BY91</f>
        <v>0.38086000646621404</v>
      </c>
      <c r="BZ170" s="208">
        <f>BZ169/BZ91</f>
        <v>0.45992601726263871</v>
      </c>
      <c r="CA170" s="208">
        <f>CA169/CA91</f>
        <v>0.4076904034986385</v>
      </c>
      <c r="CB170" s="208"/>
      <c r="CC170" s="208">
        <f>CC169/CC91</f>
        <v>0.35156518747850019</v>
      </c>
      <c r="CD170" s="208">
        <f>CD169/CD91</f>
        <v>0.40100176782557456</v>
      </c>
      <c r="CE170" s="208">
        <f>CE169/CE91</f>
        <v>0.39141014033499322</v>
      </c>
      <c r="CF170" s="208">
        <f>CF169/CF91</f>
        <v>0.44578691513064622</v>
      </c>
      <c r="CG170" s="306">
        <f>CG169/CG91</f>
        <v>0.40394587203162657</v>
      </c>
      <c r="CH170" s="239"/>
      <c r="CI170" s="208">
        <f>CI169/CI91</f>
        <v>0.36001092597650913</v>
      </c>
      <c r="CJ170" s="208">
        <f>CJ169/CJ91</f>
        <v>0.38757115749525617</v>
      </c>
      <c r="CK170" s="208">
        <f>CK169/CK91</f>
        <v>0.39447066756574511</v>
      </c>
      <c r="CL170" s="208">
        <f>CL169/CL91</f>
        <v>0.46132925378208395</v>
      </c>
      <c r="CM170" s="306">
        <f>CM169/CM91</f>
        <v>0.40754571914987092</v>
      </c>
      <c r="CN170" s="239"/>
      <c r="CO170" s="208">
        <f>CO169/CO91</f>
        <v>0.3662094491617679</v>
      </c>
      <c r="CP170" s="208">
        <f>CP169/CP91</f>
        <v>0.41275167785234901</v>
      </c>
      <c r="CQ170" s="208">
        <f>CQ169/CQ91</f>
        <v>0.41314466579780301</v>
      </c>
      <c r="CR170" s="208">
        <f>CR169/CR91</f>
        <v>0.48674632605411344</v>
      </c>
      <c r="CS170" s="306">
        <f>CS169/CS91</f>
        <v>0.42721924897164848</v>
      </c>
      <c r="CT170" s="239"/>
      <c r="CU170" s="208">
        <f>CU169/CU91</f>
        <v>0.40095905569900403</v>
      </c>
      <c r="CV170" s="208">
        <f>CV169/CV91</f>
        <v>0.45876560576754</v>
      </c>
      <c r="CW170" s="208">
        <f>CW169/CW91</f>
        <v>0.46420784883720928</v>
      </c>
      <c r="CX170" s="208">
        <f>CX169/CX91</f>
        <v>0.51053625926464175</v>
      </c>
      <c r="CY170" s="306">
        <f>CY169/CY91</f>
        <v>0.46186260321784284</v>
      </c>
      <c r="CZ170" s="239"/>
      <c r="DA170" s="208">
        <f>DA169/DA91</f>
        <v>0.45783132530120479</v>
      </c>
      <c r="DB170" s="208">
        <f>DB169/DB91</f>
        <v>0.48637602179836514</v>
      </c>
      <c r="DC170" s="208">
        <f>DC169/DC91</f>
        <v>0.44616193155470363</v>
      </c>
      <c r="DD170" s="208">
        <f>DD169/DD91</f>
        <v>0.45838438376077251</v>
      </c>
      <c r="DE170" s="306">
        <f>DE169/DE91</f>
        <v>0.46143574720551567</v>
      </c>
      <c r="DF170" s="239"/>
      <c r="DG170" s="208">
        <f>DG169/DG91</f>
        <v>0.38837638376383765</v>
      </c>
      <c r="DH170" s="208">
        <f>DH169/DH91</f>
        <v>0.44294916034046466</v>
      </c>
      <c r="DI170" s="208">
        <f>DI169/DI91</f>
        <v>0.44192119904621324</v>
      </c>
      <c r="DJ170" s="208">
        <f>DJ169/DJ91</f>
        <v>0.4847307051637979</v>
      </c>
      <c r="DK170" s="306">
        <f>DK169/DK91</f>
        <v>0.44373868226772534</v>
      </c>
      <c r="DL170" s="239"/>
      <c r="DM170" s="208">
        <f>DM169/DM91</f>
        <v>0.42462491069302216</v>
      </c>
      <c r="DN170" s="208">
        <f>DN169/DN91</f>
        <v>0.44591987288616503</v>
      </c>
      <c r="DO170" s="208">
        <f>DO169/DO91</f>
        <v>0.46404566273573167</v>
      </c>
      <c r="DP170" s="208">
        <f>DP169/DP91</f>
        <v>0.50338623828472562</v>
      </c>
      <c r="DQ170" s="306">
        <f>DQ169/DQ91</f>
        <v>0.46243432985445937</v>
      </c>
      <c r="DR170" s="239"/>
      <c r="DS170" s="208">
        <f>DS169/DS91</f>
        <v>0.43720306980143747</v>
      </c>
      <c r="DT170" s="208">
        <f>DT169/DT91</f>
        <v>0.46878086250411499</v>
      </c>
      <c r="DU170" s="208">
        <f>DU169/DU91</f>
        <v>0.4657748049052397</v>
      </c>
      <c r="DV170" s="208">
        <f>DV169/DV91</f>
        <v>0.5084390110391388</v>
      </c>
      <c r="DW170" s="306">
        <f>DW169/DW91</f>
        <v>0.47276729390921535</v>
      </c>
      <c r="DX170" s="239"/>
      <c r="DY170" s="208">
        <f>DY169/DY91</f>
        <v>0.44636678200692043</v>
      </c>
      <c r="DZ170" s="208">
        <f>DZ169/DZ91</f>
        <v>0.45739523860820858</v>
      </c>
      <c r="EA170" s="208">
        <f>EA169/EA91</f>
        <v>0.46870638754696725</v>
      </c>
      <c r="EB170" s="208">
        <f>EB169/EB91</f>
        <v>0.50821119547942784</v>
      </c>
      <c r="EC170" s="306">
        <f>EC169/EC91</f>
        <v>0.47275812557107427</v>
      </c>
      <c r="ED170" s="239"/>
      <c r="EE170" s="208">
        <f>EE169/EE91</f>
        <v>0.44412140946621698</v>
      </c>
      <c r="EF170" s="208">
        <f>EF169/EF91</f>
        <v>0.45701498751040798</v>
      </c>
      <c r="EG170" s="208">
        <f>EG169/EG91</f>
        <v>0.450610670666381</v>
      </c>
      <c r="EH170" s="208">
        <f>EH169/EH91</f>
        <v>0.46471247199402538</v>
      </c>
      <c r="EI170" s="306">
        <f>EI169/EI91</f>
        <v>0.45470943455415264</v>
      </c>
      <c r="EJ170" s="239"/>
      <c r="EK170" s="208">
        <f>EK169/EK91</f>
        <v>0.410957283161756</v>
      </c>
      <c r="EL170" s="208">
        <f>EL169/EL91</f>
        <v>0.41385060026678522</v>
      </c>
      <c r="EM170" s="208">
        <f>EM169/EM91</f>
        <v>0.42411803860661196</v>
      </c>
      <c r="EN170" s="208">
        <f>EN169/EN91</f>
        <v>0.44979237448093623</v>
      </c>
      <c r="EO170" s="306">
        <f>EO169/EO91</f>
        <v>0.42596540464689531</v>
      </c>
      <c r="EP170" s="239"/>
      <c r="EQ170" s="208">
        <f>EQ169/EQ91</f>
        <v>0.39498432601880878</v>
      </c>
      <c r="ER170" s="208">
        <f>ER169/ER91</f>
        <v>0.41972131628330561</v>
      </c>
      <c r="ES170" s="208">
        <f>ES169/ES91</f>
        <v>0.42527496226008193</v>
      </c>
      <c r="ET170" s="208">
        <f>ET169/ET91</f>
        <v>0.45836760807970023</v>
      </c>
      <c r="EU170" s="306">
        <f>EU169/EU91</f>
        <v>0.4266154904060343</v>
      </c>
      <c r="EV170" s="239"/>
      <c r="EW170" s="208">
        <f>EW169/EW91</f>
        <v>0.41076856274424661</v>
      </c>
      <c r="EX170" s="208">
        <f>EX169/EX91</f>
        <v>0.43613707165109034</v>
      </c>
      <c r="EY170" s="208">
        <f>EY169/EY91</f>
        <v>0.43872749590834698</v>
      </c>
      <c r="EZ170" s="208">
        <f>EZ169/EZ91</f>
        <v>0.46302861746625279</v>
      </c>
      <c r="FA170" s="306">
        <f>FA169/FA91</f>
        <v>0.43846167071575615</v>
      </c>
      <c r="FB170" s="239"/>
      <c r="FC170" s="208">
        <f>FC169/FC91</f>
        <v>0.41465248166407753</v>
      </c>
      <c r="FD170" s="208">
        <f>FD169/FD91</f>
        <v>0.43878210459166173</v>
      </c>
      <c r="FE170" s="208">
        <f>FE169/FE91</f>
        <v>0.44228723450746682</v>
      </c>
      <c r="FF170" s="208">
        <f>FF169/FF91</f>
        <v>0.46465454447909021</v>
      </c>
      <c r="FG170" s="306">
        <f>FG169/FG91</f>
        <v>0.4412191995098988</v>
      </c>
      <c r="FH170" s="239"/>
      <c r="FI170" s="208">
        <f>FI169/FI91</f>
        <v>0.42480443120406036</v>
      </c>
      <c r="FJ170" s="208">
        <f>FJ169/FJ91</f>
        <v>0.4435092298160393</v>
      </c>
      <c r="FK170" s="208">
        <f>FK169/FK91</f>
        <v>0.44410059059910761</v>
      </c>
      <c r="FL170" s="208">
        <f>FL169/FL91</f>
        <v>0.46050704327836167</v>
      </c>
      <c r="FM170" s="306">
        <f>FM169/FM91</f>
        <v>0.44395096251651811</v>
      </c>
      <c r="FN170" s="1125"/>
      <c r="FO170" s="307">
        <f t="shared" ref="FO170:GA170" si="129">FO169/FO91</f>
        <v>0.39980976731667933</v>
      </c>
      <c r="FP170" s="208">
        <f t="shared" si="129"/>
        <v>0.41229237517866824</v>
      </c>
      <c r="FQ170" s="208">
        <f t="shared" si="129"/>
        <v>0.44383653886620933</v>
      </c>
      <c r="FR170" s="208">
        <f t="shared" si="129"/>
        <v>0.48207547169811321</v>
      </c>
      <c r="FS170" s="307">
        <f t="shared" si="129"/>
        <v>0.43539391768367997</v>
      </c>
      <c r="FT170" s="208">
        <f t="shared" si="129"/>
        <v>0.45149638802889575</v>
      </c>
      <c r="FU170" s="208">
        <f t="shared" si="129"/>
        <v>0.47083794929413125</v>
      </c>
      <c r="FV170" s="208">
        <f t="shared" si="129"/>
        <v>0.47181806091235534</v>
      </c>
      <c r="FW170" s="208">
        <f t="shared" si="129"/>
        <v>0.47189044481054365</v>
      </c>
      <c r="FX170" s="208">
        <f t="shared" si="129"/>
        <v>0.43688155122289496</v>
      </c>
      <c r="FY170" s="208">
        <f t="shared" si="129"/>
        <v>0.42361497319320252</v>
      </c>
      <c r="FZ170" s="208">
        <f t="shared" si="129"/>
        <v>0.43380187930460606</v>
      </c>
      <c r="GA170" s="208">
        <f t="shared" si="129"/>
        <v>0.43977855990951753</v>
      </c>
      <c r="GB170" s="208">
        <f t="shared" ref="GB170" si="130">GB169/GB91</f>
        <v>0.44453560899395383</v>
      </c>
      <c r="GC170" s="130"/>
      <c r="GD170" s="130"/>
      <c r="GE170" s="130"/>
      <c r="GF170" s="130"/>
      <c r="GH170" s="1640"/>
      <c r="GI170"/>
      <c r="GJ170"/>
      <c r="GK170"/>
      <c r="GL170"/>
      <c r="GM170"/>
      <c r="GN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</row>
    <row r="171" spans="1:281" s="37" customFormat="1" ht="12.75" customHeight="1" x14ac:dyDescent="0.2">
      <c r="A171" s="256" t="s">
        <v>1271</v>
      </c>
      <c r="B171" s="414"/>
      <c r="C171" s="103"/>
      <c r="D171" s="103"/>
      <c r="E171" s="103"/>
      <c r="F171" s="103"/>
      <c r="G171" s="103"/>
      <c r="H171" s="103"/>
      <c r="I171" s="103"/>
      <c r="J171" s="103"/>
      <c r="K171" s="103"/>
      <c r="L171" s="103"/>
      <c r="M171" s="103"/>
      <c r="N171" s="232"/>
      <c r="O171" s="103"/>
      <c r="P171" s="103"/>
      <c r="Q171" s="103"/>
      <c r="R171" s="103"/>
      <c r="S171" s="103"/>
      <c r="T171" s="232"/>
      <c r="U171" s="103"/>
      <c r="V171" s="103"/>
      <c r="W171" s="103"/>
      <c r="X171" s="103"/>
      <c r="Y171" s="103"/>
      <c r="Z171" s="232"/>
      <c r="AA171" s="103"/>
      <c r="AB171" s="103"/>
      <c r="AC171" s="103"/>
      <c r="AD171" s="103"/>
      <c r="AE171" s="103"/>
      <c r="AF171" s="232"/>
      <c r="AG171" s="103"/>
      <c r="AH171" s="103"/>
      <c r="AI171" s="103"/>
      <c r="AJ171" s="103"/>
      <c r="AK171" s="103"/>
      <c r="AL171" s="232"/>
      <c r="AM171" s="103"/>
      <c r="AN171" s="103"/>
      <c r="AO171" s="103"/>
      <c r="AP171" s="103"/>
      <c r="AQ171" s="103"/>
      <c r="AR171" s="232"/>
      <c r="AS171" s="103"/>
      <c r="AT171" s="103"/>
      <c r="AU171" s="103"/>
      <c r="AV171" s="103"/>
      <c r="AW171" s="103"/>
      <c r="AX171" s="232"/>
      <c r="AY171" s="103"/>
      <c r="AZ171" s="103"/>
      <c r="BA171" s="103"/>
      <c r="BB171" s="103"/>
      <c r="BC171" s="130"/>
      <c r="BD171" s="232"/>
      <c r="BE171" s="103"/>
      <c r="BF171" s="103"/>
      <c r="BG171" s="103"/>
      <c r="BH171" s="103"/>
      <c r="BI171" s="103"/>
      <c r="BJ171" s="232"/>
      <c r="BK171" s="103"/>
      <c r="BL171" s="103"/>
      <c r="BM171" s="103"/>
      <c r="BN171" s="103"/>
      <c r="BO171" s="103"/>
      <c r="BP171" s="232"/>
      <c r="BQ171" s="130"/>
      <c r="BR171" s="130"/>
      <c r="BS171" s="130"/>
      <c r="BT171" s="130"/>
      <c r="BU171" s="130"/>
      <c r="BV171" s="232"/>
      <c r="BW171" s="130"/>
      <c r="BX171" s="130"/>
      <c r="BY171" s="130"/>
      <c r="BZ171" s="130"/>
      <c r="CA171" s="130"/>
      <c r="CB171" s="130"/>
      <c r="CC171" s="130"/>
      <c r="CD171" s="130"/>
      <c r="CE171" s="130"/>
      <c r="CF171" s="130"/>
      <c r="CG171" s="890"/>
      <c r="CH171" s="232"/>
      <c r="CI171" s="130"/>
      <c r="CJ171" s="130"/>
      <c r="CK171" s="130"/>
      <c r="CL171" s="130"/>
      <c r="CM171" s="890"/>
      <c r="CN171" s="232"/>
      <c r="CO171" s="130"/>
      <c r="CP171" s="130"/>
      <c r="CQ171" s="130"/>
      <c r="CR171" s="130"/>
      <c r="CS171" s="890"/>
      <c r="CT171" s="232"/>
      <c r="CU171" s="130"/>
      <c r="CV171" s="130"/>
      <c r="CW171" s="130"/>
      <c r="CX171" s="130"/>
      <c r="CY171" s="890"/>
      <c r="CZ171" s="232"/>
      <c r="DA171" s="130"/>
      <c r="DB171" s="130"/>
      <c r="DC171" s="130"/>
      <c r="DD171" s="130"/>
      <c r="DE171" s="890"/>
      <c r="DF171" s="232"/>
      <c r="DG171" s="130"/>
      <c r="DH171" s="130"/>
      <c r="DI171" s="130"/>
      <c r="DJ171" s="130"/>
      <c r="DK171" s="890"/>
      <c r="DL171" s="232"/>
      <c r="DM171" s="130"/>
      <c r="DN171" s="130"/>
      <c r="DO171" s="130"/>
      <c r="DP171" s="130"/>
      <c r="DQ171" s="890"/>
      <c r="DR171" s="232"/>
      <c r="DS171" s="130"/>
      <c r="DT171" s="130"/>
      <c r="DU171" s="130"/>
      <c r="DV171" s="130"/>
      <c r="DW171" s="890">
        <f t="shared" ref="DW171:EN171" si="131">DW169/DQ169-1</f>
        <v>2.3209941933532985E-2</v>
      </c>
      <c r="DX171" s="232" t="e">
        <f t="shared" si="131"/>
        <v>#DIV/0!</v>
      </c>
      <c r="DY171" s="130">
        <f t="shared" si="131"/>
        <v>4.2351629980496019E-2</v>
      </c>
      <c r="DZ171" s="130">
        <f t="shared" si="131"/>
        <v>-6.0861423220973654E-3</v>
      </c>
      <c r="EA171" s="130">
        <f t="shared" si="131"/>
        <v>4.4997606510291943E-2</v>
      </c>
      <c r="EB171" s="130">
        <f t="shared" si="131"/>
        <v>3.2836892158621955E-2</v>
      </c>
      <c r="EC171" s="890">
        <f t="shared" si="131"/>
        <v>2.8219395866454722E-2</v>
      </c>
      <c r="ED171" s="232" t="e">
        <f t="shared" si="131"/>
        <v>#DIV/0!</v>
      </c>
      <c r="EE171" s="130">
        <f t="shared" si="131"/>
        <v>2.0850040096231037E-2</v>
      </c>
      <c r="EF171" s="130">
        <f t="shared" si="131"/>
        <v>3.4149788035798379E-2</v>
      </c>
      <c r="EG171" s="130">
        <f t="shared" si="131"/>
        <v>-3.6646816307833285E-2</v>
      </c>
      <c r="EH171" s="130">
        <f t="shared" si="131"/>
        <v>-0.1351633078526755</v>
      </c>
      <c r="EI171" s="890">
        <f t="shared" si="131"/>
        <v>-3.948312993539127E-2</v>
      </c>
      <c r="EJ171" s="232"/>
      <c r="EK171" s="130">
        <f t="shared" si="131"/>
        <v>-9.0599633411887925E-2</v>
      </c>
      <c r="EL171" s="130">
        <f t="shared" si="131"/>
        <v>-0.15212935549988615</v>
      </c>
      <c r="EM171" s="130">
        <f t="shared" si="131"/>
        <v>-9.1060389919163098E-2</v>
      </c>
      <c r="EN171" s="130">
        <f t="shared" si="131"/>
        <v>-4.2587384491763802E-2</v>
      </c>
      <c r="EO171" s="890">
        <f>EO169/EI169-1</f>
        <v>-9.2503162009888507E-2</v>
      </c>
      <c r="EP171" s="232"/>
      <c r="EQ171" s="130">
        <f t="shared" ref="EQ171:FM171" si="132">EQ169/EK169-1</f>
        <v>-2.044342067376903E-2</v>
      </c>
      <c r="ER171" s="130">
        <f t="shared" si="132"/>
        <v>2.2503357507386301E-2</v>
      </c>
      <c r="ES171" s="130">
        <f t="shared" si="132"/>
        <v>3.1650536228093218E-2</v>
      </c>
      <c r="ET171" s="130">
        <f t="shared" si="132"/>
        <v>5.2245069240453246E-2</v>
      </c>
      <c r="EU171" s="890">
        <f t="shared" si="132"/>
        <v>2.4249604054481955E-2</v>
      </c>
      <c r="EV171" s="232"/>
      <c r="EW171" s="130">
        <f t="shared" si="132"/>
        <v>0.11228689006466785</v>
      </c>
      <c r="EX171" s="130">
        <f t="shared" si="132"/>
        <v>0.10329464797020083</v>
      </c>
      <c r="EY171" s="130">
        <f t="shared" si="132"/>
        <v>8.7474645030426013E-2</v>
      </c>
      <c r="EZ171" s="130">
        <f t="shared" si="132"/>
        <v>3.312834785306995E-2</v>
      </c>
      <c r="FA171" s="890">
        <f t="shared" si="132"/>
        <v>7.9563097993858412E-2</v>
      </c>
      <c r="FB171" s="232"/>
      <c r="FC171" s="130">
        <f t="shared" si="132"/>
        <v>4.642711252449927E-2</v>
      </c>
      <c r="FD171" s="130">
        <f t="shared" si="132"/>
        <v>4.2825955215203049E-2</v>
      </c>
      <c r="FE171" s="130">
        <f t="shared" si="132"/>
        <v>4.0683145410675525E-2</v>
      </c>
      <c r="FF171" s="130">
        <f t="shared" si="132"/>
        <v>2.2685907952107787E-2</v>
      </c>
      <c r="FG171" s="890">
        <f t="shared" si="132"/>
        <v>3.7101690529722564E-2</v>
      </c>
      <c r="FH171" s="232"/>
      <c r="FI171" s="130">
        <f t="shared" si="132"/>
        <v>6.6344652866567433E-2</v>
      </c>
      <c r="FJ171" s="130">
        <f t="shared" si="132"/>
        <v>4.7326078295011342E-2</v>
      </c>
      <c r="FK171" s="130">
        <f t="shared" si="132"/>
        <v>3.8741827654884764E-2</v>
      </c>
      <c r="FL171" s="130">
        <f t="shared" si="132"/>
        <v>1.4793652954650627E-2</v>
      </c>
      <c r="FM171" s="890">
        <f t="shared" si="132"/>
        <v>3.9846838827745756E-2</v>
      </c>
      <c r="FN171" s="1125"/>
      <c r="FO171" s="1850"/>
      <c r="FP171" s="130"/>
      <c r="FQ171" s="130"/>
      <c r="FR171" s="130"/>
      <c r="FS171" s="1850"/>
      <c r="FT171" s="130"/>
      <c r="FU171" s="130"/>
      <c r="FV171" s="130"/>
      <c r="FW171" s="130"/>
      <c r="FX171" s="130"/>
      <c r="FY171" s="130"/>
      <c r="FZ171" s="130"/>
      <c r="GA171" s="130"/>
      <c r="GB171" s="130"/>
      <c r="GC171" s="130"/>
      <c r="GD171" s="130"/>
      <c r="GE171" s="130"/>
      <c r="GF171" s="130"/>
      <c r="GH171" s="1640"/>
      <c r="GI171"/>
      <c r="GJ171"/>
      <c r="GK171"/>
      <c r="GL171"/>
      <c r="GM171"/>
      <c r="GN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</row>
    <row r="172" spans="1:281" s="127" customFormat="1" ht="3.75" customHeight="1" x14ac:dyDescent="0.2">
      <c r="B172" s="359"/>
      <c r="CG172" s="961"/>
      <c r="CM172" s="961"/>
      <c r="CS172" s="961"/>
      <c r="CY172" s="961"/>
      <c r="DE172" s="961"/>
      <c r="DK172" s="961"/>
      <c r="DQ172" s="961"/>
      <c r="DW172" s="961"/>
      <c r="EC172" s="961"/>
      <c r="EI172" s="961"/>
      <c r="EO172" s="961"/>
      <c r="EU172" s="961"/>
      <c r="FA172" s="961"/>
      <c r="FG172" s="961"/>
      <c r="FM172" s="961"/>
      <c r="FN172" s="961"/>
      <c r="FO172" s="962"/>
      <c r="FP172" s="963"/>
      <c r="FQ172" s="963"/>
      <c r="FR172" s="963"/>
      <c r="FS172" s="1721"/>
      <c r="FT172" s="1722"/>
      <c r="FU172" s="1722"/>
      <c r="FV172" s="1722"/>
      <c r="FW172" s="1722"/>
      <c r="FX172" s="1722"/>
      <c r="FY172" s="1722"/>
      <c r="FZ172" s="1722"/>
      <c r="GA172" s="1722"/>
      <c r="GB172" s="1722"/>
      <c r="GI172"/>
      <c r="GJ172"/>
      <c r="GK172"/>
      <c r="GL172"/>
      <c r="GM172"/>
      <c r="GN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</row>
    <row r="173" spans="1:281" s="127" customFormat="1" ht="12.75" hidden="1" customHeight="1" outlineLevel="1" x14ac:dyDescent="0.2">
      <c r="A173" s="308" t="s">
        <v>71</v>
      </c>
      <c r="B173" s="371"/>
      <c r="C173" s="308"/>
      <c r="D173" s="308"/>
      <c r="E173" s="308"/>
      <c r="F173" s="308"/>
      <c r="G173" s="308"/>
      <c r="H173" s="308"/>
      <c r="I173" s="308"/>
      <c r="J173" s="308"/>
      <c r="K173" s="308"/>
      <c r="L173" s="308"/>
      <c r="M173" s="308"/>
      <c r="N173" s="308"/>
      <c r="O173" s="308"/>
      <c r="P173" s="308"/>
      <c r="Q173" s="308"/>
      <c r="R173" s="308"/>
      <c r="S173" s="308"/>
      <c r="T173" s="308"/>
      <c r="U173" s="308"/>
      <c r="V173" s="308"/>
      <c r="W173" s="308"/>
      <c r="X173" s="308"/>
      <c r="Y173" s="308"/>
      <c r="Z173" s="308"/>
      <c r="AA173" s="308"/>
      <c r="AB173" s="308"/>
      <c r="AC173" s="308"/>
      <c r="AD173" s="308"/>
      <c r="AE173" s="308"/>
      <c r="AF173" s="308"/>
      <c r="AG173" s="308"/>
      <c r="AH173" s="308"/>
      <c r="AI173" s="308"/>
      <c r="AJ173" s="308"/>
      <c r="AK173" s="308"/>
      <c r="AL173" s="308"/>
      <c r="AM173" s="308"/>
      <c r="AN173" s="308"/>
      <c r="AO173" s="308"/>
      <c r="AP173" s="308"/>
      <c r="AQ173" s="308"/>
      <c r="AR173" s="308"/>
      <c r="AS173" s="308"/>
      <c r="AT173" s="308"/>
      <c r="AU173" s="308"/>
      <c r="AV173" s="308"/>
      <c r="AW173" s="308"/>
      <c r="AX173" s="308"/>
      <c r="AY173" s="308"/>
      <c r="AZ173" s="308"/>
      <c r="BA173" s="308"/>
      <c r="BB173" s="308"/>
      <c r="BC173" s="308"/>
      <c r="BD173" s="308"/>
      <c r="BE173" s="308"/>
      <c r="BF173" s="308"/>
      <c r="BG173" s="308"/>
      <c r="BH173" s="308"/>
      <c r="BI173" s="308"/>
      <c r="BJ173" s="308"/>
      <c r="BK173" s="73">
        <f>BK169+'Cash Flow'!BK63</f>
        <v>642</v>
      </c>
      <c r="BL173" s="73">
        <f>BL169+'Cash Flow'!BL63</f>
        <v>854</v>
      </c>
      <c r="BM173" s="73">
        <f>BM169+'Cash Flow'!BM63</f>
        <v>867</v>
      </c>
      <c r="BN173" s="73">
        <f>BN169+'Cash Flow'!BN63</f>
        <v>1320.4</v>
      </c>
      <c r="BO173" s="73">
        <f>BO169+'Cash Flow'!BO63</f>
        <v>3683.4</v>
      </c>
      <c r="BP173" s="308"/>
      <c r="BQ173" s="73">
        <f>BQ169+'Cash Flow'!BQ63</f>
        <v>666</v>
      </c>
      <c r="BR173" s="73">
        <f>BR169+'Cash Flow'!BR63</f>
        <v>965</v>
      </c>
      <c r="BS173" s="73">
        <f>BS169+'Cash Flow'!BS63</f>
        <v>977</v>
      </c>
      <c r="BT173" s="73">
        <f>BT169+'Cash Flow'!BT63</f>
        <v>1454</v>
      </c>
      <c r="BU173" s="73">
        <f>BU169+'Cash Flow'!BU63</f>
        <v>4062</v>
      </c>
      <c r="BV173" s="308"/>
      <c r="BW173" s="73">
        <f>BW169+'Cash Flow'!BW63</f>
        <v>787.5</v>
      </c>
      <c r="BX173" s="73">
        <f>BX169+'Cash Flow'!BX63</f>
        <v>1199.3</v>
      </c>
      <c r="BY173" s="73">
        <f>BY169+'Cash Flow'!BY63</f>
        <v>1231</v>
      </c>
      <c r="BZ173" s="73">
        <f>BZ169+'Cash Flow'!BZ63</f>
        <v>1929</v>
      </c>
      <c r="CA173" s="73">
        <f>CA169+'Cash Flow'!CA63</f>
        <v>5146.8</v>
      </c>
      <c r="CB173" s="308"/>
      <c r="CC173" s="73">
        <f>CC169+'Cash Flow'!CC63</f>
        <v>1079</v>
      </c>
      <c r="CD173" s="73">
        <f>CD169+'Cash Flow'!CD63</f>
        <v>1414</v>
      </c>
      <c r="CE173" s="73">
        <f>CE169+'Cash Flow'!CE63</f>
        <v>1433.4</v>
      </c>
      <c r="CF173" s="73">
        <f>CF169+'Cash Flow'!CF63</f>
        <v>2263.8500000000004</v>
      </c>
      <c r="CG173" s="162">
        <f>CG169+'Cash Flow'!CG63</f>
        <v>6190.25</v>
      </c>
      <c r="CH173" s="308"/>
      <c r="CI173" s="73">
        <f>CI169+'Cash Flow'!CI63</f>
        <v>1377</v>
      </c>
      <c r="CJ173" s="73">
        <f>CJ169+'Cash Flow'!CJ63</f>
        <v>1699</v>
      </c>
      <c r="CK173" s="73">
        <f>CK169+'Cash Flow'!CK63</f>
        <v>1815</v>
      </c>
      <c r="CL173" s="73">
        <f>CL169+'Cash Flow'!CL63</f>
        <v>2779</v>
      </c>
      <c r="CM173" s="162">
        <f>CM169+'Cash Flow'!CM63</f>
        <v>7670</v>
      </c>
      <c r="CN173" s="308"/>
      <c r="CO173" s="73">
        <f>CO169+'Cash Flow'!CO63</f>
        <v>1749</v>
      </c>
      <c r="CP173" s="73">
        <f>CP169+'Cash Flow'!CP63</f>
        <v>2284</v>
      </c>
      <c r="CQ173" s="73">
        <f>CQ169+'Cash Flow'!CQ63</f>
        <v>2284</v>
      </c>
      <c r="CR173" s="73">
        <f>CR169+'Cash Flow'!CR63</f>
        <v>3610</v>
      </c>
      <c r="CS173" s="162">
        <f>CS169+'Cash Flow'!CS63</f>
        <v>9927</v>
      </c>
      <c r="CT173" s="308"/>
      <c r="CU173" s="73">
        <f>CU169+'Cash Flow'!CU63</f>
        <v>2238</v>
      </c>
      <c r="CV173" s="73">
        <f>CV169+'Cash Flow'!CV63</f>
        <v>2679</v>
      </c>
      <c r="CW173" s="73">
        <f>CW169+'Cash Flow'!CW63</f>
        <v>2619</v>
      </c>
      <c r="CX173" s="73">
        <f>CX169+'Cash Flow'!CX63</f>
        <v>3578</v>
      </c>
      <c r="CY173" s="162">
        <f>CY169+'Cash Flow'!CY63</f>
        <v>11114</v>
      </c>
      <c r="CZ173" s="308"/>
      <c r="DA173" s="73">
        <f>DA169+'Cash Flow'!DA63</f>
        <v>2379</v>
      </c>
      <c r="DB173" s="73">
        <f>DB169+'Cash Flow'!DB63</f>
        <v>2918</v>
      </c>
      <c r="DC173" s="73">
        <f>DC169+'Cash Flow'!DC63</f>
        <v>2959.3999999999996</v>
      </c>
      <c r="DD173" s="73">
        <f>DD169+'Cash Flow'!DD63</f>
        <v>4516.7</v>
      </c>
      <c r="DE173" s="162">
        <f>DE169+'Cash Flow'!DE63</f>
        <v>12773.099999999999</v>
      </c>
      <c r="DF173" s="308"/>
      <c r="DG173" s="73">
        <f>DG169+'Cash Flow'!DG63</f>
        <v>3046</v>
      </c>
      <c r="DH173" s="73">
        <f>DH169+'Cash Flow'!DH63</f>
        <v>3946</v>
      </c>
      <c r="DI173" s="73">
        <f>DI169+'Cash Flow'!DI63</f>
        <v>3981</v>
      </c>
      <c r="DJ173" s="73">
        <f>DJ169+'Cash Flow'!DJ63</f>
        <v>5323</v>
      </c>
      <c r="DK173" s="162">
        <f>DK169+'Cash Flow'!DK63</f>
        <v>16296</v>
      </c>
      <c r="DL173" s="308"/>
      <c r="DM173" s="73">
        <f>DM169+'Cash Flow'!DM63</f>
        <v>3683</v>
      </c>
      <c r="DN173" s="73">
        <f>DN169+'Cash Flow'!DN63</f>
        <v>4038</v>
      </c>
      <c r="DO173" s="73">
        <f>DO169+'Cash Flow'!DO63</f>
        <v>4329.3392000000003</v>
      </c>
      <c r="DP173" s="73">
        <f>DP169+'Cash Flow'!DP63</f>
        <v>5648.1597000000002</v>
      </c>
      <c r="DQ173" s="162">
        <f>DQ169+'Cash Flow'!DQ63</f>
        <v>17698.498899999999</v>
      </c>
      <c r="DR173" s="308"/>
      <c r="DS173" s="73">
        <f>DS169+'Cash Flow'!DS63</f>
        <v>3716</v>
      </c>
      <c r="DT173" s="73">
        <f>DT169+'Cash Flow'!DT63</f>
        <v>4406</v>
      </c>
      <c r="DU173" s="73">
        <f>DU169+'Cash Flow'!DU63</f>
        <v>4317</v>
      </c>
      <c r="DV173" s="73">
        <f>DV169+'Cash Flow'!DV63</f>
        <v>5719</v>
      </c>
      <c r="DW173" s="162">
        <f>DW169+'Cash Flow'!DW63</f>
        <v>18158</v>
      </c>
      <c r="DX173" s="308"/>
      <c r="DY173" s="73">
        <f>DY169+'Cash Flow'!DY63</f>
        <v>3891</v>
      </c>
      <c r="DZ173" s="73">
        <f>DZ169+'Cash Flow'!DZ63</f>
        <v>4398</v>
      </c>
      <c r="EA173" s="73">
        <f>EA169+'Cash Flow'!EA63</f>
        <v>4516</v>
      </c>
      <c r="EB173" s="73">
        <f>EB169+'Cash Flow'!EB63</f>
        <v>5912</v>
      </c>
      <c r="EC173" s="162">
        <f>EC169+'Cash Flow'!EC63</f>
        <v>18717</v>
      </c>
      <c r="ED173" s="308"/>
      <c r="EE173" s="73">
        <f>EE169+'Cash Flow'!EE63</f>
        <v>3979</v>
      </c>
      <c r="EF173" s="73">
        <f>EF169+'Cash Flow'!EF63</f>
        <v>4555</v>
      </c>
      <c r="EG173" s="73">
        <f>EG169+'Cash Flow'!EG63</f>
        <v>4384</v>
      </c>
      <c r="EH173" s="73">
        <f>EH169+'Cash Flow'!EH63</f>
        <v>5188</v>
      </c>
      <c r="EI173" s="162">
        <f>EI169+'Cash Flow'!EI63</f>
        <v>18106</v>
      </c>
      <c r="EJ173" s="308"/>
      <c r="EK173" s="73">
        <f>EK169+'Cash Flow'!EK63</f>
        <v>3692</v>
      </c>
      <c r="EL173" s="73">
        <f>EL169+'Cash Flow'!EL63</f>
        <v>3933</v>
      </c>
      <c r="EM173" s="73">
        <f>EM169+'Cash Flow'!EM63</f>
        <v>4037</v>
      </c>
      <c r="EN173" s="73">
        <f>EN169+'Cash Flow'!EN63</f>
        <v>4994</v>
      </c>
      <c r="EO173" s="162">
        <f>EO169+'Cash Flow'!EO63</f>
        <v>16656</v>
      </c>
      <c r="EP173" s="308"/>
      <c r="EQ173" s="73">
        <f>EQ169+'Cash Flow'!EQ63</f>
        <v>3624</v>
      </c>
      <c r="ER173" s="73">
        <f>ER169+'Cash Flow'!ER63</f>
        <v>4047.7799999999988</v>
      </c>
      <c r="ES173" s="73">
        <f>ES169+'Cash Flow'!ES63</f>
        <v>4203</v>
      </c>
      <c r="ET173" s="73">
        <f>ET169+'Cash Flow'!ET63</f>
        <v>5293</v>
      </c>
      <c r="EU173" s="162">
        <f>EU169+'Cash Flow'!EU63</f>
        <v>17167.78</v>
      </c>
      <c r="EV173" s="308"/>
      <c r="EW173" s="73">
        <f>EW169+'Cash Flow'!EW63</f>
        <v>4069</v>
      </c>
      <c r="EX173" s="73">
        <f>EX169+'Cash Flow'!EX63</f>
        <v>4488</v>
      </c>
      <c r="EY173" s="73">
        <f>EY169+'Cash Flow'!EY63</f>
        <v>4594</v>
      </c>
      <c r="EZ173" s="73">
        <f>EZ169+'Cash Flow'!EZ63</f>
        <v>5475.6225144319496</v>
      </c>
      <c r="FA173" s="162">
        <f>FA169+'Cash Flow'!FA63</f>
        <v>18626.622514431947</v>
      </c>
      <c r="FB173" s="308"/>
      <c r="FC173" s="73">
        <f>FC169+'Cash Flow'!FC63</f>
        <v>4245.6294456528203</v>
      </c>
      <c r="FD173" s="73">
        <f>FD169+'Cash Flow'!FD63</f>
        <v>4669.5716607179193</v>
      </c>
      <c r="FE173" s="73">
        <f>FE169+'Cash Flow'!FE63</f>
        <v>5082.8967265470683</v>
      </c>
      <c r="FF173" s="73">
        <f>FF169+'Cash Flow'!FF63</f>
        <v>5629.2789460197992</v>
      </c>
      <c r="FG173" s="162">
        <f>FG169+'Cash Flow'!FG63</f>
        <v>19627.376778937607</v>
      </c>
      <c r="FH173" s="308"/>
      <c r="FI173" s="73">
        <f>FI169+'Cash Flow'!FI63</f>
        <v>4560.7782213663158</v>
      </c>
      <c r="FJ173" s="73">
        <f>FJ169+'Cash Flow'!FJ63</f>
        <v>4926.5319151474796</v>
      </c>
      <c r="FK173" s="73">
        <f>FK169+'Cash Flow'!FK63</f>
        <v>5355.4585886496434</v>
      </c>
      <c r="FL173" s="73">
        <f>FL169+'Cash Flow'!FL63</f>
        <v>5757.7205871128053</v>
      </c>
      <c r="FM173" s="162">
        <f>FM169+'Cash Flow'!FM63</f>
        <v>20600.489312276244</v>
      </c>
      <c r="FN173" s="961"/>
      <c r="FO173" s="309"/>
      <c r="FP173" s="73"/>
      <c r="FQ173" s="73"/>
      <c r="FR173" s="73"/>
      <c r="FS173" s="309"/>
      <c r="FT173" s="73"/>
      <c r="FU173" s="73"/>
      <c r="FV173" s="73"/>
      <c r="FW173" s="73"/>
      <c r="FX173" s="73"/>
      <c r="FY173" s="73"/>
      <c r="FZ173" s="73"/>
      <c r="GA173" s="73"/>
      <c r="GB173" s="73"/>
      <c r="GC173" s="73"/>
      <c r="GD173" s="73"/>
      <c r="GE173" s="73"/>
      <c r="GF173" s="73"/>
      <c r="GI173"/>
      <c r="GJ173"/>
      <c r="GK173"/>
      <c r="GL173"/>
      <c r="GM173"/>
      <c r="GN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</row>
    <row r="174" spans="1:281" s="127" customFormat="1" ht="12.75" hidden="1" customHeight="1" outlineLevel="1" x14ac:dyDescent="0.2">
      <c r="A174" s="308" t="s">
        <v>803</v>
      </c>
      <c r="B174" s="371"/>
      <c r="C174" s="308"/>
      <c r="D174" s="308"/>
      <c r="E174" s="308"/>
      <c r="F174" s="308"/>
      <c r="G174" s="308"/>
      <c r="H174" s="308"/>
      <c r="I174" s="308"/>
      <c r="J174" s="308"/>
      <c r="K174" s="308"/>
      <c r="L174" s="308"/>
      <c r="M174" s="308"/>
      <c r="N174" s="308"/>
      <c r="O174" s="308"/>
      <c r="P174" s="308"/>
      <c r="Q174" s="308"/>
      <c r="R174" s="308"/>
      <c r="S174" s="308"/>
      <c r="T174" s="308"/>
      <c r="U174" s="308"/>
      <c r="V174" s="308"/>
      <c r="W174" s="308"/>
      <c r="X174" s="308"/>
      <c r="Y174" s="308"/>
      <c r="Z174" s="308"/>
      <c r="AA174" s="308"/>
      <c r="AB174" s="308"/>
      <c r="AC174" s="308"/>
      <c r="AD174" s="308"/>
      <c r="AE174" s="308"/>
      <c r="AF174" s="308"/>
      <c r="AG174" s="308"/>
      <c r="AH174" s="308"/>
      <c r="AI174" s="308"/>
      <c r="AJ174" s="308"/>
      <c r="AK174" s="308"/>
      <c r="AL174" s="308"/>
      <c r="AM174" s="308"/>
      <c r="AN174" s="308"/>
      <c r="AO174" s="308"/>
      <c r="AP174" s="308"/>
      <c r="AQ174" s="308"/>
      <c r="AR174" s="308"/>
      <c r="AS174" s="308"/>
      <c r="AT174" s="308"/>
      <c r="AU174" s="308"/>
      <c r="AV174" s="308"/>
      <c r="AW174" s="308"/>
      <c r="AX174" s="308"/>
      <c r="AY174" s="308"/>
      <c r="AZ174" s="308"/>
      <c r="BA174" s="308"/>
      <c r="BB174" s="308"/>
      <c r="BC174" s="308"/>
      <c r="BD174" s="308"/>
      <c r="BE174" s="308"/>
      <c r="BF174" s="308"/>
      <c r="BG174" s="308"/>
      <c r="BH174" s="308"/>
      <c r="BI174" s="308"/>
      <c r="BJ174" s="308"/>
      <c r="BK174" s="310">
        <f>BK173/BK91</f>
        <v>0.31656804733727811</v>
      </c>
      <c r="BL174" s="310">
        <f>BL173/BL91</f>
        <v>0.36985708098744047</v>
      </c>
      <c r="BM174" s="310">
        <f>BM173/BM91</f>
        <v>0.37581274382314694</v>
      </c>
      <c r="BN174" s="310">
        <f>BN173/BN91</f>
        <v>0.46634173906901183</v>
      </c>
      <c r="BO174" s="310">
        <f>BO173/BO91</f>
        <v>0.38873292948054966</v>
      </c>
      <c r="BP174" s="308"/>
      <c r="BQ174" s="310">
        <f>BQ173/BQ91</f>
        <v>0.32142857142857145</v>
      </c>
      <c r="BR174" s="310">
        <f>BR173/BR91</f>
        <v>0.38630904723779025</v>
      </c>
      <c r="BS174" s="310">
        <f>BS173/BS91</f>
        <v>0.38939816660023913</v>
      </c>
      <c r="BT174" s="310">
        <f>BT173/BT91</f>
        <v>0.47253818654533636</v>
      </c>
      <c r="BU174" s="310">
        <f>BU173/BU91</f>
        <v>0.39996061441512404</v>
      </c>
      <c r="BV174" s="308"/>
      <c r="BW174" s="310">
        <f>BW173/BW91</f>
        <v>0.35553047404063204</v>
      </c>
      <c r="BX174" s="310">
        <f>BX173/BX91</f>
        <v>0.4351596516690856</v>
      </c>
      <c r="BY174" s="310">
        <f>BY173/BY91</f>
        <v>0.39799547365017784</v>
      </c>
      <c r="BZ174" s="310">
        <f>BZ173/BZ91</f>
        <v>0.4757090012330456</v>
      </c>
      <c r="CA174" s="310">
        <f>CA173/CA91</f>
        <v>0.42468850565228156</v>
      </c>
      <c r="CB174" s="308"/>
      <c r="CC174" s="310">
        <f>CC173/CC91</f>
        <v>0.37117303061575507</v>
      </c>
      <c r="CD174" s="310">
        <f>CD173/CD91</f>
        <v>0.41661756040070713</v>
      </c>
      <c r="CE174" s="310">
        <f>CE173/CE91</f>
        <v>0.40555681303757357</v>
      </c>
      <c r="CF174" s="310">
        <f>CF173/CF91</f>
        <v>0.45854770103301606</v>
      </c>
      <c r="CG174" s="311">
        <f>CG173/CG91</f>
        <v>0.41904159107524847</v>
      </c>
      <c r="CH174" s="308"/>
      <c r="CI174" s="310">
        <f>CI173/CI91</f>
        <v>0.37612674132750612</v>
      </c>
      <c r="CJ174" s="310">
        <f>CJ173/CJ91</f>
        <v>0.40298861480075904</v>
      </c>
      <c r="CK174" s="310">
        <f>CK173/CK91</f>
        <v>0.4079568442346595</v>
      </c>
      <c r="CL174" s="310">
        <f>CL173/CL91</f>
        <v>0.47237803841577425</v>
      </c>
      <c r="CM174" s="311">
        <f>CM173/CM91</f>
        <v>0.42122027568784665</v>
      </c>
      <c r="CN174" s="308"/>
      <c r="CO174" s="310">
        <f>CO173/CO91</f>
        <v>0.38079686479425212</v>
      </c>
      <c r="CP174" s="310">
        <f>CP173/CP91</f>
        <v>0.42580164056674125</v>
      </c>
      <c r="CQ174" s="310">
        <f>CQ173/CQ91</f>
        <v>0.42524669521504377</v>
      </c>
      <c r="CR174" s="310">
        <f>CR173/CR91</f>
        <v>0.49581101497047109</v>
      </c>
      <c r="CS174" s="311">
        <f>CS173/CS91</f>
        <v>0.43907293555663673</v>
      </c>
      <c r="CT174" s="308"/>
      <c r="CU174" s="310">
        <f>CU173/CU91</f>
        <v>0.41276281814828475</v>
      </c>
      <c r="CV174" s="310">
        <f>CV173/CV91</f>
        <v>0.47107438016528924</v>
      </c>
      <c r="CW174" s="310">
        <f>CW173/CW91</f>
        <v>0.47583575581395349</v>
      </c>
      <c r="CX174" s="310">
        <f>CX173/CX91</f>
        <v>0.51998256067432058</v>
      </c>
      <c r="CY174" s="311">
        <f>CY173/CY91</f>
        <v>0.47305695071081977</v>
      </c>
      <c r="CZ174" s="308"/>
      <c r="DA174" s="310">
        <f>DA173/DA91</f>
        <v>0.46987951807228917</v>
      </c>
      <c r="DB174" s="310">
        <f>DB173/DB91</f>
        <v>0.49693460490463215</v>
      </c>
      <c r="DC174" s="310">
        <f>DC173/DC91</f>
        <v>0.45744582186910682</v>
      </c>
      <c r="DD174" s="310">
        <f>DD173/DD91</f>
        <v>0.46897518430069562</v>
      </c>
      <c r="DE174" s="311">
        <f>DE173/DE91</f>
        <v>0.47245833240861973</v>
      </c>
      <c r="DF174" s="308"/>
      <c r="DG174" s="310">
        <f>DG173/DG91</f>
        <v>0.40142329994728521</v>
      </c>
      <c r="DH174" s="310">
        <f>DH173/DH91</f>
        <v>0.45387623648493214</v>
      </c>
      <c r="DI174" s="310">
        <f>DI173/DI91</f>
        <v>0.45202679686612923</v>
      </c>
      <c r="DJ174" s="310">
        <f>DJ173/DJ91</f>
        <v>0.49259670553396262</v>
      </c>
      <c r="DK174" s="311">
        <f>DK173/DK91</f>
        <v>0.4539908065190138</v>
      </c>
      <c r="DL174" s="308"/>
      <c r="DM174" s="310">
        <f>DM173/DM91</f>
        <v>0.4385567992379138</v>
      </c>
      <c r="DN174" s="310">
        <f>DN173/DN91</f>
        <v>0.45829077289751446</v>
      </c>
      <c r="DO174" s="310">
        <f>DO173/DO91</f>
        <v>0.477728664140049</v>
      </c>
      <c r="DP174" s="310">
        <f>DP173/DP91</f>
        <v>0.51580614847105832</v>
      </c>
      <c r="DQ174" s="311">
        <f>DQ173/DQ91</f>
        <v>0.4754913000024294</v>
      </c>
      <c r="DR174" s="308"/>
      <c r="DS174" s="310">
        <f>DS173/DS91</f>
        <v>0.45267389450602996</v>
      </c>
      <c r="DT174" s="310">
        <f>DT173/DT91</f>
        <v>0.48348513113135083</v>
      </c>
      <c r="DU174" s="310">
        <f>DU173/DU91</f>
        <v>0.48127090301003345</v>
      </c>
      <c r="DV174" s="310">
        <f>DV173/DV91</f>
        <v>0.52175896359821183</v>
      </c>
      <c r="DW174" s="311">
        <f>DW173/DW91</f>
        <v>0.48742383163772046</v>
      </c>
      <c r="DX174" s="308"/>
      <c r="DY174" s="310">
        <f>DY173/DY91</f>
        <v>0.46426440758859322</v>
      </c>
      <c r="DZ174" s="310">
        <f>DZ173/DZ91</f>
        <v>0.47376925562856836</v>
      </c>
      <c r="EA174" s="310">
        <f>EA173/EA91</f>
        <v>0.48480944712828772</v>
      </c>
      <c r="EB174" s="310">
        <f>EB173/EB91</f>
        <v>0.52198481370298433</v>
      </c>
      <c r="EC174" s="311">
        <f>EC173/EC91</f>
        <v>0.48863072705913069</v>
      </c>
      <c r="ED174" s="308"/>
      <c r="EE174" s="310">
        <f>EE173/EE91</f>
        <v>0.46272822421211768</v>
      </c>
      <c r="EF174" s="310">
        <f>EF173/EF91</f>
        <v>0.47408409658617817</v>
      </c>
      <c r="EG174" s="310">
        <f>EG173/EG91</f>
        <v>0.46968073709020786</v>
      </c>
      <c r="EH174" s="310">
        <f>EH173/EH91</f>
        <v>0.48431665421956682</v>
      </c>
      <c r="EI174" s="311">
        <f>EI173/EI91</f>
        <v>0.47332235380231613</v>
      </c>
      <c r="EJ174" s="308"/>
      <c r="EK174" s="310">
        <f>EK173/EK91</f>
        <v>0.43687137616850075</v>
      </c>
      <c r="EL174" s="310">
        <f>EL173/EL91</f>
        <v>0.43719430858159181</v>
      </c>
      <c r="EM174" s="310">
        <f>EM173/EM91</f>
        <v>0.44785888617705794</v>
      </c>
      <c r="EN174" s="310">
        <f>EN173/EN91</f>
        <v>0.47130992827482071</v>
      </c>
      <c r="EO174" s="311">
        <f>EO173/EO91</f>
        <v>0.44946973581239713</v>
      </c>
      <c r="EP174" s="308"/>
      <c r="EQ174" s="310">
        <f>EQ173/EQ91</f>
        <v>0.42075931731104144</v>
      </c>
      <c r="ER174" s="310">
        <f>ER173/ER91</f>
        <v>0.4462930743634354</v>
      </c>
      <c r="ES174" s="310">
        <f>ES173/ES91</f>
        <v>0.45320250161742504</v>
      </c>
      <c r="ET174" s="310">
        <f>ET173/ET91</f>
        <v>0.48377662005301159</v>
      </c>
      <c r="EU174" s="311">
        <f>EU173/EU91</f>
        <v>0.45300226029070828</v>
      </c>
      <c r="EV174" s="308"/>
      <c r="EW174" s="310">
        <f>EW173/EW91</f>
        <v>0.44170646982197131</v>
      </c>
      <c r="EX174" s="310">
        <f>EX173/EX91</f>
        <v>0.46604361370716513</v>
      </c>
      <c r="EY174" s="310">
        <f>EY173/EY91</f>
        <v>0.46992635024549917</v>
      </c>
      <c r="EZ174" s="310">
        <f>EZ173/EZ91</f>
        <v>0.48934608525429868</v>
      </c>
      <c r="FA174" s="311">
        <f>FA173/FA91</f>
        <v>0.46791538582699782</v>
      </c>
      <c r="FB174" s="308"/>
      <c r="FC174" s="310">
        <f>FC173/FC91</f>
        <v>0.44459670976099702</v>
      </c>
      <c r="FD174" s="310">
        <f>FD173/FD91</f>
        <v>0.46780496751448691</v>
      </c>
      <c r="FE174" s="310">
        <f>FE173/FE91</f>
        <v>0.50366424728167436</v>
      </c>
      <c r="FF174" s="310">
        <f>FF173/FF91</f>
        <v>0.49364582855775568</v>
      </c>
      <c r="FG174" s="311">
        <f>FG173/FG91</f>
        <v>0.47840630846811844</v>
      </c>
      <c r="FH174" s="308"/>
      <c r="FI174" s="310">
        <f>FI173/FI91</f>
        <v>0.45884952414548436</v>
      </c>
      <c r="FJ174" s="310">
        <f>FJ173/FJ91</f>
        <v>0.47632230950202753</v>
      </c>
      <c r="FK174" s="310">
        <f>FK173/FK91</f>
        <v>0.51297456167954514</v>
      </c>
      <c r="FL174" s="310">
        <f>FL173/FL91</f>
        <v>0.49310752818860298</v>
      </c>
      <c r="FM174" s="311">
        <f>FM173/FM91</f>
        <v>0.48587370709816419</v>
      </c>
      <c r="FN174" s="961"/>
      <c r="FO174" s="312"/>
      <c r="FP174" s="310"/>
      <c r="FQ174" s="310"/>
      <c r="FR174" s="310"/>
      <c r="FS174" s="312"/>
      <c r="FT174" s="310"/>
      <c r="FU174" s="310"/>
      <c r="FV174" s="310"/>
      <c r="FW174" s="310"/>
      <c r="FX174" s="310"/>
      <c r="FY174" s="310"/>
      <c r="FZ174" s="310"/>
      <c r="GA174" s="310"/>
      <c r="GB174" s="310"/>
      <c r="GC174" s="310"/>
      <c r="GD174" s="310"/>
      <c r="GE174" s="310"/>
      <c r="GF174" s="310"/>
      <c r="GI174"/>
      <c r="GJ174"/>
      <c r="GK174"/>
      <c r="GL174"/>
      <c r="GM174"/>
      <c r="GN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</row>
    <row r="175" spans="1:281" s="127" customFormat="1" ht="3.75" hidden="1" customHeight="1" outlineLevel="1" x14ac:dyDescent="0.2">
      <c r="B175" s="359"/>
      <c r="CG175" s="961"/>
      <c r="CM175" s="961"/>
      <c r="CS175" s="961"/>
      <c r="CY175" s="961"/>
      <c r="DE175" s="961"/>
      <c r="DK175" s="961"/>
      <c r="DQ175" s="961"/>
      <c r="DW175" s="961"/>
      <c r="EC175" s="961"/>
      <c r="EI175" s="961"/>
      <c r="EO175" s="961"/>
      <c r="EU175" s="961"/>
      <c r="FA175" s="961"/>
      <c r="FG175" s="961"/>
      <c r="FM175" s="961"/>
      <c r="FN175" s="961"/>
      <c r="FO175" s="964"/>
      <c r="FS175" s="964"/>
      <c r="GI175"/>
      <c r="GJ175"/>
      <c r="GK175"/>
      <c r="GL175"/>
      <c r="GM175"/>
      <c r="GN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</row>
    <row r="176" spans="1:281" s="242" customFormat="1" collapsed="1" x14ac:dyDescent="0.2">
      <c r="A176" s="41" t="s">
        <v>23</v>
      </c>
      <c r="B176" s="949" t="s">
        <v>804</v>
      </c>
      <c r="C176" s="242">
        <f>-0.024*C91</f>
        <v>-0.30515999999999999</v>
      </c>
      <c r="D176" s="242">
        <f>-0.007*D91</f>
        <v>-0.16205699999999998</v>
      </c>
      <c r="E176" s="242">
        <f>-0.007*E91</f>
        <v>-0.38741500000000001</v>
      </c>
      <c r="F176" s="242">
        <v>-0.11899999999999994</v>
      </c>
      <c r="G176" s="34">
        <v>1.0840000000000001</v>
      </c>
      <c r="H176" s="242">
        <v>-2.7149999999999999</v>
      </c>
      <c r="I176" s="34">
        <v>-17.135000000000002</v>
      </c>
      <c r="J176" s="34">
        <f>-31.149-8.872</f>
        <v>-40.021000000000001</v>
      </c>
      <c r="K176" s="34">
        <v>-17.533000000000001</v>
      </c>
      <c r="L176" s="242">
        <f>1.062+67.4</f>
        <v>68.462000000000003</v>
      </c>
      <c r="M176" s="34">
        <v>3.2389999999999999</v>
      </c>
      <c r="N176" s="34"/>
      <c r="O176" s="34">
        <v>3.8</v>
      </c>
      <c r="P176" s="34">
        <v>2.1659999999999999</v>
      </c>
      <c r="Q176" s="34">
        <v>1.5329999999999999</v>
      </c>
      <c r="R176" s="34">
        <v>1.762</v>
      </c>
      <c r="S176" s="34">
        <f>SUM(O176:R176)</f>
        <v>9.2609999999999992</v>
      </c>
      <c r="T176" s="34"/>
      <c r="U176" s="34">
        <v>7.2679999999999998</v>
      </c>
      <c r="V176" s="34">
        <v>2.8140000000000001</v>
      </c>
      <c r="W176" s="34">
        <v>1.7090000000000001</v>
      </c>
      <c r="X176" s="34">
        <v>2.8279999999999998</v>
      </c>
      <c r="Y176" s="34">
        <f>SUM(U176:X176)</f>
        <v>14.619</v>
      </c>
      <c r="Z176" s="34"/>
      <c r="AA176" s="34">
        <v>7.33</v>
      </c>
      <c r="AB176" s="34">
        <v>6.2750000000000004</v>
      </c>
      <c r="AC176" s="34">
        <v>4.33</v>
      </c>
      <c r="AD176" s="34">
        <v>2.6070000000000002</v>
      </c>
      <c r="AE176" s="34">
        <f>SUM(AA176:AD176)</f>
        <v>20.542000000000002</v>
      </c>
      <c r="AF176" s="34"/>
      <c r="AG176" s="34">
        <v>39.973999999999997</v>
      </c>
      <c r="AH176" s="34">
        <v>16.248000000000001</v>
      </c>
      <c r="AI176" s="34">
        <v>12.615</v>
      </c>
      <c r="AJ176" s="34">
        <v>14.782</v>
      </c>
      <c r="AK176" s="34">
        <f>SUM(AG176:AJ176)</f>
        <v>83.618999999999986</v>
      </c>
      <c r="AL176" s="34"/>
      <c r="AM176" s="34">
        <v>22.166</v>
      </c>
      <c r="AN176" s="242">
        <v>28.654</v>
      </c>
      <c r="AO176" s="34">
        <f>13.199+24.457</f>
        <v>37.655999999999999</v>
      </c>
      <c r="AP176" s="34">
        <v>20.721</v>
      </c>
      <c r="AQ176" s="34">
        <f>SUM(AM176:AP176)</f>
        <v>109.197</v>
      </c>
      <c r="AR176" s="34"/>
      <c r="AS176" s="34">
        <f>21.687-3.34</f>
        <v>18.347000000000001</v>
      </c>
      <c r="AT176" s="34">
        <f>20.533-5.083</f>
        <v>15.450000000000001</v>
      </c>
      <c r="AU176" s="34">
        <f>15.727+423.882</f>
        <v>439.60899999999998</v>
      </c>
      <c r="AV176" s="34">
        <f>48.372+6521.496</f>
        <v>6569.8680000000004</v>
      </c>
      <c r="AW176" s="34">
        <f>SUM(AS176:AV176)</f>
        <v>7043.2740000000003</v>
      </c>
      <c r="AX176" s="34"/>
      <c r="AY176" s="34">
        <f>102.769+15.433</f>
        <v>118.202</v>
      </c>
      <c r="AZ176" s="34">
        <f>33.348-13.468</f>
        <v>19.88</v>
      </c>
      <c r="BA176" s="34">
        <f>47.745-22.437</f>
        <v>25.307999999999996</v>
      </c>
      <c r="BB176" s="34">
        <f>27.364+3.385</f>
        <v>30.749000000000002</v>
      </c>
      <c r="BC176" s="34">
        <f>SUM(AY176:BB176)</f>
        <v>194.13899999999998</v>
      </c>
      <c r="BD176" s="34"/>
      <c r="BE176" s="34">
        <f>43.134-3.301</f>
        <v>39.832999999999998</v>
      </c>
      <c r="BF176" s="242">
        <f>28.77-3.388</f>
        <v>25.381999999999998</v>
      </c>
      <c r="BG176" s="34">
        <f>10.271-7.51</f>
        <v>2.761000000000001</v>
      </c>
      <c r="BH176" s="34">
        <f>-1.188-229.316</f>
        <v>-230.50399999999999</v>
      </c>
      <c r="BI176" s="242">
        <f>SUM(BE176:BH176)</f>
        <v>-162.52799999999999</v>
      </c>
      <c r="BJ176" s="34"/>
      <c r="BK176" s="34">
        <f>23-81</f>
        <v>-58</v>
      </c>
      <c r="BL176" s="34">
        <f>28-22</f>
        <v>6</v>
      </c>
      <c r="BM176" s="34">
        <f>39-6</f>
        <v>33</v>
      </c>
      <c r="BN176" s="34">
        <f>6-2</f>
        <v>4</v>
      </c>
      <c r="BO176" s="242">
        <f>SUM(BK176:BN176)</f>
        <v>-15</v>
      </c>
      <c r="BQ176" s="242">
        <f>12+36</f>
        <v>48</v>
      </c>
      <c r="BR176" s="242">
        <f>5-4</f>
        <v>1</v>
      </c>
      <c r="BS176" s="242">
        <f>21-2</f>
        <v>19</v>
      </c>
      <c r="BT176" s="242">
        <v>13</v>
      </c>
      <c r="BU176" s="242">
        <f>SUM(BQ176:BT176)</f>
        <v>81</v>
      </c>
      <c r="BW176" s="242">
        <v>23</v>
      </c>
      <c r="BX176" s="242">
        <v>23</v>
      </c>
      <c r="BY176" s="242">
        <f>SUM(BY177:BY180)</f>
        <v>1</v>
      </c>
      <c r="BZ176" s="242">
        <f>SUM(BZ177:BZ180)</f>
        <v>-18</v>
      </c>
      <c r="CA176" s="242">
        <f>SUM(BW176:BZ176)</f>
        <v>29</v>
      </c>
      <c r="CC176" s="60">
        <f>SUM(CC177:CC180)</f>
        <v>21</v>
      </c>
      <c r="CD176" s="60">
        <f>SUM(CD177:CD180)</f>
        <v>5.5</v>
      </c>
      <c r="CE176" s="60">
        <f>SUM(CE177:CE180)</f>
        <v>26</v>
      </c>
      <c r="CF176" s="60">
        <f>SUM(CF177:CF180)</f>
        <v>20.599999999999994</v>
      </c>
      <c r="CG176" s="174">
        <f>SUM(CC176:CF176)</f>
        <v>73.099999999999994</v>
      </c>
      <c r="CH176" s="60"/>
      <c r="CI176" s="60">
        <f>SUM(CI177:CI180)</f>
        <v>19</v>
      </c>
      <c r="CJ176" s="60">
        <f>SUM(CJ177:CJ180)</f>
        <v>-3</v>
      </c>
      <c r="CK176" s="60">
        <f>SUM(CK177:CK180)</f>
        <v>12</v>
      </c>
      <c r="CL176" s="60">
        <f>SUM(CL177:CL180)</f>
        <v>-17.5</v>
      </c>
      <c r="CM176" s="174">
        <f>SUM(CI176:CL176)</f>
        <v>10.5</v>
      </c>
      <c r="CN176" s="60"/>
      <c r="CO176" s="60">
        <f>SUM(CO177:CO180)</f>
        <v>-17</v>
      </c>
      <c r="CP176" s="60">
        <f>SUM(CP177:CP180)</f>
        <v>33</v>
      </c>
      <c r="CQ176" s="60">
        <f>SUM(CQ177:CQ180)</f>
        <v>2</v>
      </c>
      <c r="CR176" s="60">
        <f>SUM(CR177:CR180)</f>
        <v>-29</v>
      </c>
      <c r="CS176" s="174">
        <f>SUM(CO176:CR176)</f>
        <v>-11</v>
      </c>
      <c r="CT176" s="60"/>
      <c r="CU176" s="60">
        <f>SUM(CU177:CU180)</f>
        <v>-77</v>
      </c>
      <c r="CV176" s="60">
        <f>SUM(CV177:CV180)</f>
        <v>-149</v>
      </c>
      <c r="CW176" s="60">
        <f>SUM(CW177:CW180)</f>
        <v>-130</v>
      </c>
      <c r="CX176" s="60">
        <f>SUM(CX177:CX180)</f>
        <v>-130</v>
      </c>
      <c r="CY176" s="174">
        <f>SUM(CU176:CX176)</f>
        <v>-486</v>
      </c>
      <c r="CZ176" s="60"/>
      <c r="DA176" s="60">
        <f>SUM(DA177:DA180)</f>
        <v>-178</v>
      </c>
      <c r="DB176" s="60">
        <f>SUM(DB177:DB180)</f>
        <v>-155</v>
      </c>
      <c r="DC176" s="60">
        <f>SUM(DC177:DC180)</f>
        <v>-261</v>
      </c>
      <c r="DD176" s="60">
        <f>SUM(DD177:DD180)</f>
        <v>-225</v>
      </c>
      <c r="DE176" s="174">
        <f>SUM(DA176:DD176)</f>
        <v>-819</v>
      </c>
      <c r="DF176" s="60"/>
      <c r="DG176" s="60">
        <f>SUM(DG177:DG180)</f>
        <v>-122</v>
      </c>
      <c r="DH176" s="60">
        <f>SUM(DH177:DH180)</f>
        <v>-124</v>
      </c>
      <c r="DI176" s="60">
        <f>SUM(DI177:DI180)</f>
        <v>-188</v>
      </c>
      <c r="DJ176" s="60">
        <f>SUM(DJ177:DJ180)</f>
        <v>-189</v>
      </c>
      <c r="DK176" s="174">
        <f>SUM(DG176:DJ176)</f>
        <v>-623</v>
      </c>
      <c r="DL176" s="60"/>
      <c r="DM176" s="60">
        <f>SUM(DM177:DM180)</f>
        <v>-212</v>
      </c>
      <c r="DN176" s="60">
        <f>SUM(DN177:DN180)</f>
        <v>-151</v>
      </c>
      <c r="DO176" s="60">
        <f>SUM(DO177:DO180)</f>
        <v>-169</v>
      </c>
      <c r="DP176" s="60">
        <f>SUM(DP177:DP180)</f>
        <v>-214</v>
      </c>
      <c r="DQ176" s="174">
        <f>SUM(DM176:DP176)</f>
        <v>-746</v>
      </c>
      <c r="DR176" s="60"/>
      <c r="DS176" s="313">
        <f>SUM(DS177:DS180)</f>
        <v>-177</v>
      </c>
      <c r="DT176" s="313">
        <f>SUM(DT177:DT180)</f>
        <v>-191</v>
      </c>
      <c r="DU176" s="313">
        <f>SUM(DU177:DU180)</f>
        <v>-244</v>
      </c>
      <c r="DV176" s="313">
        <f>SUM(DV177:DV180)</f>
        <v>-175</v>
      </c>
      <c r="DW176" s="174">
        <f>SUM(DS176:DV176)</f>
        <v>-787</v>
      </c>
      <c r="DX176" s="60"/>
      <c r="DY176" s="313">
        <f>SUM(DY177:DY180)</f>
        <v>-210</v>
      </c>
      <c r="DZ176" s="313">
        <f>SUM(DZ177:DZ180)</f>
        <v>-207</v>
      </c>
      <c r="EA176" s="313">
        <f>SUM(EA177:EA180)</f>
        <v>-318</v>
      </c>
      <c r="EB176" s="313">
        <f>SUM(EB177:EB180)</f>
        <v>-320</v>
      </c>
      <c r="EC176" s="174">
        <f>SUM(DY176:EB176)</f>
        <v>-1055</v>
      </c>
      <c r="ED176" s="60"/>
      <c r="EE176" s="313">
        <f>SUM(EE177:EE180)</f>
        <v>-245</v>
      </c>
      <c r="EF176" s="313">
        <f>SUM(EF177:EF180)</f>
        <v>-273</v>
      </c>
      <c r="EG176" s="313">
        <f>SUM(EG177:EG180)</f>
        <v>-233</v>
      </c>
      <c r="EH176" s="313">
        <f>SUM(EH177:EH180)</f>
        <v>-285</v>
      </c>
      <c r="EI176" s="174">
        <f>SUM(EE176:EH176)</f>
        <v>-1036</v>
      </c>
      <c r="EJ176" s="60"/>
      <c r="EK176" s="313">
        <f>SUM(EK177:EK180)</f>
        <v>-344</v>
      </c>
      <c r="EL176" s="313">
        <f>SUM(EL177:EL180)</f>
        <v>-287</v>
      </c>
      <c r="EM176" s="313">
        <f>SUM(EM177:EM180)</f>
        <v>-295</v>
      </c>
      <c r="EN176" s="313">
        <f>SUM(EN177:EN180)</f>
        <v>-236</v>
      </c>
      <c r="EO176" s="174">
        <f>SUM(EK176:EN176)</f>
        <v>-1162</v>
      </c>
      <c r="EP176" s="60"/>
      <c r="EQ176" s="313">
        <f>SUM(EQ177:EQ180)</f>
        <v>-268</v>
      </c>
      <c r="ER176" s="313">
        <f>SUM(ER177:ER180)</f>
        <v>-352</v>
      </c>
      <c r="ES176" s="313">
        <f>SUM(ES177:ES180)</f>
        <v>-261</v>
      </c>
      <c r="ET176" s="313">
        <f>SUM(ET177:ET180)</f>
        <v>-313</v>
      </c>
      <c r="EU176" s="174">
        <f>SUM(EQ176:ET176)</f>
        <v>-1194</v>
      </c>
      <c r="EV176" s="60"/>
      <c r="EW176" s="313">
        <f>SUM(EW177:EW180)</f>
        <v>-236</v>
      </c>
      <c r="EX176" s="313">
        <f>SUM(EX177:EX180)</f>
        <v>-202</v>
      </c>
      <c r="EY176" s="313">
        <f>SUM(EY177:EY180)</f>
        <v>-110</v>
      </c>
      <c r="EZ176" s="313">
        <f>SUM(EZ177:EZ180)</f>
        <v>-307.98749999999995</v>
      </c>
      <c r="FA176" s="174">
        <f>SUM(EW176:EZ176)</f>
        <v>-855.98749999999995</v>
      </c>
      <c r="FB176" s="60"/>
      <c r="FC176" s="313">
        <f>SUM(FC177:FC180)</f>
        <v>-271.64815170392291</v>
      </c>
      <c r="FD176" s="313">
        <f>SUM(FD177:FD180)</f>
        <v>-269.10978325356211</v>
      </c>
      <c r="FE176" s="313">
        <f>SUM(FE177:FE180)</f>
        <v>-274.85216496546457</v>
      </c>
      <c r="FF176" s="313">
        <f>SUM(FF177:FF180)</f>
        <v>-245.77036423899182</v>
      </c>
      <c r="FG176" s="174">
        <f>SUM(FC176:FF176)</f>
        <v>-1061.3804641619415</v>
      </c>
      <c r="FH176" s="60"/>
      <c r="FI176" s="313">
        <f>SUM(FI177:FI180)</f>
        <v>-235.22181834487995</v>
      </c>
      <c r="FJ176" s="313">
        <f>SUM(FJ177:FJ180)</f>
        <v>-190.35256701047285</v>
      </c>
      <c r="FK176" s="313">
        <f>SUM(FK177:FK180)</f>
        <v>-191.99302899828635</v>
      </c>
      <c r="FL176" s="313">
        <f>SUM(FL177:FL180)</f>
        <v>-192.58351797871964</v>
      </c>
      <c r="FM176" s="174">
        <f>SUM(FI176:FL176)</f>
        <v>-810.15093233235882</v>
      </c>
      <c r="FN176" s="226"/>
      <c r="FO176" s="245">
        <f>CE176+CF176+CI176+CJ176</f>
        <v>62.599999999999994</v>
      </c>
      <c r="FP176" s="243">
        <f>CK176+CL176+CO176+CP176</f>
        <v>10.5</v>
      </c>
      <c r="FQ176" s="243">
        <f>CV176+CU176+CR176+CQ176</f>
        <v>-253</v>
      </c>
      <c r="FR176" s="243">
        <f>CW176+CX176+DA176+DB176</f>
        <v>-593</v>
      </c>
      <c r="FS176" s="245">
        <f>DC176+DD176+DG176+DH176</f>
        <v>-732</v>
      </c>
      <c r="FT176" s="243">
        <f>DI176+DJ176+DM176+DN176</f>
        <v>-740</v>
      </c>
      <c r="FU176" s="243">
        <f>DO176+DP176+DS176+DT176</f>
        <v>-751</v>
      </c>
      <c r="FV176" s="243">
        <f>DY176+DV176+DZ176+DU176</f>
        <v>-836</v>
      </c>
      <c r="FW176" s="243">
        <f>EA176+EB176+EE176+EF176</f>
        <v>-1156</v>
      </c>
      <c r="FX176" s="243">
        <f>EG176+EH176+EK176+EL176</f>
        <v>-1149</v>
      </c>
      <c r="FY176" s="243">
        <f>EM176+EN176+EQ176+ER176</f>
        <v>-1151</v>
      </c>
      <c r="FZ176" s="243">
        <f>ES176+ET176+EW176+EX176</f>
        <v>-1012</v>
      </c>
      <c r="GA176" s="243">
        <f>EY176+EZ176+FC176+FD176</f>
        <v>-958.74543495748492</v>
      </c>
      <c r="GB176" s="243">
        <f>FE176+FF176+FI176+FJ176</f>
        <v>-946.19691455980922</v>
      </c>
      <c r="GC176" s="243"/>
      <c r="GD176" s="243"/>
      <c r="GE176" s="243"/>
      <c r="GF176" s="243"/>
      <c r="GI176"/>
      <c r="GJ176"/>
      <c r="GK176"/>
      <c r="GL176"/>
      <c r="GM176"/>
      <c r="GN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</row>
    <row r="177" spans="1:281" s="242" customFormat="1" hidden="1" outlineLevel="1" x14ac:dyDescent="0.2">
      <c r="A177" s="1334" t="s">
        <v>805</v>
      </c>
      <c r="B177" s="1296"/>
      <c r="C177" s="1298"/>
      <c r="D177" s="1298"/>
      <c r="E177" s="1298"/>
      <c r="F177" s="1298"/>
      <c r="G177" s="1298"/>
      <c r="H177" s="1298"/>
      <c r="I177" s="1298"/>
      <c r="J177" s="1298"/>
      <c r="K177" s="1298"/>
      <c r="L177" s="1298"/>
      <c r="M177" s="1298"/>
      <c r="N177" s="1298"/>
      <c r="O177" s="1298"/>
      <c r="P177" s="1298"/>
      <c r="Q177" s="1298"/>
      <c r="R177" s="1298"/>
      <c r="S177" s="1298"/>
      <c r="T177" s="1298"/>
      <c r="U177" s="1298"/>
      <c r="V177" s="1298"/>
      <c r="W177" s="1298"/>
      <c r="X177" s="1298"/>
      <c r="Y177" s="1298"/>
      <c r="Z177" s="1298"/>
      <c r="AA177" s="1298"/>
      <c r="AB177" s="1298"/>
      <c r="AC177" s="1298"/>
      <c r="AD177" s="1298"/>
      <c r="AE177" s="1298"/>
      <c r="AF177" s="1298"/>
      <c r="AG177" s="1298"/>
      <c r="AH177" s="1298"/>
      <c r="AI177" s="1298"/>
      <c r="AJ177" s="1298"/>
      <c r="AK177" s="1298"/>
      <c r="AL177" s="1298"/>
      <c r="AM177" s="1298"/>
      <c r="AN177" s="1298"/>
      <c r="AO177" s="1298"/>
      <c r="AP177" s="1298"/>
      <c r="AQ177" s="1298"/>
      <c r="AR177" s="1298"/>
      <c r="AS177" s="1298"/>
      <c r="AT177" s="1298"/>
      <c r="AU177" s="1298"/>
      <c r="AV177" s="1298"/>
      <c r="AW177" s="1298"/>
      <c r="AX177" s="1298"/>
      <c r="AY177" s="1298"/>
      <c r="AZ177" s="1298"/>
      <c r="BA177" s="1298"/>
      <c r="BB177" s="1298"/>
      <c r="BC177" s="1298">
        <v>289</v>
      </c>
      <c r="BD177" s="1298"/>
      <c r="BE177" s="1298"/>
      <c r="BF177" s="1298"/>
      <c r="BG177" s="1298"/>
      <c r="BH177" s="1298"/>
      <c r="BI177" s="1298">
        <v>166</v>
      </c>
      <c r="BJ177" s="1298"/>
      <c r="BK177" s="1298">
        <v>33</v>
      </c>
      <c r="BL177" s="1298">
        <v>35</v>
      </c>
      <c r="BM177" s="1298">
        <v>32</v>
      </c>
      <c r="BN177" s="1298">
        <v>29</v>
      </c>
      <c r="BO177" s="1298">
        <v>129</v>
      </c>
      <c r="BP177" s="1298"/>
      <c r="BQ177" s="1298">
        <v>27</v>
      </c>
      <c r="BR177" s="1298">
        <v>29</v>
      </c>
      <c r="BS177" s="1298">
        <v>29</v>
      </c>
      <c r="BT177" s="1298">
        <v>33</v>
      </c>
      <c r="BU177" s="1298">
        <f>SUM(BQ177:BT177)</f>
        <v>118</v>
      </c>
      <c r="BV177" s="1298"/>
      <c r="BW177" s="1298">
        <v>37</v>
      </c>
      <c r="BX177" s="1298">
        <v>43</v>
      </c>
      <c r="BY177" s="1298">
        <v>57</v>
      </c>
      <c r="BZ177" s="1298">
        <v>48</v>
      </c>
      <c r="CA177" s="1298">
        <f>SUM(BW177:BZ177)</f>
        <v>185</v>
      </c>
      <c r="CB177" s="1298"/>
      <c r="CC177" s="1354">
        <v>25</v>
      </c>
      <c r="CD177" s="1354">
        <v>21.5</v>
      </c>
      <c r="CE177" s="1354">
        <v>75</v>
      </c>
      <c r="CF177" s="1354">
        <v>104</v>
      </c>
      <c r="CG177" s="1355">
        <f>SUM(CC177:CF177)</f>
        <v>225.5</v>
      </c>
      <c r="CH177" s="1354"/>
      <c r="CI177" s="1354">
        <v>77</v>
      </c>
      <c r="CJ177" s="1354">
        <v>81</v>
      </c>
      <c r="CK177" s="1354">
        <v>67</v>
      </c>
      <c r="CL177" s="1354">
        <v>79</v>
      </c>
      <c r="CM177" s="1355">
        <f>SUM(CI177:CL177)</f>
        <v>304</v>
      </c>
      <c r="CN177" s="1354"/>
      <c r="CO177" s="1354">
        <v>77</v>
      </c>
      <c r="CP177" s="1354">
        <v>122</v>
      </c>
      <c r="CQ177" s="1354">
        <v>84</v>
      </c>
      <c r="CR177" s="1354">
        <v>101</v>
      </c>
      <c r="CS177" s="1355">
        <f>SUM(CO177:CR177)</f>
        <v>384</v>
      </c>
      <c r="CT177" s="1354"/>
      <c r="CU177" s="1354">
        <v>82</v>
      </c>
      <c r="CV177" s="1354">
        <v>8</v>
      </c>
      <c r="CW177" s="1354">
        <v>24</v>
      </c>
      <c r="CX177" s="1354">
        <v>29</v>
      </c>
      <c r="CY177" s="1355">
        <f>SUM(CU177:CX177)</f>
        <v>143</v>
      </c>
      <c r="CZ177" s="1354"/>
      <c r="DA177" s="1354">
        <v>1</v>
      </c>
      <c r="DB177" s="1354">
        <v>33</v>
      </c>
      <c r="DC177" s="1354">
        <v>-75</v>
      </c>
      <c r="DD177" s="1354">
        <v>-24</v>
      </c>
      <c r="DE177" s="1355">
        <f>SUM(DA177:DD177)</f>
        <v>-65</v>
      </c>
      <c r="DF177" s="1354"/>
      <c r="DG177" s="1354">
        <v>74</v>
      </c>
      <c r="DH177" s="1354">
        <v>90</v>
      </c>
      <c r="DI177" s="1354">
        <v>16</v>
      </c>
      <c r="DJ177" s="1354">
        <v>6</v>
      </c>
      <c r="DK177" s="1355">
        <f>SUM(DG177:DJ177)</f>
        <v>186</v>
      </c>
      <c r="DL177" s="1354"/>
      <c r="DM177" s="1354">
        <v>-20</v>
      </c>
      <c r="DN177" s="1354">
        <v>41</v>
      </c>
      <c r="DO177" s="1354">
        <v>21</v>
      </c>
      <c r="DP177" s="1354">
        <v>-20</v>
      </c>
      <c r="DQ177" s="1355">
        <f>SUM(DM177:DP177)</f>
        <v>22</v>
      </c>
      <c r="DR177" s="1354"/>
      <c r="DS177" s="1354">
        <v>11</v>
      </c>
      <c r="DT177" s="1354">
        <v>4</v>
      </c>
      <c r="DU177" s="1354">
        <v>-39</v>
      </c>
      <c r="DV177" s="1354">
        <v>35</v>
      </c>
      <c r="DW177" s="1355">
        <f>SUM(DS177:DV177)</f>
        <v>11</v>
      </c>
      <c r="DX177" s="1354"/>
      <c r="DY177" s="1354">
        <v>7</v>
      </c>
      <c r="DZ177" s="1354">
        <v>23</v>
      </c>
      <c r="EA177" s="1354">
        <v>-90</v>
      </c>
      <c r="EB177" s="1354">
        <v>-81</v>
      </c>
      <c r="EC177" s="1355">
        <f>SUM(DY177:EB177)</f>
        <v>-141</v>
      </c>
      <c r="ED177" s="1354"/>
      <c r="EE177" s="1354">
        <v>16</v>
      </c>
      <c r="EF177" s="1354">
        <v>9</v>
      </c>
      <c r="EG177" s="1354">
        <v>40</v>
      </c>
      <c r="EH177" s="1354">
        <v>40</v>
      </c>
      <c r="EI177" s="1355">
        <f>SUM(EE177:EH177)</f>
        <v>105</v>
      </c>
      <c r="EJ177" s="1354"/>
      <c r="EK177" s="1354">
        <v>30</v>
      </c>
      <c r="EL177" s="1354">
        <v>84</v>
      </c>
      <c r="EM177" s="1354">
        <v>65</v>
      </c>
      <c r="EN177" s="1354">
        <v>126</v>
      </c>
      <c r="EO177" s="1355">
        <f>SUM(EK177:EN177)</f>
        <v>305</v>
      </c>
      <c r="EP177" s="1354"/>
      <c r="EQ177" s="1354">
        <v>148</v>
      </c>
      <c r="ER177" s="1354">
        <v>99</v>
      </c>
      <c r="ES177" s="1354">
        <v>189</v>
      </c>
      <c r="ET177" s="1354">
        <v>168</v>
      </c>
      <c r="EU177" s="1355">
        <f>SUM(EQ177:ET177)</f>
        <v>604</v>
      </c>
      <c r="EV177" s="1354"/>
      <c r="EW177" s="1354">
        <v>233</v>
      </c>
      <c r="EX177" s="1354">
        <v>273</v>
      </c>
      <c r="EY177" s="1354">
        <v>423</v>
      </c>
      <c r="EZ177" s="1354">
        <f>EY378*(EZ402/4)</f>
        <v>228.97875000000002</v>
      </c>
      <c r="FA177" s="1355">
        <f>SUM(EW177:EZ177)</f>
        <v>1157.97875</v>
      </c>
      <c r="FB177" s="1354"/>
      <c r="FC177" s="1354">
        <f>EZ378*(FC402/4)</f>
        <v>229.3805982960771</v>
      </c>
      <c r="FD177" s="1354">
        <f>FC378*(FD402/4)</f>
        <v>231.91896674643789</v>
      </c>
      <c r="FE177" s="1354">
        <f>FD378*(FE402/4)</f>
        <v>226.17658503453546</v>
      </c>
      <c r="FF177" s="1354">
        <f>FE378*(FF402/4)</f>
        <v>240.10213576100818</v>
      </c>
      <c r="FG177" s="1355">
        <f>SUM(FC177:FF177)</f>
        <v>927.5782858380586</v>
      </c>
      <c r="FH177" s="1354"/>
      <c r="FI177" s="1354">
        <f>FF378*(FI402/4)</f>
        <v>250.65068165512005</v>
      </c>
      <c r="FJ177" s="1354">
        <f>FI378*(FJ402/4)</f>
        <v>264.26993298952715</v>
      </c>
      <c r="FK177" s="1354">
        <f>FJ378*(FK402/4)</f>
        <v>250.12947100171365</v>
      </c>
      <c r="FL177" s="1354">
        <f>FK378*(FL402/4)</f>
        <v>249.53898202128036</v>
      </c>
      <c r="FM177" s="1355">
        <f>SUM(FI177:FL177)</f>
        <v>1014.5890676676413</v>
      </c>
      <c r="FN177" s="1321"/>
      <c r="FO177" s="1356">
        <f>CE177+CF177+CI177+CJ177</f>
        <v>337</v>
      </c>
      <c r="FP177" s="1301">
        <f>CK177+CL177+CO177+CP177</f>
        <v>345</v>
      </c>
      <c r="FQ177" s="1301">
        <f>CV177+CU177+CR177+CQ177</f>
        <v>275</v>
      </c>
      <c r="FR177" s="1301">
        <f>CW177+CX177+DA177+DB177</f>
        <v>87</v>
      </c>
      <c r="FS177" s="1356">
        <f>DC177+DD177+DG177+DH177</f>
        <v>65</v>
      </c>
      <c r="FT177" s="1301">
        <f>DI177+DJ177+DM177+DN177</f>
        <v>43</v>
      </c>
      <c r="FU177" s="1301">
        <f>DO177+DP177+DS177+DT177</f>
        <v>16</v>
      </c>
      <c r="FV177" s="1301">
        <f>DY177+DV177+DZ177+DU177</f>
        <v>26</v>
      </c>
      <c r="FW177" s="1301">
        <f>EA177+EB177+EE177+EF177</f>
        <v>-146</v>
      </c>
      <c r="FX177" s="1301">
        <f>EG177+EH177+EK177+EL177</f>
        <v>194</v>
      </c>
      <c r="FY177" s="1301">
        <f>EM177+EN177+EQ177+ER177</f>
        <v>438</v>
      </c>
      <c r="FZ177" s="1301">
        <f>ES177+ET177+EW177+EX177</f>
        <v>863</v>
      </c>
      <c r="GA177" s="1301">
        <f>EY177+EZ177+FC177+FD177</f>
        <v>1113.278315042515</v>
      </c>
      <c r="GB177" s="1301">
        <f>FE177+FF177+FI177+FJ177</f>
        <v>981.19933544019091</v>
      </c>
      <c r="GC177" s="1301"/>
      <c r="GD177" s="1301"/>
      <c r="GE177" s="1301"/>
      <c r="GF177" s="1301"/>
      <c r="GI177"/>
      <c r="GJ177"/>
      <c r="GK177"/>
      <c r="GL177"/>
      <c r="GM177"/>
      <c r="GN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</row>
    <row r="178" spans="1:281" s="242" customFormat="1" hidden="1" outlineLevel="1" x14ac:dyDescent="0.2">
      <c r="A178" s="1334" t="s">
        <v>806</v>
      </c>
      <c r="B178" s="1296"/>
      <c r="C178" s="1298"/>
      <c r="D178" s="1298"/>
      <c r="E178" s="1298"/>
      <c r="F178" s="1298"/>
      <c r="G178" s="1298"/>
      <c r="H178" s="1298"/>
      <c r="I178" s="1298"/>
      <c r="J178" s="1298"/>
      <c r="K178" s="1298"/>
      <c r="L178" s="1298"/>
      <c r="M178" s="1298"/>
      <c r="N178" s="1298"/>
      <c r="O178" s="1298"/>
      <c r="P178" s="1298"/>
      <c r="Q178" s="1298"/>
      <c r="R178" s="1298"/>
      <c r="S178" s="1298"/>
      <c r="T178" s="1298"/>
      <c r="U178" s="1298"/>
      <c r="V178" s="1298"/>
      <c r="W178" s="1298"/>
      <c r="X178" s="1298"/>
      <c r="Y178" s="1298"/>
      <c r="Z178" s="1298"/>
      <c r="AA178" s="1298"/>
      <c r="AB178" s="1298"/>
      <c r="AC178" s="1298"/>
      <c r="AD178" s="1298"/>
      <c r="AE178" s="1298"/>
      <c r="AF178" s="1298"/>
      <c r="AG178" s="1298"/>
      <c r="AH178" s="1298"/>
      <c r="AI178" s="1298"/>
      <c r="AJ178" s="1298"/>
      <c r="AK178" s="1298"/>
      <c r="AL178" s="1298"/>
      <c r="AM178" s="1298"/>
      <c r="AN178" s="1298"/>
      <c r="AO178" s="1298"/>
      <c r="AP178" s="1298"/>
      <c r="AQ178" s="1298"/>
      <c r="AR178" s="1298"/>
      <c r="AS178" s="1298"/>
      <c r="AT178" s="1298"/>
      <c r="AU178" s="1298"/>
      <c r="AV178" s="1298"/>
      <c r="AW178" s="1298"/>
      <c r="AX178" s="1298"/>
      <c r="AY178" s="1298"/>
      <c r="AZ178" s="1298"/>
      <c r="BA178" s="1298"/>
      <c r="BB178" s="1298"/>
      <c r="BC178" s="1298">
        <v>-24</v>
      </c>
      <c r="BD178" s="1298"/>
      <c r="BE178" s="1298"/>
      <c r="BF178" s="1298"/>
      <c r="BG178" s="1298"/>
      <c r="BH178" s="1298"/>
      <c r="BI178" s="1298">
        <v>-20</v>
      </c>
      <c r="BJ178" s="1298"/>
      <c r="BK178" s="1298">
        <v>-4</v>
      </c>
      <c r="BL178" s="1298">
        <v>-4</v>
      </c>
      <c r="BM178" s="1298">
        <v>-4</v>
      </c>
      <c r="BN178" s="1298">
        <v>-4</v>
      </c>
      <c r="BO178" s="1298">
        <v>-16</v>
      </c>
      <c r="BP178" s="1298"/>
      <c r="BQ178" s="1298">
        <v>-11</v>
      </c>
      <c r="BR178" s="1298">
        <v>-3</v>
      </c>
      <c r="BS178" s="1298">
        <v>-4</v>
      </c>
      <c r="BT178" s="1298">
        <v>-3</v>
      </c>
      <c r="BU178" s="1298">
        <f>SUM(BQ178:BT178)</f>
        <v>-21</v>
      </c>
      <c r="BV178" s="1298"/>
      <c r="BW178" s="1298">
        <v>-5</v>
      </c>
      <c r="BX178" s="1298">
        <v>-6</v>
      </c>
      <c r="BY178" s="1298">
        <v>-58</v>
      </c>
      <c r="BZ178" s="1298">
        <v>-66</v>
      </c>
      <c r="CA178" s="1298">
        <f>SUM(BW178:BZ178)</f>
        <v>-135</v>
      </c>
      <c r="CB178" s="1298"/>
      <c r="CC178" s="1354">
        <v>-21</v>
      </c>
      <c r="CD178" s="1354">
        <v>-16</v>
      </c>
      <c r="CE178" s="1354">
        <v>-49</v>
      </c>
      <c r="CF178" s="1354">
        <v>-83.4</v>
      </c>
      <c r="CG178" s="1355">
        <f>SUM(CC178:CF178)</f>
        <v>-169.4</v>
      </c>
      <c r="CH178" s="1354"/>
      <c r="CI178" s="1354">
        <v>-83</v>
      </c>
      <c r="CJ178" s="1354">
        <v>-82</v>
      </c>
      <c r="CK178" s="1354">
        <v>-82</v>
      </c>
      <c r="CL178" s="1354">
        <v>-96.5</v>
      </c>
      <c r="CM178" s="1355">
        <f>SUM(CI178:CL178)</f>
        <v>-343.5</v>
      </c>
      <c r="CN178" s="1354"/>
      <c r="CO178" s="1354">
        <v>-94</v>
      </c>
      <c r="CP178" s="1354">
        <v>-89</v>
      </c>
      <c r="CQ178" s="1354">
        <v>-82</v>
      </c>
      <c r="CR178" s="1354">
        <v>-130</v>
      </c>
      <c r="CS178" s="1355">
        <f>SUM(CO178:CR178)</f>
        <v>-395</v>
      </c>
      <c r="CT178" s="1354"/>
      <c r="CU178" s="1354">
        <v>-159</v>
      </c>
      <c r="CV178" s="1354">
        <v>-157</v>
      </c>
      <c r="CW178" s="1354">
        <v>-154</v>
      </c>
      <c r="CX178" s="1354">
        <v>-159</v>
      </c>
      <c r="CY178" s="1355">
        <f>SUM(CU178:CX178)</f>
        <v>-629</v>
      </c>
      <c r="CZ178" s="1354"/>
      <c r="DA178" s="1354">
        <v>-179</v>
      </c>
      <c r="DB178" s="1354">
        <v>-188</v>
      </c>
      <c r="DC178" s="1354">
        <v>-186</v>
      </c>
      <c r="DD178" s="1354">
        <v>-201</v>
      </c>
      <c r="DE178" s="1355">
        <f>SUM(DA178:DD178)</f>
        <v>-754</v>
      </c>
      <c r="DF178" s="1354"/>
      <c r="DG178" s="1354">
        <v>-196</v>
      </c>
      <c r="DH178" s="1354">
        <v>-214</v>
      </c>
      <c r="DI178" s="1354">
        <v>-204</v>
      </c>
      <c r="DJ178" s="1354">
        <v>-195</v>
      </c>
      <c r="DK178" s="1355">
        <f>SUM(DG178:DJ178)</f>
        <v>-809</v>
      </c>
      <c r="DL178" s="1354"/>
      <c r="DM178" s="1354">
        <v>-192</v>
      </c>
      <c r="DN178" s="1354">
        <v>-192</v>
      </c>
      <c r="DO178" s="1354">
        <v>-190</v>
      </c>
      <c r="DP178" s="1354">
        <v>-194</v>
      </c>
      <c r="DQ178" s="1355">
        <f>SUM(DM178:DP178)</f>
        <v>-768</v>
      </c>
      <c r="DR178" s="1354"/>
      <c r="DS178" s="1354">
        <v>-188</v>
      </c>
      <c r="DT178" s="1354">
        <v>-195</v>
      </c>
      <c r="DU178" s="1354">
        <v>-205</v>
      </c>
      <c r="DV178" s="1354">
        <v>-210</v>
      </c>
      <c r="DW178" s="1355">
        <f>SUM(DS178:DV178)</f>
        <v>-798</v>
      </c>
      <c r="DX178" s="1354"/>
      <c r="DY178" s="1354">
        <v>-217</v>
      </c>
      <c r="DZ178" s="1354">
        <v>-230</v>
      </c>
      <c r="EA178" s="1354">
        <v>-228</v>
      </c>
      <c r="EB178" s="1354">
        <v>-239</v>
      </c>
      <c r="EC178" s="1355">
        <f>SUM(DY178:EB178)</f>
        <v>-914</v>
      </c>
      <c r="ED178" s="1354"/>
      <c r="EE178" s="1354">
        <v>-261</v>
      </c>
      <c r="EF178" s="1354">
        <v>-282</v>
      </c>
      <c r="EG178" s="1354">
        <v>-273</v>
      </c>
      <c r="EH178" s="1354">
        <v>-325</v>
      </c>
      <c r="EI178" s="1355">
        <f>SUM(EE178:EH178)</f>
        <v>-1141</v>
      </c>
      <c r="EJ178" s="1354"/>
      <c r="EK178" s="1354">
        <v>-374</v>
      </c>
      <c r="EL178" s="1354">
        <v>-371</v>
      </c>
      <c r="EM178" s="1354">
        <v>-360</v>
      </c>
      <c r="EN178" s="1354">
        <v>-362</v>
      </c>
      <c r="EO178" s="1355">
        <f>SUM(EK178:EN178)</f>
        <v>-1467</v>
      </c>
      <c r="EP178" s="1354"/>
      <c r="EQ178" s="1354">
        <v>-416</v>
      </c>
      <c r="ER178" s="1354">
        <v>-451</v>
      </c>
      <c r="ES178" s="1354">
        <v>-450</v>
      </c>
      <c r="ET178" s="1354">
        <v>-481</v>
      </c>
      <c r="EU178" s="1355">
        <f>SUM(EQ178:ET178)</f>
        <v>-1798</v>
      </c>
      <c r="EV178" s="1354"/>
      <c r="EW178" s="1354">
        <v>-469</v>
      </c>
      <c r="EX178" s="1354">
        <v>-475</v>
      </c>
      <c r="EY178" s="1354">
        <v>-533</v>
      </c>
      <c r="EZ178" s="1354">
        <f>SUM(EZ411:EZ455)</f>
        <v>-536.96624999999995</v>
      </c>
      <c r="FA178" s="1355">
        <f>SUM(EW178:EZ178)</f>
        <v>-2013.9662499999999</v>
      </c>
      <c r="FB178" s="1354"/>
      <c r="FC178" s="1354">
        <f>SUM(FC411:FC455)</f>
        <v>-501.02875</v>
      </c>
      <c r="FD178" s="1354">
        <f>SUM(FD411:FD455)</f>
        <v>-501.02875</v>
      </c>
      <c r="FE178" s="1354">
        <f>SUM(FE411:FE455)</f>
        <v>-501.02875</v>
      </c>
      <c r="FF178" s="1354">
        <f>SUM(FF411:FF455)</f>
        <v>-485.8725</v>
      </c>
      <c r="FG178" s="1355">
        <f>SUM(FC178:FF178)</f>
        <v>-1988.95875</v>
      </c>
      <c r="FH178" s="1354"/>
      <c r="FI178" s="1354">
        <f>SUM(FI411:FI455)</f>
        <v>-485.8725</v>
      </c>
      <c r="FJ178" s="1354">
        <f>SUM(FJ411:FJ455)</f>
        <v>-454.6225</v>
      </c>
      <c r="FK178" s="1354">
        <f>SUM(FK411:FK455)</f>
        <v>-442.1225</v>
      </c>
      <c r="FL178" s="1354">
        <f>SUM(FL411:FL455)</f>
        <v>-442.1225</v>
      </c>
      <c r="FM178" s="1355">
        <f>SUM(FI178:FL178)</f>
        <v>-1824.74</v>
      </c>
      <c r="FN178" s="1321"/>
      <c r="FO178" s="1356">
        <f>CE178+CF178+CI178+CJ178</f>
        <v>-297.39999999999998</v>
      </c>
      <c r="FP178" s="1301">
        <f>CK178+CL178+CO178+CP178</f>
        <v>-361.5</v>
      </c>
      <c r="FQ178" s="1301">
        <f>CV178+CU178+CR178+CQ178</f>
        <v>-528</v>
      </c>
      <c r="FR178" s="1301">
        <f>CW178+CX178+DA178+DB178</f>
        <v>-680</v>
      </c>
      <c r="FS178" s="1356">
        <f>DC178+DD178+DG178+DH178</f>
        <v>-797</v>
      </c>
      <c r="FT178" s="1301">
        <f>DI178+DJ178+DM178+DN178</f>
        <v>-783</v>
      </c>
      <c r="FU178" s="1301">
        <f>DO178+DP178+DS178+DT178</f>
        <v>-767</v>
      </c>
      <c r="FV178" s="1301">
        <f>DY178+DV178+DZ178+DU178</f>
        <v>-862</v>
      </c>
      <c r="FW178" s="1301">
        <f>EA178+EB178+EE178+EF178</f>
        <v>-1010</v>
      </c>
      <c r="FX178" s="1301">
        <f>EG178+EH178+EK178+EL178</f>
        <v>-1343</v>
      </c>
      <c r="FY178" s="1301">
        <f>EM178+EN178+EQ178+ER178</f>
        <v>-1589</v>
      </c>
      <c r="FZ178" s="1301">
        <f>ES178+ET178+EW178+EX178</f>
        <v>-1875</v>
      </c>
      <c r="GA178" s="1301">
        <f>EY178+EZ178+FC178+FD178</f>
        <v>-2072.0237499999998</v>
      </c>
      <c r="GB178" s="1301">
        <f>FE178+FF178+FI178+FJ178</f>
        <v>-1927.39625</v>
      </c>
      <c r="GC178" s="1301"/>
      <c r="GD178" s="1301"/>
      <c r="GE178" s="1301"/>
      <c r="GF178" s="1301"/>
      <c r="GI178"/>
      <c r="GJ178"/>
      <c r="GK178"/>
      <c r="GL178"/>
      <c r="GM178"/>
      <c r="GN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</row>
    <row r="179" spans="1:281" s="242" customFormat="1" hidden="1" outlineLevel="1" x14ac:dyDescent="0.2">
      <c r="A179" s="1334" t="s">
        <v>807</v>
      </c>
      <c r="B179" s="1296"/>
      <c r="C179" s="1298"/>
      <c r="D179" s="1298"/>
      <c r="E179" s="1298"/>
      <c r="F179" s="1298"/>
      <c r="G179" s="1298"/>
      <c r="H179" s="1298"/>
      <c r="I179" s="1298"/>
      <c r="J179" s="1298"/>
      <c r="K179" s="1298"/>
      <c r="L179" s="1298"/>
      <c r="M179" s="1298"/>
      <c r="N179" s="1298"/>
      <c r="O179" s="1298"/>
      <c r="P179" s="1298"/>
      <c r="Q179" s="1298"/>
      <c r="R179" s="1298"/>
      <c r="S179" s="1298"/>
      <c r="T179" s="1298"/>
      <c r="U179" s="1298"/>
      <c r="V179" s="1298"/>
      <c r="W179" s="1298"/>
      <c r="X179" s="1298"/>
      <c r="Y179" s="1298"/>
      <c r="Z179" s="1298"/>
      <c r="AA179" s="1298"/>
      <c r="AB179" s="1298"/>
      <c r="AC179" s="1298"/>
      <c r="AD179" s="1298"/>
      <c r="AE179" s="1298"/>
      <c r="AF179" s="1298"/>
      <c r="AG179" s="1298"/>
      <c r="AH179" s="1298"/>
      <c r="AI179" s="1298"/>
      <c r="AJ179" s="1298"/>
      <c r="AK179" s="1298"/>
      <c r="AL179" s="1298"/>
      <c r="AM179" s="1298"/>
      <c r="AN179" s="1298"/>
      <c r="AO179" s="1298"/>
      <c r="AP179" s="1298"/>
      <c r="AQ179" s="1298"/>
      <c r="AR179" s="1298"/>
      <c r="AS179" s="1298"/>
      <c r="AT179" s="1298"/>
      <c r="AU179" s="1298"/>
      <c r="AV179" s="1298"/>
      <c r="AW179" s="1298"/>
      <c r="AX179" s="1298"/>
      <c r="AY179" s="1298"/>
      <c r="AZ179" s="1298"/>
      <c r="BA179" s="1298"/>
      <c r="BB179" s="1298"/>
      <c r="BC179" s="1298">
        <v>-39</v>
      </c>
      <c r="BD179" s="1298"/>
      <c r="BE179" s="1298"/>
      <c r="BF179" s="1298"/>
      <c r="BG179" s="1298"/>
      <c r="BH179" s="1298"/>
      <c r="BI179" s="1298">
        <v>-36</v>
      </c>
      <c r="BJ179" s="1298"/>
      <c r="BK179" s="1298">
        <v>-3</v>
      </c>
      <c r="BL179" s="1298">
        <v>-9</v>
      </c>
      <c r="BM179" s="1298">
        <v>-6</v>
      </c>
      <c r="BN179" s="1298">
        <v>-14.5</v>
      </c>
      <c r="BO179" s="1298">
        <v>-32.5</v>
      </c>
      <c r="BP179" s="1298"/>
      <c r="BQ179" s="1298">
        <v>-5</v>
      </c>
      <c r="BR179" s="1298">
        <v>-18</v>
      </c>
      <c r="BS179" s="1298">
        <v>-3</v>
      </c>
      <c r="BT179" s="1298">
        <v>-11</v>
      </c>
      <c r="BU179" s="1298">
        <f>SUM(BQ179:BT179)</f>
        <v>-37</v>
      </c>
      <c r="BV179" s="1298"/>
      <c r="BW179" s="1298">
        <v>-9</v>
      </c>
      <c r="BX179" s="1298">
        <v>-10</v>
      </c>
      <c r="BY179" s="1298">
        <v>-8</v>
      </c>
      <c r="BZ179" s="1298">
        <v>-15</v>
      </c>
      <c r="CA179" s="1298">
        <f>SUM(BW179:BZ179)</f>
        <v>-42</v>
      </c>
      <c r="CB179" s="1298"/>
      <c r="CC179" s="1354">
        <v>-8</v>
      </c>
      <c r="CD179" s="1354"/>
      <c r="CE179" s="1354"/>
      <c r="CF179" s="1354"/>
      <c r="CG179" s="1355">
        <f>SUM(CC179:CF179)</f>
        <v>-8</v>
      </c>
      <c r="CH179" s="1354"/>
      <c r="CI179" s="1354">
        <v>-12</v>
      </c>
      <c r="CJ179" s="1354">
        <v>-20</v>
      </c>
      <c r="CK179" s="1354">
        <v>-20</v>
      </c>
      <c r="CL179" s="1354"/>
      <c r="CM179" s="1355">
        <f>SUM(CI179:CL179)</f>
        <v>-52</v>
      </c>
      <c r="CN179" s="1354"/>
      <c r="CO179" s="1354">
        <f>CL179</f>
        <v>0</v>
      </c>
      <c r="CP179" s="1354">
        <v>0</v>
      </c>
      <c r="CQ179" s="1354">
        <v>0</v>
      </c>
      <c r="CR179" s="1354">
        <f>CQ179</f>
        <v>0</v>
      </c>
      <c r="CS179" s="1355">
        <f>SUM(CO179:CR179)</f>
        <v>0</v>
      </c>
      <c r="CT179" s="1354"/>
      <c r="CU179" s="1354">
        <f>CR179</f>
        <v>0</v>
      </c>
      <c r="CV179" s="1354">
        <f t="shared" ref="CV179:CX180" si="133">CU179</f>
        <v>0</v>
      </c>
      <c r="CW179" s="1354">
        <f t="shared" si="133"/>
        <v>0</v>
      </c>
      <c r="CX179" s="1354">
        <f t="shared" si="133"/>
        <v>0</v>
      </c>
      <c r="CY179" s="1355">
        <f>SUM(CU179:CX179)</f>
        <v>0</v>
      </c>
      <c r="CZ179" s="1354"/>
      <c r="DA179" s="1354">
        <f>CX179</f>
        <v>0</v>
      </c>
      <c r="DB179" s="1354">
        <f t="shared" ref="DB179:DD180" si="134">DA179</f>
        <v>0</v>
      </c>
      <c r="DC179" s="1357">
        <f t="shared" si="134"/>
        <v>0</v>
      </c>
      <c r="DD179" s="1357">
        <f t="shared" si="134"/>
        <v>0</v>
      </c>
      <c r="DE179" s="1355">
        <f>SUM(DA179:DD179)</f>
        <v>0</v>
      </c>
      <c r="DF179" s="1354"/>
      <c r="DG179" s="1357">
        <f>DD179</f>
        <v>0</v>
      </c>
      <c r="DH179" s="1357">
        <f t="shared" ref="DH179:DJ180" si="135">DG179</f>
        <v>0</v>
      </c>
      <c r="DI179" s="1357">
        <f t="shared" si="135"/>
        <v>0</v>
      </c>
      <c r="DJ179" s="1357">
        <f t="shared" si="135"/>
        <v>0</v>
      </c>
      <c r="DK179" s="1355">
        <f>SUM(DG179:DJ179)</f>
        <v>0</v>
      </c>
      <c r="DL179" s="1354"/>
      <c r="DM179" s="1357">
        <f>DJ179</f>
        <v>0</v>
      </c>
      <c r="DN179" s="1357">
        <f t="shared" ref="DN179:DP180" si="136">DM179</f>
        <v>0</v>
      </c>
      <c r="DO179" s="1357">
        <f t="shared" si="136"/>
        <v>0</v>
      </c>
      <c r="DP179" s="1357">
        <f t="shared" si="136"/>
        <v>0</v>
      </c>
      <c r="DQ179" s="1355">
        <f>SUM(DM179:DP179)</f>
        <v>0</v>
      </c>
      <c r="DR179" s="1354"/>
      <c r="DS179" s="1357">
        <f>DP179</f>
        <v>0</v>
      </c>
      <c r="DT179" s="1357">
        <f t="shared" ref="DT179:DV180" si="137">DS179</f>
        <v>0</v>
      </c>
      <c r="DU179" s="1357">
        <f t="shared" si="137"/>
        <v>0</v>
      </c>
      <c r="DV179" s="1357">
        <f t="shared" si="137"/>
        <v>0</v>
      </c>
      <c r="DW179" s="1355">
        <f>SUM(DS179:DV179)</f>
        <v>0</v>
      </c>
      <c r="DX179" s="1354"/>
      <c r="DY179" s="1357">
        <f>DV179</f>
        <v>0</v>
      </c>
      <c r="DZ179" s="1357">
        <f t="shared" ref="DZ179:EB180" si="138">DY179</f>
        <v>0</v>
      </c>
      <c r="EA179" s="1357">
        <v>0</v>
      </c>
      <c r="EB179" s="1357">
        <f t="shared" si="138"/>
        <v>0</v>
      </c>
      <c r="EC179" s="1355">
        <f>SUM(DY179:EB179)</f>
        <v>0</v>
      </c>
      <c r="ED179" s="1354"/>
      <c r="EE179" s="1357">
        <v>0</v>
      </c>
      <c r="EF179" s="1357">
        <v>0</v>
      </c>
      <c r="EG179" s="1357">
        <v>0</v>
      </c>
      <c r="EH179" s="1357">
        <v>0</v>
      </c>
      <c r="EI179" s="1355">
        <f>SUM(EE179:EH179)</f>
        <v>0</v>
      </c>
      <c r="EJ179" s="1354"/>
      <c r="EK179" s="1357">
        <v>0</v>
      </c>
      <c r="EL179" s="1357">
        <f t="shared" ref="EL179:EN180" si="139">EK179</f>
        <v>0</v>
      </c>
      <c r="EM179" s="1357">
        <f t="shared" si="139"/>
        <v>0</v>
      </c>
      <c r="EN179" s="1357">
        <f t="shared" si="139"/>
        <v>0</v>
      </c>
      <c r="EO179" s="1355">
        <f>SUM(EK179:EN179)</f>
        <v>0</v>
      </c>
      <c r="EP179" s="1354"/>
      <c r="EQ179" s="1357">
        <v>0</v>
      </c>
      <c r="ER179" s="1357">
        <f t="shared" ref="ER179:ER180" si="140">EQ179</f>
        <v>0</v>
      </c>
      <c r="ES179" s="1357">
        <f t="shared" ref="ES179:ET180" si="141">ER179</f>
        <v>0</v>
      </c>
      <c r="ET179" s="1357">
        <f t="shared" si="141"/>
        <v>0</v>
      </c>
      <c r="EU179" s="1355">
        <f>SUM(EQ179:ET179)</f>
        <v>0</v>
      </c>
      <c r="EV179" s="1354"/>
      <c r="EW179" s="1357">
        <v>0</v>
      </c>
      <c r="EX179" s="1357">
        <f t="shared" ref="EX179:EY180" si="142">EW179</f>
        <v>0</v>
      </c>
      <c r="EY179" s="1357">
        <f t="shared" si="142"/>
        <v>0</v>
      </c>
      <c r="EZ179" s="1357">
        <f t="shared" ref="EZ179:EZ180" si="143">EY179</f>
        <v>0</v>
      </c>
      <c r="FA179" s="1355">
        <f>SUM(EW179:EZ179)</f>
        <v>0</v>
      </c>
      <c r="FB179" s="1354"/>
      <c r="FC179" s="1357">
        <f>EZ179</f>
        <v>0</v>
      </c>
      <c r="FD179" s="1357">
        <f t="shared" ref="FD179:FF180" si="144">FC179</f>
        <v>0</v>
      </c>
      <c r="FE179" s="1357">
        <f t="shared" si="144"/>
        <v>0</v>
      </c>
      <c r="FF179" s="1357">
        <f t="shared" si="144"/>
        <v>0</v>
      </c>
      <c r="FG179" s="1355">
        <f>SUM(FC179:FF179)</f>
        <v>0</v>
      </c>
      <c r="FH179" s="1354"/>
      <c r="FI179" s="1357">
        <f>FF179</f>
        <v>0</v>
      </c>
      <c r="FJ179" s="1357">
        <f t="shared" ref="FJ179:FJ180" si="145">FI179</f>
        <v>0</v>
      </c>
      <c r="FK179" s="1357">
        <f t="shared" ref="FK179:FK180" si="146">FJ179</f>
        <v>0</v>
      </c>
      <c r="FL179" s="1357">
        <f t="shared" ref="FL179:FL180" si="147">FK179</f>
        <v>0</v>
      </c>
      <c r="FM179" s="1355">
        <f>SUM(FI179:FL179)</f>
        <v>0</v>
      </c>
      <c r="FN179" s="1321"/>
      <c r="FO179" s="1356">
        <f>CE179+CF179+CI179+CJ179</f>
        <v>-32</v>
      </c>
      <c r="FP179" s="1301">
        <f>CK179+CL179+CO179+CP179</f>
        <v>-20</v>
      </c>
      <c r="FQ179" s="1301">
        <f>CV179+CU179+CR179+CQ179</f>
        <v>0</v>
      </c>
      <c r="FR179" s="1301">
        <f>CW179+CX179+DA179+DB179</f>
        <v>0</v>
      </c>
      <c r="FS179" s="1356">
        <f>DC179+DD179+DG179+DH179</f>
        <v>0</v>
      </c>
      <c r="FT179" s="1301">
        <f>DI179+DJ179+DM179+DN179</f>
        <v>0</v>
      </c>
      <c r="FU179" s="1301">
        <f>DO179+DP179+DS179+DT179</f>
        <v>0</v>
      </c>
      <c r="FV179" s="1301">
        <f>DY179+DV179+DZ179+DU179</f>
        <v>0</v>
      </c>
      <c r="FW179" s="1301">
        <f>EA179+EB179+EE179+EF179</f>
        <v>0</v>
      </c>
      <c r="FX179" s="1301">
        <f>EG179+EH179+EK179+EL179</f>
        <v>0</v>
      </c>
      <c r="FY179" s="1301">
        <f>EM179+EN179+EQ179+ER179</f>
        <v>0</v>
      </c>
      <c r="FZ179" s="1301">
        <f>ES179+ET179+EW179+EX179</f>
        <v>0</v>
      </c>
      <c r="GA179" s="1301">
        <f>EY179+EZ179+FC179+FD179</f>
        <v>0</v>
      </c>
      <c r="GB179" s="1301">
        <f>FE179+FF179+FI179+FJ179</f>
        <v>0</v>
      </c>
      <c r="GC179" s="1301"/>
      <c r="GD179" s="1301"/>
      <c r="GE179" s="1301"/>
      <c r="GF179" s="1301"/>
      <c r="GI179"/>
      <c r="GJ179"/>
      <c r="GK179"/>
      <c r="GL179"/>
      <c r="GM179"/>
      <c r="GN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</row>
    <row r="180" spans="1:281" s="242" customFormat="1" hidden="1" outlineLevel="1" x14ac:dyDescent="0.2">
      <c r="A180" s="1334" t="s">
        <v>808</v>
      </c>
      <c r="B180" s="1296"/>
      <c r="C180" s="1298"/>
      <c r="D180" s="1298"/>
      <c r="E180" s="1298"/>
      <c r="F180" s="1298"/>
      <c r="G180" s="1298"/>
      <c r="H180" s="1298"/>
      <c r="I180" s="1298"/>
      <c r="J180" s="1298"/>
      <c r="K180" s="1298"/>
      <c r="L180" s="1298"/>
      <c r="M180" s="1298"/>
      <c r="N180" s="1298"/>
      <c r="O180" s="1298"/>
      <c r="P180" s="1298"/>
      <c r="Q180" s="1298"/>
      <c r="R180" s="1298"/>
      <c r="S180" s="1298"/>
      <c r="T180" s="1298"/>
      <c r="U180" s="1298"/>
      <c r="V180" s="1298"/>
      <c r="W180" s="1298"/>
      <c r="X180" s="1298"/>
      <c r="Y180" s="1298"/>
      <c r="Z180" s="1298"/>
      <c r="AA180" s="1298"/>
      <c r="AB180" s="1298"/>
      <c r="AC180" s="1298"/>
      <c r="AD180" s="1298"/>
      <c r="AE180" s="1298"/>
      <c r="AF180" s="1298"/>
      <c r="AG180" s="1298"/>
      <c r="AH180" s="1298"/>
      <c r="AI180" s="1298"/>
      <c r="AJ180" s="1298"/>
      <c r="AK180" s="1298"/>
      <c r="AL180" s="1298"/>
      <c r="AM180" s="1298"/>
      <c r="AN180" s="1298"/>
      <c r="AO180" s="1298"/>
      <c r="AP180" s="1298"/>
      <c r="AQ180" s="1298"/>
      <c r="AR180" s="1298"/>
      <c r="AS180" s="1298"/>
      <c r="AT180" s="1298"/>
      <c r="AU180" s="1298"/>
      <c r="AV180" s="1298"/>
      <c r="AW180" s="1298"/>
      <c r="AX180" s="1298"/>
      <c r="AY180" s="1298"/>
      <c r="AZ180" s="1298"/>
      <c r="BA180" s="1298"/>
      <c r="BB180" s="1298"/>
      <c r="BC180" s="1298">
        <v>-15</v>
      </c>
      <c r="BD180" s="1298"/>
      <c r="BE180" s="1298"/>
      <c r="BF180" s="1298"/>
      <c r="BG180" s="1298"/>
      <c r="BH180" s="1298"/>
      <c r="BI180" s="1298">
        <v>-272.52800000000002</v>
      </c>
      <c r="BJ180" s="1298"/>
      <c r="BK180" s="1298">
        <f>-3-81</f>
        <v>-84</v>
      </c>
      <c r="BL180" s="1298">
        <f>6-22</f>
        <v>-16</v>
      </c>
      <c r="BM180" s="1298">
        <f>17-6</f>
        <v>11</v>
      </c>
      <c r="BN180" s="1298">
        <f>-4-2</f>
        <v>-6</v>
      </c>
      <c r="BO180" s="1298">
        <f>SUM(BK180:BN180)</f>
        <v>-95</v>
      </c>
      <c r="BP180" s="1298"/>
      <c r="BQ180" s="1298">
        <v>37</v>
      </c>
      <c r="BR180" s="1298">
        <f>-4+1-4</f>
        <v>-7</v>
      </c>
      <c r="BS180" s="1298">
        <f>-4+1</f>
        <v>-3</v>
      </c>
      <c r="BT180" s="1298">
        <v>-6</v>
      </c>
      <c r="BU180" s="1298">
        <f>SUM(BQ180:BT180)</f>
        <v>21</v>
      </c>
      <c r="BV180" s="1298"/>
      <c r="BW180" s="1298">
        <v>0</v>
      </c>
      <c r="BX180" s="1298">
        <v>-4</v>
      </c>
      <c r="BY180" s="1298">
        <f>17-7</f>
        <v>10</v>
      </c>
      <c r="BZ180" s="1298">
        <v>15</v>
      </c>
      <c r="CA180" s="1298">
        <f>-14+2+33</f>
        <v>21</v>
      </c>
      <c r="CB180" s="1298"/>
      <c r="CC180" s="1354">
        <f>16+9</f>
        <v>25</v>
      </c>
      <c r="CD180" s="1354"/>
      <c r="CE180" s="1354"/>
      <c r="CF180" s="1354"/>
      <c r="CG180" s="1355">
        <f>SUM(CC180:CF180)</f>
        <v>25</v>
      </c>
      <c r="CH180" s="1354"/>
      <c r="CI180" s="1354">
        <f>6+15+16</f>
        <v>37</v>
      </c>
      <c r="CJ180" s="1354">
        <f>10+3+5</f>
        <v>18</v>
      </c>
      <c r="CK180" s="1354">
        <f>22+1+24</f>
        <v>47</v>
      </c>
      <c r="CL180" s="1354"/>
      <c r="CM180" s="1355">
        <f>SUM(CI180:CL180)</f>
        <v>102</v>
      </c>
      <c r="CN180" s="1354"/>
      <c r="CO180" s="1354">
        <f>CL180</f>
        <v>0</v>
      </c>
      <c r="CP180" s="1354">
        <v>0</v>
      </c>
      <c r="CQ180" s="1354">
        <v>0</v>
      </c>
      <c r="CR180" s="1354">
        <f>CQ180</f>
        <v>0</v>
      </c>
      <c r="CS180" s="1355">
        <f>SUM(CO180:CR180)</f>
        <v>0</v>
      </c>
      <c r="CT180" s="1354"/>
      <c r="CU180" s="1354">
        <f>CR180</f>
        <v>0</v>
      </c>
      <c r="CV180" s="1354">
        <f t="shared" si="133"/>
        <v>0</v>
      </c>
      <c r="CW180" s="1354">
        <f t="shared" si="133"/>
        <v>0</v>
      </c>
      <c r="CX180" s="1354">
        <f t="shared" si="133"/>
        <v>0</v>
      </c>
      <c r="CY180" s="1355">
        <f>SUM(CU180:CX180)</f>
        <v>0</v>
      </c>
      <c r="CZ180" s="1354"/>
      <c r="DA180" s="1354">
        <f>CX180</f>
        <v>0</v>
      </c>
      <c r="DB180" s="1354">
        <f t="shared" si="134"/>
        <v>0</v>
      </c>
      <c r="DC180" s="1357">
        <f t="shared" si="134"/>
        <v>0</v>
      </c>
      <c r="DD180" s="1357">
        <f t="shared" si="134"/>
        <v>0</v>
      </c>
      <c r="DE180" s="1355">
        <f>SUM(DA180:DD180)</f>
        <v>0</v>
      </c>
      <c r="DF180" s="1354"/>
      <c r="DG180" s="1357">
        <f>DD180</f>
        <v>0</v>
      </c>
      <c r="DH180" s="1357">
        <f t="shared" si="135"/>
        <v>0</v>
      </c>
      <c r="DI180" s="1357">
        <f t="shared" si="135"/>
        <v>0</v>
      </c>
      <c r="DJ180" s="1357">
        <f t="shared" si="135"/>
        <v>0</v>
      </c>
      <c r="DK180" s="1355">
        <f>SUM(DG180:DJ180)</f>
        <v>0</v>
      </c>
      <c r="DL180" s="1354"/>
      <c r="DM180" s="1357">
        <f>DJ180</f>
        <v>0</v>
      </c>
      <c r="DN180" s="1357">
        <f t="shared" si="136"/>
        <v>0</v>
      </c>
      <c r="DO180" s="1357">
        <f t="shared" si="136"/>
        <v>0</v>
      </c>
      <c r="DP180" s="1357">
        <f t="shared" si="136"/>
        <v>0</v>
      </c>
      <c r="DQ180" s="1355">
        <f>SUM(DM180:DP180)</f>
        <v>0</v>
      </c>
      <c r="DR180" s="1354"/>
      <c r="DS180" s="1357">
        <f>DP180</f>
        <v>0</v>
      </c>
      <c r="DT180" s="1357">
        <f t="shared" si="137"/>
        <v>0</v>
      </c>
      <c r="DU180" s="1357">
        <f t="shared" si="137"/>
        <v>0</v>
      </c>
      <c r="DV180" s="1357">
        <f t="shared" si="137"/>
        <v>0</v>
      </c>
      <c r="DW180" s="1355">
        <f>SUM(DS180:DV180)</f>
        <v>0</v>
      </c>
      <c r="DX180" s="1354"/>
      <c r="DY180" s="1357">
        <f>DV180</f>
        <v>0</v>
      </c>
      <c r="DZ180" s="1357">
        <f t="shared" si="138"/>
        <v>0</v>
      </c>
      <c r="EA180" s="1357">
        <v>0</v>
      </c>
      <c r="EB180" s="1357">
        <f t="shared" si="138"/>
        <v>0</v>
      </c>
      <c r="EC180" s="1355">
        <f>SUM(DY180:EB180)</f>
        <v>0</v>
      </c>
      <c r="ED180" s="1354"/>
      <c r="EE180" s="1357">
        <v>0</v>
      </c>
      <c r="EF180" s="1357">
        <v>0</v>
      </c>
      <c r="EG180" s="1357">
        <v>0</v>
      </c>
      <c r="EH180" s="1357">
        <v>0</v>
      </c>
      <c r="EI180" s="1355">
        <f>SUM(EE180:EH180)</f>
        <v>0</v>
      </c>
      <c r="EJ180" s="1354"/>
      <c r="EK180" s="1357">
        <v>0</v>
      </c>
      <c r="EL180" s="1357">
        <f t="shared" si="139"/>
        <v>0</v>
      </c>
      <c r="EM180" s="1357">
        <f t="shared" si="139"/>
        <v>0</v>
      </c>
      <c r="EN180" s="1357">
        <f t="shared" si="139"/>
        <v>0</v>
      </c>
      <c r="EO180" s="1355">
        <f>SUM(EK180:EN180)</f>
        <v>0</v>
      </c>
      <c r="EP180" s="1354"/>
      <c r="EQ180" s="1357">
        <v>0</v>
      </c>
      <c r="ER180" s="1357">
        <f t="shared" si="140"/>
        <v>0</v>
      </c>
      <c r="ES180" s="1357">
        <f t="shared" si="141"/>
        <v>0</v>
      </c>
      <c r="ET180" s="1357">
        <f t="shared" si="141"/>
        <v>0</v>
      </c>
      <c r="EU180" s="1355">
        <f>SUM(EQ180:ET180)</f>
        <v>0</v>
      </c>
      <c r="EV180" s="1354"/>
      <c r="EW180" s="1357">
        <v>0</v>
      </c>
      <c r="EX180" s="1357">
        <f t="shared" si="142"/>
        <v>0</v>
      </c>
      <c r="EY180" s="1357">
        <f t="shared" si="142"/>
        <v>0</v>
      </c>
      <c r="EZ180" s="1357">
        <f t="shared" si="143"/>
        <v>0</v>
      </c>
      <c r="FA180" s="1355">
        <f>SUM(EW180:EZ180)</f>
        <v>0</v>
      </c>
      <c r="FB180" s="1354"/>
      <c r="FC180" s="1357">
        <f>EZ180</f>
        <v>0</v>
      </c>
      <c r="FD180" s="1357">
        <f t="shared" si="144"/>
        <v>0</v>
      </c>
      <c r="FE180" s="1357">
        <f t="shared" si="144"/>
        <v>0</v>
      </c>
      <c r="FF180" s="1357">
        <f t="shared" si="144"/>
        <v>0</v>
      </c>
      <c r="FG180" s="1355">
        <f>SUM(FC180:FF180)</f>
        <v>0</v>
      </c>
      <c r="FH180" s="1354"/>
      <c r="FI180" s="1357">
        <f>FF180</f>
        <v>0</v>
      </c>
      <c r="FJ180" s="1357">
        <f t="shared" si="145"/>
        <v>0</v>
      </c>
      <c r="FK180" s="1357">
        <f t="shared" si="146"/>
        <v>0</v>
      </c>
      <c r="FL180" s="1357">
        <f t="shared" si="147"/>
        <v>0</v>
      </c>
      <c r="FM180" s="1355">
        <f>SUM(FI180:FL180)</f>
        <v>0</v>
      </c>
      <c r="FN180" s="1321"/>
      <c r="FO180" s="1356">
        <f>CE180+CF180+CI180+CJ180</f>
        <v>55</v>
      </c>
      <c r="FP180" s="1301">
        <f>CK180+CL180+CO180+CP180</f>
        <v>47</v>
      </c>
      <c r="FQ180" s="1301">
        <f>CV180+CU180+CR180+CQ180</f>
        <v>0</v>
      </c>
      <c r="FR180" s="1301">
        <f>CW180+CX180+DA180+DB180</f>
        <v>0</v>
      </c>
      <c r="FS180" s="1356">
        <f>DC180+DD180+DG180+DH180</f>
        <v>0</v>
      </c>
      <c r="FT180" s="1301">
        <f>DI180+DJ180+DM180+DN180</f>
        <v>0</v>
      </c>
      <c r="FU180" s="1301">
        <f>DO180+DP180+DS180+DT180</f>
        <v>0</v>
      </c>
      <c r="FV180" s="1301">
        <f>DY180+DV180+DZ180+DU180</f>
        <v>0</v>
      </c>
      <c r="FW180" s="1301">
        <f>EA180+EB180+EE180+EF180</f>
        <v>0</v>
      </c>
      <c r="FX180" s="1301">
        <f>EG180+EH180+EK180+EL180</f>
        <v>0</v>
      </c>
      <c r="FY180" s="1301">
        <f>EM180+EN180+EQ180+ER180</f>
        <v>0</v>
      </c>
      <c r="FZ180" s="1301">
        <f>ES180+ET180+EW180+EX180</f>
        <v>0</v>
      </c>
      <c r="GA180" s="1301">
        <f>EY180+EZ180+FC180+FD180</f>
        <v>0</v>
      </c>
      <c r="GB180" s="1301">
        <f>FE180+FF180+FI180+FJ180</f>
        <v>0</v>
      </c>
      <c r="GC180" s="1301"/>
      <c r="GD180" s="1301"/>
      <c r="GE180" s="1301"/>
      <c r="GF180" s="1301"/>
      <c r="GI180"/>
      <c r="GJ180"/>
      <c r="GK180"/>
      <c r="GL180"/>
      <c r="GM180"/>
      <c r="GN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</row>
    <row r="181" spans="1:281" s="127" customFormat="1" ht="3.75" customHeight="1" collapsed="1" x14ac:dyDescent="0.2">
      <c r="B181" s="359"/>
      <c r="CC181" s="305"/>
      <c r="CD181" s="305"/>
      <c r="CE181" s="305"/>
      <c r="CF181" s="305"/>
      <c r="CG181" s="327"/>
      <c r="CH181" s="305"/>
      <c r="CI181" s="305"/>
      <c r="CJ181" s="305"/>
      <c r="CK181" s="305"/>
      <c r="CL181" s="305"/>
      <c r="CM181" s="327"/>
      <c r="CN181" s="305"/>
      <c r="CO181" s="305"/>
      <c r="CP181" s="305"/>
      <c r="CQ181" s="305"/>
      <c r="CR181" s="305"/>
      <c r="CS181" s="327"/>
      <c r="CT181" s="305"/>
      <c r="CU181" s="305"/>
      <c r="CV181" s="305"/>
      <c r="CW181" s="305"/>
      <c r="CX181" s="305"/>
      <c r="CY181" s="327"/>
      <c r="CZ181" s="305"/>
      <c r="DA181" s="305"/>
      <c r="DB181" s="305"/>
      <c r="DC181" s="305"/>
      <c r="DD181" s="305"/>
      <c r="DE181" s="327"/>
      <c r="DF181" s="305"/>
      <c r="DG181" s="305"/>
      <c r="DH181" s="305"/>
      <c r="DI181" s="305"/>
      <c r="DJ181" s="305"/>
      <c r="DK181" s="327"/>
      <c r="DL181" s="305"/>
      <c r="DM181" s="305"/>
      <c r="DN181" s="305"/>
      <c r="DO181" s="305"/>
      <c r="DP181" s="305"/>
      <c r="DQ181" s="327"/>
      <c r="DR181" s="305"/>
      <c r="DS181" s="305"/>
      <c r="DT181" s="305"/>
      <c r="DU181" s="305"/>
      <c r="DV181" s="305"/>
      <c r="DW181" s="327"/>
      <c r="DX181" s="305"/>
      <c r="DY181" s="305"/>
      <c r="DZ181" s="305"/>
      <c r="EA181" s="305"/>
      <c r="EB181" s="305"/>
      <c r="EC181" s="327"/>
      <c r="ED181" s="305"/>
      <c r="EE181" s="305"/>
      <c r="EF181" s="305"/>
      <c r="EG181" s="305"/>
      <c r="EH181" s="305"/>
      <c r="EI181" s="327"/>
      <c r="EJ181" s="305"/>
      <c r="EK181" s="305"/>
      <c r="EL181" s="305"/>
      <c r="EM181" s="305"/>
      <c r="EN181" s="305"/>
      <c r="EO181" s="327"/>
      <c r="EP181" s="305"/>
      <c r="EQ181" s="305"/>
      <c r="ER181" s="305"/>
      <c r="ES181" s="305"/>
      <c r="ET181" s="305"/>
      <c r="EU181" s="327"/>
      <c r="EV181" s="305"/>
      <c r="EW181" s="305"/>
      <c r="EX181" s="305"/>
      <c r="EY181" s="305"/>
      <c r="EZ181" s="305"/>
      <c r="FA181" s="327"/>
      <c r="FB181" s="305"/>
      <c r="FC181" s="305"/>
      <c r="FD181" s="305"/>
      <c r="FE181" s="305"/>
      <c r="FF181" s="305"/>
      <c r="FG181" s="327"/>
      <c r="FH181" s="305"/>
      <c r="FI181" s="305"/>
      <c r="FJ181" s="305"/>
      <c r="FK181" s="305"/>
      <c r="FL181" s="305"/>
      <c r="FM181" s="327"/>
      <c r="FN181" s="961"/>
      <c r="FO181" s="964"/>
      <c r="FS181" s="964"/>
      <c r="GI181"/>
      <c r="GJ181"/>
      <c r="GK181"/>
      <c r="GL181"/>
      <c r="GM181"/>
      <c r="GN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</row>
    <row r="182" spans="1:281" s="242" customFormat="1" x14ac:dyDescent="0.2">
      <c r="A182" s="41" t="s">
        <v>809</v>
      </c>
      <c r="B182" s="949" t="s">
        <v>810</v>
      </c>
      <c r="C182" s="242">
        <f t="shared" ref="C182:M182" si="148">C169+C176</f>
        <v>2.3014149999999995</v>
      </c>
      <c r="D182" s="242">
        <f t="shared" si="148"/>
        <v>2.5697610000000006</v>
      </c>
      <c r="E182" s="242">
        <f t="shared" si="148"/>
        <v>10.460205000000006</v>
      </c>
      <c r="F182" s="242">
        <f t="shared" si="148"/>
        <v>28.266000000000005</v>
      </c>
      <c r="G182" s="34">
        <f t="shared" si="148"/>
        <v>64.977000000000004</v>
      </c>
      <c r="H182" s="242">
        <f t="shared" si="148"/>
        <v>120.37199999999999</v>
      </c>
      <c r="I182" s="34">
        <f t="shared" si="148"/>
        <v>118.20399999999994</v>
      </c>
      <c r="J182" s="34">
        <f t="shared" si="148"/>
        <v>-13.242000000000004</v>
      </c>
      <c r="K182" s="34">
        <f t="shared" si="148"/>
        <v>96.634000000000029</v>
      </c>
      <c r="L182" s="34">
        <f t="shared" si="148"/>
        <v>309.60300000000007</v>
      </c>
      <c r="M182" s="34">
        <f t="shared" si="148"/>
        <v>423.19199999999995</v>
      </c>
      <c r="N182" s="34"/>
      <c r="O182" s="34">
        <f>O169+O176</f>
        <v>91.343000000000004</v>
      </c>
      <c r="P182" s="34">
        <f>P169+P176</f>
        <v>140.09800000000001</v>
      </c>
      <c r="Q182" s="34">
        <f>Q169+Q176</f>
        <v>155.88399999999999</v>
      </c>
      <c r="R182" s="34">
        <f>R169+R176</f>
        <v>271.1570000000001</v>
      </c>
      <c r="S182" s="34">
        <f>SUM(O182:R182)</f>
        <v>658.4820000000002</v>
      </c>
      <c r="T182" s="34"/>
      <c r="U182" s="34">
        <f>U169+U176</f>
        <v>132.38999999999996</v>
      </c>
      <c r="V182" s="34">
        <f>V169+V176</f>
        <v>207.24199999999999</v>
      </c>
      <c r="W182" s="34">
        <f>W169+W176</f>
        <v>221.65100000000001</v>
      </c>
      <c r="X182" s="34">
        <f>X169+X176</f>
        <v>408.97399999999982</v>
      </c>
      <c r="Y182" s="34">
        <f>SUM(U182:X182)</f>
        <v>970.25699999999972</v>
      </c>
      <c r="Z182" s="34"/>
      <c r="AA182" s="34">
        <f>AA169+AA176</f>
        <v>176.20400000000004</v>
      </c>
      <c r="AB182" s="34">
        <f>AB169+AB176</f>
        <v>280.46300000000008</v>
      </c>
      <c r="AC182" s="34">
        <f>AC169+AC176</f>
        <v>301.25799999999987</v>
      </c>
      <c r="AD182" s="34">
        <f>AD169+AD176</f>
        <v>562.40200000000004</v>
      </c>
      <c r="AE182" s="34">
        <f>SUM(AA182:AD182)</f>
        <v>1320.327</v>
      </c>
      <c r="AF182" s="34"/>
      <c r="AG182" s="34">
        <f>AG169+AG176</f>
        <v>256.00299999999999</v>
      </c>
      <c r="AH182" s="34">
        <f>AH169+AH176</f>
        <v>288.25399999999996</v>
      </c>
      <c r="AI182" s="34">
        <f>AI169+AI176</f>
        <v>330.88799999999992</v>
      </c>
      <c r="AJ182" s="34">
        <f>AJ169+AJ176</f>
        <v>619.72599999999977</v>
      </c>
      <c r="AK182" s="34">
        <f>SUM(AG182:AJ182)</f>
        <v>1494.8709999999996</v>
      </c>
      <c r="AL182" s="34"/>
      <c r="AM182" s="34">
        <f>AM169+AM176</f>
        <v>300.0019999999999</v>
      </c>
      <c r="AN182" s="242">
        <f>AN169+AN176</f>
        <v>410.72000000000048</v>
      </c>
      <c r="AO182" s="34">
        <f>AO169+AO176</f>
        <v>444.33599999999996</v>
      </c>
      <c r="AP182" s="34">
        <f>AP169+AP176</f>
        <v>827.02</v>
      </c>
      <c r="AQ182" s="34">
        <f>SUM(AM182:AP182)</f>
        <v>1982.0780000000004</v>
      </c>
      <c r="AR182" s="34"/>
      <c r="AS182" s="34">
        <f>AS169+AS176</f>
        <v>364.20999999999992</v>
      </c>
      <c r="AT182" s="34">
        <f>AT169+AT176</f>
        <v>591.51499999999987</v>
      </c>
      <c r="AU182" s="34">
        <f>AU169+AU176</f>
        <v>1209.3299999999997</v>
      </c>
      <c r="AV182" s="34">
        <f>AV169+AV176</f>
        <v>7958.3790000000008</v>
      </c>
      <c r="AW182" s="34">
        <f>SUM(AS182:AV182)</f>
        <v>10123.434000000001</v>
      </c>
      <c r="AX182" s="34"/>
      <c r="AY182" s="34">
        <f>AY169+AY176</f>
        <v>776.24300000000028</v>
      </c>
      <c r="AZ182" s="34">
        <f>AZ169+AZ176</f>
        <v>965.88099999999974</v>
      </c>
      <c r="BA182" s="34">
        <f>BA169+BA176</f>
        <v>903.43100000000004</v>
      </c>
      <c r="BB182" s="34">
        <f>BB169+BB176</f>
        <v>1325.6749999999997</v>
      </c>
      <c r="BC182" s="34">
        <f>SUM(AY182:BB182)</f>
        <v>3971.23</v>
      </c>
      <c r="BD182" s="34"/>
      <c r="BE182" s="34">
        <f>BE169+BE176</f>
        <v>785.61099999999976</v>
      </c>
      <c r="BF182" s="242">
        <f>BF169+BF176</f>
        <v>845.32600000000002</v>
      </c>
      <c r="BG182" s="34">
        <f>BG169+BG176</f>
        <v>781.49999999999966</v>
      </c>
      <c r="BH182" s="34">
        <f>BH169+BH176</f>
        <v>995.96699999999998</v>
      </c>
      <c r="BI182" s="242">
        <f>SUM(BE182:BH182)</f>
        <v>3408.4039999999995</v>
      </c>
      <c r="BJ182" s="34"/>
      <c r="BK182" s="34">
        <f>BK169+BK176</f>
        <v>522</v>
      </c>
      <c r="BL182" s="34">
        <f>BL169+BL176</f>
        <v>800</v>
      </c>
      <c r="BM182" s="34">
        <f>BM169+BM176</f>
        <v>829</v>
      </c>
      <c r="BN182" s="34">
        <f>BN169+BN176</f>
        <v>1274.4000000000001</v>
      </c>
      <c r="BO182" s="242">
        <f>SUM(BK182:BN182)</f>
        <v>3425.4</v>
      </c>
      <c r="BQ182" s="242">
        <f>BQ169+BQ176</f>
        <v>664</v>
      </c>
      <c r="BR182" s="242">
        <f>BR169+BR176</f>
        <v>916</v>
      </c>
      <c r="BS182" s="242">
        <f>BS169+BS176</f>
        <v>946</v>
      </c>
      <c r="BT182" s="242">
        <f>BT169+BT176</f>
        <v>1419</v>
      </c>
      <c r="BU182" s="242">
        <f>SUM(BQ182:BT182)</f>
        <v>3945</v>
      </c>
      <c r="BW182" s="242">
        <f>BW169+BW176</f>
        <v>766.5</v>
      </c>
      <c r="BX182" s="242">
        <f>BX169+BX176</f>
        <v>1177.3</v>
      </c>
      <c r="BY182" s="242">
        <f>BY169+BY176</f>
        <v>1179</v>
      </c>
      <c r="BZ182" s="242">
        <f>BZ169+BZ176</f>
        <v>1847</v>
      </c>
      <c r="CA182" s="242">
        <f>SUM(BW182:BZ182)</f>
        <v>4969.8</v>
      </c>
      <c r="CC182" s="60">
        <f>CC169+CC176</f>
        <v>1043</v>
      </c>
      <c r="CD182" s="60">
        <f>CD169+CD176</f>
        <v>1366.5</v>
      </c>
      <c r="CE182" s="60">
        <f>CE169+CE176</f>
        <v>1409.4</v>
      </c>
      <c r="CF182" s="60">
        <f>CF169+CF176</f>
        <v>2221.4500000000003</v>
      </c>
      <c r="CG182" s="174">
        <f>SUM(CC182:CF182)</f>
        <v>6040.35</v>
      </c>
      <c r="CH182" s="60"/>
      <c r="CI182" s="60">
        <f>CI169+CI176</f>
        <v>1337</v>
      </c>
      <c r="CJ182" s="60">
        <f>CJ169+CJ176</f>
        <v>1631</v>
      </c>
      <c r="CK182" s="60">
        <f>CK169+CK176</f>
        <v>1767</v>
      </c>
      <c r="CL182" s="60">
        <f>CL169+CL176</f>
        <v>2696.5</v>
      </c>
      <c r="CM182" s="174">
        <f>SUM(CI182:CL182)</f>
        <v>7431.5</v>
      </c>
      <c r="CN182" s="60"/>
      <c r="CO182" s="60">
        <f>CO169+CO176</f>
        <v>1665</v>
      </c>
      <c r="CP182" s="60">
        <f>CP169+CP176</f>
        <v>2247</v>
      </c>
      <c r="CQ182" s="60">
        <f>CQ169+CQ176</f>
        <v>2221</v>
      </c>
      <c r="CR182" s="60">
        <f>CR169+CR176</f>
        <v>3515</v>
      </c>
      <c r="CS182" s="174">
        <f>SUM(CO182:CR182)</f>
        <v>9648</v>
      </c>
      <c r="CT182" s="60"/>
      <c r="CU182" s="60">
        <f>CU169+CU176</f>
        <v>2097</v>
      </c>
      <c r="CV182" s="60">
        <f>CV169+CV176</f>
        <v>2460</v>
      </c>
      <c r="CW182" s="60">
        <f>CW169+CW176</f>
        <v>2425</v>
      </c>
      <c r="CX182" s="60">
        <f>CX169+CX176</f>
        <v>3383</v>
      </c>
      <c r="CY182" s="174">
        <f>SUM(CU182:CX182)</f>
        <v>10365</v>
      </c>
      <c r="CZ182" s="60"/>
      <c r="DA182" s="60">
        <f>DA169+DA176</f>
        <v>2140</v>
      </c>
      <c r="DB182" s="60">
        <f>DB169+DB176</f>
        <v>2701</v>
      </c>
      <c r="DC182" s="60">
        <f>DC169+DC176</f>
        <v>2625.3999999999996</v>
      </c>
      <c r="DD182" s="60">
        <f>DD169+DD176</f>
        <v>4189.7</v>
      </c>
      <c r="DE182" s="174">
        <f>SUM(DA182:DD182)</f>
        <v>11656.099999999999</v>
      </c>
      <c r="DF182" s="60"/>
      <c r="DG182" s="60">
        <f>DG169+DG176</f>
        <v>2825</v>
      </c>
      <c r="DH182" s="60">
        <f>DH169+DH176</f>
        <v>3727</v>
      </c>
      <c r="DI182" s="60">
        <f>DI169+DI176</f>
        <v>3704</v>
      </c>
      <c r="DJ182" s="60">
        <f>DJ169+DJ176</f>
        <v>5049</v>
      </c>
      <c r="DK182" s="174">
        <f>SUM(DG182:DJ182)</f>
        <v>15305</v>
      </c>
      <c r="DL182" s="60"/>
      <c r="DM182" s="60">
        <f>DM169+DM176</f>
        <v>3354</v>
      </c>
      <c r="DN182" s="60">
        <f>DN169+DN176</f>
        <v>3778</v>
      </c>
      <c r="DO182" s="60">
        <f>DO169+DO176</f>
        <v>4036.3392000000003</v>
      </c>
      <c r="DP182" s="60">
        <f>DP169+DP176</f>
        <v>5298.1597000000002</v>
      </c>
      <c r="DQ182" s="174">
        <f>SUM(DM182:DP182)</f>
        <v>16466.498899999999</v>
      </c>
      <c r="DR182" s="60"/>
      <c r="DS182" s="60">
        <f>DS169+DS176</f>
        <v>3412</v>
      </c>
      <c r="DT182" s="60">
        <f>DT169+DT176</f>
        <v>4081</v>
      </c>
      <c r="DU182" s="60">
        <f>DU169+DU176</f>
        <v>3934</v>
      </c>
      <c r="DV182" s="60">
        <f>DV169+DV176</f>
        <v>5398</v>
      </c>
      <c r="DW182" s="174">
        <f>SUM(DS182:DV182)</f>
        <v>16825</v>
      </c>
      <c r="DX182" s="60"/>
      <c r="DY182" s="60">
        <f>DY169+DY176</f>
        <v>3531</v>
      </c>
      <c r="DZ182" s="60">
        <f>DZ169+DZ176</f>
        <v>4039</v>
      </c>
      <c r="EA182" s="60">
        <f>EA169+EA176</f>
        <v>4048</v>
      </c>
      <c r="EB182" s="60">
        <f>EB169+EB176</f>
        <v>5436</v>
      </c>
      <c r="EC182" s="174">
        <f>SUM(DY182:EB182)</f>
        <v>17054</v>
      </c>
      <c r="ED182" s="60"/>
      <c r="EE182" s="60">
        <f>EE169+EE176</f>
        <v>3574</v>
      </c>
      <c r="EF182" s="60">
        <f>EF169+EF176</f>
        <v>4118</v>
      </c>
      <c r="EG182" s="60">
        <f>EG169+EG176</f>
        <v>3973</v>
      </c>
      <c r="EH182" s="60">
        <f>EH169+EH176</f>
        <v>4693</v>
      </c>
      <c r="EI182" s="174">
        <f>SUM(EE182:EH182)</f>
        <v>16358</v>
      </c>
      <c r="EJ182" s="60"/>
      <c r="EK182" s="60">
        <f>EK169+EK176</f>
        <v>3129</v>
      </c>
      <c r="EL182" s="60">
        <f>EL169+EL176</f>
        <v>3436</v>
      </c>
      <c r="EM182" s="60">
        <f>EM169+EM176</f>
        <v>3528</v>
      </c>
      <c r="EN182" s="60">
        <f>EN169+EN176</f>
        <v>4530</v>
      </c>
      <c r="EO182" s="174">
        <f>SUM(EK182:EN182)</f>
        <v>14623</v>
      </c>
      <c r="EP182" s="60"/>
      <c r="EQ182" s="60">
        <f>EQ169+EQ176</f>
        <v>3134</v>
      </c>
      <c r="ER182" s="60">
        <f>ER169+ER176</f>
        <v>3454.7799999999988</v>
      </c>
      <c r="ES182" s="60">
        <f>ES169+ES176</f>
        <v>3683</v>
      </c>
      <c r="ET182" s="60">
        <f>ET169+ET176</f>
        <v>4702</v>
      </c>
      <c r="EU182" s="174">
        <f>SUM(EQ182:ET182)</f>
        <v>14973.779999999999</v>
      </c>
      <c r="EV182" s="60"/>
      <c r="EW182" s="60">
        <f>EW169+EW176</f>
        <v>3548</v>
      </c>
      <c r="EX182" s="60">
        <f>EX169+EX176</f>
        <v>3998</v>
      </c>
      <c r="EY182" s="60">
        <f>EY169+EY176</f>
        <v>4179</v>
      </c>
      <c r="EZ182" s="60">
        <f>EZ169+EZ176</f>
        <v>4873.1511644831453</v>
      </c>
      <c r="FA182" s="174">
        <f>SUM(EW182:EZ182)</f>
        <v>16598.151164483144</v>
      </c>
      <c r="FB182" s="60"/>
      <c r="FC182" s="60">
        <f>FC169+FC176</f>
        <v>3688.0320420887824</v>
      </c>
      <c r="FD182" s="60">
        <f>FD169+FD176</f>
        <v>4110.7592286502904</v>
      </c>
      <c r="FE182" s="60">
        <f>FE169+FE176</f>
        <v>4188.6378457009223</v>
      </c>
      <c r="FF182" s="60">
        <f>FF169+FF176</f>
        <v>5052.9071350737249</v>
      </c>
      <c r="FG182" s="174">
        <f>SUM(FC182:FF182)</f>
        <v>17040.33625151372</v>
      </c>
      <c r="FH182" s="60"/>
      <c r="FI182" s="60">
        <f>FI169+FI176</f>
        <v>3987.1619833676245</v>
      </c>
      <c r="FJ182" s="60">
        <f>FJ169+FJ176</f>
        <v>4396.7984686726359</v>
      </c>
      <c r="FK182" s="60">
        <f>FK169+FK176</f>
        <v>4444.4207424006372</v>
      </c>
      <c r="FL182" s="60">
        <f>FL169+FL176</f>
        <v>5184.4807773774446</v>
      </c>
      <c r="FM182" s="174">
        <f>SUM(FI182:FL182)</f>
        <v>18012.861971818344</v>
      </c>
      <c r="FN182" s="226"/>
      <c r="FO182" s="245">
        <f>CE182+CF182+CI182+CJ182</f>
        <v>6598.85</v>
      </c>
      <c r="FP182" s="243">
        <f>CK182+CL182+CO182+CP182</f>
        <v>8375.5</v>
      </c>
      <c r="FQ182" s="243">
        <f>CV182+CU182+CR182+CQ182</f>
        <v>10293</v>
      </c>
      <c r="FR182" s="243">
        <f>CW182+CX182+DA182+DB182</f>
        <v>10649</v>
      </c>
      <c r="FS182" s="245">
        <f>DC182+DD182+DG182+DH182</f>
        <v>13367.099999999999</v>
      </c>
      <c r="FT182" s="243">
        <f>DI182+DJ182+DM182+DN182</f>
        <v>15885</v>
      </c>
      <c r="FU182" s="243">
        <f>DO182+DP182+DS182+DT182</f>
        <v>16827.498899999999</v>
      </c>
      <c r="FV182" s="243">
        <f>DY182+DV182+DZ182+DU182</f>
        <v>16902</v>
      </c>
      <c r="FW182" s="243">
        <f>EA182+EB182+EE182+EF182</f>
        <v>17176</v>
      </c>
      <c r="FX182" s="243">
        <f>EG182+EH182+EK182+EL182</f>
        <v>15231</v>
      </c>
      <c r="FY182" s="243">
        <f>EM182+EN182+EQ182+ER182</f>
        <v>14646.779999999999</v>
      </c>
      <c r="FZ182" s="243">
        <f>ES182+ET182+EW182+EX182</f>
        <v>15931</v>
      </c>
      <c r="GA182" s="243">
        <f>EY182+EZ182+FC182+FD182</f>
        <v>16850.942435222216</v>
      </c>
      <c r="GB182" s="243">
        <f>FE182+FF182+FI182+FJ182</f>
        <v>17625.505432814909</v>
      </c>
      <c r="GC182" s="243"/>
      <c r="GD182" s="243"/>
      <c r="GE182" s="243"/>
      <c r="GF182" s="243"/>
      <c r="GI182"/>
      <c r="GJ182"/>
      <c r="GK182"/>
      <c r="GL182"/>
      <c r="GM182"/>
      <c r="GN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</row>
    <row r="183" spans="1:281" s="127" customFormat="1" ht="3.75" customHeight="1" x14ac:dyDescent="0.2">
      <c r="B183" s="359"/>
      <c r="CG183" s="961"/>
      <c r="CM183" s="961"/>
      <c r="CS183" s="961"/>
      <c r="CY183" s="961"/>
      <c r="DE183" s="961"/>
      <c r="DK183" s="961"/>
      <c r="DQ183" s="961"/>
      <c r="DW183" s="961"/>
      <c r="EC183" s="961"/>
      <c r="EI183" s="961"/>
      <c r="EO183" s="961"/>
      <c r="EU183" s="961"/>
      <c r="FA183" s="961"/>
      <c r="FG183" s="961"/>
      <c r="FM183" s="961"/>
      <c r="FN183" s="961"/>
      <c r="FO183" s="964"/>
      <c r="FS183" s="964"/>
      <c r="GI183"/>
      <c r="GJ183"/>
      <c r="GK183"/>
      <c r="GL183"/>
      <c r="GM183"/>
      <c r="GN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</row>
    <row r="184" spans="1:281" s="33" customFormat="1" ht="10.5" customHeight="1" x14ac:dyDescent="0.2">
      <c r="A184" s="41" t="s">
        <v>811</v>
      </c>
      <c r="B184" s="949" t="s">
        <v>812</v>
      </c>
      <c r="C184" s="34">
        <f>0.072*C91</f>
        <v>0.91547999999999996</v>
      </c>
      <c r="D184" s="34">
        <f>0.044*D91</f>
        <v>1.0186439999999999</v>
      </c>
      <c r="E184" s="34">
        <f>0.083*E91</f>
        <v>4.5936349999999999</v>
      </c>
      <c r="F184" s="34">
        <f t="shared" ref="F184:M184" si="149">F217*F182</f>
        <v>13.15587128</v>
      </c>
      <c r="G184" s="34">
        <f t="shared" si="149"/>
        <v>22.093</v>
      </c>
      <c r="H184" s="34">
        <f t="shared" si="149"/>
        <v>38.478999999999999</v>
      </c>
      <c r="I184" s="34">
        <f t="shared" si="149"/>
        <v>37.329000000000001</v>
      </c>
      <c r="J184" s="34">
        <f t="shared" si="149"/>
        <v>-0.84099999999999997</v>
      </c>
      <c r="K184" s="34">
        <f t="shared" si="149"/>
        <v>34.619999999999997</v>
      </c>
      <c r="L184" s="34">
        <f t="shared" si="149"/>
        <v>76.314999999999998</v>
      </c>
      <c r="M184" s="34">
        <f t="shared" si="149"/>
        <v>139.74299999999999</v>
      </c>
      <c r="N184" s="34"/>
      <c r="O184" s="34">
        <f>O217*O182</f>
        <v>30.143000000000001</v>
      </c>
      <c r="P184" s="34">
        <f>P217*P182</f>
        <v>46.231999999999999</v>
      </c>
      <c r="Q184" s="34">
        <f>Q217*Q182</f>
        <v>51.606999999999999</v>
      </c>
      <c r="R184" s="34">
        <f>R217*R182</f>
        <v>89.481999999999999</v>
      </c>
      <c r="S184" s="34">
        <f>S216</f>
        <v>217.464</v>
      </c>
      <c r="T184" s="34"/>
      <c r="U184" s="34">
        <f>U217*U182</f>
        <v>45.012502485913167</v>
      </c>
      <c r="V184" s="34">
        <f>V217*V182</f>
        <v>70.525000000000006</v>
      </c>
      <c r="W184" s="34">
        <f>W217*W182</f>
        <v>75.361000000000004</v>
      </c>
      <c r="X184" s="34">
        <f>X217*X182</f>
        <v>142.649</v>
      </c>
      <c r="Y184" s="34">
        <f>Y216</f>
        <v>316.23099999999999</v>
      </c>
      <c r="Z184" s="34"/>
      <c r="AA184" s="34">
        <f>AA217*AA182</f>
        <v>63.433999999999997</v>
      </c>
      <c r="AB184" s="34">
        <f>AB217*AB182</f>
        <v>100.967</v>
      </c>
      <c r="AC184" s="34">
        <f>AC217*AC182</f>
        <v>108.45187754577286</v>
      </c>
      <c r="AD184" s="34">
        <f>AD217*AD182</f>
        <v>202.465</v>
      </c>
      <c r="AE184" s="34">
        <f>AE217*AE182</f>
        <v>475.31800802787944</v>
      </c>
      <c r="AF184" s="34"/>
      <c r="AG184" s="34">
        <f>0.36*AG182</f>
        <v>92.161079999999998</v>
      </c>
      <c r="AH184" s="34">
        <f>AH217*AH182</f>
        <v>100.93</v>
      </c>
      <c r="AI184" s="34">
        <f>AI217*AI182</f>
        <v>115.81100000000001</v>
      </c>
      <c r="AJ184" s="34">
        <f>AJ217*AJ182</f>
        <v>216.904</v>
      </c>
      <c r="AK184" s="34">
        <f>SUM(AG184:AJ184)</f>
        <v>525.80608000000007</v>
      </c>
      <c r="AL184" s="34"/>
      <c r="AM184" s="34">
        <f>AM217*AM182</f>
        <v>105.001</v>
      </c>
      <c r="AN184" s="34">
        <f>AN217*AN182</f>
        <v>136.64500000000001</v>
      </c>
      <c r="AO184" s="34">
        <f>AO217*AO182</f>
        <v>151.07400000000001</v>
      </c>
      <c r="AP184" s="34">
        <f>AP217*AP182</f>
        <v>299.60000000000002</v>
      </c>
      <c r="AQ184" s="34">
        <f>AQ217*AQ182</f>
        <v>692.32</v>
      </c>
      <c r="AR184" s="34"/>
      <c r="AS184" s="34">
        <f>AS185*AS182</f>
        <v>127.47349999999996</v>
      </c>
      <c r="AT184" s="34">
        <f>AT185*AT182</f>
        <v>207.03024999999994</v>
      </c>
      <c r="AU184" s="34">
        <f>AU217*AU182</f>
        <v>446.154</v>
      </c>
      <c r="AV184" s="34">
        <f>AV217*AV182</f>
        <v>3045.9720000000002</v>
      </c>
      <c r="AW184" s="34">
        <f>SUM(AS184:AV184)</f>
        <v>3826.6297500000001</v>
      </c>
      <c r="AX184" s="34"/>
      <c r="AY184" s="34">
        <f>AY185*AY182</f>
        <v>275.5662650000001</v>
      </c>
      <c r="AZ184" s="34">
        <f>AZ185*AZ182</f>
        <v>342.88775499999991</v>
      </c>
      <c r="BA184" s="34">
        <f>BA185*BA182</f>
        <v>320.71800500000001</v>
      </c>
      <c r="BB184" s="34">
        <f>BB185*BB182</f>
        <v>470.61462499999988</v>
      </c>
      <c r="BC184" s="34">
        <f>SUM(AY184:BB184)</f>
        <v>1409.78665</v>
      </c>
      <c r="BD184" s="34"/>
      <c r="BE184" s="34">
        <f>BE185*BE182</f>
        <v>274.96384999999992</v>
      </c>
      <c r="BF184" s="34">
        <f>BF185*BF182</f>
        <v>295.86410000000001</v>
      </c>
      <c r="BG184" s="34">
        <f>BG185*BG182</f>
        <v>273.52499999999986</v>
      </c>
      <c r="BH184" s="34">
        <f>BH185*BH182</f>
        <v>339.846</v>
      </c>
      <c r="BI184" s="34">
        <f>SUM(BE184:BH184)</f>
        <v>1184.1989499999997</v>
      </c>
      <c r="BJ184" s="34"/>
      <c r="BK184" s="34">
        <f>BK185*BK182</f>
        <v>179</v>
      </c>
      <c r="BL184" s="34">
        <f>BL185*BL182</f>
        <v>265</v>
      </c>
      <c r="BM184" s="34">
        <f>BM185*BM182</f>
        <v>258</v>
      </c>
      <c r="BN184" s="34">
        <f>BN185*BN182</f>
        <v>416</v>
      </c>
      <c r="BO184" s="34">
        <f>SUM(BK184:BN184)</f>
        <v>1118</v>
      </c>
      <c r="BP184" s="34"/>
      <c r="BQ184" s="34">
        <f>BQ185*BQ182</f>
        <v>223.99999999999997</v>
      </c>
      <c r="BR184" s="34">
        <f>BR185*BR182</f>
        <v>299</v>
      </c>
      <c r="BS184" s="34">
        <f>BS185*BS182</f>
        <v>312</v>
      </c>
      <c r="BT184" s="34">
        <f>BT185*BT182</f>
        <v>429</v>
      </c>
      <c r="BU184" s="34">
        <f>SUM(BQ184:BT184)</f>
        <v>1264</v>
      </c>
      <c r="BV184" s="34"/>
      <c r="BW184" s="34">
        <f>BW185*BW182</f>
        <v>237.84349593495938</v>
      </c>
      <c r="BX184" s="34">
        <f>BX185*BX182</f>
        <v>345.84462738301562</v>
      </c>
      <c r="BY184" s="34">
        <v>354</v>
      </c>
      <c r="BZ184" s="34">
        <v>491</v>
      </c>
      <c r="CA184" s="34">
        <f>SUM(BW184:BZ184)</f>
        <v>1428.6881233179749</v>
      </c>
      <c r="CB184" s="34"/>
      <c r="CC184" s="244">
        <v>305</v>
      </c>
      <c r="CD184" s="244">
        <v>395</v>
      </c>
      <c r="CE184" s="244">
        <f>CE185*CE182</f>
        <v>409.2607848594489</v>
      </c>
      <c r="CF184" s="244">
        <v>684</v>
      </c>
      <c r="CG184" s="171">
        <f>SUM(CC184:CF184)</f>
        <v>1793.2607848594489</v>
      </c>
      <c r="CH184" s="244"/>
      <c r="CI184" s="244">
        <v>406</v>
      </c>
      <c r="CJ184" s="244">
        <v>465.5</v>
      </c>
      <c r="CK184" s="60">
        <f>373+93</f>
        <v>466</v>
      </c>
      <c r="CL184" s="244">
        <v>787</v>
      </c>
      <c r="CM184" s="171">
        <f>SUM(CI184:CL184)</f>
        <v>2124.5</v>
      </c>
      <c r="CN184" s="244"/>
      <c r="CO184" s="244">
        <v>500</v>
      </c>
      <c r="CP184" s="244">
        <v>634</v>
      </c>
      <c r="CQ184" s="244">
        <v>635</v>
      </c>
      <c r="CR184" s="244">
        <v>1081</v>
      </c>
      <c r="CS184" s="171">
        <f>SUM(CO184:CR184)</f>
        <v>2850</v>
      </c>
      <c r="CT184" s="244"/>
      <c r="CU184" s="244">
        <v>553</v>
      </c>
      <c r="CV184" s="244">
        <v>714</v>
      </c>
      <c r="CW184" s="244">
        <v>645</v>
      </c>
      <c r="CX184" s="244">
        <v>1060</v>
      </c>
      <c r="CY184" s="171">
        <f>SUM(CU184:CX184)</f>
        <v>2972</v>
      </c>
      <c r="CZ184" s="244"/>
      <c r="DA184" s="244">
        <v>600</v>
      </c>
      <c r="DB184" s="244">
        <v>740</v>
      </c>
      <c r="DC184" s="244">
        <v>680</v>
      </c>
      <c r="DD184" s="60">
        <v>1142</v>
      </c>
      <c r="DE184" s="171">
        <f>SUM(DA184:DD184)</f>
        <v>3162</v>
      </c>
      <c r="DF184" s="244"/>
      <c r="DG184" s="244">
        <v>696</v>
      </c>
      <c r="DH184" s="244">
        <v>1050</v>
      </c>
      <c r="DI184" s="244">
        <v>941</v>
      </c>
      <c r="DJ184" s="244">
        <v>1177</v>
      </c>
      <c r="DK184" s="171">
        <f>SUM(DG184:DJ184)</f>
        <v>3864</v>
      </c>
      <c r="DL184" s="244"/>
      <c r="DM184" s="244">
        <v>889</v>
      </c>
      <c r="DN184" s="244">
        <v>994</v>
      </c>
      <c r="DO184" s="244">
        <v>908</v>
      </c>
      <c r="DP184" s="244">
        <v>1155</v>
      </c>
      <c r="DQ184" s="171">
        <f>SUM(DM184:DP184)</f>
        <v>3946</v>
      </c>
      <c r="DR184" s="244"/>
      <c r="DS184" s="244">
        <v>798</v>
      </c>
      <c r="DT184" s="244">
        <v>959</v>
      </c>
      <c r="DU184" s="244">
        <v>826</v>
      </c>
      <c r="DV184" s="244">
        <v>1284</v>
      </c>
      <c r="DW184" s="171">
        <f>SUM(DS184:DV184)</f>
        <v>3867</v>
      </c>
      <c r="DX184" s="244"/>
      <c r="DY184" s="244">
        <f>472+298</f>
        <v>770</v>
      </c>
      <c r="DZ184" s="244">
        <f>650+234</f>
        <v>884</v>
      </c>
      <c r="EA184" s="244">
        <f>684+251</f>
        <v>935</v>
      </c>
      <c r="EB184" s="244">
        <f>943+308</f>
        <v>1251</v>
      </c>
      <c r="EC184" s="171">
        <f>SUM(DY184:EB184)</f>
        <v>3840</v>
      </c>
      <c r="ED184" s="244"/>
      <c r="EE184" s="244">
        <f>534+234</f>
        <v>768</v>
      </c>
      <c r="EF184" s="244">
        <f>767+234</f>
        <v>1001</v>
      </c>
      <c r="EG184" s="244">
        <f>655+247</f>
        <v>902</v>
      </c>
      <c r="EH184" s="244">
        <f>939+258</f>
        <v>1197</v>
      </c>
      <c r="EI184" s="171">
        <f>SUM(EE184:EH184)</f>
        <v>3868</v>
      </c>
      <c r="EJ184" s="244"/>
      <c r="EK184" s="244">
        <f>563+219</f>
        <v>782</v>
      </c>
      <c r="EL184" s="244">
        <f>471+230</f>
        <v>701</v>
      </c>
      <c r="EM184" s="244">
        <f>590+207</f>
        <v>797</v>
      </c>
      <c r="EN184" s="244">
        <f>918+188</f>
        <v>1106</v>
      </c>
      <c r="EO184" s="171">
        <f>SUM(EK184:EN184)</f>
        <v>3386</v>
      </c>
      <c r="EP184" s="244"/>
      <c r="EQ184" s="244">
        <f>541+258</f>
        <v>799</v>
      </c>
      <c r="ER184" s="244">
        <f>653+228</f>
        <v>881</v>
      </c>
      <c r="ES184" s="244">
        <v>795</v>
      </c>
      <c r="ET184" s="244">
        <f>529+412</f>
        <v>941</v>
      </c>
      <c r="EU184" s="171">
        <f>SUM(EQ184:ET184)</f>
        <v>3416</v>
      </c>
      <c r="EV184" s="244"/>
      <c r="EW184" s="244">
        <f>375+512</f>
        <v>887</v>
      </c>
      <c r="EX184" s="244">
        <f>634+374</f>
        <v>1008</v>
      </c>
      <c r="EY184" s="244">
        <v>673</v>
      </c>
      <c r="EZ184" s="244">
        <f>EZ182*EZ185</f>
        <v>974.63023289662908</v>
      </c>
      <c r="FA184" s="171">
        <f>SUM(EW184:EZ184)</f>
        <v>3542.630232896629</v>
      </c>
      <c r="FB184" s="244"/>
      <c r="FC184" s="244">
        <f>FC182*FC185</f>
        <v>719.16624820731261</v>
      </c>
      <c r="FD184" s="244">
        <f>FD182*FD185</f>
        <v>801.59804958680661</v>
      </c>
      <c r="FE184" s="244">
        <f>FE182*FE185</f>
        <v>816.78437991167982</v>
      </c>
      <c r="FF184" s="244">
        <f>FF182*FF185</f>
        <v>985.31689133937641</v>
      </c>
      <c r="FG184" s="171">
        <f>SUM(FC184:FF184)</f>
        <v>3322.8655690451756</v>
      </c>
      <c r="FH184" s="244"/>
      <c r="FI184" s="244">
        <f>FI182*FI185</f>
        <v>777.49658675668684</v>
      </c>
      <c r="FJ184" s="244">
        <f>FJ182*FJ185</f>
        <v>857.37570139116406</v>
      </c>
      <c r="FK184" s="244">
        <f>FK182*FK185</f>
        <v>866.66204476812425</v>
      </c>
      <c r="FL184" s="244">
        <f>FL182*FL185</f>
        <v>1010.9737515886018</v>
      </c>
      <c r="FM184" s="171">
        <f>SUM(FI184:FL184)</f>
        <v>3512.5080845045768</v>
      </c>
      <c r="FN184" s="226"/>
      <c r="FO184" s="245">
        <f>CE184+CF184+CI184+CJ184</f>
        <v>1964.7607848594489</v>
      </c>
      <c r="FP184" s="243">
        <f>CK184+CL184+CO184+CP184</f>
        <v>2387</v>
      </c>
      <c r="FQ184" s="243">
        <f>CV184+CU184+CR184+CQ184</f>
        <v>2983</v>
      </c>
      <c r="FR184" s="243">
        <f>CW184+CX184+DA184+DB184</f>
        <v>3045</v>
      </c>
      <c r="FS184" s="245">
        <f>DC184+DD184+DG184+DH184</f>
        <v>3568</v>
      </c>
      <c r="FT184" s="243">
        <f>DI184+DJ184+DM184+DN184</f>
        <v>4001</v>
      </c>
      <c r="FU184" s="243">
        <f>DO184+DP184+DS184+DT184</f>
        <v>3820</v>
      </c>
      <c r="FV184" s="243">
        <f>DY184+DV184+DZ184+DU184</f>
        <v>3764</v>
      </c>
      <c r="FW184" s="243">
        <f>EA184+EB184+EE184+EF184</f>
        <v>3955</v>
      </c>
      <c r="FX184" s="243">
        <f>EG184+EH184+EK184+EL184</f>
        <v>3582</v>
      </c>
      <c r="FY184" s="243">
        <f>EM184+EN184+EQ184+ER184</f>
        <v>3583</v>
      </c>
      <c r="FZ184" s="243">
        <f>ES184+ET184+EW184+EX184</f>
        <v>3631</v>
      </c>
      <c r="GA184" s="243">
        <f>EY184+EZ184+FC184+FD184</f>
        <v>3168.3945306907481</v>
      </c>
      <c r="GB184" s="243">
        <f>FE184+FF184+FI184+FJ184</f>
        <v>3436.9735593989071</v>
      </c>
      <c r="GC184" s="243"/>
      <c r="GD184" s="243"/>
      <c r="GE184" s="243"/>
      <c r="GF184" s="243"/>
      <c r="GI184"/>
      <c r="GJ184"/>
      <c r="GK184"/>
      <c r="GL184"/>
      <c r="GM184"/>
      <c r="GN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</row>
    <row r="185" spans="1:281" s="37" customFormat="1" ht="10.5" customHeight="1" x14ac:dyDescent="0.2">
      <c r="A185" s="247" t="s">
        <v>24</v>
      </c>
      <c r="B185" s="952" t="s">
        <v>70</v>
      </c>
      <c r="C185" s="22">
        <f t="shared" ref="C185:M185" si="150">C184/C182</f>
        <v>0.39779005524861882</v>
      </c>
      <c r="D185" s="22">
        <f t="shared" si="150"/>
        <v>0.39639639639639623</v>
      </c>
      <c r="E185" s="22">
        <f t="shared" si="150"/>
        <v>0.43915343915343891</v>
      </c>
      <c r="F185" s="22">
        <f t="shared" si="150"/>
        <v>0.46543095167338844</v>
      </c>
      <c r="G185" s="22">
        <f t="shared" si="150"/>
        <v>0.34001261985010078</v>
      </c>
      <c r="H185" s="22">
        <f t="shared" si="150"/>
        <v>0.31966736450337291</v>
      </c>
      <c r="I185" s="22">
        <f t="shared" si="150"/>
        <v>0.31580149571926519</v>
      </c>
      <c r="J185" s="22">
        <f t="shared" si="150"/>
        <v>6.3510043800030183E-2</v>
      </c>
      <c r="K185" s="22">
        <f t="shared" si="150"/>
        <v>0.358258997868245</v>
      </c>
      <c r="L185" s="22">
        <f t="shared" si="150"/>
        <v>0.24649308953724602</v>
      </c>
      <c r="M185" s="22">
        <f t="shared" si="150"/>
        <v>0.33021181874893668</v>
      </c>
      <c r="N185" s="36"/>
      <c r="O185" s="22">
        <f>O184/O182</f>
        <v>0.32999791992818278</v>
      </c>
      <c r="P185" s="22">
        <f>P184/P182</f>
        <v>0.3299975731273822</v>
      </c>
      <c r="Q185" s="22">
        <f>Q184/Q182</f>
        <v>0.33106027558954099</v>
      </c>
      <c r="R185" s="22">
        <f>R184/R182</f>
        <v>0.33000070070106974</v>
      </c>
      <c r="S185" s="22">
        <f>S184/S182</f>
        <v>0.33025048520688483</v>
      </c>
      <c r="T185" s="36"/>
      <c r="U185" s="22">
        <f>U184/U182</f>
        <v>0.3399992634331383</v>
      </c>
      <c r="V185" s="22">
        <f>V184/V182</f>
        <v>0.34030264135648186</v>
      </c>
      <c r="W185" s="22">
        <f>W184/W182</f>
        <v>0.33999846605699952</v>
      </c>
      <c r="X185" s="22">
        <f>X184/X182</f>
        <v>0.34879723405399871</v>
      </c>
      <c r="Y185" s="22">
        <f>Y184/Y182</f>
        <v>0.32592498688491822</v>
      </c>
      <c r="Z185" s="36"/>
      <c r="AA185" s="22">
        <f>AA184/AA182</f>
        <v>0.360003178134435</v>
      </c>
      <c r="AB185" s="22">
        <f>AB184/AB182</f>
        <v>0.36000114097046659</v>
      </c>
      <c r="AC185" s="22">
        <f>AC184/AC182</f>
        <v>0.35999667243948014</v>
      </c>
      <c r="AD185" s="22">
        <f>AD184/AD182</f>
        <v>0.36000049786451682</v>
      </c>
      <c r="AE185" s="22">
        <f>AE184/AE182</f>
        <v>0.36000021814889754</v>
      </c>
      <c r="AF185" s="36"/>
      <c r="AG185" s="22">
        <f>AG184/AG182</f>
        <v>0.36</v>
      </c>
      <c r="AH185" s="22">
        <f>AH184/AH182</f>
        <v>0.35014258258341607</v>
      </c>
      <c r="AI185" s="22">
        <f>AI184/AI182</f>
        <v>0.35000060443412889</v>
      </c>
      <c r="AJ185" s="22">
        <f>AJ184/AJ182</f>
        <v>0.34999983863836609</v>
      </c>
      <c r="AK185" s="22">
        <f>AK184/AK182</f>
        <v>0.35174010332664168</v>
      </c>
      <c r="AL185" s="36"/>
      <c r="AM185" s="22">
        <f>AM184/AM182</f>
        <v>0.35000099999333351</v>
      </c>
      <c r="AN185" s="22">
        <f>AN184/AN182</f>
        <v>0.33269624074795445</v>
      </c>
      <c r="AO185" s="22">
        <f>AO184/AO182</f>
        <v>0.3399994598682079</v>
      </c>
      <c r="AP185" s="22">
        <f>AP184/AP182</f>
        <v>0.36226451597301157</v>
      </c>
      <c r="AQ185" s="22">
        <f>AQ184/AQ182</f>
        <v>0.34928998757869262</v>
      </c>
      <c r="AR185" s="36"/>
      <c r="AS185" s="22">
        <v>0.35</v>
      </c>
      <c r="AT185" s="22">
        <v>0.35</v>
      </c>
      <c r="AU185" s="22">
        <f>AU184/AU182</f>
        <v>0.3689265957182904</v>
      </c>
      <c r="AV185" s="22">
        <f>AV184/AV182</f>
        <v>0.38273774093945512</v>
      </c>
      <c r="AW185" s="22">
        <f>AW184/AW182</f>
        <v>0.37799720430834038</v>
      </c>
      <c r="AX185" s="36"/>
      <c r="AY185" s="315">
        <v>0.35499999999999998</v>
      </c>
      <c r="AZ185" s="315">
        <v>0.35499999999999998</v>
      </c>
      <c r="BA185" s="315">
        <v>0.35499999999999998</v>
      </c>
      <c r="BB185" s="315">
        <v>0.35499999999999998</v>
      </c>
      <c r="BC185" s="22">
        <f>BC184/BC182</f>
        <v>0.35499999999999998</v>
      </c>
      <c r="BD185" s="36"/>
      <c r="BE185" s="315">
        <v>0.35</v>
      </c>
      <c r="BF185" s="315">
        <v>0.35</v>
      </c>
      <c r="BG185" s="315">
        <v>0.35</v>
      </c>
      <c r="BH185" s="22">
        <f>BH217</f>
        <v>0.34122214892662106</v>
      </c>
      <c r="BI185" s="22">
        <f>BI184/BI182</f>
        <v>0.3474350311758817</v>
      </c>
      <c r="BJ185" s="36"/>
      <c r="BK185" s="22">
        <f>BK217</f>
        <v>0.34291187739463602</v>
      </c>
      <c r="BL185" s="22">
        <f>BL217</f>
        <v>0.33124999999999999</v>
      </c>
      <c r="BM185" s="22">
        <f>BM217</f>
        <v>0.31121833534378768</v>
      </c>
      <c r="BN185" s="22">
        <f>BN217</f>
        <v>0.32642812303829249</v>
      </c>
      <c r="BO185" s="22">
        <f>BO184/BO182</f>
        <v>0.32638523968003735</v>
      </c>
      <c r="BP185" s="36"/>
      <c r="BQ185" s="22">
        <f>BQ217</f>
        <v>0.33734939759036142</v>
      </c>
      <c r="BR185" s="22">
        <f>BR217</f>
        <v>0.32641921397379914</v>
      </c>
      <c r="BS185" s="22">
        <f>BS217</f>
        <v>0.32980972515856238</v>
      </c>
      <c r="BT185" s="22">
        <f>BT217</f>
        <v>0.30232558139534882</v>
      </c>
      <c r="BU185" s="22">
        <f>BU184/BU182</f>
        <v>0.32040557667934094</v>
      </c>
      <c r="BV185" s="36"/>
      <c r="BW185" s="22">
        <f>BW217</f>
        <v>0.31029810298102983</v>
      </c>
      <c r="BX185" s="22">
        <f>BX217</f>
        <v>0.29376083188908148</v>
      </c>
      <c r="BY185" s="236">
        <f>BY184/BY182</f>
        <v>0.30025445292620867</v>
      </c>
      <c r="BZ185" s="236">
        <f>BZ184/BZ182</f>
        <v>0.26583649160801298</v>
      </c>
      <c r="CA185" s="22">
        <f>CA184/CA182</f>
        <v>0.28747396742685316</v>
      </c>
      <c r="CB185" s="36"/>
      <c r="CC185" s="236">
        <f>CC184/CC182</f>
        <v>0.29242569511025884</v>
      </c>
      <c r="CD185" s="236">
        <f>CD184/CD182</f>
        <v>0.28905964141968532</v>
      </c>
      <c r="CE185" s="236">
        <f>CE217</f>
        <v>0.29037944150663325</v>
      </c>
      <c r="CF185" s="236">
        <f>CF217</f>
        <v>0.30770049775080516</v>
      </c>
      <c r="CG185" s="234">
        <f>CG184/CG182</f>
        <v>0.29688027760964991</v>
      </c>
      <c r="CH185" s="36"/>
      <c r="CI185" s="236">
        <f>CI184/CI182</f>
        <v>0.30366492146596857</v>
      </c>
      <c r="CJ185" s="236">
        <f>CJ184/CJ182</f>
        <v>0.28540772532188841</v>
      </c>
      <c r="CK185" s="236">
        <f>CK184/CK182</f>
        <v>0.26372382569326541</v>
      </c>
      <c r="CL185" s="236">
        <f>CL184/CL182</f>
        <v>0.29185981828295937</v>
      </c>
      <c r="CM185" s="234">
        <f>CM184/CM182</f>
        <v>0.28587768283657405</v>
      </c>
      <c r="CN185" s="36"/>
      <c r="CO185" s="236">
        <f>CO184/CO182</f>
        <v>0.3003003003003003</v>
      </c>
      <c r="CP185" s="236">
        <f>CP184/CP182</f>
        <v>0.28215398308856254</v>
      </c>
      <c r="CQ185" s="236">
        <f>CQ184/CQ182</f>
        <v>0.28590724898694281</v>
      </c>
      <c r="CR185" s="236">
        <f>CR184/CR182</f>
        <v>0.30753911806543388</v>
      </c>
      <c r="CS185" s="234">
        <f>CS184/CS182</f>
        <v>0.29539800995024873</v>
      </c>
      <c r="CT185" s="36"/>
      <c r="CU185" s="236">
        <f>CU184/CU182</f>
        <v>0.26371006199332381</v>
      </c>
      <c r="CV185" s="236">
        <f>CV184/CV182</f>
        <v>0.29024390243902437</v>
      </c>
      <c r="CW185" s="236">
        <f>CW184/CW182</f>
        <v>0.26597938144329897</v>
      </c>
      <c r="CX185" s="236">
        <f>CX184/CX182</f>
        <v>0.31333136269583212</v>
      </c>
      <c r="CY185" s="234">
        <f>CY184/CY182</f>
        <v>0.28673420164013508</v>
      </c>
      <c r="CZ185" s="36"/>
      <c r="DA185" s="236">
        <f>DA184/DA182</f>
        <v>0.28037383177570091</v>
      </c>
      <c r="DB185" s="236">
        <f>DB184/DB182</f>
        <v>0.27397260273972601</v>
      </c>
      <c r="DC185" s="236">
        <f>DC184/DC182</f>
        <v>0.2590081511388741</v>
      </c>
      <c r="DD185" s="236">
        <f>DD184/DD182</f>
        <v>0.27257321526600953</v>
      </c>
      <c r="DE185" s="234">
        <f>DE184/DE182</f>
        <v>0.27127426840881602</v>
      </c>
      <c r="DF185" s="22"/>
      <c r="DG185" s="236">
        <f>DG184/DG182</f>
        <v>0.24637168141592922</v>
      </c>
      <c r="DH185" s="236">
        <f>DH184/DH182</f>
        <v>0.28172793131204721</v>
      </c>
      <c r="DI185" s="236">
        <f>DI184/DI182</f>
        <v>0.25404967602591794</v>
      </c>
      <c r="DJ185" s="236">
        <f>DJ184/DJ182</f>
        <v>0.23311546840958605</v>
      </c>
      <c r="DK185" s="234">
        <f>DK184/DK182</f>
        <v>0.25246651421104216</v>
      </c>
      <c r="DL185" s="36"/>
      <c r="DM185" s="236">
        <f>DM184/DM182</f>
        <v>0.26505664877757901</v>
      </c>
      <c r="DN185" s="236">
        <f>DN184/DN182</f>
        <v>0.26310217046056117</v>
      </c>
      <c r="DO185" s="236">
        <f>DO184/DO182</f>
        <v>0.22495631685265696</v>
      </c>
      <c r="DP185" s="236">
        <f>DP184/DP182</f>
        <v>0.21800022373806513</v>
      </c>
      <c r="DQ185" s="248">
        <f>DQ184/DQ182</f>
        <v>0.23963806902510407</v>
      </c>
      <c r="DR185" s="36"/>
      <c r="DS185" s="236">
        <f>DS184/DS182</f>
        <v>0.23388042203985931</v>
      </c>
      <c r="DT185" s="236">
        <f>DT184/DT182</f>
        <v>0.23499142367066894</v>
      </c>
      <c r="DU185" s="236">
        <f>DU184/DU182</f>
        <v>0.20996441281138789</v>
      </c>
      <c r="DV185" s="236">
        <f>DV184/DV182</f>
        <v>0.23786587625046313</v>
      </c>
      <c r="DW185" s="248">
        <f>DW184/DW182</f>
        <v>0.22983655274888559</v>
      </c>
      <c r="DX185" s="36"/>
      <c r="DY185" s="236">
        <f>DY184/DY182</f>
        <v>0.21806853582554517</v>
      </c>
      <c r="DZ185" s="236">
        <f>DZ184/DZ182</f>
        <v>0.21886605595444417</v>
      </c>
      <c r="EA185" s="236">
        <f>EA184/EA182</f>
        <v>0.23097826086956522</v>
      </c>
      <c r="EB185" s="236">
        <f>EB184/EB182</f>
        <v>0.23013245033112584</v>
      </c>
      <c r="EC185" s="248">
        <f>EC184/EC182</f>
        <v>0.22516711621906885</v>
      </c>
      <c r="ED185" s="36"/>
      <c r="EE185" s="188">
        <f>EE184/EE182</f>
        <v>0.2148852825965305</v>
      </c>
      <c r="EF185" s="188">
        <f>EF184/EF182</f>
        <v>0.24307916464303059</v>
      </c>
      <c r="EG185" s="188">
        <f>EG184/EG182</f>
        <v>0.22703246916687642</v>
      </c>
      <c r="EH185" s="188">
        <f>EH184/EH182</f>
        <v>0.25506072874493929</v>
      </c>
      <c r="EI185" s="248">
        <f>EI184/EI182</f>
        <v>0.23645922484411297</v>
      </c>
      <c r="EJ185" s="36"/>
      <c r="EK185" s="188">
        <f>EK184/EK182</f>
        <v>0.24992010226909556</v>
      </c>
      <c r="EL185" s="188">
        <f>EL184/EL182</f>
        <v>0.20401629802095461</v>
      </c>
      <c r="EM185" s="188">
        <f>EM184/EM182</f>
        <v>0.22590702947845806</v>
      </c>
      <c r="EN185" s="188">
        <f>EN184/EN182</f>
        <v>0.24415011037527592</v>
      </c>
      <c r="EO185" s="248">
        <f>EO184/EO182</f>
        <v>0.23155303289338713</v>
      </c>
      <c r="EP185" s="36"/>
      <c r="EQ185" s="188">
        <f>EQ184/EQ182</f>
        <v>0.25494575622208043</v>
      </c>
      <c r="ER185" s="188">
        <f>ER184/ER182</f>
        <v>0.25500900202038923</v>
      </c>
      <c r="ES185" s="188">
        <f>ES184/ES182</f>
        <v>0.21585663860982895</v>
      </c>
      <c r="ET185" s="188">
        <f>ET184/ET182</f>
        <v>0.20012760527435133</v>
      </c>
      <c r="EU185" s="248">
        <f>EU184/EU182</f>
        <v>0.22813210825856933</v>
      </c>
      <c r="EV185" s="95"/>
      <c r="EW185" s="188">
        <f>EW184/EW182</f>
        <v>0.25</v>
      </c>
      <c r="EX185" s="188">
        <f>EX184/EX182</f>
        <v>0.25212606303151575</v>
      </c>
      <c r="EY185" s="188">
        <f>EY184/EY182</f>
        <v>0.16104331179708065</v>
      </c>
      <c r="EZ185" s="900">
        <v>0.2</v>
      </c>
      <c r="FA185" s="248">
        <f>FA184/FA182</f>
        <v>0.21343523129715658</v>
      </c>
      <c r="FB185" s="95"/>
      <c r="FC185" s="900">
        <v>0.19500000000000001</v>
      </c>
      <c r="FD185" s="900">
        <f>FC185</f>
        <v>0.19500000000000001</v>
      </c>
      <c r="FE185" s="900">
        <f>FD185</f>
        <v>0.19500000000000001</v>
      </c>
      <c r="FF185" s="900">
        <f>FE185</f>
        <v>0.19500000000000001</v>
      </c>
      <c r="FG185" s="248">
        <f>FG184/FG182</f>
        <v>0.19500000000000001</v>
      </c>
      <c r="FH185" s="95"/>
      <c r="FI185" s="900">
        <f>FF185</f>
        <v>0.19500000000000001</v>
      </c>
      <c r="FJ185" s="900">
        <f>FI185</f>
        <v>0.19500000000000001</v>
      </c>
      <c r="FK185" s="900">
        <f>FJ185</f>
        <v>0.19500000000000001</v>
      </c>
      <c r="FL185" s="900">
        <f>FK185</f>
        <v>0.19500000000000001</v>
      </c>
      <c r="FM185" s="248">
        <f>FM184/FM182</f>
        <v>0.19499999999999998</v>
      </c>
      <c r="FN185" s="1123"/>
      <c r="FO185" s="316">
        <f t="shared" ref="FO185:FY185" si="151">FO184/FO182</f>
        <v>0.29774290745500331</v>
      </c>
      <c r="FP185" s="236">
        <f t="shared" si="151"/>
        <v>0.28499791057250312</v>
      </c>
      <c r="FQ185" s="236">
        <f t="shared" si="151"/>
        <v>0.28980860779170309</v>
      </c>
      <c r="FR185" s="236">
        <f t="shared" si="151"/>
        <v>0.28594234200394403</v>
      </c>
      <c r="FS185" s="316">
        <f t="shared" si="151"/>
        <v>0.26692401493218426</v>
      </c>
      <c r="FT185" s="236">
        <f t="shared" si="151"/>
        <v>0.25187283600881333</v>
      </c>
      <c r="FU185" s="236">
        <f t="shared" si="151"/>
        <v>0.22700937451851508</v>
      </c>
      <c r="FV185" s="236">
        <f t="shared" si="151"/>
        <v>0.2226955389894687</v>
      </c>
      <c r="FW185" s="236">
        <f t="shared" si="151"/>
        <v>0.23026315789473684</v>
      </c>
      <c r="FX185" s="236">
        <f t="shared" si="151"/>
        <v>0.23517825487492613</v>
      </c>
      <c r="FY185" s="236">
        <f t="shared" si="151"/>
        <v>0.24462714671757207</v>
      </c>
      <c r="FZ185" s="236">
        <f>FZ184/FZ182</f>
        <v>0.22792040675412717</v>
      </c>
      <c r="GA185" s="236">
        <f>GA184/GA182</f>
        <v>0.18802476733100099</v>
      </c>
      <c r="GB185" s="236">
        <f>GB184/GB182</f>
        <v>0.19499999999999998</v>
      </c>
      <c r="GC185" s="236"/>
      <c r="GD185" s="236"/>
      <c r="GE185" s="236"/>
      <c r="GF185" s="236"/>
      <c r="GI185"/>
      <c r="GJ185"/>
      <c r="GK185"/>
      <c r="GL185"/>
      <c r="GM185"/>
      <c r="GN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</row>
    <row r="186" spans="1:281" s="127" customFormat="1" ht="3" customHeight="1" x14ac:dyDescent="0.2">
      <c r="B186" s="359"/>
      <c r="CG186" s="961"/>
      <c r="CM186" s="961"/>
      <c r="CS186" s="961"/>
      <c r="CY186" s="961"/>
      <c r="DE186" s="961"/>
      <c r="DK186" s="961"/>
      <c r="DQ186" s="961"/>
      <c r="DW186" s="961"/>
      <c r="EC186" s="961"/>
      <c r="EI186" s="961"/>
      <c r="EO186" s="961"/>
      <c r="EU186" s="961"/>
      <c r="FA186" s="961"/>
      <c r="FG186" s="961"/>
      <c r="FM186" s="961"/>
      <c r="FN186" s="961"/>
      <c r="FO186" s="964"/>
      <c r="FS186" s="964"/>
      <c r="GI186"/>
      <c r="GJ186"/>
      <c r="GK186"/>
      <c r="GL186"/>
      <c r="GM186"/>
      <c r="GN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</row>
    <row r="187" spans="1:281" s="242" customFormat="1" x14ac:dyDescent="0.2">
      <c r="A187" s="41" t="s">
        <v>45</v>
      </c>
      <c r="B187" s="949" t="s">
        <v>813</v>
      </c>
      <c r="C187" s="34">
        <f t="shared" ref="C187:M187" si="152">C182-C184</f>
        <v>1.3859349999999995</v>
      </c>
      <c r="D187" s="34">
        <f t="shared" si="152"/>
        <v>1.5511170000000007</v>
      </c>
      <c r="E187" s="34">
        <f t="shared" si="152"/>
        <v>5.8665700000000056</v>
      </c>
      <c r="F187" s="34">
        <f t="shared" si="152"/>
        <v>15.110128720000006</v>
      </c>
      <c r="G187" s="34">
        <f t="shared" si="152"/>
        <v>42.884</v>
      </c>
      <c r="H187" s="34">
        <f t="shared" si="152"/>
        <v>81.892999999999986</v>
      </c>
      <c r="I187" s="34">
        <f t="shared" si="152"/>
        <v>80.874999999999943</v>
      </c>
      <c r="J187" s="34">
        <f t="shared" si="152"/>
        <v>-12.401000000000005</v>
      </c>
      <c r="K187" s="34">
        <f t="shared" si="152"/>
        <v>62.014000000000031</v>
      </c>
      <c r="L187" s="34">
        <f t="shared" si="152"/>
        <v>233.28800000000007</v>
      </c>
      <c r="M187" s="34">
        <f t="shared" si="152"/>
        <v>283.44899999999996</v>
      </c>
      <c r="N187" s="34"/>
      <c r="O187" s="34">
        <f>O182-O184</f>
        <v>61.2</v>
      </c>
      <c r="P187" s="34">
        <f>P182-P184</f>
        <v>93.866000000000014</v>
      </c>
      <c r="Q187" s="34">
        <f>Q182-Q184</f>
        <v>104.27699999999999</v>
      </c>
      <c r="R187" s="34">
        <f>R182-R184</f>
        <v>181.6750000000001</v>
      </c>
      <c r="S187" s="34">
        <f>SUM(O187:R187)</f>
        <v>441.01800000000014</v>
      </c>
      <c r="T187" s="34"/>
      <c r="U187" s="34">
        <f>U182-U184</f>
        <v>87.377497514086798</v>
      </c>
      <c r="V187" s="34">
        <f>V182-V184</f>
        <v>136.71699999999998</v>
      </c>
      <c r="W187" s="34">
        <f>W182-W184</f>
        <v>146.29000000000002</v>
      </c>
      <c r="X187" s="34">
        <f>X182-X184</f>
        <v>266.32499999999982</v>
      </c>
      <c r="Y187" s="34">
        <f>SUM(U187:X187)</f>
        <v>636.70949751408659</v>
      </c>
      <c r="Z187" s="34"/>
      <c r="AA187" s="34">
        <f>AA182-AA184</f>
        <v>112.77000000000004</v>
      </c>
      <c r="AB187" s="34">
        <f>AB182-AB184</f>
        <v>179.49600000000009</v>
      </c>
      <c r="AC187" s="34">
        <f>AC182-AC184</f>
        <v>192.80612245422702</v>
      </c>
      <c r="AD187" s="34">
        <f>AD182-AD184</f>
        <v>359.93700000000001</v>
      </c>
      <c r="AE187" s="34">
        <f>SUM(AA187:AD187)</f>
        <v>845.00912245422717</v>
      </c>
      <c r="AF187" s="34"/>
      <c r="AG187" s="34">
        <f>AG182-AG184</f>
        <v>163.84191999999999</v>
      </c>
      <c r="AH187" s="34">
        <f>AH182-AH184</f>
        <v>187.32399999999996</v>
      </c>
      <c r="AI187" s="34">
        <f>AI182-AI184</f>
        <v>215.07699999999991</v>
      </c>
      <c r="AJ187" s="34">
        <f>AJ182-AJ184</f>
        <v>402.82199999999978</v>
      </c>
      <c r="AK187" s="34">
        <f>SUM(AG187:AJ187)</f>
        <v>969.06491999999957</v>
      </c>
      <c r="AL187" s="34"/>
      <c r="AM187" s="34">
        <f>AM182-AM184</f>
        <v>195.00099999999989</v>
      </c>
      <c r="AN187" s="34">
        <f>AN182-AN184</f>
        <v>274.0750000000005</v>
      </c>
      <c r="AO187" s="34">
        <f>AO182-AO184</f>
        <v>293.26199999999994</v>
      </c>
      <c r="AP187" s="34">
        <f>AP182-AP184</f>
        <v>527.41999999999996</v>
      </c>
      <c r="AQ187" s="34">
        <f>SUM(AM187:AP187)</f>
        <v>1289.7580000000003</v>
      </c>
      <c r="AR187" s="34"/>
      <c r="AS187" s="34">
        <f>AS182-AS184</f>
        <v>236.73649999999998</v>
      </c>
      <c r="AT187" s="34">
        <f>AT182-AT184</f>
        <v>384.48474999999996</v>
      </c>
      <c r="AU187" s="34">
        <f>AU182-AU184</f>
        <v>763.1759999999997</v>
      </c>
      <c r="AV187" s="34">
        <f>AV182-AV184</f>
        <v>4912.4070000000011</v>
      </c>
      <c r="AW187" s="34">
        <f>SUM(AS187:AV187)</f>
        <v>6296.804250000001</v>
      </c>
      <c r="AX187" s="34"/>
      <c r="AY187" s="34">
        <f>AY182-AY184</f>
        <v>500.67673500000018</v>
      </c>
      <c r="AZ187" s="34">
        <f>AZ182-AZ184</f>
        <v>622.99324499999989</v>
      </c>
      <c r="BA187" s="34">
        <f>BA182-BA184</f>
        <v>582.71299500000009</v>
      </c>
      <c r="BB187" s="34">
        <f>BB182-BB184</f>
        <v>855.06037499999979</v>
      </c>
      <c r="BC187" s="34">
        <f>SUM(AY187:BB187)</f>
        <v>2561.44335</v>
      </c>
      <c r="BD187" s="34"/>
      <c r="BE187" s="34">
        <f>BE182-BE184</f>
        <v>510.64714999999984</v>
      </c>
      <c r="BF187" s="34">
        <f>BF182-BF184</f>
        <v>549.46190000000001</v>
      </c>
      <c r="BG187" s="34">
        <f>BG182-BG184</f>
        <v>507.9749999999998</v>
      </c>
      <c r="BH187" s="34">
        <f>BH182-BH184</f>
        <v>656.12099999999998</v>
      </c>
      <c r="BI187" s="242">
        <f>SUM(BE187:BH187)</f>
        <v>2224.2050499999996</v>
      </c>
      <c r="BJ187" s="34"/>
      <c r="BK187" s="34">
        <f>BK182-BK184</f>
        <v>343</v>
      </c>
      <c r="BL187" s="34">
        <f>BL182-BL184</f>
        <v>535</v>
      </c>
      <c r="BM187" s="34">
        <f>BM182-BM184</f>
        <v>571</v>
      </c>
      <c r="BN187" s="34">
        <f>BN182-BN184</f>
        <v>858.40000000000009</v>
      </c>
      <c r="BO187" s="242">
        <f>SUM(BK187:BN187)</f>
        <v>2307.4</v>
      </c>
      <c r="BQ187" s="242">
        <f>BQ182-BQ184</f>
        <v>440</v>
      </c>
      <c r="BR187" s="242">
        <f>BR182-BR184</f>
        <v>617</v>
      </c>
      <c r="BS187" s="242">
        <f>BS182-BS184</f>
        <v>634</v>
      </c>
      <c r="BT187" s="242">
        <f>BT182-BT184</f>
        <v>990</v>
      </c>
      <c r="BU187" s="242">
        <f>SUM(BQ187:BT187)</f>
        <v>2681</v>
      </c>
      <c r="BW187" s="242">
        <f>BW182-BW184</f>
        <v>528.65650406504062</v>
      </c>
      <c r="BX187" s="242">
        <f>BX182-BX184</f>
        <v>831.45537261698428</v>
      </c>
      <c r="BY187" s="242">
        <f>BY182-BY184</f>
        <v>825</v>
      </c>
      <c r="BZ187" s="242">
        <f>BZ182-BZ184</f>
        <v>1356</v>
      </c>
      <c r="CA187" s="242">
        <f>SUM(BW187:BZ187)</f>
        <v>3541.111876682025</v>
      </c>
      <c r="CC187" s="60">
        <f>CC182-CC184</f>
        <v>738</v>
      </c>
      <c r="CD187" s="60">
        <f>CD182-CD184</f>
        <v>971.5</v>
      </c>
      <c r="CE187" s="60">
        <f>CE182-CE184</f>
        <v>1000.1392151405512</v>
      </c>
      <c r="CF187" s="60">
        <f>CF182-CF184</f>
        <v>1537.4500000000003</v>
      </c>
      <c r="CG187" s="174">
        <f>SUM(CC187:CF187)</f>
        <v>4247.0892151405515</v>
      </c>
      <c r="CH187" s="60"/>
      <c r="CI187" s="60">
        <f>CI182-CI184</f>
        <v>931</v>
      </c>
      <c r="CJ187" s="60">
        <f>CJ182-CJ184</f>
        <v>1165.5</v>
      </c>
      <c r="CK187" s="60">
        <f>CK182-CK184</f>
        <v>1301</v>
      </c>
      <c r="CL187" s="60">
        <f>CL182-CL184</f>
        <v>1909.5</v>
      </c>
      <c r="CM187" s="174">
        <f>SUM(CI187:CL187)</f>
        <v>5307</v>
      </c>
      <c r="CN187" s="60"/>
      <c r="CO187" s="60">
        <f>CO182-CO184</f>
        <v>1165</v>
      </c>
      <c r="CP187" s="60">
        <f>CP182-CP184</f>
        <v>1613</v>
      </c>
      <c r="CQ187" s="60">
        <f>CQ182-CQ184</f>
        <v>1586</v>
      </c>
      <c r="CR187" s="60">
        <f>CR182-CR184</f>
        <v>2434</v>
      </c>
      <c r="CS187" s="174">
        <f>SUM(CO187:CR187)</f>
        <v>6798</v>
      </c>
      <c r="CT187" s="60"/>
      <c r="CU187" s="60">
        <f>CU182-CU184</f>
        <v>1544</v>
      </c>
      <c r="CV187" s="60">
        <f>CV182-CV184</f>
        <v>1746</v>
      </c>
      <c r="CW187" s="60">
        <f>CW182-CW184</f>
        <v>1780</v>
      </c>
      <c r="CX187" s="60">
        <f>CX182-CX184</f>
        <v>2323</v>
      </c>
      <c r="CY187" s="174">
        <f>SUM(CU187:CX187)</f>
        <v>7393</v>
      </c>
      <c r="CZ187" s="60"/>
      <c r="DA187" s="60">
        <f>DA182-DA184</f>
        <v>1540</v>
      </c>
      <c r="DB187" s="60">
        <f>DB182-DB184</f>
        <v>1961</v>
      </c>
      <c r="DC187" s="60">
        <f>DC182-DC184</f>
        <v>1945.3999999999996</v>
      </c>
      <c r="DD187" s="60">
        <f>DD182-DD184</f>
        <v>3047.7</v>
      </c>
      <c r="DE187" s="174">
        <f>SUM(DA187:DD187)</f>
        <v>8494.0999999999985</v>
      </c>
      <c r="DF187" s="60"/>
      <c r="DG187" s="60">
        <f>DG182-DG184</f>
        <v>2129</v>
      </c>
      <c r="DH187" s="60">
        <f>DH182-DH184</f>
        <v>2677</v>
      </c>
      <c r="DI187" s="60">
        <f>DI182-DI184</f>
        <v>2763</v>
      </c>
      <c r="DJ187" s="60">
        <f>DJ182-DJ184</f>
        <v>3872</v>
      </c>
      <c r="DK187" s="174">
        <f>SUM(DG187:DJ187)</f>
        <v>11441</v>
      </c>
      <c r="DL187" s="60"/>
      <c r="DM187" s="60">
        <f>DM182-DM184</f>
        <v>2465</v>
      </c>
      <c r="DN187" s="60">
        <f>DN182-DN184</f>
        <v>2784</v>
      </c>
      <c r="DO187" s="60">
        <f>DO182-DO184</f>
        <v>3128.3392000000003</v>
      </c>
      <c r="DP187" s="60">
        <f>DP182-DP184</f>
        <v>4143.1597000000002</v>
      </c>
      <c r="DQ187" s="174">
        <f>SUM(DM187:DP187)</f>
        <v>12520.498900000001</v>
      </c>
      <c r="DR187" s="60"/>
      <c r="DS187" s="60">
        <f>DS182-DS184</f>
        <v>2614</v>
      </c>
      <c r="DT187" s="60">
        <f>DT182-DT184</f>
        <v>3122</v>
      </c>
      <c r="DU187" s="60">
        <f>DU182-DU184</f>
        <v>3108</v>
      </c>
      <c r="DV187" s="60">
        <f>DV182-DV184</f>
        <v>4114</v>
      </c>
      <c r="DW187" s="174">
        <f>SUM(DS187:DV187)</f>
        <v>12958</v>
      </c>
      <c r="DX187" s="60"/>
      <c r="DY187" s="60">
        <f>DY182-DY184</f>
        <v>2761</v>
      </c>
      <c r="DZ187" s="60">
        <f>DZ182-DZ184</f>
        <v>3155</v>
      </c>
      <c r="EA187" s="60">
        <f>EA182-EA184</f>
        <v>3113</v>
      </c>
      <c r="EB187" s="60">
        <f>EB182-EB184</f>
        <v>4185</v>
      </c>
      <c r="EC187" s="174">
        <f>SUM(DY187:EB187)</f>
        <v>13214</v>
      </c>
      <c r="ED187" s="60"/>
      <c r="EE187" s="60">
        <f>EE182-EE184</f>
        <v>2806</v>
      </c>
      <c r="EF187" s="60">
        <f>EF182-EF184</f>
        <v>3117</v>
      </c>
      <c r="EG187" s="60">
        <f>EG182-EG184</f>
        <v>3071</v>
      </c>
      <c r="EH187" s="60">
        <f>EH182-EH184</f>
        <v>3496</v>
      </c>
      <c r="EI187" s="174">
        <f>SUM(EE187:EH187)</f>
        <v>12490</v>
      </c>
      <c r="EJ187" s="60"/>
      <c r="EK187" s="60">
        <f>EK182-EK184</f>
        <v>2347</v>
      </c>
      <c r="EL187" s="60">
        <f>EL182-EL184</f>
        <v>2735</v>
      </c>
      <c r="EM187" s="60">
        <f>EM182-EM184</f>
        <v>2731</v>
      </c>
      <c r="EN187" s="60">
        <f>EN182-EN184</f>
        <v>3424</v>
      </c>
      <c r="EO187" s="174">
        <f>SUM(EK187:EN187)</f>
        <v>11237</v>
      </c>
      <c r="EP187" s="60"/>
      <c r="EQ187" s="60">
        <f>EQ182-EQ184</f>
        <v>2335</v>
      </c>
      <c r="ER187" s="60">
        <f>ER182-ER184</f>
        <v>2573.7799999999988</v>
      </c>
      <c r="ES187" s="60">
        <f>ES182-ES184</f>
        <v>2888</v>
      </c>
      <c r="ET187" s="60">
        <f>ET182-ET184</f>
        <v>3761</v>
      </c>
      <c r="EU187" s="174">
        <f>SUM(EQ187:ET187)</f>
        <v>11557.779999999999</v>
      </c>
      <c r="EV187" s="60"/>
      <c r="EW187" s="60">
        <f>EW182-EW184</f>
        <v>2661</v>
      </c>
      <c r="EX187" s="60">
        <f>EX182-EX184</f>
        <v>2990</v>
      </c>
      <c r="EY187" s="60">
        <f>EY182-EY184</f>
        <v>3506</v>
      </c>
      <c r="EZ187" s="60">
        <f>EZ182-EZ184</f>
        <v>3898.5209315865163</v>
      </c>
      <c r="FA187" s="174">
        <f>SUM(EW187:EZ187)</f>
        <v>13055.520931586516</v>
      </c>
      <c r="FB187" s="60"/>
      <c r="FC187" s="60">
        <f>FC182-FC184</f>
        <v>2968.8657938814699</v>
      </c>
      <c r="FD187" s="60">
        <f>FD182-FD184</f>
        <v>3309.1611790634838</v>
      </c>
      <c r="FE187" s="60">
        <f>FE182-FE184</f>
        <v>3371.8534657892424</v>
      </c>
      <c r="FF187" s="60">
        <f>FF182-FF184</f>
        <v>4067.5902437343484</v>
      </c>
      <c r="FG187" s="174">
        <f>SUM(FC187:FF187)</f>
        <v>13717.470682468544</v>
      </c>
      <c r="FH187" s="60"/>
      <c r="FI187" s="60">
        <f>FI182-FI184</f>
        <v>3209.6653966109379</v>
      </c>
      <c r="FJ187" s="60">
        <f>FJ182-FJ184</f>
        <v>3539.4227672814718</v>
      </c>
      <c r="FK187" s="60">
        <f>FK182-FK184</f>
        <v>3577.7586976325128</v>
      </c>
      <c r="FL187" s="60">
        <f>FL182-FL184</f>
        <v>4173.5070257888428</v>
      </c>
      <c r="FM187" s="174">
        <f>SUM(FI187:FL187)</f>
        <v>14500.353887313766</v>
      </c>
      <c r="FN187" s="226"/>
      <c r="FO187" s="245">
        <f>CE187+CF187+CI187+CJ187</f>
        <v>4634.0892151405515</v>
      </c>
      <c r="FP187" s="243">
        <f>CK187+CL187+CO187+CP187</f>
        <v>5988.5</v>
      </c>
      <c r="FQ187" s="243">
        <f>CV187+CU187+CR187+CQ187</f>
        <v>7310</v>
      </c>
      <c r="FR187" s="243">
        <f>CW187+CX187+DA187+DB187</f>
        <v>7604</v>
      </c>
      <c r="FS187" s="245">
        <f>DC187+DD187+DG187+DH187</f>
        <v>9799.0999999999985</v>
      </c>
      <c r="FT187" s="243">
        <f>DI187+DJ187+DM187+DN187</f>
        <v>11884</v>
      </c>
      <c r="FU187" s="243">
        <f>DO187+DP187+DS187+DT187</f>
        <v>13007.498900000001</v>
      </c>
      <c r="FV187" s="243">
        <f>DY187+DV187+DZ187+DU187</f>
        <v>13138</v>
      </c>
      <c r="FW187" s="243">
        <f>EA187+EB187+EE187+EF187</f>
        <v>13221</v>
      </c>
      <c r="FX187" s="243">
        <f>EG187+EH187+EK187+EL187</f>
        <v>11649</v>
      </c>
      <c r="FY187" s="243">
        <f>EM187+EN187+EQ187+ER187</f>
        <v>11063.779999999999</v>
      </c>
      <c r="FZ187" s="243">
        <f>ES187+ET187+EW187+EX187</f>
        <v>12300</v>
      </c>
      <c r="GA187" s="243">
        <f>EY187+EZ187+FC187+FD187</f>
        <v>13682.54790453147</v>
      </c>
      <c r="GB187" s="243">
        <f>FE187+FF187+FI187+FJ187</f>
        <v>14188.531873416001</v>
      </c>
      <c r="GC187" s="243"/>
      <c r="GD187" s="243"/>
      <c r="GE187" s="243"/>
      <c r="GF187" s="243"/>
      <c r="GI187"/>
      <c r="GJ187"/>
      <c r="GK187"/>
      <c r="GL187"/>
      <c r="GM187"/>
      <c r="GN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</row>
    <row r="188" spans="1:281" s="127" customFormat="1" ht="5.25" customHeight="1" x14ac:dyDescent="0.2">
      <c r="B188" s="359"/>
      <c r="CG188" s="961"/>
      <c r="CM188" s="961"/>
      <c r="CS188" s="961"/>
      <c r="CY188" s="961"/>
      <c r="DE188" s="961"/>
      <c r="DK188" s="961"/>
      <c r="DQ188" s="961"/>
      <c r="DW188" s="961"/>
      <c r="EC188" s="961"/>
      <c r="EI188" s="961"/>
      <c r="EO188" s="961"/>
      <c r="EU188" s="961"/>
      <c r="FA188" s="961"/>
      <c r="FG188" s="961"/>
      <c r="FM188" s="961"/>
      <c r="FN188" s="961"/>
      <c r="FO188" s="958"/>
      <c r="FP188" s="959"/>
      <c r="FQ188" s="959"/>
      <c r="FR188" s="959"/>
      <c r="FS188" s="958"/>
      <c r="FT188" s="959"/>
      <c r="FU188" s="959"/>
      <c r="FV188" s="959"/>
      <c r="FW188" s="959"/>
      <c r="FX188" s="959"/>
      <c r="FY188" s="959"/>
      <c r="FZ188" s="959"/>
      <c r="GA188" s="959"/>
      <c r="GB188" s="959"/>
      <c r="GI188"/>
      <c r="GJ188"/>
      <c r="GK188"/>
      <c r="GL188"/>
      <c r="GM188"/>
      <c r="GN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</row>
    <row r="189" spans="1:281" s="1371" customFormat="1" x14ac:dyDescent="0.2">
      <c r="A189" s="1365" t="s">
        <v>814</v>
      </c>
      <c r="B189" s="1366" t="s">
        <v>466</v>
      </c>
      <c r="C189" s="1367">
        <f t="shared" ref="C189:M189" si="153">ROUND(C187/C223,2)</f>
        <v>0</v>
      </c>
      <c r="D189" s="1367">
        <f t="shared" si="153"/>
        <v>0</v>
      </c>
      <c r="E189" s="1367">
        <f t="shared" si="153"/>
        <v>0</v>
      </c>
      <c r="F189" s="1367">
        <f t="shared" si="153"/>
        <v>0</v>
      </c>
      <c r="G189" s="1367">
        <f t="shared" si="153"/>
        <v>0.01</v>
      </c>
      <c r="H189" s="1367">
        <f t="shared" si="153"/>
        <v>0.02</v>
      </c>
      <c r="I189" s="1367">
        <f t="shared" si="153"/>
        <v>0.02</v>
      </c>
      <c r="J189" s="1367">
        <f t="shared" si="153"/>
        <v>0</v>
      </c>
      <c r="K189" s="1367">
        <f t="shared" si="153"/>
        <v>0.01</v>
      </c>
      <c r="L189" s="1367">
        <f t="shared" si="153"/>
        <v>0.04</v>
      </c>
      <c r="M189" s="1367">
        <f t="shared" si="153"/>
        <v>0.05</v>
      </c>
      <c r="N189" s="1367"/>
      <c r="O189" s="1367">
        <f>ROUND(O187/O223,2)</f>
        <v>0.01</v>
      </c>
      <c r="P189" s="1367">
        <f>ROUND(P187/P223,2)</f>
        <v>0.02</v>
      </c>
      <c r="Q189" s="1367">
        <f>ROUND(Q187/Q223,2)</f>
        <v>0.02</v>
      </c>
      <c r="R189" s="1367">
        <f>ROUND(R187/R223,2)</f>
        <v>0.03</v>
      </c>
      <c r="S189" s="1367">
        <f>SUM(O189:R189)</f>
        <v>0.08</v>
      </c>
      <c r="T189" s="1367"/>
      <c r="U189" s="1367">
        <f>ROUND(U187/U223,2)</f>
        <v>0.01</v>
      </c>
      <c r="V189" s="1367">
        <f>ROUND(V187/V223,2)</f>
        <v>0.02</v>
      </c>
      <c r="W189" s="1367">
        <f>ROUND(W187/W223,2)</f>
        <v>0.02</v>
      </c>
      <c r="X189" s="1367">
        <f>ROUND(X187/X223,2)</f>
        <v>0.04</v>
      </c>
      <c r="Y189" s="1367">
        <f>SUM(U189:X189)</f>
        <v>0.09</v>
      </c>
      <c r="Z189" s="1367"/>
      <c r="AA189" s="1367">
        <f>ROUND(AA187/AA223,2)</f>
        <v>0.02</v>
      </c>
      <c r="AB189" s="1367">
        <f>ROUND(AB187/AB223,2)</f>
        <v>0.03</v>
      </c>
      <c r="AC189" s="1367">
        <f>ROUND(AC187/AC223,2)</f>
        <v>0.03</v>
      </c>
      <c r="AD189" s="1367">
        <f>ROUND(AD187/AD223,2)</f>
        <v>0.06</v>
      </c>
      <c r="AE189" s="1367">
        <f>SUM(AA189:AD189)</f>
        <v>0.14000000000000001</v>
      </c>
      <c r="AF189" s="1367"/>
      <c r="AG189" s="1367">
        <f>ROUND(AG187/AG223,2)</f>
        <v>0.03</v>
      </c>
      <c r="AH189" s="1367">
        <f>ROUND(AH187/AH223,2)</f>
        <v>0.03</v>
      </c>
      <c r="AI189" s="1367">
        <f>ROUND(AI187/AI223,2)</f>
        <v>0.04</v>
      </c>
      <c r="AJ189" s="1367">
        <f>ROUND(AJ187/AJ223,2)</f>
        <v>7.0000000000000007E-2</v>
      </c>
      <c r="AK189" s="1367">
        <f>SUM(AG189:AJ189)</f>
        <v>0.17</v>
      </c>
      <c r="AL189" s="1367"/>
      <c r="AM189" s="1367">
        <f>ROUND(AM187/AM223,2)</f>
        <v>0.03</v>
      </c>
      <c r="AN189" s="1367">
        <f>ROUND(AN187/AN223,2)</f>
        <v>0.05</v>
      </c>
      <c r="AO189" s="1367">
        <f>ROUND(AO187/AO223,2)</f>
        <v>0.05</v>
      </c>
      <c r="AP189" s="1367">
        <f>ROUND(AP187/AP223,2)</f>
        <v>0.09</v>
      </c>
      <c r="AQ189" s="1367">
        <f>SUM(AM189:AP189)</f>
        <v>0.22</v>
      </c>
      <c r="AR189" s="1367"/>
      <c r="AS189" s="1367">
        <f>ROUND(AS187/AS223,2)</f>
        <v>0.04</v>
      </c>
      <c r="AT189" s="1367">
        <f>ROUND(AT187/AT223,2)</f>
        <v>0.06</v>
      </c>
      <c r="AU189" s="1367">
        <f>ROUND(AU187/AU223,2)</f>
        <v>0.13</v>
      </c>
      <c r="AV189" s="1367">
        <f>ROUND(AV187/AV223,2)</f>
        <v>0.82</v>
      </c>
      <c r="AW189" s="1367">
        <f>SUM(AS189:AV189)</f>
        <v>1.05</v>
      </c>
      <c r="AX189" s="1367"/>
      <c r="AY189" s="1367">
        <f>ROUND(AY187/AY223,2)</f>
        <v>0.08</v>
      </c>
      <c r="AZ189" s="1367">
        <f>ROUND(AZ187/AZ223,2)</f>
        <v>0.11</v>
      </c>
      <c r="BA189" s="1367">
        <f>ROUND(BA187/BA223,2)</f>
        <v>0.1</v>
      </c>
      <c r="BB189" s="1367">
        <f>ROUND(BB187/BB223,2)</f>
        <v>0.15</v>
      </c>
      <c r="BC189" s="1367">
        <f>SUM(AY189:BB189)</f>
        <v>0.44000000000000006</v>
      </c>
      <c r="BD189" s="1367"/>
      <c r="BE189" s="1367">
        <f>ROUND(BE187/BE223,2)</f>
        <v>0.09</v>
      </c>
      <c r="BF189" s="1367">
        <f>ROUND(BF187/BF223,2)</f>
        <v>0.1</v>
      </c>
      <c r="BG189" s="1367">
        <f>ROUND(BG187/BG223,2)</f>
        <v>0.09</v>
      </c>
      <c r="BH189" s="1367">
        <f>ROUND(BH187/BH223,2)</f>
        <v>0.12</v>
      </c>
      <c r="BI189" s="1367">
        <f>SUM(BE189:BH189)</f>
        <v>0.4</v>
      </c>
      <c r="BJ189" s="1367"/>
      <c r="BK189" s="1367">
        <f>ROUND(BK187/BK223,2)</f>
        <v>0.06</v>
      </c>
      <c r="BL189" s="1367">
        <f>ROUND(BL187/BL223,2)</f>
        <v>0.1</v>
      </c>
      <c r="BM189" s="1367">
        <f>ROUND(BM187/BM223,2)</f>
        <v>0.11</v>
      </c>
      <c r="BN189" s="1367">
        <f>ROUND(BN187/BN223,2)</f>
        <v>0.16</v>
      </c>
      <c r="BO189" s="1367">
        <f>SUM(BK189:BN189)</f>
        <v>0.43000000000000005</v>
      </c>
      <c r="BP189" s="1367"/>
      <c r="BQ189" s="1367">
        <f>ROUND(BQ187/BQ223,5)</f>
        <v>8.2290000000000002E-2</v>
      </c>
      <c r="BR189" s="1367">
        <f>ROUND(BR187/BR223,5)</f>
        <v>0.11561</v>
      </c>
      <c r="BS189" s="1367">
        <f>ROUND(BS187/BS223,5)</f>
        <v>0.11879000000000001</v>
      </c>
      <c r="BT189" s="1367">
        <f>ROUND(BT187/BT223,5)</f>
        <v>0.18739</v>
      </c>
      <c r="BU189" s="1367">
        <f>ROUND(BU187/BU223,5)</f>
        <v>0.50338000000000005</v>
      </c>
      <c r="BV189" s="1367"/>
      <c r="BW189" s="1367">
        <f>ROUND(BW187/BW223,5)</f>
        <v>0.10087</v>
      </c>
      <c r="BX189" s="1367">
        <f>ROUND(BX187/BX223,5)</f>
        <v>0.15934000000000001</v>
      </c>
      <c r="BY189" s="1367">
        <f>ROUND(BY187/BY223,5)</f>
        <v>0.15773999999999999</v>
      </c>
      <c r="BZ189" s="1367">
        <f>ROUND(BZ187/BZ223,5)</f>
        <v>0.25907999999999998</v>
      </c>
      <c r="CA189" s="1367">
        <f>ROUND(CA187/CA223,5)</f>
        <v>0.67698000000000003</v>
      </c>
      <c r="CB189" s="1367"/>
      <c r="CC189" s="1367">
        <f>ROUND(CC187/CC223,5)</f>
        <v>0.14072999999999999</v>
      </c>
      <c r="CD189" s="1367">
        <f>ROUND(CD187/CD223,5)</f>
        <v>0.18547</v>
      </c>
      <c r="CE189" s="1367">
        <f>ROUND(CE187/CE223,5)</f>
        <v>0.18856000000000001</v>
      </c>
      <c r="CF189" s="1367">
        <f>ROUND(CF187/CF223,5)</f>
        <v>0.28614000000000001</v>
      </c>
      <c r="CG189" s="1368">
        <f>ROUND(CG187/CG223,5)</f>
        <v>0.80288999999999999</v>
      </c>
      <c r="CH189" s="1367"/>
      <c r="CI189" s="1367">
        <f>ROUND(CI187/CI223,5)</f>
        <v>0.17543</v>
      </c>
      <c r="CJ189" s="1367">
        <f>ROUND(CJ187/CJ223,5)</f>
        <v>0.21978</v>
      </c>
      <c r="CK189" s="1367">
        <f>ROUND(CK187/CK223,5)</f>
        <v>0.24723999999999999</v>
      </c>
      <c r="CL189" s="1367">
        <f>ROUND(CL187/CL223,5)</f>
        <v>0.36552000000000001</v>
      </c>
      <c r="CM189" s="1368">
        <f>ROUND(CM187/CM223,5)</f>
        <v>1.0062599999999999</v>
      </c>
      <c r="CN189" s="1367"/>
      <c r="CO189" s="1367">
        <f>ROUND(CO187/CO223,5)</f>
        <v>0.22317999999999999</v>
      </c>
      <c r="CP189" s="1367">
        <f>ROUND(CP187/CP223,5)</f>
        <v>0.30824000000000001</v>
      </c>
      <c r="CQ189" s="1367">
        <f>ROUND(CQ187/CQ223,5)</f>
        <v>0.30575999999999998</v>
      </c>
      <c r="CR189" s="1367">
        <f>ROUND(CR187/CR223,5)</f>
        <v>0.46512999999999999</v>
      </c>
      <c r="CS189" s="1368">
        <f>ROUND(CS187/CS223,5)</f>
        <v>1.30274</v>
      </c>
      <c r="CT189" s="1367"/>
      <c r="CU189" s="1367">
        <f>ROUND(CU187/CU223,5)</f>
        <v>0.29493999999999998</v>
      </c>
      <c r="CV189" s="1367">
        <f>ROUND(CV187/CV223,5)</f>
        <v>0.33661000000000002</v>
      </c>
      <c r="CW189" s="1367">
        <f>ROUND(CW187/CW223,5)</f>
        <v>0.35205999999999998</v>
      </c>
      <c r="CX189" s="1367">
        <f>ROUND(CX187/CX223,5)</f>
        <v>0.46063999999999999</v>
      </c>
      <c r="CY189" s="1369">
        <f>ROUND(CY187/CY223,5)</f>
        <v>1.44106</v>
      </c>
      <c r="CZ189" s="1367"/>
      <c r="DA189" s="1367">
        <f>ROUND(DA187/DA223,5)</f>
        <v>0.30417</v>
      </c>
      <c r="DB189" s="1367">
        <f>ROUND(DB187/DB223,5)</f>
        <v>0.38723999999999997</v>
      </c>
      <c r="DC189" s="1367">
        <f>ROUND(DC187/DC223,5)</f>
        <v>0.38324999999999998</v>
      </c>
      <c r="DD189" s="1367">
        <f>ROUND(DD187/DD223,5)</f>
        <v>0.59875999999999996</v>
      </c>
      <c r="DE189" s="1368">
        <f>ROUND(DE187/DE223,5)</f>
        <v>1.6742900000000001</v>
      </c>
      <c r="DF189" s="1367"/>
      <c r="DG189" s="1367">
        <f>ROUND(DG187/DG223,5)</f>
        <v>0.41885</v>
      </c>
      <c r="DH189" s="1367">
        <f>ROUND(DH187/DH223,5)</f>
        <v>0.52315999999999996</v>
      </c>
      <c r="DI189" s="1367">
        <f>ROUND(DI187/DI223,5)</f>
        <v>0.53661000000000003</v>
      </c>
      <c r="DJ189" s="1367">
        <f>ROUND(DJ187/DJ223,5)</f>
        <v>0.74980999999999998</v>
      </c>
      <c r="DK189" s="1368">
        <f>ROUND(DK187/DK223,5)</f>
        <v>2.2309800000000002</v>
      </c>
      <c r="DL189" s="1367"/>
      <c r="DM189" s="1367">
        <f>ROUND(DM187/DM223,5)</f>
        <v>0.47864000000000001</v>
      </c>
      <c r="DN189" s="1367">
        <f>ROUND(DN187/DN223,5)</f>
        <v>0.54342999999999997</v>
      </c>
      <c r="DO189" s="1367">
        <f>ROUND(DO187/DO223,5)</f>
        <v>0.61580999999999997</v>
      </c>
      <c r="DP189" s="1367">
        <f>ROUND(DP187/DP223,5)</f>
        <v>0.82418000000000002</v>
      </c>
      <c r="DQ189" s="1368">
        <f>ROUND(DQ187/DQ223,5)</f>
        <v>2.4574099999999999</v>
      </c>
      <c r="DR189" s="1367"/>
      <c r="DS189" s="1367">
        <f>ROUND(DS187/DS223,5)</f>
        <v>0.52925999999999995</v>
      </c>
      <c r="DT189" s="1367">
        <f>ROUND(DT187/DT223,5)</f>
        <v>0.64132999999999996</v>
      </c>
      <c r="DU189" s="1367">
        <f>ROUND(DU187/DU223,5)</f>
        <v>0.64588999999999996</v>
      </c>
      <c r="DV189" s="1367">
        <f>ROUND(DV187/DV223,5)</f>
        <v>0.86500999999999995</v>
      </c>
      <c r="DW189" s="1368">
        <f>ROUND(DW187/DW223,5)</f>
        <v>2.6751999999999998</v>
      </c>
      <c r="DX189" s="1367"/>
      <c r="DY189" s="1367">
        <f>ROUND(DY187/DY223,5)</f>
        <v>0.59070999999999996</v>
      </c>
      <c r="DZ189" s="1367">
        <f>ROUND(DZ187/DZ223,5)</f>
        <v>0.68586999999999998</v>
      </c>
      <c r="EA189" s="1367">
        <f>ROUND(EA187/EA223,5)</f>
        <v>0.68044000000000004</v>
      </c>
      <c r="EB189" s="1367">
        <f>ROUND(EB187/EB223,5)</f>
        <v>0.91596</v>
      </c>
      <c r="EC189" s="1368">
        <f>ROUND(EC187/EC223,5)</f>
        <v>2.8698000000000001</v>
      </c>
      <c r="ED189" s="1367"/>
      <c r="EE189" s="1367">
        <f>ROUND(EE187/EE223,5)</f>
        <v>0.61697000000000002</v>
      </c>
      <c r="EF189" s="1367">
        <f>ROUND(EF187/EF223,5)</f>
        <v>0.69189999999999996</v>
      </c>
      <c r="EG189" s="1367">
        <f>ROUND(EG187/EG223,5)</f>
        <v>0.68335999999999997</v>
      </c>
      <c r="EH189" s="1367">
        <f>ROUND(EH187/EH223,5)</f>
        <v>0.78332999999999997</v>
      </c>
      <c r="EI189" s="1368">
        <f>ROUND(EI187/EI223,5)</f>
        <v>2.7740100000000001</v>
      </c>
      <c r="EJ189" s="1367"/>
      <c r="EK189" s="1367">
        <f>ROUND(EK187/EK223,5)</f>
        <v>0.53195999999999999</v>
      </c>
      <c r="EL189" s="1367">
        <f>ROUND(EL187/EL223,5)</f>
        <v>0.63368999999999998</v>
      </c>
      <c r="EM189" s="1367">
        <f>ROUND(EM187/EM223,5)</f>
        <v>0.64168000000000003</v>
      </c>
      <c r="EN189" s="1367">
        <f>ROUND(EN187/EN223,5)</f>
        <v>0.80793000000000004</v>
      </c>
      <c r="EO189" s="1368">
        <f>ROUND(EO187/EO223,5)</f>
        <v>2.6099199999999998</v>
      </c>
      <c r="EP189" s="1367"/>
      <c r="EQ189" s="1367">
        <f>ROUND(EQ187/EQ223,5)</f>
        <v>0.55318999999999996</v>
      </c>
      <c r="ER189" s="1367">
        <f>ROUND(ER187/ER223,5)</f>
        <v>0.61353999999999997</v>
      </c>
      <c r="ES189" s="1367">
        <f>ROUND(ES187/ES223,5)</f>
        <v>0.68696000000000002</v>
      </c>
      <c r="ET189" s="1367">
        <f>ROUND(ET187/ET223,5)</f>
        <v>0.88536000000000004</v>
      </c>
      <c r="EU189" s="1368">
        <f>ROUND(EU187/EU223,5)</f>
        <v>2.7407599999999999</v>
      </c>
      <c r="EV189" s="1367"/>
      <c r="EW189" s="1367">
        <f>ROUND(EW187/EW223,5)</f>
        <v>0.62114999999999998</v>
      </c>
      <c r="EX189" s="1367">
        <f>ROUND(EX187/EX223,5)</f>
        <v>0.69811000000000001</v>
      </c>
      <c r="EY189" s="1367">
        <f>ROUND(EY187/EY223,5)</f>
        <v>0.82767000000000002</v>
      </c>
      <c r="EZ189" s="1367">
        <f>ROUND(EZ187/EZ223,5)</f>
        <v>0.92959000000000003</v>
      </c>
      <c r="FA189" s="1368">
        <f>ROUND(FA187/FA223,5)</f>
        <v>3.07247</v>
      </c>
      <c r="FB189" s="1367"/>
      <c r="FC189" s="1367">
        <f>ROUND(FC187/FC223,5)</f>
        <v>0.71579999999999999</v>
      </c>
      <c r="FD189" s="1367">
        <f>ROUND(FD187/FD223,5)</f>
        <v>0.80396000000000001</v>
      </c>
      <c r="FE189" s="1367">
        <f>ROUND(FE187/FE223,5)</f>
        <v>0.82533999999999996</v>
      </c>
      <c r="FF189" s="1367">
        <f>ROUND(FF187/FF223,5)</f>
        <v>1.0029600000000001</v>
      </c>
      <c r="FG189" s="1368">
        <f>ROUND(FG187/FG223,5)</f>
        <v>3.3447800000000001</v>
      </c>
      <c r="FH189" s="1367"/>
      <c r="FI189" s="1367">
        <f>ROUND(FI187/FI223,5)</f>
        <v>0.79698999999999998</v>
      </c>
      <c r="FJ189" s="1367">
        <f>ROUND(FJ187/FJ223,5)</f>
        <v>0.88478999999999997</v>
      </c>
      <c r="FK189" s="1367">
        <f>ROUND(FK187/FK223,5)</f>
        <v>0.90025999999999995</v>
      </c>
      <c r="FL189" s="1367">
        <f>ROUND(FL187/FL223,5)</f>
        <v>1.0568900000000001</v>
      </c>
      <c r="FM189" s="1368">
        <f>ROUND(FM187/FM223,5)</f>
        <v>3.6363400000000001</v>
      </c>
      <c r="FN189" s="1370"/>
      <c r="FO189" s="1365">
        <f>CE189+CF189+CI189+CJ189</f>
        <v>0.86990999999999996</v>
      </c>
      <c r="FP189" s="1367">
        <f>CK189+CL189+CO189+CP189</f>
        <v>1.14418</v>
      </c>
      <c r="FQ189" s="1367">
        <f>CV189+CU189+CR189+CQ189</f>
        <v>1.4024400000000001</v>
      </c>
      <c r="FR189" s="1367">
        <f>CW189+CX189+DA189+DB189</f>
        <v>1.5041100000000001</v>
      </c>
      <c r="FS189" s="1723">
        <f>DC189+DD189+DG189+DH189</f>
        <v>1.9240200000000001</v>
      </c>
      <c r="FT189" s="1724">
        <f>DI189+DJ189+DM189+DN189</f>
        <v>2.3084899999999999</v>
      </c>
      <c r="FU189" s="1724">
        <f>DO189+DP189+DS189+DT189</f>
        <v>2.6105799999999997</v>
      </c>
      <c r="FV189" s="1724">
        <f>DY189+DV189+DZ189+DU189</f>
        <v>2.78748</v>
      </c>
      <c r="FW189" s="1724">
        <f>EA189+EB189+EE189+EF189</f>
        <v>2.9052700000000002</v>
      </c>
      <c r="FX189" s="1724">
        <f>EG189+EH189+EK189+EL189</f>
        <v>2.6323399999999997</v>
      </c>
      <c r="FY189" s="1724">
        <f>EM189+EN189+EQ189+ER189</f>
        <v>2.6163400000000001</v>
      </c>
      <c r="FZ189" s="1724">
        <f>ES189+ET189+EW189+EX189</f>
        <v>2.8915800000000003</v>
      </c>
      <c r="GA189" s="1724">
        <f>EY189+EZ189+FC189+FD189</f>
        <v>3.2770200000000003</v>
      </c>
      <c r="GB189" s="1724">
        <f>FE189+FF189+FI189+FJ189</f>
        <v>3.5100800000000003</v>
      </c>
      <c r="GC189" s="1845"/>
      <c r="GD189" s="1845"/>
      <c r="GE189" s="1845"/>
      <c r="GF189" s="1845"/>
      <c r="GH189" s="1372"/>
      <c r="GI189"/>
      <c r="GJ189"/>
      <c r="GK189"/>
      <c r="GL189"/>
      <c r="GM189"/>
      <c r="GN189"/>
      <c r="GP189" s="1364"/>
      <c r="GQ189" s="1364"/>
      <c r="GR189" s="1364"/>
      <c r="GS189" s="1364"/>
      <c r="GT189" s="1364"/>
      <c r="GU189" s="1364"/>
      <c r="GV189" s="1364"/>
      <c r="GW189" s="1364"/>
      <c r="GX189" s="1364"/>
      <c r="GY189" s="1364"/>
      <c r="GZ189" s="1364"/>
      <c r="HA189" s="1364"/>
      <c r="HB189" s="1364"/>
      <c r="HC189" s="1364"/>
      <c r="HD189" s="1364"/>
      <c r="HE189" s="1364"/>
      <c r="HF189" s="1364"/>
      <c r="HG189" s="1364"/>
      <c r="HH189" s="1364"/>
      <c r="HI189" s="1364"/>
      <c r="HJ189" s="1364"/>
      <c r="HK189" s="1364"/>
      <c r="HL189" s="1364"/>
      <c r="HM189" s="1364"/>
      <c r="HN189" s="1364"/>
      <c r="HO189" s="1364"/>
      <c r="HP189" s="1364"/>
      <c r="HQ189" s="1364"/>
      <c r="HR189" s="1364"/>
      <c r="HS189" s="1364"/>
      <c r="HT189" s="1364"/>
      <c r="HU189" s="1364"/>
      <c r="HV189" s="1364"/>
      <c r="HW189" s="1364"/>
      <c r="HX189" s="1364"/>
      <c r="HY189" s="1364"/>
      <c r="HZ189" s="1364"/>
      <c r="IA189" s="1364"/>
      <c r="IB189" s="1364"/>
      <c r="IC189" s="1364"/>
      <c r="ID189" s="1364"/>
      <c r="IE189" s="1364"/>
      <c r="IF189" s="1364"/>
      <c r="IG189" s="1364"/>
      <c r="IH189" s="1364"/>
      <c r="II189" s="1364"/>
      <c r="IJ189" s="1364"/>
      <c r="IK189" s="1364"/>
      <c r="IL189" s="1364"/>
      <c r="IM189" s="1364"/>
      <c r="IN189" s="1364"/>
      <c r="IO189" s="1364"/>
      <c r="IP189" s="1364"/>
      <c r="IQ189" s="1364"/>
      <c r="IR189" s="1364"/>
      <c r="IS189" s="1364"/>
      <c r="IT189" s="1364"/>
      <c r="IU189" s="1364"/>
      <c r="IV189" s="1364"/>
      <c r="IW189" s="1364"/>
      <c r="IX189" s="1364"/>
      <c r="IY189" s="1364"/>
      <c r="IZ189" s="1364"/>
      <c r="JA189" s="1364"/>
      <c r="JB189" s="1364"/>
      <c r="JC189" s="1364"/>
      <c r="JD189" s="1364"/>
      <c r="JE189" s="1364"/>
      <c r="JF189" s="1364"/>
      <c r="JG189" s="1364"/>
      <c r="JH189" s="1364"/>
      <c r="JI189" s="1364"/>
      <c r="JJ189" s="1364"/>
      <c r="JK189" s="1364"/>
      <c r="JL189" s="1364"/>
      <c r="JM189" s="1364"/>
      <c r="JN189" s="1364"/>
      <c r="JO189" s="1364"/>
      <c r="JP189" s="1364"/>
      <c r="JQ189" s="1364"/>
      <c r="JR189" s="1364"/>
      <c r="JS189" s="1364"/>
      <c r="JT189" s="1364"/>
      <c r="JU189" s="1364"/>
    </row>
    <row r="190" spans="1:281" s="37" customFormat="1" ht="13.5" customHeight="1" x14ac:dyDescent="0.2">
      <c r="A190" s="231" t="s">
        <v>473</v>
      </c>
      <c r="B190" s="950"/>
      <c r="C190" s="233" t="s">
        <v>945</v>
      </c>
      <c r="D190" s="233" t="s">
        <v>945</v>
      </c>
      <c r="E190" s="233" t="s">
        <v>945</v>
      </c>
      <c r="F190" s="233" t="s">
        <v>945</v>
      </c>
      <c r="G190" s="233" t="s">
        <v>945</v>
      </c>
      <c r="H190" s="103">
        <f t="shared" ref="H190:M190" si="154">H189/G189-1</f>
        <v>1</v>
      </c>
      <c r="I190" s="103">
        <f t="shared" si="154"/>
        <v>0</v>
      </c>
      <c r="J190" s="233" t="s">
        <v>945</v>
      </c>
      <c r="K190" s="233" t="s">
        <v>945</v>
      </c>
      <c r="L190" s="103">
        <f t="shared" si="154"/>
        <v>3</v>
      </c>
      <c r="M190" s="103">
        <f t="shared" si="154"/>
        <v>0.25</v>
      </c>
      <c r="N190" s="232"/>
      <c r="O190" s="233" t="s">
        <v>945</v>
      </c>
      <c r="P190" s="233" t="s">
        <v>945</v>
      </c>
      <c r="Q190" s="233" t="s">
        <v>945</v>
      </c>
      <c r="R190" s="233" t="s">
        <v>945</v>
      </c>
      <c r="S190" s="103">
        <f>S189/M189-1</f>
        <v>0.59999999999999987</v>
      </c>
      <c r="T190" s="232"/>
      <c r="U190" s="103">
        <f>U189/O189-1</f>
        <v>0</v>
      </c>
      <c r="V190" s="103">
        <f>V189/P189-1</f>
        <v>0</v>
      </c>
      <c r="W190" s="103">
        <f>W189/Q189-1</f>
        <v>0</v>
      </c>
      <c r="X190" s="103">
        <f>X189/R189-1</f>
        <v>0.33333333333333348</v>
      </c>
      <c r="Y190" s="103">
        <f>Y189/S189-1</f>
        <v>0.125</v>
      </c>
      <c r="Z190" s="232"/>
      <c r="AA190" s="103">
        <f>AA189/U189-1</f>
        <v>1</v>
      </c>
      <c r="AB190" s="103">
        <f>AB189/V189-1</f>
        <v>0.5</v>
      </c>
      <c r="AC190" s="103">
        <f>AC189/W189-1</f>
        <v>0.5</v>
      </c>
      <c r="AD190" s="103">
        <f>AD189/X189-1</f>
        <v>0.5</v>
      </c>
      <c r="AE190" s="103">
        <f>AE189/Y189-1</f>
        <v>0.5555555555555558</v>
      </c>
      <c r="AF190" s="232"/>
      <c r="AG190" s="103">
        <f>AG189/AA189-1</f>
        <v>0.5</v>
      </c>
      <c r="AH190" s="103">
        <f>AH189/AB189-1</f>
        <v>0</v>
      </c>
      <c r="AI190" s="103">
        <f>AI189/AC189-1</f>
        <v>0.33333333333333348</v>
      </c>
      <c r="AJ190" s="103">
        <f>AJ189/AD189-1</f>
        <v>0.16666666666666674</v>
      </c>
      <c r="AK190" s="103">
        <f>AK189/AE189-1</f>
        <v>0.21428571428571419</v>
      </c>
      <c r="AL190" s="232"/>
      <c r="AM190" s="103">
        <f>AM189/AG189-1</f>
        <v>0</v>
      </c>
      <c r="AN190" s="103">
        <f>AN189/AH189-1</f>
        <v>0.66666666666666674</v>
      </c>
      <c r="AO190" s="103">
        <f>AO189/AI189-1</f>
        <v>0.25</v>
      </c>
      <c r="AP190" s="103">
        <f>AP189/AJ189-1</f>
        <v>0.28571428571428559</v>
      </c>
      <c r="AQ190" s="103">
        <f>AQ189/AK189-1</f>
        <v>0.29411764705882337</v>
      </c>
      <c r="AR190" s="232"/>
      <c r="AS190" s="103">
        <f>AS189/AM189-1</f>
        <v>0.33333333333333348</v>
      </c>
      <c r="AT190" s="103">
        <f>AT189/AN189-1</f>
        <v>0.19999999999999996</v>
      </c>
      <c r="AU190" s="103">
        <f>AU189/AO189-1</f>
        <v>1.6</v>
      </c>
      <c r="AV190" s="103">
        <f>AV189/AP189-1</f>
        <v>8.1111111111111107</v>
      </c>
      <c r="AW190" s="103">
        <f>AW189/AQ189-1</f>
        <v>3.7727272727272725</v>
      </c>
      <c r="AX190" s="232"/>
      <c r="AY190" s="103">
        <f>AY189/AS189-1</f>
        <v>1</v>
      </c>
      <c r="AZ190" s="103">
        <f>AZ189/AT189-1</f>
        <v>0.83333333333333348</v>
      </c>
      <c r="BA190" s="103">
        <f>BA189/AU189-1</f>
        <v>-0.23076923076923073</v>
      </c>
      <c r="BB190" s="103">
        <f>BB189/AV189-1</f>
        <v>-0.81707317073170738</v>
      </c>
      <c r="BC190" s="103">
        <f>BC189/AW189-1</f>
        <v>-0.58095238095238089</v>
      </c>
      <c r="BD190" s="232"/>
      <c r="BE190" s="103">
        <f>BE189/AY189-1</f>
        <v>0.125</v>
      </c>
      <c r="BF190" s="103">
        <f>BF189/AZ189-1</f>
        <v>-9.0909090909090828E-2</v>
      </c>
      <c r="BG190" s="103">
        <f>BG189/BA189-1</f>
        <v>-0.10000000000000009</v>
      </c>
      <c r="BH190" s="103">
        <f>BH189/BB189-1</f>
        <v>-0.19999999999999996</v>
      </c>
      <c r="BI190" s="103">
        <f>BI189/BC189-1</f>
        <v>-9.0909090909090939E-2</v>
      </c>
      <c r="BJ190" s="232"/>
      <c r="BK190" s="103">
        <f>BK189/BE189-1</f>
        <v>-0.33333333333333337</v>
      </c>
      <c r="BL190" s="103">
        <f>BL189/BF189-1</f>
        <v>0</v>
      </c>
      <c r="BM190" s="103">
        <f>BM189/BG189-1</f>
        <v>0.22222222222222232</v>
      </c>
      <c r="BN190" s="103">
        <f>BN189/BH189-1</f>
        <v>0.33333333333333348</v>
      </c>
      <c r="BO190" s="103">
        <f>BO189/BI189-1</f>
        <v>7.4999999999999956E-2</v>
      </c>
      <c r="BP190" s="232"/>
      <c r="BQ190" s="103">
        <f>BQ189/BK189-1</f>
        <v>0.37150000000000016</v>
      </c>
      <c r="BR190" s="103">
        <f>BR189/BL189-1</f>
        <v>0.15609999999999991</v>
      </c>
      <c r="BS190" s="103">
        <f>BS189/BM189-1</f>
        <v>7.990909090909093E-2</v>
      </c>
      <c r="BT190" s="103">
        <f>BT189/BN189-1</f>
        <v>0.17118750000000005</v>
      </c>
      <c r="BU190" s="103">
        <f>BU189/BO189-1</f>
        <v>0.1706511627906977</v>
      </c>
      <c r="BV190" s="232"/>
      <c r="BW190" s="103">
        <f>BW189/BQ189-1</f>
        <v>0.22578685137926846</v>
      </c>
      <c r="BX190" s="103">
        <f>BX189/BR189-1</f>
        <v>0.37825447625637931</v>
      </c>
      <c r="BY190" s="103">
        <f>BY189/BS189-1</f>
        <v>0.32788955299267597</v>
      </c>
      <c r="BZ190" s="103">
        <f>BZ189/BT189-1</f>
        <v>0.38257110838358499</v>
      </c>
      <c r="CA190" s="103">
        <f>CA189/BU189-1</f>
        <v>0.3448686876713416</v>
      </c>
      <c r="CB190" s="232"/>
      <c r="CC190" s="103">
        <f>CC189/BW189-1</f>
        <v>0.39516208981857837</v>
      </c>
      <c r="CD190" s="103">
        <f>CD189/BX189-1</f>
        <v>0.16398895443705275</v>
      </c>
      <c r="CE190" s="103">
        <f>CE189/BY189-1</f>
        <v>0.19538481044757194</v>
      </c>
      <c r="CF190" s="103">
        <f>CF189/BZ189-1</f>
        <v>0.10444650301065317</v>
      </c>
      <c r="CG190" s="234">
        <f>CG189/CA189-1</f>
        <v>0.18598776921031646</v>
      </c>
      <c r="CH190" s="232"/>
      <c r="CI190" s="103">
        <f>CI189/CC189-1</f>
        <v>0.24657144887372984</v>
      </c>
      <c r="CJ190" s="103">
        <f>CJ189/CD189-1</f>
        <v>0.18498948617027011</v>
      </c>
      <c r="CK190" s="103">
        <f>CK189/CE189-1</f>
        <v>0.31120067882901981</v>
      </c>
      <c r="CL190" s="103">
        <f>CL189/CF189-1</f>
        <v>0.27741664919270281</v>
      </c>
      <c r="CM190" s="234">
        <f>CM189/CG189-1</f>
        <v>0.25329746291521871</v>
      </c>
      <c r="CN190" s="232"/>
      <c r="CO190" s="103">
        <f>CO189/CI189-1</f>
        <v>0.27218833722852409</v>
      </c>
      <c r="CP190" s="103">
        <f>CP189/CJ189-1</f>
        <v>0.4024934024934026</v>
      </c>
      <c r="CQ190" s="103">
        <f>CQ189/CK189-1</f>
        <v>0.23669309173272923</v>
      </c>
      <c r="CR190" s="103">
        <f>CR189/CL189-1</f>
        <v>0.27251586780477122</v>
      </c>
      <c r="CS190" s="234">
        <f>CS189/CM189-1</f>
        <v>0.2946355812613044</v>
      </c>
      <c r="CT190" s="232"/>
      <c r="CU190" s="103">
        <f>CU189/CO189-1</f>
        <v>0.32153418765122321</v>
      </c>
      <c r="CV190" s="103">
        <f>CV189/CP189-1</f>
        <v>9.2038671165325825E-2</v>
      </c>
      <c r="CW190" s="103">
        <f>CW189/CQ189-1</f>
        <v>0.15142595499738354</v>
      </c>
      <c r="CX190" s="103">
        <f>CX189/CR189-1</f>
        <v>-9.6532152301507246E-3</v>
      </c>
      <c r="CY190" s="234">
        <f>CY189/CS189-1</f>
        <v>0.10617621321215287</v>
      </c>
      <c r="CZ190" s="232"/>
      <c r="DA190" s="103">
        <f>DA189/CU189-1</f>
        <v>3.1294500576388495E-2</v>
      </c>
      <c r="DB190" s="103">
        <f>DB189/CV189-1</f>
        <v>0.15041145539348189</v>
      </c>
      <c r="DC190" s="103">
        <f>DC189/CW189-1</f>
        <v>8.8592853490882195E-2</v>
      </c>
      <c r="DD190" s="103">
        <f>DD189/CX189-1</f>
        <v>0.2998436957276831</v>
      </c>
      <c r="DE190" s="234">
        <f>DE189/CY189-1</f>
        <v>0.16184614103507133</v>
      </c>
      <c r="DF190" s="232"/>
      <c r="DG190" s="103">
        <f>DG189/DA189-1</f>
        <v>0.37702600519446361</v>
      </c>
      <c r="DH190" s="103">
        <f>DH189/DB189-1</f>
        <v>0.35099679785146165</v>
      </c>
      <c r="DI190" s="103">
        <f>DI189/DC189-1</f>
        <v>0.40015655577299425</v>
      </c>
      <c r="DJ190" s="103">
        <f>DJ189/DD189-1</f>
        <v>0.25227136081234547</v>
      </c>
      <c r="DK190" s="234">
        <f>DK189/DE189-1</f>
        <v>0.33249317621200625</v>
      </c>
      <c r="DL190" s="232"/>
      <c r="DM190" s="103">
        <f>DM189/DG189-1</f>
        <v>0.14274800047749792</v>
      </c>
      <c r="DN190" s="103">
        <f>DN189/DH189-1</f>
        <v>3.8745316920253847E-2</v>
      </c>
      <c r="DO190" s="103">
        <f>DO189/DI189-1</f>
        <v>0.14759322412925568</v>
      </c>
      <c r="DP190" s="103">
        <f>DP189/DJ189-1</f>
        <v>9.9185126898814424E-2</v>
      </c>
      <c r="DQ190" s="234">
        <f>DQ189/DK189-1</f>
        <v>0.10149351406108509</v>
      </c>
      <c r="DR190" s="232"/>
      <c r="DS190" s="103">
        <f>DS189/DM189-1</f>
        <v>0.10575798094601363</v>
      </c>
      <c r="DT190" s="103">
        <f>DT189/DN189-1</f>
        <v>0.18015199749737776</v>
      </c>
      <c r="DU190" s="103">
        <f>DU189/DO189-1</f>
        <v>4.8846235040028496E-2</v>
      </c>
      <c r="DV190" s="103">
        <f>DV189/DP189-1</f>
        <v>4.9540148996578326E-2</v>
      </c>
      <c r="DW190" s="234">
        <f>DW189/DQ189-1</f>
        <v>8.8625829633638631E-2</v>
      </c>
      <c r="DX190" s="232"/>
      <c r="DY190" s="103">
        <f>DY189/DS189-1</f>
        <v>0.11610550580055179</v>
      </c>
      <c r="DZ190" s="103">
        <f>DZ189/DT189-1</f>
        <v>6.9449425412813959E-2</v>
      </c>
      <c r="EA190" s="103">
        <f>EA189/DU189-1</f>
        <v>5.3492080694855337E-2</v>
      </c>
      <c r="EB190" s="103">
        <f>EB189/DV189-1</f>
        <v>5.8901053167015549E-2</v>
      </c>
      <c r="EC190" s="234">
        <f>EC189/DW189-1</f>
        <v>7.2742224880382844E-2</v>
      </c>
      <c r="ED190" s="232"/>
      <c r="EE190" s="103">
        <f>EE189/DY189-1</f>
        <v>4.4454977907941506E-2</v>
      </c>
      <c r="EF190" s="103">
        <f>EF189/DZ189-1</f>
        <v>8.7917535393005064E-3</v>
      </c>
      <c r="EG190" s="103">
        <f>EG189/EA189-1</f>
        <v>4.291340897066398E-3</v>
      </c>
      <c r="EH190" s="103">
        <f>EH189/EB189-1</f>
        <v>-0.1447988995152627</v>
      </c>
      <c r="EI190" s="234">
        <f>EI189/EC189-1</f>
        <v>-3.33786326573281E-2</v>
      </c>
      <c r="EJ190" s="232"/>
      <c r="EK190" s="103">
        <f>EK189/EE189-1</f>
        <v>-0.13778627810104227</v>
      </c>
      <c r="EL190" s="103">
        <f>EL189/EF189-1</f>
        <v>-8.413065471889003E-2</v>
      </c>
      <c r="EM190" s="103">
        <f>EM189/EG189-1</f>
        <v>-6.099274174666347E-2</v>
      </c>
      <c r="EN190" s="103">
        <f>EN189/EH189-1</f>
        <v>3.1404388954846763E-2</v>
      </c>
      <c r="EO190" s="234">
        <f>EO189/EI189-1</f>
        <v>-5.9152634633617196E-2</v>
      </c>
      <c r="EP190" s="232"/>
      <c r="EQ190" s="103">
        <f>EQ189/EK189-1</f>
        <v>3.9909015715467344E-2</v>
      </c>
      <c r="ER190" s="103">
        <f>ER189/EL189-1</f>
        <v>-3.1797882245261921E-2</v>
      </c>
      <c r="ES190" s="103">
        <f>ES189/EM189-1</f>
        <v>7.0564767485350899E-2</v>
      </c>
      <c r="ET190" s="103">
        <f>ET189/EN189-1</f>
        <v>9.5837510675429893E-2</v>
      </c>
      <c r="EU190" s="234">
        <f>EU189/EO189-1</f>
        <v>5.0131804806277547E-2</v>
      </c>
      <c r="EV190" s="232"/>
      <c r="EW190" s="103">
        <f>EW189/EQ189-1</f>
        <v>0.12285109998373067</v>
      </c>
      <c r="EX190" s="103">
        <f>EX189/ER189-1</f>
        <v>0.13783942367245827</v>
      </c>
      <c r="EY190" s="103">
        <f>EY189/ES189-1</f>
        <v>0.20482997554442761</v>
      </c>
      <c r="EZ190" s="103">
        <f>EZ189/ET189-1</f>
        <v>4.9957079606036014E-2</v>
      </c>
      <c r="FA190" s="234">
        <f>FA189/EU189-1</f>
        <v>0.12102847385396753</v>
      </c>
      <c r="FB190" s="232"/>
      <c r="FC190" s="103">
        <f>FC189/EW189-1</f>
        <v>0.15237865249939619</v>
      </c>
      <c r="FD190" s="103">
        <f>FD189/EX189-1</f>
        <v>0.15162366962226592</v>
      </c>
      <c r="FE190" s="103">
        <f>FE189/EY189-1</f>
        <v>-2.8151316345886856E-3</v>
      </c>
      <c r="FF190" s="103">
        <f>FF189/EZ189-1</f>
        <v>7.892726901106939E-2</v>
      </c>
      <c r="FG190" s="234">
        <f>FG189/FA189-1</f>
        <v>8.8629018346802368E-2</v>
      </c>
      <c r="FH190" s="232"/>
      <c r="FI190" s="103">
        <f>FI189/FC189-1</f>
        <v>0.1134255378597373</v>
      </c>
      <c r="FJ190" s="103">
        <f>FJ189/FD189-1</f>
        <v>0.10053982785213189</v>
      </c>
      <c r="FK190" s="103">
        <f>FK189/FE189-1</f>
        <v>9.0774711028182242E-2</v>
      </c>
      <c r="FL190" s="103">
        <f>FL189/FF189-1</f>
        <v>5.3770838318577097E-2</v>
      </c>
      <c r="FM190" s="234">
        <f>FM189/FG189-1</f>
        <v>8.7168662811903941E-2</v>
      </c>
      <c r="FN190" s="1123"/>
      <c r="FO190" s="340"/>
      <c r="FP190" s="236">
        <f t="shared" ref="FP190:GB190" si="155">FP189/FO189-1</f>
        <v>0.3152854893034911</v>
      </c>
      <c r="FQ190" s="236">
        <f t="shared" si="155"/>
        <v>0.22571623345977043</v>
      </c>
      <c r="FR190" s="236">
        <f t="shared" si="155"/>
        <v>7.249508000342253E-2</v>
      </c>
      <c r="FS190" s="316">
        <f t="shared" si="155"/>
        <v>0.27917506033468298</v>
      </c>
      <c r="FT190" s="236">
        <f t="shared" si="155"/>
        <v>0.19982640513092376</v>
      </c>
      <c r="FU190" s="236">
        <f t="shared" si="155"/>
        <v>0.13086043257713897</v>
      </c>
      <c r="FV190" s="236">
        <f t="shared" si="155"/>
        <v>6.7762719395690008E-2</v>
      </c>
      <c r="FW190" s="236">
        <f t="shared" si="155"/>
        <v>4.2256805429994326E-2</v>
      </c>
      <c r="FX190" s="236">
        <f t="shared" si="155"/>
        <v>-9.3943075858698322E-2</v>
      </c>
      <c r="FY190" s="236">
        <f t="shared" si="155"/>
        <v>-6.0782421723636348E-3</v>
      </c>
      <c r="FZ190" s="236">
        <f t="shared" si="155"/>
        <v>0.1052003944441473</v>
      </c>
      <c r="GA190" s="236">
        <f t="shared" si="155"/>
        <v>0.13329736683750748</v>
      </c>
      <c r="GB190" s="236">
        <f t="shared" si="155"/>
        <v>7.1119492709839971E-2</v>
      </c>
      <c r="GC190" s="236"/>
      <c r="GD190" s="236"/>
      <c r="GE190" s="236"/>
      <c r="GF190" s="236"/>
      <c r="GI190"/>
      <c r="GJ190"/>
      <c r="GK190"/>
      <c r="GL190"/>
      <c r="GM190"/>
      <c r="GN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</row>
    <row r="191" spans="1:281" s="37" customFormat="1" ht="13.5" customHeight="1" x14ac:dyDescent="0.2">
      <c r="A191" s="329" t="s">
        <v>794</v>
      </c>
      <c r="B191" s="951"/>
      <c r="C191" s="1103">
        <f>C223</f>
        <v>3312</v>
      </c>
      <c r="D191" s="1103">
        <f t="shared" ref="D191:BQ191" si="156">D223</f>
        <v>3479.76</v>
      </c>
      <c r="E191" s="1103">
        <f t="shared" si="156"/>
        <v>3933.36</v>
      </c>
      <c r="F191" s="1103">
        <f t="shared" si="156"/>
        <v>4500</v>
      </c>
      <c r="G191" s="1103">
        <f t="shared" si="156"/>
        <v>4795.2</v>
      </c>
      <c r="H191" s="1103">
        <f t="shared" si="156"/>
        <v>4860</v>
      </c>
      <c r="I191" s="1103">
        <f t="shared" si="156"/>
        <v>4928.625</v>
      </c>
      <c r="J191" s="1103">
        <f t="shared" si="156"/>
        <v>4915.1790000000001</v>
      </c>
      <c r="K191" s="1103">
        <f t="shared" si="156"/>
        <v>5137.1099999999997</v>
      </c>
      <c r="L191" s="1103">
        <f t="shared" si="156"/>
        <v>5273.0460000000003</v>
      </c>
      <c r="M191" s="1103">
        <f t="shared" si="156"/>
        <v>5990.625</v>
      </c>
      <c r="N191" s="1104"/>
      <c r="O191" s="1103">
        <f t="shared" si="156"/>
        <v>5980.5</v>
      </c>
      <c r="P191" s="1103">
        <f t="shared" si="156"/>
        <v>5980.5</v>
      </c>
      <c r="Q191" s="1103">
        <f t="shared" si="156"/>
        <v>5980.8374999999996</v>
      </c>
      <c r="R191" s="1103">
        <f t="shared" si="156"/>
        <v>6003.3284999999996</v>
      </c>
      <c r="S191" s="1103">
        <f t="shared" si="156"/>
        <v>5986.2915000000003</v>
      </c>
      <c r="T191" s="1104"/>
      <c r="U191" s="1103">
        <f t="shared" si="156"/>
        <v>6027.9795000000004</v>
      </c>
      <c r="V191" s="1103">
        <f t="shared" si="156"/>
        <v>6036.39</v>
      </c>
      <c r="W191" s="1103">
        <f t="shared" si="156"/>
        <v>6034.3109999999997</v>
      </c>
      <c r="X191" s="1103">
        <f t="shared" si="156"/>
        <v>6034.5</v>
      </c>
      <c r="Y191" s="1103">
        <f t="shared" si="156"/>
        <v>6033.2951250000006</v>
      </c>
      <c r="Z191" s="1104"/>
      <c r="AA191" s="1103">
        <f t="shared" si="156"/>
        <v>6064.29</v>
      </c>
      <c r="AB191" s="1103">
        <f t="shared" si="156"/>
        <v>6083.5439999999999</v>
      </c>
      <c r="AC191" s="1103">
        <f t="shared" si="156"/>
        <v>6058.674</v>
      </c>
      <c r="AD191" s="1103">
        <f t="shared" si="156"/>
        <v>6016.5720000000001</v>
      </c>
      <c r="AE191" s="1103">
        <f t="shared" si="156"/>
        <v>6055.7699999999995</v>
      </c>
      <c r="AF191" s="1104"/>
      <c r="AG191" s="1103">
        <f t="shared" si="156"/>
        <v>6037.5959999999995</v>
      </c>
      <c r="AH191" s="1103">
        <f t="shared" si="156"/>
        <v>6051.348</v>
      </c>
      <c r="AI191" s="1103">
        <f t="shared" si="156"/>
        <v>5949.848</v>
      </c>
      <c r="AJ191" s="1103">
        <f t="shared" si="156"/>
        <v>5954.616</v>
      </c>
      <c r="AK191" s="1103">
        <f t="shared" si="156"/>
        <v>5998.3520000000008</v>
      </c>
      <c r="AL191" s="1104"/>
      <c r="AM191" s="1103">
        <f t="shared" si="156"/>
        <v>5934.8940000000002</v>
      </c>
      <c r="AN191" s="1103">
        <f t="shared" si="156"/>
        <v>5899.62</v>
      </c>
      <c r="AO191" s="1103">
        <f t="shared" si="156"/>
        <v>5981.8440000000001</v>
      </c>
      <c r="AP191" s="1103">
        <f t="shared" si="156"/>
        <v>5931.2359999999999</v>
      </c>
      <c r="AQ191" s="1103">
        <f t="shared" si="156"/>
        <v>5936.8985000000002</v>
      </c>
      <c r="AR191" s="1104"/>
      <c r="AS191" s="1103">
        <f t="shared" si="156"/>
        <v>5964.8040000000001</v>
      </c>
      <c r="AT191" s="1103">
        <f t="shared" si="156"/>
        <v>6012.6</v>
      </c>
      <c r="AU191" s="1103">
        <f t="shared" si="156"/>
        <v>5996.3779999999997</v>
      </c>
      <c r="AV191" s="1103">
        <f t="shared" si="156"/>
        <v>6009.5860000000002</v>
      </c>
      <c r="AW191" s="1103">
        <f t="shared" si="156"/>
        <v>5995.8419999999996</v>
      </c>
      <c r="AX191" s="1104"/>
      <c r="AY191" s="1103">
        <f t="shared" si="156"/>
        <v>5932.87</v>
      </c>
      <c r="AZ191" s="1103">
        <f t="shared" si="156"/>
        <v>5874.9870000000001</v>
      </c>
      <c r="BA191" s="1103">
        <f t="shared" si="156"/>
        <v>5851.3329999999996</v>
      </c>
      <c r="BB191" s="1103">
        <f t="shared" si="156"/>
        <v>5800.0320000000002</v>
      </c>
      <c r="BC191" s="1103">
        <f t="shared" si="156"/>
        <v>5864.8054999999995</v>
      </c>
      <c r="BD191" s="1104"/>
      <c r="BE191" s="1103">
        <f t="shared" si="156"/>
        <v>5780.02</v>
      </c>
      <c r="BF191" s="1103">
        <f t="shared" si="156"/>
        <v>5695.86</v>
      </c>
      <c r="BG191" s="1103">
        <f t="shared" si="156"/>
        <v>5669.3339999999998</v>
      </c>
      <c r="BH191" s="1103">
        <f t="shared" si="156"/>
        <v>5610.6260000000002</v>
      </c>
      <c r="BI191" s="1103">
        <f t="shared" si="156"/>
        <v>5688.96</v>
      </c>
      <c r="BJ191" s="1104"/>
      <c r="BK191" s="1103">
        <f t="shared" si="156"/>
        <v>5515</v>
      </c>
      <c r="BL191" s="1103">
        <f t="shared" si="156"/>
        <v>5420</v>
      </c>
      <c r="BM191" s="1103">
        <f t="shared" si="156"/>
        <v>5383</v>
      </c>
      <c r="BN191" s="1103">
        <f t="shared" si="156"/>
        <v>5356</v>
      </c>
      <c r="BO191" s="1103">
        <f t="shared" si="156"/>
        <v>5418</v>
      </c>
      <c r="BP191" s="1104"/>
      <c r="BQ191" s="1103">
        <f t="shared" si="156"/>
        <v>5347</v>
      </c>
      <c r="BR191" s="1103">
        <f>BR223</f>
        <v>5337</v>
      </c>
      <c r="BS191" s="1103">
        <f>BS223</f>
        <v>5337</v>
      </c>
      <c r="BT191" s="1103">
        <f>BT223</f>
        <v>5283</v>
      </c>
      <c r="BU191" s="1103">
        <f>BU223</f>
        <v>5326</v>
      </c>
      <c r="BV191" s="1104"/>
      <c r="BW191" s="1103">
        <f>BW223</f>
        <v>5241</v>
      </c>
      <c r="BX191" s="1103">
        <f>BX223</f>
        <v>5218</v>
      </c>
      <c r="BY191" s="1103">
        <f>BY223</f>
        <v>5230</v>
      </c>
      <c r="BZ191" s="1103">
        <f>BZ223</f>
        <v>5234</v>
      </c>
      <c r="CA191" s="1103">
        <f>CA223</f>
        <v>5230.75</v>
      </c>
      <c r="CB191" s="1104"/>
      <c r="CC191" s="1103">
        <f t="shared" ref="CC191:DQ191" si="157">CC223</f>
        <v>5244</v>
      </c>
      <c r="CD191" s="1103">
        <f t="shared" si="157"/>
        <v>5238</v>
      </c>
      <c r="CE191" s="1103">
        <f t="shared" si="157"/>
        <v>5304</v>
      </c>
      <c r="CF191" s="1103">
        <f t="shared" si="157"/>
        <v>5373</v>
      </c>
      <c r="CG191" s="1105">
        <f t="shared" si="157"/>
        <v>5289.75</v>
      </c>
      <c r="CH191" s="1104"/>
      <c r="CI191" s="1103">
        <f t="shared" si="157"/>
        <v>5307</v>
      </c>
      <c r="CJ191" s="1103">
        <f t="shared" si="157"/>
        <v>5303</v>
      </c>
      <c r="CK191" s="1103">
        <f t="shared" si="157"/>
        <v>5262</v>
      </c>
      <c r="CL191" s="1103">
        <f t="shared" si="157"/>
        <v>5224</v>
      </c>
      <c r="CM191" s="1105">
        <f t="shared" si="157"/>
        <v>5274</v>
      </c>
      <c r="CN191" s="1104"/>
      <c r="CO191" s="1103">
        <f t="shared" si="157"/>
        <v>5220</v>
      </c>
      <c r="CP191" s="1103">
        <f t="shared" si="157"/>
        <v>5233</v>
      </c>
      <c r="CQ191" s="1103">
        <f t="shared" si="157"/>
        <v>5187</v>
      </c>
      <c r="CR191" s="1103">
        <f t="shared" si="157"/>
        <v>5233</v>
      </c>
      <c r="CS191" s="1105">
        <f t="shared" si="157"/>
        <v>5218.25</v>
      </c>
      <c r="CT191" s="1104"/>
      <c r="CU191" s="1103">
        <f t="shared" si="157"/>
        <v>5235</v>
      </c>
      <c r="CV191" s="1103">
        <f t="shared" si="157"/>
        <v>5187</v>
      </c>
      <c r="CW191" s="1103">
        <f t="shared" si="157"/>
        <v>5056</v>
      </c>
      <c r="CX191" s="1103">
        <f t="shared" si="157"/>
        <v>5043</v>
      </c>
      <c r="CY191" s="1105">
        <f t="shared" si="157"/>
        <v>5130.25</v>
      </c>
      <c r="CZ191" s="1104"/>
      <c r="DA191" s="1103">
        <f t="shared" si="157"/>
        <v>5063</v>
      </c>
      <c r="DB191" s="1103">
        <f t="shared" si="157"/>
        <v>5064</v>
      </c>
      <c r="DC191" s="1103">
        <f t="shared" si="157"/>
        <v>5076</v>
      </c>
      <c r="DD191" s="1103">
        <f t="shared" si="157"/>
        <v>5090</v>
      </c>
      <c r="DE191" s="1105">
        <f t="shared" si="157"/>
        <v>5073.25</v>
      </c>
      <c r="DF191" s="1104"/>
      <c r="DG191" s="1103">
        <f t="shared" si="157"/>
        <v>5083</v>
      </c>
      <c r="DH191" s="1103">
        <f t="shared" si="157"/>
        <v>5117</v>
      </c>
      <c r="DI191" s="1103">
        <f t="shared" si="157"/>
        <v>5149</v>
      </c>
      <c r="DJ191" s="1103">
        <f t="shared" si="157"/>
        <v>5164</v>
      </c>
      <c r="DK191" s="1105">
        <f t="shared" si="157"/>
        <v>5128.25</v>
      </c>
      <c r="DL191" s="1104"/>
      <c r="DM191" s="1103">
        <f t="shared" si="157"/>
        <v>5150</v>
      </c>
      <c r="DN191" s="1103">
        <f t="shared" si="157"/>
        <v>5123</v>
      </c>
      <c r="DO191" s="1103">
        <f t="shared" si="157"/>
        <v>5080</v>
      </c>
      <c r="DP191" s="1103">
        <f>DP223</f>
        <v>5027</v>
      </c>
      <c r="DQ191" s="1105">
        <f t="shared" si="157"/>
        <v>5095</v>
      </c>
      <c r="DR191" s="1104"/>
      <c r="DS191" s="1103">
        <f>DS223</f>
        <v>4939</v>
      </c>
      <c r="DT191" s="1103">
        <f>DT223</f>
        <v>4868</v>
      </c>
      <c r="DU191" s="1103">
        <f>DU223</f>
        <v>4812</v>
      </c>
      <c r="DV191" s="1103">
        <f>DV223</f>
        <v>4756</v>
      </c>
      <c r="DW191" s="1105">
        <f>DW223</f>
        <v>4843.75</v>
      </c>
      <c r="DX191" s="1104"/>
      <c r="DY191" s="1103">
        <f>DY223</f>
        <v>4674</v>
      </c>
      <c r="DZ191" s="1103">
        <f>DZ223</f>
        <v>4600</v>
      </c>
      <c r="EA191" s="1103">
        <f>EA223</f>
        <v>4575</v>
      </c>
      <c r="EB191" s="1103">
        <f>EB223</f>
        <v>4569</v>
      </c>
      <c r="EC191" s="1105">
        <f>EC223</f>
        <v>4604.5</v>
      </c>
      <c r="ED191" s="1104"/>
      <c r="EE191" s="1103">
        <f>EE223</f>
        <v>4548</v>
      </c>
      <c r="EF191" s="1103">
        <f>EF223</f>
        <v>4505</v>
      </c>
      <c r="EG191" s="1103">
        <f>EG223</f>
        <v>4494</v>
      </c>
      <c r="EH191" s="1103">
        <f>EH223</f>
        <v>4463</v>
      </c>
      <c r="EI191" s="1105">
        <f>EI223</f>
        <v>4502.5</v>
      </c>
      <c r="EJ191" s="1104"/>
      <c r="EK191" s="1103">
        <f>EK223</f>
        <v>4412</v>
      </c>
      <c r="EL191" s="1103">
        <f>EL223</f>
        <v>4316</v>
      </c>
      <c r="EM191" s="1103">
        <f>EM223</f>
        <v>4256</v>
      </c>
      <c r="EN191" s="1103">
        <f>EN223</f>
        <v>4238</v>
      </c>
      <c r="EO191" s="1105">
        <f>EO223</f>
        <v>4305.5</v>
      </c>
      <c r="EP191" s="1104"/>
      <c r="EQ191" s="1103">
        <f>EQ223</f>
        <v>4221</v>
      </c>
      <c r="ER191" s="1103">
        <f>ER223</f>
        <v>4195</v>
      </c>
      <c r="ES191" s="1103">
        <f>ES223</f>
        <v>4204</v>
      </c>
      <c r="ET191" s="1103">
        <f>ET223</f>
        <v>4248</v>
      </c>
      <c r="EU191" s="1105">
        <f>EU223</f>
        <v>4217</v>
      </c>
      <c r="EV191" s="1104"/>
      <c r="EW191" s="1103">
        <f>EW223</f>
        <v>4284</v>
      </c>
      <c r="EX191" s="1103">
        <f>EX223</f>
        <v>4283</v>
      </c>
      <c r="EY191" s="1103">
        <f>EY223</f>
        <v>4236</v>
      </c>
      <c r="EZ191" s="1103">
        <f>EZ223</f>
        <v>4193.7882548624875</v>
      </c>
      <c r="FA191" s="1105">
        <f>FA223</f>
        <v>4249.1970637156219</v>
      </c>
      <c r="FB191" s="1104"/>
      <c r="FC191" s="1103">
        <f>FC223</f>
        <v>4147.5907073418175</v>
      </c>
      <c r="FD191" s="1103">
        <f>FD223</f>
        <v>4116.0570931068869</v>
      </c>
      <c r="FE191" s="1103">
        <f>FE223</f>
        <v>4085.3929871682512</v>
      </c>
      <c r="FF191" s="1103">
        <f>FF223</f>
        <v>4055.5855396496108</v>
      </c>
      <c r="FG191" s="1105">
        <f>FG223</f>
        <v>4101.1565818166418</v>
      </c>
      <c r="FH191" s="1104"/>
      <c r="FI191" s="1103">
        <f>FI223</f>
        <v>4027.2172494611996</v>
      </c>
      <c r="FJ191" s="1103">
        <f>FJ223</f>
        <v>4000.2756437196176</v>
      </c>
      <c r="FK191" s="1103">
        <f>FK223</f>
        <v>3974.1532749829084</v>
      </c>
      <c r="FL191" s="1103">
        <f>FL223</f>
        <v>3948.8380363002625</v>
      </c>
      <c r="FM191" s="1105">
        <f>FM223</f>
        <v>3987.621051115997</v>
      </c>
      <c r="FN191" s="1123"/>
      <c r="FO191" s="319"/>
      <c r="FP191" s="288"/>
      <c r="FQ191" s="288"/>
      <c r="FR191" s="288"/>
      <c r="FS191" s="1725"/>
      <c r="FT191" s="288"/>
      <c r="FU191" s="288"/>
      <c r="FV191" s="288"/>
      <c r="FW191" s="288"/>
      <c r="FX191" s="288"/>
      <c r="FY191" s="288"/>
      <c r="FZ191" s="243"/>
      <c r="GA191" s="243">
        <f>AVERAGE(EY191,EZ191,FC191,FD191)</f>
        <v>4173.3590138277978</v>
      </c>
      <c r="GB191" s="243">
        <f>AVERAGE(FE191,FF191,FI191,FJ191)</f>
        <v>4042.1178549996703</v>
      </c>
      <c r="GC191" s="236"/>
      <c r="GD191" s="236"/>
      <c r="GE191" s="236"/>
      <c r="GF191" s="236"/>
      <c r="GI191"/>
      <c r="GJ191"/>
      <c r="GK191"/>
      <c r="GL191"/>
      <c r="GM191"/>
      <c r="GN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</row>
    <row r="192" spans="1:281" s="37" customFormat="1" ht="10.5" hidden="1" customHeight="1" outlineLevel="1" x14ac:dyDescent="0.2">
      <c r="A192" s="247"/>
      <c r="B192" s="952"/>
      <c r="C192" s="42"/>
      <c r="D192" s="42"/>
      <c r="E192" s="42"/>
      <c r="F192" s="42"/>
      <c r="G192" s="42"/>
      <c r="H192" s="22"/>
      <c r="I192" s="22"/>
      <c r="J192" s="42"/>
      <c r="K192" s="42"/>
      <c r="L192" s="22"/>
      <c r="M192" s="22"/>
      <c r="N192" s="36"/>
      <c r="O192" s="42"/>
      <c r="P192" s="42"/>
      <c r="Q192" s="42"/>
      <c r="R192" s="42"/>
      <c r="S192" s="22"/>
      <c r="T192" s="36"/>
      <c r="U192" s="22"/>
      <c r="V192" s="22"/>
      <c r="W192" s="22"/>
      <c r="X192" s="22"/>
      <c r="Y192" s="22"/>
      <c r="Z192" s="36"/>
      <c r="AA192" s="22"/>
      <c r="AB192" s="22"/>
      <c r="AC192" s="22"/>
      <c r="AD192" s="22"/>
      <c r="AE192" s="22"/>
      <c r="AF192" s="36"/>
      <c r="AG192" s="22"/>
      <c r="AH192" s="22"/>
      <c r="AI192" s="22"/>
      <c r="AJ192" s="22"/>
      <c r="AK192" s="22"/>
      <c r="AL192" s="36"/>
      <c r="AM192" s="22"/>
      <c r="AN192" s="22"/>
      <c r="AO192" s="22"/>
      <c r="AP192" s="22"/>
      <c r="AQ192" s="22"/>
      <c r="AR192" s="36"/>
      <c r="AS192" s="22"/>
      <c r="AT192" s="22"/>
      <c r="AU192" s="22"/>
      <c r="AV192" s="22"/>
      <c r="AW192" s="22"/>
      <c r="AX192" s="36"/>
      <c r="AY192" s="22"/>
      <c r="AZ192" s="22"/>
      <c r="BA192" s="22"/>
      <c r="BB192" s="22"/>
      <c r="BC192" s="22"/>
      <c r="BD192" s="36"/>
      <c r="BE192" s="22"/>
      <c r="BF192" s="22"/>
      <c r="BG192" s="22"/>
      <c r="BH192" s="22"/>
      <c r="BI192" s="22"/>
      <c r="BJ192" s="36"/>
      <c r="BK192" s="22"/>
      <c r="BL192" s="22"/>
      <c r="BM192" s="22"/>
      <c r="BN192" s="22"/>
      <c r="BO192" s="22"/>
      <c r="BP192" s="36"/>
      <c r="BQ192" s="22"/>
      <c r="BR192" s="22"/>
      <c r="BS192" s="22"/>
      <c r="BT192" s="22"/>
      <c r="BU192" s="22"/>
      <c r="BV192" s="36"/>
      <c r="BW192" s="22"/>
      <c r="BX192" s="22"/>
      <c r="BY192" s="22"/>
      <c r="BZ192" s="22"/>
      <c r="CA192" s="22"/>
      <c r="CB192" s="36"/>
      <c r="CC192" s="22"/>
      <c r="CD192" s="22"/>
      <c r="CE192" s="22"/>
      <c r="CF192" s="22"/>
      <c r="CG192" s="234"/>
      <c r="CH192" s="36"/>
      <c r="CI192" s="22"/>
      <c r="CJ192" s="22"/>
      <c r="CK192" s="22"/>
      <c r="CL192" s="22"/>
      <c r="CM192" s="234"/>
      <c r="CN192" s="36"/>
      <c r="CO192" s="22"/>
      <c r="CP192" s="22"/>
      <c r="CQ192" s="22"/>
      <c r="CR192" s="22"/>
      <c r="CS192" s="234"/>
      <c r="CT192" s="36"/>
      <c r="CU192" s="22"/>
      <c r="CV192" s="22"/>
      <c r="CW192" s="22"/>
      <c r="CX192" s="22"/>
      <c r="CY192" s="234"/>
      <c r="CZ192" s="36"/>
      <c r="DA192" s="22"/>
      <c r="DB192" s="22"/>
      <c r="DC192" s="22"/>
      <c r="DD192" s="22"/>
      <c r="DE192" s="234"/>
      <c r="DF192" s="36"/>
      <c r="DG192" s="22"/>
      <c r="DH192" s="22"/>
      <c r="DI192" s="22"/>
      <c r="DJ192" s="22"/>
      <c r="DK192" s="234"/>
      <c r="DL192" s="36"/>
      <c r="DM192" s="22"/>
      <c r="DN192" s="22"/>
      <c r="DO192" s="22"/>
      <c r="DP192" s="22"/>
      <c r="DQ192" s="234"/>
      <c r="DR192" s="36"/>
      <c r="DS192" s="22"/>
      <c r="DT192" s="22"/>
      <c r="DU192" s="22"/>
      <c r="DV192" s="22"/>
      <c r="DW192" s="234"/>
      <c r="DX192" s="36"/>
      <c r="DY192" s="22"/>
      <c r="DZ192" s="22"/>
      <c r="EA192" s="22"/>
      <c r="EB192" s="22"/>
      <c r="EC192" s="234"/>
      <c r="ED192" s="36"/>
      <c r="EE192" s="22"/>
      <c r="EF192" s="22"/>
      <c r="EG192" s="22"/>
      <c r="EH192" s="22"/>
      <c r="EI192" s="234"/>
      <c r="EJ192" s="36"/>
      <c r="EK192" s="22"/>
      <c r="EL192" s="22"/>
      <c r="EM192" s="22"/>
      <c r="EN192" s="22"/>
      <c r="EO192" s="234"/>
      <c r="EP192" s="36"/>
      <c r="EQ192" s="22"/>
      <c r="ER192" s="22"/>
      <c r="ES192" s="22"/>
      <c r="ET192" s="22"/>
      <c r="EU192" s="248"/>
      <c r="EV192" s="95"/>
      <c r="EW192" s="95"/>
      <c r="EX192" s="22"/>
      <c r="EY192" s="95"/>
      <c r="EZ192" s="95"/>
      <c r="FA192" s="248"/>
      <c r="FB192" s="36"/>
      <c r="FC192" s="22"/>
      <c r="FD192" s="22"/>
      <c r="FE192" s="22"/>
      <c r="FF192" s="22"/>
      <c r="FG192" s="234"/>
      <c r="FH192" s="36"/>
      <c r="FI192" s="22"/>
      <c r="FJ192" s="22"/>
      <c r="FK192" s="22"/>
      <c r="FL192" s="22"/>
      <c r="FM192" s="234"/>
      <c r="FN192" s="1123"/>
      <c r="FO192" s="235"/>
      <c r="FS192" s="235"/>
      <c r="GI192"/>
      <c r="GJ192"/>
      <c r="GK192"/>
      <c r="GL192"/>
      <c r="GM192"/>
      <c r="GN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</row>
    <row r="193" spans="1:281" s="37" customFormat="1" ht="15" hidden="1" customHeight="1" outlineLevel="1" x14ac:dyDescent="0.2">
      <c r="A193" s="1102" t="s">
        <v>1172</v>
      </c>
      <c r="B193" s="952"/>
      <c r="C193" s="42"/>
      <c r="D193" s="42"/>
      <c r="E193" s="42"/>
      <c r="F193" s="42"/>
      <c r="G193" s="42"/>
      <c r="H193" s="22"/>
      <c r="I193" s="22"/>
      <c r="J193" s="42"/>
      <c r="K193" s="42"/>
      <c r="L193" s="22"/>
      <c r="M193" s="22"/>
      <c r="N193" s="36"/>
      <c r="O193" s="42"/>
      <c r="P193" s="42"/>
      <c r="Q193" s="42"/>
      <c r="R193" s="42"/>
      <c r="S193" s="22"/>
      <c r="T193" s="36"/>
      <c r="U193" s="22"/>
      <c r="V193" s="22"/>
      <c r="W193" s="22"/>
      <c r="X193" s="22"/>
      <c r="Y193" s="22"/>
      <c r="Z193" s="36"/>
      <c r="AA193" s="22"/>
      <c r="AB193" s="22"/>
      <c r="AC193" s="22"/>
      <c r="AD193" s="22"/>
      <c r="AE193" s="22"/>
      <c r="AF193" s="36"/>
      <c r="AG193" s="22"/>
      <c r="AH193" s="22"/>
      <c r="AI193" s="22"/>
      <c r="AJ193" s="22"/>
      <c r="AK193" s="22"/>
      <c r="AL193" s="36"/>
      <c r="AM193" s="22"/>
      <c r="AN193" s="22"/>
      <c r="AO193" s="22"/>
      <c r="AP193" s="22"/>
      <c r="AQ193" s="22"/>
      <c r="AR193" s="36"/>
      <c r="AS193" s="22"/>
      <c r="AT193" s="22"/>
      <c r="AU193" s="22"/>
      <c r="AV193" s="22"/>
      <c r="AW193" s="22"/>
      <c r="AX193" s="36"/>
      <c r="AY193" s="22"/>
      <c r="AZ193" s="22"/>
      <c r="BA193" s="22"/>
      <c r="BB193" s="22"/>
      <c r="BC193" s="22"/>
      <c r="BD193" s="36"/>
      <c r="BE193" s="22"/>
      <c r="BF193" s="22"/>
      <c r="BG193" s="22"/>
      <c r="BH193" s="22"/>
      <c r="BI193" s="22"/>
      <c r="BJ193" s="36"/>
      <c r="BK193" s="22"/>
      <c r="BL193" s="22"/>
      <c r="BM193" s="22"/>
      <c r="BN193" s="22"/>
      <c r="BO193" s="22"/>
      <c r="BP193" s="36"/>
      <c r="BQ193" s="22"/>
      <c r="BR193" s="22"/>
      <c r="BS193" s="22"/>
      <c r="BT193" s="22"/>
      <c r="BU193" s="22"/>
      <c r="BV193" s="36"/>
      <c r="BW193" s="22"/>
      <c r="BX193" s="22"/>
      <c r="BY193" s="22"/>
      <c r="BZ193" s="22"/>
      <c r="CA193" s="320">
        <f>(21.78/11.4)^(1/4)-1</f>
        <v>0.17567763326627728</v>
      </c>
      <c r="CB193" s="36"/>
      <c r="CC193" s="22"/>
      <c r="CD193" s="22"/>
      <c r="CE193" s="22"/>
      <c r="CF193" s="22"/>
      <c r="CG193" s="234"/>
      <c r="CH193" s="36"/>
      <c r="CI193" s="22"/>
      <c r="CJ193" s="22"/>
      <c r="CK193" s="22"/>
      <c r="CL193" s="22"/>
      <c r="CM193" s="234"/>
      <c r="CN193" s="36"/>
      <c r="CO193" s="22"/>
      <c r="CP193" s="22"/>
      <c r="CQ193" s="22"/>
      <c r="CR193" s="22"/>
      <c r="CS193" s="321"/>
      <c r="CT193" s="36"/>
      <c r="CU193" s="22"/>
      <c r="CV193" s="22"/>
      <c r="CW193" s="22"/>
      <c r="CX193" s="22"/>
      <c r="CY193" s="965"/>
      <c r="CZ193" s="36"/>
      <c r="DA193" s="22"/>
      <c r="DB193" s="22"/>
      <c r="DC193" s="22"/>
      <c r="DD193" s="22"/>
      <c r="DE193" s="965"/>
      <c r="DF193" s="36"/>
      <c r="DG193" s="22"/>
      <c r="DH193" s="22"/>
      <c r="DI193" s="22"/>
      <c r="DJ193" s="22"/>
      <c r="DK193" s="248"/>
      <c r="DL193" s="95"/>
      <c r="DM193" s="95"/>
      <c r="DN193" s="95"/>
      <c r="DO193" s="95"/>
      <c r="DP193" s="95"/>
      <c r="DQ193" s="248"/>
      <c r="DR193" s="36"/>
      <c r="DS193" s="22"/>
      <c r="DT193" s="22"/>
      <c r="DU193" s="22"/>
      <c r="DV193" s="22"/>
      <c r="DW193" s="248"/>
      <c r="DX193" s="36"/>
      <c r="DY193" s="22"/>
      <c r="DZ193" s="22"/>
      <c r="EA193" s="22"/>
      <c r="EB193" s="22"/>
      <c r="EC193" s="248"/>
      <c r="ED193" s="36"/>
      <c r="EE193" s="22"/>
      <c r="EF193" s="22"/>
      <c r="EG193" s="22"/>
      <c r="EH193" s="22"/>
      <c r="EI193" s="248"/>
      <c r="EJ193" s="36"/>
      <c r="EK193" s="22"/>
      <c r="EL193" s="22"/>
      <c r="EM193" s="22"/>
      <c r="EN193" s="22"/>
      <c r="EO193" s="248"/>
      <c r="EP193" s="36"/>
      <c r="EQ193" s="22"/>
      <c r="ER193" s="22"/>
      <c r="ES193" s="22"/>
      <c r="ET193" s="22"/>
      <c r="EU193" s="248"/>
      <c r="EV193" s="36"/>
      <c r="EW193" s="22"/>
      <c r="EX193" s="22"/>
      <c r="EY193" s="22"/>
      <c r="EZ193" s="22"/>
      <c r="FA193" s="248"/>
      <c r="FB193" s="36"/>
      <c r="FC193" s="22"/>
      <c r="FD193" s="22"/>
      <c r="FE193" s="22"/>
      <c r="FF193" s="22"/>
      <c r="FG193" s="248"/>
      <c r="FH193" s="36"/>
      <c r="FI193" s="22"/>
      <c r="FJ193" s="22"/>
      <c r="FK193" s="22"/>
      <c r="FL193" s="22"/>
      <c r="FM193" s="248"/>
      <c r="FN193" s="1123"/>
      <c r="FO193" s="235"/>
      <c r="FQ193" s="215"/>
      <c r="FR193" s="215"/>
      <c r="FS193" s="235"/>
      <c r="FT193" s="33"/>
      <c r="FU193" s="33"/>
      <c r="FV193" s="33"/>
      <c r="FW193" s="33"/>
      <c r="FX193" s="33"/>
      <c r="FY193" s="33"/>
      <c r="FZ193" s="33"/>
      <c r="GA193" s="33"/>
      <c r="GB193" s="33"/>
      <c r="GC193" s="33"/>
      <c r="GD193" s="33"/>
      <c r="GE193" s="33"/>
      <c r="GF193" s="33"/>
      <c r="GI193"/>
      <c r="GJ193"/>
      <c r="GK193"/>
      <c r="GL193"/>
      <c r="GM193"/>
      <c r="GN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</row>
    <row r="194" spans="1:281" s="37" customFormat="1" ht="12.75" hidden="1" customHeight="1" outlineLevel="1" x14ac:dyDescent="0.2">
      <c r="A194" s="322"/>
      <c r="B194" s="32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  <c r="AH194" s="153"/>
      <c r="AI194" s="153"/>
      <c r="AJ194" s="153"/>
      <c r="AK194" s="153"/>
      <c r="AL194" s="153"/>
      <c r="AM194" s="153"/>
      <c r="AN194" s="153"/>
      <c r="AO194" s="153"/>
      <c r="AP194" s="153"/>
      <c r="AQ194" s="153"/>
      <c r="AR194" s="153"/>
      <c r="AS194" s="153"/>
      <c r="AT194" s="153"/>
      <c r="AU194" s="153"/>
      <c r="AV194" s="153"/>
      <c r="AW194" s="153"/>
      <c r="AX194" s="153"/>
      <c r="AY194" s="153"/>
      <c r="AZ194" s="153"/>
      <c r="BA194" s="153"/>
      <c r="BB194" s="153"/>
      <c r="BC194" s="153"/>
      <c r="BD194" s="153"/>
      <c r="BE194" s="153"/>
      <c r="BF194" s="153"/>
      <c r="BG194" s="153"/>
      <c r="BH194" s="153"/>
      <c r="BI194" s="153"/>
      <c r="BJ194" s="153"/>
      <c r="BK194" s="153"/>
      <c r="BL194" s="153"/>
      <c r="BM194" s="153"/>
      <c r="BN194" s="153"/>
      <c r="BO194" s="153"/>
      <c r="BP194" s="153"/>
      <c r="BQ194" s="324"/>
      <c r="BR194" s="324"/>
      <c r="BS194" s="324"/>
      <c r="BT194" s="324"/>
      <c r="BU194" s="153"/>
      <c r="BV194" s="153"/>
      <c r="BW194" s="324"/>
      <c r="BX194" s="324"/>
      <c r="BY194" s="324"/>
      <c r="BZ194" s="324"/>
      <c r="CA194" s="153"/>
      <c r="CB194" s="153"/>
      <c r="CC194" s="324"/>
      <c r="CD194" s="324"/>
      <c r="CE194" s="324"/>
      <c r="CF194" s="324"/>
      <c r="CG194" s="325"/>
      <c r="CH194" s="153"/>
      <c r="CI194" s="324"/>
      <c r="CJ194" s="324"/>
      <c r="CK194" s="324"/>
      <c r="CL194" s="324"/>
      <c r="CM194" s="325"/>
      <c r="CN194" s="153"/>
      <c r="CO194" s="324"/>
      <c r="CP194" s="324"/>
      <c r="CQ194" s="284"/>
      <c r="CR194" s="284"/>
      <c r="CS194" s="966"/>
      <c r="CT194" s="283"/>
      <c r="CU194" s="284"/>
      <c r="CV194" s="284"/>
      <c r="CW194" s="284"/>
      <c r="CX194" s="284"/>
      <c r="CY194" s="966"/>
      <c r="CZ194" s="283"/>
      <c r="DA194" s="284"/>
      <c r="DB194" s="284"/>
      <c r="DC194" s="284"/>
      <c r="DD194" s="284"/>
      <c r="DE194" s="966"/>
      <c r="DF194" s="283"/>
      <c r="DG194" s="284">
        <f>DG91</f>
        <v>7588</v>
      </c>
      <c r="DH194" s="284">
        <f>DH91</f>
        <v>8694</v>
      </c>
      <c r="DI194" s="284">
        <f>DI91</f>
        <v>8807</v>
      </c>
      <c r="DJ194" s="284">
        <f>DJ91</f>
        <v>10806</v>
      </c>
      <c r="DK194" s="966"/>
      <c r="DL194" s="283"/>
      <c r="DM194" s="284">
        <f>DM91</f>
        <v>8398</v>
      </c>
      <c r="DN194" s="284">
        <f>DN91</f>
        <v>8811</v>
      </c>
      <c r="DO194" s="284">
        <f>DO91</f>
        <v>9062.3392000000003</v>
      </c>
      <c r="DP194" s="284">
        <v>10895.7</v>
      </c>
      <c r="DQ194" s="966">
        <v>37181</v>
      </c>
      <c r="DR194" s="283"/>
      <c r="DS194" s="284">
        <v>8689</v>
      </c>
      <c r="DT194" s="284">
        <v>9370</v>
      </c>
      <c r="DU194" s="284">
        <v>9711</v>
      </c>
      <c r="DV194" s="284">
        <v>11746</v>
      </c>
      <c r="DW194" s="966">
        <v>39556</v>
      </c>
      <c r="DX194" s="283"/>
      <c r="DY194" s="284">
        <v>9319</v>
      </c>
      <c r="DZ194" s="284">
        <v>9195</v>
      </c>
      <c r="EA194" s="284">
        <v>9361</v>
      </c>
      <c r="EB194" s="284">
        <v>11506</v>
      </c>
      <c r="EC194" s="966">
        <v>38495</v>
      </c>
      <c r="ED194" s="283"/>
      <c r="EE194" s="284">
        <v>8779.77</v>
      </c>
      <c r="EF194" s="284">
        <v>9500</v>
      </c>
      <c r="EG194" s="284">
        <v>9688.94</v>
      </c>
      <c r="EH194" s="284">
        <v>10923.45</v>
      </c>
      <c r="EI194" s="966"/>
      <c r="EJ194" s="283"/>
      <c r="EK194" s="284">
        <v>8528.83</v>
      </c>
      <c r="EL194" s="284">
        <v>9060</v>
      </c>
      <c r="EM194" s="284">
        <v>9130</v>
      </c>
      <c r="EN194" s="284">
        <v>10469</v>
      </c>
      <c r="EO194" s="966"/>
      <c r="EP194" s="283"/>
      <c r="EQ194" s="284">
        <v>8696.3799999999992</v>
      </c>
      <c r="ER194" s="284">
        <v>9060</v>
      </c>
      <c r="ES194" s="284"/>
      <c r="ET194" s="284"/>
      <c r="EU194" s="966"/>
      <c r="EV194" s="283"/>
      <c r="EW194" s="284"/>
      <c r="EX194" s="284"/>
      <c r="EY194" s="284"/>
      <c r="EZ194" s="284"/>
      <c r="FA194" s="966"/>
      <c r="FB194" s="283"/>
      <c r="FC194" s="284"/>
      <c r="FD194" s="284"/>
      <c r="FE194" s="284"/>
      <c r="FF194" s="284"/>
      <c r="FG194" s="966"/>
      <c r="FH194" s="283"/>
      <c r="FI194" s="284"/>
      <c r="FJ194" s="284"/>
      <c r="FK194" s="284"/>
      <c r="FL194" s="284"/>
      <c r="FM194" s="966"/>
      <c r="FN194" s="1123"/>
      <c r="FO194" s="286"/>
      <c r="FP194" s="284"/>
      <c r="FQ194" s="284"/>
      <c r="FR194" s="284"/>
      <c r="FS194" s="1708"/>
      <c r="FT194" s="1709">
        <f>DI194+DJ194+DM194+DN194</f>
        <v>36822</v>
      </c>
      <c r="FU194" s="1709">
        <f>DO194+DP194+DS194+DT194</f>
        <v>38017.039199999999</v>
      </c>
      <c r="FV194" s="1709">
        <f>DY194+DV194+DZ194+DU194</f>
        <v>39971</v>
      </c>
      <c r="FW194" s="1709"/>
      <c r="FX194" s="1709"/>
      <c r="FY194" s="1709"/>
      <c r="FZ194" s="1709"/>
      <c r="GA194" s="1709"/>
      <c r="GB194" s="1709"/>
      <c r="GC194" s="243"/>
      <c r="GD194" s="709"/>
      <c r="GE194" s="243"/>
      <c r="GF194" s="243"/>
      <c r="GI194"/>
      <c r="GJ194"/>
      <c r="GK194"/>
      <c r="GL194"/>
      <c r="GM194"/>
      <c r="GN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</row>
    <row r="195" spans="1:281" s="305" customFormat="1" ht="13.5" hidden="1" customHeight="1" outlineLevel="1" x14ac:dyDescent="0.2">
      <c r="A195" s="328" t="s">
        <v>433</v>
      </c>
      <c r="B195" s="326"/>
      <c r="CG195" s="327"/>
      <c r="CM195" s="327"/>
      <c r="CR195" s="243"/>
      <c r="CS195" s="171"/>
      <c r="CT195" s="244"/>
      <c r="CU195" s="243"/>
      <c r="CV195" s="243"/>
      <c r="CW195" s="243"/>
      <c r="CX195" s="243"/>
      <c r="CY195" s="171"/>
      <c r="CZ195" s="244"/>
      <c r="DA195" s="69"/>
      <c r="DB195" s="243"/>
      <c r="DC195" s="243"/>
      <c r="DD195" s="243"/>
      <c r="DE195" s="171"/>
      <c r="DF195" s="244"/>
      <c r="DG195" s="243">
        <f>DG169</f>
        <v>2947</v>
      </c>
      <c r="DH195" s="243">
        <f>DH169</f>
        <v>3851</v>
      </c>
      <c r="DI195" s="243">
        <f>DI169</f>
        <v>3892</v>
      </c>
      <c r="DJ195" s="243">
        <f>DJ169</f>
        <v>5238</v>
      </c>
      <c r="DK195" s="171"/>
      <c r="DL195" s="244"/>
      <c r="DM195" s="243">
        <f>DM169</f>
        <v>3566</v>
      </c>
      <c r="DN195" s="243">
        <f>DN169</f>
        <v>3929</v>
      </c>
      <c r="DO195" s="243">
        <f>DO169</f>
        <v>4205.3392000000003</v>
      </c>
      <c r="DP195" s="243">
        <v>5410</v>
      </c>
      <c r="DQ195" s="171">
        <v>16999.66</v>
      </c>
      <c r="DR195" s="244"/>
      <c r="DS195" s="243">
        <v>3700</v>
      </c>
      <c r="DT195" s="243">
        <v>4252.7</v>
      </c>
      <c r="DU195" s="243">
        <v>4491</v>
      </c>
      <c r="DV195" s="243">
        <v>5903</v>
      </c>
      <c r="DW195" s="168">
        <v>18554.41</v>
      </c>
      <c r="DX195" s="244"/>
      <c r="DY195" s="243">
        <v>4046</v>
      </c>
      <c r="DZ195" s="243">
        <v>4315</v>
      </c>
      <c r="EA195" s="243">
        <v>4424</v>
      </c>
      <c r="EB195" s="243">
        <v>5902</v>
      </c>
      <c r="EC195" s="168">
        <v>18270</v>
      </c>
      <c r="ED195" s="244"/>
      <c r="EE195" s="243">
        <v>3984.87</v>
      </c>
      <c r="EF195" s="243">
        <f>EF194*0.449</f>
        <v>4265.5</v>
      </c>
      <c r="EG195" s="243">
        <v>4506.92</v>
      </c>
      <c r="EH195" s="243">
        <v>5330.37</v>
      </c>
      <c r="EI195" s="168"/>
      <c r="EJ195" s="244"/>
      <c r="EK195" s="243">
        <v>3419.3</v>
      </c>
      <c r="EL195" s="243">
        <v>3851</v>
      </c>
      <c r="EM195" s="243">
        <f>EM194*0.465</f>
        <v>4245.45</v>
      </c>
      <c r="EN195" s="243">
        <f>EN194*46.3%</f>
        <v>4847.1469999999999</v>
      </c>
      <c r="EO195" s="168"/>
      <c r="EP195" s="244"/>
      <c r="EQ195" s="243">
        <v>3552.91</v>
      </c>
      <c r="ER195" s="243">
        <v>3851</v>
      </c>
      <c r="ES195" s="243"/>
      <c r="ET195" s="243"/>
      <c r="EU195" s="168"/>
      <c r="EV195" s="244"/>
      <c r="EW195" s="243"/>
      <c r="EX195" s="243"/>
      <c r="EY195" s="243"/>
      <c r="EZ195" s="243"/>
      <c r="FA195" s="168"/>
      <c r="FB195" s="244"/>
      <c r="FC195" s="243"/>
      <c r="FD195" s="243"/>
      <c r="FE195" s="243"/>
      <c r="FF195" s="243"/>
      <c r="FG195" s="168"/>
      <c r="FH195" s="244"/>
      <c r="FI195" s="243"/>
      <c r="FJ195" s="243"/>
      <c r="FK195" s="243"/>
      <c r="FL195" s="243"/>
      <c r="FM195" s="168"/>
      <c r="FN195" s="327"/>
      <c r="FO195" s="328"/>
      <c r="FQ195" s="243"/>
      <c r="FR195" s="243"/>
      <c r="FS195" s="245"/>
      <c r="FT195" s="243">
        <f>DI195+DJ195+DM195+DN195</f>
        <v>16625</v>
      </c>
      <c r="FU195" s="243">
        <f>DO195+DP195+DS195+DT195</f>
        <v>17568.039199999999</v>
      </c>
      <c r="FV195" s="243">
        <f>DY195+DV195+DZ195+DU195</f>
        <v>18755</v>
      </c>
      <c r="FW195" s="243"/>
      <c r="FX195" s="243"/>
      <c r="FY195" s="243">
        <f>49/3.3</f>
        <v>14.84848484848485</v>
      </c>
      <c r="FZ195" s="243"/>
      <c r="GA195" s="243"/>
      <c r="GB195" s="243"/>
      <c r="GC195" s="243"/>
      <c r="GD195" s="698"/>
      <c r="GE195" s="243"/>
      <c r="GF195" s="243"/>
      <c r="GI195"/>
      <c r="GJ195"/>
      <c r="GK195"/>
      <c r="GL195"/>
      <c r="GM195"/>
      <c r="GN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</row>
    <row r="196" spans="1:281" s="37" customFormat="1" ht="14.25" hidden="1" customHeight="1" outlineLevel="1" x14ac:dyDescent="0.2">
      <c r="A196" s="329" t="s">
        <v>815</v>
      </c>
      <c r="B196" s="330"/>
      <c r="C196" s="331"/>
      <c r="D196" s="331"/>
      <c r="E196" s="331"/>
      <c r="F196" s="331"/>
      <c r="G196" s="331"/>
      <c r="H196" s="138"/>
      <c r="I196" s="138"/>
      <c r="J196" s="331"/>
      <c r="K196" s="331"/>
      <c r="L196" s="138"/>
      <c r="M196" s="138"/>
      <c r="N196" s="139"/>
      <c r="O196" s="331"/>
      <c r="P196" s="331"/>
      <c r="Q196" s="331"/>
      <c r="R196" s="331"/>
      <c r="S196" s="138"/>
      <c r="T196" s="139"/>
      <c r="U196" s="138"/>
      <c r="V196" s="138"/>
      <c r="W196" s="138"/>
      <c r="X196" s="138"/>
      <c r="Y196" s="138"/>
      <c r="Z196" s="139"/>
      <c r="AA196" s="138"/>
      <c r="AB196" s="138"/>
      <c r="AC196" s="138"/>
      <c r="AD196" s="138"/>
      <c r="AE196" s="138"/>
      <c r="AF196" s="139"/>
      <c r="AG196" s="138"/>
      <c r="AH196" s="138"/>
      <c r="AI196" s="138"/>
      <c r="AJ196" s="138"/>
      <c r="AK196" s="138"/>
      <c r="AL196" s="139"/>
      <c r="AM196" s="138"/>
      <c r="AN196" s="138"/>
      <c r="AO196" s="138"/>
      <c r="AP196" s="138"/>
      <c r="AQ196" s="138"/>
      <c r="AR196" s="139"/>
      <c r="AS196" s="138"/>
      <c r="AT196" s="138"/>
      <c r="AU196" s="138"/>
      <c r="AV196" s="138"/>
      <c r="AW196" s="138"/>
      <c r="AX196" s="139"/>
      <c r="AY196" s="138"/>
      <c r="AZ196" s="138"/>
      <c r="BA196" s="138"/>
      <c r="BB196" s="138"/>
      <c r="BC196" s="138"/>
      <c r="BD196" s="139"/>
      <c r="BE196" s="138"/>
      <c r="BF196" s="138"/>
      <c r="BG196" s="138"/>
      <c r="BH196" s="138"/>
      <c r="BI196" s="138"/>
      <c r="BJ196" s="139"/>
      <c r="BK196" s="138"/>
      <c r="BL196" s="138"/>
      <c r="BM196" s="138"/>
      <c r="BN196" s="138"/>
      <c r="BO196" s="138"/>
      <c r="BP196" s="139"/>
      <c r="BQ196" s="138"/>
      <c r="BR196" s="138"/>
      <c r="BS196" s="138"/>
      <c r="BT196" s="138"/>
      <c r="BU196" s="138"/>
      <c r="BV196" s="139"/>
      <c r="BW196" s="138"/>
      <c r="BX196" s="138"/>
      <c r="BY196" s="138"/>
      <c r="BZ196" s="138"/>
      <c r="CA196" s="138"/>
      <c r="CB196" s="139"/>
      <c r="CC196" s="138"/>
      <c r="CD196" s="138"/>
      <c r="CE196" s="138"/>
      <c r="CF196" s="138"/>
      <c r="CG196" s="332"/>
      <c r="CH196" s="139"/>
      <c r="CI196" s="138"/>
      <c r="CJ196" s="138"/>
      <c r="CK196" s="138"/>
      <c r="CL196" s="333"/>
      <c r="CM196" s="334"/>
      <c r="CN196" s="333"/>
      <c r="CO196" s="333"/>
      <c r="CP196" s="333"/>
      <c r="CQ196" s="333"/>
      <c r="CR196" s="335"/>
      <c r="CS196" s="334"/>
      <c r="CT196" s="333"/>
      <c r="CU196" s="333"/>
      <c r="CV196" s="333"/>
      <c r="CW196" s="333"/>
      <c r="CX196" s="333"/>
      <c r="CY196" s="334"/>
      <c r="CZ196" s="333"/>
      <c r="DA196" s="333"/>
      <c r="DB196" s="333"/>
      <c r="DC196" s="333"/>
      <c r="DD196" s="333"/>
      <c r="DE196" s="971"/>
      <c r="DF196" s="388"/>
      <c r="DG196" s="333">
        <f>DG189</f>
        <v>0.41885</v>
      </c>
      <c r="DH196" s="333">
        <f>DH189</f>
        <v>0.52315999999999996</v>
      </c>
      <c r="DI196" s="333">
        <f>DI189</f>
        <v>0.53661000000000003</v>
      </c>
      <c r="DJ196" s="333">
        <f>DJ189</f>
        <v>0.74980999999999998</v>
      </c>
      <c r="DK196" s="971"/>
      <c r="DL196" s="386"/>
      <c r="DM196" s="333">
        <f>DM189</f>
        <v>0.47864000000000001</v>
      </c>
      <c r="DN196" s="333">
        <f>DN189</f>
        <v>0.54342999999999997</v>
      </c>
      <c r="DO196" s="333">
        <f>DO189</f>
        <v>0.61580999999999997</v>
      </c>
      <c r="DP196" s="333">
        <v>0.78</v>
      </c>
      <c r="DQ196" s="971">
        <v>2.42</v>
      </c>
      <c r="DR196" s="386"/>
      <c r="DS196" s="333">
        <v>0.53</v>
      </c>
      <c r="DT196" s="333">
        <v>0.6</v>
      </c>
      <c r="DU196" s="333">
        <v>0.65</v>
      </c>
      <c r="DV196" s="333">
        <v>0.84</v>
      </c>
      <c r="DW196" s="971">
        <v>2.63</v>
      </c>
      <c r="DX196" s="386"/>
      <c r="DY196" s="333">
        <v>0.57999999999999996</v>
      </c>
      <c r="DZ196" s="333">
        <v>0.67</v>
      </c>
      <c r="EA196" s="333">
        <v>0.7</v>
      </c>
      <c r="EB196" s="333">
        <v>0.96</v>
      </c>
      <c r="EC196" s="971">
        <v>2.92</v>
      </c>
      <c r="ED196" s="386"/>
      <c r="EE196" s="333">
        <v>0.64</v>
      </c>
      <c r="EF196" s="333">
        <v>0.68</v>
      </c>
      <c r="EG196" s="333">
        <v>0.77</v>
      </c>
      <c r="EH196" s="333">
        <v>0.86</v>
      </c>
      <c r="EI196" s="971"/>
      <c r="EJ196" s="386"/>
      <c r="EK196" s="333">
        <v>0.52</v>
      </c>
      <c r="EL196" s="333">
        <v>0.6</v>
      </c>
      <c r="EM196" s="333">
        <v>0.82</v>
      </c>
      <c r="EN196" s="333">
        <v>0.81</v>
      </c>
      <c r="EO196" s="971"/>
      <c r="EP196" s="386"/>
      <c r="EQ196" s="333">
        <v>0.57999999999999996</v>
      </c>
      <c r="ER196" s="333">
        <v>0.6</v>
      </c>
      <c r="ES196" s="333"/>
      <c r="ET196" s="333"/>
      <c r="EU196" s="971"/>
      <c r="EV196" s="386"/>
      <c r="EW196" s="333"/>
      <c r="EX196" s="333"/>
      <c r="EY196" s="333"/>
      <c r="EZ196" s="333"/>
      <c r="FA196" s="971"/>
      <c r="FB196" s="386"/>
      <c r="FC196" s="333"/>
      <c r="FD196" s="333"/>
      <c r="FE196" s="333"/>
      <c r="FF196" s="333"/>
      <c r="FG196" s="971"/>
      <c r="FH196" s="386"/>
      <c r="FI196" s="333"/>
      <c r="FJ196" s="333"/>
      <c r="FK196" s="333"/>
      <c r="FL196" s="333"/>
      <c r="FM196" s="971"/>
      <c r="FN196" s="1123"/>
      <c r="FO196" s="319"/>
      <c r="FP196" s="335"/>
      <c r="FQ196" s="333"/>
      <c r="FR196" s="333"/>
      <c r="FS196" s="1726"/>
      <c r="FT196" s="333">
        <f>DI196+DJ196+DM196+DN196</f>
        <v>2.3084899999999999</v>
      </c>
      <c r="FU196" s="333">
        <f>DO196+DP196+DS196+DT196</f>
        <v>2.5258099999999999</v>
      </c>
      <c r="FV196" s="333">
        <f>DY196+DV196+DZ196+DU196</f>
        <v>2.7399999999999998</v>
      </c>
      <c r="FW196" s="333"/>
      <c r="FX196" s="333"/>
      <c r="FY196" s="333"/>
      <c r="FZ196" s="333"/>
      <c r="GA196" s="333"/>
      <c r="GB196" s="333"/>
      <c r="GC196" s="122"/>
      <c r="GD196" s="122"/>
      <c r="GE196" s="122"/>
      <c r="GF196" s="122"/>
      <c r="GH196" s="317"/>
      <c r="GI196"/>
      <c r="GJ196"/>
      <c r="GK196"/>
      <c r="GL196"/>
      <c r="GM196"/>
      <c r="GN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</row>
    <row r="197" spans="1:281" s="37" customFormat="1" ht="5.25" customHeight="1" collapsed="1" x14ac:dyDescent="0.2">
      <c r="A197" s="247"/>
      <c r="B197" s="952"/>
      <c r="C197" s="42"/>
      <c r="D197" s="42"/>
      <c r="E197" s="42"/>
      <c r="F197" s="42"/>
      <c r="G197" s="42"/>
      <c r="H197" s="22"/>
      <c r="I197" s="22"/>
      <c r="J197" s="42"/>
      <c r="K197" s="42"/>
      <c r="L197" s="22"/>
      <c r="M197" s="22"/>
      <c r="N197" s="36"/>
      <c r="O197" s="42"/>
      <c r="P197" s="42"/>
      <c r="Q197" s="42"/>
      <c r="R197" s="42"/>
      <c r="S197" s="22"/>
      <c r="T197" s="36"/>
      <c r="U197" s="22"/>
      <c r="V197" s="22"/>
      <c r="W197" s="22"/>
      <c r="X197" s="22"/>
      <c r="Y197" s="22"/>
      <c r="Z197" s="36"/>
      <c r="AA197" s="22"/>
      <c r="AB197" s="22"/>
      <c r="AC197" s="22"/>
      <c r="AD197" s="22"/>
      <c r="AE197" s="22"/>
      <c r="AF197" s="36"/>
      <c r="AG197" s="22"/>
      <c r="AH197" s="22"/>
      <c r="AI197" s="22"/>
      <c r="AJ197" s="22"/>
      <c r="AK197" s="22"/>
      <c r="AL197" s="36"/>
      <c r="AM197" s="22"/>
      <c r="AN197" s="22"/>
      <c r="AO197" s="22"/>
      <c r="AP197" s="22"/>
      <c r="AQ197" s="22"/>
      <c r="AR197" s="36"/>
      <c r="AS197" s="22"/>
      <c r="AT197" s="22"/>
      <c r="AU197" s="22"/>
      <c r="AV197" s="22"/>
      <c r="AW197" s="22"/>
      <c r="AX197" s="36"/>
      <c r="AY197" s="22"/>
      <c r="AZ197" s="22"/>
      <c r="BA197" s="22"/>
      <c r="BB197" s="22"/>
      <c r="BC197" s="22"/>
      <c r="BD197" s="36"/>
      <c r="BE197" s="22"/>
      <c r="BF197" s="22"/>
      <c r="BG197" s="22"/>
      <c r="BH197" s="22"/>
      <c r="BI197" s="22"/>
      <c r="BJ197" s="36"/>
      <c r="BK197" s="22"/>
      <c r="BL197" s="22"/>
      <c r="BM197" s="22"/>
      <c r="BN197" s="22"/>
      <c r="BO197" s="22"/>
      <c r="BP197" s="36"/>
      <c r="BQ197" s="22"/>
      <c r="BR197" s="22"/>
      <c r="BS197" s="22"/>
      <c r="BT197" s="22"/>
      <c r="BU197" s="22"/>
      <c r="BV197" s="36"/>
      <c r="BW197" s="22"/>
      <c r="BX197" s="22"/>
      <c r="BY197" s="22"/>
      <c r="BZ197" s="22"/>
      <c r="CA197" s="22"/>
      <c r="CB197" s="36"/>
      <c r="CC197" s="22"/>
      <c r="CD197" s="22"/>
      <c r="CE197" s="22"/>
      <c r="CF197" s="22"/>
      <c r="CG197" s="234"/>
      <c r="CH197" s="36"/>
      <c r="CI197" s="22"/>
      <c r="CJ197" s="22"/>
      <c r="CK197" s="22"/>
      <c r="CL197" s="22"/>
      <c r="CM197" s="234"/>
      <c r="CN197" s="36"/>
      <c r="CO197" s="22"/>
      <c r="CP197" s="22"/>
      <c r="CQ197" s="22"/>
      <c r="CR197" s="22"/>
      <c r="CS197" s="234"/>
      <c r="CT197" s="36"/>
      <c r="CU197" s="22"/>
      <c r="CV197" s="22"/>
      <c r="CW197" s="22"/>
      <c r="CX197" s="22"/>
      <c r="CY197" s="234"/>
      <c r="CZ197" s="36"/>
      <c r="DA197" s="22"/>
      <c r="DB197" s="22"/>
      <c r="DC197" s="22"/>
      <c r="DD197" s="22"/>
      <c r="DE197" s="234"/>
      <c r="DF197" s="36"/>
      <c r="DG197" s="22"/>
      <c r="DH197" s="22"/>
      <c r="DI197" s="22"/>
      <c r="DJ197" s="22"/>
      <c r="DK197" s="234"/>
      <c r="DL197" s="36"/>
      <c r="DM197" s="22"/>
      <c r="DN197" s="22"/>
      <c r="DO197" s="22"/>
      <c r="DP197" s="22"/>
      <c r="DQ197" s="234"/>
      <c r="DR197" s="36"/>
      <c r="DS197" s="22"/>
      <c r="DT197" s="22"/>
      <c r="DU197" s="22"/>
      <c r="DV197" s="22"/>
      <c r="DW197" s="234"/>
      <c r="DX197" s="36"/>
      <c r="DY197" s="22"/>
      <c r="DZ197" s="22"/>
      <c r="EA197" s="22"/>
      <c r="EB197" s="22"/>
      <c r="EC197" s="234"/>
      <c r="ED197" s="36"/>
      <c r="EE197" s="22"/>
      <c r="EF197" s="22"/>
      <c r="EG197" s="22"/>
      <c r="EH197" s="22"/>
      <c r="EI197" s="234"/>
      <c r="EJ197" s="36"/>
      <c r="EK197" s="22"/>
      <c r="EL197" s="22"/>
      <c r="EM197" s="22"/>
      <c r="EN197" s="22"/>
      <c r="EO197" s="234"/>
      <c r="EP197" s="36"/>
      <c r="EQ197" s="22"/>
      <c r="ER197" s="22"/>
      <c r="ES197" s="22"/>
      <c r="ET197" s="22"/>
      <c r="EU197" s="234"/>
      <c r="EV197" s="36"/>
      <c r="EW197" s="22"/>
      <c r="EX197" s="22"/>
      <c r="EY197" s="22"/>
      <c r="EZ197" s="22"/>
      <c r="FA197" s="234"/>
      <c r="FB197" s="36"/>
      <c r="FC197" s="22"/>
      <c r="FD197" s="22"/>
      <c r="FE197" s="22"/>
      <c r="FF197" s="22"/>
      <c r="FG197" s="234"/>
      <c r="FH197" s="36"/>
      <c r="FI197" s="22"/>
      <c r="FJ197" s="22"/>
      <c r="FK197" s="22"/>
      <c r="FL197" s="22"/>
      <c r="FM197" s="234"/>
      <c r="FN197" s="1123"/>
      <c r="FO197" s="235"/>
      <c r="FS197" s="235"/>
      <c r="FT197" s="33"/>
      <c r="FU197" s="33"/>
      <c r="FV197" s="33"/>
      <c r="FW197" s="33"/>
      <c r="FX197" s="33"/>
      <c r="FY197" s="33"/>
      <c r="FZ197" s="33"/>
      <c r="GA197" s="33"/>
      <c r="GB197" s="33"/>
      <c r="GC197" s="33"/>
      <c r="GD197" s="33"/>
      <c r="GE197" s="33"/>
      <c r="GF197" s="33"/>
      <c r="GI197"/>
      <c r="GJ197"/>
      <c r="GK197"/>
      <c r="GL197"/>
      <c r="GM197"/>
      <c r="GN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</row>
    <row r="198" spans="1:281" s="37" customFormat="1" ht="10.5" hidden="1" customHeight="1" outlineLevel="1" x14ac:dyDescent="0.2">
      <c r="A198" s="357" t="s">
        <v>816</v>
      </c>
      <c r="B198" s="952"/>
      <c r="C198" s="42"/>
      <c r="D198" s="42"/>
      <c r="E198" s="42"/>
      <c r="F198" s="42"/>
      <c r="G198" s="42"/>
      <c r="H198" s="22"/>
      <c r="I198" s="22"/>
      <c r="J198" s="42"/>
      <c r="K198" s="42"/>
      <c r="L198" s="22"/>
      <c r="M198" s="22"/>
      <c r="N198" s="36"/>
      <c r="O198" s="42"/>
      <c r="P198" s="42"/>
      <c r="Q198" s="42"/>
      <c r="R198" s="42"/>
      <c r="S198" s="22"/>
      <c r="T198" s="36"/>
      <c r="U198" s="22"/>
      <c r="V198" s="22"/>
      <c r="W198" s="22"/>
      <c r="X198" s="22"/>
      <c r="Y198" s="22"/>
      <c r="Z198" s="36"/>
      <c r="AA198" s="22"/>
      <c r="AB198" s="22"/>
      <c r="AC198" s="22"/>
      <c r="AD198" s="22"/>
      <c r="AE198" s="22"/>
      <c r="AF198" s="36"/>
      <c r="AG198" s="22"/>
      <c r="AH198" s="22"/>
      <c r="AI198" s="22"/>
      <c r="AJ198" s="22"/>
      <c r="AK198" s="22"/>
      <c r="AL198" s="36"/>
      <c r="AM198" s="22"/>
      <c r="AN198" s="22"/>
      <c r="AO198" s="22"/>
      <c r="AP198" s="22"/>
      <c r="AQ198" s="22"/>
      <c r="AR198" s="36"/>
      <c r="AS198" s="22"/>
      <c r="AT198" s="22"/>
      <c r="AU198" s="22"/>
      <c r="AV198" s="22"/>
      <c r="AW198" s="22"/>
      <c r="AX198" s="36"/>
      <c r="AY198" s="22"/>
      <c r="AZ198" s="22"/>
      <c r="BA198" s="22"/>
      <c r="BB198" s="22"/>
      <c r="BC198" s="22"/>
      <c r="BD198" s="36"/>
      <c r="BE198" s="22"/>
      <c r="BF198" s="22"/>
      <c r="BG198" s="22"/>
      <c r="BH198" s="22"/>
      <c r="BI198" s="22"/>
      <c r="BJ198" s="36"/>
      <c r="BK198" s="22"/>
      <c r="BL198" s="22"/>
      <c r="BM198" s="22"/>
      <c r="BN198" s="22"/>
      <c r="BO198" s="22"/>
      <c r="BP198" s="36"/>
      <c r="BQ198" s="22"/>
      <c r="BR198" s="22"/>
      <c r="BS198" s="22"/>
      <c r="BT198" s="22"/>
      <c r="BU198" s="22"/>
      <c r="BV198" s="36"/>
      <c r="BW198" s="22"/>
      <c r="BX198" s="22"/>
      <c r="BY198" s="22"/>
      <c r="BZ198" s="22"/>
      <c r="CA198" s="22"/>
      <c r="CB198" s="36"/>
      <c r="CC198" s="22"/>
      <c r="CD198" s="22"/>
      <c r="CE198" s="22"/>
      <c r="CF198" s="22"/>
      <c r="CG198" s="234"/>
      <c r="CH198" s="36"/>
      <c r="CI198" s="22"/>
      <c r="CJ198" s="22"/>
      <c r="CK198" s="22"/>
      <c r="CL198" s="22"/>
      <c r="CM198" s="234"/>
      <c r="CN198" s="36"/>
      <c r="CO198" s="22"/>
      <c r="CP198" s="22"/>
      <c r="CQ198" s="22"/>
      <c r="CR198" s="22"/>
      <c r="CS198" s="321">
        <f>CU170-CO170</f>
        <v>3.4749606537236133E-2</v>
      </c>
      <c r="CT198" s="36"/>
      <c r="CU198" s="22">
        <f>CU187/CO187-1</f>
        <v>0.32532188841201726</v>
      </c>
      <c r="CV198" s="22"/>
      <c r="CW198" s="22"/>
      <c r="CX198" s="22"/>
      <c r="CY198" s="234"/>
      <c r="CZ198" s="36"/>
      <c r="DA198" s="22"/>
      <c r="DB198" s="22"/>
      <c r="DC198" s="22"/>
      <c r="DD198" s="22"/>
      <c r="DE198" s="234"/>
      <c r="DF198" s="36"/>
      <c r="DG198" s="22"/>
      <c r="DH198" s="22"/>
      <c r="DI198" s="22"/>
      <c r="DJ198" s="22"/>
      <c r="DK198" s="234"/>
      <c r="DL198" s="36"/>
      <c r="DM198" s="22"/>
      <c r="DN198" s="22"/>
      <c r="DO198" s="22"/>
      <c r="DP198" s="22"/>
      <c r="DQ198" s="234"/>
      <c r="DR198" s="36"/>
      <c r="DS198" s="22"/>
      <c r="DT198" s="22"/>
      <c r="DU198" s="22"/>
      <c r="DV198" s="22"/>
      <c r="DW198" s="234"/>
      <c r="DX198" s="36"/>
      <c r="DY198" s="22"/>
      <c r="DZ198" s="22"/>
      <c r="EA198" s="22"/>
      <c r="EB198" s="22"/>
      <c r="EC198" s="234"/>
      <c r="ED198" s="36"/>
      <c r="EE198" s="22"/>
      <c r="EF198" s="22"/>
      <c r="EG198" s="22"/>
      <c r="EH198" s="22"/>
      <c r="EI198" s="234"/>
      <c r="EJ198" s="36"/>
      <c r="EK198" s="22"/>
      <c r="EL198" s="22"/>
      <c r="EM198" s="22"/>
      <c r="EN198" s="22"/>
      <c r="EO198" s="234"/>
      <c r="EP198" s="36"/>
      <c r="EQ198" s="22"/>
      <c r="ER198" s="22"/>
      <c r="ES198" s="22"/>
      <c r="ET198" s="22"/>
      <c r="EU198" s="234"/>
      <c r="EV198" s="36"/>
      <c r="EW198" s="22"/>
      <c r="EX198" s="22"/>
      <c r="EY198" s="22"/>
      <c r="EZ198" s="22"/>
      <c r="FA198" s="234"/>
      <c r="FB198" s="36"/>
      <c r="FC198" s="22"/>
      <c r="FD198" s="22"/>
      <c r="FE198" s="22"/>
      <c r="FF198" s="22"/>
      <c r="FG198" s="234"/>
      <c r="FH198" s="36"/>
      <c r="FI198" s="22"/>
      <c r="FJ198" s="22"/>
      <c r="FK198" s="22"/>
      <c r="FL198" s="22"/>
      <c r="FM198" s="234"/>
      <c r="FN198" s="1123"/>
      <c r="FO198" s="235"/>
      <c r="FS198" s="235"/>
      <c r="FT198" s="33"/>
      <c r="FU198" s="33"/>
      <c r="FV198" s="33"/>
      <c r="FW198" s="33"/>
      <c r="FX198" s="33"/>
      <c r="FY198" s="33"/>
      <c r="FZ198" s="33"/>
      <c r="GA198" s="33"/>
      <c r="GB198" s="33"/>
      <c r="GC198" s="33"/>
      <c r="GD198" s="33"/>
      <c r="GE198" s="33"/>
      <c r="GF198" s="33"/>
      <c r="GI198"/>
      <c r="GJ198"/>
      <c r="GK198"/>
      <c r="GL198"/>
      <c r="GM198"/>
      <c r="GN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</row>
    <row r="199" spans="1:281" s="37" customFormat="1" ht="10.5" hidden="1" customHeight="1" outlineLevel="1" x14ac:dyDescent="0.2">
      <c r="A199" s="18" t="s">
        <v>817</v>
      </c>
      <c r="B199" s="952"/>
      <c r="C199" s="42"/>
      <c r="D199" s="42"/>
      <c r="E199" s="42"/>
      <c r="F199" s="42"/>
      <c r="G199" s="42"/>
      <c r="H199" s="22"/>
      <c r="I199" s="22"/>
      <c r="J199" s="42"/>
      <c r="K199" s="42"/>
      <c r="L199" s="22"/>
      <c r="M199" s="22"/>
      <c r="N199" s="36"/>
      <c r="O199" s="42"/>
      <c r="P199" s="42"/>
      <c r="Q199" s="42"/>
      <c r="R199" s="42"/>
      <c r="S199" s="22"/>
      <c r="T199" s="36"/>
      <c r="U199" s="22"/>
      <c r="V199" s="22"/>
      <c r="W199" s="22"/>
      <c r="X199" s="22"/>
      <c r="Y199" s="22"/>
      <c r="Z199" s="36"/>
      <c r="AA199" s="22"/>
      <c r="AB199" s="22"/>
      <c r="AC199" s="22"/>
      <c r="AD199" s="22"/>
      <c r="AE199" s="22"/>
      <c r="AF199" s="36"/>
      <c r="AG199" s="22"/>
      <c r="AH199" s="22"/>
      <c r="AI199" s="22"/>
      <c r="AJ199" s="22"/>
      <c r="AK199" s="22"/>
      <c r="AL199" s="36"/>
      <c r="AM199" s="22"/>
      <c r="AN199" s="22"/>
      <c r="AO199" s="22"/>
      <c r="AP199" s="22"/>
      <c r="AQ199" s="22"/>
      <c r="AR199" s="36"/>
      <c r="AS199" s="336"/>
      <c r="AT199" s="336"/>
      <c r="AU199" s="336"/>
      <c r="AV199" s="336"/>
      <c r="AW199" s="336"/>
      <c r="AX199" s="36"/>
      <c r="AY199" s="336"/>
      <c r="AZ199" s="336"/>
      <c r="BA199" s="336"/>
      <c r="BB199" s="336"/>
      <c r="BC199" s="336"/>
      <c r="BD199" s="36"/>
      <c r="BE199" s="336"/>
      <c r="BF199" s="336"/>
      <c r="BG199" s="336"/>
      <c r="BH199" s="336"/>
      <c r="BI199" s="336"/>
      <c r="BJ199" s="36"/>
      <c r="BK199" s="336">
        <f>+BK169-BK156+(BK232/1-BK185)</f>
        <v>443.47049920132258</v>
      </c>
      <c r="BL199" s="336">
        <f>+BL169-BL156+(BL232/1-BL185)</f>
        <v>649.6407126168225</v>
      </c>
      <c r="BM199" s="336">
        <f>+BM169-BM156+(BM232/1-BM185)</f>
        <v>675.18615469442852</v>
      </c>
      <c r="BN199" s="336">
        <f>+BN169-BN156+(BN232/1-BN185)</f>
        <v>1167.634615679385</v>
      </c>
      <c r="BO199" s="336">
        <f>SUM(BK199:BN199)</f>
        <v>2935.9319821919585</v>
      </c>
      <c r="BP199" s="36"/>
      <c r="BQ199" s="336">
        <f>+BQ169-BQ156+(BQ232/1-BQ185)</f>
        <v>556.57174151150048</v>
      </c>
      <c r="BR199" s="336">
        <f>+BR169-BR156+(BR232/1-BR185)</f>
        <v>826.17439115879756</v>
      </c>
      <c r="BS199" s="336">
        <f>+BS169-BS156+(BS232/1-BS185)</f>
        <v>840.1276035240528</v>
      </c>
      <c r="BT199" s="336">
        <f>+BT169-BT156+(BT232/1-BT185)</f>
        <v>1384.1976744186047</v>
      </c>
      <c r="BU199" s="336">
        <f>SUM(BQ199:BT199)</f>
        <v>3607.0714106129553</v>
      </c>
      <c r="BV199" s="36"/>
      <c r="BW199" s="336">
        <f>+BW169-BW156+(BW232/1-BW185)</f>
        <v>689.54333647462204</v>
      </c>
      <c r="BX199" s="336">
        <f>+BX169-BX156+(BX232/1-BX185)</f>
        <v>1095.9522514380494</v>
      </c>
      <c r="BY199" s="336">
        <f>+BY169-BY156+(BY232/1-BY185)</f>
        <v>1147.6779273652555</v>
      </c>
      <c r="BZ199" s="336">
        <f>+BZ169-BZ156+(BZ232/1-BZ185)</f>
        <v>1788.9561399095719</v>
      </c>
      <c r="CA199" s="336">
        <f>SUM(BW199:BZ199)</f>
        <v>4722.1296551874984</v>
      </c>
      <c r="CB199" s="36"/>
      <c r="CC199" s="336">
        <f>+CC169-CC156+(CC232/1-CC185)</f>
        <v>981.65608378998456</v>
      </c>
      <c r="CD199" s="336">
        <f>+CD169-CD156+(CD232/1-CD185)</f>
        <v>1310.8540180734542</v>
      </c>
      <c r="CE199" s="336">
        <f>+CE169-CE156+(CE232/1-CE185)</f>
        <v>1335.3322640413016</v>
      </c>
      <c r="CF199" s="336">
        <f>+CF169-CF156+(CF232/1-CF185)</f>
        <v>2152.985992070207</v>
      </c>
      <c r="CG199" s="337">
        <f>SUM(CC199:CF199)</f>
        <v>5780.8283579749477</v>
      </c>
      <c r="CH199" s="36"/>
      <c r="CI199" s="336">
        <f>+CI169-CI156+(CI232/1-CI185)</f>
        <v>1267.696335078534</v>
      </c>
      <c r="CJ199" s="336">
        <f>+CJ169-CJ156+(CJ232/1-CJ185)</f>
        <v>1586.7145922746781</v>
      </c>
      <c r="CK199" s="336">
        <f>+CK169-CK156+(CK232/1-CK185)</f>
        <v>1706.7362761743068</v>
      </c>
      <c r="CL199" s="336">
        <f>+CL169-CL156+(CL232/1-CL185)</f>
        <v>2660.7081401817172</v>
      </c>
      <c r="CM199" s="337">
        <f>SUM(CI199:CL199)</f>
        <v>7221.855343709236</v>
      </c>
      <c r="CN199" s="36"/>
      <c r="CO199" s="336">
        <f>+CO169-CO156</f>
        <v>1613</v>
      </c>
      <c r="CP199" s="336">
        <f>+CP169-CP156</f>
        <v>2151</v>
      </c>
      <c r="CQ199" s="336">
        <f>+CQ169-CQ156</f>
        <v>2157</v>
      </c>
      <c r="CR199" s="336">
        <f>+CR169-CR156</f>
        <v>3480</v>
      </c>
      <c r="CS199" s="337">
        <f>SUM(CO199:CR199)</f>
        <v>9401</v>
      </c>
      <c r="CT199" s="36"/>
      <c r="CU199" s="336">
        <f>+CU169-CU156+(CU232/1-CU185)</f>
        <v>2087.7362899380068</v>
      </c>
      <c r="CV199" s="336">
        <f>+CV169-CV156+(CV232/1-CV185)</f>
        <v>2519.7097560975608</v>
      </c>
      <c r="CW199" s="336">
        <f>+CW169-CW156+(CW232/1-CW185)</f>
        <v>2469.7340206185568</v>
      </c>
      <c r="CX199" s="336">
        <f>+CX169-CX156+(CX232/1-CX185)</f>
        <v>3430.6866686373041</v>
      </c>
      <c r="CY199" s="337">
        <f>SUM(CU199:CX199)</f>
        <v>10507.866735291427</v>
      </c>
      <c r="CZ199" s="36"/>
      <c r="DA199" s="336">
        <f>+DA169-DA156+(DA232/1-DA185)</f>
        <v>2233.7196261682243</v>
      </c>
      <c r="DB199" s="336">
        <f>+DB169-DB156+(DB232/1-DB185)</f>
        <v>2751.7260273972602</v>
      </c>
      <c r="DC199" s="336">
        <f>+DC169-DC156+(DC232/1-DC185)</f>
        <v>2774.1409918488607</v>
      </c>
      <c r="DD199" s="336">
        <f>+DD169-DD156+(DD232/1-DD185)</f>
        <v>4288.4274267847341</v>
      </c>
      <c r="DE199" s="337">
        <f>SUM(DA199:DD199)</f>
        <v>12048.014072199079</v>
      </c>
      <c r="DF199" s="36"/>
      <c r="DG199" s="336">
        <f>+DG169-DG156+(DG232/1-DG185)</f>
        <v>2817.7536283185841</v>
      </c>
      <c r="DH199" s="336">
        <f>+DH169-DH156+(DH232/1-DH185)</f>
        <v>3731.7182720686878</v>
      </c>
      <c r="DI199" s="336">
        <f>+DI169-DI156+(DI232/1-DI185)</f>
        <v>3763.7459503239743</v>
      </c>
      <c r="DJ199" s="336">
        <f>+DJ169-DJ156+(DJ232/1-DJ185)</f>
        <v>5110.7668845315902</v>
      </c>
      <c r="DK199" s="337">
        <f>SUM(DG199:DJ199)</f>
        <v>15423.984735242837</v>
      </c>
      <c r="DL199" s="36"/>
      <c r="DM199" s="336">
        <f>+DM169-DM156+(DM232/1-DM185)</f>
        <v>3418.7349433512222</v>
      </c>
      <c r="DN199" s="336">
        <f>+DN169-DN156+(DN232/1-DN185)</f>
        <v>3778.7368978295394</v>
      </c>
      <c r="DO199" s="336">
        <f>+DO169-DO156+(DO232/1-DO185)</f>
        <v>4048.1142436831478</v>
      </c>
      <c r="DP199" s="336">
        <f>+DP169-DP156+(DP232/1-DP185)</f>
        <v>5327.9416997762619</v>
      </c>
      <c r="DQ199" s="337">
        <f>SUM(DM199:DP199)</f>
        <v>16573.527784640173</v>
      </c>
      <c r="DR199" s="36"/>
      <c r="DS199" s="336">
        <f>+DS169-DS156+(DS232/1-DS185)</f>
        <v>3412.7661195779601</v>
      </c>
      <c r="DT199" s="336">
        <f>+DT169-DT156+(DT232/1-DT185)</f>
        <v>4083.7650085763294</v>
      </c>
      <c r="DU199" s="336">
        <f>+DU169-DU156+(DU232/1-DU185)</f>
        <v>4005.7900355871884</v>
      </c>
      <c r="DV199" s="336">
        <f>+DV169-DV156+(DV232/1-DV185)</f>
        <v>5382.7621341237491</v>
      </c>
      <c r="DW199" s="337">
        <f>SUM(DS199:DV199)</f>
        <v>16885.083297865225</v>
      </c>
      <c r="DX199" s="36"/>
      <c r="DY199" s="336">
        <f>+DY169-DY156+(DY232/1-DY185)</f>
        <v>3542.7819314641742</v>
      </c>
      <c r="DZ199" s="336">
        <f>+DZ169-DZ156+(DZ232/1-DZ185)</f>
        <v>4062.7811339440455</v>
      </c>
      <c r="EA199" s="336">
        <f>+EA169-EA156+(EA232/1-EA185)</f>
        <v>4167.76902173913</v>
      </c>
      <c r="EB199" s="336">
        <f>+EB169-EB156+(EB232/1-EB185)</f>
        <v>5532.7698675496686</v>
      </c>
      <c r="EC199" s="337">
        <f>SUM(DY199:EB199)</f>
        <v>17306.10195469702</v>
      </c>
      <c r="ED199" s="36"/>
      <c r="EE199" s="336">
        <f>+EE169-EE156+(EE232/1-EE185)</f>
        <v>3606.7851147174033</v>
      </c>
      <c r="EF199" s="336">
        <f>+EF169-EF156+(EF232/1-EF185)</f>
        <v>4149.7569208353571</v>
      </c>
      <c r="EG199" s="336">
        <f>+EG169-EG156+(EG232/1-EG185)</f>
        <v>3971.7729675308333</v>
      </c>
      <c r="EH199" s="336">
        <f>+EH169-EH156+(EH232/1-EH185)</f>
        <v>4733.7449392712551</v>
      </c>
      <c r="EI199" s="337">
        <f>SUM(EE199:EH199)</f>
        <v>16462.059942354848</v>
      </c>
      <c r="EJ199" s="36"/>
      <c r="EK199" s="336">
        <f>+EK169-EK156+(EK232/1-EK185)</f>
        <v>3222.7500798977308</v>
      </c>
      <c r="EL199" s="336">
        <f>+EL169-EL156+(EL232/1-EL185)</f>
        <v>3468.7959837019789</v>
      </c>
      <c r="EM199" s="336">
        <f>+EM169-EM156+(EM232/1-EM185)</f>
        <v>3562.7740929705215</v>
      </c>
      <c r="EN199" s="336">
        <f>+EN169-EN156+(EN232/1-EN185)</f>
        <v>4496.7558498896251</v>
      </c>
      <c r="EO199" s="337">
        <f>SUM(EK199:EN199)</f>
        <v>14751.076006459856</v>
      </c>
      <c r="EP199" s="36"/>
      <c r="EQ199" s="336">
        <f>+EQ169-EQ156+(EQ232/1-EQ185)</f>
        <v>3082.7450542437778</v>
      </c>
      <c r="ER199" s="336">
        <f>+ER169-ER156+(ER232/1-ER185)</f>
        <v>3479.5249909979784</v>
      </c>
      <c r="ES199" s="336">
        <f>+ES169-ES156+(ES232/1-ES185)</f>
        <v>3572.7841433613903</v>
      </c>
      <c r="ET199" s="336">
        <f>+ET169-ET156+(ET232/1-ET185)</f>
        <v>4680.7998723947258</v>
      </c>
      <c r="EU199" s="337">
        <f>SUM(EQ199:ET199)</f>
        <v>14815.854060997872</v>
      </c>
      <c r="EV199" s="36"/>
      <c r="EW199" s="336">
        <f>+EW169-EW156+(EW232/1-EW185)</f>
        <v>3481.75</v>
      </c>
      <c r="EX199" s="336">
        <f>+EX169-EX156+(EX232/1-EX185)</f>
        <v>3781.7478739369685</v>
      </c>
      <c r="EY199" s="336">
        <f>+EY169-EY156+(EY232/1-EY185)</f>
        <v>3899.8389566882029</v>
      </c>
      <c r="EZ199" s="336">
        <f>+EZ169-EZ156+(EZ232/1-EZ185)</f>
        <v>4812.5638072157844</v>
      </c>
      <c r="FA199" s="337">
        <f>SUM(EW199:EZ199)</f>
        <v>15975.900637840958</v>
      </c>
      <c r="FB199" s="36"/>
      <c r="FC199" s="336">
        <f>+FC169-FC156+(FC232/1-FC185)</f>
        <v>3556.5197825952032</v>
      </c>
      <c r="FD199" s="336">
        <f>+FD169-FD156+(FD232/1-FD185)</f>
        <v>3976.7086007063508</v>
      </c>
      <c r="FE199" s="336">
        <f>+FE169-FE156+(FE232/1-FE185)</f>
        <v>4060.3295994688851</v>
      </c>
      <c r="FF199" s="336">
        <f>+FF169-FF156+(FF232/1-FF185)</f>
        <v>4895.5170881152153</v>
      </c>
      <c r="FG199" s="337">
        <f>SUM(FC199:FF199)</f>
        <v>16489.075070885654</v>
      </c>
      <c r="FH199" s="36"/>
      <c r="FI199" s="336">
        <f>+FI169-FI156+(FI232/1-FI185)</f>
        <v>3779.2594222864564</v>
      </c>
      <c r="FJ199" s="336">
        <f>+FJ169-FJ156+(FJ232/1-FJ185)</f>
        <v>4144.0266562570605</v>
      </c>
      <c r="FK199" s="336">
        <f>+FK169-FK156+(FK232/1-FK185)</f>
        <v>4193.2893919728758</v>
      </c>
      <c r="FL199" s="336">
        <f>+FL169-FL156+(FL232/1-FL185)</f>
        <v>4933.9399159301165</v>
      </c>
      <c r="FM199" s="337">
        <f>SUM(FI199:FL199)</f>
        <v>17050.51538644651</v>
      </c>
      <c r="FN199" s="1123"/>
      <c r="FO199" s="235"/>
      <c r="FR199" s="37">
        <f>4205-190+21</f>
        <v>4036</v>
      </c>
      <c r="FS199" s="1727">
        <f>3128+908</f>
        <v>4036</v>
      </c>
      <c r="FT199" s="33"/>
      <c r="FU199" s="33"/>
      <c r="FV199" s="33"/>
      <c r="FW199" s="33"/>
      <c r="FX199" s="33"/>
      <c r="FY199" s="33"/>
      <c r="FZ199" s="33"/>
      <c r="GA199" s="33"/>
      <c r="GB199" s="33"/>
      <c r="GC199" s="33"/>
      <c r="GD199" s="33"/>
      <c r="GE199" s="33"/>
      <c r="GF199" s="33"/>
      <c r="GI199"/>
      <c r="GJ199"/>
      <c r="GK199"/>
      <c r="GL199"/>
      <c r="GM199"/>
      <c r="GN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</row>
    <row r="200" spans="1:281" s="37" customFormat="1" ht="10.5" hidden="1" customHeight="1" outlineLevel="1" x14ac:dyDescent="0.2">
      <c r="A200" s="901" t="s">
        <v>26</v>
      </c>
      <c r="B200" s="952"/>
      <c r="C200" s="42"/>
      <c r="D200" s="42"/>
      <c r="E200" s="42"/>
      <c r="F200" s="42"/>
      <c r="G200" s="42"/>
      <c r="H200" s="22"/>
      <c r="I200" s="22"/>
      <c r="J200" s="42"/>
      <c r="K200" s="42"/>
      <c r="L200" s="22"/>
      <c r="M200" s="22"/>
      <c r="N200" s="36"/>
      <c r="O200" s="42"/>
      <c r="P200" s="42"/>
      <c r="Q200" s="42"/>
      <c r="R200" s="42"/>
      <c r="S200" s="22"/>
      <c r="T200" s="36"/>
      <c r="U200" s="22"/>
      <c r="V200" s="22"/>
      <c r="W200" s="22"/>
      <c r="X200" s="22"/>
      <c r="Y200" s="22"/>
      <c r="Z200" s="36"/>
      <c r="AA200" s="22"/>
      <c r="AB200" s="22"/>
      <c r="AC200" s="22"/>
      <c r="AD200" s="22"/>
      <c r="AE200" s="22"/>
      <c r="AF200" s="36"/>
      <c r="AG200" s="22"/>
      <c r="AH200" s="22"/>
      <c r="AI200" s="22"/>
      <c r="AJ200" s="22"/>
      <c r="AK200" s="22"/>
      <c r="AL200" s="36"/>
      <c r="AM200" s="22"/>
      <c r="AN200" s="22"/>
      <c r="AO200" s="22"/>
      <c r="AP200" s="22"/>
      <c r="AQ200" s="22"/>
      <c r="AR200" s="36"/>
      <c r="AS200" s="22"/>
      <c r="AT200" s="22"/>
      <c r="AU200" s="22"/>
      <c r="AV200" s="22"/>
      <c r="AW200" s="22"/>
      <c r="AX200" s="36"/>
      <c r="AY200" s="22"/>
      <c r="AZ200" s="22"/>
      <c r="BA200" s="22"/>
      <c r="BB200" s="22"/>
      <c r="BC200" s="22"/>
      <c r="BD200" s="36"/>
      <c r="BE200" s="22"/>
      <c r="BF200" s="22"/>
      <c r="BG200" s="22"/>
      <c r="BH200" s="22"/>
      <c r="BI200" s="22"/>
      <c r="BJ200" s="36"/>
      <c r="BK200" s="22">
        <f>+BK199/BK91</f>
        <v>0.21867381617422219</v>
      </c>
      <c r="BL200" s="22">
        <f>+BL199/BL91</f>
        <v>0.28135154292629816</v>
      </c>
      <c r="BM200" s="22">
        <f>+BM199/BM91</f>
        <v>0.29266846757452469</v>
      </c>
      <c r="BN200" s="22">
        <f>+BN199/BN91</f>
        <v>0.4123877289254026</v>
      </c>
      <c r="BO200" s="22">
        <f>+BO199/BO91</f>
        <v>0.30984781457162319</v>
      </c>
      <c r="BP200" s="36"/>
      <c r="BQ200" s="22">
        <f>+BQ199/BQ91</f>
        <v>0.2686157053626933</v>
      </c>
      <c r="BR200" s="22">
        <f>+BR199/BR91</f>
        <v>0.33073434393866996</v>
      </c>
      <c r="BS200" s="22">
        <f>+BS199/BS91</f>
        <v>0.33484559725948698</v>
      </c>
      <c r="BT200" s="22">
        <f>+BT199/BT91</f>
        <v>0.4498529978611</v>
      </c>
      <c r="BU200" s="22">
        <f>+BU199/BU91</f>
        <v>0.35516654299064154</v>
      </c>
      <c r="BV200" s="36"/>
      <c r="BW200" s="22">
        <f>+BW199/BW91</f>
        <v>0.31130624671540497</v>
      </c>
      <c r="BX200" s="22">
        <f>+BX199/BX91</f>
        <v>0.39766046859145482</v>
      </c>
      <c r="BY200" s="22">
        <f>+BY199/BY91</f>
        <v>0.37105655588918707</v>
      </c>
      <c r="BZ200" s="22">
        <f>+BZ199/BZ91</f>
        <v>0.4411729074992779</v>
      </c>
      <c r="CA200" s="22">
        <f>+CA199/CA91</f>
        <v>0.3896468070952635</v>
      </c>
      <c r="CB200" s="36"/>
      <c r="CC200" s="22">
        <f>+CC199/CC91</f>
        <v>0.33768699132782409</v>
      </c>
      <c r="CD200" s="22">
        <f>+CD199/CD91</f>
        <v>0.38622687627385216</v>
      </c>
      <c r="CE200" s="22">
        <f>+CE199/CE91</f>
        <v>0.37781016977175802</v>
      </c>
      <c r="CF200" s="22">
        <f>+CF199/CF91</f>
        <v>0.43609195707316323</v>
      </c>
      <c r="CG200" s="234">
        <f>+CG199/CG91</f>
        <v>0.39132628130669006</v>
      </c>
      <c r="CH200" s="36"/>
      <c r="CI200" s="22">
        <f>+CI199/CI91</f>
        <v>0.34627050944510629</v>
      </c>
      <c r="CJ200" s="22">
        <f>+CJ199/CJ91</f>
        <v>0.37635545357558781</v>
      </c>
      <c r="CK200" s="22">
        <f>+CK199/CK91</f>
        <v>0.38362244912886195</v>
      </c>
      <c r="CL200" s="22">
        <f>+CL199/CL91</f>
        <v>0.4522706340611452</v>
      </c>
      <c r="CM200" s="234">
        <f>+CM199/CM91</f>
        <v>0.39660911327965487</v>
      </c>
      <c r="CN200" s="36"/>
      <c r="CO200" s="22">
        <f>+CO199/CO91</f>
        <v>0.35118658828652299</v>
      </c>
      <c r="CP200" s="22">
        <f>+CP199/CP91</f>
        <v>0.40100671140939598</v>
      </c>
      <c r="CQ200" s="22">
        <f>+CQ199/CQ91</f>
        <v>0.40160119158443491</v>
      </c>
      <c r="CR200" s="22">
        <f>+CR199/CR91</f>
        <v>0.47795632468067573</v>
      </c>
      <c r="CS200" s="234">
        <f>+CS199/CS91</f>
        <v>0.415807864124906</v>
      </c>
      <c r="CT200" s="36"/>
      <c r="CU200" s="22">
        <f>+CU199/CU91</f>
        <v>0.3850491128620448</v>
      </c>
      <c r="CV200" s="22">
        <f>+CV199/CV91</f>
        <v>0.44306484193732387</v>
      </c>
      <c r="CW200" s="22">
        <f>+CW199/CW91</f>
        <v>0.44871621014145291</v>
      </c>
      <c r="CX200" s="22">
        <f>+CX199/CX91</f>
        <v>0.4985738509863834</v>
      </c>
      <c r="CY200" s="234">
        <f>+CY199/CY91</f>
        <v>0.44725745872526718</v>
      </c>
      <c r="CZ200" s="36"/>
      <c r="DA200" s="22">
        <f>+DA199/DA91</f>
        <v>0.44118499430539687</v>
      </c>
      <c r="DB200" s="22">
        <f>+DB199/DB91</f>
        <v>0.46861819267664512</v>
      </c>
      <c r="DC200" s="22">
        <f>+DC199/DC91</f>
        <v>0.42880962559879754</v>
      </c>
      <c r="DD200" s="22">
        <f>+DD199/DD91</f>
        <v>0.44527332850012813</v>
      </c>
      <c r="DE200" s="234">
        <f>+DE199/DE91</f>
        <v>0.44563846187587675</v>
      </c>
      <c r="DF200" s="36"/>
      <c r="DG200" s="22">
        <f>+DG199/DG91</f>
        <v>0.37134338802300793</v>
      </c>
      <c r="DH200" s="22">
        <f>+DH199/DH91</f>
        <v>0.42922915482731627</v>
      </c>
      <c r="DI200" s="22">
        <f>+DI199/DI91</f>
        <v>0.42735845921698357</v>
      </c>
      <c r="DJ200" s="22">
        <f>+DJ199/DJ91</f>
        <v>0.47295640241824821</v>
      </c>
      <c r="DK200" s="234">
        <f>+DK199/DK91</f>
        <v>0.42969730422740876</v>
      </c>
      <c r="DL200" s="36"/>
      <c r="DM200" s="22">
        <f>+DM199/DM91</f>
        <v>0.40708918115637321</v>
      </c>
      <c r="DN200" s="22">
        <f>+DN199/DN91</f>
        <v>0.42886583791051408</v>
      </c>
      <c r="DO200" s="22">
        <f>+DO199/DO91</f>
        <v>0.44669639420285079</v>
      </c>
      <c r="DP200" s="22">
        <f>+DP199/DP91</f>
        <v>0.48656292197969148</v>
      </c>
      <c r="DQ200" s="234">
        <f>+DQ199/DQ91</f>
        <v>0.44526760808765203</v>
      </c>
      <c r="DR200" s="36"/>
      <c r="DS200" s="22">
        <f>+DS199/DS91</f>
        <v>0.41573469601388235</v>
      </c>
      <c r="DT200" s="22">
        <f>+DT199/DT91</f>
        <v>0.44812520669113676</v>
      </c>
      <c r="DU200" s="22">
        <f>+DU199/DU91</f>
        <v>0.44657636963067876</v>
      </c>
      <c r="DV200" s="22">
        <f>+DV199/DV91</f>
        <v>0.49108312509111846</v>
      </c>
      <c r="DW200" s="234">
        <f>+DW199/DW91</f>
        <v>0.45325432308445562</v>
      </c>
      <c r="DX200" s="36"/>
      <c r="DY200" s="22">
        <f>+DY199/DY91</f>
        <v>0.42271589684574323</v>
      </c>
      <c r="DZ200" s="22">
        <f>+DZ199/DZ91</f>
        <v>0.43765820682366102</v>
      </c>
      <c r="EA200" s="22">
        <f>+EA199/EA91</f>
        <v>0.44742555252164573</v>
      </c>
      <c r="EB200" s="22">
        <f>+EB199/EB91</f>
        <v>0.48850166586170479</v>
      </c>
      <c r="EC200" s="234">
        <f>+EC199/EC91</f>
        <v>0.45179746651082159</v>
      </c>
      <c r="ED200" s="36"/>
      <c r="EE200" s="22">
        <f>+EE199/EE91</f>
        <v>0.41944239036136799</v>
      </c>
      <c r="EF200" s="22">
        <f>+EF199/EF91</f>
        <v>0.43190642390043266</v>
      </c>
      <c r="EG200" s="22">
        <f>+EG199/EG91</f>
        <v>0.42551670961333121</v>
      </c>
      <c r="EH200" s="22">
        <f>+EH199/EH91</f>
        <v>0.44191046856527771</v>
      </c>
      <c r="EI200" s="234">
        <f>+EI199/EI91</f>
        <v>0.4303468993897171</v>
      </c>
      <c r="EJ200" s="36"/>
      <c r="EK200" s="22">
        <f>+EK199/EK91</f>
        <v>0.38134541236513203</v>
      </c>
      <c r="EL200" s="22">
        <f>+EL199/EL91</f>
        <v>0.38559315070053124</v>
      </c>
      <c r="EM200" s="22">
        <f>+EM199/EM91</f>
        <v>0.39524895639788343</v>
      </c>
      <c r="EN200" s="22">
        <f>+EN199/EN91</f>
        <v>0.42438239428931906</v>
      </c>
      <c r="EO200" s="234">
        <f>+EO199/EO91</f>
        <v>0.39806449541138939</v>
      </c>
      <c r="EP200" s="36"/>
      <c r="EQ200" s="22">
        <f>+EQ199/EQ91</f>
        <v>0.35791768887075093</v>
      </c>
      <c r="ER200" s="22">
        <f>+ER199/ER91</f>
        <v>0.38363940371188482</v>
      </c>
      <c r="ES200" s="22">
        <f>+ES199/ES91</f>
        <v>0.38524737366415679</v>
      </c>
      <c r="ET200" s="22">
        <f>+ET199/ET91</f>
        <v>0.42782194245450378</v>
      </c>
      <c r="EU200" s="234">
        <f>+EU199/EU91</f>
        <v>0.39094253175246341</v>
      </c>
      <c r="EV200" s="36"/>
      <c r="EW200" s="22">
        <f>+EW199/EW91</f>
        <v>0.37795809813287018</v>
      </c>
      <c r="EX200" s="22">
        <f>+EX199/EX91</f>
        <v>0.39270486749085864</v>
      </c>
      <c r="EY200" s="22">
        <f>+EY199/EY91</f>
        <v>0.39891969687890783</v>
      </c>
      <c r="EZ200" s="22">
        <f>+EZ199/EZ91</f>
        <v>0.4300897757087041</v>
      </c>
      <c r="FA200" s="234">
        <f>+FA199/FA91</f>
        <v>0.40132717056445416</v>
      </c>
      <c r="FB200" s="36"/>
      <c r="FC200" s="22">
        <f>+FC199/FC91</f>
        <v>0.37243405572305927</v>
      </c>
      <c r="FD200" s="22">
        <f>+FD199/FD91</f>
        <v>0.39839286618464725</v>
      </c>
      <c r="FE200" s="22">
        <f>+FE199/FE91</f>
        <v>0.4023380685173284</v>
      </c>
      <c r="FF200" s="22">
        <f>+FF199/FF91</f>
        <v>0.42930037973868546</v>
      </c>
      <c r="FG200" s="234">
        <f>+FG199/FG91</f>
        <v>0.40191196325233391</v>
      </c>
      <c r="FH200" s="36"/>
      <c r="FI200" s="22">
        <f>+FI199/FI91</f>
        <v>0.38022269520024465</v>
      </c>
      <c r="FJ200" s="22">
        <f>+FJ199/FJ91</f>
        <v>0.40066569780604733</v>
      </c>
      <c r="FK200" s="22">
        <f>+FK199/FK91</f>
        <v>0.40165575967699735</v>
      </c>
      <c r="FL200" s="22">
        <f>+FL199/FL91</f>
        <v>0.42255661409151268</v>
      </c>
      <c r="FM200" s="234">
        <f>+FM199/FM91</f>
        <v>0.40214564776430894</v>
      </c>
      <c r="FN200" s="1123"/>
      <c r="FO200" s="235"/>
      <c r="FP200" s="338">
        <f>1.75*15</f>
        <v>26.25</v>
      </c>
      <c r="FS200" s="235"/>
      <c r="FT200" s="33"/>
      <c r="FU200" s="33"/>
      <c r="FV200" s="33"/>
      <c r="FW200" s="33"/>
      <c r="FX200" s="33"/>
      <c r="FY200" s="33"/>
      <c r="FZ200" s="33"/>
      <c r="GA200" s="33"/>
      <c r="GB200" s="33"/>
      <c r="GC200" s="33"/>
      <c r="GD200" s="33"/>
      <c r="GE200" s="33"/>
      <c r="GF200" s="33"/>
      <c r="GI200"/>
      <c r="GJ200"/>
      <c r="GK200"/>
      <c r="GL200"/>
      <c r="GM200"/>
      <c r="GN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</row>
    <row r="201" spans="1:281" s="37" customFormat="1" ht="10.5" hidden="1" customHeight="1" outlineLevel="1" x14ac:dyDescent="0.2">
      <c r="A201" s="18" t="s">
        <v>45</v>
      </c>
      <c r="B201" s="952"/>
      <c r="C201" s="42"/>
      <c r="D201" s="42"/>
      <c r="E201" s="42"/>
      <c r="F201" s="42"/>
      <c r="G201" s="42"/>
      <c r="H201" s="22"/>
      <c r="I201" s="22"/>
      <c r="J201" s="42"/>
      <c r="K201" s="42"/>
      <c r="L201" s="22"/>
      <c r="M201" s="22"/>
      <c r="N201" s="36"/>
      <c r="O201" s="42"/>
      <c r="P201" s="42"/>
      <c r="Q201" s="42"/>
      <c r="R201" s="42"/>
      <c r="S201" s="22"/>
      <c r="T201" s="36"/>
      <c r="U201" s="22"/>
      <c r="V201" s="22"/>
      <c r="W201" s="22"/>
      <c r="X201" s="22"/>
      <c r="Y201" s="22"/>
      <c r="Z201" s="36"/>
      <c r="AA201" s="22"/>
      <c r="AB201" s="22"/>
      <c r="AC201" s="22"/>
      <c r="AD201" s="22"/>
      <c r="AE201" s="22"/>
      <c r="AF201" s="36"/>
      <c r="AG201" s="22"/>
      <c r="AH201" s="22"/>
      <c r="AI201" s="22"/>
      <c r="AJ201" s="22"/>
      <c r="AK201" s="22"/>
      <c r="AL201" s="36"/>
      <c r="AM201" s="22"/>
      <c r="AN201" s="22"/>
      <c r="AO201" s="22"/>
      <c r="AP201" s="22"/>
      <c r="AQ201" s="22"/>
      <c r="AR201" s="36"/>
      <c r="AS201" s="336"/>
      <c r="AT201" s="336"/>
      <c r="AU201" s="336"/>
      <c r="AV201" s="336"/>
      <c r="AW201" s="336"/>
      <c r="AX201" s="36"/>
      <c r="AY201" s="336"/>
      <c r="AZ201" s="336"/>
      <c r="BA201" s="336"/>
      <c r="BB201" s="336"/>
      <c r="BC201" s="336"/>
      <c r="BD201" s="36"/>
      <c r="BE201" s="336"/>
      <c r="BF201" s="336"/>
      <c r="BG201" s="336"/>
      <c r="BH201" s="336"/>
      <c r="BI201" s="336"/>
      <c r="BJ201" s="36"/>
      <c r="BK201" s="336">
        <f>+(BK199+BK176)*(1-BK185)</f>
        <v>253.28808663994951</v>
      </c>
      <c r="BL201" s="336">
        <f>+(BL199+BL176)*(1-BL185)</f>
        <v>438.45972656250001</v>
      </c>
      <c r="BM201" s="336">
        <f>+(BM199+BM176)*(1-BM185)</f>
        <v>487.78563851691041</v>
      </c>
      <c r="BN201" s="336">
        <f>+(BN199+BN176)*(1-BN185)</f>
        <v>789.1801271964722</v>
      </c>
      <c r="BO201" s="336">
        <f>SUM(BK201:BN201)</f>
        <v>1968.7135789158319</v>
      </c>
      <c r="BP201" s="36"/>
      <c r="BQ201" s="336">
        <f>+(BQ199+BQ176)*(1-BQ185)</f>
        <v>400.6198287124401</v>
      </c>
      <c r="BR201" s="336">
        <f>+(BR199+BR176)*(1-BR185)</f>
        <v>557.16877657748694</v>
      </c>
      <c r="BS201" s="336">
        <f>+(BS199+BS176)*(1-BS185)</f>
        <v>575.77896472965062</v>
      </c>
      <c r="BT201" s="336">
        <f>+(BT199+BT176)*(1-BT185)</f>
        <v>974.78907517577079</v>
      </c>
      <c r="BU201" s="336">
        <f>SUM(BQ201:BT201)</f>
        <v>2508.3566451953484</v>
      </c>
      <c r="BV201" s="36"/>
      <c r="BW201" s="336">
        <f>+(BW199+BW176)*(1-BW185)</f>
        <v>491.44249087477311</v>
      </c>
      <c r="BX201" s="336">
        <f>+(BX199+BX176)*(1-BX185)</f>
        <v>790.24790721144745</v>
      </c>
      <c r="BY201" s="336">
        <f>+(BY199+BY176)*(1-BY185)</f>
        <v>803.78226469578942</v>
      </c>
      <c r="BZ201" s="336">
        <f>+(BZ199+BZ176)*(1-BZ185)</f>
        <v>1300.171372884342</v>
      </c>
      <c r="CA201" s="336">
        <f>SUM(BW201:BZ201)</f>
        <v>3385.644035666352</v>
      </c>
      <c r="CB201" s="36"/>
      <c r="CC201" s="336">
        <f>+(CC199+CC176)*(1-CC185)</f>
        <v>709.4536815311684</v>
      </c>
      <c r="CD201" s="336">
        <f>+(CD199+CD176)*(1-CD185)</f>
        <v>935.84919762777952</v>
      </c>
      <c r="CE201" s="336">
        <f>+(CE199+CE176)*(1-CE185)</f>
        <v>966.02936150402797</v>
      </c>
      <c r="CF201" s="336">
        <f>+(CF199+CF176)*(1-CF185)</f>
        <v>1504.7725004060267</v>
      </c>
      <c r="CG201" s="337">
        <f>SUM(CC201:CF201)</f>
        <v>4116.1047410690026</v>
      </c>
      <c r="CH201" s="36"/>
      <c r="CI201" s="336">
        <f>+(CI199+CI176)*(1-CI185)</f>
        <v>895.97179353636147</v>
      </c>
      <c r="CJ201" s="336">
        <f>+(CJ199+CJ176)*(1-CJ185)</f>
        <v>1131.7102129344803</v>
      </c>
      <c r="CK201" s="336">
        <f>+(CK199+CK176)*(1-CK185)</f>
        <v>1265.4645700638218</v>
      </c>
      <c r="CL201" s="336">
        <f>+(CL199+CL176)*(1-CL185)</f>
        <v>1871.7618927042422</v>
      </c>
      <c r="CM201" s="337">
        <f>SUM(CI201:CL201)</f>
        <v>5164.908469238906</v>
      </c>
      <c r="CN201" s="36"/>
      <c r="CO201" s="336">
        <f>+(CO199+CO176)*(1-CO185)</f>
        <v>1116.7207207207207</v>
      </c>
      <c r="CP201" s="336">
        <f>+(CP199+CP176)*(1-CP185)</f>
        <v>1567.7757009345794</v>
      </c>
      <c r="CQ201" s="336">
        <f>+(CQ199+CQ176)*(1-CQ185)</f>
        <v>1541.7262494371905</v>
      </c>
      <c r="CR201" s="336">
        <f>+(CR199+CR176)*(1-CR185)</f>
        <v>2389.6825035561878</v>
      </c>
      <c r="CS201" s="337">
        <f>SUM(CO201:CR201)</f>
        <v>6615.9051746486784</v>
      </c>
      <c r="CT201" s="36"/>
      <c r="CU201" s="336">
        <f>+(CU199+CU176)*(1-CU185)</f>
        <v>1480.484898266229</v>
      </c>
      <c r="CV201" s="336">
        <f>+(CV199+CV176)*(1-CV185)</f>
        <v>1682.625704937537</v>
      </c>
      <c r="CW201" s="336">
        <f>+(CW199+CW176)*(1-CW185)</f>
        <v>1717.4130130725903</v>
      </c>
      <c r="CX201" s="336">
        <f>+(CX199+CX176)*(1-CX185)</f>
        <v>2266.4780169212113</v>
      </c>
      <c r="CY201" s="337">
        <f>SUM(CU201:CX201)</f>
        <v>7147.0016331975676</v>
      </c>
      <c r="CZ201" s="36"/>
      <c r="DA201" s="336">
        <f>+(DA199+DA176)*(1-DA185)</f>
        <v>1479.3496375229277</v>
      </c>
      <c r="DB201" s="336">
        <f>+(DB199+DB176)*(1-DB185)</f>
        <v>1885.2942390692438</v>
      </c>
      <c r="DC201" s="336">
        <f>+(DC199+DC176)*(1-DC185)</f>
        <v>1862.2169899987709</v>
      </c>
      <c r="DD201" s="336">
        <f>+(DD199+DD176)*(1-DD185)</f>
        <v>2955.8459480659317</v>
      </c>
      <c r="DE201" s="337">
        <f>SUM(DA201:DD201)</f>
        <v>8182.7068146568745</v>
      </c>
      <c r="DF201" s="36"/>
      <c r="DG201" s="336">
        <f>+(DG199+DG176)*(1-DG185)</f>
        <v>2031.5962742266427</v>
      </c>
      <c r="DH201" s="336">
        <f>+(DH199+DH176)*(1-DH185)</f>
        <v>2591.323266522103</v>
      </c>
      <c r="DI201" s="336">
        <f>+(DI199+DI176)*(1-DI185)</f>
        <v>2667.3288500931808</v>
      </c>
      <c r="DJ201" s="336">
        <f>+(DJ199+DJ176)*(1-DJ185)</f>
        <v>3774.4268918412195</v>
      </c>
      <c r="DK201" s="337">
        <f>SUM(DG201:DJ201)</f>
        <v>11064.675282683147</v>
      </c>
      <c r="DL201" s="36"/>
      <c r="DM201" s="336">
        <f>+(DM199+DM176)*(1-DM185)</f>
        <v>2356.7685257485878</v>
      </c>
      <c r="DN201" s="336">
        <f>+(DN199+DN176)*(1-DN185)</f>
        <v>2673.2714461507244</v>
      </c>
      <c r="DO201" s="336">
        <f>+(DO199+DO176)*(1-DO185)</f>
        <v>3006.482990773507</v>
      </c>
      <c r="DP201" s="336">
        <f>+(DP199+DP176)*(1-DP185)</f>
        <v>3999.1012650416155</v>
      </c>
      <c r="DQ201" s="337">
        <f>SUM(DM201:DP201)</f>
        <v>12035.624227714436</v>
      </c>
      <c r="DR201" s="36"/>
      <c r="DS201" s="336">
        <f>+(DS199+DS176)*(1-DS185)</f>
        <v>2478.9837739087889</v>
      </c>
      <c r="DT201" s="336">
        <f>+(DT199+DT176)*(1-DT185)</f>
        <v>2977.9986171956139</v>
      </c>
      <c r="DU201" s="336">
        <f>+(DU199+DU176)*(1-DU185)</f>
        <v>2971.9479996453942</v>
      </c>
      <c r="DV201" s="336">
        <f>+(DV199+DV176)*(1-DV185)</f>
        <v>3969.0132307864219</v>
      </c>
      <c r="DW201" s="337">
        <f>SUM(DS201:DV201)</f>
        <v>12397.943621536218</v>
      </c>
      <c r="DX201" s="36"/>
      <c r="DY201" s="336">
        <f>+(DY199+DY176)*(1-DY185)</f>
        <v>2606.0070554439494</v>
      </c>
      <c r="DZ201" s="336">
        <f>+(DZ199+DZ176)*(1-DZ185)</f>
        <v>3011.8815245341575</v>
      </c>
      <c r="EA201" s="336">
        <f>+(EA199+EA176)*(1-EA185)</f>
        <v>2960.5560683482986</v>
      </c>
      <c r="EB201" s="336">
        <f>+(EB199+EB176)*(1-EB185)</f>
        <v>4013.1423649182052</v>
      </c>
      <c r="EC201" s="337">
        <f>SUM(DY201:EB201)</f>
        <v>12591.587013244611</v>
      </c>
      <c r="ED201" s="36"/>
      <c r="EE201" s="336">
        <f>+(EE199+EE176)*(1-EE185)</f>
        <v>2639.3869703125442</v>
      </c>
      <c r="EF201" s="336">
        <f>+(EF199+EF176)*(1-EF185)</f>
        <v>2934.3980869946108</v>
      </c>
      <c r="EG201" s="336">
        <f>+(EG199+EG176)*(1-EG185)</f>
        <v>2889.9501090579383</v>
      </c>
      <c r="EH201" s="336">
        <f>+(EH199+EH176)*(1-EH185)</f>
        <v>3314.0448130603677</v>
      </c>
      <c r="EI201" s="337">
        <f>SUM(EE201:EH201)</f>
        <v>11777.779979425461</v>
      </c>
      <c r="EJ201" s="36"/>
      <c r="EK201" s="336">
        <f>+(EK199+EK176)*(1-EK185)</f>
        <v>2159.2925655225231</v>
      </c>
      <c r="EL201" s="336">
        <f>+(EL199+EL176)*(1-EL185)</f>
        <v>2532.6577460491599</v>
      </c>
      <c r="EM201" s="336">
        <f>+(EM199+EM176)*(1-EM185)</f>
        <v>2529.5609546208884</v>
      </c>
      <c r="EN201" s="336">
        <f>+(EN199+EN176)*(1-EN185)</f>
        <v>3220.4918388569708</v>
      </c>
      <c r="EO201" s="337">
        <f>SUM(EK201:EN201)</f>
        <v>10442.003105049544</v>
      </c>
      <c r="EP201" s="36"/>
      <c r="EQ201" s="336">
        <f>+(EQ199+EQ176)*(1-EQ185)</f>
        <v>2097.1377478172367</v>
      </c>
      <c r="ER201" s="336">
        <f>+(ER199+ER176)*(1-ER185)</f>
        <v>2329.977964249757</v>
      </c>
      <c r="ES201" s="336">
        <f>+(ES199+ES176)*(1-ES185)</f>
        <v>2596.9135503740686</v>
      </c>
      <c r="ET201" s="336">
        <f>+(ET199+ET176)*(1-ET185)</f>
        <v>3493.6825436147519</v>
      </c>
      <c r="EU201" s="337">
        <f>SUM(EQ201:ET201)</f>
        <v>10517.711806055815</v>
      </c>
      <c r="EV201" s="36"/>
      <c r="EW201" s="336">
        <f>+(EW199+EW176)*(1-EW185)</f>
        <v>2434.3125</v>
      </c>
      <c r="EX201" s="336">
        <f>+(EX199+EX176)*(1-EX185)</f>
        <v>2677.200135835802</v>
      </c>
      <c r="EY201" s="336">
        <f>+(EY199+EY176)*(1-EY185)</f>
        <v>3179.5107399255417</v>
      </c>
      <c r="EZ201" s="336">
        <f>+(EZ199+EZ176)*(1-EZ185)</f>
        <v>3603.6610457726274</v>
      </c>
      <c r="FA201" s="337">
        <f>SUM(EW201:EZ201)</f>
        <v>11894.684421533972</v>
      </c>
      <c r="FB201" s="36"/>
      <c r="FC201" s="336">
        <f>+(FC199+FC176)*(1-FC185)</f>
        <v>2644.3216628674804</v>
      </c>
      <c r="FD201" s="336">
        <f>+(FD199+FD176)*(1-FD185)</f>
        <v>2984.6170480494948</v>
      </c>
      <c r="FE201" s="336">
        <f>+(FE199+FE176)*(1-FE185)</f>
        <v>3047.3093347752533</v>
      </c>
      <c r="FF201" s="336">
        <f>+(FF199+FF176)*(1-FF185)</f>
        <v>3743.0461127203598</v>
      </c>
      <c r="FG201" s="337">
        <f>SUM(FC201:FF201)</f>
        <v>12419.294158412587</v>
      </c>
      <c r="FH201" s="36"/>
      <c r="FI201" s="336">
        <f>+(FI199+FI176)*(1-FI185)</f>
        <v>2852.9502711729688</v>
      </c>
      <c r="FJ201" s="336">
        <f>+(FJ199+FJ176)*(1-FJ185)</f>
        <v>3182.7076418435031</v>
      </c>
      <c r="FK201" s="336">
        <f>+(FK199+FK176)*(1-FK185)</f>
        <v>3221.0435721945441</v>
      </c>
      <c r="FL201" s="336">
        <f>+(FL199+FL176)*(1-FL185)</f>
        <v>3816.7919003508737</v>
      </c>
      <c r="FM201" s="337">
        <f>SUM(FI201:FL201)</f>
        <v>13073.493385561889</v>
      </c>
      <c r="FN201" s="1123"/>
      <c r="FO201" s="235"/>
      <c r="FS201" s="235"/>
      <c r="FT201" s="33"/>
      <c r="FU201" s="33"/>
      <c r="FV201" s="33"/>
      <c r="FW201" s="33"/>
      <c r="FX201" s="33"/>
      <c r="FY201" s="33"/>
      <c r="FZ201" s="33"/>
      <c r="GA201" s="33"/>
      <c r="GB201" s="33"/>
      <c r="GC201" s="33"/>
      <c r="GD201" s="33"/>
      <c r="GE201" s="33"/>
      <c r="GF201" s="33"/>
      <c r="GI201"/>
      <c r="GJ201"/>
      <c r="GK201"/>
      <c r="GL201"/>
      <c r="GM201"/>
      <c r="GN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</row>
    <row r="202" spans="1:281" s="37" customFormat="1" ht="10.5" hidden="1" customHeight="1" outlineLevel="1" x14ac:dyDescent="0.2">
      <c r="A202" s="357" t="s">
        <v>520</v>
      </c>
      <c r="B202" s="952"/>
      <c r="C202" s="42"/>
      <c r="D202" s="42"/>
      <c r="E202" s="42"/>
      <c r="F202" s="42"/>
      <c r="G202" s="42"/>
      <c r="H202" s="22"/>
      <c r="I202" s="22"/>
      <c r="J202" s="42"/>
      <c r="K202" s="42"/>
      <c r="L202" s="22"/>
      <c r="M202" s="22"/>
      <c r="N202" s="36"/>
      <c r="O202" s="42"/>
      <c r="P202" s="42"/>
      <c r="Q202" s="42"/>
      <c r="R202" s="42"/>
      <c r="S202" s="22"/>
      <c r="T202" s="36"/>
      <c r="U202" s="22"/>
      <c r="V202" s="22"/>
      <c r="W202" s="22"/>
      <c r="X202" s="22"/>
      <c r="Y202" s="22"/>
      <c r="Z202" s="36"/>
      <c r="AA202" s="22"/>
      <c r="AB202" s="22"/>
      <c r="AC202" s="22"/>
      <c r="AD202" s="22"/>
      <c r="AE202" s="22"/>
      <c r="AF202" s="36"/>
      <c r="AG202" s="22"/>
      <c r="AH202" s="22"/>
      <c r="AI202" s="22"/>
      <c r="AJ202" s="22"/>
      <c r="AK202" s="22"/>
      <c r="AL202" s="36"/>
      <c r="AM202" s="22"/>
      <c r="AN202" s="22"/>
      <c r="AO202" s="22"/>
      <c r="AP202" s="22"/>
      <c r="AQ202" s="22"/>
      <c r="AR202" s="36"/>
      <c r="AS202" s="125"/>
      <c r="AT202" s="125"/>
      <c r="AU202" s="125"/>
      <c r="AV202" s="125"/>
      <c r="AW202" s="125"/>
      <c r="AX202" s="36"/>
      <c r="AY202" s="125"/>
      <c r="AZ202" s="125"/>
      <c r="BA202" s="125"/>
      <c r="BB202" s="125"/>
      <c r="BC202" s="125"/>
      <c r="BD202" s="36"/>
      <c r="BE202" s="40"/>
      <c r="BF202" s="40"/>
      <c r="BG202" s="40"/>
      <c r="BH202" s="40"/>
      <c r="BI202" s="40"/>
      <c r="BJ202" s="293"/>
      <c r="BK202" s="40">
        <f>+BK201/BK223</f>
        <v>4.5927123597452317E-2</v>
      </c>
      <c r="BL202" s="40">
        <f>+BL201/BL223</f>
        <v>8.0896628517066416E-2</v>
      </c>
      <c r="BM202" s="40">
        <f>+BM201/BM223</f>
        <v>9.0615946222721608E-2</v>
      </c>
      <c r="BN202" s="40">
        <f>+BN201/BN223</f>
        <v>0.14734505735557735</v>
      </c>
      <c r="BO202" s="40">
        <f>+BO201/BO223</f>
        <v>0.36336537078549869</v>
      </c>
      <c r="BP202" s="293"/>
      <c r="BQ202" s="40">
        <f>+BQ201/BQ223</f>
        <v>7.4924224558152258E-2</v>
      </c>
      <c r="BR202" s="40">
        <f>+BR201/BR223</f>
        <v>0.10439737241474366</v>
      </c>
      <c r="BS202" s="40">
        <f>+BS201/BS223</f>
        <v>0.10788438537186633</v>
      </c>
      <c r="BT202" s="40">
        <f>+BT201/BT223</f>
        <v>0.18451430535221858</v>
      </c>
      <c r="BU202" s="40">
        <f>+BU201/BU223</f>
        <v>0.47096444708887503</v>
      </c>
      <c r="BV202" s="293"/>
      <c r="BW202" s="40">
        <f>+BW201/BW223</f>
        <v>9.3768840082956134E-2</v>
      </c>
      <c r="BX202" s="40">
        <f>+BX201/BX223</f>
        <v>0.15144651345562427</v>
      </c>
      <c r="BY202" s="40">
        <f>+BY201/BY223</f>
        <v>0.1536868574944148</v>
      </c>
      <c r="BZ202" s="40">
        <f>+BZ201/BZ223</f>
        <v>0.24840874529697018</v>
      </c>
      <c r="CA202" s="40">
        <f>+CA201/CA223</f>
        <v>0.64725785703127692</v>
      </c>
      <c r="CB202" s="293"/>
      <c r="CC202" s="40">
        <f>+CC201/CC223</f>
        <v>0.13528865017756833</v>
      </c>
      <c r="CD202" s="40">
        <f>+CD201/CD223</f>
        <v>0.17866536800835806</v>
      </c>
      <c r="CE202" s="40">
        <f>+CE201/CE223</f>
        <v>0.18213223256109123</v>
      </c>
      <c r="CF202" s="40">
        <f>+CF201/CF223</f>
        <v>0.28006188356709971</v>
      </c>
      <c r="CG202" s="339">
        <f>+CG201/CG223</f>
        <v>0.77812840702660857</v>
      </c>
      <c r="CH202" s="293"/>
      <c r="CI202" s="40">
        <f>+CI201/CI223</f>
        <v>0.16882830102437563</v>
      </c>
      <c r="CJ202" s="40">
        <f>+CJ201/CJ223</f>
        <v>0.21340943106439381</v>
      </c>
      <c r="CK202" s="40">
        <f>+CK201/CK223</f>
        <v>0.24049117637092776</v>
      </c>
      <c r="CL202" s="40">
        <f>+CL201/CL223</f>
        <v>0.35830051544874469</v>
      </c>
      <c r="CM202" s="339">
        <f>+CM201/CM223</f>
        <v>0.97931521980259884</v>
      </c>
      <c r="CN202" s="293"/>
      <c r="CO202" s="40">
        <f>+CO201/CO223</f>
        <v>0.2139311725518622</v>
      </c>
      <c r="CP202" s="40">
        <f>+CP201/CP223</f>
        <v>0.29959405712489573</v>
      </c>
      <c r="CQ202" s="40">
        <f>+CQ201/CQ223</f>
        <v>0.29722888942301728</v>
      </c>
      <c r="CR202" s="40">
        <f>+CR201/CR223</f>
        <v>0.45665631636846699</v>
      </c>
      <c r="CS202" s="339">
        <f>+CS201/CS223</f>
        <v>1.2678398265028847</v>
      </c>
      <c r="CT202" s="293"/>
      <c r="CU202" s="40">
        <f>+CU201/CU223</f>
        <v>0.28280513815973812</v>
      </c>
      <c r="CV202" s="40">
        <f>+CV201/CV223</f>
        <v>0.32439284845527994</v>
      </c>
      <c r="CW202" s="40">
        <f>+CW201/CW223</f>
        <v>0.33967820669948384</v>
      </c>
      <c r="CX202" s="40">
        <f>+CX201/CX223</f>
        <v>0.44943050107499727</v>
      </c>
      <c r="CY202" s="339">
        <f>+CY201/CY223</f>
        <v>1.3931098159344217</v>
      </c>
      <c r="CZ202" s="293"/>
      <c r="DA202" s="40">
        <f>+DA201/DA223</f>
        <v>0.29218835424114709</v>
      </c>
      <c r="DB202" s="40">
        <f>+DB201/DB223</f>
        <v>0.37229349112741783</v>
      </c>
      <c r="DC202" s="40">
        <f>+DC201/DC223</f>
        <v>0.36686701930629845</v>
      </c>
      <c r="DD202" s="40">
        <f>+DD201/DD223</f>
        <v>0.58071629628014376</v>
      </c>
      <c r="DE202" s="339">
        <f>+DE201/DE223</f>
        <v>1.6129121992129059</v>
      </c>
      <c r="DF202" s="293"/>
      <c r="DG202" s="40">
        <f>+DG201/DG223</f>
        <v>0.39968449227358699</v>
      </c>
      <c r="DH202" s="40">
        <f>+DH201/DH223</f>
        <v>0.50641455276961167</v>
      </c>
      <c r="DI202" s="40">
        <f>+DI201/DI223</f>
        <v>0.5180285201190874</v>
      </c>
      <c r="DJ202" s="40">
        <f>+DJ201/DJ223</f>
        <v>0.73091148176630893</v>
      </c>
      <c r="DK202" s="339">
        <f>+DK201/DK223</f>
        <v>2.1575928011862033</v>
      </c>
      <c r="DL202" s="293"/>
      <c r="DM202" s="40">
        <f>+DM201/DM223</f>
        <v>0.45762495645603646</v>
      </c>
      <c r="DN202" s="40">
        <f>+DN201/DN223</f>
        <v>0.52181757683988372</v>
      </c>
      <c r="DO202" s="40">
        <f>+DO201/DO223</f>
        <v>0.5918273603884856</v>
      </c>
      <c r="DP202" s="40">
        <f>+DP201/DP223</f>
        <v>0.79552442113419841</v>
      </c>
      <c r="DQ202" s="339">
        <f>+DQ201/DQ223</f>
        <v>2.3622422429272691</v>
      </c>
      <c r="DR202" s="293"/>
      <c r="DS202" s="40">
        <f>+DS201/DS223</f>
        <v>0.50192018098983371</v>
      </c>
      <c r="DT202" s="40">
        <f>+DT201/DT223</f>
        <v>0.6117499213631088</v>
      </c>
      <c r="DU202" s="40">
        <f>+DU201/DU223</f>
        <v>0.61761180375008196</v>
      </c>
      <c r="DV202" s="40">
        <f>+DV201/DV223</f>
        <v>0.83452759268007193</v>
      </c>
      <c r="DW202" s="339">
        <f>+DW201/DW223</f>
        <v>2.5595754573494127</v>
      </c>
      <c r="DX202" s="293"/>
      <c r="DY202" s="40">
        <f>+DY201/DY223</f>
        <v>0.55755392713820051</v>
      </c>
      <c r="DZ202" s="40">
        <f>+DZ201/DZ223</f>
        <v>0.65475685315959942</v>
      </c>
      <c r="EA202" s="40">
        <f>+EA201/EA223</f>
        <v>0.64711608051328928</v>
      </c>
      <c r="EB202" s="40">
        <f>+EB201/EB223</f>
        <v>0.87834151125371096</v>
      </c>
      <c r="EC202" s="339">
        <f>+EC201/EC223</f>
        <v>2.7346263466705638</v>
      </c>
      <c r="ED202" s="293"/>
      <c r="EE202" s="40">
        <f>+EE201/EE223</f>
        <v>0.58034014298868608</v>
      </c>
      <c r="EF202" s="40">
        <f>+EF201/EF223</f>
        <v>0.65136472519303235</v>
      </c>
      <c r="EG202" s="40">
        <f>+EG201/EG223</f>
        <v>0.64306856009299918</v>
      </c>
      <c r="EH202" s="40">
        <f>+EH201/EH223</f>
        <v>0.74255989537539047</v>
      </c>
      <c r="EI202" s="339">
        <f>+EI201/EI223</f>
        <v>2.6158312003165931</v>
      </c>
      <c r="EJ202" s="293"/>
      <c r="EK202" s="40">
        <f>+EK201/EK223</f>
        <v>0.48941354612931165</v>
      </c>
      <c r="EL202" s="40">
        <f>+EL201/EL223</f>
        <v>0.5868067066842354</v>
      </c>
      <c r="EM202" s="40">
        <f>+EM201/EM223</f>
        <v>0.59435172805941927</v>
      </c>
      <c r="EN202" s="40">
        <f>+EN201/EN223</f>
        <v>0.75990840935747306</v>
      </c>
      <c r="EO202" s="339">
        <f>+EO201/EO223</f>
        <v>2.4252707246660186</v>
      </c>
      <c r="EP202" s="293"/>
      <c r="EQ202" s="40">
        <f>+EQ201/EQ223</f>
        <v>0.49683433968662322</v>
      </c>
      <c r="ER202" s="40">
        <f>+ER201/ER223</f>
        <v>0.55541786990459041</v>
      </c>
      <c r="ES202" s="40">
        <f>+ES201/ES223</f>
        <v>0.61772444109754243</v>
      </c>
      <c r="ET202" s="40">
        <f>+ET201/ET223</f>
        <v>0.82242997731044065</v>
      </c>
      <c r="EU202" s="339">
        <f>+EU201/EU223</f>
        <v>2.4941218416067858</v>
      </c>
      <c r="EV202" s="293"/>
      <c r="EW202" s="40">
        <f>+EW201/EW223</f>
        <v>0.56823354341736698</v>
      </c>
      <c r="EX202" s="40">
        <f>+EX201/EX223</f>
        <v>0.62507591310665467</v>
      </c>
      <c r="EY202" s="40">
        <f>+EY201/EY223</f>
        <v>0.75059271480772938</v>
      </c>
      <c r="EZ202" s="40">
        <f>+EZ201/EZ223</f>
        <v>0.85928540659971631</v>
      </c>
      <c r="FA202" s="339">
        <f>+FA201/FA223</f>
        <v>2.7992781325921636</v>
      </c>
      <c r="FB202" s="293"/>
      <c r="FC202" s="40">
        <f>+FC201/FC223</f>
        <v>0.63755607760106614</v>
      </c>
      <c r="FD202" s="40">
        <f>+FD201/FD223</f>
        <v>0.7251155609692097</v>
      </c>
      <c r="FE202" s="40">
        <f>+FE201/FE223</f>
        <v>0.74590359956716545</v>
      </c>
      <c r="FF202" s="40">
        <f>+FF201/FF223</f>
        <v>0.92293605353069352</v>
      </c>
      <c r="FG202" s="339">
        <f>+FG201/FG223</f>
        <v>3.0282418899771333</v>
      </c>
      <c r="FH202" s="293"/>
      <c r="FI202" s="40">
        <f>+FI201/FI223</f>
        <v>0.70841727536667265</v>
      </c>
      <c r="FJ202" s="40">
        <f>+FJ201/FJ223</f>
        <v>0.79562208340325602</v>
      </c>
      <c r="FK202" s="40">
        <f>+FK201/FK223</f>
        <v>0.8104980732552135</v>
      </c>
      <c r="FL202" s="40">
        <f>+FL201/FL223</f>
        <v>0.96656076173914052</v>
      </c>
      <c r="FM202" s="339">
        <f>+FM201/FM223</f>
        <v>3.2785195027253331</v>
      </c>
      <c r="FN202" s="1123"/>
      <c r="FO202" s="235"/>
      <c r="FS202" s="235"/>
      <c r="FT202" s="33"/>
      <c r="FU202" s="33"/>
      <c r="FV202" s="33"/>
      <c r="FW202" s="33"/>
      <c r="FX202" s="33"/>
      <c r="FY202" s="33"/>
      <c r="FZ202" s="33"/>
      <c r="GA202" s="33"/>
      <c r="GB202" s="33"/>
      <c r="GC202" s="33"/>
      <c r="GD202" s="33"/>
      <c r="GE202" s="33"/>
      <c r="GF202" s="33"/>
      <c r="GI202"/>
      <c r="GJ202"/>
      <c r="GK202"/>
      <c r="GL202"/>
      <c r="GM202"/>
      <c r="GN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</row>
    <row r="203" spans="1:281" s="37" customFormat="1" ht="10.5" hidden="1" customHeight="1" outlineLevel="1" x14ac:dyDescent="0.2">
      <c r="A203" s="18" t="s">
        <v>521</v>
      </c>
      <c r="B203" s="952"/>
      <c r="C203" s="42"/>
      <c r="D203" s="42"/>
      <c r="E203" s="42"/>
      <c r="F203" s="42"/>
      <c r="G203" s="42"/>
      <c r="H203" s="22"/>
      <c r="I203" s="22"/>
      <c r="J203" s="42"/>
      <c r="K203" s="42"/>
      <c r="L203" s="22"/>
      <c r="M203" s="22"/>
      <c r="N203" s="36"/>
      <c r="O203" s="42"/>
      <c r="P203" s="42"/>
      <c r="Q203" s="42"/>
      <c r="R203" s="42"/>
      <c r="S203" s="22"/>
      <c r="T203" s="36"/>
      <c r="U203" s="22"/>
      <c r="V203" s="22"/>
      <c r="W203" s="22"/>
      <c r="X203" s="22"/>
      <c r="Y203" s="22"/>
      <c r="Z203" s="36"/>
      <c r="AA203" s="22"/>
      <c r="AB203" s="22"/>
      <c r="AC203" s="22"/>
      <c r="AD203" s="22"/>
      <c r="AE203" s="22"/>
      <c r="AF203" s="36"/>
      <c r="AG203" s="22"/>
      <c r="AH203" s="22"/>
      <c r="AI203" s="22"/>
      <c r="AJ203" s="22"/>
      <c r="AK203" s="22"/>
      <c r="AL203" s="36"/>
      <c r="AM203" s="22"/>
      <c r="AN203" s="22"/>
      <c r="AO203" s="22"/>
      <c r="AP203" s="22"/>
      <c r="AQ203" s="22"/>
      <c r="AR203" s="36"/>
      <c r="AS203" s="22"/>
      <c r="AT203" s="22"/>
      <c r="AU203" s="22"/>
      <c r="AV203" s="22"/>
      <c r="AW203" s="22"/>
      <c r="AX203" s="36"/>
      <c r="AY203" s="22"/>
      <c r="AZ203" s="22"/>
      <c r="BA203" s="22"/>
      <c r="BB203" s="22"/>
      <c r="BC203" s="22"/>
      <c r="BD203" s="36"/>
      <c r="BE203" s="22"/>
      <c r="BF203" s="22"/>
      <c r="BG203" s="22"/>
      <c r="BH203" s="22"/>
      <c r="BI203" s="22"/>
      <c r="BJ203" s="36"/>
      <c r="BK203" s="22"/>
      <c r="BL203" s="22"/>
      <c r="BM203" s="22"/>
      <c r="BN203" s="22"/>
      <c r="BO203" s="22"/>
      <c r="BP203" s="36"/>
      <c r="BQ203" s="22">
        <f>+BQ202/BK202-1</f>
        <v>0.63137202353139488</v>
      </c>
      <c r="BR203" s="22">
        <f>+BR202/BL202-1</f>
        <v>0.29050337855204167</v>
      </c>
      <c r="BS203" s="22">
        <f>+BS202/BM202-1</f>
        <v>0.19056733245052992</v>
      </c>
      <c r="BT203" s="22">
        <f>+BT202/BN202-1</f>
        <v>0.25225989024486473</v>
      </c>
      <c r="BU203" s="22">
        <f>+BU202/BO202-1</f>
        <v>0.29611813605346038</v>
      </c>
      <c r="BV203" s="36"/>
      <c r="BW203" s="22">
        <f>+BW202/BQ202-1</f>
        <v>0.25151565646405416</v>
      </c>
      <c r="BX203" s="22">
        <f>+BX202/BR202-1</f>
        <v>0.45067361325883359</v>
      </c>
      <c r="BY203" s="22">
        <f>+BY202/BS202-1</f>
        <v>0.42455144889292429</v>
      </c>
      <c r="BZ203" s="22">
        <f>+BZ202/BT202-1</f>
        <v>0.34628447817519503</v>
      </c>
      <c r="CA203" s="22">
        <f>+CA202/BU202-1</f>
        <v>0.37432424258796293</v>
      </c>
      <c r="CB203" s="36"/>
      <c r="CC203" s="22">
        <f>+CC202/BW202-1</f>
        <v>0.44278899107507508</v>
      </c>
      <c r="CD203" s="22">
        <f>+CD202/BX202-1</f>
        <v>0.17972585787330964</v>
      </c>
      <c r="CE203" s="22">
        <f>+CE202/BY202-1</f>
        <v>0.18508658144506707</v>
      </c>
      <c r="CF203" s="22">
        <f>+CF202/BZ202-1</f>
        <v>0.12742360673449116</v>
      </c>
      <c r="CG203" s="234">
        <f>+CG202/CA202-1</f>
        <v>0.20219229256726923</v>
      </c>
      <c r="CH203" s="36"/>
      <c r="CI203" s="22">
        <f t="shared" ref="CI203:CS203" si="158">+CI202/CC202-1</f>
        <v>0.24791178567297423</v>
      </c>
      <c r="CJ203" s="22">
        <f t="shared" si="158"/>
        <v>0.19446445297899251</v>
      </c>
      <c r="CK203" s="22">
        <f t="shared" si="158"/>
        <v>0.32042073491995238</v>
      </c>
      <c r="CL203" s="22">
        <f t="shared" si="158"/>
        <v>0.27936194274327186</v>
      </c>
      <c r="CM203" s="234">
        <f t="shared" si="158"/>
        <v>0.25855220161511272</v>
      </c>
      <c r="CN203" s="22"/>
      <c r="CO203" s="22">
        <f t="shared" si="158"/>
        <v>0.2671523154223685</v>
      </c>
      <c r="CP203" s="22">
        <f t="shared" si="158"/>
        <v>0.40384637937812928</v>
      </c>
      <c r="CQ203" s="22">
        <f t="shared" si="158"/>
        <v>0.23592430253897811</v>
      </c>
      <c r="CR203" s="22">
        <f t="shared" si="158"/>
        <v>0.27450644550856707</v>
      </c>
      <c r="CS203" s="234">
        <f t="shared" si="158"/>
        <v>0.29461873038023856</v>
      </c>
      <c r="CT203" s="22"/>
      <c r="CU203" s="22">
        <f>+CU202/CO202-1</f>
        <v>0.3219445057319974</v>
      </c>
      <c r="CV203" s="22">
        <f>+CV202/CP202-1</f>
        <v>8.2774643690765926E-2</v>
      </c>
      <c r="CW203" s="22">
        <f>+CW202/CQ202-1</f>
        <v>0.14281692926575706</v>
      </c>
      <c r="CX203" s="22">
        <f>+CX202/CR202-1</f>
        <v>-1.5823311830946762E-2</v>
      </c>
      <c r="CY203" s="234">
        <f>+CY202/CS202-1</f>
        <v>9.8805848193830981E-2</v>
      </c>
      <c r="CZ203" s="22"/>
      <c r="DA203" s="22">
        <f>+DA202/CU202-1</f>
        <v>3.3179086287000281E-2</v>
      </c>
      <c r="DB203" s="22">
        <f>+DB202/CV202-1</f>
        <v>0.14766244971254783</v>
      </c>
      <c r="DC203" s="22">
        <f>+DC202/CW202-1</f>
        <v>8.004285253092136E-2</v>
      </c>
      <c r="DD203" s="22">
        <f>+DD202/CX202-1</f>
        <v>0.29211589976898034</v>
      </c>
      <c r="DE203" s="234">
        <f>+DE202/CY202-1</f>
        <v>0.15777821731236075</v>
      </c>
      <c r="DF203" s="22"/>
      <c r="DG203" s="22">
        <f>+DG202/DA202-1</f>
        <v>0.36790014547849448</v>
      </c>
      <c r="DH203" s="22">
        <f>+DH202/DB202-1</f>
        <v>0.36025626243433506</v>
      </c>
      <c r="DI203" s="22">
        <f>+DI202/DC202-1</f>
        <v>0.41203349676571421</v>
      </c>
      <c r="DJ203" s="22">
        <f>+DJ202/DD202-1</f>
        <v>0.25863780033083383</v>
      </c>
      <c r="DK203" s="234">
        <f>+DK202/DE202-1</f>
        <v>0.33770009442491622</v>
      </c>
      <c r="DL203" s="22"/>
      <c r="DM203" s="22">
        <f>+DM202/DG202-1</f>
        <v>0.1449655047981917</v>
      </c>
      <c r="DN203" s="22">
        <f>+DN202/DH202-1</f>
        <v>3.0415840117611115E-2</v>
      </c>
      <c r="DO203" s="22">
        <f>+DO202/DI202-1</f>
        <v>0.14246095997269204</v>
      </c>
      <c r="DP203" s="22">
        <f>+DP202/DJ202-1</f>
        <v>8.8400498527875015E-2</v>
      </c>
      <c r="DQ203" s="234">
        <f>+DQ202/DK202-1</f>
        <v>9.4850817832055068E-2</v>
      </c>
      <c r="DR203" s="22"/>
      <c r="DS203" s="22">
        <f>+DS202/DM202-1</f>
        <v>9.6793725754886095E-2</v>
      </c>
      <c r="DT203" s="22">
        <f>+DT202/DN202-1</f>
        <v>0.17234441405338141</v>
      </c>
      <c r="DU203" s="22">
        <f>+DU202/DO202-1</f>
        <v>4.356750817446331E-2</v>
      </c>
      <c r="DV203" s="22">
        <f>+DV202/DP202-1</f>
        <v>4.9028251691212388E-2</v>
      </c>
      <c r="DW203" s="234">
        <f>+DW202/DQ202-1</f>
        <v>8.3536400643487774E-2</v>
      </c>
      <c r="DX203" s="22"/>
      <c r="DY203" s="22">
        <f>+DY202/DS202-1</f>
        <v>0.11084181958703443</v>
      </c>
      <c r="DZ203" s="22">
        <f>+DZ202/DT202-1</f>
        <v>7.0301491335972743E-2</v>
      </c>
      <c r="EA203" s="22">
        <f>+EA202/DU202-1</f>
        <v>4.7771555828531875E-2</v>
      </c>
      <c r="EB203" s="22">
        <f>+EB202/DV202-1</f>
        <v>5.2501461854522091E-2</v>
      </c>
      <c r="EC203" s="234">
        <f>+EC202/DW202-1</f>
        <v>6.8390595330378057E-2</v>
      </c>
      <c r="ED203" s="22"/>
      <c r="EE203" s="22">
        <f>+EE202/DY202-1</f>
        <v>4.0868182863390556E-2</v>
      </c>
      <c r="EF203" s="22">
        <f>+EF202/DZ202-1</f>
        <v>-5.1807445011045061E-3</v>
      </c>
      <c r="EG203" s="22">
        <f>+EG202/EA202-1</f>
        <v>-6.2547053645763961E-3</v>
      </c>
      <c r="EH203" s="22">
        <f>+EH202/EB202-1</f>
        <v>-0.15458863567146108</v>
      </c>
      <c r="EI203" s="234">
        <f>+EI202/EC202-1</f>
        <v>-4.3441088943871664E-2</v>
      </c>
      <c r="EJ203" s="22"/>
      <c r="EK203" s="22">
        <f>+EK202/EE202-1</f>
        <v>-0.15667811017020594</v>
      </c>
      <c r="EL203" s="22">
        <f>+EL202/EF202-1</f>
        <v>-9.9111935313453081E-2</v>
      </c>
      <c r="EM203" s="22">
        <f>+EM202/EG202-1</f>
        <v>-7.5756824476902684E-2</v>
      </c>
      <c r="EN203" s="22">
        <f>+EN202/EH202-1</f>
        <v>2.3363117359458618E-2</v>
      </c>
      <c r="EO203" s="234">
        <f>+EO202/EI202-1</f>
        <v>-7.2848919160957704E-2</v>
      </c>
      <c r="EP203" s="22"/>
      <c r="EQ203" s="22">
        <f>+EQ202/EK202-1</f>
        <v>1.5162623952690746E-2</v>
      </c>
      <c r="ER203" s="22">
        <f>+ER202/EL202-1</f>
        <v>-5.3490930526353897E-2</v>
      </c>
      <c r="ES203" s="22">
        <f>+ES202/EM202-1</f>
        <v>3.9324716215490607E-2</v>
      </c>
      <c r="ET203" s="22">
        <f>+ET202/EN202-1</f>
        <v>8.227513629679617E-2</v>
      </c>
      <c r="EU203" s="234">
        <f>+EU202/EO202-1</f>
        <v>2.8389043845918893E-2</v>
      </c>
      <c r="EV203" s="22"/>
      <c r="EW203" s="22">
        <f>+EW202/EQ202-1</f>
        <v>0.14370827059936842</v>
      </c>
      <c r="EX203" s="22">
        <f>+EX202/ER202-1</f>
        <v>0.12541556002515741</v>
      </c>
      <c r="EY203" s="22">
        <f>+EY202/ES202-1</f>
        <v>0.21509311413049015</v>
      </c>
      <c r="EZ203" s="22">
        <f>+EZ202/ET202-1</f>
        <v>4.4812847666134914E-2</v>
      </c>
      <c r="FA203" s="234">
        <f>+FA202/EU202-1</f>
        <v>0.12235019392187652</v>
      </c>
      <c r="FB203" s="22"/>
      <c r="FC203" s="22">
        <f>+FC202/EW202-1</f>
        <v>0.12199655403444187</v>
      </c>
      <c r="FD203" s="22">
        <f>+FD202/EX202-1</f>
        <v>0.16004399748080766</v>
      </c>
      <c r="FE203" s="22">
        <f>+FE202/EY202-1</f>
        <v>-6.247216563732727E-3</v>
      </c>
      <c r="FF203" s="22">
        <f>+FF202/EZ202-1</f>
        <v>7.4073929851607323E-2</v>
      </c>
      <c r="FG203" s="234">
        <f>+FG202/FA202-1</f>
        <v>8.1793857751800703E-2</v>
      </c>
      <c r="FH203" s="22"/>
      <c r="FI203" s="22">
        <f>+FI202/FC202-1</f>
        <v>0.11114504316582807</v>
      </c>
      <c r="FJ203" s="22">
        <f>+FJ202/FD202-1</f>
        <v>9.7234877072290837E-2</v>
      </c>
      <c r="FK203" s="22">
        <f>+FK202/FE202-1</f>
        <v>8.6598956923563675E-2</v>
      </c>
      <c r="FL203" s="22">
        <f>+FL202/FF202-1</f>
        <v>4.7267313961309121E-2</v>
      </c>
      <c r="FM203" s="234">
        <f>+FM202/FG202-1</f>
        <v>8.264782730090614E-2</v>
      </c>
      <c r="FN203" s="1123"/>
      <c r="FO203" s="235"/>
      <c r="FS203" s="235"/>
      <c r="FT203" s="33"/>
      <c r="FU203" s="33"/>
      <c r="FV203" s="33"/>
      <c r="FW203" s="33"/>
      <c r="FX203" s="33"/>
      <c r="FY203" s="33"/>
      <c r="FZ203" s="33"/>
      <c r="GA203" s="33"/>
      <c r="GB203" s="33"/>
      <c r="GC203" s="33"/>
      <c r="GD203" s="33"/>
      <c r="GE203" s="33"/>
      <c r="GF203" s="33"/>
      <c r="GI203"/>
      <c r="GJ203"/>
      <c r="GK203"/>
      <c r="GL203"/>
      <c r="GM203"/>
      <c r="GN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</row>
    <row r="204" spans="1:281" s="37" customFormat="1" ht="5.25" hidden="1" customHeight="1" outlineLevel="1" x14ac:dyDescent="0.2">
      <c r="A204" s="18"/>
      <c r="B204" s="952"/>
      <c r="C204" s="42"/>
      <c r="D204" s="42"/>
      <c r="E204" s="42"/>
      <c r="F204" s="42"/>
      <c r="G204" s="42"/>
      <c r="H204" s="22"/>
      <c r="I204" s="22"/>
      <c r="J204" s="42"/>
      <c r="K204" s="42"/>
      <c r="L204" s="22"/>
      <c r="M204" s="22"/>
      <c r="N204" s="36"/>
      <c r="O204" s="42"/>
      <c r="P204" s="42"/>
      <c r="Q204" s="42"/>
      <c r="R204" s="42"/>
      <c r="S204" s="22"/>
      <c r="T204" s="36"/>
      <c r="U204" s="22"/>
      <c r="V204" s="22"/>
      <c r="W204" s="22"/>
      <c r="X204" s="22"/>
      <c r="Y204" s="22"/>
      <c r="Z204" s="36"/>
      <c r="AA204" s="22"/>
      <c r="AB204" s="22"/>
      <c r="AC204" s="22"/>
      <c r="AD204" s="22"/>
      <c r="AE204" s="22"/>
      <c r="AF204" s="36"/>
      <c r="AG204" s="22"/>
      <c r="AH204" s="22"/>
      <c r="AI204" s="22"/>
      <c r="AJ204" s="22"/>
      <c r="AK204" s="22"/>
      <c r="AL204" s="36"/>
      <c r="AM204" s="22"/>
      <c r="AN204" s="22"/>
      <c r="AO204" s="22"/>
      <c r="AP204" s="22"/>
      <c r="AQ204" s="22"/>
      <c r="AR204" s="36"/>
      <c r="AS204" s="22"/>
      <c r="AT204" s="22"/>
      <c r="AU204" s="22"/>
      <c r="AV204" s="22"/>
      <c r="AW204" s="22"/>
      <c r="AX204" s="36"/>
      <c r="AY204" s="22"/>
      <c r="AZ204" s="22"/>
      <c r="BA204" s="22"/>
      <c r="BB204" s="22"/>
      <c r="BC204" s="22"/>
      <c r="BD204" s="36"/>
      <c r="BE204" s="22"/>
      <c r="BF204" s="22"/>
      <c r="BG204" s="22"/>
      <c r="BH204" s="22"/>
      <c r="BI204" s="22"/>
      <c r="BJ204" s="36"/>
      <c r="BK204" s="22"/>
      <c r="BL204" s="22"/>
      <c r="BM204" s="22"/>
      <c r="BN204" s="22"/>
      <c r="BO204" s="22"/>
      <c r="BP204" s="36"/>
      <c r="BQ204" s="22"/>
      <c r="BR204" s="22"/>
      <c r="BS204" s="22"/>
      <c r="BT204" s="22"/>
      <c r="BU204" s="22"/>
      <c r="BV204" s="36"/>
      <c r="BW204" s="22"/>
      <c r="BX204" s="22"/>
      <c r="BY204" s="22"/>
      <c r="BZ204" s="22"/>
      <c r="CA204" s="22"/>
      <c r="CB204" s="36"/>
      <c r="CC204" s="22"/>
      <c r="CD204" s="22"/>
      <c r="CE204" s="22"/>
      <c r="CF204" s="22"/>
      <c r="CG204" s="234"/>
      <c r="CH204" s="36"/>
      <c r="CI204" s="22"/>
      <c r="CJ204" s="22"/>
      <c r="CK204" s="22"/>
      <c r="CL204" s="22"/>
      <c r="CM204" s="234"/>
      <c r="CN204" s="36"/>
      <c r="CO204" s="22"/>
      <c r="CP204" s="22"/>
      <c r="CQ204" s="22"/>
      <c r="CR204" s="22"/>
      <c r="CS204" s="234"/>
      <c r="CT204" s="36"/>
      <c r="CU204" s="22"/>
      <c r="CV204" s="22"/>
      <c r="CW204" s="22"/>
      <c r="CX204" s="22"/>
      <c r="CY204" s="234"/>
      <c r="CZ204" s="36"/>
      <c r="DA204" s="22"/>
      <c r="DB204" s="22"/>
      <c r="DC204" s="22"/>
      <c r="DD204" s="22"/>
      <c r="DE204" s="234"/>
      <c r="DF204" s="36"/>
      <c r="DG204" s="22"/>
      <c r="DH204" s="22"/>
      <c r="DI204" s="22"/>
      <c r="DJ204" s="22"/>
      <c r="DK204" s="234"/>
      <c r="DL204" s="36"/>
      <c r="DM204" s="22"/>
      <c r="DN204" s="22"/>
      <c r="DO204" s="22"/>
      <c r="DP204" s="22"/>
      <c r="DQ204" s="234"/>
      <c r="DR204" s="36"/>
      <c r="DS204" s="22"/>
      <c r="DT204" s="22"/>
      <c r="DU204" s="22"/>
      <c r="DV204" s="22"/>
      <c r="DW204" s="234"/>
      <c r="DX204" s="36"/>
      <c r="DY204" s="22"/>
      <c r="DZ204" s="22"/>
      <c r="EA204" s="22"/>
      <c r="EB204" s="22"/>
      <c r="EC204" s="234"/>
      <c r="ED204" s="36"/>
      <c r="EE204" s="22"/>
      <c r="EF204" s="22"/>
      <c r="EG204" s="22"/>
      <c r="EH204" s="22"/>
      <c r="EI204" s="234"/>
      <c r="EJ204" s="36"/>
      <c r="EK204" s="22"/>
      <c r="EL204" s="22"/>
      <c r="EM204" s="22"/>
      <c r="EN204" s="22"/>
      <c r="EO204" s="234"/>
      <c r="EP204" s="36"/>
      <c r="EQ204" s="22"/>
      <c r="ER204" s="22"/>
      <c r="ES204" s="22"/>
      <c r="ET204" s="22"/>
      <c r="EU204" s="234"/>
      <c r="EV204" s="36"/>
      <c r="EW204" s="22"/>
      <c r="EX204" s="22"/>
      <c r="EY204" s="22"/>
      <c r="EZ204" s="22"/>
      <c r="FA204" s="234"/>
      <c r="FB204" s="36"/>
      <c r="FC204" s="22"/>
      <c r="FD204" s="22"/>
      <c r="FE204" s="22"/>
      <c r="FF204" s="22"/>
      <c r="FG204" s="234"/>
      <c r="FH204" s="36"/>
      <c r="FI204" s="22"/>
      <c r="FJ204" s="22"/>
      <c r="FK204" s="22"/>
      <c r="FL204" s="22"/>
      <c r="FM204" s="234"/>
      <c r="FN204" s="1123"/>
      <c r="FO204" s="235"/>
      <c r="FS204" s="235"/>
      <c r="FT204" s="33"/>
      <c r="FU204" s="33"/>
      <c r="FV204" s="33"/>
      <c r="FW204" s="33"/>
      <c r="FX204" s="33"/>
      <c r="FY204" s="33"/>
      <c r="FZ204" s="33"/>
      <c r="GA204" s="33"/>
      <c r="GB204" s="33"/>
      <c r="GC204" s="33"/>
      <c r="GD204" s="33"/>
      <c r="GE204" s="33"/>
      <c r="GF204" s="33"/>
      <c r="GI204"/>
      <c r="GJ204"/>
      <c r="GK204"/>
      <c r="GL204"/>
      <c r="GM204"/>
      <c r="GN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</row>
    <row r="205" spans="1:281" s="37" customFormat="1" ht="10.5" hidden="1" customHeight="1" outlineLevel="1" x14ac:dyDescent="0.2">
      <c r="A205" s="357" t="s">
        <v>710</v>
      </c>
      <c r="B205" s="952"/>
      <c r="C205" s="42"/>
      <c r="D205" s="42"/>
      <c r="E205" s="42"/>
      <c r="F205" s="42"/>
      <c r="G205" s="42"/>
      <c r="H205" s="22"/>
      <c r="I205" s="22"/>
      <c r="J205" s="42"/>
      <c r="K205" s="42"/>
      <c r="L205" s="22"/>
      <c r="M205" s="22"/>
      <c r="N205" s="36"/>
      <c r="O205" s="42"/>
      <c r="P205" s="42"/>
      <c r="Q205" s="42"/>
      <c r="R205" s="42"/>
      <c r="S205" s="22"/>
      <c r="T205" s="36"/>
      <c r="U205" s="22"/>
      <c r="V205" s="22"/>
      <c r="W205" s="22"/>
      <c r="X205" s="22"/>
      <c r="Y205" s="22"/>
      <c r="Z205" s="36"/>
      <c r="AA205" s="22"/>
      <c r="AB205" s="22"/>
      <c r="AC205" s="22"/>
      <c r="AD205" s="22"/>
      <c r="AE205" s="22"/>
      <c r="AF205" s="36"/>
      <c r="AG205" s="22"/>
      <c r="AH205" s="22"/>
      <c r="AI205" s="22"/>
      <c r="AJ205" s="22"/>
      <c r="AK205" s="22"/>
      <c r="AL205" s="36"/>
      <c r="AM205" s="22"/>
      <c r="AN205" s="22"/>
      <c r="AO205" s="22"/>
      <c r="AP205" s="22"/>
      <c r="AQ205" s="22"/>
      <c r="AR205" s="36"/>
      <c r="AS205" s="22"/>
      <c r="AT205" s="22"/>
      <c r="AU205" s="22"/>
      <c r="AV205" s="22"/>
      <c r="AW205" s="22"/>
      <c r="AX205" s="36"/>
      <c r="AY205" s="22"/>
      <c r="AZ205" s="22"/>
      <c r="BA205" s="22"/>
      <c r="BB205" s="22"/>
      <c r="BC205" s="22"/>
      <c r="BD205" s="36"/>
      <c r="BE205" s="22"/>
      <c r="BF205" s="22"/>
      <c r="BG205" s="22"/>
      <c r="BH205" s="22"/>
      <c r="BI205" s="22"/>
      <c r="BJ205" s="36"/>
      <c r="BK205" s="22"/>
      <c r="BL205" s="22"/>
      <c r="BM205" s="22"/>
      <c r="BN205" s="22"/>
      <c r="BO205" s="22"/>
      <c r="BP205" s="36"/>
      <c r="BQ205" s="22"/>
      <c r="BR205" s="22"/>
      <c r="BS205" s="22"/>
      <c r="BT205" s="22"/>
      <c r="BU205" s="22"/>
      <c r="BV205" s="36"/>
      <c r="BW205" s="22"/>
      <c r="BX205" s="22"/>
      <c r="BY205" s="22"/>
      <c r="BZ205" s="22"/>
      <c r="CA205" s="22"/>
      <c r="CB205" s="36"/>
      <c r="CC205" s="22"/>
      <c r="CD205" s="22"/>
      <c r="CE205" s="22"/>
      <c r="CF205" s="22"/>
      <c r="CG205" s="234"/>
      <c r="CH205" s="36"/>
      <c r="CI205" s="22"/>
      <c r="CJ205" s="22"/>
      <c r="CK205" s="22"/>
      <c r="CL205" s="22"/>
      <c r="CM205" s="234"/>
      <c r="CN205" s="36"/>
      <c r="CO205" s="22"/>
      <c r="CP205" s="22"/>
      <c r="CQ205" s="22"/>
      <c r="CR205" s="22"/>
      <c r="CS205" s="234"/>
      <c r="CT205" s="36"/>
      <c r="CU205" s="22"/>
      <c r="CV205" s="22"/>
      <c r="CW205" s="22"/>
      <c r="CX205" s="22"/>
      <c r="CY205" s="234"/>
      <c r="CZ205" s="36"/>
      <c r="DA205" s="22"/>
      <c r="DB205" s="22"/>
      <c r="DC205" s="22"/>
      <c r="DD205" s="22"/>
      <c r="DE205" s="234"/>
      <c r="DF205" s="36"/>
      <c r="DG205" s="22"/>
      <c r="DH205" s="22"/>
      <c r="DI205" s="22"/>
      <c r="DJ205" s="22"/>
      <c r="DK205" s="234"/>
      <c r="DL205" s="36"/>
      <c r="DM205" s="22"/>
      <c r="DN205" s="22"/>
      <c r="DO205" s="22"/>
      <c r="DP205" s="22"/>
      <c r="DQ205" s="234"/>
      <c r="DR205" s="36"/>
      <c r="DS205" s="22"/>
      <c r="DT205" s="22"/>
      <c r="DU205" s="22"/>
      <c r="DV205" s="22"/>
      <c r="DW205" s="234"/>
      <c r="DX205" s="36"/>
      <c r="DY205" s="22"/>
      <c r="DZ205" s="22"/>
      <c r="EA205" s="22"/>
      <c r="EB205" s="22"/>
      <c r="EC205" s="234"/>
      <c r="ED205" s="36"/>
      <c r="EE205" s="22"/>
      <c r="EF205" s="22"/>
      <c r="EG205" s="22"/>
      <c r="EH205" s="22"/>
      <c r="EI205" s="234"/>
      <c r="EJ205" s="36"/>
      <c r="EK205" s="22"/>
      <c r="EL205" s="22"/>
      <c r="EM205" s="22"/>
      <c r="EN205" s="22"/>
      <c r="EO205" s="234"/>
      <c r="EP205" s="36"/>
      <c r="EQ205" s="22"/>
      <c r="ER205" s="22"/>
      <c r="ES205" s="22"/>
      <c r="ET205" s="22"/>
      <c r="EU205" s="234"/>
      <c r="EV205" s="36"/>
      <c r="EW205" s="22"/>
      <c r="EX205" s="22"/>
      <c r="EY205" s="22"/>
      <c r="EZ205" s="22"/>
      <c r="FA205" s="234"/>
      <c r="FB205" s="36"/>
      <c r="FC205" s="22"/>
      <c r="FD205" s="22"/>
      <c r="FE205" s="22"/>
      <c r="FF205" s="22"/>
      <c r="FG205" s="234"/>
      <c r="FH205" s="36"/>
      <c r="FI205" s="22"/>
      <c r="FJ205" s="22"/>
      <c r="FK205" s="22"/>
      <c r="FL205" s="22"/>
      <c r="FM205" s="234"/>
      <c r="FN205" s="1123"/>
      <c r="FO205" s="235"/>
      <c r="FS205" s="235"/>
      <c r="FT205" s="33"/>
      <c r="FU205" s="33"/>
      <c r="FV205" s="33"/>
      <c r="FW205" s="33"/>
      <c r="FX205" s="33"/>
      <c r="FY205" s="33"/>
      <c r="FZ205" s="33"/>
      <c r="GA205" s="33"/>
      <c r="GB205" s="33"/>
      <c r="GC205" s="33"/>
      <c r="GD205" s="33"/>
      <c r="GE205" s="33"/>
      <c r="GF205" s="33"/>
      <c r="GI205"/>
      <c r="GJ205"/>
      <c r="GK205"/>
      <c r="GL205"/>
      <c r="GM205"/>
      <c r="GN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</row>
    <row r="206" spans="1:281" s="37" customFormat="1" ht="10.5" hidden="1" customHeight="1" outlineLevel="1" x14ac:dyDescent="0.2">
      <c r="A206" s="18" t="s">
        <v>817</v>
      </c>
      <c r="B206" s="952"/>
      <c r="C206" s="42"/>
      <c r="D206" s="42"/>
      <c r="E206" s="42"/>
      <c r="F206" s="42"/>
      <c r="G206" s="42"/>
      <c r="H206" s="22"/>
      <c r="I206" s="22"/>
      <c r="J206" s="42"/>
      <c r="K206" s="42"/>
      <c r="L206" s="22"/>
      <c r="M206" s="22"/>
      <c r="N206" s="36"/>
      <c r="O206" s="42"/>
      <c r="P206" s="42"/>
      <c r="Q206" s="42"/>
      <c r="R206" s="42"/>
      <c r="S206" s="22"/>
      <c r="T206" s="36"/>
      <c r="U206" s="22"/>
      <c r="V206" s="22"/>
      <c r="W206" s="22"/>
      <c r="X206" s="22"/>
      <c r="Y206" s="22"/>
      <c r="Z206" s="36"/>
      <c r="AA206" s="22"/>
      <c r="AB206" s="22"/>
      <c r="AC206" s="22"/>
      <c r="AD206" s="22"/>
      <c r="AE206" s="22"/>
      <c r="AF206" s="36"/>
      <c r="AG206" s="22"/>
      <c r="AH206" s="22"/>
      <c r="AI206" s="22"/>
      <c r="AJ206" s="22"/>
      <c r="AK206" s="22"/>
      <c r="AL206" s="36"/>
      <c r="AM206" s="22"/>
      <c r="AN206" s="22"/>
      <c r="AO206" s="22"/>
      <c r="AP206" s="22"/>
      <c r="AQ206" s="22"/>
      <c r="AR206" s="36"/>
      <c r="AS206" s="336">
        <f>AS99-AS141-AS167-AS165</f>
        <v>345.86299999999994</v>
      </c>
      <c r="AT206" s="336">
        <f>AT99-AT141-AT167-AT165</f>
        <v>576.06499999999983</v>
      </c>
      <c r="AU206" s="336">
        <f>AU99-AU141-AU167-AU165</f>
        <v>769.72099999999966</v>
      </c>
      <c r="AV206" s="336">
        <f>AV99-AV141-AV167-AV165</f>
        <v>1388.5110000000004</v>
      </c>
      <c r="AW206" s="336">
        <f>SUM(AS206:AV206)</f>
        <v>3080.16</v>
      </c>
      <c r="AX206" s="36"/>
      <c r="AY206" s="336">
        <f>AY99-AY141-AY167-AY165</f>
        <v>658.04100000000028</v>
      </c>
      <c r="AZ206" s="336">
        <f>AZ99-AZ141-AZ167-AZ165</f>
        <v>946.00099999999975</v>
      </c>
      <c r="BA206" s="336">
        <f>BA99-BA141-BA167-BA165</f>
        <v>878.12300000000005</v>
      </c>
      <c r="BB206" s="336">
        <f>BB99-BB141-BB167-BB165</f>
        <v>1294.9259999999997</v>
      </c>
      <c r="BC206" s="336">
        <f>SUM(AY206:BB206)</f>
        <v>3777.0909999999994</v>
      </c>
      <c r="BD206" s="36"/>
      <c r="BE206" s="336">
        <f>BE99-BE141-BE167-BE165</f>
        <v>745.77799999999979</v>
      </c>
      <c r="BF206" s="336">
        <f>BF99-BF141-BF167-BF165</f>
        <v>819.94400000000007</v>
      </c>
      <c r="BG206" s="336">
        <f>BG99-BG141-BG167-BG165</f>
        <v>778.73899999999969</v>
      </c>
      <c r="BH206" s="336">
        <f>BH99-BH141-BH167-BH165</f>
        <v>1226.471</v>
      </c>
      <c r="BI206" s="336">
        <f>SUM(BE206:BH206)</f>
        <v>3570.9319999999993</v>
      </c>
      <c r="BJ206" s="36"/>
      <c r="BK206" s="336">
        <f>BK99-BK141-BK167-BK165</f>
        <v>580</v>
      </c>
      <c r="BL206" s="336">
        <f>BL99-BL141-BL167-BL165</f>
        <v>794</v>
      </c>
      <c r="BM206" s="336">
        <f>BM99-BM141-BM167-BM165</f>
        <v>796</v>
      </c>
      <c r="BN206" s="336">
        <f>BN99-BN141-BN167-BN165</f>
        <v>1270.4000000000001</v>
      </c>
      <c r="BO206" s="336">
        <f>SUM(BK206:BN206)</f>
        <v>3440.4</v>
      </c>
      <c r="BP206" s="36"/>
      <c r="BQ206" s="336">
        <f>BQ99-BQ141-BQ167-BQ165</f>
        <v>616</v>
      </c>
      <c r="BR206" s="336">
        <f>BR99-BR141-BR167-BR165</f>
        <v>915</v>
      </c>
      <c r="BS206" s="336">
        <f>BS99-BS141-BS167-BS165</f>
        <v>927</v>
      </c>
      <c r="BT206" s="336">
        <f>BT99-BT141-BT167-BT165</f>
        <v>1406</v>
      </c>
      <c r="BU206" s="336">
        <f>SUM(BQ206:BT206)</f>
        <v>3864</v>
      </c>
      <c r="BV206" s="36"/>
      <c r="BW206" s="336">
        <f>BW99-BW141-BW167-BW165</f>
        <v>743.5</v>
      </c>
      <c r="BX206" s="336">
        <f>BX99-BX141-BX167-BX165</f>
        <v>1154.3</v>
      </c>
      <c r="BY206" s="336">
        <f>BY99-BY141-BY167-BY165</f>
        <v>1025</v>
      </c>
      <c r="BZ206" s="336">
        <f>BZ99-BZ141-BZ167-BZ165</f>
        <v>1672.9920000000002</v>
      </c>
      <c r="CA206" s="336">
        <f>SUM(BW206:BZ206)</f>
        <v>4595.7920000000004</v>
      </c>
      <c r="CB206" s="36"/>
      <c r="CC206" s="336">
        <f>CC99-CC141-CC167-CC165</f>
        <v>874</v>
      </c>
      <c r="CD206" s="336">
        <f>CD99-CD141-CD167-CD165</f>
        <v>1252</v>
      </c>
      <c r="CE206" s="336">
        <f>CE99-CE141-CE167-CE165</f>
        <v>1310.9</v>
      </c>
      <c r="CF206" s="336">
        <f>CF99-CF141-CF167-CF165</f>
        <v>2106.8500000000004</v>
      </c>
      <c r="CG206" s="337">
        <f>SUM(CC206:CF206)</f>
        <v>5543.75</v>
      </c>
      <c r="CH206" s="36"/>
      <c r="CI206" s="336">
        <f>CI99-CI141-CI167-CI165</f>
        <v>1198</v>
      </c>
      <c r="CJ206" s="336">
        <f>CJ99-CJ141-CJ167-CJ165</f>
        <v>1534</v>
      </c>
      <c r="CK206" s="336">
        <f>CK99-CK141-CK167-CK165</f>
        <v>1672</v>
      </c>
      <c r="CL206" s="336">
        <f>CL99-CL141-CL167-CL165</f>
        <v>2606</v>
      </c>
      <c r="CM206" s="337">
        <f>SUM(CI206:CL206)</f>
        <v>7010</v>
      </c>
      <c r="CN206" s="36"/>
      <c r="CO206" s="336">
        <f>CO99-CO141-CO167-CO165</f>
        <v>1549</v>
      </c>
      <c r="CP206" s="336">
        <f>CP99-CP141-CP167-CP165</f>
        <v>2100</v>
      </c>
      <c r="CQ206" s="336">
        <f>CQ99-CQ141-CQ167-CQ165</f>
        <v>2135</v>
      </c>
      <c r="CR206" s="336">
        <f>CR99-CR141-CR167-CR165</f>
        <v>3438</v>
      </c>
      <c r="CS206" s="337">
        <f>SUM(CO206:CR206)</f>
        <v>9222</v>
      </c>
      <c r="CT206" s="36"/>
      <c r="CU206" s="336">
        <f>CU99-CU141-CU167-CU165</f>
        <v>1997</v>
      </c>
      <c r="CV206" s="336">
        <f>CV99-CV141-CV167-CV165</f>
        <v>2440</v>
      </c>
      <c r="CW206" s="336">
        <f>CW99-CW141-CW167-CW165</f>
        <v>2419</v>
      </c>
      <c r="CX206" s="336">
        <f>CX99-CX141-CX167-CX165</f>
        <v>3411</v>
      </c>
      <c r="CY206" s="337">
        <f>SUM(CU206:CX206)</f>
        <v>10267</v>
      </c>
      <c r="CZ206" s="36"/>
      <c r="DA206" s="336">
        <f>DA99-DA141-DA167-DA165</f>
        <v>2225</v>
      </c>
      <c r="DB206" s="336">
        <f>DB99-DB141-DB167-DB165</f>
        <v>2738</v>
      </c>
      <c r="DC206" s="336">
        <f>DC99-DC141-DC167-DC165</f>
        <v>2709.3999999999996</v>
      </c>
      <c r="DD206" s="336">
        <f>DD99-DD141-DD167-DD165</f>
        <v>4162.7</v>
      </c>
      <c r="DE206" s="337">
        <f>SUM(DA206:DD206)</f>
        <v>11835.099999999999</v>
      </c>
      <c r="DF206" s="36"/>
      <c r="DG206" s="336">
        <f>DG99-DG141-DG167-DG165</f>
        <v>2732</v>
      </c>
      <c r="DH206" s="336">
        <f>DH99-DH141-DH167-DH165</f>
        <v>3665</v>
      </c>
      <c r="DI206" s="336">
        <f>DI99-DI141-DI167-DI165</f>
        <v>3721</v>
      </c>
      <c r="DJ206" s="336">
        <f>DJ99-DJ141-DJ167-DJ165</f>
        <v>5080</v>
      </c>
      <c r="DK206" s="337">
        <f>SUM(DG206:DJ206)</f>
        <v>15198</v>
      </c>
      <c r="DL206" s="36"/>
      <c r="DM206" s="336">
        <f>DM99-DM141-DM167-DM165</f>
        <v>3395</v>
      </c>
      <c r="DN206" s="336">
        <f>DN99-DN141-DN167-DN165</f>
        <v>3760</v>
      </c>
      <c r="DO206" s="336">
        <f>DO99-DO141-DO167-DO165</f>
        <v>4025.3392000000003</v>
      </c>
      <c r="DP206" s="336">
        <f>DP99-DP141-DP167-DP165</f>
        <v>5294.1597000000002</v>
      </c>
      <c r="DQ206" s="337">
        <f>SUM(DM206:DP206)</f>
        <v>16474.498899999999</v>
      </c>
      <c r="DR206" s="36"/>
      <c r="DS206" s="336">
        <f>DS99-DS141-DS167-DS165</f>
        <v>3385</v>
      </c>
      <c r="DT206" s="336">
        <f>DT99-DT141-DT167-DT165</f>
        <v>4065</v>
      </c>
      <c r="DU206" s="336">
        <f>DU99-DU141-DU167-DU165</f>
        <v>3994</v>
      </c>
      <c r="DV206" s="336">
        <f>DV99-DV141-DV167-DV165</f>
        <v>5373.711703323539</v>
      </c>
      <c r="DW206" s="337">
        <f>SUM(DS206:DV206)</f>
        <v>16817.711703323541</v>
      </c>
      <c r="DX206" s="36"/>
      <c r="DY206" s="336">
        <f>DY99-DY141-DY167-DY165</f>
        <v>3534</v>
      </c>
      <c r="DZ206" s="336">
        <f>DZ99-DZ141-DZ167-DZ165</f>
        <v>4056</v>
      </c>
      <c r="EA206" s="336">
        <f>EA99-EA141-EA167-EA165</f>
        <v>4160</v>
      </c>
      <c r="EB206" s="336">
        <f>EB99-EB141-EB167-EB165</f>
        <v>5560</v>
      </c>
      <c r="EC206" s="337">
        <f>SUM(DY206:EB206)</f>
        <v>17310</v>
      </c>
      <c r="ED206" s="36"/>
      <c r="EE206" s="336">
        <f>EE99-EE141-EE167-EE165</f>
        <v>3604</v>
      </c>
      <c r="EF206" s="336">
        <f>EF99-EF141-EF167-EF165</f>
        <v>4141</v>
      </c>
      <c r="EG206" s="336">
        <f>EG99-EG141-EG167-EG165</f>
        <v>3965</v>
      </c>
      <c r="EH206" s="336">
        <f>EH99-EH141-EH167-EH165</f>
        <v>4727</v>
      </c>
      <c r="EI206" s="337">
        <f>SUM(EE206:EH206)</f>
        <v>16437</v>
      </c>
      <c r="EJ206" s="36"/>
      <c r="EK206" s="336">
        <f>EK99-EK141-EK167-EK165</f>
        <v>3220</v>
      </c>
      <c r="EL206" s="336">
        <f>EL99-EL141-EL167-EL165</f>
        <v>3466</v>
      </c>
      <c r="EM206" s="336">
        <f>EM99-EM141-EM167-EM165</f>
        <v>3561</v>
      </c>
      <c r="EN206" s="336">
        <f>EN99-EN141-EN167-EN165</f>
        <v>4495</v>
      </c>
      <c r="EO206" s="337">
        <f>SUM(EK206:EN206)</f>
        <v>14742</v>
      </c>
      <c r="EP206" s="36"/>
      <c r="EQ206" s="336">
        <f>EQ99-EQ141-EQ167-EQ165</f>
        <v>3082</v>
      </c>
      <c r="ER206" s="336">
        <f>ER99-ER141-ER167-ER165</f>
        <v>3464.7799999999988</v>
      </c>
      <c r="ES206" s="336">
        <f>ES99-ES141-ES167-ES165</f>
        <v>3547</v>
      </c>
      <c r="ET206" s="336">
        <f>ET99-ET141-ET167-ET165</f>
        <v>4631</v>
      </c>
      <c r="EU206" s="337">
        <f>SUM(EQ206:ET206)</f>
        <v>14724.779999999999</v>
      </c>
      <c r="EV206" s="36"/>
      <c r="EW206" s="336">
        <f>EW99-EW141-EW167-EW165</f>
        <v>3482</v>
      </c>
      <c r="EX206" s="336">
        <f>EX99-EX141-EX167-EX165</f>
        <v>3778</v>
      </c>
      <c r="EY206" s="336">
        <f>EY99-EY141-EY167-EY165</f>
        <v>3898</v>
      </c>
      <c r="EZ206" s="336">
        <f>EZ99-EZ141-EZ167-EZ165</f>
        <v>4762.7638072157843</v>
      </c>
      <c r="FA206" s="337">
        <f>SUM(EW206:EZ206)</f>
        <v>15920.763807215784</v>
      </c>
      <c r="FB206" s="36"/>
      <c r="FC206" s="336">
        <f>FC99-FC141-FC167-FC165</f>
        <v>3556.7147825952034</v>
      </c>
      <c r="FD206" s="336">
        <f>FD99-FD141-FD167-FD165</f>
        <v>3967.903600706351</v>
      </c>
      <c r="FE206" s="336">
        <f>FE99-FE141-FE167-FE165</f>
        <v>4055.5245994688853</v>
      </c>
      <c r="FF206" s="336">
        <f>FF99-FF141-FF167-FF165</f>
        <v>4845.712088115215</v>
      </c>
      <c r="FG206" s="337">
        <f>SUM(FC206:FF206)</f>
        <v>16425.855070885656</v>
      </c>
      <c r="FH206" s="36"/>
      <c r="FI206" s="336">
        <f>FI99-FI141-FI167-FI165</f>
        <v>3779.4544222864565</v>
      </c>
      <c r="FJ206" s="336">
        <f>FJ99-FJ141-FJ167-FJ165</f>
        <v>4135.2216562570602</v>
      </c>
      <c r="FK206" s="336">
        <f>FK99-FK141-FK167-FK165</f>
        <v>4188.4843919728755</v>
      </c>
      <c r="FL206" s="336">
        <f>FL99-FL141-FL167-FL165</f>
        <v>4884.1349159301162</v>
      </c>
      <c r="FM206" s="337">
        <f>SUM(FI206:FL206)</f>
        <v>16987.295386446509</v>
      </c>
      <c r="FN206" s="1123"/>
      <c r="FO206" s="235"/>
      <c r="FS206" s="235"/>
      <c r="FT206" s="33"/>
      <c r="FU206" s="33"/>
      <c r="FV206" s="33"/>
      <c r="FW206" s="33"/>
      <c r="FX206" s="33"/>
      <c r="FY206" s="33"/>
      <c r="FZ206" s="33"/>
      <c r="GA206" s="33"/>
      <c r="GB206" s="33"/>
      <c r="GC206" s="33"/>
      <c r="GD206" s="33"/>
      <c r="GE206" s="33"/>
      <c r="GF206" s="33"/>
      <c r="GI206"/>
      <c r="GJ206"/>
      <c r="GK206"/>
      <c r="GL206"/>
      <c r="GM206"/>
      <c r="GN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</row>
    <row r="207" spans="1:281" s="37" customFormat="1" ht="10.5" hidden="1" customHeight="1" outlineLevel="1" x14ac:dyDescent="0.2">
      <c r="A207" s="901" t="s">
        <v>26</v>
      </c>
      <c r="B207" s="952"/>
      <c r="C207" s="42"/>
      <c r="D207" s="42"/>
      <c r="E207" s="42"/>
      <c r="F207" s="42"/>
      <c r="G207" s="42"/>
      <c r="H207" s="22"/>
      <c r="I207" s="22"/>
      <c r="J207" s="42"/>
      <c r="K207" s="42"/>
      <c r="L207" s="22"/>
      <c r="M207" s="22"/>
      <c r="N207" s="36"/>
      <c r="O207" s="42"/>
      <c r="P207" s="42"/>
      <c r="Q207" s="42"/>
      <c r="R207" s="42"/>
      <c r="S207" s="22"/>
      <c r="T207" s="36"/>
      <c r="U207" s="22"/>
      <c r="V207" s="22"/>
      <c r="W207" s="22"/>
      <c r="X207" s="22"/>
      <c r="Y207" s="22"/>
      <c r="Z207" s="36"/>
      <c r="AA207" s="22"/>
      <c r="AB207" s="22"/>
      <c r="AC207" s="22"/>
      <c r="AD207" s="22"/>
      <c r="AE207" s="22"/>
      <c r="AF207" s="36"/>
      <c r="AG207" s="22"/>
      <c r="AH207" s="22"/>
      <c r="AI207" s="22"/>
      <c r="AJ207" s="22"/>
      <c r="AK207" s="22"/>
      <c r="AL207" s="36"/>
      <c r="AM207" s="22"/>
      <c r="AN207" s="22"/>
      <c r="AO207" s="22"/>
      <c r="AP207" s="22"/>
      <c r="AQ207" s="22"/>
      <c r="AR207" s="36"/>
      <c r="AS207" s="22">
        <f>+AS206/AS91</f>
        <v>0.17428069399254323</v>
      </c>
      <c r="AT207" s="22">
        <f>+AT206/AT91</f>
        <v>0.24810250990252303</v>
      </c>
      <c r="AU207" s="22">
        <f>+AU206/AU91</f>
        <v>0.31424648630817598</v>
      </c>
      <c r="AV207" s="22">
        <f>+AV206/AV91</f>
        <v>0.41149479449131832</v>
      </c>
      <c r="AW207" s="22">
        <f>+AW206/AW91</f>
        <v>0.30405933666386048</v>
      </c>
      <c r="AX207" s="36"/>
      <c r="AY207" s="22">
        <f>+AY206/AY91</f>
        <v>0.28760633778439793</v>
      </c>
      <c r="AZ207" s="22">
        <f>+AZ206/AZ91</f>
        <v>0.35214345698791838</v>
      </c>
      <c r="BA207" s="22">
        <f>+BA206/BA91</f>
        <v>0.32570578866509747</v>
      </c>
      <c r="BB207" s="22">
        <f>+BB206/BB91</f>
        <v>0.39356701507189457</v>
      </c>
      <c r="BC207" s="22">
        <f>+BC206/BC91</f>
        <v>0.34460333343916605</v>
      </c>
      <c r="BD207" s="36"/>
      <c r="BE207" s="22">
        <f>+BE206/BE91</f>
        <v>0.32925381502877404</v>
      </c>
      <c r="BF207" s="22">
        <f>+BF206/BF91</f>
        <v>0.34445103987209075</v>
      </c>
      <c r="BG207" s="22">
        <f>+BG206/BG91</f>
        <v>0.3455962757176077</v>
      </c>
      <c r="BH207" s="22">
        <f>+BH206/BH91</f>
        <v>0.44213388628112443</v>
      </c>
      <c r="BI207" s="22">
        <f>+BI206/BI91</f>
        <v>0.36917279218112076</v>
      </c>
      <c r="BJ207" s="36"/>
      <c r="BK207" s="22">
        <f>+BK206/BK91</f>
        <v>0.28599605522682447</v>
      </c>
      <c r="BL207" s="22">
        <f>+BL206/BL91</f>
        <v>0.34387180597661327</v>
      </c>
      <c r="BM207" s="22">
        <f>+BM206/BM91</f>
        <v>0.34503684438664933</v>
      </c>
      <c r="BN207" s="22">
        <f>+BN206/BN91</f>
        <v>0.44868263050081236</v>
      </c>
      <c r="BO207" s="22">
        <f>+BO206/BO91</f>
        <v>0.36308757413935033</v>
      </c>
      <c r="BP207" s="36"/>
      <c r="BQ207" s="22">
        <f>+BQ206/BQ91</f>
        <v>0.29729729729729731</v>
      </c>
      <c r="BR207" s="22">
        <f>+BR206/BR91</f>
        <v>0.36629303442754202</v>
      </c>
      <c r="BS207" s="22">
        <f>+BS206/BS91</f>
        <v>0.36946990833001198</v>
      </c>
      <c r="BT207" s="22">
        <f>+BT206/BT91</f>
        <v>0.45693857653558662</v>
      </c>
      <c r="BU207" s="22">
        <f>+BU206/BU91</f>
        <v>0.38046474990153606</v>
      </c>
      <c r="BV207" s="36"/>
      <c r="BW207" s="22">
        <f>+BW206/BW91</f>
        <v>0.33566591422121894</v>
      </c>
      <c r="BX207" s="22">
        <f>+BX206/BX91</f>
        <v>0.41883164005805512</v>
      </c>
      <c r="BY207" s="22">
        <f>+BY206/BY91</f>
        <v>0.331393469123828</v>
      </c>
      <c r="BZ207" s="22">
        <f>+BZ206/BZ91</f>
        <v>0.41257509247842172</v>
      </c>
      <c r="CA207" s="22">
        <f>+CA206/CA91</f>
        <v>0.37922204802376436</v>
      </c>
      <c r="CB207" s="36"/>
      <c r="CC207" s="22">
        <f>+CC206/CC91</f>
        <v>0.30065359477124182</v>
      </c>
      <c r="CD207" s="22">
        <f>+CD206/CD91</f>
        <v>0.36888626988803769</v>
      </c>
      <c r="CE207" s="22">
        <f>+CE206/CE91</f>
        <v>0.3708974649162517</v>
      </c>
      <c r="CF207" s="22">
        <f>+CF206/CF91</f>
        <v>0.42674701235568169</v>
      </c>
      <c r="CG207" s="234">
        <f>+CG206/CG91</f>
        <v>0.37527754461021906</v>
      </c>
      <c r="CH207" s="36"/>
      <c r="CI207" s="22">
        <f>+CI206/CI91</f>
        <v>0.32723299644905762</v>
      </c>
      <c r="CJ207" s="22">
        <f>+CJ206/CJ91</f>
        <v>0.36385199240986715</v>
      </c>
      <c r="CK207" s="22">
        <f>+CK206/CK91</f>
        <v>0.37581478984041355</v>
      </c>
      <c r="CL207" s="22">
        <f>+CL206/CL91</f>
        <v>0.44297127315995238</v>
      </c>
      <c r="CM207" s="234">
        <f>+CM206/CM91</f>
        <v>0.38497446317754958</v>
      </c>
      <c r="CN207" s="36"/>
      <c r="CO207" s="22">
        <f>+CO206/CO91</f>
        <v>0.33725234051817982</v>
      </c>
      <c r="CP207" s="22">
        <f>+CP206/CP91</f>
        <v>0.39149888143176736</v>
      </c>
      <c r="CQ207" s="22">
        <f>+CQ206/CQ91</f>
        <v>0.39750512008936884</v>
      </c>
      <c r="CR207" s="22">
        <f>+CR206/CR91</f>
        <v>0.47218788627935721</v>
      </c>
      <c r="CS207" s="234">
        <f>+CS206/CS91</f>
        <v>0.40789066301030563</v>
      </c>
      <c r="CT207" s="36"/>
      <c r="CU207" s="22">
        <f>+CU206/CU91</f>
        <v>0.36831427517521209</v>
      </c>
      <c r="CV207" s="22">
        <f>+CV206/CV91</f>
        <v>0.42904870757868824</v>
      </c>
      <c r="CW207" s="22">
        <f>+CW206/CW91</f>
        <v>0.4394985465116279</v>
      </c>
      <c r="CX207" s="22">
        <f>+CX206/CX91</f>
        <v>0.49571283243714576</v>
      </c>
      <c r="CY207" s="234">
        <f>+CY206/CY91</f>
        <v>0.43700519281518685</v>
      </c>
      <c r="CZ207" s="36"/>
      <c r="DA207" s="22">
        <f>+DA206/DA91</f>
        <v>0.43946276910922377</v>
      </c>
      <c r="DB207" s="22">
        <f>+DB206/DB91</f>
        <v>0.46628065395095369</v>
      </c>
      <c r="DC207" s="22">
        <f>+DC206/DC91</f>
        <v>0.41880236188827402</v>
      </c>
      <c r="DD207" s="22">
        <f>+DD206/DD91</f>
        <v>0.4322188765444917</v>
      </c>
      <c r="DE207" s="234">
        <f>+DE206/DE91</f>
        <v>0.43776308099750688</v>
      </c>
      <c r="DF207" s="36"/>
      <c r="DG207" s="22">
        <f>+DG206/DG91</f>
        <v>0.36004217185028992</v>
      </c>
      <c r="DH207" s="22">
        <f>+DH206/DH91</f>
        <v>0.42155509546813896</v>
      </c>
      <c r="DI207" s="22">
        <f>+DI206/DI91</f>
        <v>0.42250482570682413</v>
      </c>
      <c r="DJ207" s="22">
        <f>+DJ206/DJ91</f>
        <v>0.47010919859337408</v>
      </c>
      <c r="DK207" s="234">
        <f>+DK206/DK91</f>
        <v>0.42340158796489763</v>
      </c>
      <c r="DL207" s="36"/>
      <c r="DM207" s="22">
        <f>+DM206/DM91</f>
        <v>0.40426291974279588</v>
      </c>
      <c r="DN207" s="22">
        <f>+DN206/DN91</f>
        <v>0.42673930314379754</v>
      </c>
      <c r="DO207" s="22">
        <f>+DO206/DO91</f>
        <v>0.44418324134236781</v>
      </c>
      <c r="DP207" s="22">
        <f>+DP206/DP91</f>
        <v>0.48347785283898648</v>
      </c>
      <c r="DQ207" s="234">
        <f>+DQ206/DQ91</f>
        <v>0.44260707888902334</v>
      </c>
      <c r="DR207" s="36"/>
      <c r="DS207" s="22">
        <f>+DS206/DS91</f>
        <v>0.4123522962602022</v>
      </c>
      <c r="DT207" s="22">
        <f>+DT206/DT91</f>
        <v>0.44606605947547462</v>
      </c>
      <c r="DU207" s="22">
        <f>+DU206/DU91</f>
        <v>0.44526198439241915</v>
      </c>
      <c r="DV207" s="22">
        <f>+DV206/DV91</f>
        <v>0.490257431194557</v>
      </c>
      <c r="DW207" s="234">
        <f>+DW206/DW91</f>
        <v>0.4514458353239616</v>
      </c>
      <c r="DX207" s="36"/>
      <c r="DY207" s="22">
        <f>+DY206/DY91</f>
        <v>0.42166805870421192</v>
      </c>
      <c r="DZ207" s="22">
        <f>+DZ206/DZ91</f>
        <v>0.43692771733275881</v>
      </c>
      <c r="EA207" s="22">
        <f>+EA206/EA91</f>
        <v>0.44659151905528716</v>
      </c>
      <c r="EB207" s="22">
        <f>+EB206/EB91</f>
        <v>0.49090588027547238</v>
      </c>
      <c r="EC207" s="234">
        <f>+EC206/EC91</f>
        <v>0.45189922986555281</v>
      </c>
      <c r="ED207" s="36"/>
      <c r="EE207" s="22">
        <f>+EE206/EE91</f>
        <v>0.41911850215141294</v>
      </c>
      <c r="EF207" s="22">
        <f>+EF206/EF91</f>
        <v>0.43099500416319736</v>
      </c>
      <c r="EG207" s="22">
        <f>+EG206/EG91</f>
        <v>0.42479108635097496</v>
      </c>
      <c r="EH207" s="22">
        <f>+EH206/EH91</f>
        <v>0.4412808065720687</v>
      </c>
      <c r="EI207" s="234">
        <f>+EI206/EI91</f>
        <v>0.42969178887930359</v>
      </c>
      <c r="EJ207" s="36"/>
      <c r="EK207" s="22">
        <f>+EK206/EK91</f>
        <v>0.38101999763341615</v>
      </c>
      <c r="EL207" s="22">
        <f>+EL206/EL91</f>
        <v>0.3852823477100934</v>
      </c>
      <c r="EM207" s="22">
        <f>+EM206/EM91</f>
        <v>0.39505214111382292</v>
      </c>
      <c r="EN207" s="22">
        <f>+EN206/EN91</f>
        <v>0.42421668554171388</v>
      </c>
      <c r="EO207" s="234">
        <f>+EO206/EO91</f>
        <v>0.39781957524894079</v>
      </c>
      <c r="EP207" s="36"/>
      <c r="EQ207" s="22">
        <f>+EQ206/EQ91</f>
        <v>0.35783118541739234</v>
      </c>
      <c r="ER207" s="22">
        <f>+ER206/ER91</f>
        <v>0.38201367618619186</v>
      </c>
      <c r="ES207" s="22">
        <f>+ES206/ES91</f>
        <v>0.38246711235712744</v>
      </c>
      <c r="ET207" s="22">
        <f>+ET206/ET91</f>
        <v>0.42327026780001831</v>
      </c>
      <c r="EU207" s="234">
        <f>+EU206/EU91</f>
        <v>0.38853938146244976</v>
      </c>
      <c r="EV207" s="36"/>
      <c r="EW207" s="22">
        <f>+EW206/EW91</f>
        <v>0.37798523664785061</v>
      </c>
      <c r="EX207" s="22">
        <f>+EX206/EX91</f>
        <v>0.39231568016614743</v>
      </c>
      <c r="EY207" s="22">
        <f>+EY206/EY91</f>
        <v>0.39873158756137478</v>
      </c>
      <c r="EZ207" s="22">
        <f>+EZ206/EZ91</f>
        <v>0.42563924337536035</v>
      </c>
      <c r="FA207" s="234">
        <f>+FA206/FA91</f>
        <v>0.39994209007789433</v>
      </c>
      <c r="FB207" s="36"/>
      <c r="FC207" s="22">
        <f>+FC206/FC91</f>
        <v>0.37245447586558778</v>
      </c>
      <c r="FD207" s="22">
        <f>+FD206/FD91</f>
        <v>0.39751076756013837</v>
      </c>
      <c r="FE207" s="22">
        <f>+FE206/FE91</f>
        <v>0.40186194105726242</v>
      </c>
      <c r="FF207" s="22">
        <f>+FF206/FF91</f>
        <v>0.42493285225833155</v>
      </c>
      <c r="FG207" s="234">
        <f>+FG206/FG91</f>
        <v>0.40037101118512702</v>
      </c>
      <c r="FH207" s="36"/>
      <c r="FI207" s="22">
        <f>+FI206/FI91</f>
        <v>0.38024231370675071</v>
      </c>
      <c r="FJ207" s="22">
        <f>+FJ206/FJ91</f>
        <v>0.39981438536000996</v>
      </c>
      <c r="FK207" s="22">
        <f>+FK206/FK91</f>
        <v>0.40119551099276807</v>
      </c>
      <c r="FL207" s="22">
        <f>+FL206/FL91</f>
        <v>0.41829117257349197</v>
      </c>
      <c r="FM207" s="234">
        <f>+FM206/FM91</f>
        <v>0.40065456979537728</v>
      </c>
      <c r="FN207" s="1123"/>
      <c r="FO207" s="235"/>
      <c r="FS207" s="235"/>
      <c r="FT207" s="33"/>
      <c r="FU207" s="33"/>
      <c r="FV207" s="33"/>
      <c r="FW207" s="33"/>
      <c r="FX207" s="33"/>
      <c r="FY207" s="33"/>
      <c r="FZ207" s="33"/>
      <c r="GA207" s="33"/>
      <c r="GB207" s="33"/>
      <c r="GC207" s="33"/>
      <c r="GD207" s="33"/>
      <c r="GE207" s="33"/>
      <c r="GF207" s="33"/>
      <c r="GI207"/>
      <c r="GJ207"/>
      <c r="GK207"/>
      <c r="GL207"/>
      <c r="GM207"/>
      <c r="GN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</row>
    <row r="208" spans="1:281" s="37" customFormat="1" ht="10.5" hidden="1" customHeight="1" outlineLevel="1" x14ac:dyDescent="0.2">
      <c r="A208" s="18" t="s">
        <v>45</v>
      </c>
      <c r="B208" s="952"/>
      <c r="C208" s="42"/>
      <c r="D208" s="42"/>
      <c r="E208" s="42"/>
      <c r="F208" s="42"/>
      <c r="G208" s="42"/>
      <c r="H208" s="22"/>
      <c r="I208" s="22"/>
      <c r="J208" s="42"/>
      <c r="K208" s="42"/>
      <c r="L208" s="22"/>
      <c r="M208" s="22"/>
      <c r="N208" s="36"/>
      <c r="O208" s="42"/>
      <c r="P208" s="42"/>
      <c r="Q208" s="42"/>
      <c r="R208" s="42"/>
      <c r="S208" s="22"/>
      <c r="T208" s="36"/>
      <c r="U208" s="22"/>
      <c r="V208" s="22"/>
      <c r="W208" s="22"/>
      <c r="X208" s="22"/>
      <c r="Y208" s="22"/>
      <c r="Z208" s="36"/>
      <c r="AA208" s="22"/>
      <c r="AB208" s="22"/>
      <c r="AC208" s="22"/>
      <c r="AD208" s="22"/>
      <c r="AE208" s="22"/>
      <c r="AF208" s="36"/>
      <c r="AG208" s="22"/>
      <c r="AH208" s="22"/>
      <c r="AI208" s="22"/>
      <c r="AJ208" s="22"/>
      <c r="AK208" s="22"/>
      <c r="AL208" s="36"/>
      <c r="AM208" s="22"/>
      <c r="AN208" s="22"/>
      <c r="AO208" s="22"/>
      <c r="AP208" s="22"/>
      <c r="AQ208" s="22"/>
      <c r="AR208" s="36"/>
      <c r="AS208" s="336">
        <f>+(AS206+AS176)*(1-AS185)</f>
        <v>236.73649999999995</v>
      </c>
      <c r="AT208" s="336">
        <f>+(AT206+AT176)*(1-AT185)</f>
        <v>384.48474999999991</v>
      </c>
      <c r="AU208" s="336">
        <f>+(AU206+AU176)*(1-AU185)</f>
        <v>763.1759999999997</v>
      </c>
      <c r="AV208" s="336">
        <f>+(AV206+AV176)*(1-AV185)</f>
        <v>4912.4070000000011</v>
      </c>
      <c r="AW208" s="336">
        <f>SUM(AS208:AV208)</f>
        <v>6296.804250000001</v>
      </c>
      <c r="AX208" s="36"/>
      <c r="AY208" s="336">
        <f>+(AY206+AY176)*(1-AY185)</f>
        <v>500.67673500000018</v>
      </c>
      <c r="AZ208" s="336">
        <f>+(AZ206+AZ176)*(1-AZ185)</f>
        <v>622.99324499999989</v>
      </c>
      <c r="BA208" s="336">
        <f>+(BA206+BA176)*(1-BA185)</f>
        <v>582.71299500000009</v>
      </c>
      <c r="BB208" s="336">
        <f>+(BB206+BB176)*(1-BB185)</f>
        <v>855.06037499999979</v>
      </c>
      <c r="BC208" s="336">
        <f>SUM(AY208:BB208)</f>
        <v>2561.44335</v>
      </c>
      <c r="BD208" s="36"/>
      <c r="BE208" s="336">
        <f>+(BE206+BE176)*(1-BE185)</f>
        <v>510.64714999999984</v>
      </c>
      <c r="BF208" s="336">
        <f>+(BF206+BF176)*(1-BF185)</f>
        <v>549.46190000000001</v>
      </c>
      <c r="BG208" s="336">
        <f>+(BG206+BG176)*(1-BG185)</f>
        <v>507.9749999999998</v>
      </c>
      <c r="BH208" s="336">
        <f>+(BH206+BH176)*(1-BH185)</f>
        <v>656.12099999999998</v>
      </c>
      <c r="BI208" s="336">
        <f>SUM(BE208:BH208)</f>
        <v>2224.2050499999996</v>
      </c>
      <c r="BJ208" s="36"/>
      <c r="BK208" s="336">
        <f>+(BK206+BK176)*(1-BK185)</f>
        <v>343</v>
      </c>
      <c r="BL208" s="336">
        <f>+(BL206+BL176)*(1-BL185)</f>
        <v>535</v>
      </c>
      <c r="BM208" s="336">
        <f>+(BM206+BM176)*(1-BM185)</f>
        <v>571.00000000000011</v>
      </c>
      <c r="BN208" s="336">
        <f>+(BN206+BN176)*(1-BN185)</f>
        <v>858.40000000000009</v>
      </c>
      <c r="BO208" s="336">
        <f>SUM(BK208:BN208)</f>
        <v>2307.4</v>
      </c>
      <c r="BP208" s="36"/>
      <c r="BQ208" s="336">
        <f>+(BQ206+BQ176)*(1-BQ185)</f>
        <v>440</v>
      </c>
      <c r="BR208" s="336">
        <f>+(BR206+BR176)*(1-BR185)</f>
        <v>617</v>
      </c>
      <c r="BS208" s="336">
        <f>+(BS206+BS176)*(1-BS185)</f>
        <v>634</v>
      </c>
      <c r="BT208" s="336">
        <f>+(BT206+BT176)*(1-BT185)</f>
        <v>990</v>
      </c>
      <c r="BU208" s="336">
        <f>SUM(BQ208:BT208)</f>
        <v>2681</v>
      </c>
      <c r="BV208" s="36"/>
      <c r="BW208" s="336">
        <f>+(BW206+BW176-BW462)</f>
        <v>528.65650406504062</v>
      </c>
      <c r="BX208" s="336">
        <f>+(BX206+BX176-BX462)</f>
        <v>831.45537261698428</v>
      </c>
      <c r="BY208" s="336">
        <f>+(BY206+BY176-BY462)</f>
        <v>714.13231552162847</v>
      </c>
      <c r="BZ208" s="336">
        <f>+(BZ206+BZ176-BZ462)</f>
        <v>1215.2919458581487</v>
      </c>
      <c r="CA208" s="336">
        <f>SUM(BW208:BZ208)</f>
        <v>3289.5361380618019</v>
      </c>
      <c r="CB208" s="36"/>
      <c r="CC208" s="336">
        <f>+(CC206+CC176-CC462)</f>
        <v>630.99520613614573</v>
      </c>
      <c r="CD208" s="336">
        <f>+(CD206+CD176-CD462)</f>
        <v>892.16447127698507</v>
      </c>
      <c r="CE208" s="336">
        <f>+(CE206+CE176-CE462)</f>
        <v>946.36868911772899</v>
      </c>
      <c r="CF208" s="336">
        <f>+(CF206+CF176-CF462)</f>
        <v>1470.3709720780435</v>
      </c>
      <c r="CG208" s="337">
        <f>SUM(CC208:CF208)</f>
        <v>3939.8993386089032</v>
      </c>
      <c r="CH208" s="36"/>
      <c r="CI208" s="336">
        <f>+(CI206+CI176-CI462)</f>
        <v>832.98952879581157</v>
      </c>
      <c r="CJ208" s="336">
        <f>+(CJ206+CJ176-CJ462)</f>
        <v>1070.8648068669527</v>
      </c>
      <c r="CK208" s="336">
        <f>+(CK206+CK176-CK462)</f>
        <v>1225.0260328239956</v>
      </c>
      <c r="CL208" s="336">
        <f>+(CL206+CL176-CL462)</f>
        <v>1817.0095494159095</v>
      </c>
      <c r="CM208" s="337">
        <f>SUM(CI208:CL208)</f>
        <v>4945.8899179026694</v>
      </c>
      <c r="CN208" s="36"/>
      <c r="CO208" s="336">
        <f>+(CO206+CO176-CO462)</f>
        <v>1051.5795795795796</v>
      </c>
      <c r="CP208" s="336">
        <f>+(CP206+CP176-CP462)</f>
        <v>1513.4993324432576</v>
      </c>
      <c r="CQ208" s="336">
        <f>+(CQ206+CQ176-CQ462)</f>
        <v>1507.9378658262044</v>
      </c>
      <c r="CR208" s="336">
        <f>+(CR206+CR176-CR462)</f>
        <v>2340.6967283072545</v>
      </c>
      <c r="CS208" s="337">
        <f>SUM(CO208:CR208)</f>
        <v>6413.7135061562967</v>
      </c>
      <c r="CT208" s="36"/>
      <c r="CU208" s="336">
        <f>+(CU206+CU176-CU462)</f>
        <v>1404.7949451597519</v>
      </c>
      <c r="CV208" s="336">
        <f>+(CV206+CV176-CV462)</f>
        <v>1600.2048780487805</v>
      </c>
      <c r="CW208" s="336">
        <f>+(CW206+CW176-CW462)</f>
        <v>1657.9876288659793</v>
      </c>
      <c r="CX208" s="336">
        <f>+(CX206+CX176-CX462)</f>
        <v>2227.1812001182379</v>
      </c>
      <c r="CY208" s="337">
        <f>SUM(CU208:CX208)</f>
        <v>6890.1686521927504</v>
      </c>
      <c r="CZ208" s="36"/>
      <c r="DA208" s="336">
        <f>+(DA206+DA176-DA462)</f>
        <v>1449.4672897196263</v>
      </c>
      <c r="DB208" s="336">
        <f>+(DB206+DB176-DB462)</f>
        <v>1836.0821917808219</v>
      </c>
      <c r="DC208" s="336">
        <f>+(DC206+DC176-DC462)</f>
        <v>1808.3062238135137</v>
      </c>
      <c r="DD208" s="336">
        <f>+(DD206+DD176-DD462)</f>
        <v>2957.3976633171824</v>
      </c>
      <c r="DE208" s="337">
        <f>SUM(DA208:DD208)</f>
        <v>8051.2533686311444</v>
      </c>
      <c r="DF208" s="36"/>
      <c r="DG208" s="336">
        <f>+(DG206+DG176-DG462)</f>
        <v>1934.4251327433628</v>
      </c>
      <c r="DH208" s="336">
        <f>+(DH206+DH176-DH462)</f>
        <v>2492.0056345586263</v>
      </c>
      <c r="DI208" s="336">
        <f>+(DI206+DI176-DI462)</f>
        <v>2631.0091792656585</v>
      </c>
      <c r="DJ208" s="336">
        <f>+(DJ206+DJ176-DJ462)</f>
        <v>3732.3180827886708</v>
      </c>
      <c r="DK208" s="337">
        <f>SUM(DG208:DJ208)</f>
        <v>10789.758029356319</v>
      </c>
      <c r="DL208" s="36"/>
      <c r="DM208" s="336">
        <f>+(DM206+DM176-DM462)</f>
        <v>2324.5813953488373</v>
      </c>
      <c r="DN208" s="336">
        <f>+(DN206+DN176-DN462)</f>
        <v>2631.3075701429325</v>
      </c>
      <c r="DO208" s="336">
        <f>+(DO206+DO176-DO462)</f>
        <v>3011.7519859224521</v>
      </c>
      <c r="DP208" s="336">
        <f>+(DP206+DP176-DP462)</f>
        <v>3956.8835026630268</v>
      </c>
      <c r="DQ208" s="337">
        <f>SUM(DM208:DP208)</f>
        <v>11924.524454077247</v>
      </c>
      <c r="DR208" s="36"/>
      <c r="DS208" s="336">
        <f>+(DS206+DS176-DS462)</f>
        <v>2380.4935521688158</v>
      </c>
      <c r="DT208" s="336">
        <f>+(DT206+DT176-DT462)</f>
        <v>2991.2367066895367</v>
      </c>
      <c r="DU208" s="336">
        <f>+(DU206+DU176-DU462)</f>
        <v>2989.3096085409252</v>
      </c>
      <c r="DV208" s="336">
        <f>+(DV206+DV176-DV462)</f>
        <v>4046.9625049292126</v>
      </c>
      <c r="DW208" s="337">
        <f>SUM(DS208:DV208)</f>
        <v>12408.00237232849</v>
      </c>
      <c r="DX208" s="36"/>
      <c r="DY208" s="336">
        <f>+(DY206+DY176-DY462)</f>
        <v>2664.6791277258567</v>
      </c>
      <c r="DZ208" s="336">
        <f>+(DZ206+DZ176-DZ462)</f>
        <v>3017.5600396137656</v>
      </c>
      <c r="EA208" s="336">
        <f>+(EA206+EA176-EA462)</f>
        <v>2975.296195652174</v>
      </c>
      <c r="EB208" s="336">
        <f>+(EB206+EB176-EB462)</f>
        <v>4107.8311258278145</v>
      </c>
      <c r="EC208" s="337">
        <f>SUM(DY208:EB208)</f>
        <v>12765.366488819611</v>
      </c>
      <c r="ED208" s="36"/>
      <c r="EE208" s="336">
        <f>+(EE206+EE176-EE462)</f>
        <v>2641.7028539451594</v>
      </c>
      <c r="EF208" s="336">
        <f>+(EF206+EF176-EF462)</f>
        <v>2897.0565808644974</v>
      </c>
      <c r="EG208" s="336">
        <f>+(EG206+EG176-EG462)</f>
        <v>2891.5144726906619</v>
      </c>
      <c r="EH208" s="336">
        <f>+(EH206+EH176-EH462)</f>
        <v>3250.4898785425103</v>
      </c>
      <c r="EI208" s="337">
        <f>SUM(EE208:EH208)</f>
        <v>11680.763786042829</v>
      </c>
      <c r="EJ208" s="36"/>
      <c r="EK208" s="336">
        <f>+(EK206+EK176-EK462)</f>
        <v>2109.065196548418</v>
      </c>
      <c r="EL208" s="336">
        <f>+(EL206+EL176-EL462)</f>
        <v>2551.9275320139695</v>
      </c>
      <c r="EM208" s="336">
        <f>+(EM206+EM176-EM462)</f>
        <v>2496.6298185941041</v>
      </c>
      <c r="EN208" s="336">
        <f>+(EN206+EN176-EN462)</f>
        <v>3146.6565121412805</v>
      </c>
      <c r="EO208" s="337">
        <f>SUM(EK208:EN208)</f>
        <v>10304.279059297773</v>
      </c>
      <c r="EP208" s="36"/>
      <c r="EQ208" s="336">
        <f>+(EQ206+EQ176-EQ462)</f>
        <v>2083.5753031269942</v>
      </c>
      <c r="ER208" s="336">
        <f>+(ER206+ER176-ER462)</f>
        <v>2272.3483835150128</v>
      </c>
      <c r="ES208" s="336">
        <f>+(ES206+ES176-ES462)</f>
        <v>2629.275319033397</v>
      </c>
      <c r="ET208" s="336">
        <f>+(ET206+ET176-ET462)</f>
        <v>3606.683751595066</v>
      </c>
      <c r="EU208" s="337">
        <f>SUM(EQ208:ET208)</f>
        <v>10591.88275727047</v>
      </c>
      <c r="EV208" s="36"/>
      <c r="EW208" s="336">
        <f>+(EW206+EW176-EW462)</f>
        <v>2658.75</v>
      </c>
      <c r="EX208" s="336">
        <f>+(EX206+EX176-EX462)</f>
        <v>2659.1145572786395</v>
      </c>
      <c r="EY208" s="336">
        <f>+(EY206+EY176-EY462)</f>
        <v>-3676.7518545106486</v>
      </c>
      <c r="EZ208" s="336">
        <f>+(EZ206+EZ176-EZ462)</f>
        <v>3449.5071922309598</v>
      </c>
      <c r="FA208" s="337">
        <f>SUM(EW208:EZ208)</f>
        <v>5090.6198949989503</v>
      </c>
      <c r="FB208" s="36"/>
      <c r="FC208" s="336">
        <f>+(FC206+FC176-FC462)</f>
        <v>2520.6647474524812</v>
      </c>
      <c r="FD208" s="336">
        <f>+(FD206+FD176-FD462)</f>
        <v>2847.4870028327978</v>
      </c>
      <c r="FE208" s="336">
        <f>+(FE206+FE176-FE462)</f>
        <v>2912.1490105205394</v>
      </c>
      <c r="FF208" s="336">
        <f>+(FF206+FF176-FF462)</f>
        <v>3559.3497708915984</v>
      </c>
      <c r="FG208" s="337">
        <f>SUM(FC208:FF208)</f>
        <v>11839.650531697416</v>
      </c>
      <c r="FH208" s="36"/>
      <c r="FI208" s="336">
        <f>+(FI206+FI176-FI462)</f>
        <v>2717.5247349854899</v>
      </c>
      <c r="FJ208" s="336">
        <f>+(FJ206+FJ176-FJ462)</f>
        <v>3034.0058212387203</v>
      </c>
      <c r="FK208" s="336">
        <f>+(FK206+FK176-FK462)</f>
        <v>3074.7657999003704</v>
      </c>
      <c r="FL208" s="336">
        <f>+(FL206+FL176-FL462)</f>
        <v>3623.8417288452861</v>
      </c>
      <c r="FM208" s="337">
        <f>SUM(FI208:FL208)</f>
        <v>12450.138084969867</v>
      </c>
      <c r="FN208" s="1123"/>
      <c r="FO208" s="235"/>
      <c r="FS208" s="235"/>
      <c r="FT208" s="33"/>
      <c r="FU208" s="33"/>
      <c r="FV208" s="33"/>
      <c r="FW208" s="33"/>
      <c r="FX208" s="33"/>
      <c r="FY208" s="33"/>
      <c r="FZ208" s="33"/>
      <c r="GA208" s="33"/>
      <c r="GB208" s="33"/>
      <c r="GC208" s="33"/>
      <c r="GD208" s="33"/>
      <c r="GE208" s="33"/>
      <c r="GF208" s="33"/>
      <c r="GI208"/>
      <c r="GJ208"/>
      <c r="GK208"/>
      <c r="GL208"/>
      <c r="GM208"/>
      <c r="GN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</row>
    <row r="209" spans="1:281" s="318" customFormat="1" hidden="1" outlineLevel="1" x14ac:dyDescent="0.2">
      <c r="A209" s="902" t="s">
        <v>1071</v>
      </c>
      <c r="B209" s="646" t="s">
        <v>1072</v>
      </c>
      <c r="AS209" s="318">
        <f>+AS208/AS223</f>
        <v>3.968889841141468E-2</v>
      </c>
      <c r="AT209" s="318">
        <f>+AT208/AT223</f>
        <v>6.3946504008249319E-2</v>
      </c>
      <c r="AU209" s="318">
        <f>+AU208/AU223</f>
        <v>0.12727283036526379</v>
      </c>
      <c r="AV209" s="318">
        <f>+AV208/AV223</f>
        <v>0.81742852169849989</v>
      </c>
      <c r="AW209" s="318">
        <f>+AW208/AW223</f>
        <v>1.0501951602460506</v>
      </c>
      <c r="AY209" s="318">
        <f>+AY208/AY223</f>
        <v>8.4390309411802408E-2</v>
      </c>
      <c r="AZ209" s="318">
        <f>+AZ208/AZ223</f>
        <v>0.10604163804958204</v>
      </c>
      <c r="BA209" s="318">
        <f>+BA208/BA223</f>
        <v>9.9586366901353959E-2</v>
      </c>
      <c r="BB209" s="318">
        <f>+BB208/BB223</f>
        <v>0.1474233892157836</v>
      </c>
      <c r="BC209" s="318">
        <f>+BC208/BC223</f>
        <v>0.43674821782239842</v>
      </c>
      <c r="BE209" s="318">
        <f>+BE208/BE223</f>
        <v>8.8346952086670941E-2</v>
      </c>
      <c r="BF209" s="318">
        <f>+BF208/BF223</f>
        <v>9.6466889986762325E-2</v>
      </c>
      <c r="BG209" s="318">
        <f>+BG208/BG223</f>
        <v>8.9600471589784583E-2</v>
      </c>
      <c r="BH209" s="318">
        <f>+BH208/BH223</f>
        <v>0.11694256576717107</v>
      </c>
      <c r="BI209" s="318">
        <f>+BI208/BI223</f>
        <v>0.39096865683710197</v>
      </c>
      <c r="BK209" s="318">
        <f t="shared" ref="BK209:CS209" si="159">+BK208/BK223</f>
        <v>6.2194016319129644E-2</v>
      </c>
      <c r="BL209" s="318">
        <f t="shared" si="159"/>
        <v>9.8708487084870844E-2</v>
      </c>
      <c r="BM209" s="318">
        <f t="shared" si="159"/>
        <v>0.10607467954672117</v>
      </c>
      <c r="BN209" s="318">
        <f t="shared" si="159"/>
        <v>0.16026885735623603</v>
      </c>
      <c r="BO209" s="318">
        <f t="shared" si="159"/>
        <v>0.42587670727205612</v>
      </c>
      <c r="BP209" s="318" t="e">
        <f t="shared" si="159"/>
        <v>#DIV/0!</v>
      </c>
      <c r="BQ209" s="318">
        <f t="shared" si="159"/>
        <v>8.2289134093884428E-2</v>
      </c>
      <c r="BR209" s="318">
        <f t="shared" si="159"/>
        <v>0.11560801948660296</v>
      </c>
      <c r="BS209" s="318">
        <f t="shared" si="159"/>
        <v>0.11879332958590968</v>
      </c>
      <c r="BT209" s="318">
        <f t="shared" si="159"/>
        <v>0.18739352640545145</v>
      </c>
      <c r="BU209" s="318">
        <f t="shared" si="159"/>
        <v>0.5033796470146451</v>
      </c>
      <c r="BV209" s="318" t="e">
        <f t="shared" si="159"/>
        <v>#DIV/0!</v>
      </c>
      <c r="BW209" s="318">
        <f t="shared" si="159"/>
        <v>0.10086939592921973</v>
      </c>
      <c r="BX209" s="318">
        <f t="shared" si="159"/>
        <v>0.1593436896544623</v>
      </c>
      <c r="BY209" s="318">
        <f t="shared" si="159"/>
        <v>0.13654537581675497</v>
      </c>
      <c r="BZ209" s="318">
        <f t="shared" si="159"/>
        <v>0.23219181235348657</v>
      </c>
      <c r="CA209" s="318">
        <f t="shared" si="159"/>
        <v>0.62888422082145046</v>
      </c>
      <c r="CC209" s="318">
        <f t="shared" si="159"/>
        <v>0.12032707973610712</v>
      </c>
      <c r="CD209" s="318">
        <f t="shared" si="159"/>
        <v>0.17032540497842402</v>
      </c>
      <c r="CE209" s="318">
        <f t="shared" si="159"/>
        <v>0.17842546929067288</v>
      </c>
      <c r="CF209" s="318">
        <f t="shared" si="159"/>
        <v>0.27365921683939021</v>
      </c>
      <c r="CG209" s="903">
        <f t="shared" si="159"/>
        <v>0.74481768299237261</v>
      </c>
      <c r="CI209" s="318">
        <f t="shared" si="159"/>
        <v>0.156960529262448</v>
      </c>
      <c r="CJ209" s="318">
        <f t="shared" si="159"/>
        <v>0.20193566035582738</v>
      </c>
      <c r="CK209" s="318">
        <f t="shared" si="159"/>
        <v>0.23280616359254952</v>
      </c>
      <c r="CL209" s="318">
        <f t="shared" si="159"/>
        <v>0.34781959215465341</v>
      </c>
      <c r="CM209" s="903">
        <f t="shared" si="159"/>
        <v>0.93778724268158309</v>
      </c>
      <c r="CO209" s="318">
        <f t="shared" si="159"/>
        <v>0.20145202673938306</v>
      </c>
      <c r="CP209" s="318">
        <f t="shared" si="159"/>
        <v>0.28922211588825864</v>
      </c>
      <c r="CQ209" s="318">
        <f t="shared" si="159"/>
        <v>0.29071483821596383</v>
      </c>
      <c r="CR209" s="318">
        <f t="shared" si="159"/>
        <v>0.44729538091099835</v>
      </c>
      <c r="CS209" s="903">
        <f t="shared" si="159"/>
        <v>1.2290928004898762</v>
      </c>
      <c r="CU209" s="318">
        <f>+CU208/CU223</f>
        <v>0.26834669439536807</v>
      </c>
      <c r="CV209" s="318">
        <f>+CV208/CV223</f>
        <v>0.30850296472889543</v>
      </c>
      <c r="CW209" s="318">
        <f>+CW208/CW223</f>
        <v>0.32792476836748008</v>
      </c>
      <c r="CX209" s="318">
        <f>+CX208/CX223</f>
        <v>0.44163815191715999</v>
      </c>
      <c r="CY209" s="903">
        <f>+CY208/CY223</f>
        <v>1.3430473470479509</v>
      </c>
      <c r="DA209" s="318">
        <f>+DA208/DA223</f>
        <v>0.28628625117906897</v>
      </c>
      <c r="DB209" s="318">
        <f>+DB208/DB223</f>
        <v>0.36257547231058884</v>
      </c>
      <c r="DC209" s="318">
        <f>+DC208/DC223</f>
        <v>0.35624630098768983</v>
      </c>
      <c r="DD209" s="318">
        <f>+DD208/DD223</f>
        <v>0.5810211519287195</v>
      </c>
      <c r="DE209" s="903">
        <f>+DE208/DE223</f>
        <v>1.5870011075013344</v>
      </c>
      <c r="DG209" s="318">
        <f>+DG208/DG223</f>
        <v>0.3805676043170102</v>
      </c>
      <c r="DH209" s="318">
        <f>+DH208/DH223</f>
        <v>0.48700520511210205</v>
      </c>
      <c r="DI209" s="318">
        <f>+DI208/DI223</f>
        <v>0.51097478719472877</v>
      </c>
      <c r="DJ209" s="318">
        <f>+DJ208/DJ223</f>
        <v>0.72275718102026931</v>
      </c>
      <c r="DK209" s="903">
        <f>+DK208/DK223</f>
        <v>2.1039844058609307</v>
      </c>
      <c r="DM209" s="318">
        <f>+DM208/DM223</f>
        <v>0.45137502822307518</v>
      </c>
      <c r="DN209" s="318">
        <f>+DN208/DN223</f>
        <v>0.5136263068793544</v>
      </c>
      <c r="DO209" s="318">
        <f>+DO208/DO223</f>
        <v>0.59286456415796307</v>
      </c>
      <c r="DP209" s="318">
        <f>+DP208/DP223</f>
        <v>0.7871262189502739</v>
      </c>
      <c r="DQ209" s="903">
        <f>+DQ208/DQ223</f>
        <v>2.3404365955009316</v>
      </c>
      <c r="DS209" s="318">
        <f>+DS208/DS223</f>
        <v>0.48197885243345123</v>
      </c>
      <c r="DT209" s="318">
        <f>+DT208/DT223</f>
        <v>0.61446933169464601</v>
      </c>
      <c r="DU209" s="318">
        <f>+DU208/DU223</f>
        <v>0.62121978564857128</v>
      </c>
      <c r="DV209" s="318">
        <f>+DV208/DV223</f>
        <v>0.85091726344180252</v>
      </c>
      <c r="DW209" s="903">
        <f>+DW208/DW223</f>
        <v>2.5616521026742691</v>
      </c>
      <c r="DY209" s="318">
        <f>+DY208/DY223</f>
        <v>0.57010678813133431</v>
      </c>
      <c r="DZ209" s="318">
        <f>+DZ208/DZ223</f>
        <v>0.65599131295951429</v>
      </c>
      <c r="EA209" s="318">
        <f>+EA208/EA223</f>
        <v>0.6503379662627703</v>
      </c>
      <c r="EB209" s="318">
        <f>+EB208/EB223</f>
        <v>0.89906568742127702</v>
      </c>
      <c r="EC209" s="903">
        <f>+EC208/EC223</f>
        <v>2.7723675727700319</v>
      </c>
      <c r="EE209" s="318">
        <f>+EE208/EE223</f>
        <v>0.5808493522306859</v>
      </c>
      <c r="EF209" s="318">
        <f>+EF208/EF223</f>
        <v>0.64307582261143115</v>
      </c>
      <c r="EG209" s="318">
        <f>+EG208/EG223</f>
        <v>0.64341666058982239</v>
      </c>
      <c r="EH209" s="318">
        <f>+EH208/EH223</f>
        <v>0.72831948880629849</v>
      </c>
      <c r="EI209" s="903">
        <f>+EI208/EI223</f>
        <v>2.5942840168890235</v>
      </c>
      <c r="EK209" s="318">
        <f>+EK208/EK223</f>
        <v>0.47802928298921532</v>
      </c>
      <c r="EL209" s="318">
        <f>+EL208/EL223</f>
        <v>0.59127143929888082</v>
      </c>
      <c r="EM209" s="318">
        <f>+EM208/EM223</f>
        <v>0.5866141491057576</v>
      </c>
      <c r="EN209" s="318">
        <f>+EN208/EN223</f>
        <v>0.74248619918387926</v>
      </c>
      <c r="EO209" s="903">
        <f>+EO208/EO223</f>
        <v>2.3932827916148582</v>
      </c>
      <c r="EQ209" s="318">
        <f>+EQ208/EQ223</f>
        <v>0.49362125162923343</v>
      </c>
      <c r="ER209" s="318">
        <f>+ER208/ER223</f>
        <v>0.54168018677354302</v>
      </c>
      <c r="ES209" s="318">
        <f>+ES208/ES223</f>
        <v>0.6254222928243095</v>
      </c>
      <c r="ET209" s="318">
        <f>+ET208/ET223</f>
        <v>0.84903101497058997</v>
      </c>
      <c r="EU209" s="903">
        <f>+EU208/EU223</f>
        <v>2.5117104001115651</v>
      </c>
      <c r="EW209" s="318">
        <f>+EW208/EW223</f>
        <v>0.6206232492997199</v>
      </c>
      <c r="EX209" s="318">
        <f>+EX208/EX223</f>
        <v>0.62085327043629224</v>
      </c>
      <c r="EY209" s="318">
        <f>+EY208/EY223</f>
        <v>-0.86797730276455354</v>
      </c>
      <c r="EZ209" s="318">
        <f>+EZ208/EZ223</f>
        <v>0.82252774403462758</v>
      </c>
      <c r="FA209" s="903">
        <f>+FA208/FA223</f>
        <v>1.1980192536769674</v>
      </c>
      <c r="FC209" s="318">
        <f>+FC208/FC223</f>
        <v>0.60774192183200504</v>
      </c>
      <c r="FD209" s="318">
        <f>+FD208/FD223</f>
        <v>0.69179968557808669</v>
      </c>
      <c r="FE209" s="318">
        <f>+FE208/FE223</f>
        <v>0.71281979962937814</v>
      </c>
      <c r="FF209" s="318">
        <f>+FF208/FF223</f>
        <v>0.87764140001325541</v>
      </c>
      <c r="FG209" s="903">
        <f>+FG208/FG223</f>
        <v>2.8869052657465089</v>
      </c>
      <c r="FI209" s="318">
        <f>+FI208/FI223</f>
        <v>0.67478970382068826</v>
      </c>
      <c r="FJ209" s="318">
        <f>+FJ208/FJ223</f>
        <v>0.75844918987072085</v>
      </c>
      <c r="FK209" s="318">
        <f>+FK208/FK223</f>
        <v>0.77369079327057255</v>
      </c>
      <c r="FL209" s="318">
        <f>+FL208/FL223</f>
        <v>0.91769824326361293</v>
      </c>
      <c r="FM209" s="903">
        <f>+FM208/FM223</f>
        <v>3.1221969002008114</v>
      </c>
      <c r="FN209" s="1126"/>
      <c r="FO209" s="340"/>
      <c r="FP209" s="317"/>
      <c r="FQ209" s="317"/>
      <c r="FR209" s="317"/>
      <c r="FS209" s="1728"/>
      <c r="FT209" s="341"/>
      <c r="FU209" s="341"/>
      <c r="FV209" s="341"/>
      <c r="FW209" s="341"/>
      <c r="FX209" s="341"/>
      <c r="FY209" s="341"/>
      <c r="FZ209" s="341"/>
      <c r="GA209" s="341"/>
      <c r="GB209" s="341"/>
      <c r="GC209" s="341"/>
      <c r="GD209" s="341"/>
      <c r="GE209" s="341"/>
      <c r="GF209" s="341"/>
      <c r="GI209"/>
      <c r="GJ209"/>
      <c r="GK209"/>
      <c r="GL209"/>
      <c r="GM209"/>
      <c r="GN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</row>
    <row r="210" spans="1:281" s="127" customFormat="1" ht="5.25" hidden="1" customHeight="1" outlineLevel="1" x14ac:dyDescent="0.2">
      <c r="B210" s="359"/>
      <c r="CG210" s="961"/>
      <c r="CM210" s="961"/>
      <c r="CS210" s="961"/>
      <c r="CY210" s="961"/>
      <c r="DE210" s="961"/>
      <c r="DK210" s="961"/>
      <c r="DQ210" s="961"/>
      <c r="DW210" s="961"/>
      <c r="EC210" s="961"/>
      <c r="EI210" s="961"/>
      <c r="EO210" s="961"/>
      <c r="EU210" s="961"/>
      <c r="FA210" s="961"/>
      <c r="FG210" s="961"/>
      <c r="FM210" s="961"/>
      <c r="FN210" s="961"/>
      <c r="FO210" s="964"/>
      <c r="FS210" s="964"/>
      <c r="GI210"/>
      <c r="GJ210"/>
      <c r="GK210"/>
      <c r="GL210"/>
      <c r="GM210"/>
      <c r="GN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</row>
    <row r="211" spans="1:281" s="24" customFormat="1" hidden="1" outlineLevel="1" x14ac:dyDescent="0.2">
      <c r="A211" s="292" t="s">
        <v>855</v>
      </c>
      <c r="B211" s="413"/>
      <c r="C211" s="34"/>
      <c r="D211" s="34"/>
      <c r="E211" s="34"/>
      <c r="F211" s="34"/>
      <c r="G211" s="34"/>
      <c r="H211" s="34"/>
      <c r="I211" s="34"/>
      <c r="J211" s="34"/>
      <c r="K211" s="34"/>
      <c r="L211" s="34"/>
      <c r="M211" s="34"/>
      <c r="N211" s="342"/>
      <c r="O211" s="342"/>
      <c r="P211" s="342"/>
      <c r="Q211" s="342"/>
      <c r="R211" s="342"/>
      <c r="S211" s="342"/>
      <c r="T211" s="342"/>
      <c r="U211" s="342"/>
      <c r="V211" s="342"/>
      <c r="W211" s="342"/>
      <c r="X211" s="342"/>
      <c r="Y211" s="342"/>
      <c r="Z211" s="342"/>
      <c r="AA211" s="342"/>
      <c r="AB211" s="342"/>
      <c r="AC211" s="342"/>
      <c r="AD211" s="342"/>
      <c r="AE211" s="343"/>
      <c r="AF211" s="342"/>
      <c r="AG211" s="342"/>
      <c r="AH211" s="342"/>
      <c r="AI211" s="342"/>
      <c r="AJ211" s="342"/>
      <c r="AK211" s="342"/>
      <c r="AL211" s="342"/>
      <c r="AM211" s="342"/>
      <c r="AN211" s="342"/>
      <c r="AO211" s="342"/>
      <c r="AP211" s="342"/>
      <c r="AQ211" s="342"/>
      <c r="AR211" s="342"/>
      <c r="AS211" s="342"/>
      <c r="AT211" s="342"/>
      <c r="AU211" s="342"/>
      <c r="AV211" s="342"/>
      <c r="AW211" s="342"/>
      <c r="AX211" s="342"/>
      <c r="AY211" s="342"/>
      <c r="AZ211" s="342"/>
      <c r="BA211" s="342"/>
      <c r="BB211" s="342"/>
      <c r="BC211" s="342"/>
      <c r="BD211" s="342"/>
      <c r="BE211" s="342"/>
      <c r="BF211" s="342"/>
      <c r="BG211" s="342"/>
      <c r="BH211" s="342"/>
      <c r="BI211" s="342"/>
      <c r="BJ211" s="342"/>
      <c r="BK211" s="342"/>
      <c r="BL211" s="342"/>
      <c r="BM211" s="342"/>
      <c r="BN211" s="342"/>
      <c r="BO211" s="342"/>
      <c r="BP211" s="27"/>
      <c r="BQ211" s="27"/>
      <c r="BR211" s="27"/>
      <c r="BS211" s="27"/>
      <c r="BT211" s="27"/>
      <c r="BU211" s="342"/>
      <c r="BV211" s="27"/>
      <c r="BW211" s="27"/>
      <c r="BX211" s="27"/>
      <c r="BY211" s="27"/>
      <c r="BZ211" s="27"/>
      <c r="CA211" s="342"/>
      <c r="CB211" s="27"/>
      <c r="CC211" s="27"/>
      <c r="CD211" s="27"/>
      <c r="CE211" s="27"/>
      <c r="CF211" s="27"/>
      <c r="CG211" s="147"/>
      <c r="CH211" s="27"/>
      <c r="CI211" s="27"/>
      <c r="CJ211" s="27"/>
      <c r="CK211" s="27"/>
      <c r="CL211" s="27"/>
      <c r="CM211" s="147"/>
      <c r="CN211" s="27"/>
      <c r="CO211" s="27"/>
      <c r="CP211" s="27"/>
      <c r="CQ211" s="27"/>
      <c r="CR211" s="27"/>
      <c r="CS211" s="147"/>
      <c r="CT211" s="27"/>
      <c r="CU211" s="27"/>
      <c r="CV211" s="27"/>
      <c r="CW211" s="27"/>
      <c r="CX211" s="27"/>
      <c r="CY211" s="147"/>
      <c r="CZ211" s="27"/>
      <c r="DA211" s="27"/>
      <c r="DB211" s="27"/>
      <c r="DC211" s="27"/>
      <c r="DD211" s="27"/>
      <c r="DE211" s="147"/>
      <c r="DF211" s="27"/>
      <c r="DG211" s="27"/>
      <c r="DH211" s="27"/>
      <c r="DI211" s="27"/>
      <c r="DJ211" s="27"/>
      <c r="DK211" s="147"/>
      <c r="DL211" s="27"/>
      <c r="DM211" s="27"/>
      <c r="DN211" s="27"/>
      <c r="DO211" s="27"/>
      <c r="DP211" s="27"/>
      <c r="DQ211" s="147"/>
      <c r="DR211" s="27"/>
      <c r="DS211" s="27"/>
      <c r="DT211" s="27"/>
      <c r="DU211" s="27"/>
      <c r="DV211" s="27"/>
      <c r="DW211" s="147"/>
      <c r="DX211" s="27"/>
      <c r="DY211" s="27"/>
      <c r="DZ211" s="27"/>
      <c r="EA211" s="27"/>
      <c r="EB211" s="27"/>
      <c r="EC211" s="147"/>
      <c r="ED211" s="27"/>
      <c r="EE211" s="27"/>
      <c r="EF211" s="27"/>
      <c r="EG211" s="27"/>
      <c r="EH211" s="27"/>
      <c r="EI211" s="147"/>
      <c r="EJ211" s="27"/>
      <c r="EK211" s="27"/>
      <c r="EL211" s="27"/>
      <c r="EM211" s="27"/>
      <c r="EN211" s="27"/>
      <c r="EO211" s="147"/>
      <c r="EP211" s="27"/>
      <c r="EQ211" s="27"/>
      <c r="ER211" s="27"/>
      <c r="ES211" s="27"/>
      <c r="ET211" s="1812"/>
      <c r="EU211" s="147"/>
      <c r="EV211" s="27"/>
      <c r="EW211" s="27"/>
      <c r="EX211" s="27"/>
      <c r="EY211" s="27"/>
      <c r="EZ211" s="27"/>
      <c r="FA211" s="147"/>
      <c r="FB211" s="27"/>
      <c r="FC211" s="27"/>
      <c r="FD211" s="27"/>
      <c r="FE211" s="27"/>
      <c r="FF211" s="27"/>
      <c r="FG211" s="147"/>
      <c r="FH211" s="27"/>
      <c r="FI211" s="27"/>
      <c r="FJ211" s="27"/>
      <c r="FK211" s="27"/>
      <c r="FL211" s="27"/>
      <c r="FM211" s="147"/>
      <c r="FN211" s="474"/>
      <c r="FO211" s="344"/>
      <c r="FP211" s="345"/>
      <c r="FQ211" s="345"/>
      <c r="FR211" s="345"/>
      <c r="FS211" s="344"/>
      <c r="FT211" s="345"/>
      <c r="FU211" s="345"/>
      <c r="FV211" s="345"/>
      <c r="FW211" s="345"/>
      <c r="FX211" s="345"/>
      <c r="FY211" s="345"/>
      <c r="FZ211" s="345"/>
      <c r="GA211" s="345"/>
      <c r="GB211" s="345"/>
      <c r="GC211" s="345"/>
      <c r="GD211" s="345"/>
      <c r="GE211" s="345"/>
      <c r="GF211" s="345"/>
      <c r="GH211" s="27"/>
      <c r="GI211"/>
      <c r="GJ211"/>
      <c r="GK211"/>
      <c r="GL211"/>
      <c r="GM211"/>
      <c r="GN211"/>
      <c r="GO211" s="27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</row>
    <row r="212" spans="1:281" s="242" customFormat="1" hidden="1" outlineLevel="1" x14ac:dyDescent="0.2">
      <c r="A212" s="41" t="s">
        <v>856</v>
      </c>
      <c r="B212" s="949"/>
      <c r="C212" s="34">
        <f t="shared" ref="C212:M212" si="160">C169-C160</f>
        <v>2.6065749999999994</v>
      </c>
      <c r="D212" s="34">
        <f t="shared" si="160"/>
        <v>2.7318180000000005</v>
      </c>
      <c r="E212" s="34">
        <f t="shared" si="160"/>
        <v>10.847620000000006</v>
      </c>
      <c r="F212" s="34">
        <f t="shared" si="160"/>
        <v>28.385000000000005</v>
      </c>
      <c r="G212" s="34">
        <f t="shared" si="160"/>
        <v>63.893000000000001</v>
      </c>
      <c r="H212" s="34">
        <f t="shared" si="160"/>
        <v>123.08699999999999</v>
      </c>
      <c r="I212" s="34">
        <f t="shared" si="160"/>
        <v>135.33899999999994</v>
      </c>
      <c r="J212" s="34">
        <f t="shared" si="160"/>
        <v>26.778999999999996</v>
      </c>
      <c r="K212" s="34">
        <f t="shared" si="160"/>
        <v>114.16700000000003</v>
      </c>
      <c r="L212" s="34">
        <f t="shared" si="160"/>
        <v>241.14100000000008</v>
      </c>
      <c r="M212" s="34">
        <f t="shared" si="160"/>
        <v>419.95299999999997</v>
      </c>
      <c r="N212" s="34"/>
      <c r="O212" s="34">
        <f>O169-O160</f>
        <v>87.543000000000006</v>
      </c>
      <c r="P212" s="34">
        <f>P169-P160</f>
        <v>137.93200000000002</v>
      </c>
      <c r="Q212" s="34">
        <f>Q169-Q160</f>
        <v>154.351</v>
      </c>
      <c r="R212" s="34">
        <f>R169-R160</f>
        <v>269.3950000000001</v>
      </c>
      <c r="S212" s="34">
        <f>SUM(O212:R212)</f>
        <v>649.22100000000012</v>
      </c>
      <c r="T212" s="34"/>
      <c r="U212" s="34">
        <f>U169-U160</f>
        <v>74.19099999999996</v>
      </c>
      <c r="V212" s="34">
        <f>V169-V160</f>
        <v>204.428</v>
      </c>
      <c r="W212" s="34">
        <f>W169-W160</f>
        <v>219.94200000000001</v>
      </c>
      <c r="X212" s="34">
        <f>X169-X160</f>
        <v>406.14599999999984</v>
      </c>
      <c r="Y212" s="34">
        <f>SUM(U212:X212)</f>
        <v>904.70699999999988</v>
      </c>
      <c r="Z212" s="34"/>
      <c r="AA212" s="34">
        <f>AA169-AA160</f>
        <v>168.87400000000002</v>
      </c>
      <c r="AB212" s="34">
        <f>AB169-AB160</f>
        <v>274.1880000000001</v>
      </c>
      <c r="AC212" s="34">
        <f>AC169-AC160</f>
        <v>260.12799999999987</v>
      </c>
      <c r="AD212" s="34">
        <f>AD169-AD160</f>
        <v>559.79500000000007</v>
      </c>
      <c r="AE212" s="34">
        <f>SUM(AA212:AD212)</f>
        <v>1262.9850000000001</v>
      </c>
      <c r="AF212" s="34"/>
      <c r="AG212" s="34">
        <f>AG169-AG160</f>
        <v>48.974999999999994</v>
      </c>
      <c r="AH212" s="34">
        <f>AH169-AH160</f>
        <v>272.00599999999997</v>
      </c>
      <c r="AI212" s="34">
        <f>AI169-AI160</f>
        <v>318.27299999999991</v>
      </c>
      <c r="AJ212" s="34">
        <f>AJ169-AJ160</f>
        <v>604.94399999999973</v>
      </c>
      <c r="AK212" s="34">
        <f>SUM(AG212:AJ212)</f>
        <v>1244.1979999999996</v>
      </c>
      <c r="AL212" s="34"/>
      <c r="AM212" s="34">
        <f>AM169-AM160</f>
        <v>277.8359999999999</v>
      </c>
      <c r="AN212" s="34">
        <f>AN169-AN160</f>
        <v>382.06600000000049</v>
      </c>
      <c r="AO212" s="34">
        <f>AO169-AO160</f>
        <v>406.67999999999995</v>
      </c>
      <c r="AP212" s="34">
        <f>AP169-AP160</f>
        <v>806.29899999999998</v>
      </c>
      <c r="AQ212" s="34">
        <f>SUM(AM212:AP212)</f>
        <v>1872.8810000000003</v>
      </c>
      <c r="AR212" s="34"/>
      <c r="AS212" s="34">
        <f>AS169-AS160</f>
        <v>345.86299999999994</v>
      </c>
      <c r="AT212" s="34">
        <f>AT169-AT160</f>
        <v>576.06499999999983</v>
      </c>
      <c r="AU212" s="34">
        <f>AU169-AU160</f>
        <v>769.72099999999966</v>
      </c>
      <c r="AV212" s="34">
        <f>AV169-AV160</f>
        <v>1388.5110000000004</v>
      </c>
      <c r="AW212" s="34">
        <f>SUM(AS212:AV212)</f>
        <v>3080.16</v>
      </c>
      <c r="AX212" s="34"/>
      <c r="AY212" s="34">
        <f>AY169-AY160</f>
        <v>658.04100000000028</v>
      </c>
      <c r="AZ212" s="34">
        <f>AZ169-AZ160</f>
        <v>946.00099999999975</v>
      </c>
      <c r="BA212" s="34">
        <f>BA169-BA160</f>
        <v>878.12300000000005</v>
      </c>
      <c r="BB212" s="34">
        <f>BB169-BB160</f>
        <v>1294.9259999999997</v>
      </c>
      <c r="BC212" s="34">
        <f>SUM(AY212:BB212)</f>
        <v>3777.0909999999994</v>
      </c>
      <c r="BD212" s="34"/>
      <c r="BE212" s="34">
        <f>BE169-BE160</f>
        <v>745.77799999999979</v>
      </c>
      <c r="BF212" s="34">
        <f>BF169-BF160</f>
        <v>819.94400000000007</v>
      </c>
      <c r="BG212" s="34">
        <f>BG169-BG160</f>
        <v>778.73899999999969</v>
      </c>
      <c r="BH212" s="34">
        <f>BH169-BH160</f>
        <v>1226.471</v>
      </c>
      <c r="BI212" s="34">
        <f>SUM(BE212:BH212)</f>
        <v>3570.9319999999993</v>
      </c>
      <c r="BJ212" s="34"/>
      <c r="BK212" s="34">
        <f>BK169-BK160</f>
        <v>580</v>
      </c>
      <c r="BL212" s="34">
        <f>BL169-BL160</f>
        <v>794</v>
      </c>
      <c r="BM212" s="34">
        <f>BM169-BM160</f>
        <v>796</v>
      </c>
      <c r="BN212" s="34">
        <f>BN169-BN160</f>
        <v>1270.4000000000001</v>
      </c>
      <c r="BO212" s="34">
        <f>SUM(BK212:BN212)</f>
        <v>3440.4</v>
      </c>
      <c r="BQ212" s="34">
        <f>BQ169-BQ160</f>
        <v>616</v>
      </c>
      <c r="BR212" s="34">
        <f>BR169-BR160</f>
        <v>915</v>
      </c>
      <c r="BS212" s="34">
        <f>BS169-BS160</f>
        <v>927</v>
      </c>
      <c r="BT212" s="34">
        <f>BT169-BT160</f>
        <v>1406</v>
      </c>
      <c r="BU212" s="34">
        <f>SUM(BQ212:BT212)</f>
        <v>3864</v>
      </c>
      <c r="BW212" s="34">
        <f>BW169-BW160-BW97</f>
        <v>715</v>
      </c>
      <c r="BX212" s="34">
        <f>BX169-BX160-BX97</f>
        <v>1131</v>
      </c>
      <c r="BY212" s="34">
        <f>BY169-BY160-BY97</f>
        <v>769</v>
      </c>
      <c r="BZ212" s="34">
        <f>BZ169-BZ160-BZ97</f>
        <v>1406.992</v>
      </c>
      <c r="CA212" s="34">
        <f>SUM(BW212:BZ212)</f>
        <v>4021.9920000000002</v>
      </c>
      <c r="CC212" s="34">
        <f>CC169-CC160-CC97</f>
        <v>712</v>
      </c>
      <c r="CD212" s="34">
        <f>CD169-CD160-CD97</f>
        <v>1116</v>
      </c>
      <c r="CE212" s="34">
        <f>CE169-CE160-CE97</f>
        <v>1051.9000000000001</v>
      </c>
      <c r="CF212" s="34">
        <f>CF169-CF160-CF97</f>
        <v>1857.8500000000004</v>
      </c>
      <c r="CG212" s="228">
        <f>SUM(CC212:CF212)</f>
        <v>4737.75</v>
      </c>
      <c r="CI212" s="34">
        <f>CI169-CI160-CI97</f>
        <v>945</v>
      </c>
      <c r="CJ212" s="34">
        <f>CJ169-CJ160-CJ97</f>
        <v>1359</v>
      </c>
      <c r="CK212" s="34">
        <f>CK169-CK160-CK97</f>
        <v>1394</v>
      </c>
      <c r="CL212" s="34">
        <f>CL169-CL160-CL97</f>
        <v>2277</v>
      </c>
      <c r="CM212" s="228">
        <f>SUM(CI212:CL212)</f>
        <v>5975</v>
      </c>
      <c r="CN212" s="36"/>
      <c r="CO212" s="336">
        <f>CO169-CO160-CO97</f>
        <v>1217</v>
      </c>
      <c r="CP212" s="336">
        <f>CP169-CP160-CP97</f>
        <v>1782</v>
      </c>
      <c r="CQ212" s="336">
        <f>CQ169-CQ160-CQ97</f>
        <v>1875</v>
      </c>
      <c r="CR212" s="336">
        <f>CR169-CR160-CR97</f>
        <v>2971</v>
      </c>
      <c r="CS212" s="337">
        <f>SUM(CO212:CR212)</f>
        <v>7845</v>
      </c>
      <c r="CT212" s="36"/>
      <c r="CU212" s="336">
        <f>CU169-CU160-CU97</f>
        <v>1521</v>
      </c>
      <c r="CV212" s="336">
        <f>CV169-CV160-CV97</f>
        <v>1975</v>
      </c>
      <c r="CW212" s="336">
        <f>CW169-CW160-CW97</f>
        <v>1940</v>
      </c>
      <c r="CX212" s="336">
        <f>CX169-CX160-CX97</f>
        <v>2884</v>
      </c>
      <c r="CY212" s="337">
        <f>SUM(CU212:CX212)</f>
        <v>8320</v>
      </c>
      <c r="CZ212" s="36"/>
      <c r="DA212" s="336">
        <f>DA169-DA160-DA97</f>
        <v>1740</v>
      </c>
      <c r="DB212" s="336">
        <f>DB169-DB160-DB97</f>
        <v>2178</v>
      </c>
      <c r="DC212" s="336">
        <f>DC169-DC160-DC97</f>
        <v>1843.3999999999996</v>
      </c>
      <c r="DD212" s="336">
        <f>DD169-DD160-DD97</f>
        <v>3300.7</v>
      </c>
      <c r="DE212" s="337">
        <f>SUM(DA212:DD212)</f>
        <v>9062.0999999999985</v>
      </c>
      <c r="DF212" s="36"/>
      <c r="DG212" s="336">
        <f>DG169-DG160-DG97</f>
        <v>1917</v>
      </c>
      <c r="DH212" s="336">
        <f>DH169-DH160-DH97</f>
        <v>2815</v>
      </c>
      <c r="DI212" s="336">
        <f>DI169-DI160-DI97</f>
        <v>2987</v>
      </c>
      <c r="DJ212" s="336">
        <f>DJ169-DJ160-DJ97</f>
        <v>4359</v>
      </c>
      <c r="DK212" s="337">
        <f>SUM(DG212:DJ212)</f>
        <v>12078</v>
      </c>
      <c r="DL212" s="36"/>
      <c r="DM212" s="336">
        <f>DM169-DM160-DM97</f>
        <v>2684</v>
      </c>
      <c r="DN212" s="336">
        <f>DN169-DN160-DN97</f>
        <v>3113</v>
      </c>
      <c r="DO212" s="336">
        <f>DO169-DO160-DO97</f>
        <v>3317.3392000000003</v>
      </c>
      <c r="DP212" s="336">
        <f>DP169-DP160-DP97</f>
        <v>4596.1597000000002</v>
      </c>
      <c r="DQ212" s="337">
        <f>SUM(DM212:DP212)</f>
        <v>13710.498900000001</v>
      </c>
      <c r="DR212" s="36"/>
      <c r="DS212" s="336">
        <f>DS169-DS160-DS97</f>
        <v>2879</v>
      </c>
      <c r="DT212" s="336">
        <f>DT169-DT160-DT97</f>
        <v>3471</v>
      </c>
      <c r="DU212" s="336">
        <f>DU169-DU160-DU97</f>
        <v>3334</v>
      </c>
      <c r="DV212" s="336">
        <f>DV169-DV160-DV97</f>
        <v>4996.711703323539</v>
      </c>
      <c r="DW212" s="337">
        <f>SUM(DS212:DV212)</f>
        <v>14680.711703323539</v>
      </c>
      <c r="DX212" s="36"/>
      <c r="DY212" s="336">
        <f>DY169-DY160-DY97</f>
        <v>2873</v>
      </c>
      <c r="DZ212" s="336">
        <f>DZ169-DZ160-DZ97</f>
        <v>3410</v>
      </c>
      <c r="EA212" s="336">
        <f>EA169-EA160-EA97</f>
        <v>3567</v>
      </c>
      <c r="EB212" s="336">
        <f>EB169-EB160-EB97</f>
        <v>4928</v>
      </c>
      <c r="EC212" s="337">
        <f>SUM(DY212:EB212)</f>
        <v>14778</v>
      </c>
      <c r="ED212" s="36"/>
      <c r="EE212" s="336">
        <f>EE169-EE160-EE97</f>
        <v>2963</v>
      </c>
      <c r="EF212" s="336">
        <f>EF169-EF160-EF97</f>
        <v>3542</v>
      </c>
      <c r="EG212" s="336">
        <f>EG169-EG160-EG97</f>
        <v>3382</v>
      </c>
      <c r="EH212" s="336">
        <f>EH169-EH160-EH97</f>
        <v>3981</v>
      </c>
      <c r="EI212" s="337">
        <f>SUM(EE212:EH212)</f>
        <v>13868</v>
      </c>
      <c r="EJ212" s="36"/>
      <c r="EK212" s="336">
        <f>EK169-EK160-EK97</f>
        <v>2654</v>
      </c>
      <c r="EL212" s="336">
        <f>EL169-EL160-EL97</f>
        <v>2955</v>
      </c>
      <c r="EM212" s="336">
        <f>EM169-EM160-EM97</f>
        <v>3027</v>
      </c>
      <c r="EN212" s="336">
        <f>EN169-EN160-EN97</f>
        <v>3968</v>
      </c>
      <c r="EO212" s="337">
        <f>SUM(EK212:EN212)</f>
        <v>12604</v>
      </c>
      <c r="EP212" s="36"/>
      <c r="EQ212" s="336">
        <f>EQ169-EQ160-EQ97</f>
        <v>2658</v>
      </c>
      <c r="ER212" s="336">
        <f>ER169-ER160-ER97</f>
        <v>3036.7799999999988</v>
      </c>
      <c r="ES212" s="336">
        <f>ES169-ES160-ES97</f>
        <v>2959</v>
      </c>
      <c r="ET212" s="336">
        <f>ET169-ET160-ET97</f>
        <v>4054</v>
      </c>
      <c r="EU212" s="337">
        <f>SUM(EQ212:ET212)</f>
        <v>12707.779999999999</v>
      </c>
      <c r="EV212" s="36"/>
      <c r="EW212" s="336">
        <f>EW169-EW160-EW97</f>
        <v>2935</v>
      </c>
      <c r="EX212" s="336">
        <f>EX169-EX160-EX97</f>
        <v>3069</v>
      </c>
      <c r="EY212" s="336">
        <f>EY169-EY160-EY97</f>
        <v>3410</v>
      </c>
      <c r="EZ212" s="336">
        <f>EZ169-EZ160-EZ97</f>
        <v>4371.8757088195462</v>
      </c>
      <c r="FA212" s="337">
        <f>SUM(EW212:EZ212)</f>
        <v>13785.875708819545</v>
      </c>
      <c r="FB212" s="36"/>
      <c r="FC212" s="336">
        <f>FC169-FC160-FC97</f>
        <v>3287.3571671363825</v>
      </c>
      <c r="FD212" s="336">
        <f>FD169-FD160-FD97</f>
        <v>3700.0274521325537</v>
      </c>
      <c r="FE212" s="336">
        <f>FE169-FE160-FE97</f>
        <v>3789.1217697122443</v>
      </c>
      <c r="FF212" s="336">
        <f>FF169-FF160-FF97</f>
        <v>4580.7744739222353</v>
      </c>
      <c r="FG212" s="337">
        <f>SUM(FC212:FF212)</f>
        <v>15357.280862903415</v>
      </c>
      <c r="FH212" s="36"/>
      <c r="FI212" s="336">
        <f>FI169-FI160-FI97</f>
        <v>3515.9739649715384</v>
      </c>
      <c r="FJ212" s="336">
        <f>FJ169-FJ160-FJ97</f>
        <v>3873.1903414573744</v>
      </c>
      <c r="FK212" s="336">
        <f>FK169-FK160-FK97</f>
        <v>3927.8942494045878</v>
      </c>
      <c r="FL212" s="336">
        <f>FL169-FL160-FL97</f>
        <v>4624.978019145954</v>
      </c>
      <c r="FM212" s="337">
        <f>SUM(FI212:FL212)</f>
        <v>15942.036574979455</v>
      </c>
      <c r="FN212" s="347"/>
      <c r="FO212" s="270"/>
      <c r="FP212" s="271"/>
      <c r="FQ212" s="271"/>
      <c r="FR212" s="271"/>
      <c r="FS212" s="270"/>
      <c r="FT212" s="271"/>
      <c r="FU212" s="351"/>
      <c r="FV212" s="351"/>
      <c r="FW212" s="351"/>
      <c r="FX212" s="351"/>
      <c r="FY212" s="351"/>
      <c r="FZ212" s="351"/>
      <c r="GA212" s="351"/>
      <c r="GB212" s="351"/>
      <c r="GC212" s="351"/>
      <c r="GD212" s="351"/>
      <c r="GE212" s="351"/>
      <c r="GF212" s="351"/>
      <c r="GI212"/>
      <c r="GJ212"/>
      <c r="GK212"/>
      <c r="GL212"/>
      <c r="GM212"/>
      <c r="GN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</row>
    <row r="213" spans="1:281" s="32" customFormat="1" hidden="1" outlineLevel="1" x14ac:dyDescent="0.2">
      <c r="A213" s="247" t="s">
        <v>854</v>
      </c>
      <c r="B213" s="952"/>
      <c r="C213" s="22">
        <f t="shared" ref="C213:M213" si="161">C212/C91</f>
        <v>0.20499999999999996</v>
      </c>
      <c r="D213" s="22">
        <f t="shared" si="161"/>
        <v>0.11800000000000004</v>
      </c>
      <c r="E213" s="22">
        <f t="shared" si="161"/>
        <v>0.19600000000000012</v>
      </c>
      <c r="F213" s="22">
        <f t="shared" si="161"/>
        <v>0.21626831442525282</v>
      </c>
      <c r="G213" s="22">
        <f t="shared" si="161"/>
        <v>0.22648016929386453</v>
      </c>
      <c r="H213" s="22">
        <f t="shared" si="161"/>
        <v>0.21083761562178829</v>
      </c>
      <c r="I213" s="22">
        <f t="shared" si="161"/>
        <v>0.14768712011261576</v>
      </c>
      <c r="J213" s="22">
        <f t="shared" si="161"/>
        <v>2.6050903303568556E-2</v>
      </c>
      <c r="K213" s="22">
        <f t="shared" si="161"/>
        <v>9.6833757421543709E-2</v>
      </c>
      <c r="L213" s="22">
        <f t="shared" si="161"/>
        <v>0.16043978709248174</v>
      </c>
      <c r="M213" s="22">
        <f t="shared" si="161"/>
        <v>0.20985614749940909</v>
      </c>
      <c r="N213" s="19"/>
      <c r="O213" s="22">
        <f>O212/O91</f>
        <v>0.15731732300161372</v>
      </c>
      <c r="P213" s="22">
        <f>P212/P91</f>
        <v>0.20578265799367432</v>
      </c>
      <c r="Q213" s="22">
        <f>Q212/Q91</f>
        <v>0.21371002914523465</v>
      </c>
      <c r="R213" s="22">
        <f>R212/R91</f>
        <v>0.26466308863823707</v>
      </c>
      <c r="S213" s="22">
        <f>S212/S91</f>
        <v>0.21882295126392126</v>
      </c>
      <c r="T213" s="19"/>
      <c r="U213" s="22">
        <f>U212/U91</f>
        <v>9.6126861388203935E-2</v>
      </c>
      <c r="V213" s="22">
        <f>V212/V91</f>
        <v>0.21140434332988625</v>
      </c>
      <c r="W213" s="22">
        <f>W212/W91</f>
        <v>0.21557889866982149</v>
      </c>
      <c r="X213" s="22">
        <f>X212/X91</f>
        <v>0.27740810915295255</v>
      </c>
      <c r="Y213" s="22">
        <f>Y212/Y91</f>
        <v>0.21422736197632267</v>
      </c>
      <c r="Z213" s="19"/>
      <c r="AA213" s="22">
        <f>AA212/AA91</f>
        <v>0.16047795392841907</v>
      </c>
      <c r="AB213" s="22">
        <f>AB212/AB91</f>
        <v>0.20908467689970747</v>
      </c>
      <c r="AC213" s="22">
        <f>AC212/AC91</f>
        <v>0.18951299455855358</v>
      </c>
      <c r="AD213" s="22">
        <f>AD212/AD91</f>
        <v>0.28736452345984231</v>
      </c>
      <c r="AE213" s="22">
        <f>AE212/AE91</f>
        <v>0.22218690098544497</v>
      </c>
      <c r="AF213" s="19"/>
      <c r="AG213" s="22">
        <f>AG212/AG91</f>
        <v>3.5778783017296548E-2</v>
      </c>
      <c r="AH213" s="22">
        <f>AH212/AH91</f>
        <v>0.1685576308756066</v>
      </c>
      <c r="AI213" s="22">
        <f>AI212/AI91</f>
        <v>0.18199955739991314</v>
      </c>
      <c r="AJ213" s="22">
        <f>AJ212/AJ91</f>
        <v>0.25074848096601393</v>
      </c>
      <c r="AK213" s="22">
        <f>AK212/AK91</f>
        <v>0.17416314558015861</v>
      </c>
      <c r="AL213" s="19"/>
      <c r="AM213" s="22">
        <f>AM212/AM91</f>
        <v>0.15884421219934705</v>
      </c>
      <c r="AN213" s="22">
        <f>AN212/AN91</f>
        <v>0.18583482818598193</v>
      </c>
      <c r="AO213" s="22">
        <f>AO212/AO91</f>
        <v>0.19562080310930671</v>
      </c>
      <c r="AP213" s="22">
        <f>AP212/AP91</f>
        <v>0.27394592016112651</v>
      </c>
      <c r="AQ213" s="22">
        <f>AQ212/AQ91</f>
        <v>0.21217033341746674</v>
      </c>
      <c r="AR213" s="19"/>
      <c r="AS213" s="22">
        <f>AS212/AS91</f>
        <v>0.17428069399254323</v>
      </c>
      <c r="AT213" s="22">
        <f>AT212/AT91</f>
        <v>0.24810250990252303</v>
      </c>
      <c r="AU213" s="22">
        <f>AU212/AU91</f>
        <v>0.31424648630817598</v>
      </c>
      <c r="AV213" s="22">
        <f>AV212/AV91</f>
        <v>0.41149479449131832</v>
      </c>
      <c r="AW213" s="22">
        <f>AW212/AW91</f>
        <v>0.30405933666386048</v>
      </c>
      <c r="AX213" s="19"/>
      <c r="AY213" s="22">
        <f>AY212/AY91</f>
        <v>0.28760633778439793</v>
      </c>
      <c r="AZ213" s="22">
        <f>AZ212/AZ91</f>
        <v>0.35214345698791838</v>
      </c>
      <c r="BA213" s="22">
        <f>BA212/BA91</f>
        <v>0.32570578866509747</v>
      </c>
      <c r="BB213" s="22">
        <f>BB212/BB91</f>
        <v>0.39356701507189457</v>
      </c>
      <c r="BC213" s="22">
        <f>BC212/BC91</f>
        <v>0.34460333343916605</v>
      </c>
      <c r="BD213" s="19"/>
      <c r="BE213" s="22">
        <f>BE212/BE91</f>
        <v>0.32925381502877404</v>
      </c>
      <c r="BF213" s="22">
        <f>BF212/BF91</f>
        <v>0.34445103987209075</v>
      </c>
      <c r="BG213" s="22">
        <f>BG212/BG91</f>
        <v>0.3455962757176077</v>
      </c>
      <c r="BH213" s="22">
        <f>BH212/BH91</f>
        <v>0.44213388628112443</v>
      </c>
      <c r="BI213" s="22">
        <f>BI212/BI91</f>
        <v>0.36917279218112076</v>
      </c>
      <c r="BJ213" s="19"/>
      <c r="BK213" s="22">
        <f>BK212/BK91</f>
        <v>0.28599605522682447</v>
      </c>
      <c r="BL213" s="22">
        <f>BL212/BL91</f>
        <v>0.34387180597661327</v>
      </c>
      <c r="BM213" s="22">
        <f>BM212/BM91</f>
        <v>0.34503684438664933</v>
      </c>
      <c r="BN213" s="22">
        <f>BN212/BN91</f>
        <v>0.44868263050081236</v>
      </c>
      <c r="BO213" s="22">
        <f>BO212/BO91</f>
        <v>0.36308757413935033</v>
      </c>
      <c r="BQ213" s="22">
        <f>BQ212/BQ91</f>
        <v>0.29729729729729731</v>
      </c>
      <c r="BR213" s="22">
        <f>BR212/BR91</f>
        <v>0.36629303442754202</v>
      </c>
      <c r="BS213" s="22">
        <f>BS212/BS91</f>
        <v>0.36946990833001198</v>
      </c>
      <c r="BT213" s="22">
        <f>BT212/BT91</f>
        <v>0.45693857653558662</v>
      </c>
      <c r="BU213" s="22">
        <f>BU212/BU91</f>
        <v>0.38046474990153606</v>
      </c>
      <c r="BW213" s="22">
        <f>BW212/BW91</f>
        <v>0.32279909706546278</v>
      </c>
      <c r="BX213" s="22">
        <f>BX212/BX91</f>
        <v>0.41037735849056606</v>
      </c>
      <c r="BY213" s="22">
        <f>BY212/BY91</f>
        <v>0.24862592951826706</v>
      </c>
      <c r="BZ213" s="22">
        <f>BZ212/BZ91</f>
        <v>0.34697706535141798</v>
      </c>
      <c r="CA213" s="22">
        <f>CA212/CA91</f>
        <v>0.33187490717055862</v>
      </c>
      <c r="CC213" s="22">
        <f>CC212/CC91</f>
        <v>0.24492604059167528</v>
      </c>
      <c r="CD213" s="22">
        <f>CD212/CD91</f>
        <v>0.32881555686505598</v>
      </c>
      <c r="CE213" s="22">
        <f>CE212/CE91</f>
        <v>0.2976177003168855</v>
      </c>
      <c r="CF213" s="22">
        <f>CF212/CF91</f>
        <v>0.37631152521774364</v>
      </c>
      <c r="CG213" s="234">
        <f>CG212/CG91</f>
        <v>0.32071633586959464</v>
      </c>
      <c r="CI213" s="22">
        <f>CI212/CI91</f>
        <v>0.25812619502868067</v>
      </c>
      <c r="CJ213" s="22">
        <f>CJ212/CJ91</f>
        <v>0.32234345351043642</v>
      </c>
      <c r="CK213" s="22">
        <f>CK212/CK91</f>
        <v>0.31332883794111038</v>
      </c>
      <c r="CL213" s="22">
        <f>CL212/CL91</f>
        <v>0.38704742478327386</v>
      </c>
      <c r="CM213" s="234">
        <f>CM212/CM91</f>
        <v>0.32813443901367456</v>
      </c>
      <c r="CO213" s="95">
        <f>CO212/CO91</f>
        <v>0.26496843021989985</v>
      </c>
      <c r="CP213" s="22">
        <f>CP212/CP91</f>
        <v>0.33221476510067116</v>
      </c>
      <c r="CQ213" s="22">
        <f>CQ212/CQ91</f>
        <v>0.34909700242040587</v>
      </c>
      <c r="CR213" s="22">
        <f>CR212/CR91</f>
        <v>0.40804834500755388</v>
      </c>
      <c r="CS213" s="234">
        <f>CS212/CS91</f>
        <v>0.34698571365385467</v>
      </c>
      <c r="CU213" s="22">
        <f>CU212/CU91</f>
        <v>0.28052379195868682</v>
      </c>
      <c r="CV213" s="22">
        <f>CV212/CV91</f>
        <v>0.34728327765078248</v>
      </c>
      <c r="CW213" s="22">
        <f>CW212/CW91</f>
        <v>0.35247093023255816</v>
      </c>
      <c r="CX213" s="22">
        <f>CX212/CX91</f>
        <v>0.41912512716174977</v>
      </c>
      <c r="CY213" s="234">
        <f>CY212/CY91</f>
        <v>0.35413297012003064</v>
      </c>
      <c r="DA213" s="22">
        <f>DA212/DA91</f>
        <v>0.34366976101125812</v>
      </c>
      <c r="DB213" s="22">
        <f>DB212/DB91</f>
        <v>0.37091280653950953</v>
      </c>
      <c r="DC213" s="22">
        <f>DC212/DC91</f>
        <v>0.28494141651466903</v>
      </c>
      <c r="DD213" s="22">
        <f>DD212/DD91</f>
        <v>0.34271622884435676</v>
      </c>
      <c r="DE213" s="234">
        <f>DE212/DE91</f>
        <v>0.33519385694311893</v>
      </c>
      <c r="DG213" s="22">
        <f>DG212/DG91</f>
        <v>0.25263574064312072</v>
      </c>
      <c r="DH213" s="22">
        <f>DH212/DH91</f>
        <v>0.32378651943869335</v>
      </c>
      <c r="DI213" s="22">
        <f>DI212/DI91</f>
        <v>0.33916203020324742</v>
      </c>
      <c r="DJ213" s="22">
        <f>DJ212/DJ91</f>
        <v>0.40338700721821208</v>
      </c>
      <c r="DK213" s="234">
        <f>DK212/DK91</f>
        <v>0.33648140409527788</v>
      </c>
      <c r="DM213" s="22">
        <f>DM212/DM91</f>
        <v>0.31959990473922362</v>
      </c>
      <c r="DN213" s="22">
        <f>DN212/DN91</f>
        <v>0.35330836454431958</v>
      </c>
      <c r="DO213" s="22">
        <f>DO212/DO91</f>
        <v>0.36605771719513658</v>
      </c>
      <c r="DP213" s="22">
        <f>DP212/DP91</f>
        <v>0.41973449026501414</v>
      </c>
      <c r="DQ213" s="234">
        <f>DQ212/DQ91</f>
        <v>0.36834891944665876</v>
      </c>
      <c r="DS213" s="22">
        <f>DS212/DS91</f>
        <v>0.3507126324765501</v>
      </c>
      <c r="DT213" s="22">
        <f>DT212/DT91</f>
        <v>0.38088445078459343</v>
      </c>
      <c r="DU213" s="22">
        <f>DU212/DU91</f>
        <v>0.37168338907469345</v>
      </c>
      <c r="DV213" s="22">
        <f>DV212/DV91</f>
        <v>0.45586275917558061</v>
      </c>
      <c r="DW213" s="234">
        <f>DW212/DW91</f>
        <v>0.39408132776752314</v>
      </c>
      <c r="DY213" s="22">
        <f>DY212/DY91</f>
        <v>0.34279918864097364</v>
      </c>
      <c r="DZ213" s="22">
        <f>DZ212/DZ91</f>
        <v>0.36733814499622969</v>
      </c>
      <c r="EA213" s="22">
        <f>EA212/EA91</f>
        <v>0.38293075684380035</v>
      </c>
      <c r="EB213" s="22">
        <f>EB212/EB91</f>
        <v>0.43510506798516685</v>
      </c>
      <c r="EC213" s="234">
        <f>EC212/EC91</f>
        <v>0.38579819866858112</v>
      </c>
      <c r="EE213" s="22">
        <f>EE212/EE91</f>
        <v>0.34457495057564835</v>
      </c>
      <c r="EF213" s="22">
        <f>EF212/EF91</f>
        <v>0.3686511240632806</v>
      </c>
      <c r="EG213" s="22">
        <f>EG212/EG91</f>
        <v>0.36233126205271055</v>
      </c>
      <c r="EH213" s="22">
        <f>EH212/EH91</f>
        <v>0.37163928304705002</v>
      </c>
      <c r="EI213" s="234">
        <f>EI212/EI91</f>
        <v>0.36253365749091576</v>
      </c>
      <c r="EK213" s="22">
        <f>EK212/EK91</f>
        <v>0.31404567506803927</v>
      </c>
      <c r="EL213" s="22">
        <f>EL212/EL91</f>
        <v>0.32847932414406406</v>
      </c>
      <c r="EM213" s="22">
        <f>EM212/EM91</f>
        <v>0.33581096072775685</v>
      </c>
      <c r="EN213" s="22">
        <f>EN212/EN91</f>
        <v>0.37448093620234052</v>
      </c>
      <c r="EO213" s="234">
        <f>EO212/EO91</f>
        <v>0.34012467280136005</v>
      </c>
      <c r="EQ213" s="22">
        <f>EQ212/EQ91</f>
        <v>0.30860327412051552</v>
      </c>
      <c r="ER213" s="22">
        <f>ER212/ER91</f>
        <v>0.33482399793600276</v>
      </c>
      <c r="ES213" s="22">
        <f>ES212/ES91</f>
        <v>0.3190640500323485</v>
      </c>
      <c r="ET213" s="22">
        <f>ET212/ET91</f>
        <v>0.37053285805685038</v>
      </c>
      <c r="EU213" s="234">
        <f>EU212/EU91</f>
        <v>0.33531726660506234</v>
      </c>
      <c r="EW213" s="22">
        <f>EW212/EW91</f>
        <v>0.31860616587060359</v>
      </c>
      <c r="EX213" s="22">
        <f>EX212/EX91</f>
        <v>0.31869158878504672</v>
      </c>
      <c r="EY213" s="22">
        <f>EY212/EY91</f>
        <v>0.34881342062193127</v>
      </c>
      <c r="EZ213" s="22">
        <f>EZ212/EZ91</f>
        <v>0.3907063092261297</v>
      </c>
      <c r="FA213" s="234">
        <f>FA212/FA91</f>
        <v>0.34631202442940889</v>
      </c>
      <c r="FC213" s="22">
        <f>FC212/FC91</f>
        <v>0.34424770202556754</v>
      </c>
      <c r="FD213" s="22">
        <f>FD212/FD91</f>
        <v>0.37067451745273455</v>
      </c>
      <c r="FE213" s="22">
        <f>FE212/FE91</f>
        <v>0.37546408409859144</v>
      </c>
      <c r="FF213" s="22">
        <f>FF212/FF91</f>
        <v>0.40169979713199416</v>
      </c>
      <c r="FG213" s="234">
        <f>FG212/FG91</f>
        <v>0.37432511376731126</v>
      </c>
      <c r="FI213" s="22">
        <f>FI212/FI91</f>
        <v>0.35373414413731125</v>
      </c>
      <c r="FJ213" s="22">
        <f>FJ212/FJ91</f>
        <v>0.37447985730316635</v>
      </c>
      <c r="FK213" s="22">
        <f>FK212/FK91</f>
        <v>0.37623478877837346</v>
      </c>
      <c r="FL213" s="22">
        <f>FL212/FL91</f>
        <v>0.39609624059428172</v>
      </c>
      <c r="FM213" s="234">
        <f>FM212/FM91</f>
        <v>0.37600157413561536</v>
      </c>
      <c r="FN213" s="881"/>
      <c r="FO213" s="346"/>
      <c r="FP213" s="102"/>
      <c r="FQ213" s="102"/>
      <c r="FR213" s="102"/>
      <c r="FS213" s="346"/>
      <c r="FT213" s="345"/>
      <c r="FU213" s="345"/>
      <c r="FV213" s="345"/>
      <c r="FW213" s="345"/>
      <c r="FX213" s="345"/>
      <c r="FY213" s="345"/>
      <c r="FZ213" s="345"/>
      <c r="GA213" s="345"/>
      <c r="GB213" s="345"/>
      <c r="GC213" s="345"/>
      <c r="GD213" s="345"/>
      <c r="GE213" s="345"/>
      <c r="GF213" s="345"/>
      <c r="GI213"/>
      <c r="GJ213"/>
      <c r="GK213"/>
      <c r="GL213"/>
      <c r="GM213"/>
      <c r="GN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</row>
    <row r="214" spans="1:281" s="242" customFormat="1" hidden="1" outlineLevel="1" x14ac:dyDescent="0.2">
      <c r="A214" s="41" t="s">
        <v>23</v>
      </c>
      <c r="B214" s="949"/>
      <c r="C214" s="242">
        <f>C176</f>
        <v>-0.30515999999999999</v>
      </c>
      <c r="D214" s="242">
        <f t="shared" ref="D214:R214" si="162">D176</f>
        <v>-0.16205699999999998</v>
      </c>
      <c r="E214" s="242">
        <f t="shared" si="162"/>
        <v>-0.38741500000000001</v>
      </c>
      <c r="F214" s="242">
        <f t="shared" si="162"/>
        <v>-0.11899999999999994</v>
      </c>
      <c r="G214" s="242">
        <f t="shared" si="162"/>
        <v>1.0840000000000001</v>
      </c>
      <c r="H214" s="242">
        <f t="shared" si="162"/>
        <v>-2.7149999999999999</v>
      </c>
      <c r="I214" s="242">
        <f t="shared" si="162"/>
        <v>-17.135000000000002</v>
      </c>
      <c r="J214" s="242">
        <f t="shared" si="162"/>
        <v>-40.021000000000001</v>
      </c>
      <c r="K214" s="242">
        <f t="shared" si="162"/>
        <v>-17.533000000000001</v>
      </c>
      <c r="L214" s="242">
        <f t="shared" si="162"/>
        <v>68.462000000000003</v>
      </c>
      <c r="M214" s="242">
        <f t="shared" si="162"/>
        <v>3.2389999999999999</v>
      </c>
      <c r="N214" s="34"/>
      <c r="O214" s="242">
        <f t="shared" si="162"/>
        <v>3.8</v>
      </c>
      <c r="P214" s="242">
        <f t="shared" si="162"/>
        <v>2.1659999999999999</v>
      </c>
      <c r="Q214" s="242">
        <f t="shared" si="162"/>
        <v>1.5329999999999999</v>
      </c>
      <c r="R214" s="242">
        <f t="shared" si="162"/>
        <v>1.762</v>
      </c>
      <c r="S214" s="34">
        <f>SUM(O214:R214)</f>
        <v>9.2609999999999992</v>
      </c>
      <c r="T214" s="34"/>
      <c r="U214" s="242">
        <f>U176</f>
        <v>7.2679999999999998</v>
      </c>
      <c r="V214" s="242">
        <f>V176</f>
        <v>2.8140000000000001</v>
      </c>
      <c r="W214" s="242">
        <f>W176</f>
        <v>1.7090000000000001</v>
      </c>
      <c r="X214" s="242">
        <f>X176</f>
        <v>2.8279999999999998</v>
      </c>
      <c r="Y214" s="34">
        <f>SUM(U214:X214)</f>
        <v>14.619</v>
      </c>
      <c r="Z214" s="34"/>
      <c r="AA214" s="242">
        <f>AA176</f>
        <v>7.33</v>
      </c>
      <c r="AB214" s="242">
        <f>AB176</f>
        <v>6.2750000000000004</v>
      </c>
      <c r="AC214" s="242">
        <f>AC176</f>
        <v>4.33</v>
      </c>
      <c r="AD214" s="242">
        <f>AD176</f>
        <v>2.6070000000000002</v>
      </c>
      <c r="AE214" s="34">
        <f>SUM(AA214:AD214)</f>
        <v>20.542000000000002</v>
      </c>
      <c r="AF214" s="34"/>
      <c r="AG214" s="242">
        <f>AG176</f>
        <v>39.973999999999997</v>
      </c>
      <c r="AH214" s="242">
        <f>AH176</f>
        <v>16.248000000000001</v>
      </c>
      <c r="AI214" s="242">
        <f>AI176</f>
        <v>12.615</v>
      </c>
      <c r="AJ214" s="242">
        <f>AJ176</f>
        <v>14.782</v>
      </c>
      <c r="AK214" s="34">
        <f>SUM(AG214:AJ214)</f>
        <v>83.618999999999986</v>
      </c>
      <c r="AL214" s="34"/>
      <c r="AM214" s="242">
        <f>AM176</f>
        <v>22.166</v>
      </c>
      <c r="AN214" s="242">
        <f>AN176</f>
        <v>28.654</v>
      </c>
      <c r="AO214" s="242">
        <f>AO176</f>
        <v>37.655999999999999</v>
      </c>
      <c r="AP214" s="242">
        <f>AP176</f>
        <v>20.721</v>
      </c>
      <c r="AQ214" s="34">
        <f>SUM(AM214:AP214)</f>
        <v>109.197</v>
      </c>
      <c r="AR214" s="34"/>
      <c r="AS214" s="242">
        <f>AS176</f>
        <v>18.347000000000001</v>
      </c>
      <c r="AT214" s="242">
        <f>AT176</f>
        <v>15.450000000000001</v>
      </c>
      <c r="AU214" s="242">
        <f>AU176</f>
        <v>439.60899999999998</v>
      </c>
      <c r="AV214" s="242">
        <f>AV176</f>
        <v>6569.8680000000004</v>
      </c>
      <c r="AW214" s="34">
        <f>SUM(AS214:AV214)</f>
        <v>7043.2740000000003</v>
      </c>
      <c r="AX214" s="34"/>
      <c r="AY214" s="242">
        <f>AY176</f>
        <v>118.202</v>
      </c>
      <c r="AZ214" s="242">
        <f>AZ176</f>
        <v>19.88</v>
      </c>
      <c r="BA214" s="242">
        <f>BA176</f>
        <v>25.307999999999996</v>
      </c>
      <c r="BB214" s="242">
        <f>BB176</f>
        <v>30.749000000000002</v>
      </c>
      <c r="BC214" s="34">
        <f>SUM(AY214:BB214)</f>
        <v>194.13899999999998</v>
      </c>
      <c r="BD214" s="34"/>
      <c r="BE214" s="242">
        <f>BE176</f>
        <v>39.832999999999998</v>
      </c>
      <c r="BF214" s="242">
        <f>BF176</f>
        <v>25.381999999999998</v>
      </c>
      <c r="BG214" s="242">
        <f>BG176</f>
        <v>2.761000000000001</v>
      </c>
      <c r="BH214" s="242">
        <f>BH176</f>
        <v>-230.50399999999999</v>
      </c>
      <c r="BI214" s="34">
        <f>SUM(BE214:BH214)</f>
        <v>-162.52799999999999</v>
      </c>
      <c r="BJ214" s="34"/>
      <c r="BK214" s="242">
        <f>BK176</f>
        <v>-58</v>
      </c>
      <c r="BL214" s="242">
        <f>BL176</f>
        <v>6</v>
      </c>
      <c r="BM214" s="242">
        <f>BM176</f>
        <v>33</v>
      </c>
      <c r="BN214" s="242">
        <f>BN176</f>
        <v>4</v>
      </c>
      <c r="BO214" s="34">
        <f>SUM(BK214:BN214)</f>
        <v>-15</v>
      </c>
      <c r="BQ214" s="242">
        <f>BQ176</f>
        <v>48</v>
      </c>
      <c r="BR214" s="242">
        <f>BR176</f>
        <v>1</v>
      </c>
      <c r="BS214" s="242">
        <f>BS176</f>
        <v>19</v>
      </c>
      <c r="BT214" s="242">
        <f>BT176</f>
        <v>13</v>
      </c>
      <c r="BU214" s="34">
        <f>SUM(BQ214:BT214)</f>
        <v>81</v>
      </c>
      <c r="BW214" s="242">
        <f>BW176</f>
        <v>23</v>
      </c>
      <c r="BX214" s="242">
        <f>BX176</f>
        <v>23</v>
      </c>
      <c r="BY214" s="242">
        <f>BY176</f>
        <v>1</v>
      </c>
      <c r="BZ214" s="242">
        <f>BZ176</f>
        <v>-18</v>
      </c>
      <c r="CA214" s="34">
        <f>SUM(BW214:BZ214)</f>
        <v>29</v>
      </c>
      <c r="CC214" s="242">
        <f>CC176</f>
        <v>21</v>
      </c>
      <c r="CD214" s="242">
        <f>CD176</f>
        <v>5.5</v>
      </c>
      <c r="CE214" s="242">
        <f>CE176</f>
        <v>26</v>
      </c>
      <c r="CF214" s="242">
        <f>CF176</f>
        <v>20.599999999999994</v>
      </c>
      <c r="CG214" s="228">
        <f>SUM(CC214:CF214)</f>
        <v>73.099999999999994</v>
      </c>
      <c r="CI214" s="242">
        <f>CI176</f>
        <v>19</v>
      </c>
      <c r="CJ214" s="242">
        <f>CJ176</f>
        <v>-3</v>
      </c>
      <c r="CK214" s="242">
        <f>CK176</f>
        <v>12</v>
      </c>
      <c r="CL214" s="242">
        <f>CL176</f>
        <v>-17.5</v>
      </c>
      <c r="CM214" s="228">
        <f>SUM(CI214:CL214)</f>
        <v>10.5</v>
      </c>
      <c r="CN214" s="36"/>
      <c r="CO214" s="336">
        <f>CO176</f>
        <v>-17</v>
      </c>
      <c r="CP214" s="336">
        <f>CP176</f>
        <v>33</v>
      </c>
      <c r="CQ214" s="336">
        <f>CQ176</f>
        <v>2</v>
      </c>
      <c r="CR214" s="336">
        <f>CR176</f>
        <v>-29</v>
      </c>
      <c r="CS214" s="337">
        <f>SUM(CO214:CR214)</f>
        <v>-11</v>
      </c>
      <c r="CT214" s="36"/>
      <c r="CU214" s="336">
        <f>CU176</f>
        <v>-77</v>
      </c>
      <c r="CV214" s="336">
        <f>CV176</f>
        <v>-149</v>
      </c>
      <c r="CW214" s="336">
        <f>CW176</f>
        <v>-130</v>
      </c>
      <c r="CX214" s="336">
        <f>CX176</f>
        <v>-130</v>
      </c>
      <c r="CY214" s="337">
        <f>SUM(CU214:CX214)</f>
        <v>-486</v>
      </c>
      <c r="CZ214" s="36"/>
      <c r="DA214" s="336">
        <f>DA176</f>
        <v>-178</v>
      </c>
      <c r="DB214" s="336">
        <f>DB176</f>
        <v>-155</v>
      </c>
      <c r="DC214" s="336">
        <f>DC176</f>
        <v>-261</v>
      </c>
      <c r="DD214" s="336">
        <f>DD176</f>
        <v>-225</v>
      </c>
      <c r="DE214" s="337">
        <f>SUM(DA214:DD214)</f>
        <v>-819</v>
      </c>
      <c r="DF214" s="36"/>
      <c r="DG214" s="336">
        <f>DG176</f>
        <v>-122</v>
      </c>
      <c r="DH214" s="336">
        <f>DH176</f>
        <v>-124</v>
      </c>
      <c r="DI214" s="336">
        <f>DI176</f>
        <v>-188</v>
      </c>
      <c r="DJ214" s="336">
        <f>DJ176</f>
        <v>-189</v>
      </c>
      <c r="DK214" s="337">
        <f>SUM(DG214:DJ214)</f>
        <v>-623</v>
      </c>
      <c r="DL214" s="36"/>
      <c r="DM214" s="336">
        <f>DM176</f>
        <v>-212</v>
      </c>
      <c r="DN214" s="336">
        <f>DN176</f>
        <v>-151</v>
      </c>
      <c r="DO214" s="336">
        <f>DO176</f>
        <v>-169</v>
      </c>
      <c r="DP214" s="336">
        <f>DP176</f>
        <v>-214</v>
      </c>
      <c r="DQ214" s="337">
        <f>SUM(DM214:DP214)</f>
        <v>-746</v>
      </c>
      <c r="DR214" s="36"/>
      <c r="DS214" s="336">
        <f>DS176</f>
        <v>-177</v>
      </c>
      <c r="DT214" s="336">
        <f>DT176</f>
        <v>-191</v>
      </c>
      <c r="DU214" s="336">
        <f>DU176</f>
        <v>-244</v>
      </c>
      <c r="DV214" s="336">
        <f>DV176</f>
        <v>-175</v>
      </c>
      <c r="DW214" s="337">
        <f>SUM(DS214:DV214)</f>
        <v>-787</v>
      </c>
      <c r="DX214" s="36"/>
      <c r="DY214" s="336">
        <f>DY176</f>
        <v>-210</v>
      </c>
      <c r="DZ214" s="336">
        <f>DZ176</f>
        <v>-207</v>
      </c>
      <c r="EA214" s="336">
        <f>EA176</f>
        <v>-318</v>
      </c>
      <c r="EB214" s="336">
        <f>EB176</f>
        <v>-320</v>
      </c>
      <c r="EC214" s="337">
        <f>SUM(DY214:EB214)</f>
        <v>-1055</v>
      </c>
      <c r="ED214" s="36"/>
      <c r="EE214" s="336">
        <f>EE176</f>
        <v>-245</v>
      </c>
      <c r="EF214" s="336">
        <f>EF176</f>
        <v>-273</v>
      </c>
      <c r="EG214" s="336">
        <f>EG176</f>
        <v>-233</v>
      </c>
      <c r="EH214" s="336">
        <f>EH176</f>
        <v>-285</v>
      </c>
      <c r="EI214" s="337">
        <f>SUM(EE214:EH214)</f>
        <v>-1036</v>
      </c>
      <c r="EJ214" s="36"/>
      <c r="EK214" s="336">
        <f>EK176</f>
        <v>-344</v>
      </c>
      <c r="EL214" s="336">
        <f>EL176</f>
        <v>-287</v>
      </c>
      <c r="EM214" s="336">
        <f>EM176</f>
        <v>-295</v>
      </c>
      <c r="EN214" s="336">
        <f>EN176</f>
        <v>-236</v>
      </c>
      <c r="EO214" s="337">
        <f>SUM(EK214:EN214)</f>
        <v>-1162</v>
      </c>
      <c r="EP214" s="36"/>
      <c r="EQ214" s="336">
        <f>EQ176</f>
        <v>-268</v>
      </c>
      <c r="ER214" s="336">
        <f>ER176</f>
        <v>-352</v>
      </c>
      <c r="ES214" s="336">
        <f>ES176</f>
        <v>-261</v>
      </c>
      <c r="ET214" s="336">
        <f>ET176</f>
        <v>-313</v>
      </c>
      <c r="EU214" s="337">
        <f>SUM(EQ214:ET214)</f>
        <v>-1194</v>
      </c>
      <c r="EV214" s="36"/>
      <c r="EW214" s="336">
        <f>EW176</f>
        <v>-236</v>
      </c>
      <c r="EX214" s="336">
        <f>EX176</f>
        <v>-202</v>
      </c>
      <c r="EY214" s="336">
        <f>EY176</f>
        <v>-110</v>
      </c>
      <c r="EZ214" s="336">
        <f>EZ176</f>
        <v>-307.98749999999995</v>
      </c>
      <c r="FA214" s="337">
        <f>SUM(EW214:EZ214)</f>
        <v>-855.98749999999995</v>
      </c>
      <c r="FB214" s="36"/>
      <c r="FC214" s="336">
        <f>FC176</f>
        <v>-271.64815170392291</v>
      </c>
      <c r="FD214" s="336">
        <f>FD176</f>
        <v>-269.10978325356211</v>
      </c>
      <c r="FE214" s="336">
        <f>FE176</f>
        <v>-274.85216496546457</v>
      </c>
      <c r="FF214" s="336">
        <f>FF176</f>
        <v>-245.77036423899182</v>
      </c>
      <c r="FG214" s="337">
        <f>SUM(FC214:FF214)</f>
        <v>-1061.3804641619415</v>
      </c>
      <c r="FH214" s="36"/>
      <c r="FI214" s="336">
        <f>FI176</f>
        <v>-235.22181834487995</v>
      </c>
      <c r="FJ214" s="336">
        <f>FJ176</f>
        <v>-190.35256701047285</v>
      </c>
      <c r="FK214" s="336">
        <f>FK176</f>
        <v>-191.99302899828635</v>
      </c>
      <c r="FL214" s="336">
        <f>FL176</f>
        <v>-192.58351797871964</v>
      </c>
      <c r="FM214" s="337">
        <f>SUM(FI214:FL214)</f>
        <v>-810.15093233235882</v>
      </c>
      <c r="FN214" s="347"/>
      <c r="FO214" s="270"/>
      <c r="FP214" s="271"/>
      <c r="FQ214" s="271"/>
      <c r="FR214" s="271"/>
      <c r="FS214" s="270"/>
      <c r="FT214" s="271"/>
      <c r="FU214" s="271"/>
      <c r="FV214" s="271"/>
      <c r="FW214" s="271"/>
      <c r="FX214" s="271"/>
      <c r="FY214" s="271"/>
      <c r="FZ214" s="271"/>
      <c r="GA214" s="271"/>
      <c r="GB214" s="271"/>
      <c r="GC214" s="271"/>
      <c r="GD214" s="271"/>
      <c r="GE214" s="271"/>
      <c r="GF214" s="271"/>
      <c r="GI214"/>
      <c r="GJ214"/>
      <c r="GK214"/>
      <c r="GL214"/>
      <c r="GM214"/>
      <c r="GN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</row>
    <row r="215" spans="1:281" s="242" customFormat="1" hidden="1" outlineLevel="1" x14ac:dyDescent="0.2">
      <c r="A215" s="41" t="s">
        <v>809</v>
      </c>
      <c r="B215" s="949"/>
      <c r="C215" s="34">
        <f t="shared" ref="C215:M215" si="163">C212+C214</f>
        <v>2.3014149999999995</v>
      </c>
      <c r="D215" s="34">
        <f t="shared" si="163"/>
        <v>2.5697610000000006</v>
      </c>
      <c r="E215" s="34">
        <f t="shared" si="163"/>
        <v>10.460205000000006</v>
      </c>
      <c r="F215" s="34">
        <f t="shared" si="163"/>
        <v>28.266000000000005</v>
      </c>
      <c r="G215" s="34">
        <f t="shared" si="163"/>
        <v>64.977000000000004</v>
      </c>
      <c r="H215" s="34">
        <f t="shared" si="163"/>
        <v>120.37199999999999</v>
      </c>
      <c r="I215" s="34">
        <f t="shared" si="163"/>
        <v>118.20399999999994</v>
      </c>
      <c r="J215" s="34">
        <f>J212+J214</f>
        <v>-13.242000000000004</v>
      </c>
      <c r="K215" s="34">
        <f t="shared" si="163"/>
        <v>96.634000000000029</v>
      </c>
      <c r="L215" s="34">
        <f t="shared" si="163"/>
        <v>309.60300000000007</v>
      </c>
      <c r="M215" s="34">
        <f t="shared" si="163"/>
        <v>423.19199999999995</v>
      </c>
      <c r="N215" s="34"/>
      <c r="O215" s="34">
        <f>O212+O214</f>
        <v>91.343000000000004</v>
      </c>
      <c r="P215" s="34">
        <f>P212+P214</f>
        <v>140.09800000000001</v>
      </c>
      <c r="Q215" s="34">
        <f>Q212+Q214</f>
        <v>155.88399999999999</v>
      </c>
      <c r="R215" s="34">
        <f>R212+R214</f>
        <v>271.1570000000001</v>
      </c>
      <c r="S215" s="34">
        <f>SUM(O215:R215)</f>
        <v>658.4820000000002</v>
      </c>
      <c r="T215" s="34"/>
      <c r="U215" s="34">
        <f>U212+U214</f>
        <v>81.458999999999961</v>
      </c>
      <c r="V215" s="34">
        <f>V212+V214</f>
        <v>207.24199999999999</v>
      </c>
      <c r="W215" s="34">
        <f>W212+W214</f>
        <v>221.65100000000001</v>
      </c>
      <c r="X215" s="34">
        <f>X212+X214</f>
        <v>408.97399999999982</v>
      </c>
      <c r="Y215" s="34">
        <f>SUM(U215:X215)</f>
        <v>919.32599999999979</v>
      </c>
      <c r="Z215" s="34"/>
      <c r="AA215" s="34">
        <f>AA212+AA214</f>
        <v>176.20400000000004</v>
      </c>
      <c r="AB215" s="34">
        <f>AB212+AB214</f>
        <v>280.46300000000008</v>
      </c>
      <c r="AC215" s="34">
        <f>AC212+AC214</f>
        <v>264.45799999999986</v>
      </c>
      <c r="AD215" s="34">
        <f>AD212+AD214</f>
        <v>562.40200000000004</v>
      </c>
      <c r="AE215" s="34">
        <f>SUM(AA215:AD215)</f>
        <v>1283.527</v>
      </c>
      <c r="AF215" s="34"/>
      <c r="AG215" s="34">
        <f>AG212+AG214</f>
        <v>88.948999999999984</v>
      </c>
      <c r="AH215" s="34">
        <f>AH212+AH214</f>
        <v>288.25399999999996</v>
      </c>
      <c r="AI215" s="34">
        <f>AI212+AI214</f>
        <v>330.88799999999992</v>
      </c>
      <c r="AJ215" s="34">
        <f>AJ212+AJ214</f>
        <v>619.72599999999977</v>
      </c>
      <c r="AK215" s="34">
        <f>SUM(AG215:AJ215)</f>
        <v>1327.8169999999996</v>
      </c>
      <c r="AL215" s="34"/>
      <c r="AM215" s="34">
        <f>AM212+AM214</f>
        <v>300.0019999999999</v>
      </c>
      <c r="AN215" s="34">
        <f>AN212+AN214</f>
        <v>410.72000000000048</v>
      </c>
      <c r="AO215" s="34">
        <f>AO212+AO214</f>
        <v>444.33599999999996</v>
      </c>
      <c r="AP215" s="34">
        <f>AP212+AP214</f>
        <v>827.02</v>
      </c>
      <c r="AQ215" s="34">
        <f>SUM(AM215:AP215)</f>
        <v>1982.0780000000004</v>
      </c>
      <c r="AR215" s="34"/>
      <c r="AS215" s="34">
        <f>AS212+AS214</f>
        <v>364.20999999999992</v>
      </c>
      <c r="AT215" s="34">
        <f>AT212+AT214</f>
        <v>591.51499999999987</v>
      </c>
      <c r="AU215" s="34">
        <f>AU212+AU214</f>
        <v>1209.3299999999997</v>
      </c>
      <c r="AV215" s="34">
        <f>AV212+AV214</f>
        <v>7958.3790000000008</v>
      </c>
      <c r="AW215" s="34">
        <f>SUM(AS215:AV215)</f>
        <v>10123.434000000001</v>
      </c>
      <c r="AX215" s="34"/>
      <c r="AY215" s="34">
        <f>AY212+AY214</f>
        <v>776.24300000000028</v>
      </c>
      <c r="AZ215" s="34">
        <f>AZ212+AZ214</f>
        <v>965.88099999999974</v>
      </c>
      <c r="BA215" s="34">
        <f>BA212+BA214</f>
        <v>903.43100000000004</v>
      </c>
      <c r="BB215" s="34">
        <f>BB212+BB214</f>
        <v>1325.6749999999997</v>
      </c>
      <c r="BC215" s="34">
        <f>SUM(AY215:BB215)</f>
        <v>3971.23</v>
      </c>
      <c r="BD215" s="34"/>
      <c r="BE215" s="34">
        <f>BE212+BE214</f>
        <v>785.61099999999976</v>
      </c>
      <c r="BF215" s="34">
        <f>BF212+BF214</f>
        <v>845.32600000000002</v>
      </c>
      <c r="BG215" s="34">
        <f>BG212+BG214</f>
        <v>781.49999999999966</v>
      </c>
      <c r="BH215" s="34">
        <f>BH212+BH214</f>
        <v>995.96699999999998</v>
      </c>
      <c r="BI215" s="34">
        <f>SUM(BE215:BH215)</f>
        <v>3408.4039999999995</v>
      </c>
      <c r="BJ215" s="34"/>
      <c r="BK215" s="34">
        <f>BK212+BK214</f>
        <v>522</v>
      </c>
      <c r="BL215" s="34">
        <f>BL212+BL214</f>
        <v>800</v>
      </c>
      <c r="BM215" s="34">
        <f>BM212+BM214</f>
        <v>829</v>
      </c>
      <c r="BN215" s="34">
        <f>BN212+BN214</f>
        <v>1274.4000000000001</v>
      </c>
      <c r="BO215" s="34">
        <f>SUM(BK215:BN215)</f>
        <v>3425.4</v>
      </c>
      <c r="BQ215" s="34">
        <f>BQ212+BQ214</f>
        <v>664</v>
      </c>
      <c r="BR215" s="34">
        <f>BR212+BR214</f>
        <v>916</v>
      </c>
      <c r="BS215" s="34">
        <f>BS212+BS214</f>
        <v>946</v>
      </c>
      <c r="BT215" s="34">
        <f>BT212+BT214</f>
        <v>1419</v>
      </c>
      <c r="BU215" s="34">
        <f>SUM(BQ215:BT215)</f>
        <v>3945</v>
      </c>
      <c r="BW215" s="34">
        <f>BW212+BW214</f>
        <v>738</v>
      </c>
      <c r="BX215" s="34">
        <f>BX212+BX214</f>
        <v>1154</v>
      </c>
      <c r="BY215" s="34">
        <f>BY212+BY214</f>
        <v>770</v>
      </c>
      <c r="BZ215" s="34">
        <f>BZ212+BZ214</f>
        <v>1388.992</v>
      </c>
      <c r="CA215" s="34">
        <f>SUM(BW215:BZ215)</f>
        <v>4050.9920000000002</v>
      </c>
      <c r="CC215" s="34">
        <f>CC212+CC214</f>
        <v>733</v>
      </c>
      <c r="CD215" s="34">
        <f>CD212+CD214</f>
        <v>1121.5</v>
      </c>
      <c r="CE215" s="34">
        <f>CE212+CE214</f>
        <v>1077.9000000000001</v>
      </c>
      <c r="CF215" s="34">
        <f>CF212+CF214</f>
        <v>1878.4500000000003</v>
      </c>
      <c r="CG215" s="228">
        <f>SUM(CC215:CF215)</f>
        <v>4810.8500000000004</v>
      </c>
      <c r="CI215" s="34">
        <f>CI212+CI214</f>
        <v>964</v>
      </c>
      <c r="CJ215" s="34">
        <f>CJ212+CJ214</f>
        <v>1356</v>
      </c>
      <c r="CK215" s="34">
        <f>CK212+CK214</f>
        <v>1406</v>
      </c>
      <c r="CL215" s="34">
        <f>CL212+CL214</f>
        <v>2259.5</v>
      </c>
      <c r="CM215" s="228">
        <f>SUM(CI215:CL215)</f>
        <v>5985.5</v>
      </c>
      <c r="CN215" s="36"/>
      <c r="CO215" s="336">
        <f>CO212+CO214</f>
        <v>1200</v>
      </c>
      <c r="CP215" s="336">
        <f>CP212+CP214</f>
        <v>1815</v>
      </c>
      <c r="CQ215" s="336">
        <f>CQ212+CQ214</f>
        <v>1877</v>
      </c>
      <c r="CR215" s="336">
        <f>CR212+CR214</f>
        <v>2942</v>
      </c>
      <c r="CS215" s="337">
        <f>SUM(CO215:CR215)</f>
        <v>7834</v>
      </c>
      <c r="CT215" s="36"/>
      <c r="CU215" s="336">
        <f>CU212+CU214</f>
        <v>1444</v>
      </c>
      <c r="CV215" s="336">
        <f>CV212+CV214</f>
        <v>1826</v>
      </c>
      <c r="CW215" s="336">
        <f>CW212+CW214</f>
        <v>1810</v>
      </c>
      <c r="CX215" s="336">
        <f>CX212+CX214</f>
        <v>2754</v>
      </c>
      <c r="CY215" s="337">
        <f>SUM(CU215:CX215)</f>
        <v>7834</v>
      </c>
      <c r="CZ215" s="36"/>
      <c r="DA215" s="336">
        <f>DA212+DA214</f>
        <v>1562</v>
      </c>
      <c r="DB215" s="336">
        <f>DB212+DB214</f>
        <v>2023</v>
      </c>
      <c r="DC215" s="336">
        <f>DC212+DC214</f>
        <v>1582.3999999999996</v>
      </c>
      <c r="DD215" s="336">
        <f>DD212+DD214</f>
        <v>3075.7</v>
      </c>
      <c r="DE215" s="337">
        <f>SUM(DA215:DD215)</f>
        <v>8243.0999999999985</v>
      </c>
      <c r="DF215" s="36"/>
      <c r="DG215" s="336">
        <f>DG212+DG214</f>
        <v>1795</v>
      </c>
      <c r="DH215" s="336">
        <f>DH212+DH214</f>
        <v>2691</v>
      </c>
      <c r="DI215" s="336">
        <f>DI212+DI214</f>
        <v>2799</v>
      </c>
      <c r="DJ215" s="336">
        <f>DJ212+DJ214</f>
        <v>4170</v>
      </c>
      <c r="DK215" s="337">
        <f>SUM(DG215:DJ215)</f>
        <v>11455</v>
      </c>
      <c r="DL215" s="36"/>
      <c r="DM215" s="336">
        <f>DM212+DM214</f>
        <v>2472</v>
      </c>
      <c r="DN215" s="336">
        <f>DN212+DN214</f>
        <v>2962</v>
      </c>
      <c r="DO215" s="336">
        <f>DO212+DO214</f>
        <v>3148.3392000000003</v>
      </c>
      <c r="DP215" s="336">
        <f>DP212+DP214</f>
        <v>4382.1597000000002</v>
      </c>
      <c r="DQ215" s="337">
        <f>SUM(DM215:DP215)</f>
        <v>12964.498900000001</v>
      </c>
      <c r="DR215" s="36"/>
      <c r="DS215" s="336">
        <f>DS212+DS214</f>
        <v>2702</v>
      </c>
      <c r="DT215" s="336">
        <f>DT212+DT214</f>
        <v>3280</v>
      </c>
      <c r="DU215" s="336">
        <f>DU212+DU214</f>
        <v>3090</v>
      </c>
      <c r="DV215" s="336">
        <f>DV212+DV214</f>
        <v>4821.711703323539</v>
      </c>
      <c r="DW215" s="337">
        <f>SUM(DS215:DV215)</f>
        <v>13893.711703323539</v>
      </c>
      <c r="DX215" s="36"/>
      <c r="DY215" s="336">
        <f>DY212+DY214</f>
        <v>2663</v>
      </c>
      <c r="DZ215" s="336">
        <f>DZ212+DZ214</f>
        <v>3203</v>
      </c>
      <c r="EA215" s="336">
        <f>EA212+EA214</f>
        <v>3249</v>
      </c>
      <c r="EB215" s="336">
        <f>EB212+EB214</f>
        <v>4608</v>
      </c>
      <c r="EC215" s="337">
        <f>SUM(DY215:EB215)</f>
        <v>13723</v>
      </c>
      <c r="ED215" s="36"/>
      <c r="EE215" s="336">
        <f>EE212+EE214</f>
        <v>2718</v>
      </c>
      <c r="EF215" s="336">
        <f>EF212+EF214</f>
        <v>3269</v>
      </c>
      <c r="EG215" s="336">
        <f>EG212+EG214</f>
        <v>3149</v>
      </c>
      <c r="EH215" s="336">
        <f>EH212+EH214</f>
        <v>3696</v>
      </c>
      <c r="EI215" s="337">
        <f>SUM(EE215:EH215)</f>
        <v>12832</v>
      </c>
      <c r="EJ215" s="36"/>
      <c r="EK215" s="336">
        <f>EK212+EK214</f>
        <v>2310</v>
      </c>
      <c r="EL215" s="336">
        <f>EL212+EL214</f>
        <v>2668</v>
      </c>
      <c r="EM215" s="336">
        <f>EM212+EM214</f>
        <v>2732</v>
      </c>
      <c r="EN215" s="336">
        <f>EN212+EN214</f>
        <v>3732</v>
      </c>
      <c r="EO215" s="337">
        <f>SUM(EK215:EN215)</f>
        <v>11442</v>
      </c>
      <c r="EP215" s="36"/>
      <c r="EQ215" s="336">
        <f>EQ212+EQ214</f>
        <v>2390</v>
      </c>
      <c r="ER215" s="336">
        <f>ER212+ER214</f>
        <v>2684.7799999999988</v>
      </c>
      <c r="ES215" s="336">
        <f>ES212+ES214</f>
        <v>2698</v>
      </c>
      <c r="ET215" s="336">
        <f>ET212+ET214</f>
        <v>3741</v>
      </c>
      <c r="EU215" s="337">
        <f>SUM(EQ215:ET215)</f>
        <v>11513.779999999999</v>
      </c>
      <c r="EV215" s="36"/>
      <c r="EW215" s="336">
        <f>EW212+EW214</f>
        <v>2699</v>
      </c>
      <c r="EX215" s="336">
        <f>EX212+EX214</f>
        <v>2867</v>
      </c>
      <c r="EY215" s="336">
        <f>EY212+EY214</f>
        <v>3300</v>
      </c>
      <c r="EZ215" s="336">
        <f>EZ212+EZ214</f>
        <v>4063.888208819546</v>
      </c>
      <c r="FA215" s="337">
        <f>SUM(EW215:EZ215)</f>
        <v>12929.888208819546</v>
      </c>
      <c r="FB215" s="36"/>
      <c r="FC215" s="336">
        <f>FC212+FC214</f>
        <v>3015.7090154324596</v>
      </c>
      <c r="FD215" s="336">
        <f>FD212+FD214</f>
        <v>3430.9176688789917</v>
      </c>
      <c r="FE215" s="336">
        <f>FE212+FE214</f>
        <v>3514.2696047467798</v>
      </c>
      <c r="FF215" s="336">
        <f>FF212+FF214</f>
        <v>4335.0041096832438</v>
      </c>
      <c r="FG215" s="337">
        <f>SUM(FC215:FF215)</f>
        <v>14295.900398741476</v>
      </c>
      <c r="FH215" s="36"/>
      <c r="FI215" s="336">
        <f>FI212+FI214</f>
        <v>3280.7521466266585</v>
      </c>
      <c r="FJ215" s="336">
        <f>FJ212+FJ214</f>
        <v>3682.8377744469017</v>
      </c>
      <c r="FK215" s="336">
        <f>FK212+FK214</f>
        <v>3735.9012204063015</v>
      </c>
      <c r="FL215" s="336">
        <f>FL212+FL214</f>
        <v>4432.394501167234</v>
      </c>
      <c r="FM215" s="337">
        <f>SUM(FI215:FL215)</f>
        <v>15131.885642647096</v>
      </c>
      <c r="FN215" s="347"/>
      <c r="FO215" s="270"/>
      <c r="FP215" s="271"/>
      <c r="FQ215" s="271"/>
      <c r="FR215" s="271"/>
      <c r="FS215" s="270"/>
      <c r="FT215" s="271"/>
      <c r="FU215" s="271"/>
      <c r="FV215" s="271"/>
      <c r="FW215" s="271"/>
      <c r="FX215" s="271"/>
      <c r="FY215" s="271"/>
      <c r="FZ215" s="271"/>
      <c r="GA215" s="271"/>
      <c r="GB215" s="271"/>
      <c r="GC215" s="271"/>
      <c r="GD215" s="271"/>
      <c r="GE215" s="271"/>
      <c r="GF215" s="271"/>
      <c r="GI215"/>
      <c r="GJ215"/>
      <c r="GK215"/>
      <c r="GL215"/>
      <c r="GM215"/>
      <c r="GN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</row>
    <row r="216" spans="1:281" s="33" customFormat="1" ht="10.5" hidden="1" customHeight="1" outlineLevel="1" x14ac:dyDescent="0.2">
      <c r="A216" s="41" t="s">
        <v>811</v>
      </c>
      <c r="B216" s="949"/>
      <c r="C216" s="242">
        <f>C184</f>
        <v>0.91547999999999996</v>
      </c>
      <c r="D216" s="242">
        <f>D184</f>
        <v>1.0186439999999999</v>
      </c>
      <c r="E216" s="242">
        <f>E184</f>
        <v>4.5936349999999999</v>
      </c>
      <c r="F216" s="242">
        <v>13.15587128</v>
      </c>
      <c r="G216" s="242">
        <v>22.093</v>
      </c>
      <c r="H216" s="242">
        <v>38.478999999999999</v>
      </c>
      <c r="I216" s="242">
        <v>37.329000000000001</v>
      </c>
      <c r="J216" s="242">
        <v>-0.84099999999999997</v>
      </c>
      <c r="K216" s="242">
        <v>34.619999999999997</v>
      </c>
      <c r="L216" s="242">
        <v>76.314999999999998</v>
      </c>
      <c r="M216" s="242">
        <v>139.74299999999999</v>
      </c>
      <c r="N216" s="242"/>
      <c r="O216" s="242">
        <v>30.143000000000001</v>
      </c>
      <c r="P216" s="242">
        <v>46.231999999999999</v>
      </c>
      <c r="Q216" s="242">
        <v>51.606999999999999</v>
      </c>
      <c r="R216" s="242">
        <v>89.481999999999999</v>
      </c>
      <c r="S216" s="242">
        <f>SUM(O216:R216)</f>
        <v>217.464</v>
      </c>
      <c r="T216" s="242"/>
      <c r="U216" s="242">
        <v>27.696000000000002</v>
      </c>
      <c r="V216" s="242">
        <v>70.525000000000006</v>
      </c>
      <c r="W216" s="242">
        <v>75.361000000000004</v>
      </c>
      <c r="X216" s="242">
        <v>142.649</v>
      </c>
      <c r="Y216" s="242">
        <f>SUM(U216:X216)</f>
        <v>316.23099999999999</v>
      </c>
      <c r="Z216" s="242"/>
      <c r="AA216" s="242">
        <v>63.433999999999997</v>
      </c>
      <c r="AB216" s="242">
        <v>100.967</v>
      </c>
      <c r="AC216" s="242">
        <v>95.203999999999994</v>
      </c>
      <c r="AD216" s="242">
        <v>202.465</v>
      </c>
      <c r="AE216" s="242">
        <f>SUM(AA216:AD216)</f>
        <v>462.07000000000005</v>
      </c>
      <c r="AF216" s="242"/>
      <c r="AG216" s="242">
        <v>80.478999999999999</v>
      </c>
      <c r="AH216" s="242">
        <v>100.93</v>
      </c>
      <c r="AI216" s="242">
        <v>115.81100000000001</v>
      </c>
      <c r="AJ216" s="242">
        <v>216.904</v>
      </c>
      <c r="AK216" s="242">
        <f>SUM(AG216:AJ216)</f>
        <v>514.12400000000002</v>
      </c>
      <c r="AL216" s="242"/>
      <c r="AM216" s="242">
        <v>105.001</v>
      </c>
      <c r="AN216" s="242">
        <v>136.64500000000001</v>
      </c>
      <c r="AO216" s="242">
        <v>151.07400000000001</v>
      </c>
      <c r="AP216" s="242">
        <v>299.60000000000002</v>
      </c>
      <c r="AQ216" s="242">
        <f>SUM(AM216:AP216)</f>
        <v>692.32</v>
      </c>
      <c r="AR216" s="242"/>
      <c r="AS216" s="242">
        <v>127.474</v>
      </c>
      <c r="AT216" s="242">
        <v>207.03100000000001</v>
      </c>
      <c r="AU216" s="242">
        <v>446.154</v>
      </c>
      <c r="AV216" s="242">
        <v>3045.9720000000002</v>
      </c>
      <c r="AW216" s="242">
        <f>SUM(AS216:AV216)</f>
        <v>3826.6310000000003</v>
      </c>
      <c r="AX216" s="242"/>
      <c r="AY216" s="242">
        <v>275.56599999999997</v>
      </c>
      <c r="AZ216" s="242">
        <v>343.06900000000002</v>
      </c>
      <c r="BA216" s="242">
        <f>320.718</f>
        <v>320.71800000000002</v>
      </c>
      <c r="BB216" s="242">
        <f>470.781</f>
        <v>470.78100000000001</v>
      </c>
      <c r="BC216" s="242">
        <f>SUM(AY216:BB216)</f>
        <v>1410.134</v>
      </c>
      <c r="BD216" s="242"/>
      <c r="BE216" s="242">
        <v>274.964</v>
      </c>
      <c r="BF216" s="242">
        <v>295.86399999999998</v>
      </c>
      <c r="BG216" s="242">
        <v>273.52499999999998</v>
      </c>
      <c r="BH216" s="242">
        <f>339.846</f>
        <v>339.846</v>
      </c>
      <c r="BI216" s="242">
        <f>SUM(BE216:BH216)</f>
        <v>1184.1990000000001</v>
      </c>
      <c r="BJ216" s="242"/>
      <c r="BK216" s="242">
        <v>179</v>
      </c>
      <c r="BL216" s="242">
        <v>265</v>
      </c>
      <c r="BM216" s="242">
        <v>258</v>
      </c>
      <c r="BN216" s="242">
        <v>416</v>
      </c>
      <c r="BO216" s="242">
        <f>SUM(BK216:BN216)</f>
        <v>1118</v>
      </c>
      <c r="BP216" s="242"/>
      <c r="BQ216" s="242">
        <v>224</v>
      </c>
      <c r="BR216" s="33">
        <v>299</v>
      </c>
      <c r="BS216" s="33">
        <v>312</v>
      </c>
      <c r="BT216" s="33">
        <v>429</v>
      </c>
      <c r="BU216" s="242">
        <f>SUM(BQ216:BT216)</f>
        <v>1264</v>
      </c>
      <c r="BV216" s="242"/>
      <c r="BW216" s="33">
        <v>229</v>
      </c>
      <c r="BX216" s="33">
        <v>339</v>
      </c>
      <c r="BY216" s="33">
        <v>232</v>
      </c>
      <c r="BZ216" s="33">
        <v>365</v>
      </c>
      <c r="CA216" s="242">
        <f>SUM(BW216:BZ216)</f>
        <v>1165</v>
      </c>
      <c r="CB216" s="242"/>
      <c r="CC216" s="33">
        <v>214</v>
      </c>
      <c r="CD216" s="33">
        <v>324</v>
      </c>
      <c r="CE216" s="33">
        <v>313</v>
      </c>
      <c r="CF216" s="33">
        <v>578</v>
      </c>
      <c r="CG216" s="347">
        <f>SUM(CC216:CF216)</f>
        <v>1429</v>
      </c>
      <c r="CH216" s="242"/>
      <c r="CI216" s="33">
        <v>292</v>
      </c>
      <c r="CJ216" s="33">
        <v>386.5</v>
      </c>
      <c r="CK216" s="33">
        <v>373</v>
      </c>
      <c r="CL216" s="33">
        <v>660</v>
      </c>
      <c r="CM216" s="347">
        <f>SUM(CI216:CL216)</f>
        <v>1711.5</v>
      </c>
      <c r="CN216" s="36"/>
      <c r="CO216" s="336">
        <v>360</v>
      </c>
      <c r="CP216" s="336">
        <v>512</v>
      </c>
      <c r="CQ216" s="336">
        <v>537</v>
      </c>
      <c r="CR216" s="336">
        <v>905</v>
      </c>
      <c r="CS216" s="337">
        <f>SUM(CO216:CR216)</f>
        <v>2314</v>
      </c>
      <c r="CT216" s="36"/>
      <c r="CU216" s="336">
        <v>367</v>
      </c>
      <c r="CV216" s="336">
        <v>530</v>
      </c>
      <c r="CW216" s="336">
        <v>481</v>
      </c>
      <c r="CX216" s="336">
        <v>863</v>
      </c>
      <c r="CY216" s="337">
        <f>SUM(CU216:CX216)</f>
        <v>2241</v>
      </c>
      <c r="CZ216" s="36"/>
      <c r="DA216" s="336">
        <v>438</v>
      </c>
      <c r="DB216" s="336">
        <v>565</v>
      </c>
      <c r="DC216" s="336">
        <v>393</v>
      </c>
      <c r="DD216" s="336">
        <v>711</v>
      </c>
      <c r="DE216" s="337">
        <f>SUM(DA216:DD216)</f>
        <v>2107</v>
      </c>
      <c r="DF216" s="36"/>
      <c r="DG216" s="336">
        <v>443</v>
      </c>
      <c r="DH216" s="336">
        <v>776</v>
      </c>
      <c r="DI216" s="336">
        <v>683</v>
      </c>
      <c r="DJ216" s="336">
        <v>961</v>
      </c>
      <c r="DK216" s="337">
        <f>SUM(DG216:DJ216)</f>
        <v>2863</v>
      </c>
      <c r="DL216" s="36"/>
      <c r="DM216" s="336">
        <v>631</v>
      </c>
      <c r="DN216" s="336">
        <v>768</v>
      </c>
      <c r="DO216" s="336">
        <v>650</v>
      </c>
      <c r="DP216" s="336">
        <v>931</v>
      </c>
      <c r="DQ216" s="337">
        <f>SUM(DM216:DP216)</f>
        <v>2980</v>
      </c>
      <c r="DR216" s="36"/>
      <c r="DS216" s="336">
        <v>668</v>
      </c>
      <c r="DT216" s="336">
        <v>699</v>
      </c>
      <c r="DU216" s="336">
        <v>586</v>
      </c>
      <c r="DV216" s="336">
        <v>1018</v>
      </c>
      <c r="DW216" s="337">
        <f>SUM(DS216:DV216)</f>
        <v>2971</v>
      </c>
      <c r="DX216" s="36"/>
      <c r="DY216" s="336">
        <v>472</v>
      </c>
      <c r="DZ216" s="336">
        <v>650</v>
      </c>
      <c r="EA216" s="336">
        <v>684</v>
      </c>
      <c r="EB216" s="336">
        <v>943</v>
      </c>
      <c r="EC216" s="337">
        <f>SUM(DY216:EB216)</f>
        <v>2749</v>
      </c>
      <c r="ED216" s="36"/>
      <c r="EE216" s="336">
        <v>534</v>
      </c>
      <c r="EF216" s="336">
        <v>767</v>
      </c>
      <c r="EG216" s="336">
        <v>655</v>
      </c>
      <c r="EH216" s="336">
        <v>939</v>
      </c>
      <c r="EI216" s="337">
        <f>SUM(EE216:EH216)</f>
        <v>2895</v>
      </c>
      <c r="EJ216" s="36"/>
      <c r="EK216" s="336">
        <v>563</v>
      </c>
      <c r="EL216" s="336">
        <v>471</v>
      </c>
      <c r="EM216" s="336">
        <v>590</v>
      </c>
      <c r="EN216" s="336">
        <v>918</v>
      </c>
      <c r="EO216" s="337">
        <f>SUM(EK216:EN216)</f>
        <v>2542</v>
      </c>
      <c r="EP216" s="36"/>
      <c r="EQ216" s="336">
        <v>541</v>
      </c>
      <c r="ER216" s="336">
        <v>653</v>
      </c>
      <c r="ES216" s="336">
        <v>459</v>
      </c>
      <c r="ET216" s="336">
        <v>529</v>
      </c>
      <c r="EU216" s="337">
        <f>SUM(EQ216:ET216)</f>
        <v>2182</v>
      </c>
      <c r="EV216" s="36"/>
      <c r="EW216" s="336">
        <v>375</v>
      </c>
      <c r="EX216" s="336">
        <v>634</v>
      </c>
      <c r="EY216" s="336">
        <v>7324</v>
      </c>
      <c r="EZ216" s="336">
        <f>EZ215*EZ217</f>
        <v>853.41652385210466</v>
      </c>
      <c r="FA216" s="337">
        <f>SUM(EW216:EZ216)</f>
        <v>9186.4165238521055</v>
      </c>
      <c r="FB216" s="36"/>
      <c r="FC216" s="336">
        <f>FC215*FC217</f>
        <v>633.29889324081648</v>
      </c>
      <c r="FD216" s="336">
        <f>FD215*FD217</f>
        <v>720.49271046458819</v>
      </c>
      <c r="FE216" s="336">
        <f>FE215*FE217</f>
        <v>737.99661699682372</v>
      </c>
      <c r="FF216" s="336">
        <f>FF215*FF217</f>
        <v>910.35086303348112</v>
      </c>
      <c r="FG216" s="337">
        <f>SUM(FC216:FF216)</f>
        <v>3002.1390837357094</v>
      </c>
      <c r="FH216" s="36"/>
      <c r="FI216" s="336">
        <f>FI215*FI217</f>
        <v>688.95795079159825</v>
      </c>
      <c r="FJ216" s="336">
        <f>FJ215*FJ217</f>
        <v>773.39593263384927</v>
      </c>
      <c r="FK216" s="336">
        <f>FK215*FK217</f>
        <v>784.53925628532329</v>
      </c>
      <c r="FL216" s="336">
        <f>FL215*FL217</f>
        <v>930.8028452451191</v>
      </c>
      <c r="FM216" s="337">
        <f>SUM(FI216:FL216)</f>
        <v>3177.6959849558898</v>
      </c>
      <c r="FN216" s="226"/>
      <c r="FO216" s="227"/>
      <c r="FS216" s="227"/>
      <c r="GI216"/>
      <c r="GJ216"/>
      <c r="GK216"/>
      <c r="GL216"/>
      <c r="GM216"/>
      <c r="GN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</row>
    <row r="217" spans="1:281" s="24" customFormat="1" hidden="1" outlineLevel="1" x14ac:dyDescent="0.2">
      <c r="A217" s="247" t="s">
        <v>24</v>
      </c>
      <c r="B217" s="413"/>
      <c r="C217" s="22">
        <f t="shared" ref="C217:M217" si="164">C216/C215</f>
        <v>0.39779005524861882</v>
      </c>
      <c r="D217" s="22">
        <f t="shared" si="164"/>
        <v>0.39639639639639623</v>
      </c>
      <c r="E217" s="22">
        <f t="shared" si="164"/>
        <v>0.43915343915343891</v>
      </c>
      <c r="F217" s="22">
        <f t="shared" si="164"/>
        <v>0.46543095167338844</v>
      </c>
      <c r="G217" s="22">
        <f t="shared" si="164"/>
        <v>0.34001261985010078</v>
      </c>
      <c r="H217" s="22">
        <f t="shared" si="164"/>
        <v>0.31966736450337291</v>
      </c>
      <c r="I217" s="22">
        <f t="shared" si="164"/>
        <v>0.31580149571926519</v>
      </c>
      <c r="J217" s="22">
        <f t="shared" si="164"/>
        <v>6.3510043800030183E-2</v>
      </c>
      <c r="K217" s="22">
        <f t="shared" si="164"/>
        <v>0.358258997868245</v>
      </c>
      <c r="L217" s="22">
        <f t="shared" si="164"/>
        <v>0.24649308953724602</v>
      </c>
      <c r="M217" s="22">
        <f t="shared" si="164"/>
        <v>0.33021181874893668</v>
      </c>
      <c r="N217" s="342"/>
      <c r="O217" s="22">
        <f>O216/O215</f>
        <v>0.32999791992818278</v>
      </c>
      <c r="P217" s="22">
        <f>P216/P215</f>
        <v>0.3299975731273822</v>
      </c>
      <c r="Q217" s="22">
        <f>Q216/Q215</f>
        <v>0.33106027558954099</v>
      </c>
      <c r="R217" s="22">
        <f>R216/R215</f>
        <v>0.33000070070106974</v>
      </c>
      <c r="S217" s="22">
        <f>S216/S215</f>
        <v>0.33025048520688483</v>
      </c>
      <c r="T217" s="342"/>
      <c r="U217" s="22">
        <f>U216/U215</f>
        <v>0.3399992634331383</v>
      </c>
      <c r="V217" s="22">
        <f>V216/V215</f>
        <v>0.34030264135648186</v>
      </c>
      <c r="W217" s="22">
        <f>W216/W215</f>
        <v>0.33999846605699952</v>
      </c>
      <c r="X217" s="22">
        <f>X216/X215</f>
        <v>0.34879723405399871</v>
      </c>
      <c r="Y217" s="22">
        <f>Y216/Y215</f>
        <v>0.34398135155537868</v>
      </c>
      <c r="Z217" s="342"/>
      <c r="AA217" s="22">
        <f>AA216/AA215</f>
        <v>0.360003178134435</v>
      </c>
      <c r="AB217" s="22">
        <f>AB216/AB215</f>
        <v>0.36000114097046659</v>
      </c>
      <c r="AC217" s="22">
        <f>AC216/AC215</f>
        <v>0.35999667243948014</v>
      </c>
      <c r="AD217" s="22">
        <f>AD216/AD215</f>
        <v>0.36000049786451682</v>
      </c>
      <c r="AE217" s="22">
        <f>AE216/AE215</f>
        <v>0.36000021814889754</v>
      </c>
      <c r="AF217" s="342"/>
      <c r="AG217" s="22">
        <f>AG216/AG215</f>
        <v>0.90477689462500999</v>
      </c>
      <c r="AH217" s="22">
        <f>AH216/AH215</f>
        <v>0.35014258258341607</v>
      </c>
      <c r="AI217" s="22">
        <f>AI216/AI215</f>
        <v>0.35000060443412889</v>
      </c>
      <c r="AJ217" s="22">
        <f>AJ216/AJ215</f>
        <v>0.34999983863836609</v>
      </c>
      <c r="AK217" s="22">
        <f>AK216/AK215</f>
        <v>0.38719492219183832</v>
      </c>
      <c r="AL217" s="342"/>
      <c r="AM217" s="22">
        <f>AM216/AM215</f>
        <v>0.35000099999333351</v>
      </c>
      <c r="AN217" s="22">
        <f>AN216/AN215</f>
        <v>0.33269624074795445</v>
      </c>
      <c r="AO217" s="22">
        <f>AO216/AO215</f>
        <v>0.3399994598682079</v>
      </c>
      <c r="AP217" s="22">
        <f>AP216/AP215</f>
        <v>0.36226451597301157</v>
      </c>
      <c r="AQ217" s="22">
        <f>AQ216/AQ215</f>
        <v>0.34928998757869262</v>
      </c>
      <c r="AR217" s="342"/>
      <c r="AS217" s="22">
        <f>AS216/AS215</f>
        <v>0.3500013728343539</v>
      </c>
      <c r="AT217" s="22">
        <f>AT216/AT215</f>
        <v>0.35000126793065273</v>
      </c>
      <c r="AU217" s="22">
        <f>AU216/AU215</f>
        <v>0.3689265957182904</v>
      </c>
      <c r="AV217" s="22">
        <f>AV216/AV215</f>
        <v>0.38273774093945512</v>
      </c>
      <c r="AW217" s="22">
        <f>AW216/AW215</f>
        <v>0.37799732778422812</v>
      </c>
      <c r="AX217" s="342"/>
      <c r="AY217" s="22">
        <f>AY216/AY215</f>
        <v>0.35499965861205818</v>
      </c>
      <c r="AZ217" s="22">
        <f>AZ216/AZ215</f>
        <v>0.35518764733957919</v>
      </c>
      <c r="BA217" s="22">
        <f>BA216/BA215</f>
        <v>0.35499999446554303</v>
      </c>
      <c r="BB217" s="22">
        <f>BB216/BB215</f>
        <v>0.35512550210270249</v>
      </c>
      <c r="BC217" s="22">
        <f>BC216/BC215</f>
        <v>0.35508746660354601</v>
      </c>
      <c r="BD217" s="342"/>
      <c r="BE217" s="22">
        <f>BE216/BE215</f>
        <v>0.35000019093419016</v>
      </c>
      <c r="BF217" s="22">
        <f>BF216/BF215</f>
        <v>0.34999988170244373</v>
      </c>
      <c r="BG217" s="22">
        <f>BG216/BG215</f>
        <v>0.35000000000000014</v>
      </c>
      <c r="BH217" s="22">
        <f>BH216/BH215</f>
        <v>0.34122214892662106</v>
      </c>
      <c r="BI217" s="22">
        <f>BI216/BI215</f>
        <v>0.34743504584550428</v>
      </c>
      <c r="BJ217" s="342"/>
      <c r="BK217" s="22">
        <f>BK216/BK215</f>
        <v>0.34291187739463602</v>
      </c>
      <c r="BL217" s="22">
        <f>BL216/BL215</f>
        <v>0.33124999999999999</v>
      </c>
      <c r="BM217" s="22">
        <f>BM216/BM215</f>
        <v>0.31121833534378768</v>
      </c>
      <c r="BN217" s="22">
        <f>BN216/BN215</f>
        <v>0.32642812303829249</v>
      </c>
      <c r="BO217" s="22">
        <f>BO216/BO215</f>
        <v>0.32638523968003735</v>
      </c>
      <c r="BP217" s="27"/>
      <c r="BQ217" s="22">
        <f>BQ216/BQ215</f>
        <v>0.33734939759036142</v>
      </c>
      <c r="BR217" s="22">
        <f>BR216/BR215</f>
        <v>0.32641921397379914</v>
      </c>
      <c r="BS217" s="22">
        <f>BS216/BS215</f>
        <v>0.32980972515856238</v>
      </c>
      <c r="BT217" s="22">
        <f>BT216/BT215</f>
        <v>0.30232558139534882</v>
      </c>
      <c r="BU217" s="22">
        <f>BU216/BU215</f>
        <v>0.32040557667934094</v>
      </c>
      <c r="BV217" s="27"/>
      <c r="BW217" s="22">
        <f>BW216/BW215</f>
        <v>0.31029810298102983</v>
      </c>
      <c r="BX217" s="22">
        <f>BX216/BX215</f>
        <v>0.29376083188908148</v>
      </c>
      <c r="BY217" s="22">
        <f>BY216/BY215</f>
        <v>0.30129870129870129</v>
      </c>
      <c r="BZ217" s="22">
        <f>BZ216/BZ215</f>
        <v>0.26278049117633506</v>
      </c>
      <c r="CA217" s="22">
        <f>CA216/CA215</f>
        <v>0.28758388068897689</v>
      </c>
      <c r="CB217" s="27"/>
      <c r="CC217" s="22">
        <f>CC216/CC215</f>
        <v>0.29195088676671216</v>
      </c>
      <c r="CD217" s="22">
        <f>CD216/CD215</f>
        <v>0.28889879625501558</v>
      </c>
      <c r="CE217" s="22">
        <f>CE216/CE215</f>
        <v>0.29037944150663325</v>
      </c>
      <c r="CF217" s="22">
        <f>CF216/CF215</f>
        <v>0.30770049775080516</v>
      </c>
      <c r="CG217" s="234">
        <f>CG216/CG215</f>
        <v>0.29703690616003409</v>
      </c>
      <c r="CH217" s="27"/>
      <c r="CI217" s="22">
        <f>CI216/CI215</f>
        <v>0.30290456431535268</v>
      </c>
      <c r="CJ217" s="22">
        <f>CJ216/CJ215</f>
        <v>0.28502949852507375</v>
      </c>
      <c r="CK217" s="22">
        <f>CK216/CK215</f>
        <v>0.26529160739687058</v>
      </c>
      <c r="CL217" s="22">
        <f>CL216/CL215</f>
        <v>0.29210002212878955</v>
      </c>
      <c r="CM217" s="234">
        <f>CM216/CM215</f>
        <v>0.28594102414167571</v>
      </c>
      <c r="CN217" s="27"/>
      <c r="CO217" s="22">
        <f>CO216/CO215</f>
        <v>0.3</v>
      </c>
      <c r="CP217" s="22">
        <f>CP216/CP215</f>
        <v>0.2820936639118457</v>
      </c>
      <c r="CQ217" s="22">
        <f>CQ216/CQ215</f>
        <v>0.28609483217900905</v>
      </c>
      <c r="CR217" s="22">
        <f>CR216/CR215</f>
        <v>0.30761386811692726</v>
      </c>
      <c r="CS217" s="234">
        <f>CS216/CS215</f>
        <v>0.29537911667092165</v>
      </c>
      <c r="CT217" s="27"/>
      <c r="CU217" s="22">
        <f>CU216/CU215</f>
        <v>0.25415512465373963</v>
      </c>
      <c r="CV217" s="22">
        <f>CV216/CV215</f>
        <v>0.29025191675794088</v>
      </c>
      <c r="CW217" s="22">
        <f>CW216/CW215</f>
        <v>0.26574585635359116</v>
      </c>
      <c r="CX217" s="22">
        <f>CX216/CX215</f>
        <v>0.31336238198983296</v>
      </c>
      <c r="CY217" s="234">
        <f>CY216/CY215</f>
        <v>0.28606076078631604</v>
      </c>
      <c r="CZ217" s="27"/>
      <c r="DA217" s="22">
        <f>DA216/DA215</f>
        <v>0.28040973111395645</v>
      </c>
      <c r="DB217" s="22">
        <f>DB216/DB215</f>
        <v>0.27928818586258031</v>
      </c>
      <c r="DC217" s="22">
        <f>DC216/DC215</f>
        <v>0.24835692618806882</v>
      </c>
      <c r="DD217" s="22">
        <f>DD216/DD215</f>
        <v>0.23116688883831324</v>
      </c>
      <c r="DE217" s="234">
        <f>DE216/DE215</f>
        <v>0.25560772039645285</v>
      </c>
      <c r="DF217" s="27"/>
      <c r="DG217" s="22">
        <f>DG216/DG215</f>
        <v>0.2467966573816156</v>
      </c>
      <c r="DH217" s="22">
        <f>DH216/DH215</f>
        <v>0.28836863619472314</v>
      </c>
      <c r="DI217" s="22">
        <f>DI216/DI215</f>
        <v>0.24401571989996426</v>
      </c>
      <c r="DJ217" s="22">
        <f>DJ216/DJ215</f>
        <v>0.23045563549160672</v>
      </c>
      <c r="DK217" s="234">
        <f>DK216/DK215</f>
        <v>0.24993452640768224</v>
      </c>
      <c r="DL217" s="27"/>
      <c r="DM217" s="22">
        <f>DM216/DM215</f>
        <v>0.25525889967637538</v>
      </c>
      <c r="DN217" s="22">
        <f>DN216/DN215</f>
        <v>0.25928426738690075</v>
      </c>
      <c r="DO217" s="22">
        <f>DO216/DO215</f>
        <v>0.20645805890292887</v>
      </c>
      <c r="DP217" s="22">
        <f>DP216/DP215</f>
        <v>0.21245232116939963</v>
      </c>
      <c r="DQ217" s="234">
        <f>DQ216/DQ215</f>
        <v>0.22985847914260688</v>
      </c>
      <c r="DR217" s="27"/>
      <c r="DS217" s="22">
        <f>DS216/DS215</f>
        <v>0.24722427831236121</v>
      </c>
      <c r="DT217" s="22">
        <f>DT216/DT215</f>
        <v>0.21310975609756097</v>
      </c>
      <c r="DU217" s="22">
        <f>DU216/DU215</f>
        <v>0.18964401294498381</v>
      </c>
      <c r="DV217" s="22">
        <f>DV216/DV215</f>
        <v>0.21112834251336651</v>
      </c>
      <c r="DW217" s="234">
        <f>DW216/DW215</f>
        <v>0.21383774641655345</v>
      </c>
      <c r="DX217" s="27"/>
      <c r="DY217" s="22">
        <f>DY216/DY215</f>
        <v>0.17724371010138942</v>
      </c>
      <c r="DZ217" s="22">
        <f>DZ216/DZ215</f>
        <v>0.20293474867311895</v>
      </c>
      <c r="EA217" s="22">
        <f>EA216/EA215</f>
        <v>0.21052631578947367</v>
      </c>
      <c r="EB217" s="22">
        <f>EB216/EB215</f>
        <v>0.20464409722222221</v>
      </c>
      <c r="EC217" s="234">
        <f>EC216/EC215</f>
        <v>0.20032062959994171</v>
      </c>
      <c r="ED217" s="27"/>
      <c r="EE217" s="22">
        <f>EE216/EE215</f>
        <v>0.19646799116997793</v>
      </c>
      <c r="EF217" s="22">
        <f>EF216/EF215</f>
        <v>0.2346283267054145</v>
      </c>
      <c r="EG217" s="22">
        <f>EG216/EG215</f>
        <v>0.20800254048904415</v>
      </c>
      <c r="EH217" s="22">
        <f>EH216/EH215</f>
        <v>0.25405844155844154</v>
      </c>
      <c r="EI217" s="234">
        <f>EI216/EI215</f>
        <v>0.225607855361596</v>
      </c>
      <c r="EJ217" s="27"/>
      <c r="EK217" s="22">
        <f>EK216/EK215</f>
        <v>0.24372294372294373</v>
      </c>
      <c r="EL217" s="22">
        <f>EL216/EL215</f>
        <v>0.1765367316341829</v>
      </c>
      <c r="EM217" s="22">
        <f>EM216/EM215</f>
        <v>0.21595900439238652</v>
      </c>
      <c r="EN217" s="22">
        <f>EN216/EN215</f>
        <v>0.2459807073954984</v>
      </c>
      <c r="EO217" s="234">
        <f>EO216/EO215</f>
        <v>0.22216395735011363</v>
      </c>
      <c r="EP217" s="27"/>
      <c r="EQ217" s="22">
        <f>EQ216/EQ215</f>
        <v>0.22635983263598328</v>
      </c>
      <c r="ER217" s="22">
        <f>ER216/ER215</f>
        <v>0.2432229083947289</v>
      </c>
      <c r="ES217" s="22">
        <f>ES216/ES215</f>
        <v>0.17012601927353596</v>
      </c>
      <c r="ET217" s="22">
        <f>ET216/ET215</f>
        <v>0.14140604116546379</v>
      </c>
      <c r="EU217" s="234">
        <f>EU216/EU215</f>
        <v>0.1895120455662693</v>
      </c>
      <c r="EV217" s="27"/>
      <c r="EW217" s="22">
        <f>EW216/EW215</f>
        <v>0.13894034827713969</v>
      </c>
      <c r="EX217" s="22">
        <f>EX216/EX215</f>
        <v>0.22113707708406</v>
      </c>
      <c r="EY217" s="22">
        <f>EY216/EY215</f>
        <v>2.2193939393939393</v>
      </c>
      <c r="EZ217" s="249">
        <v>0.21</v>
      </c>
      <c r="FA217" s="234">
        <f>FA216/FA215</f>
        <v>0.71047919173701757</v>
      </c>
      <c r="FB217" s="27"/>
      <c r="FC217" s="249">
        <f>EZ217</f>
        <v>0.21</v>
      </c>
      <c r="FD217" s="249">
        <f>FC217</f>
        <v>0.21</v>
      </c>
      <c r="FE217" s="249">
        <f>FD217</f>
        <v>0.21</v>
      </c>
      <c r="FF217" s="249">
        <f>FE217</f>
        <v>0.21</v>
      </c>
      <c r="FG217" s="234">
        <f>FG216/FG215</f>
        <v>0.20999999999999996</v>
      </c>
      <c r="FH217" s="27"/>
      <c r="FI217" s="249">
        <f>FF217</f>
        <v>0.21</v>
      </c>
      <c r="FJ217" s="249">
        <f>FI217</f>
        <v>0.21</v>
      </c>
      <c r="FK217" s="249">
        <f>FJ217</f>
        <v>0.21</v>
      </c>
      <c r="FL217" s="249">
        <f>FK217</f>
        <v>0.21</v>
      </c>
      <c r="FM217" s="234">
        <f>FM216/FM215</f>
        <v>0.21</v>
      </c>
      <c r="FN217" s="474"/>
      <c r="FO217" s="344"/>
      <c r="FP217" s="345"/>
      <c r="FQ217" s="345"/>
      <c r="FR217" s="345"/>
      <c r="FS217" s="344"/>
      <c r="FT217" s="345"/>
      <c r="FU217" s="345"/>
      <c r="FV217" s="345"/>
      <c r="FW217" s="345"/>
      <c r="FX217" s="345"/>
      <c r="FY217" s="345"/>
      <c r="FZ217" s="345"/>
      <c r="GA217" s="345"/>
      <c r="GB217" s="345"/>
      <c r="GC217" s="345"/>
      <c r="GD217" s="345"/>
      <c r="GE217" s="345"/>
      <c r="GF217" s="345"/>
      <c r="GH217" s="27"/>
      <c r="GI217"/>
      <c r="GJ217"/>
      <c r="GK217"/>
      <c r="GL217"/>
      <c r="GM217"/>
      <c r="GN217"/>
      <c r="GO217" s="2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</row>
    <row r="218" spans="1:281" s="242" customFormat="1" hidden="1" outlineLevel="1" x14ac:dyDescent="0.2">
      <c r="A218" s="41" t="s">
        <v>857</v>
      </c>
      <c r="B218" s="949"/>
      <c r="C218" s="34">
        <f t="shared" ref="C218:M218" si="165">C215-C216</f>
        <v>1.3859349999999995</v>
      </c>
      <c r="D218" s="34">
        <f t="shared" si="165"/>
        <v>1.5511170000000007</v>
      </c>
      <c r="E218" s="34">
        <f t="shared" si="165"/>
        <v>5.8665700000000056</v>
      </c>
      <c r="F218" s="34">
        <f t="shared" si="165"/>
        <v>15.110128720000006</v>
      </c>
      <c r="G218" s="34">
        <f t="shared" si="165"/>
        <v>42.884</v>
      </c>
      <c r="H218" s="34">
        <f t="shared" si="165"/>
        <v>81.892999999999986</v>
      </c>
      <c r="I218" s="34">
        <f t="shared" si="165"/>
        <v>80.874999999999943</v>
      </c>
      <c r="J218" s="34">
        <f t="shared" si="165"/>
        <v>-12.401000000000005</v>
      </c>
      <c r="K218" s="34">
        <f t="shared" si="165"/>
        <v>62.014000000000031</v>
      </c>
      <c r="L218" s="34">
        <f t="shared" si="165"/>
        <v>233.28800000000007</v>
      </c>
      <c r="M218" s="34">
        <f t="shared" si="165"/>
        <v>283.44899999999996</v>
      </c>
      <c r="N218" s="34"/>
      <c r="O218" s="34">
        <f>O215-O216</f>
        <v>61.2</v>
      </c>
      <c r="P218" s="34">
        <f>P215-P216</f>
        <v>93.866000000000014</v>
      </c>
      <c r="Q218" s="34">
        <f>Q215-Q216</f>
        <v>104.27699999999999</v>
      </c>
      <c r="R218" s="34">
        <f>R215-R216</f>
        <v>181.6750000000001</v>
      </c>
      <c r="S218" s="34">
        <f>SUM(O218:R218)</f>
        <v>441.01800000000014</v>
      </c>
      <c r="T218" s="34"/>
      <c r="U218" s="34">
        <f>U215-U216</f>
        <v>53.762999999999963</v>
      </c>
      <c r="V218" s="34">
        <f>V215-V216</f>
        <v>136.71699999999998</v>
      </c>
      <c r="W218" s="34">
        <f>W215-W216</f>
        <v>146.29000000000002</v>
      </c>
      <c r="X218" s="34">
        <f>X215-X216</f>
        <v>266.32499999999982</v>
      </c>
      <c r="Y218" s="34">
        <f>SUM(U218:X218)</f>
        <v>603.0949999999998</v>
      </c>
      <c r="Z218" s="34"/>
      <c r="AA218" s="34">
        <f>AA215-AA216</f>
        <v>112.77000000000004</v>
      </c>
      <c r="AB218" s="34">
        <f>AB215-AB216</f>
        <v>179.49600000000009</v>
      </c>
      <c r="AC218" s="34">
        <f>AC215-AC216</f>
        <v>169.25399999999985</v>
      </c>
      <c r="AD218" s="34">
        <f>AD215-AD216</f>
        <v>359.93700000000001</v>
      </c>
      <c r="AE218" s="34">
        <f>SUM(AA218:AD218)</f>
        <v>821.45699999999999</v>
      </c>
      <c r="AF218" s="34"/>
      <c r="AG218" s="34">
        <f>AG215-AG216</f>
        <v>8.4699999999999847</v>
      </c>
      <c r="AH218" s="34">
        <f>AH215-AH216</f>
        <v>187.32399999999996</v>
      </c>
      <c r="AI218" s="34">
        <f>AI215-AI216</f>
        <v>215.07699999999991</v>
      </c>
      <c r="AJ218" s="34">
        <f>AJ215-AJ216</f>
        <v>402.82199999999978</v>
      </c>
      <c r="AK218" s="34">
        <f>SUM(AG218:AJ218)</f>
        <v>813.69299999999964</v>
      </c>
      <c r="AL218" s="34"/>
      <c r="AM218" s="34">
        <f>AM215-AM216</f>
        <v>195.00099999999989</v>
      </c>
      <c r="AN218" s="34">
        <f>AN215-AN216</f>
        <v>274.0750000000005</v>
      </c>
      <c r="AO218" s="34">
        <f>AO215-AO216</f>
        <v>293.26199999999994</v>
      </c>
      <c r="AP218" s="34">
        <f>AP215-AP216</f>
        <v>527.41999999999996</v>
      </c>
      <c r="AQ218" s="34">
        <f>SUM(AM218:AP218)</f>
        <v>1289.7580000000003</v>
      </c>
      <c r="AR218" s="34"/>
      <c r="AS218" s="34">
        <f>AS215-AS216</f>
        <v>236.73599999999993</v>
      </c>
      <c r="AT218" s="34">
        <f>AT215-AT216</f>
        <v>384.48399999999987</v>
      </c>
      <c r="AU218" s="34">
        <f>AU215-AU216</f>
        <v>763.1759999999997</v>
      </c>
      <c r="AV218" s="34">
        <f>AV215-AV216</f>
        <v>4912.4070000000011</v>
      </c>
      <c r="AW218" s="34">
        <f>SUM(AS218:AV218)</f>
        <v>6296.8030000000008</v>
      </c>
      <c r="AX218" s="34"/>
      <c r="AY218" s="34">
        <f>AY215-AY216</f>
        <v>500.67700000000031</v>
      </c>
      <c r="AZ218" s="34">
        <f>AZ215-AZ216</f>
        <v>622.81199999999967</v>
      </c>
      <c r="BA218" s="34">
        <f>BA215-BA216</f>
        <v>582.71299999999997</v>
      </c>
      <c r="BB218" s="34">
        <f>BB215-BB216</f>
        <v>854.89399999999978</v>
      </c>
      <c r="BC218" s="34">
        <f>BC215-BC216</f>
        <v>2561.096</v>
      </c>
      <c r="BD218" s="34"/>
      <c r="BE218" s="34">
        <f>BE215-BE216</f>
        <v>510.64699999999976</v>
      </c>
      <c r="BF218" s="34">
        <f>BF215-BF216</f>
        <v>549.46199999999999</v>
      </c>
      <c r="BG218" s="34">
        <f>BG215-BG216</f>
        <v>507.97499999999968</v>
      </c>
      <c r="BH218" s="34">
        <f>BH215-BH216</f>
        <v>656.12099999999998</v>
      </c>
      <c r="BI218" s="34">
        <f>SUM(BE218:BH218)</f>
        <v>2224.2049999999995</v>
      </c>
      <c r="BJ218" s="34"/>
      <c r="BK218" s="34">
        <f>BK215-BK216</f>
        <v>343</v>
      </c>
      <c r="BL218" s="34">
        <f>BL215-BL216</f>
        <v>535</v>
      </c>
      <c r="BM218" s="34">
        <f>BM215-BM216</f>
        <v>571</v>
      </c>
      <c r="BN218" s="34">
        <f>BN215-BN216</f>
        <v>858.40000000000009</v>
      </c>
      <c r="BO218" s="34">
        <f>SUM(BK218:BN218)</f>
        <v>2307.4</v>
      </c>
      <c r="BQ218" s="34">
        <f>BQ215-BQ216</f>
        <v>440</v>
      </c>
      <c r="BR218" s="34">
        <f>BR215-BR216</f>
        <v>617</v>
      </c>
      <c r="BS218" s="34">
        <f>BS215-BS216</f>
        <v>634</v>
      </c>
      <c r="BT218" s="34">
        <f>BT215-BT216</f>
        <v>990</v>
      </c>
      <c r="BU218" s="34">
        <f>SUM(BQ218:BT218)</f>
        <v>2681</v>
      </c>
      <c r="BW218" s="34">
        <f>BW215-BW216</f>
        <v>509</v>
      </c>
      <c r="BX218" s="34">
        <f>BX215-BX216</f>
        <v>815</v>
      </c>
      <c r="BY218" s="34">
        <f>BY215-BY216</f>
        <v>538</v>
      </c>
      <c r="BZ218" s="34">
        <f>BZ215-BZ216</f>
        <v>1023.992</v>
      </c>
      <c r="CA218" s="34">
        <f>SUM(BW218:BZ218)</f>
        <v>2885.9920000000002</v>
      </c>
      <c r="CC218" s="34">
        <f>CC215-CC216</f>
        <v>519</v>
      </c>
      <c r="CD218" s="34">
        <f>CD215-CD216</f>
        <v>797.5</v>
      </c>
      <c r="CE218" s="34">
        <f>CE215-CE216</f>
        <v>764.90000000000009</v>
      </c>
      <c r="CF218" s="34">
        <f>CF215-CF216</f>
        <v>1300.4500000000003</v>
      </c>
      <c r="CG218" s="228">
        <f>SUM(CC218:CF218)</f>
        <v>3381.8500000000004</v>
      </c>
      <c r="CI218" s="34">
        <f>CI215-CI216</f>
        <v>672</v>
      </c>
      <c r="CJ218" s="34">
        <f>CJ215-CJ216</f>
        <v>969.5</v>
      </c>
      <c r="CK218" s="34">
        <f>CK215-CK216</f>
        <v>1033</v>
      </c>
      <c r="CL218" s="34">
        <f>CL215-CL216</f>
        <v>1599.5</v>
      </c>
      <c r="CM218" s="228">
        <f>SUM(CI218:CL218)</f>
        <v>4274</v>
      </c>
      <c r="CN218" s="36"/>
      <c r="CO218" s="336">
        <f>CO215-CO216</f>
        <v>840</v>
      </c>
      <c r="CP218" s="336">
        <f>CP215-CP216</f>
        <v>1303</v>
      </c>
      <c r="CQ218" s="336">
        <f>CQ215-CQ216</f>
        <v>1340</v>
      </c>
      <c r="CR218" s="336">
        <f>CR215-CR216</f>
        <v>2037</v>
      </c>
      <c r="CS218" s="337">
        <f>SUM(CO218:CR218)</f>
        <v>5520</v>
      </c>
      <c r="CT218" s="36"/>
      <c r="CU218" s="336">
        <f>CU215-CU216</f>
        <v>1077</v>
      </c>
      <c r="CV218" s="336">
        <f>CV215-CV216</f>
        <v>1296</v>
      </c>
      <c r="CW218" s="336">
        <f>CW215-CW216</f>
        <v>1329</v>
      </c>
      <c r="CX218" s="336">
        <f>CX215-CX216</f>
        <v>1891</v>
      </c>
      <c r="CY218" s="337">
        <f>SUM(CU218:CX218)</f>
        <v>5593</v>
      </c>
      <c r="CZ218" s="36"/>
      <c r="DA218" s="336">
        <f>DA215-DA216</f>
        <v>1124</v>
      </c>
      <c r="DB218" s="336">
        <f>DB215-DB216</f>
        <v>1458</v>
      </c>
      <c r="DC218" s="336">
        <f>DC215-DC216</f>
        <v>1189.3999999999996</v>
      </c>
      <c r="DD218" s="336">
        <f>DD215-DD216</f>
        <v>2364.6999999999998</v>
      </c>
      <c r="DE218" s="337">
        <f>SUM(DA218:DD218)</f>
        <v>6136.0999999999995</v>
      </c>
      <c r="DF218" s="36"/>
      <c r="DG218" s="336">
        <f>DG215-DG216</f>
        <v>1352</v>
      </c>
      <c r="DH218" s="336">
        <f>DH215-DH216</f>
        <v>1915</v>
      </c>
      <c r="DI218" s="336">
        <f>DI215-DI216</f>
        <v>2116</v>
      </c>
      <c r="DJ218" s="336">
        <f>DJ215-DJ216</f>
        <v>3209</v>
      </c>
      <c r="DK218" s="337">
        <f>SUM(DG218:DJ218)</f>
        <v>8592</v>
      </c>
      <c r="DL218" s="36"/>
      <c r="DM218" s="336">
        <f>DM215-DM216</f>
        <v>1841</v>
      </c>
      <c r="DN218" s="336">
        <f>DN215-DN216</f>
        <v>2194</v>
      </c>
      <c r="DO218" s="336">
        <f>DO215-DO216</f>
        <v>2498.3392000000003</v>
      </c>
      <c r="DP218" s="336">
        <f>DP215-DP216</f>
        <v>3451.1597000000002</v>
      </c>
      <c r="DQ218" s="337">
        <f>SUM(DM218:DP218)</f>
        <v>9984.4989000000005</v>
      </c>
      <c r="DR218" s="36"/>
      <c r="DS218" s="336">
        <f>DS215-DS216</f>
        <v>2034</v>
      </c>
      <c r="DT218" s="336">
        <f>DT215-DT216</f>
        <v>2581</v>
      </c>
      <c r="DU218" s="336">
        <f>DU215-DU216</f>
        <v>2504</v>
      </c>
      <c r="DV218" s="336">
        <f>DV215-DV216</f>
        <v>3803.711703323539</v>
      </c>
      <c r="DW218" s="337">
        <f>SUM(DS218:DV218)</f>
        <v>10922.711703323539</v>
      </c>
      <c r="DX218" s="36"/>
      <c r="DY218" s="336">
        <f>DY215-DY216</f>
        <v>2191</v>
      </c>
      <c r="DZ218" s="336">
        <f>DZ215-DZ216</f>
        <v>2553</v>
      </c>
      <c r="EA218" s="336">
        <f>EA215-EA216</f>
        <v>2565</v>
      </c>
      <c r="EB218" s="336">
        <f>EB215-EB216</f>
        <v>3665</v>
      </c>
      <c r="EC218" s="337">
        <f>SUM(DY218:EB218)</f>
        <v>10974</v>
      </c>
      <c r="ED218" s="36"/>
      <c r="EE218" s="336">
        <f>EE215-EE216</f>
        <v>2184</v>
      </c>
      <c r="EF218" s="336">
        <f>EF215-EF216</f>
        <v>2502</v>
      </c>
      <c r="EG218" s="336">
        <f>EG215-EG216</f>
        <v>2494</v>
      </c>
      <c r="EH218" s="336">
        <f>EH215-EH216</f>
        <v>2757</v>
      </c>
      <c r="EI218" s="337">
        <f>SUM(EE218:EH218)</f>
        <v>9937</v>
      </c>
      <c r="EJ218" s="36"/>
      <c r="EK218" s="336">
        <f>EK215-EK216</f>
        <v>1747</v>
      </c>
      <c r="EL218" s="336">
        <f>EL215-EL216</f>
        <v>2197</v>
      </c>
      <c r="EM218" s="336">
        <f>EM215-EM216</f>
        <v>2142</v>
      </c>
      <c r="EN218" s="1812">
        <f>EN215-EN216</f>
        <v>2814</v>
      </c>
      <c r="EO218" s="337">
        <f>SUM(EK218:EN218)</f>
        <v>8900</v>
      </c>
      <c r="EP218" s="36"/>
      <c r="EQ218" s="336">
        <f>EQ215-EQ216</f>
        <v>1849</v>
      </c>
      <c r="ER218" s="336">
        <f>ER215-ER216</f>
        <v>2031.7799999999988</v>
      </c>
      <c r="ES218" s="336">
        <f>ES215-ES216</f>
        <v>2239</v>
      </c>
      <c r="ET218" s="1812">
        <f>ET215-ET216</f>
        <v>3212</v>
      </c>
      <c r="EU218" s="337">
        <f>SUM(EQ218:ET218)</f>
        <v>9331.7799999999988</v>
      </c>
      <c r="EV218" s="36"/>
      <c r="EW218" s="336">
        <f>EW215-EW216</f>
        <v>2324</v>
      </c>
      <c r="EX218" s="336">
        <f>EX215-EX216</f>
        <v>2233</v>
      </c>
      <c r="EY218" s="336">
        <f>EY215-EY216</f>
        <v>-4024</v>
      </c>
      <c r="EZ218" s="336">
        <f>EZ215-EZ216</f>
        <v>3210.4716849674414</v>
      </c>
      <c r="FA218" s="337">
        <f>SUM(EW218:EZ218)</f>
        <v>3743.4716849674414</v>
      </c>
      <c r="FB218" s="36"/>
      <c r="FC218" s="336">
        <f>FC215-FC216</f>
        <v>2382.410122191643</v>
      </c>
      <c r="FD218" s="336">
        <f>FD215-FD216</f>
        <v>2710.4249584144036</v>
      </c>
      <c r="FE218" s="336">
        <f>FE215-FE216</f>
        <v>2776.272987749956</v>
      </c>
      <c r="FF218" s="336">
        <f>FF215-FF216</f>
        <v>3424.6532466497629</v>
      </c>
      <c r="FG218" s="337">
        <f>SUM(FC218:FF218)</f>
        <v>11293.761315005766</v>
      </c>
      <c r="FH218" s="36"/>
      <c r="FI218" s="336">
        <f>FI215-FI216</f>
        <v>2591.7941958350602</v>
      </c>
      <c r="FJ218" s="336">
        <f>FJ215-FJ216</f>
        <v>2909.4418418130526</v>
      </c>
      <c r="FK218" s="336">
        <f>FK215-FK216</f>
        <v>2951.361964120978</v>
      </c>
      <c r="FL218" s="336">
        <f>FL215-FL216</f>
        <v>3501.591655922115</v>
      </c>
      <c r="FM218" s="337">
        <f>SUM(FI218:FL218)</f>
        <v>11954.189657691206</v>
      </c>
      <c r="FN218" s="347"/>
      <c r="FO218" s="270"/>
      <c r="FP218" s="271"/>
      <c r="FQ218" s="271"/>
      <c r="FR218" s="271"/>
      <c r="FS218" s="270"/>
      <c r="FT218" s="271"/>
      <c r="FU218" s="271"/>
      <c r="FV218" s="271"/>
      <c r="FW218" s="271"/>
      <c r="FX218" s="271"/>
      <c r="FY218" s="271"/>
      <c r="FZ218" s="271"/>
      <c r="GA218" s="271"/>
      <c r="GB218" s="271"/>
      <c r="GC218" s="271"/>
      <c r="GD218" s="271"/>
      <c r="GE218" s="271"/>
      <c r="GF218" s="271"/>
      <c r="GI218"/>
      <c r="GJ218"/>
      <c r="GK218"/>
      <c r="GL218"/>
      <c r="GM218"/>
      <c r="GN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</row>
    <row r="219" spans="1:281" s="349" customFormat="1" hidden="1" outlineLevel="1" x14ac:dyDescent="0.2">
      <c r="A219" s="348" t="s">
        <v>858</v>
      </c>
      <c r="B219" s="967"/>
      <c r="C219" s="40">
        <f t="shared" ref="C219:M219" si="166">ROUND(C218/C224,4)</f>
        <v>4.0000000000000002E-4</v>
      </c>
      <c r="D219" s="40">
        <f t="shared" si="166"/>
        <v>4.0000000000000002E-4</v>
      </c>
      <c r="E219" s="40">
        <f t="shared" si="166"/>
        <v>1.5E-3</v>
      </c>
      <c r="F219" s="40">
        <f t="shared" si="166"/>
        <v>3.3999999999999998E-3</v>
      </c>
      <c r="G219" s="40">
        <f t="shared" si="166"/>
        <v>8.8999999999999999E-3</v>
      </c>
      <c r="H219" s="40">
        <f t="shared" si="166"/>
        <v>1.6899999999999998E-2</v>
      </c>
      <c r="I219" s="40">
        <f t="shared" si="166"/>
        <v>1.6400000000000001E-2</v>
      </c>
      <c r="J219" s="40">
        <f t="shared" si="166"/>
        <v>-2.5000000000000001E-3</v>
      </c>
      <c r="K219" s="40">
        <f t="shared" si="166"/>
        <v>1.21E-2</v>
      </c>
      <c r="L219" s="40">
        <f t="shared" si="166"/>
        <v>4.4200000000000003E-2</v>
      </c>
      <c r="M219" s="40">
        <f t="shared" si="166"/>
        <v>4.7300000000000002E-2</v>
      </c>
      <c r="N219" s="40"/>
      <c r="O219" s="40">
        <f>ROUND(O218/O224,4)</f>
        <v>1.0200000000000001E-2</v>
      </c>
      <c r="P219" s="40">
        <f>ROUND(P218/P224,4)</f>
        <v>1.5699999999999999E-2</v>
      </c>
      <c r="Q219" s="40">
        <f>ROUND(Q218/Q224,4)</f>
        <v>1.7399999999999999E-2</v>
      </c>
      <c r="R219" s="40">
        <f>ROUND(R218/R224,4)</f>
        <v>3.0300000000000001E-2</v>
      </c>
      <c r="S219" s="40">
        <f>ROUND(S218/S224,4)</f>
        <v>7.3700000000000002E-2</v>
      </c>
      <c r="T219" s="40"/>
      <c r="U219" s="40">
        <f>ROUND(U218/U224,4)</f>
        <v>8.8999999999999999E-3</v>
      </c>
      <c r="V219" s="40">
        <f>ROUND(V218/V224,4)</f>
        <v>2.2599999999999999E-2</v>
      </c>
      <c r="W219" s="40">
        <f>ROUND(W218/W224,4)</f>
        <v>2.4199999999999999E-2</v>
      </c>
      <c r="X219" s="40">
        <f>ROUND(X218/X224,4)</f>
        <v>4.41E-2</v>
      </c>
      <c r="Y219" s="40">
        <f>ROUND(Y218/Y224,4)</f>
        <v>0.1</v>
      </c>
      <c r="Z219" s="40"/>
      <c r="AA219" s="40">
        <f>ROUND(AA218/AA224,4)</f>
        <v>1.9099999999999999E-2</v>
      </c>
      <c r="AB219" s="40">
        <f>ROUND(AB218/AB224,4)</f>
        <v>3.0300000000000001E-2</v>
      </c>
      <c r="AC219" s="40">
        <f>ROUND(AC218/AC224,4)</f>
        <v>2.86E-2</v>
      </c>
      <c r="AD219" s="40">
        <f>ROUND(AD218/AD224,4)</f>
        <v>6.1199999999999997E-2</v>
      </c>
      <c r="AE219" s="40">
        <f>ROUND(AE218/AE224,4)</f>
        <v>0.1391</v>
      </c>
      <c r="AF219" s="40"/>
      <c r="AG219" s="40">
        <f>ROUND(AG218/AG224,4)</f>
        <v>1.4E-3</v>
      </c>
      <c r="AH219" s="40">
        <f>ROUND(AH218/AH224,4)</f>
        <v>3.1800000000000002E-2</v>
      </c>
      <c r="AI219" s="40">
        <f>ROUND(AI218/AI224,4)</f>
        <v>3.6799999999999999E-2</v>
      </c>
      <c r="AJ219" s="40">
        <f>ROUND(AJ218/AJ224,4)</f>
        <v>6.9000000000000006E-2</v>
      </c>
      <c r="AK219" s="40">
        <f>ROUND(AK218/AK224,4)</f>
        <v>0.13869999999999999</v>
      </c>
      <c r="AL219" s="40"/>
      <c r="AM219" s="40">
        <f>ROUND(AM218/AM224,4)</f>
        <v>3.3399999999999999E-2</v>
      </c>
      <c r="AN219" s="40">
        <f>ROUND(AN218/AN224,4)</f>
        <v>4.7399999999999998E-2</v>
      </c>
      <c r="AO219" s="40">
        <f>ROUND(AO218/AO224,4)</f>
        <v>5.0900000000000001E-2</v>
      </c>
      <c r="AP219" s="40">
        <f>ROUND(AP218/AP224,4)</f>
        <v>9.1800000000000007E-2</v>
      </c>
      <c r="AQ219" s="40">
        <f>ROUND(AQ218/AQ224,4)</f>
        <v>0.22309999999999999</v>
      </c>
      <c r="AR219" s="40"/>
      <c r="AS219" s="40">
        <f>ROUND(AS218/AS224,4)</f>
        <v>4.1399999999999999E-2</v>
      </c>
      <c r="AT219" s="40">
        <f>ROUND(AT218/AT224,4)</f>
        <v>6.7199999999999996E-2</v>
      </c>
      <c r="AU219" s="40">
        <f>ROUND(AU218/AU224,4)</f>
        <v>0.13539999999999999</v>
      </c>
      <c r="AV219" s="40">
        <f>ROUND(AV218/AV224,4)</f>
        <v>0.87129999999999996</v>
      </c>
      <c r="AW219" s="40">
        <f>ROUND(AW218/AW224,4)</f>
        <v>1.1088</v>
      </c>
      <c r="AX219" s="40"/>
      <c r="AY219" s="40">
        <f>ROUND(AY218/AY224,4)</f>
        <v>8.9300000000000004E-2</v>
      </c>
      <c r="AZ219" s="40">
        <f>ROUND(AZ218/AZ224,4)</f>
        <v>0.1115</v>
      </c>
      <c r="BA219" s="40">
        <f>ROUND(BA218/BA224,4)</f>
        <v>0.1041</v>
      </c>
      <c r="BB219" s="40">
        <f>ROUND(BB218/BB224,4)</f>
        <v>0.15260000000000001</v>
      </c>
      <c r="BC219" s="40">
        <f>ROUND(BC218/BC224,4)</f>
        <v>0.45760000000000001</v>
      </c>
      <c r="BD219" s="40"/>
      <c r="BE219" s="40">
        <f>ROUND(BE218/BE224,4)</f>
        <v>9.1499999999999998E-2</v>
      </c>
      <c r="BF219" s="40">
        <f>ROUND(BF218/BF224,4)</f>
        <v>9.9400000000000002E-2</v>
      </c>
      <c r="BG219" s="40">
        <f>ROUND(BG218/BG224,4)</f>
        <v>9.2499999999999999E-2</v>
      </c>
      <c r="BH219" s="40">
        <f>ROUND(BH218/BH224,4)</f>
        <v>0.11990000000000001</v>
      </c>
      <c r="BI219" s="40">
        <f>ROUND(BI218/BI224,4)</f>
        <v>0.40310000000000001</v>
      </c>
      <c r="BJ219" s="40"/>
      <c r="BK219" s="40">
        <f>ROUND(BK218/BK224,4)</f>
        <v>6.3500000000000001E-2</v>
      </c>
      <c r="BL219" s="40">
        <f>ROUND(BL218/BL224,4)</f>
        <v>0.1008</v>
      </c>
      <c r="BM219" s="40">
        <f>ROUND(BM218/BM224,4)</f>
        <v>0.1086</v>
      </c>
      <c r="BN219" s="40">
        <f>ROUND(BN218/BN224,4)</f>
        <v>0.1638</v>
      </c>
      <c r="BO219" s="40">
        <f>ROUND(BO218/BO224,4)</f>
        <v>0.43519999999999998</v>
      </c>
      <c r="BQ219" s="40">
        <f>ROUND(BQ218/BQ224,4)</f>
        <v>8.4099999999999994E-2</v>
      </c>
      <c r="BR219" s="40">
        <f>ROUND(BR218/BR224,4)</f>
        <v>0.1181</v>
      </c>
      <c r="BS219" s="40">
        <f>ROUND(BS218/BS224,4)</f>
        <v>0.1215</v>
      </c>
      <c r="BT219" s="40">
        <f>ROUND(BT218/BT224,4)</f>
        <v>0.19089999999999999</v>
      </c>
      <c r="BU219" s="40">
        <f>ROUND(BU218/BU224,4)</f>
        <v>0.5141</v>
      </c>
      <c r="BW219" s="40">
        <f>ROUND(BW218/BW224,4)</f>
        <v>9.8799999999999999E-2</v>
      </c>
      <c r="BX219" s="40">
        <f>ROUND(BX218/BX224,4)</f>
        <v>0.15909999999999999</v>
      </c>
      <c r="BY219" s="40">
        <f>ROUND(BY218/BY224,4)</f>
        <v>0.105</v>
      </c>
      <c r="BZ219" s="40">
        <f>ROUND(BZ218/BZ224,4)</f>
        <v>0.19900000000000001</v>
      </c>
      <c r="CA219" s="40">
        <f>ROUND(CA218/CA224,4)</f>
        <v>0.56189999999999996</v>
      </c>
      <c r="CC219" s="40">
        <f>ROUND(CC218/CC224,4)</f>
        <v>0.1008</v>
      </c>
      <c r="CD219" s="40">
        <f>ROUND(CD218/CD224,4)</f>
        <v>0.15479999999999999</v>
      </c>
      <c r="CE219" s="40">
        <f>ROUND(CE218/CE224,4)</f>
        <v>0.1469</v>
      </c>
      <c r="CF219" s="40">
        <f>ROUND(CF218/CF224,4)</f>
        <v>0.24640000000000001</v>
      </c>
      <c r="CG219" s="339">
        <f>ROUND(CG218/CG224,4)</f>
        <v>0.65080000000000005</v>
      </c>
      <c r="CI219" s="40">
        <f>ROUND(CI218/CI224,4)</f>
        <v>0.1288</v>
      </c>
      <c r="CJ219" s="40">
        <f>ROUND(CJ218/CJ224,4)</f>
        <v>0.187</v>
      </c>
      <c r="CK219" s="40">
        <f>ROUND(CK218/CK224,4)</f>
        <v>0.20019999999999999</v>
      </c>
      <c r="CL219" s="40">
        <f>ROUND(CL218/CL224,4)</f>
        <v>0.31230000000000002</v>
      </c>
      <c r="CM219" s="339">
        <f>ROUND(CM218/CM224,4)</f>
        <v>0.8266</v>
      </c>
      <c r="CO219" s="40">
        <f>ROUND(CO218/CO224,4)</f>
        <v>0.16439999999999999</v>
      </c>
      <c r="CP219" s="40">
        <f>ROUND(CP218/CP224,4)</f>
        <v>0.25419999999999998</v>
      </c>
      <c r="CQ219" s="40">
        <f>ROUND(CQ218/CQ224,4)</f>
        <v>0.26029999999999998</v>
      </c>
      <c r="CR219" s="40">
        <f>ROUND(CR218/CR224,4)</f>
        <v>0.39550000000000002</v>
      </c>
      <c r="CS219" s="339">
        <f>ROUND(CS218/CS224,4)</f>
        <v>1.0752999999999999</v>
      </c>
      <c r="CU219" s="40">
        <f>ROUND(CU218/CU224,4)</f>
        <v>0.20899999999999999</v>
      </c>
      <c r="CV219" s="40">
        <f>ROUND(CV218/CV224,4)</f>
        <v>0.25280000000000002</v>
      </c>
      <c r="CW219" s="40">
        <f>ROUND(CW218/CW224,4)</f>
        <v>0.26500000000000001</v>
      </c>
      <c r="CX219" s="40">
        <f>ROUND(CX218/CX224,4)</f>
        <v>0.37859999999999999</v>
      </c>
      <c r="CY219" s="339">
        <f>ROUND(CY218/CY224,4)</f>
        <v>1.1027</v>
      </c>
      <c r="DA219" s="40">
        <f>ROUND(DA218/DA224,4)</f>
        <v>0.22439999999999999</v>
      </c>
      <c r="DB219" s="40">
        <f>ROUND(DB218/DB224,4)</f>
        <v>0.29099999999999998</v>
      </c>
      <c r="DC219" s="40">
        <f>ROUND(DC218/DC224,4)</f>
        <v>0.23719999999999999</v>
      </c>
      <c r="DD219" s="40">
        <f>ROUND(DD218/DD224,4)</f>
        <v>0.47089999999999999</v>
      </c>
      <c r="DE219" s="339">
        <f>ROUND(DE218/DE224,4)</f>
        <v>1.2238</v>
      </c>
      <c r="DG219" s="40">
        <f>ROUND(DG218/DG224,4)</f>
        <v>0.26900000000000002</v>
      </c>
      <c r="DH219" s="40">
        <f>ROUND(DH218/DH224,4)</f>
        <v>0.37969999999999998</v>
      </c>
      <c r="DI219" s="40">
        <f>ROUND(DI218/DI224,4)</f>
        <v>0.41839999999999999</v>
      </c>
      <c r="DJ219" s="40">
        <f>ROUND(DJ218/DJ224,4)</f>
        <v>0.63360000000000005</v>
      </c>
      <c r="DK219" s="339">
        <f>ROUND(DK218/DK224,4)</f>
        <v>1.7020999999999999</v>
      </c>
      <c r="DM219" s="40">
        <f>ROUND(DM218/DM224,4)</f>
        <v>0.36370000000000002</v>
      </c>
      <c r="DN219" s="40">
        <f>ROUND(DN218/DN224,4)</f>
        <v>0.43519999999999998</v>
      </c>
      <c r="DO219" s="40">
        <f>ROUND(DO218/DO224,4)</f>
        <v>0.499</v>
      </c>
      <c r="DP219" s="40">
        <f>ROUND(DP218/DP224,4)</f>
        <v>0.7036</v>
      </c>
      <c r="DQ219" s="339">
        <f>ROUND(DQ218/DQ224,4)</f>
        <v>1.9954000000000001</v>
      </c>
      <c r="DS219" s="40">
        <f>ROUND(DS218/DS224,4)</f>
        <v>0.41789999999999999</v>
      </c>
      <c r="DT219" s="40">
        <f>ROUND(DT218/DT224,4)</f>
        <v>0.53859999999999997</v>
      </c>
      <c r="DU219" s="40">
        <f>ROUND(DU218/DU224,4)</f>
        <v>0.52880000000000005</v>
      </c>
      <c r="DV219" s="40">
        <f>ROUND(DV218/DV224,4)</f>
        <v>0.81210000000000004</v>
      </c>
      <c r="DW219" s="339">
        <f>ROUND(DW218/DW224,4)</f>
        <v>2.2900999999999998</v>
      </c>
      <c r="DY219" s="40">
        <f>ROUND(DY218/DY224,4)</f>
        <v>0.47549999999999998</v>
      </c>
      <c r="DZ219" s="40">
        <f>ROUND(DZ218/DZ224,4)</f>
        <v>0.56240000000000001</v>
      </c>
      <c r="EA219" s="40">
        <f>ROUND(EA218/EA224,4)</f>
        <v>0.57050000000000001</v>
      </c>
      <c r="EB219" s="40">
        <f>ROUND(EB218/EB224,4)</f>
        <v>0.81899999999999995</v>
      </c>
      <c r="EC219" s="339">
        <f>ROUND(EC218/EC224,4)</f>
        <v>2.4226999999999999</v>
      </c>
      <c r="EE219" s="40">
        <f>ROUND(EE218/EE224,4)</f>
        <v>0.49070000000000003</v>
      </c>
      <c r="EF219" s="40">
        <f>ROUND(EF218/EF224,4)</f>
        <v>0.56640000000000001</v>
      </c>
      <c r="EG219" s="40">
        <f>ROUND(EG218/EG224,4)</f>
        <v>0.56820000000000004</v>
      </c>
      <c r="EH219" s="40">
        <f>ROUND(EH218/EH224,4)</f>
        <v>0.63249999999999995</v>
      </c>
      <c r="EI219" s="339">
        <f>ROUND(EI218/EI224,4)</f>
        <v>2.2564000000000002</v>
      </c>
      <c r="EK219" s="40">
        <f>ROUND(EK218/EK224,4)</f>
        <v>0.4047</v>
      </c>
      <c r="EL219" s="40">
        <f>ROUND(EL218/EL224,4)</f>
        <v>0.51829999999999998</v>
      </c>
      <c r="EM219" s="40">
        <f>ROUND(EM218/EM224,4)</f>
        <v>0.51219999999999999</v>
      </c>
      <c r="EN219" s="40">
        <f>ROUND(EN218/EN224,4)</f>
        <v>0.67859999999999998</v>
      </c>
      <c r="EO219" s="339">
        <f>ROUND(EO218/EO224,4)</f>
        <v>2.1084000000000001</v>
      </c>
      <c r="EQ219" s="40">
        <f>ROUND(EQ218/EQ224,4)</f>
        <v>0.44890000000000002</v>
      </c>
      <c r="ER219" s="40">
        <f>ROUND(ER218/ER224,4)</f>
        <v>0.49509999999999998</v>
      </c>
      <c r="ES219" s="349">
        <f>ROUND(ES218/ES224,4)</f>
        <v>0.54520000000000002</v>
      </c>
      <c r="ET219" s="40">
        <f>ROUND(ET218/ET224,4)</f>
        <v>0.77729999999999999</v>
      </c>
      <c r="EU219" s="339">
        <f>ROUND(EU218/EU224,4)</f>
        <v>2.2675000000000001</v>
      </c>
      <c r="EW219" s="40">
        <f>ROUND(EW218/EW224,4)</f>
        <v>0.55920000000000003</v>
      </c>
      <c r="EX219" s="40">
        <f>ROUND(EX218/EX224,4)</f>
        <v>0.53680000000000005</v>
      </c>
      <c r="EY219" s="349">
        <f>ROUND(EY218/EY224,4)</f>
        <v>-0.97619999999999996</v>
      </c>
      <c r="EZ219" s="40">
        <f>ROUND(EZ218/EZ224,4)</f>
        <v>0.78690000000000004</v>
      </c>
      <c r="FA219" s="339">
        <f>ROUND(FA218/FA224,4)</f>
        <v>0.90649999999999997</v>
      </c>
      <c r="FC219" s="40">
        <f>ROUND(FC218/FC224,4)</f>
        <v>0.59060000000000001</v>
      </c>
      <c r="FD219" s="40">
        <f>ROUND(FD218/FD224,4)</f>
        <v>0.67730000000000001</v>
      </c>
      <c r="FE219" s="40">
        <f>ROUND(FE218/FE224,4)</f>
        <v>0.69910000000000005</v>
      </c>
      <c r="FF219" s="40">
        <f>ROUND(FF218/FF224,4)</f>
        <v>0.86890000000000001</v>
      </c>
      <c r="FG219" s="339">
        <f>ROUND(FG218/FG224,4)</f>
        <v>2.8325</v>
      </c>
      <c r="FI219" s="40">
        <f>ROUND(FI218/FI224,4)</f>
        <v>0.6623</v>
      </c>
      <c r="FJ219" s="40">
        <f>ROUND(FJ218/FJ224,4)</f>
        <v>0.74860000000000004</v>
      </c>
      <c r="FK219" s="40">
        <f>ROUND(FK218/FK224,4)</f>
        <v>0.76459999999999995</v>
      </c>
      <c r="FL219" s="40">
        <f>ROUND(FL218/FL224,4)</f>
        <v>0.91310000000000002</v>
      </c>
      <c r="FM219" s="339">
        <f>ROUND(FM218/FM224,4)</f>
        <v>3.0861000000000001</v>
      </c>
      <c r="FN219" s="892"/>
      <c r="FO219" s="350"/>
      <c r="FP219" s="351"/>
      <c r="FQ219" s="351"/>
      <c r="FR219" s="351"/>
      <c r="FS219" s="350"/>
      <c r="FT219" s="351"/>
      <c r="FU219" s="351"/>
      <c r="FV219" s="351"/>
      <c r="FW219" s="351"/>
      <c r="FX219" s="351"/>
      <c r="FY219" s="351"/>
      <c r="FZ219" s="351"/>
      <c r="GA219" s="351"/>
      <c r="GB219" s="351"/>
      <c r="GC219" s="351"/>
      <c r="GD219" s="351"/>
      <c r="GE219" s="351"/>
      <c r="GF219" s="351"/>
      <c r="GI219"/>
      <c r="GJ219"/>
      <c r="GK219"/>
      <c r="GL219"/>
      <c r="GM219"/>
      <c r="GN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</row>
    <row r="220" spans="1:281" s="947" customFormat="1" hidden="1" outlineLevel="1" x14ac:dyDescent="0.2">
      <c r="A220" s="1167" t="s">
        <v>793</v>
      </c>
      <c r="B220" s="967"/>
      <c r="C220" s="1168">
        <f t="shared" ref="C220:M220" si="167">ROUND(C218/C223,4)</f>
        <v>4.0000000000000002E-4</v>
      </c>
      <c r="D220" s="1168">
        <f t="shared" si="167"/>
        <v>4.0000000000000002E-4</v>
      </c>
      <c r="E220" s="1168">
        <f t="shared" si="167"/>
        <v>1.5E-3</v>
      </c>
      <c r="F220" s="1168">
        <f t="shared" si="167"/>
        <v>3.3999999999999998E-3</v>
      </c>
      <c r="G220" s="1168">
        <f t="shared" si="167"/>
        <v>8.8999999999999999E-3</v>
      </c>
      <c r="H220" s="1168">
        <f t="shared" si="167"/>
        <v>1.6899999999999998E-2</v>
      </c>
      <c r="I220" s="1168">
        <f t="shared" si="167"/>
        <v>1.6400000000000001E-2</v>
      </c>
      <c r="J220" s="1168">
        <f t="shared" si="167"/>
        <v>-2.5000000000000001E-3</v>
      </c>
      <c r="K220" s="1168">
        <f t="shared" si="167"/>
        <v>1.21E-2</v>
      </c>
      <c r="L220" s="1168">
        <f t="shared" si="167"/>
        <v>4.4200000000000003E-2</v>
      </c>
      <c r="M220" s="1168">
        <f t="shared" si="167"/>
        <v>4.7300000000000002E-2</v>
      </c>
      <c r="N220" s="353"/>
      <c r="O220" s="1168">
        <f>ROUND(O218/O223,4)</f>
        <v>1.0200000000000001E-2</v>
      </c>
      <c r="P220" s="1168">
        <f>ROUND(P218/P223,4)</f>
        <v>1.5699999999999999E-2</v>
      </c>
      <c r="Q220" s="1168">
        <f>ROUND(Q218/Q223,4)</f>
        <v>1.7399999999999999E-2</v>
      </c>
      <c r="R220" s="1168">
        <f>ROUND(R218/R223,4)</f>
        <v>3.0300000000000001E-2</v>
      </c>
      <c r="S220" s="1168">
        <f>ROUND(S218/S223,4)</f>
        <v>7.3700000000000002E-2</v>
      </c>
      <c r="T220" s="353"/>
      <c r="U220" s="1168">
        <f>ROUND(U218/U223,4)</f>
        <v>8.8999999999999999E-3</v>
      </c>
      <c r="V220" s="1168">
        <f>ROUND(V218/V223,4)</f>
        <v>2.2599999999999999E-2</v>
      </c>
      <c r="W220" s="1168">
        <f>ROUND(W218/W223,4)</f>
        <v>2.4199999999999999E-2</v>
      </c>
      <c r="X220" s="1168">
        <f>ROUND(X218/X223,4)</f>
        <v>4.41E-2</v>
      </c>
      <c r="Y220" s="1168">
        <f>ROUND(Y218/Y223,4)</f>
        <v>0.1</v>
      </c>
      <c r="Z220" s="353"/>
      <c r="AA220" s="1168">
        <f>ROUND(AA218/AA223,4)</f>
        <v>1.8599999999999998E-2</v>
      </c>
      <c r="AB220" s="1168">
        <f>ROUND(AB218/AB223,4)</f>
        <v>2.9499999999999998E-2</v>
      </c>
      <c r="AC220" s="1168">
        <f>ROUND(AC218/AC223,4)</f>
        <v>2.7900000000000001E-2</v>
      </c>
      <c r="AD220" s="1168">
        <f>ROUND(AD218/AD223,4)</f>
        <v>5.9799999999999999E-2</v>
      </c>
      <c r="AE220" s="1168">
        <f>ROUND(AE218/AE223,4)</f>
        <v>0.1356</v>
      </c>
      <c r="AF220" s="353"/>
      <c r="AG220" s="1168">
        <f>ROUND(AG218/AG224,4)</f>
        <v>1.4E-3</v>
      </c>
      <c r="AH220" s="1168">
        <f>ROUND(AH218/AH224,4)</f>
        <v>3.1800000000000002E-2</v>
      </c>
      <c r="AI220" s="1168">
        <f>ROUND(AI218/AI224,4)</f>
        <v>3.6799999999999999E-2</v>
      </c>
      <c r="AJ220" s="1168">
        <f>ROUND(AJ218/AJ224,4)</f>
        <v>6.9000000000000006E-2</v>
      </c>
      <c r="AK220" s="1168">
        <f>ROUND(AK218/AK223,4)</f>
        <v>0.13569999999999999</v>
      </c>
      <c r="AL220" s="353"/>
      <c r="AM220" s="1168">
        <f>ROUND(AM218/AM223,4)</f>
        <v>3.2899999999999999E-2</v>
      </c>
      <c r="AN220" s="1168">
        <f>ROUND(AN218/AN223,4)</f>
        <v>4.65E-2</v>
      </c>
      <c r="AO220" s="1168">
        <f>ROUND(AO218/AO223,4)</f>
        <v>4.9000000000000002E-2</v>
      </c>
      <c r="AP220" s="1168">
        <f>ROUND(AP218/AP223,4)</f>
        <v>8.8900000000000007E-2</v>
      </c>
      <c r="AQ220" s="1168">
        <f>ROUND(AQ218/AQ223,4)</f>
        <v>0.2172</v>
      </c>
      <c r="AR220" s="353"/>
      <c r="AS220" s="1168">
        <f>ROUND(AS218/AS223,4)</f>
        <v>3.9699999999999999E-2</v>
      </c>
      <c r="AT220" s="1168">
        <f>ROUND(AT218/AT223,4)</f>
        <v>6.3899999999999998E-2</v>
      </c>
      <c r="AU220" s="1168">
        <f>ROUND(AU218/AU223,4)</f>
        <v>0.1273</v>
      </c>
      <c r="AV220" s="1168">
        <f>ROUND(AV218/AV223,4)</f>
        <v>0.81740000000000002</v>
      </c>
      <c r="AW220" s="1168">
        <f>ROUND(AW218/AW223,4)</f>
        <v>1.0502</v>
      </c>
      <c r="AX220" s="353"/>
      <c r="AY220" s="1168">
        <f>ROUND(AY218/AY223,4)</f>
        <v>8.4400000000000003E-2</v>
      </c>
      <c r="AZ220" s="1168">
        <f>ROUND(AZ218/AZ223,4)</f>
        <v>0.106</v>
      </c>
      <c r="BA220" s="1168">
        <f>ROUND(BA218/BA223,4)</f>
        <v>9.9599999999999994E-2</v>
      </c>
      <c r="BB220" s="1168">
        <f>ROUND(BB218/BB223,4)</f>
        <v>0.1474</v>
      </c>
      <c r="BC220" s="1168">
        <f>ROUND(BC218/BC223,4)</f>
        <v>0.43669999999999998</v>
      </c>
      <c r="BD220" s="353"/>
      <c r="BE220" s="1168">
        <f>ROUND(BE218/BE223,4)</f>
        <v>8.8300000000000003E-2</v>
      </c>
      <c r="BF220" s="1168">
        <f>ROUND(BF218/BF223,4)</f>
        <v>9.6500000000000002E-2</v>
      </c>
      <c r="BG220" s="1168">
        <f>ROUND(BG218/BG224,4)</f>
        <v>9.2499999999999999E-2</v>
      </c>
      <c r="BH220" s="1168">
        <f>ROUND(BH218/BH223,4)</f>
        <v>0.1169</v>
      </c>
      <c r="BI220" s="1168">
        <f>ROUND(BI218/BI223,4)</f>
        <v>0.39100000000000001</v>
      </c>
      <c r="BJ220" s="353"/>
      <c r="BK220" s="1168">
        <f>ROUND(BK218/BK223,4)</f>
        <v>6.2199999999999998E-2</v>
      </c>
      <c r="BL220" s="1168">
        <f>ROUND(BL218/BL223,4)</f>
        <v>9.8699999999999996E-2</v>
      </c>
      <c r="BM220" s="1168">
        <f>ROUND(BM218/BM223,4)</f>
        <v>0.1061</v>
      </c>
      <c r="BN220" s="1168">
        <f>ROUND(BN218/BN223,4)</f>
        <v>0.1603</v>
      </c>
      <c r="BO220" s="1168">
        <f>ROUND(BO218/BO223,4)</f>
        <v>0.4259</v>
      </c>
      <c r="BQ220" s="1168">
        <f>ROUND(BQ218/BQ223,4)</f>
        <v>8.2299999999999998E-2</v>
      </c>
      <c r="BR220" s="1168">
        <f>ROUND(BR218/BR223,4)</f>
        <v>0.11559999999999999</v>
      </c>
      <c r="BS220" s="1168">
        <f>ROUND(BS218/BS223,4)</f>
        <v>0.1188</v>
      </c>
      <c r="BT220" s="1168">
        <f>ROUND(BT218/BT223,4)</f>
        <v>0.18740000000000001</v>
      </c>
      <c r="BU220" s="1168">
        <f>ROUND(BU218/BU223,4)</f>
        <v>0.50339999999999996</v>
      </c>
      <c r="BW220" s="1168">
        <f>ROUND(BW218/BW223,4)</f>
        <v>9.7100000000000006E-2</v>
      </c>
      <c r="BX220" s="1168">
        <f>ROUND(BX218/BX223,4)</f>
        <v>0.15620000000000001</v>
      </c>
      <c r="BY220" s="1168">
        <f>ROUND(BY218/BY223,4)</f>
        <v>0.10290000000000001</v>
      </c>
      <c r="BZ220" s="1168">
        <f>ROUND(BZ218/BZ223,4)</f>
        <v>0.1956</v>
      </c>
      <c r="CA220" s="1168">
        <f>ROUND(CA218/CA223,4)</f>
        <v>0.55169999999999997</v>
      </c>
      <c r="CC220" s="1168">
        <f>ROUND(CC218/CC223,4)</f>
        <v>9.9000000000000005E-2</v>
      </c>
      <c r="CD220" s="1168">
        <f>ROUND(CD218/CD223,4)</f>
        <v>0.15229999999999999</v>
      </c>
      <c r="CE220" s="1168">
        <f>ROUND(CE218/CE223,4)</f>
        <v>0.14419999999999999</v>
      </c>
      <c r="CF220" s="1168">
        <f>ROUND(CF218/CF223,4)</f>
        <v>0.24199999999999999</v>
      </c>
      <c r="CG220" s="354">
        <f>ROUND(CG218/CG223,4)</f>
        <v>0.63929999999999998</v>
      </c>
      <c r="CI220" s="1168">
        <f>ROUND(CI218/CI223,4)</f>
        <v>0.12659999999999999</v>
      </c>
      <c r="CJ220" s="1168">
        <f>ROUND(CJ218/CJ223,4)</f>
        <v>0.18279999999999999</v>
      </c>
      <c r="CK220" s="1168">
        <f>ROUND(CK218/CK223,4)</f>
        <v>0.1963</v>
      </c>
      <c r="CL220" s="1168">
        <f>ROUND(CL218/CL223,4)</f>
        <v>0.30620000000000003</v>
      </c>
      <c r="CM220" s="354">
        <f>ROUND(CM218/CM223,4)</f>
        <v>0.81040000000000001</v>
      </c>
      <c r="CO220" s="1168">
        <f>ROUND(CO218/CO223,4)</f>
        <v>0.16089999999999999</v>
      </c>
      <c r="CP220" s="1168">
        <f>ROUND(CP218/CP223,4)</f>
        <v>0.249</v>
      </c>
      <c r="CQ220" s="1168">
        <f>ROUND(CQ218/CQ223,4)</f>
        <v>0.25829999999999997</v>
      </c>
      <c r="CR220" s="1168">
        <f>ROUND(CR218/CR223,4)</f>
        <v>0.38929999999999998</v>
      </c>
      <c r="CS220" s="354">
        <f>ROUND(CS218/CS223,4)</f>
        <v>1.0578000000000001</v>
      </c>
      <c r="CU220" s="1168">
        <f>ROUND(CU218/CU223,4)</f>
        <v>0.20569999999999999</v>
      </c>
      <c r="CV220" s="1168">
        <f>ROUND(CV218/CV223,4)</f>
        <v>0.24990000000000001</v>
      </c>
      <c r="CW220" s="1168">
        <f>ROUND(CW218/CW223,4)</f>
        <v>0.26290000000000002</v>
      </c>
      <c r="CX220" s="1168">
        <f>ROUND(CX218/CX223,4)</f>
        <v>0.375</v>
      </c>
      <c r="CY220" s="354">
        <f>ROUND(CY218/CY223,4)</f>
        <v>1.0902000000000001</v>
      </c>
      <c r="DA220" s="1168">
        <f>ROUND(DA218/DA223,4)</f>
        <v>0.222</v>
      </c>
      <c r="DB220" s="1168">
        <f>ROUND(DB218/DB223,4)</f>
        <v>0.28789999999999999</v>
      </c>
      <c r="DC220" s="1168">
        <f>ROUND(DC218/DC223,4)</f>
        <v>0.23430000000000001</v>
      </c>
      <c r="DD220" s="1168">
        <f>ROUND(DD218/DD223,4)</f>
        <v>0.46460000000000001</v>
      </c>
      <c r="DE220" s="354">
        <f>ROUND(DE218/DE223,4)</f>
        <v>1.2095</v>
      </c>
      <c r="DG220" s="1168">
        <f>ROUND(DG218/DG223,4)</f>
        <v>0.26600000000000001</v>
      </c>
      <c r="DH220" s="1168">
        <f>ROUND(DH218/DH223,4)</f>
        <v>0.37419999999999998</v>
      </c>
      <c r="DI220" s="1168">
        <f>ROUND(DI218/DI223,4)</f>
        <v>0.41099999999999998</v>
      </c>
      <c r="DJ220" s="1168">
        <f>ROUND(DJ218/DJ223,4)</f>
        <v>0.62139999999999995</v>
      </c>
      <c r="DK220" s="354">
        <f>ROUND(DK218/DK223,4)</f>
        <v>1.6754</v>
      </c>
      <c r="DM220" s="1168">
        <f>ROUND(DM218/DM223,4)</f>
        <v>0.35749999999999998</v>
      </c>
      <c r="DN220" s="1168">
        <f>ROUND(DN218/DN223,4)</f>
        <v>0.42830000000000001</v>
      </c>
      <c r="DO220" s="1168">
        <f>ROUND(DO218/DO223,4)</f>
        <v>0.49180000000000001</v>
      </c>
      <c r="DP220" s="1168">
        <f>ROUND(DP218/DP223,4)</f>
        <v>0.6865</v>
      </c>
      <c r="DQ220" s="354">
        <f>ROUND(DQ218/DQ223,4)</f>
        <v>1.9597</v>
      </c>
      <c r="DS220" s="1168">
        <f>ROUND(DS218/DS223,4)</f>
        <v>0.4118</v>
      </c>
      <c r="DT220" s="1168">
        <f>ROUND(DT218/DT223,4)</f>
        <v>0.5302</v>
      </c>
      <c r="DU220" s="1168">
        <f>ROUND(DU218/DU223,4)</f>
        <v>0.52039999999999997</v>
      </c>
      <c r="DV220" s="1168">
        <f>ROUND(DV218/DV223,4)</f>
        <v>0.79979999999999996</v>
      </c>
      <c r="DW220" s="354">
        <f>ROUND(DW218/DW223,4)</f>
        <v>2.2549999999999999</v>
      </c>
      <c r="DY220" s="1168">
        <f>ROUND(DY218/DY223,4)</f>
        <v>0.46879999999999999</v>
      </c>
      <c r="DZ220" s="1168">
        <f>ROUND(DZ218/DZ223,4)</f>
        <v>0.55500000000000005</v>
      </c>
      <c r="EA220" s="1168">
        <f>ROUND(EA218/EA223,4)</f>
        <v>0.56069999999999998</v>
      </c>
      <c r="EB220" s="1168">
        <f>ROUND(EB218/EB223,4)</f>
        <v>0.80210000000000004</v>
      </c>
      <c r="EC220" s="354">
        <f>ROUND(EC218/EC223,4)</f>
        <v>2.3833000000000002</v>
      </c>
      <c r="EE220" s="1168">
        <f>ROUND(EE218/EE223,4)</f>
        <v>0.48020000000000002</v>
      </c>
      <c r="EF220" s="1168">
        <f>ROUND(EF218/EF223,4)</f>
        <v>0.5554</v>
      </c>
      <c r="EG220" s="1168">
        <f>ROUND(EG218/EG223,4)</f>
        <v>0.55500000000000005</v>
      </c>
      <c r="EH220" s="1168">
        <f>ROUND(EH218/EH223,4)</f>
        <v>0.61770000000000003</v>
      </c>
      <c r="EI220" s="354">
        <f>ROUND(EI218/EI223,4)</f>
        <v>2.2069999999999999</v>
      </c>
      <c r="EK220" s="1168">
        <f>ROUND(EK218/EK223,4)</f>
        <v>0.39600000000000002</v>
      </c>
      <c r="EL220" s="1168">
        <f>ROUND(EL218/EL223,4)</f>
        <v>0.50900000000000001</v>
      </c>
      <c r="EM220" s="1168">
        <f>ROUND(EM218/EM223,4)</f>
        <v>0.50329999999999997</v>
      </c>
      <c r="EN220" s="1168">
        <f>ROUND(EN218/EN223,4)</f>
        <v>0.66400000000000003</v>
      </c>
      <c r="EO220" s="354">
        <f>ROUND(EO218/EO223,4)</f>
        <v>2.0670999999999999</v>
      </c>
      <c r="EQ220" s="1168">
        <f>ROUND(EQ218/EQ223,4)</f>
        <v>0.438</v>
      </c>
      <c r="ER220" s="1168">
        <f>ROUND(ER218/ER223,4)</f>
        <v>0.48430000000000001</v>
      </c>
      <c r="ES220" s="318">
        <f>ROUND(ES218/ES223,4)</f>
        <v>0.53259999999999996</v>
      </c>
      <c r="ET220" s="1168">
        <f>ROUND(ET218/ET223,4)</f>
        <v>0.75609999999999999</v>
      </c>
      <c r="EU220" s="354">
        <f>ROUND(EU218/EU223,4)</f>
        <v>2.2128999999999999</v>
      </c>
      <c r="EW220" s="1168">
        <f>ROUND(EW218/EW223,4)</f>
        <v>0.54249999999999998</v>
      </c>
      <c r="EX220" s="1168">
        <f>ROUND(EX218/EX223,4)</f>
        <v>0.52139999999999997</v>
      </c>
      <c r="EY220" s="318">
        <f>ROUND(EY218/EY223,4)</f>
        <v>-0.95</v>
      </c>
      <c r="EZ220" s="1168">
        <f>ROUND(EZ218/EZ223,4)</f>
        <v>0.76549999999999996</v>
      </c>
      <c r="FA220" s="354">
        <f>ROUND(FA218/FA223,4)</f>
        <v>0.88100000000000001</v>
      </c>
      <c r="FC220" s="1168">
        <f>ROUND(FC218/FC223,4)</f>
        <v>0.57440000000000002</v>
      </c>
      <c r="FD220" s="1168">
        <f>ROUND(FD218/FD223,4)</f>
        <v>0.65849999999999997</v>
      </c>
      <c r="FE220" s="1168">
        <f>ROUND(FE218/FE223,4)</f>
        <v>0.67959999999999998</v>
      </c>
      <c r="FF220" s="1168">
        <f>ROUND(FF218/FF223,4)</f>
        <v>0.84440000000000004</v>
      </c>
      <c r="FG220" s="354">
        <f>ROUND(FG218/FG223,4)</f>
        <v>2.7538</v>
      </c>
      <c r="FI220" s="1168">
        <f>ROUND(FI218/FI223,4)</f>
        <v>0.64359999999999995</v>
      </c>
      <c r="FJ220" s="1168">
        <f>ROUND(FJ218/FJ223,4)</f>
        <v>0.72729999999999995</v>
      </c>
      <c r="FK220" s="1168">
        <f>ROUND(FK218/FK223,4)</f>
        <v>0.74260000000000004</v>
      </c>
      <c r="FL220" s="1168">
        <f>ROUND(FL218/FL223,4)</f>
        <v>0.88670000000000004</v>
      </c>
      <c r="FM220" s="354">
        <f>ROUND(FM218/FM223,4)</f>
        <v>2.9977999999999998</v>
      </c>
      <c r="FN220" s="661"/>
      <c r="FO220" s="355">
        <f>CE220+CF220+CI220+CJ220</f>
        <v>0.69559999999999989</v>
      </c>
      <c r="FP220" s="356">
        <f>CK220+CL220+CO220+CP220</f>
        <v>0.91239999999999999</v>
      </c>
      <c r="FQ220" s="356">
        <f>CV220+CU220+CR220+CQ220</f>
        <v>1.1032</v>
      </c>
      <c r="FR220" s="356">
        <f>CW220+CX220+DA220+DB220</f>
        <v>1.1477999999999999</v>
      </c>
      <c r="FS220" s="355">
        <f>DC220+DD220+DG220+DH220</f>
        <v>1.3391000000000002</v>
      </c>
      <c r="FT220" s="356">
        <f>DI220+DJ220+DM220+DN220</f>
        <v>1.8182</v>
      </c>
      <c r="FU220" s="356">
        <f>DO220+DP220+DS220+DT220</f>
        <v>2.1203000000000003</v>
      </c>
      <c r="FV220" s="356">
        <f>DY220+DV220+DZ220+DU220</f>
        <v>2.3439999999999999</v>
      </c>
      <c r="FW220" s="356">
        <f>EA220+EB220+EE220+EF220</f>
        <v>2.3984000000000001</v>
      </c>
      <c r="FX220" s="356">
        <f>EG220+EH220+EK220+EL220</f>
        <v>2.0777000000000001</v>
      </c>
      <c r="FY220" s="356">
        <f>EM220+EN220+EQ220+ER220</f>
        <v>2.0895999999999999</v>
      </c>
      <c r="FZ220" s="356">
        <f>ES220+ET220+EW220+EX220</f>
        <v>2.3525999999999998</v>
      </c>
      <c r="GA220" s="356">
        <f>EY220+EZ220+FC220+FD220</f>
        <v>1.0484</v>
      </c>
      <c r="GB220" s="356">
        <f>FE220+FF220+FI220+FJ220</f>
        <v>2.8949000000000003</v>
      </c>
      <c r="GC220" s="356"/>
      <c r="GD220" s="356"/>
      <c r="GE220" s="356"/>
      <c r="GF220" s="356"/>
      <c r="GI220"/>
      <c r="GJ220"/>
      <c r="GK220"/>
      <c r="GL220"/>
      <c r="GM220"/>
      <c r="GN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</row>
    <row r="221" spans="1:281" s="37" customFormat="1" ht="10.5" hidden="1" customHeight="1" outlineLevel="1" x14ac:dyDescent="0.2">
      <c r="A221" s="247" t="s">
        <v>473</v>
      </c>
      <c r="B221" s="952"/>
      <c r="C221" s="42" t="s">
        <v>945</v>
      </c>
      <c r="D221" s="42" t="s">
        <v>945</v>
      </c>
      <c r="E221" s="42" t="s">
        <v>945</v>
      </c>
      <c r="F221" s="42" t="s">
        <v>945</v>
      </c>
      <c r="G221" s="42" t="s">
        <v>945</v>
      </c>
      <c r="H221" s="22">
        <f>H220/G220-1</f>
        <v>0.89887640449438178</v>
      </c>
      <c r="I221" s="22">
        <f>I220/H220-1</f>
        <v>-2.9585798816567865E-2</v>
      </c>
      <c r="J221" s="42" t="s">
        <v>945</v>
      </c>
      <c r="K221" s="42" t="s">
        <v>945</v>
      </c>
      <c r="L221" s="22">
        <f>L220/K220-1</f>
        <v>2.6528925619834713</v>
      </c>
      <c r="M221" s="22">
        <f>M220/L220-1</f>
        <v>7.0135746606334815E-2</v>
      </c>
      <c r="N221" s="36"/>
      <c r="O221" s="42" t="s">
        <v>945</v>
      </c>
      <c r="P221" s="42" t="s">
        <v>945</v>
      </c>
      <c r="Q221" s="42" t="s">
        <v>945</v>
      </c>
      <c r="R221" s="42" t="s">
        <v>945</v>
      </c>
      <c r="S221" s="22">
        <f>S220/M220-1</f>
        <v>0.55813953488372081</v>
      </c>
      <c r="T221" s="36"/>
      <c r="U221" s="22">
        <f>U220/O220-1</f>
        <v>-0.12745098039215697</v>
      </c>
      <c r="V221" s="22">
        <f>V220/P220-1</f>
        <v>0.43949044585987274</v>
      </c>
      <c r="W221" s="22">
        <f>W220/Q220-1</f>
        <v>0.39080459770114939</v>
      </c>
      <c r="X221" s="22">
        <f>X220/R220-1</f>
        <v>0.45544554455445541</v>
      </c>
      <c r="Y221" s="22">
        <f>Y220/S220-1</f>
        <v>0.35685210312075988</v>
      </c>
      <c r="Z221" s="36"/>
      <c r="AA221" s="22">
        <f>AA220/U220-1</f>
        <v>1.089887640449438</v>
      </c>
      <c r="AB221" s="22">
        <f>AB220/V220-1</f>
        <v>0.30530973451327426</v>
      </c>
      <c r="AC221" s="22">
        <f>AC220/W220-1</f>
        <v>0.15289256198347112</v>
      </c>
      <c r="AD221" s="22">
        <f>AD220/X220-1</f>
        <v>0.35600907029478446</v>
      </c>
      <c r="AE221" s="22">
        <f>AE220/Y220-1</f>
        <v>0.35599999999999987</v>
      </c>
      <c r="AF221" s="36"/>
      <c r="AG221" s="42" t="s">
        <v>945</v>
      </c>
      <c r="AH221" s="22">
        <f>AH220/AB220-1</f>
        <v>7.7966101694915357E-2</v>
      </c>
      <c r="AI221" s="22">
        <f>AI220/AC220-1</f>
        <v>0.31899641577060933</v>
      </c>
      <c r="AJ221" s="22">
        <f>AJ220/AD220-1</f>
        <v>0.15384615384615397</v>
      </c>
      <c r="AK221" s="22">
        <f>AK220/AE220-1</f>
        <v>7.3746312684352944E-4</v>
      </c>
      <c r="AL221" s="36"/>
      <c r="AM221" s="42" t="s">
        <v>945</v>
      </c>
      <c r="AN221" s="22">
        <f>AN220/AH220-1</f>
        <v>0.46226415094339623</v>
      </c>
      <c r="AO221" s="22">
        <f>AO220/AI220-1</f>
        <v>0.33152173913043481</v>
      </c>
      <c r="AP221" s="22">
        <f>AP220/AJ220-1</f>
        <v>0.28840579710144931</v>
      </c>
      <c r="AQ221" s="22">
        <f>AQ220/AK220-1</f>
        <v>0.60058953574060436</v>
      </c>
      <c r="AR221" s="36"/>
      <c r="AS221" s="22">
        <f>AS220/AM220-1</f>
        <v>0.20668693009118533</v>
      </c>
      <c r="AT221" s="22">
        <f>AT220/AN220-1</f>
        <v>0.37419354838709684</v>
      </c>
      <c r="AU221" s="22">
        <f>AU220/AO220-1</f>
        <v>1.5979591836734692</v>
      </c>
      <c r="AV221" s="22">
        <f>AV220/AP220-1</f>
        <v>8.1946006749156357</v>
      </c>
      <c r="AW221" s="22">
        <f>AW220/AQ220-1</f>
        <v>3.8351749539594842</v>
      </c>
      <c r="AX221" s="36"/>
      <c r="AY221" s="22">
        <f>AY220/AS220-1</f>
        <v>1.1259445843828715</v>
      </c>
      <c r="AZ221" s="22">
        <f>AZ220/AT220-1</f>
        <v>0.65884194053208134</v>
      </c>
      <c r="BA221" s="22">
        <f>BA220/AU220-1</f>
        <v>-0.21759622937941869</v>
      </c>
      <c r="BB221" s="22">
        <f>BB220/AV220-1</f>
        <v>-0.81967213114754101</v>
      </c>
      <c r="BC221" s="22">
        <f>BC220/AW220-1</f>
        <v>-0.58417444296324517</v>
      </c>
      <c r="BD221" s="36"/>
      <c r="BE221" s="22">
        <f>BE220/AY220-1</f>
        <v>4.6208530805687209E-2</v>
      </c>
      <c r="BF221" s="22">
        <f>BF220/AZ220-1</f>
        <v>-8.9622641509433887E-2</v>
      </c>
      <c r="BG221" s="22">
        <f>BG220/BA220-1</f>
        <v>-7.1285140562248994E-2</v>
      </c>
      <c r="BH221" s="22">
        <f>BH220/BB220-1</f>
        <v>-0.20691994572591588</v>
      </c>
      <c r="BI221" s="22">
        <f>BI220/BC220-1</f>
        <v>-0.104648500114495</v>
      </c>
      <c r="BJ221" s="36"/>
      <c r="BK221" s="22">
        <f>BK220/BE220-1</f>
        <v>-0.29558323895809746</v>
      </c>
      <c r="BL221" s="22">
        <f>BL220/BF220-1</f>
        <v>2.2797927461139844E-2</v>
      </c>
      <c r="BM221" s="22">
        <f>BM220/BG220-1</f>
        <v>0.14702702702702708</v>
      </c>
      <c r="BN221" s="22">
        <f>BN220/BH220-1</f>
        <v>0.37125748502994016</v>
      </c>
      <c r="BO221" s="22">
        <f>BO220/BI220-1</f>
        <v>8.9258312020460417E-2</v>
      </c>
      <c r="BP221" s="36"/>
      <c r="BQ221" s="22">
        <f>BQ220/BK220-1</f>
        <v>0.32315112540192925</v>
      </c>
      <c r="BR221" s="22">
        <f>BR220/BL220-1</f>
        <v>0.17122593718338397</v>
      </c>
      <c r="BS221" s="22">
        <f>BS220/BM220-1</f>
        <v>0.11969839773798308</v>
      </c>
      <c r="BT221" s="22">
        <f>BT220/BN220-1</f>
        <v>0.16905801621958827</v>
      </c>
      <c r="BU221" s="22">
        <f>BU220/BO220-1</f>
        <v>0.18196759802770601</v>
      </c>
      <c r="BV221" s="36"/>
      <c r="BW221" s="22">
        <f>BW220/BQ220-1</f>
        <v>0.17982989064398547</v>
      </c>
      <c r="BX221" s="22">
        <f>BX220/BR220-1</f>
        <v>0.35121107266436002</v>
      </c>
      <c r="BY221" s="22">
        <f>BY220/BS220-1</f>
        <v>-0.13383838383838387</v>
      </c>
      <c r="BZ221" s="22">
        <f>BZ220/BT220-1</f>
        <v>4.3756670224119443E-2</v>
      </c>
      <c r="CA221" s="22">
        <f>CA220/BU220-1</f>
        <v>9.5947556615017859E-2</v>
      </c>
      <c r="CB221" s="36"/>
      <c r="CC221" s="22">
        <f>CC220/BW220-1</f>
        <v>1.9567456230690006E-2</v>
      </c>
      <c r="CD221" s="22">
        <f>CD220/BX220-1</f>
        <v>-2.4967989756722209E-2</v>
      </c>
      <c r="CE221" s="22">
        <f>CE220/BY220-1</f>
        <v>0.40136054421768685</v>
      </c>
      <c r="CF221" s="22">
        <f>CF220/BZ220-1</f>
        <v>0.23721881390593036</v>
      </c>
      <c r="CG221" s="234">
        <f>CG220/CA220-1</f>
        <v>0.15878194671016854</v>
      </c>
      <c r="CH221" s="36"/>
      <c r="CI221" s="22">
        <f>CI220/CC220-1</f>
        <v>0.27878787878787858</v>
      </c>
      <c r="CJ221" s="22">
        <f>CJ220/CD220-1</f>
        <v>0.20026263952724888</v>
      </c>
      <c r="CK221" s="22">
        <f>CK220/CE220-1</f>
        <v>0.36130374479889049</v>
      </c>
      <c r="CL221" s="22">
        <f>CL220/CF220-1</f>
        <v>0.26528925619834731</v>
      </c>
      <c r="CM221" s="234">
        <f>CM220/CG220-1</f>
        <v>0.26763647739715313</v>
      </c>
      <c r="CN221" s="36"/>
      <c r="CO221" s="22">
        <f>CO220/CI220-1</f>
        <v>0.2709320695102686</v>
      </c>
      <c r="CP221" s="22">
        <f>CP220/CJ220-1</f>
        <v>0.36214442013129111</v>
      </c>
      <c r="CQ221" s="22">
        <f>CQ220/CK220-1</f>
        <v>0.31584309730005078</v>
      </c>
      <c r="CR221" s="22">
        <f>CR220/CL220-1</f>
        <v>0.27139124755062038</v>
      </c>
      <c r="CS221" s="234">
        <f>CS220/CM220-1</f>
        <v>0.30528134254689054</v>
      </c>
      <c r="CT221" s="36"/>
      <c r="CU221" s="22">
        <f>CU220/CO220-1</f>
        <v>0.27843380981976384</v>
      </c>
      <c r="CV221" s="22">
        <f>CV220/CP220-1</f>
        <v>3.6144578313253017E-3</v>
      </c>
      <c r="CW221" s="22">
        <f>CW220/CQ220-1</f>
        <v>1.7808749516066813E-2</v>
      </c>
      <c r="CX221" s="22">
        <f>CX220/CR220-1</f>
        <v>-3.6732596968918507E-2</v>
      </c>
      <c r="CY221" s="234">
        <f>CY220/CS220-1</f>
        <v>3.0629608621667526E-2</v>
      </c>
      <c r="CZ221" s="36"/>
      <c r="DA221" s="22">
        <f>DA220/CU220-1</f>
        <v>7.9241614000972405E-2</v>
      </c>
      <c r="DB221" s="22">
        <f>DB220/CV220-1</f>
        <v>0.15206082432973189</v>
      </c>
      <c r="DC221" s="22">
        <f>DC220/CW220-1</f>
        <v>-0.10878661087866115</v>
      </c>
      <c r="DD221" s="22">
        <f>DD220/CX220-1</f>
        <v>0.23893333333333344</v>
      </c>
      <c r="DE221" s="234">
        <f>DE220/CY220-1</f>
        <v>0.1094294624839478</v>
      </c>
      <c r="DF221" s="36"/>
      <c r="DG221" s="22">
        <f>DG220/DA220-1</f>
        <v>0.19819819819819817</v>
      </c>
      <c r="DH221" s="22">
        <f>DH220/DB220-1</f>
        <v>0.29975686002084045</v>
      </c>
      <c r="DI221" s="22">
        <f>DI220/DC220-1</f>
        <v>0.7541613316261202</v>
      </c>
      <c r="DJ221" s="22">
        <f>DJ220/DD220-1</f>
        <v>0.33749461902711997</v>
      </c>
      <c r="DK221" s="234">
        <f>DK220/DE220-1</f>
        <v>0.3852004960727573</v>
      </c>
      <c r="DL221" s="36"/>
      <c r="DM221" s="22">
        <f>DM220/DG220-1</f>
        <v>0.34398496240601495</v>
      </c>
      <c r="DN221" s="22">
        <f>DN220/DH220-1</f>
        <v>0.14457509353287024</v>
      </c>
      <c r="DO221" s="22">
        <f>DO220/DI220-1</f>
        <v>0.19659367396593685</v>
      </c>
      <c r="DP221" s="22">
        <f>DP220/DJ220-1</f>
        <v>0.10476343739942084</v>
      </c>
      <c r="DQ221" s="234">
        <f>DQ220/DK220-1</f>
        <v>0.16969082010266212</v>
      </c>
      <c r="DR221" s="36"/>
      <c r="DS221" s="22">
        <f>DS220/DM220-1</f>
        <v>0.15188811188811191</v>
      </c>
      <c r="DT221" s="22">
        <f>DT220/DN220-1</f>
        <v>0.23791734765351391</v>
      </c>
      <c r="DU221" s="22">
        <f>DU220/DO220-1</f>
        <v>5.8153721024806648E-2</v>
      </c>
      <c r="DV221" s="22">
        <f>DV220/DP220-1</f>
        <v>0.16504005826656942</v>
      </c>
      <c r="DW221" s="234">
        <f>DW220/DQ220-1</f>
        <v>0.15068632954023564</v>
      </c>
      <c r="DX221" s="36"/>
      <c r="DY221" s="22">
        <f>DY220/DS220-1</f>
        <v>0.13841670713938803</v>
      </c>
      <c r="DZ221" s="22">
        <f>DZ220/DT220-1</f>
        <v>4.6774801961523949E-2</v>
      </c>
      <c r="EA221" s="22">
        <f>EA220/DU220-1</f>
        <v>7.744043043812443E-2</v>
      </c>
      <c r="EB221" s="22">
        <f>EB220/DV220-1</f>
        <v>2.8757189297325958E-3</v>
      </c>
      <c r="EC221" s="234">
        <f>EC220/DW220-1</f>
        <v>5.6895787139689791E-2</v>
      </c>
      <c r="ED221" s="36"/>
      <c r="EE221" s="22">
        <f>EE220/DY220-1</f>
        <v>2.4317406143344655E-2</v>
      </c>
      <c r="EF221" s="22">
        <f>EF220/DZ220-1</f>
        <v>7.2072072072071336E-4</v>
      </c>
      <c r="EG221" s="22">
        <f>EG220/EA220-1</f>
        <v>-1.0165864098448218E-2</v>
      </c>
      <c r="EH221" s="22">
        <f>EH220/EB220-1</f>
        <v>-0.22989652163071939</v>
      </c>
      <c r="EI221" s="234">
        <f>EI220/EC220-1</f>
        <v>-7.3973062560315661E-2</v>
      </c>
      <c r="EJ221" s="36"/>
      <c r="EK221" s="22">
        <f>EK220/EE220-1</f>
        <v>-0.17534360683048733</v>
      </c>
      <c r="EL221" s="22">
        <f>EL220/EF220-1</f>
        <v>-8.3543392149801887E-2</v>
      </c>
      <c r="EM221" s="22">
        <f>EM220/EG220-1</f>
        <v>-9.3153153153153312E-2</v>
      </c>
      <c r="EN221" s="22">
        <f>EN220/EH220-1</f>
        <v>7.4955480006475561E-2</v>
      </c>
      <c r="EO221" s="234">
        <f>EO220/EI220-1</f>
        <v>-6.3389216130493864E-2</v>
      </c>
      <c r="EP221" s="36"/>
      <c r="EQ221" s="22">
        <f>EQ220/EK220-1</f>
        <v>0.10606060606060597</v>
      </c>
      <c r="ER221" s="22">
        <f>ER220/EL220-1</f>
        <v>-4.8526522593320243E-2</v>
      </c>
      <c r="ES221" s="22">
        <f>ES220/EM220-1</f>
        <v>5.821577587919724E-2</v>
      </c>
      <c r="ET221" s="22">
        <f>ET220/EN220-1</f>
        <v>0.13870481927710832</v>
      </c>
      <c r="EU221" s="234">
        <f>EU220/EO220-1</f>
        <v>7.0533597794010916E-2</v>
      </c>
      <c r="EV221" s="36"/>
      <c r="EW221" s="22">
        <f>EW220/EQ220-1</f>
        <v>0.23858447488584478</v>
      </c>
      <c r="EX221" s="22">
        <f>EX220/ER220-1</f>
        <v>7.6605409869915375E-2</v>
      </c>
      <c r="EY221" s="22">
        <f>EY220/ES220-1</f>
        <v>-2.7837025910627116</v>
      </c>
      <c r="EZ221" s="22">
        <f>EZ220/ET220-1</f>
        <v>1.2432217960587133E-2</v>
      </c>
      <c r="FA221" s="234">
        <f>FA220/EU220-1</f>
        <v>-0.60187988612228294</v>
      </c>
      <c r="FB221" s="36"/>
      <c r="FC221" s="22">
        <f>FC220/EW220-1</f>
        <v>5.8801843317972446E-2</v>
      </c>
      <c r="FD221" s="22">
        <f>FD220/EX220-1</f>
        <v>0.26294591484464913</v>
      </c>
      <c r="FE221" s="22">
        <f>FE220/EY220-1</f>
        <v>-1.7153684210526317</v>
      </c>
      <c r="FF221" s="22">
        <f>FF220/EZ220-1</f>
        <v>0.10306988896146319</v>
      </c>
      <c r="FG221" s="234">
        <f>FG220/FA220-1</f>
        <v>2.1257661748013623</v>
      </c>
      <c r="FH221" s="36"/>
      <c r="FI221" s="22">
        <f>FI220/FC220-1</f>
        <v>0.12047353760445678</v>
      </c>
      <c r="FJ221" s="22">
        <f>FJ220/FD220-1</f>
        <v>0.1044798785117691</v>
      </c>
      <c r="FK221" s="22">
        <f>FK220/FE220-1</f>
        <v>9.2701589170100185E-2</v>
      </c>
      <c r="FL221" s="22">
        <f>FL220/FF220-1</f>
        <v>5.0094741828517364E-2</v>
      </c>
      <c r="FM221" s="234">
        <f>FM220/FG220-1</f>
        <v>8.8604836952574484E-2</v>
      </c>
      <c r="FN221" s="1123"/>
      <c r="FO221" s="235"/>
      <c r="FS221" s="235"/>
      <c r="FT221" s="33"/>
      <c r="FU221" s="33"/>
      <c r="FV221" s="33"/>
      <c r="FW221" s="33"/>
      <c r="FX221" s="33"/>
      <c r="FY221" s="33"/>
      <c r="FZ221" s="33"/>
      <c r="GA221" s="33"/>
      <c r="GB221" s="33"/>
      <c r="GC221" s="33"/>
      <c r="GD221" s="33"/>
      <c r="GE221" s="33"/>
      <c r="GF221" s="33"/>
      <c r="GI221"/>
      <c r="GJ221"/>
      <c r="GK221"/>
      <c r="GL221"/>
      <c r="GM221"/>
      <c r="GN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</row>
    <row r="222" spans="1:281" s="127" customFormat="1" ht="5.25" hidden="1" customHeight="1" outlineLevel="1" x14ac:dyDescent="0.2">
      <c r="B222" s="359"/>
      <c r="CG222" s="961"/>
      <c r="CM222" s="961"/>
      <c r="CS222" s="961"/>
      <c r="CY222" s="961"/>
      <c r="DE222" s="961"/>
      <c r="DK222" s="961"/>
      <c r="DQ222" s="961"/>
      <c r="DW222" s="961"/>
      <c r="EC222" s="961"/>
      <c r="EI222" s="961"/>
      <c r="EO222" s="961"/>
      <c r="EU222" s="961"/>
      <c r="FA222" s="961"/>
      <c r="FG222" s="961"/>
      <c r="FM222" s="961"/>
      <c r="FN222" s="961"/>
      <c r="FO222" s="964"/>
      <c r="FS222" s="964"/>
      <c r="GI222"/>
      <c r="GJ222"/>
      <c r="GK222"/>
      <c r="GL222"/>
      <c r="GM222"/>
      <c r="GN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</row>
    <row r="223" spans="1:281" s="33" customFormat="1" ht="12.75" hidden="1" customHeight="1" outlineLevel="1" x14ac:dyDescent="0.2">
      <c r="A223" s="41" t="s">
        <v>794</v>
      </c>
      <c r="B223" s="949" t="s">
        <v>318</v>
      </c>
      <c r="C223" s="34">
        <f>414*8</f>
        <v>3312</v>
      </c>
      <c r="D223" s="34">
        <f>434.97*8</f>
        <v>3479.76</v>
      </c>
      <c r="E223" s="34">
        <f>491.67*8</f>
        <v>3933.36</v>
      </c>
      <c r="F223" s="34">
        <f>562.5*8</f>
        <v>4500</v>
      </c>
      <c r="G223" s="34">
        <f>1198.8*4</f>
        <v>4795.2</v>
      </c>
      <c r="H223" s="34">
        <f>1215*4</f>
        <v>4860</v>
      </c>
      <c r="I223" s="34">
        <f>1232.15625*4</f>
        <v>4928.625</v>
      </c>
      <c r="J223" s="34">
        <f>1228.79475*4</f>
        <v>4915.1790000000001</v>
      </c>
      <c r="K223" s="34">
        <f>1284.2775*4</f>
        <v>5137.1099999999997</v>
      </c>
      <c r="L223" s="34">
        <f>1318.2615*4</f>
        <v>5273.0460000000003</v>
      </c>
      <c r="M223" s="34">
        <f>2995.3125*2</f>
        <v>5990.625</v>
      </c>
      <c r="N223" s="34"/>
      <c r="O223" s="34">
        <v>5980.5</v>
      </c>
      <c r="P223" s="34">
        <v>5980.5</v>
      </c>
      <c r="Q223" s="34">
        <v>5980.8374999999996</v>
      </c>
      <c r="R223" s="34">
        <v>6003.3284999999996</v>
      </c>
      <c r="S223" s="34">
        <f>AVERAGE(O223:R223)</f>
        <v>5986.2915000000003</v>
      </c>
      <c r="T223" s="34"/>
      <c r="U223" s="34">
        <v>6027.9795000000004</v>
      </c>
      <c r="V223" s="34">
        <v>6036.39</v>
      </c>
      <c r="W223" s="34">
        <v>6034.3109999999997</v>
      </c>
      <c r="X223" s="34">
        <v>6034.5</v>
      </c>
      <c r="Y223" s="34">
        <f>AVERAGE(U223:X223)</f>
        <v>6033.2951250000006</v>
      </c>
      <c r="Z223" s="34"/>
      <c r="AA223" s="145">
        <f>1516.0725*4</f>
        <v>6064.29</v>
      </c>
      <c r="AB223" s="145">
        <f>1520.886*4</f>
        <v>6083.5439999999999</v>
      </c>
      <c r="AC223" s="145">
        <f>1514.6685*4</f>
        <v>6058.674</v>
      </c>
      <c r="AD223" s="145">
        <f>1504.143*4</f>
        <v>6016.5720000000001</v>
      </c>
      <c r="AE223" s="145">
        <f>AVERAGE(AA223:AD223)</f>
        <v>6055.7699999999995</v>
      </c>
      <c r="AF223" s="34"/>
      <c r="AG223" s="34">
        <f>1509.399*4</f>
        <v>6037.5959999999995</v>
      </c>
      <c r="AH223" s="34">
        <f>1512.837*4</f>
        <v>6051.348</v>
      </c>
      <c r="AI223" s="34">
        <f>1487.462*4</f>
        <v>5949.848</v>
      </c>
      <c r="AJ223" s="34">
        <f>1488.654*4</f>
        <v>5954.616</v>
      </c>
      <c r="AK223" s="34">
        <f>AVERAGE(AG223:AJ223)</f>
        <v>5998.3520000000008</v>
      </c>
      <c r="AL223" s="34"/>
      <c r="AM223" s="34">
        <f>2967.447*2</f>
        <v>5934.8940000000002</v>
      </c>
      <c r="AN223" s="34">
        <f>2949.81*2</f>
        <v>5899.62</v>
      </c>
      <c r="AO223" s="34">
        <f>2990.922*2</f>
        <v>5981.8440000000001</v>
      </c>
      <c r="AP223" s="34">
        <f>2965.618*2</f>
        <v>5931.2359999999999</v>
      </c>
      <c r="AQ223" s="34">
        <f>AVERAGE(AM223:AP223)</f>
        <v>5936.8985000000002</v>
      </c>
      <c r="AR223" s="34"/>
      <c r="AS223" s="34">
        <v>5964.8040000000001</v>
      </c>
      <c r="AT223" s="34">
        <v>6012.6</v>
      </c>
      <c r="AU223" s="34">
        <v>5996.3779999999997</v>
      </c>
      <c r="AV223" s="34">
        <v>6009.5860000000002</v>
      </c>
      <c r="AW223" s="34">
        <f>AVERAGE(AS223:AV223)</f>
        <v>5995.8419999999996</v>
      </c>
      <c r="AX223" s="34"/>
      <c r="AY223" s="34">
        <v>5932.87</v>
      </c>
      <c r="AZ223" s="34">
        <v>5874.9870000000001</v>
      </c>
      <c r="BA223" s="34">
        <v>5851.3329999999996</v>
      </c>
      <c r="BB223" s="34">
        <v>5800.0320000000002</v>
      </c>
      <c r="BC223" s="34">
        <f>AVERAGE(AY223:BB223)</f>
        <v>5864.8054999999995</v>
      </c>
      <c r="BD223" s="34"/>
      <c r="BE223" s="34">
        <v>5780.02</v>
      </c>
      <c r="BF223" s="34">
        <v>5695.86</v>
      </c>
      <c r="BG223" s="34">
        <v>5669.3339999999998</v>
      </c>
      <c r="BH223" s="34">
        <v>5610.6260000000002</v>
      </c>
      <c r="BI223" s="34">
        <f>AVERAGE(BE223:BH223)</f>
        <v>5688.96</v>
      </c>
      <c r="BJ223" s="34"/>
      <c r="BK223" s="34">
        <v>5515</v>
      </c>
      <c r="BL223" s="34">
        <v>5420</v>
      </c>
      <c r="BM223" s="34">
        <v>5383</v>
      </c>
      <c r="BN223" s="34">
        <v>5356</v>
      </c>
      <c r="BO223" s="34">
        <v>5418</v>
      </c>
      <c r="BP223" s="34"/>
      <c r="BQ223" s="33">
        <v>5347</v>
      </c>
      <c r="BR223" s="33">
        <v>5337</v>
      </c>
      <c r="BS223" s="33">
        <v>5337</v>
      </c>
      <c r="BT223" s="33">
        <v>5283</v>
      </c>
      <c r="BU223" s="34">
        <f>AVERAGE(BQ223:BT223)</f>
        <v>5326</v>
      </c>
      <c r="BV223" s="34"/>
      <c r="BW223" s="33">
        <v>5241</v>
      </c>
      <c r="BX223" s="33">
        <v>5218</v>
      </c>
      <c r="BY223" s="33">
        <v>5230</v>
      </c>
      <c r="BZ223" s="33">
        <v>5234</v>
      </c>
      <c r="CA223" s="34">
        <f>AVERAGE(BW223:BZ223)</f>
        <v>5230.75</v>
      </c>
      <c r="CB223" s="34"/>
      <c r="CC223" s="243">
        <v>5244</v>
      </c>
      <c r="CD223" s="243">
        <v>5238</v>
      </c>
      <c r="CE223" s="243">
        <v>5304</v>
      </c>
      <c r="CF223" s="243">
        <v>5373</v>
      </c>
      <c r="CG223" s="171">
        <f>AVERAGE(CC223:CF223)</f>
        <v>5289.75</v>
      </c>
      <c r="CH223" s="244"/>
      <c r="CI223" s="243">
        <v>5307</v>
      </c>
      <c r="CJ223" s="243">
        <v>5303</v>
      </c>
      <c r="CK223" s="243">
        <v>5262</v>
      </c>
      <c r="CL223" s="243">
        <v>5224</v>
      </c>
      <c r="CM223" s="171">
        <f>AVERAGE(CI223:CL223)</f>
        <v>5274</v>
      </c>
      <c r="CN223" s="244"/>
      <c r="CO223" s="243">
        <v>5220</v>
      </c>
      <c r="CP223" s="243">
        <v>5233</v>
      </c>
      <c r="CQ223" s="243">
        <v>5187</v>
      </c>
      <c r="CR223" s="243">
        <v>5233</v>
      </c>
      <c r="CS223" s="171">
        <f>AVERAGE(CO223:CR223)</f>
        <v>5218.25</v>
      </c>
      <c r="CT223" s="244"/>
      <c r="CU223" s="243">
        <v>5235</v>
      </c>
      <c r="CV223" s="243">
        <v>5187</v>
      </c>
      <c r="CW223" s="243">
        <v>5056</v>
      </c>
      <c r="CX223" s="243">
        <v>5043</v>
      </c>
      <c r="CY223" s="171">
        <f>AVERAGE(CU223:CX223)</f>
        <v>5130.25</v>
      </c>
      <c r="CZ223" s="244"/>
      <c r="DA223" s="243">
        <v>5063</v>
      </c>
      <c r="DB223" s="243">
        <v>5064</v>
      </c>
      <c r="DC223" s="243">
        <v>5076</v>
      </c>
      <c r="DD223" s="243">
        <v>5090</v>
      </c>
      <c r="DE223" s="171">
        <f>AVERAGE(DA223:DD223)</f>
        <v>5073.25</v>
      </c>
      <c r="DF223" s="244"/>
      <c r="DG223" s="243">
        <v>5083</v>
      </c>
      <c r="DH223" s="243">
        <v>5117</v>
      </c>
      <c r="DI223" s="243">
        <v>5149</v>
      </c>
      <c r="DJ223" s="243">
        <v>5164</v>
      </c>
      <c r="DK223" s="171">
        <f>AVERAGE(DG223:DJ223)</f>
        <v>5128.25</v>
      </c>
      <c r="DL223" s="244"/>
      <c r="DM223" s="243">
        <v>5150</v>
      </c>
      <c r="DN223" s="243">
        <v>5123</v>
      </c>
      <c r="DO223" s="243">
        <v>5080</v>
      </c>
      <c r="DP223" s="243">
        <v>5027</v>
      </c>
      <c r="DQ223" s="171">
        <f>AVERAGE(DM223:DP223)</f>
        <v>5095</v>
      </c>
      <c r="DR223" s="244"/>
      <c r="DS223" s="243">
        <v>4939</v>
      </c>
      <c r="DT223" s="243">
        <v>4868</v>
      </c>
      <c r="DU223" s="243">
        <v>4812</v>
      </c>
      <c r="DV223" s="243">
        <v>4756</v>
      </c>
      <c r="DW223" s="171">
        <f>AVERAGE(DS223:DV223)</f>
        <v>4843.75</v>
      </c>
      <c r="DX223" s="244"/>
      <c r="DY223" s="243">
        <v>4674</v>
      </c>
      <c r="DZ223" s="243">
        <v>4600</v>
      </c>
      <c r="EA223" s="243">
        <v>4575</v>
      </c>
      <c r="EB223" s="243">
        <v>4569</v>
      </c>
      <c r="EC223" s="171">
        <f>AVERAGE(DY223:EB223)</f>
        <v>4604.5</v>
      </c>
      <c r="ED223" s="244"/>
      <c r="EE223" s="243">
        <v>4548</v>
      </c>
      <c r="EF223" s="243">
        <v>4505</v>
      </c>
      <c r="EG223" s="243">
        <v>4494</v>
      </c>
      <c r="EH223" s="243">
        <v>4463</v>
      </c>
      <c r="EI223" s="171">
        <f>AVERAGE(EE223:EH223)</f>
        <v>4502.5</v>
      </c>
      <c r="EJ223" s="244"/>
      <c r="EK223" s="243">
        <v>4412</v>
      </c>
      <c r="EL223" s="243">
        <v>4316</v>
      </c>
      <c r="EM223" s="243">
        <v>4256</v>
      </c>
      <c r="EN223" s="243">
        <v>4238</v>
      </c>
      <c r="EO223" s="171">
        <f>AVERAGE(EK223:EN223)</f>
        <v>4305.5</v>
      </c>
      <c r="EP223" s="244"/>
      <c r="EQ223" s="243">
        <v>4221</v>
      </c>
      <c r="ER223" s="243">
        <v>4195</v>
      </c>
      <c r="ES223" s="243">
        <v>4204</v>
      </c>
      <c r="ET223" s="243">
        <v>4248</v>
      </c>
      <c r="EU223" s="171">
        <f>AVERAGE(EQ223:ET223)</f>
        <v>4217</v>
      </c>
      <c r="EV223" s="244"/>
      <c r="EW223" s="243">
        <v>4284</v>
      </c>
      <c r="EX223" s="243">
        <v>4283</v>
      </c>
      <c r="EY223" s="243">
        <v>4236</v>
      </c>
      <c r="EZ223" s="243">
        <f>EZ224+(EY223-EY224)</f>
        <v>4193.7882548624875</v>
      </c>
      <c r="FA223" s="171">
        <f>AVERAGE(EW223:EZ223)</f>
        <v>4249.1970637156219</v>
      </c>
      <c r="FB223" s="244"/>
      <c r="FC223" s="243">
        <f>FC224+(EZ223-EZ224)</f>
        <v>4147.5907073418175</v>
      </c>
      <c r="FD223" s="243">
        <f>FD224+(FC223-FC224)</f>
        <v>4116.0570931068869</v>
      </c>
      <c r="FE223" s="243">
        <f>FE224+(FD223-FD224)</f>
        <v>4085.3929871682512</v>
      </c>
      <c r="FF223" s="243">
        <f>FF224+(FE223-FE224)</f>
        <v>4055.5855396496108</v>
      </c>
      <c r="FG223" s="171">
        <f>AVERAGE(FC223:FF223)</f>
        <v>4101.1565818166418</v>
      </c>
      <c r="FH223" s="244"/>
      <c r="FI223" s="243">
        <f>FI224+(FF223-FF224)</f>
        <v>4027.2172494611996</v>
      </c>
      <c r="FJ223" s="243">
        <f>FJ224+(FI223-FI224)</f>
        <v>4000.2756437196176</v>
      </c>
      <c r="FK223" s="243">
        <f>FK224+(FJ223-FJ224)</f>
        <v>3974.1532749829084</v>
      </c>
      <c r="FL223" s="243">
        <f>FL224+(FK223-FK224)</f>
        <v>3948.8380363002625</v>
      </c>
      <c r="FM223" s="171">
        <f>AVERAGE(FI223:FL223)</f>
        <v>3987.621051115997</v>
      </c>
      <c r="FN223" s="226"/>
      <c r="FO223" s="245">
        <f>AVERAGE(CE223,CF223,CI223,CJ223)</f>
        <v>5321.75</v>
      </c>
      <c r="FP223" s="243">
        <f>AVERAGE(CK223,CL223,CO223,CP223)</f>
        <v>5234.75</v>
      </c>
      <c r="FQ223" s="243">
        <f>AVERAGE(CV223,CU223,CR223,CQ223)</f>
        <v>5210.5</v>
      </c>
      <c r="FR223" s="243">
        <f>AVERAGE(CW223,CX223,DA223,DB223)</f>
        <v>5056.5</v>
      </c>
      <c r="FS223" s="245">
        <f>AVERAGE(DC223,DD223,DG223,DH223)</f>
        <v>5091.5</v>
      </c>
      <c r="FT223" s="243">
        <f>AVERAGE(DI223,DJ223,DM223,DN223)</f>
        <v>5146.5</v>
      </c>
      <c r="FU223" s="243">
        <f>AVERAGE(DO223,DP223,DS223,DT223)</f>
        <v>4978.5</v>
      </c>
      <c r="FV223" s="243">
        <f>AVERAGE(DY223,DV223,DZ223,DU223)</f>
        <v>4710.5</v>
      </c>
      <c r="FW223" s="243">
        <f>AVERAGE(EA223,EB223,EE223,EF223)</f>
        <v>4549.25</v>
      </c>
      <c r="FX223" s="243">
        <f>AVERAGE(EG223,EH223,EK223,EL223)</f>
        <v>4421.25</v>
      </c>
      <c r="FY223" s="243">
        <f>AVERAGE(EM223,EN223,EQ223,ER223)</f>
        <v>4227.5</v>
      </c>
      <c r="FZ223" s="243">
        <f>AVERAGE(ES223,ET223,EW223,EX223)</f>
        <v>4254.75</v>
      </c>
      <c r="GA223" s="243">
        <f>AVERAGE(EY223,EZ223,FC223,FD223)</f>
        <v>4173.3590138277978</v>
      </c>
      <c r="GB223" s="243">
        <f>AVERAGE(FE223,FF223,FI223,FJ223)</f>
        <v>4042.1178549996703</v>
      </c>
      <c r="GC223" s="243"/>
      <c r="GD223" s="243"/>
      <c r="GE223" s="243"/>
      <c r="GF223" s="243"/>
      <c r="GI223"/>
      <c r="GJ223"/>
      <c r="GK223"/>
      <c r="GL223"/>
      <c r="GM223"/>
      <c r="GN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</row>
    <row r="224" spans="1:281" s="33" customFormat="1" ht="12.75" hidden="1" customHeight="1" outlineLevel="1" x14ac:dyDescent="0.2">
      <c r="A224" s="41" t="s">
        <v>795</v>
      </c>
      <c r="B224" s="949"/>
      <c r="C224" s="34">
        <f t="shared" ref="C224:M224" si="168">C223</f>
        <v>3312</v>
      </c>
      <c r="D224" s="34">
        <f t="shared" si="168"/>
        <v>3479.76</v>
      </c>
      <c r="E224" s="34">
        <f t="shared" si="168"/>
        <v>3933.36</v>
      </c>
      <c r="F224" s="34">
        <f t="shared" si="168"/>
        <v>4500</v>
      </c>
      <c r="G224" s="34">
        <f t="shared" si="168"/>
        <v>4795.2</v>
      </c>
      <c r="H224" s="34">
        <f t="shared" si="168"/>
        <v>4860</v>
      </c>
      <c r="I224" s="34">
        <f t="shared" si="168"/>
        <v>4928.625</v>
      </c>
      <c r="J224" s="34">
        <f t="shared" si="168"/>
        <v>4915.1790000000001</v>
      </c>
      <c r="K224" s="34">
        <f t="shared" si="168"/>
        <v>5137.1099999999997</v>
      </c>
      <c r="L224" s="34">
        <f t="shared" si="168"/>
        <v>5273.0460000000003</v>
      </c>
      <c r="M224" s="34">
        <f t="shared" si="168"/>
        <v>5990.625</v>
      </c>
      <c r="N224" s="34"/>
      <c r="O224" s="34">
        <f>O223</f>
        <v>5980.5</v>
      </c>
      <c r="P224" s="34">
        <f>P223</f>
        <v>5980.5</v>
      </c>
      <c r="Q224" s="34">
        <f>Q223</f>
        <v>5980.8374999999996</v>
      </c>
      <c r="R224" s="34">
        <f>R223</f>
        <v>6003.3284999999996</v>
      </c>
      <c r="S224" s="34">
        <f>S223</f>
        <v>5986.2915000000003</v>
      </c>
      <c r="T224" s="34"/>
      <c r="U224" s="34">
        <f>U223</f>
        <v>6027.9795000000004</v>
      </c>
      <c r="V224" s="34">
        <f>V223</f>
        <v>6036.39</v>
      </c>
      <c r="W224" s="34">
        <f>W223</f>
        <v>6034.3109999999997</v>
      </c>
      <c r="X224" s="34">
        <f>X223</f>
        <v>6034.5</v>
      </c>
      <c r="Y224" s="34">
        <f>Y223</f>
        <v>6033.2951250000006</v>
      </c>
      <c r="Z224" s="34"/>
      <c r="AA224" s="145">
        <f>1477.233*4</f>
        <v>5908.9319999999998</v>
      </c>
      <c r="AB224" s="145">
        <f>1480.0425*4</f>
        <v>5920.17</v>
      </c>
      <c r="AC224" s="145">
        <f>1477.7325*4</f>
        <v>5910.93</v>
      </c>
      <c r="AD224" s="145">
        <f>1470.174*4</f>
        <v>5880.6959999999999</v>
      </c>
      <c r="AE224" s="145">
        <f>AVERAGE(AA224:AD224)</f>
        <v>5905.1819999999998</v>
      </c>
      <c r="AF224" s="34"/>
      <c r="AG224" s="34">
        <f>1468.928*4</f>
        <v>5875.7120000000004</v>
      </c>
      <c r="AH224" s="34">
        <f>1473.737*4</f>
        <v>5894.9480000000003</v>
      </c>
      <c r="AI224" s="34">
        <f>1462.421*4</f>
        <v>5849.6840000000002</v>
      </c>
      <c r="AJ224" s="34">
        <f>1460.511*4</f>
        <v>5842.0439999999999</v>
      </c>
      <c r="AK224" s="34">
        <f>AVERAGE(AG224:AJ224)</f>
        <v>5865.5969999999998</v>
      </c>
      <c r="AL224" s="34"/>
      <c r="AM224" s="34">
        <f>2918.682*2</f>
        <v>5837.3639999999996</v>
      </c>
      <c r="AN224" s="34">
        <f>2891.52*2</f>
        <v>5783.04</v>
      </c>
      <c r="AO224" s="34">
        <f>2880.704*2</f>
        <v>5761.4080000000004</v>
      </c>
      <c r="AP224" s="34">
        <f>2873.796*2</f>
        <v>5747.5919999999996</v>
      </c>
      <c r="AQ224" s="34">
        <f>AVERAGE(AM224:AP224)</f>
        <v>5782.3509999999997</v>
      </c>
      <c r="AR224" s="34"/>
      <c r="AS224" s="34">
        <v>5721.84</v>
      </c>
      <c r="AT224" s="34">
        <v>5717.78</v>
      </c>
      <c r="AU224" s="34">
        <v>5637.8779999999997</v>
      </c>
      <c r="AV224" s="34">
        <v>5637.8559999999998</v>
      </c>
      <c r="AW224" s="34">
        <f>AVERAGE(AS224:AV224)</f>
        <v>5678.8384999999998</v>
      </c>
      <c r="AX224" s="34"/>
      <c r="AY224" s="34">
        <v>5604.058</v>
      </c>
      <c r="AZ224" s="34">
        <v>5584.4279999999999</v>
      </c>
      <c r="BA224" s="34">
        <v>5595.808</v>
      </c>
      <c r="BB224" s="34">
        <v>5602.59</v>
      </c>
      <c r="BC224" s="34">
        <f>AVERAGE(AY224:BB224)</f>
        <v>5596.7210000000005</v>
      </c>
      <c r="BD224" s="34"/>
      <c r="BE224" s="34">
        <v>5579.8109999999997</v>
      </c>
      <c r="BF224" s="34">
        <v>5528.3720000000003</v>
      </c>
      <c r="BG224" s="34">
        <v>5492.2969999999996</v>
      </c>
      <c r="BH224" s="34">
        <v>5471.6170000000002</v>
      </c>
      <c r="BI224" s="34">
        <f>AVERAGE(BE224:BH224)</f>
        <v>5518.0242500000004</v>
      </c>
      <c r="BJ224" s="34"/>
      <c r="BK224" s="34">
        <v>5399</v>
      </c>
      <c r="BL224" s="34">
        <v>5309</v>
      </c>
      <c r="BM224" s="34">
        <v>5259</v>
      </c>
      <c r="BN224" s="34">
        <v>5240</v>
      </c>
      <c r="BO224" s="34">
        <v>5302</v>
      </c>
      <c r="BP224" s="34"/>
      <c r="BQ224" s="33">
        <v>5230</v>
      </c>
      <c r="BR224" s="33">
        <v>5226</v>
      </c>
      <c r="BS224" s="33">
        <v>5218</v>
      </c>
      <c r="BT224" s="33">
        <v>5185</v>
      </c>
      <c r="BU224" s="34">
        <f>AVERAGE(BQ224:BT224)</f>
        <v>5214.75</v>
      </c>
      <c r="BV224" s="34"/>
      <c r="BW224" s="33">
        <v>5154</v>
      </c>
      <c r="BX224" s="33">
        <v>5123</v>
      </c>
      <c r="BY224" s="33">
        <v>5122</v>
      </c>
      <c r="BZ224" s="33">
        <v>5145</v>
      </c>
      <c r="CA224" s="34">
        <f>AVERAGE(BW224:BZ224)</f>
        <v>5136</v>
      </c>
      <c r="CB224" s="34"/>
      <c r="CC224" s="243">
        <v>5148</v>
      </c>
      <c r="CD224" s="243">
        <v>5152</v>
      </c>
      <c r="CE224" s="243">
        <v>5207</v>
      </c>
      <c r="CF224" s="243">
        <v>5278</v>
      </c>
      <c r="CG224" s="171">
        <f>AVERAGE(CC224:CF224)</f>
        <v>5196.25</v>
      </c>
      <c r="CH224" s="244"/>
      <c r="CI224" s="243">
        <v>5217</v>
      </c>
      <c r="CJ224" s="243">
        <v>5184</v>
      </c>
      <c r="CK224" s="243">
        <v>5159</v>
      </c>
      <c r="CL224" s="243">
        <v>5122</v>
      </c>
      <c r="CM224" s="171">
        <f>AVERAGE(CI224:CL224)</f>
        <v>5170.5</v>
      </c>
      <c r="CN224" s="244"/>
      <c r="CO224" s="243">
        <v>5110</v>
      </c>
      <c r="CP224" s="243">
        <v>5125</v>
      </c>
      <c r="CQ224" s="243">
        <v>5148</v>
      </c>
      <c r="CR224" s="243">
        <v>5150</v>
      </c>
      <c r="CS224" s="171">
        <f>AVERAGE(CO224:CR224)</f>
        <v>5133.25</v>
      </c>
      <c r="CT224" s="244"/>
      <c r="CU224" s="243">
        <v>5152</v>
      </c>
      <c r="CV224" s="243">
        <v>5127</v>
      </c>
      <c r="CW224" s="243">
        <f>AVERAGE(CV226:CW226)</f>
        <v>5014.5</v>
      </c>
      <c r="CX224" s="243">
        <v>4995</v>
      </c>
      <c r="CY224" s="171">
        <f>AVERAGE(CU224:CX224)</f>
        <v>5072.125</v>
      </c>
      <c r="CZ224" s="244"/>
      <c r="DA224" s="243">
        <v>5009</v>
      </c>
      <c r="DB224" s="243">
        <v>5010</v>
      </c>
      <c r="DC224" s="243">
        <v>5015</v>
      </c>
      <c r="DD224" s="243">
        <v>5022</v>
      </c>
      <c r="DE224" s="171">
        <f>AVERAGE(DA224:DD224)</f>
        <v>5014</v>
      </c>
      <c r="DF224" s="244"/>
      <c r="DG224" s="243">
        <v>5026</v>
      </c>
      <c r="DH224" s="243">
        <v>5044</v>
      </c>
      <c r="DI224" s="243">
        <v>5057</v>
      </c>
      <c r="DJ224" s="243">
        <v>5065</v>
      </c>
      <c r="DK224" s="171">
        <f>AVERAGE(DG224:DJ224)</f>
        <v>5048</v>
      </c>
      <c r="DL224" s="244"/>
      <c r="DM224" s="243">
        <v>5062</v>
      </c>
      <c r="DN224" s="243">
        <v>5041</v>
      </c>
      <c r="DO224" s="243">
        <v>5007</v>
      </c>
      <c r="DP224" s="243">
        <v>4905</v>
      </c>
      <c r="DQ224" s="171">
        <f>AVERAGE(DM224:DP224)</f>
        <v>5003.75</v>
      </c>
      <c r="DR224" s="244"/>
      <c r="DS224" s="243">
        <v>4867</v>
      </c>
      <c r="DT224" s="243">
        <v>4792</v>
      </c>
      <c r="DU224" s="243">
        <v>4735</v>
      </c>
      <c r="DV224" s="243">
        <v>4684</v>
      </c>
      <c r="DW224" s="171">
        <f>AVERAGE(DS224:DV224)</f>
        <v>4769.5</v>
      </c>
      <c r="DX224" s="244"/>
      <c r="DY224" s="243">
        <v>4608</v>
      </c>
      <c r="DZ224" s="243">
        <v>4539.3099123750089</v>
      </c>
      <c r="EA224" s="243">
        <v>4496</v>
      </c>
      <c r="EB224" s="243">
        <v>4475</v>
      </c>
      <c r="EC224" s="171">
        <f>AVERAGE(DY224:EB224)</f>
        <v>4529.5774780937518</v>
      </c>
      <c r="ED224" s="244"/>
      <c r="EE224" s="243">
        <v>4451</v>
      </c>
      <c r="EF224" s="243">
        <v>4417</v>
      </c>
      <c r="EG224" s="243">
        <v>4389</v>
      </c>
      <c r="EH224" s="243">
        <v>4359</v>
      </c>
      <c r="EI224" s="171">
        <f>AVERAGE(EE224:EH224)</f>
        <v>4404</v>
      </c>
      <c r="EJ224" s="244"/>
      <c r="EK224" s="243">
        <v>4317</v>
      </c>
      <c r="EL224" s="243">
        <v>4239</v>
      </c>
      <c r="EM224" s="243">
        <v>4182</v>
      </c>
      <c r="EN224" s="243">
        <v>4147</v>
      </c>
      <c r="EO224" s="171">
        <f>AVERAGE(EK224:EN224)</f>
        <v>4221.25</v>
      </c>
      <c r="EP224" s="244"/>
      <c r="EQ224" s="243">
        <v>4119</v>
      </c>
      <c r="ER224" s="243">
        <v>4104</v>
      </c>
      <c r="ES224" s="243">
        <v>4107</v>
      </c>
      <c r="ET224" s="243">
        <v>4132</v>
      </c>
      <c r="EU224" s="171">
        <f>AVERAGE(EQ224:ET224)</f>
        <v>4115.5</v>
      </c>
      <c r="EV224" s="244"/>
      <c r="EW224" s="243">
        <v>4156</v>
      </c>
      <c r="EX224" s="243">
        <v>4160</v>
      </c>
      <c r="EY224" s="243">
        <v>4122</v>
      </c>
      <c r="EZ224" s="243">
        <f>AVERAGE(EY226:EZ226)</f>
        <v>4079.788254862488</v>
      </c>
      <c r="FA224" s="171">
        <f>AVERAGE(EW224:EZ224)</f>
        <v>4129.4470637156219</v>
      </c>
      <c r="FB224" s="244"/>
      <c r="FC224" s="243">
        <f>AVERAGE(FC226,EZ226)</f>
        <v>4033.590707341818</v>
      </c>
      <c r="FD224" s="243">
        <f>AVERAGE(FC226:FD226)</f>
        <v>4002.0570931068869</v>
      </c>
      <c r="FE224" s="243">
        <f>AVERAGE(FD226:FE226)</f>
        <v>3971.3929871682512</v>
      </c>
      <c r="FF224" s="243">
        <f>AVERAGE(FE226:FF226)</f>
        <v>3941.5855396496108</v>
      </c>
      <c r="FG224" s="171">
        <f>AVERAGE(FC224:FF224)</f>
        <v>3987.1565818166418</v>
      </c>
      <c r="FH224" s="244"/>
      <c r="FI224" s="243">
        <f>AVERAGE(FI226,FF226)</f>
        <v>3913.2172494611996</v>
      </c>
      <c r="FJ224" s="243">
        <f>AVERAGE(FI226:FJ226)</f>
        <v>3886.2756437196176</v>
      </c>
      <c r="FK224" s="243">
        <f>AVERAGE(FJ226:FK226)</f>
        <v>3860.1532749829084</v>
      </c>
      <c r="FL224" s="243">
        <f>AVERAGE(FK226:FL226)</f>
        <v>3834.8380363002625</v>
      </c>
      <c r="FM224" s="171">
        <f>AVERAGE(FI224:FL224)</f>
        <v>3873.621051115997</v>
      </c>
      <c r="FN224" s="226"/>
      <c r="FO224" s="227"/>
      <c r="FS224" s="227"/>
      <c r="GI224"/>
      <c r="GJ224"/>
      <c r="GK224"/>
      <c r="GL224"/>
      <c r="GM224"/>
      <c r="GN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</row>
    <row r="225" spans="1:281" s="37" customFormat="1" ht="12.75" hidden="1" customHeight="1" outlineLevel="1" x14ac:dyDescent="0.2">
      <c r="A225" s="261" t="s">
        <v>796</v>
      </c>
      <c r="B225" s="968"/>
      <c r="C225" s="22">
        <f t="shared" ref="C225:M225" si="169">C223/C224</f>
        <v>1</v>
      </c>
      <c r="D225" s="22">
        <f t="shared" si="169"/>
        <v>1</v>
      </c>
      <c r="E225" s="22">
        <f t="shared" si="169"/>
        <v>1</v>
      </c>
      <c r="F225" s="22">
        <f t="shared" si="169"/>
        <v>1</v>
      </c>
      <c r="G225" s="22">
        <f t="shared" si="169"/>
        <v>1</v>
      </c>
      <c r="H225" s="22">
        <f t="shared" si="169"/>
        <v>1</v>
      </c>
      <c r="I225" s="22">
        <f t="shared" si="169"/>
        <v>1</v>
      </c>
      <c r="J225" s="22">
        <f t="shared" si="169"/>
        <v>1</v>
      </c>
      <c r="K225" s="22">
        <f t="shared" si="169"/>
        <v>1</v>
      </c>
      <c r="L225" s="22">
        <f t="shared" si="169"/>
        <v>1</v>
      </c>
      <c r="M225" s="22">
        <f t="shared" si="169"/>
        <v>1</v>
      </c>
      <c r="N225" s="36"/>
      <c r="O225" s="22">
        <f>O223/O224</f>
        <v>1</v>
      </c>
      <c r="P225" s="22">
        <f>P223/P224</f>
        <v>1</v>
      </c>
      <c r="Q225" s="22">
        <f>Q223/Q224</f>
        <v>1</v>
      </c>
      <c r="R225" s="22">
        <f>R223/R224</f>
        <v>1</v>
      </c>
      <c r="S225" s="22">
        <f>S223/S224</f>
        <v>1</v>
      </c>
      <c r="T225" s="36"/>
      <c r="U225" s="22">
        <f>U223/U224</f>
        <v>1</v>
      </c>
      <c r="V225" s="22">
        <f>V223/V224</f>
        <v>1</v>
      </c>
      <c r="W225" s="22">
        <f>W223/W224</f>
        <v>1</v>
      </c>
      <c r="X225" s="22">
        <f>X223/X224</f>
        <v>1</v>
      </c>
      <c r="Y225" s="22">
        <f>Y223/Y224</f>
        <v>1</v>
      </c>
      <c r="Z225" s="36"/>
      <c r="AA225" s="22">
        <f>AA223/AA224</f>
        <v>1.0262920609003454</v>
      </c>
      <c r="AB225" s="22">
        <f>AB223/AB224</f>
        <v>1.0275961670019611</v>
      </c>
      <c r="AC225" s="22">
        <f>AC223/AC224</f>
        <v>1.0249950515401129</v>
      </c>
      <c r="AD225" s="22">
        <f>AD223/AD224</f>
        <v>1.023105428337054</v>
      </c>
      <c r="AE225" s="22">
        <f>AE223/AE224</f>
        <v>1.0255009921794112</v>
      </c>
      <c r="AF225" s="36"/>
      <c r="AG225" s="22">
        <f>AG223/AG224</f>
        <v>1.0275513844109445</v>
      </c>
      <c r="AH225" s="22">
        <f>AH223/AH224</f>
        <v>1.0265311924719267</v>
      </c>
      <c r="AI225" s="22">
        <f>AI223/AI224</f>
        <v>1.0171229762154674</v>
      </c>
      <c r="AJ225" s="22">
        <f>AJ223/AJ224</f>
        <v>1.0192692831481585</v>
      </c>
      <c r="AK225" s="22">
        <f>AK223/AK224</f>
        <v>1.0226328198135672</v>
      </c>
      <c r="AL225" s="36"/>
      <c r="AM225" s="22">
        <f>AM223/AM224</f>
        <v>1.0167078839010213</v>
      </c>
      <c r="AN225" s="22">
        <f>AN223/AN224</f>
        <v>1.0201589475431607</v>
      </c>
      <c r="AO225" s="22">
        <f>AO223/AO224</f>
        <v>1.0382607862522495</v>
      </c>
      <c r="AP225" s="22">
        <f>AP223/AP224</f>
        <v>1.0319514676755066</v>
      </c>
      <c r="AQ225" s="22">
        <f>AQ223/AQ224</f>
        <v>1.026727450478188</v>
      </c>
      <c r="AR225" s="36"/>
      <c r="AS225" s="22">
        <f>AS223/AS224</f>
        <v>1.0424625644897445</v>
      </c>
      <c r="AT225" s="22">
        <f>AT223/AT224</f>
        <v>1.0515619698554335</v>
      </c>
      <c r="AU225" s="22">
        <f>AU223/AU224</f>
        <v>1.063587754115999</v>
      </c>
      <c r="AV225" s="22">
        <f>AV223/AV224</f>
        <v>1.06593463898333</v>
      </c>
      <c r="AW225" s="22">
        <f>AW223/AW224</f>
        <v>1.0558218903390191</v>
      </c>
      <c r="AX225" s="36"/>
      <c r="AY225" s="22">
        <f>AY223/AY224</f>
        <v>1.0586739109409646</v>
      </c>
      <c r="AZ225" s="22">
        <f>AZ223/AZ224</f>
        <v>1.0520302168816573</v>
      </c>
      <c r="BA225" s="22">
        <f>BA223/BA224</f>
        <v>1.0456636467870233</v>
      </c>
      <c r="BB225" s="22">
        <f>BB223/BB224</f>
        <v>1.0352412009445631</v>
      </c>
      <c r="BC225" s="22">
        <f>BC223/BC224</f>
        <v>1.0479002794672092</v>
      </c>
      <c r="BD225" s="36"/>
      <c r="BE225" s="22">
        <f>BE223/BE224</f>
        <v>1.0358809644269313</v>
      </c>
      <c r="BF225" s="22">
        <f>BF223/BF224</f>
        <v>1.0302960799309453</v>
      </c>
      <c r="BG225" s="22">
        <f>BG223/BG224</f>
        <v>1.0322336902028424</v>
      </c>
      <c r="BH225" s="22">
        <f>BH223/BH224</f>
        <v>1.0254054697176356</v>
      </c>
      <c r="BI225" s="22">
        <f>BI223/BI224</f>
        <v>1.0309777090957872</v>
      </c>
      <c r="BJ225" s="36"/>
      <c r="BK225" s="22">
        <f>BK223/BK224</f>
        <v>1.0214854602704204</v>
      </c>
      <c r="BL225" s="22">
        <f>BL223/BL224</f>
        <v>1.0209078922584292</v>
      </c>
      <c r="BM225" s="22">
        <f>BM223/BM224</f>
        <v>1.0235786271154212</v>
      </c>
      <c r="BN225" s="22">
        <f>BN223/BN224</f>
        <v>1.0221374045801526</v>
      </c>
      <c r="BO225" s="22">
        <f>BO223/BO224</f>
        <v>1.0218785364013581</v>
      </c>
      <c r="BP225" s="36"/>
      <c r="BQ225" s="22">
        <f>BQ223/BQ224</f>
        <v>1.0223709369024856</v>
      </c>
      <c r="BR225" s="22">
        <f>BR223/BR224</f>
        <v>1.0212399540757751</v>
      </c>
      <c r="BS225" s="22">
        <f>BS223/BS224</f>
        <v>1.0228056726715216</v>
      </c>
      <c r="BT225" s="22">
        <f>BT223/BT224</f>
        <v>1.0189006750241081</v>
      </c>
      <c r="BU225" s="22">
        <f>BU223/BU224</f>
        <v>1.0213337168608274</v>
      </c>
      <c r="BV225" s="36"/>
      <c r="BW225" s="22">
        <f>BW223/BW224</f>
        <v>1.0168800931315483</v>
      </c>
      <c r="BX225" s="22">
        <f>BX223/BX224</f>
        <v>1.018543821979309</v>
      </c>
      <c r="BY225" s="22">
        <f>BY223/BY224</f>
        <v>1.0210855134713002</v>
      </c>
      <c r="BZ225" s="22">
        <f>BZ223/BZ224</f>
        <v>1.0172983479105928</v>
      </c>
      <c r="CA225" s="22">
        <f>CA223/CA224</f>
        <v>1.0184482087227413</v>
      </c>
      <c r="CB225" s="36"/>
      <c r="CC225" s="22">
        <f>CC223/CC224</f>
        <v>1.0186480186480187</v>
      </c>
      <c r="CD225" s="22">
        <f>CD223/CD224</f>
        <v>1.016692546583851</v>
      </c>
      <c r="CE225" s="22">
        <f>CE223/CE224</f>
        <v>1.018628768964855</v>
      </c>
      <c r="CF225" s="22">
        <f>CF223/CF224</f>
        <v>1.0179992421371731</v>
      </c>
      <c r="CG225" s="234">
        <f>CG223/CG224</f>
        <v>1.0179937454895358</v>
      </c>
      <c r="CH225" s="36"/>
      <c r="CI225" s="22">
        <f>CI223/CI224</f>
        <v>1.0172512938470386</v>
      </c>
      <c r="CJ225" s="22">
        <f>CJ223/CJ224</f>
        <v>1.0229552469135803</v>
      </c>
      <c r="CK225" s="22">
        <f>CK223/CK224</f>
        <v>1.0199651095173483</v>
      </c>
      <c r="CL225" s="22">
        <f>CL223/CL224</f>
        <v>1.0199140960562281</v>
      </c>
      <c r="CM225" s="234">
        <f>CM223/CM224</f>
        <v>1.0200174064403829</v>
      </c>
      <c r="CN225" s="36"/>
      <c r="CO225" s="22">
        <f>CO223/CO224</f>
        <v>1.0215264187866928</v>
      </c>
      <c r="CP225" s="22">
        <f>CP223/CP224</f>
        <v>1.0210731707317073</v>
      </c>
      <c r="CQ225" s="22">
        <f>CQ223/CQ224</f>
        <v>1.0075757575757576</v>
      </c>
      <c r="CR225" s="22">
        <f>CR223/CR224</f>
        <v>1.016116504854369</v>
      </c>
      <c r="CS225" s="234">
        <f>CS223/CS224</f>
        <v>1.0165587103686748</v>
      </c>
      <c r="CT225" s="36"/>
      <c r="CU225" s="22">
        <f>CU223/CU224</f>
        <v>1.0161102484472049</v>
      </c>
      <c r="CV225" s="22">
        <f>CV223/CV224</f>
        <v>1.0117027501462843</v>
      </c>
      <c r="CW225" s="22">
        <f>CW223/CW224</f>
        <v>1.0082759996011565</v>
      </c>
      <c r="CX225" s="22">
        <f>CX223/CX224</f>
        <v>1.0096096096096097</v>
      </c>
      <c r="CY225" s="234">
        <f>CY223/CY224</f>
        <v>1.0114596939152722</v>
      </c>
      <c r="CZ225" s="36"/>
      <c r="DA225" s="22">
        <f>DA223/DA224</f>
        <v>1.0107805949291275</v>
      </c>
      <c r="DB225" s="315">
        <f>DB223/DB224</f>
        <v>1.0107784431137725</v>
      </c>
      <c r="DC225" s="22">
        <f>DC223/DC224</f>
        <v>1.0121635094715853</v>
      </c>
      <c r="DD225" s="22">
        <f>DD223/DD224</f>
        <v>1.0135404221425728</v>
      </c>
      <c r="DE225" s="234">
        <f>DE223/DE224</f>
        <v>1.0118169126445951</v>
      </c>
      <c r="DF225" s="36"/>
      <c r="DG225" s="22">
        <f>DG223/DG224</f>
        <v>1.0113410266613609</v>
      </c>
      <c r="DH225" s="22">
        <f>DH223/DH224</f>
        <v>1.0144726407613005</v>
      </c>
      <c r="DI225" s="22">
        <f>DI223/DI224</f>
        <v>1.0181926043108562</v>
      </c>
      <c r="DJ225" s="22">
        <f>DJ223/DJ224</f>
        <v>1.0195459032576506</v>
      </c>
      <c r="DK225" s="234">
        <f>DK223/DK224</f>
        <v>1.0158973851030111</v>
      </c>
      <c r="DL225" s="36"/>
      <c r="DM225" s="22">
        <f>DM223/DM224</f>
        <v>1.0173844330304227</v>
      </c>
      <c r="DN225" s="22">
        <f>DN223/DN224</f>
        <v>1.0162666137671097</v>
      </c>
      <c r="DO225" s="22">
        <f>DO223/DO224</f>
        <v>1.0145795885759936</v>
      </c>
      <c r="DP225" s="22">
        <f>DP223/DP224</f>
        <v>1.0248725790010194</v>
      </c>
      <c r="DQ225" s="234">
        <f>DQ223/DQ224</f>
        <v>1.0182363227579316</v>
      </c>
      <c r="DR225" s="36"/>
      <c r="DS225" s="22">
        <f>DS223/DS224</f>
        <v>1.0147935072940208</v>
      </c>
      <c r="DT225" s="22">
        <f>DT223/DT224</f>
        <v>1.0158597662771285</v>
      </c>
      <c r="DU225" s="22">
        <f>DU223/DU224</f>
        <v>1.0162618796198521</v>
      </c>
      <c r="DV225" s="22">
        <f>DV223/DV224</f>
        <v>1.0153714773697695</v>
      </c>
      <c r="DW225" s="234">
        <f>DW223/DW224</f>
        <v>1.0155676695670406</v>
      </c>
      <c r="DX225" s="36"/>
      <c r="DY225" s="22">
        <f>DY223/DY224</f>
        <v>1.0143229166666667</v>
      </c>
      <c r="DZ225" s="22">
        <f>DZ223/DZ224</f>
        <v>1.0133698929565347</v>
      </c>
      <c r="EA225" s="22">
        <f>EA223/EA224</f>
        <v>1.0175711743772242</v>
      </c>
      <c r="EB225" s="22">
        <f>EB223/EB224</f>
        <v>1.0210055865921788</v>
      </c>
      <c r="EC225" s="234">
        <f>EC223/EC224</f>
        <v>1.0165407308448953</v>
      </c>
      <c r="ED225" s="36"/>
      <c r="EE225" s="22">
        <f>EE223/EE224</f>
        <v>1.0217928555380813</v>
      </c>
      <c r="EF225" s="22">
        <f>EF223/EF224</f>
        <v>1.0199230246773829</v>
      </c>
      <c r="EG225" s="22">
        <f>EG223/EG224</f>
        <v>1.0239234449760766</v>
      </c>
      <c r="EH225" s="22">
        <f>EH223/EH224</f>
        <v>1.0238586831842165</v>
      </c>
      <c r="EI225" s="234">
        <f>EI223/EI224</f>
        <v>1.0223660308810172</v>
      </c>
      <c r="EJ225" s="36"/>
      <c r="EK225" s="22">
        <f>EK223/EK224</f>
        <v>1.0220060227009498</v>
      </c>
      <c r="EL225" s="22">
        <f>EL223/EL224</f>
        <v>1.0181646614767634</v>
      </c>
      <c r="EM225" s="22">
        <f>EM223/EM224</f>
        <v>1.0176948828311811</v>
      </c>
      <c r="EN225" s="22">
        <f>EN223/EN224</f>
        <v>1.0219435736677116</v>
      </c>
      <c r="EO225" s="234">
        <f>EO223/EO224</f>
        <v>1.0199585430855789</v>
      </c>
      <c r="EP225" s="36"/>
      <c r="EQ225" s="22">
        <f>EQ223/EQ224</f>
        <v>1.02476329206118</v>
      </c>
      <c r="ER225" s="22">
        <f>ER223/ER224</f>
        <v>1.0221734892787524</v>
      </c>
      <c r="ES225" s="22">
        <f>ES223/ES224</f>
        <v>1.0236182128074021</v>
      </c>
      <c r="ET225" s="22">
        <f>ET223/ET224</f>
        <v>1.0280735721200387</v>
      </c>
      <c r="EU225" s="234">
        <f>EU223/EU224</f>
        <v>1.0246628599198153</v>
      </c>
      <c r="EV225" s="36"/>
      <c r="EW225" s="22">
        <f>EW223/EW224</f>
        <v>1.030798845043311</v>
      </c>
      <c r="EX225" s="22">
        <f>EX223/EX224</f>
        <v>1.0295673076923078</v>
      </c>
      <c r="EY225" s="22">
        <f>EY223/EY224</f>
        <v>1.0276564774381369</v>
      </c>
      <c r="EZ225" s="22">
        <f>EZ223/EZ224</f>
        <v>1.027942626645912</v>
      </c>
      <c r="FA225" s="234">
        <f>FA223/FA224</f>
        <v>1.0289990398598912</v>
      </c>
      <c r="FB225" s="36"/>
      <c r="FC225" s="22">
        <f>FC223/FC224</f>
        <v>1.0282626593205157</v>
      </c>
      <c r="FD225" s="22">
        <f>FD223/FD224</f>
        <v>1.0284853507453335</v>
      </c>
      <c r="FE225" s="22">
        <f>FE223/FE224</f>
        <v>1.0287052931725313</v>
      </c>
      <c r="FF225" s="22">
        <f>FF223/FF224</f>
        <v>1.028922371176076</v>
      </c>
      <c r="FG225" s="234">
        <f>FG223/FG224</f>
        <v>1.0285918041242461</v>
      </c>
      <c r="FH225" s="36"/>
      <c r="FI225" s="22">
        <f>FI223/FI224</f>
        <v>1.029132039632018</v>
      </c>
      <c r="FJ225" s="22">
        <f>FJ223/FJ224</f>
        <v>1.0293339974955789</v>
      </c>
      <c r="FK225" s="22">
        <f>FK223/FK224</f>
        <v>1.0295325060636367</v>
      </c>
      <c r="FL225" s="22">
        <f>FL223/FL224</f>
        <v>1.0297274614783951</v>
      </c>
      <c r="FM225" s="234">
        <f>FM223/FM224</f>
        <v>1.0294298276717482</v>
      </c>
      <c r="FN225" s="1123"/>
      <c r="FO225" s="235"/>
      <c r="FS225" s="235"/>
      <c r="FT225" s="33"/>
      <c r="FU225" s="33"/>
      <c r="FV225" s="33"/>
      <c r="FW225" s="33"/>
      <c r="FX225" s="33"/>
      <c r="FY225" s="33"/>
      <c r="FZ225" s="33"/>
      <c r="GA225" s="33"/>
      <c r="GB225" s="33"/>
      <c r="GC225" s="33"/>
      <c r="GD225" s="33"/>
      <c r="GE225" s="33"/>
      <c r="GF225" s="33"/>
      <c r="GI225"/>
      <c r="GJ225"/>
      <c r="GK225"/>
      <c r="GL225"/>
      <c r="GM225"/>
      <c r="GN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</row>
    <row r="226" spans="1:281" s="37" customFormat="1" ht="12.75" hidden="1" customHeight="1" outlineLevel="1" x14ac:dyDescent="0.2">
      <c r="A226" s="41" t="s">
        <v>194</v>
      </c>
      <c r="B226" s="949"/>
      <c r="C226" s="34"/>
      <c r="D226" s="34"/>
      <c r="E226" s="34"/>
      <c r="F226" s="34"/>
      <c r="G226" s="34"/>
      <c r="H226" s="34"/>
      <c r="I226" s="34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145"/>
      <c r="AB226" s="145"/>
      <c r="AC226" s="145"/>
      <c r="AD226" s="145"/>
      <c r="AE226" s="145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>
        <v>5614.6718979999996</v>
      </c>
      <c r="AX226" s="34"/>
      <c r="AY226" s="34"/>
      <c r="AZ226" s="34"/>
      <c r="BA226" s="34">
        <v>5609.9703170000003</v>
      </c>
      <c r="BB226" s="34">
        <v>5592.360823</v>
      </c>
      <c r="BC226" s="34">
        <f>BB226</f>
        <v>5592.360823</v>
      </c>
      <c r="BD226" s="34"/>
      <c r="BE226" s="34">
        <v>5558.9174400000002</v>
      </c>
      <c r="BF226" s="34">
        <v>5496.0547319999996</v>
      </c>
      <c r="BG226" s="34">
        <v>5490.3405579999999</v>
      </c>
      <c r="BH226" s="34">
        <v>5431</v>
      </c>
      <c r="BI226" s="34">
        <f>BH226</f>
        <v>5431</v>
      </c>
      <c r="BJ226" s="34"/>
      <c r="BK226" s="34">
        <v>5356</v>
      </c>
      <c r="BL226" s="34">
        <v>5269</v>
      </c>
      <c r="BM226" s="34">
        <v>5242</v>
      </c>
      <c r="BN226" s="34">
        <v>5233</v>
      </c>
      <c r="BO226" s="34">
        <f>BN226</f>
        <v>5233</v>
      </c>
      <c r="BP226" s="34"/>
      <c r="BQ226" s="33">
        <v>5224</v>
      </c>
      <c r="BR226" s="33">
        <v>5226</v>
      </c>
      <c r="BS226" s="33">
        <v>5195</v>
      </c>
      <c r="BT226" s="33">
        <v>5171</v>
      </c>
      <c r="BU226" s="34">
        <f>BT226</f>
        <v>5171</v>
      </c>
      <c r="BV226" s="34"/>
      <c r="BW226" s="33">
        <v>5128</v>
      </c>
      <c r="BX226" s="33">
        <v>5104</v>
      </c>
      <c r="BY226" s="33">
        <v>5136</v>
      </c>
      <c r="BZ226" s="33">
        <v>5145</v>
      </c>
      <c r="CA226" s="34">
        <f>BZ226</f>
        <v>5145</v>
      </c>
      <c r="CB226" s="34"/>
      <c r="CC226" s="243">
        <v>5149</v>
      </c>
      <c r="CD226" s="243">
        <v>5154</v>
      </c>
      <c r="CE226" s="243">
        <v>5312</v>
      </c>
      <c r="CF226" s="243">
        <v>5232</v>
      </c>
      <c r="CG226" s="171">
        <f>CF226</f>
        <v>5232</v>
      </c>
      <c r="CH226" s="244"/>
      <c r="CI226" s="243">
        <v>5185</v>
      </c>
      <c r="CJ226" s="243">
        <v>5178</v>
      </c>
      <c r="CK226" s="243">
        <v>5136</v>
      </c>
      <c r="CL226" s="243">
        <v>5107</v>
      </c>
      <c r="CM226" s="171">
        <f>CL226</f>
        <v>5107</v>
      </c>
      <c r="CN226" s="244"/>
      <c r="CO226" s="243">
        <v>5117</v>
      </c>
      <c r="CP226" s="243">
        <v>5128</v>
      </c>
      <c r="CQ226" s="243">
        <v>5149</v>
      </c>
      <c r="CR226" s="243">
        <v>5150</v>
      </c>
      <c r="CS226" s="171">
        <f>CR226</f>
        <v>5150</v>
      </c>
      <c r="CT226" s="244"/>
      <c r="CU226" s="243">
        <v>5100</v>
      </c>
      <c r="CV226" s="243">
        <v>5046</v>
      </c>
      <c r="CW226" s="243">
        <v>4983</v>
      </c>
      <c r="CX226" s="243">
        <v>5005</v>
      </c>
      <c r="CY226" s="171">
        <f>CX226</f>
        <v>5005</v>
      </c>
      <c r="CZ226" s="244"/>
      <c r="DA226" s="243">
        <v>5012</v>
      </c>
      <c r="DB226" s="243">
        <v>5009</v>
      </c>
      <c r="DC226" s="243">
        <v>5015</v>
      </c>
      <c r="DD226" s="243">
        <v>5026</v>
      </c>
      <c r="DE226" s="171">
        <f>DD226</f>
        <v>5026</v>
      </c>
      <c r="DF226" s="244"/>
      <c r="DG226" s="243">
        <v>5025</v>
      </c>
      <c r="DH226" s="243">
        <v>5051</v>
      </c>
      <c r="DI226" s="243">
        <v>5061</v>
      </c>
      <c r="DJ226" s="243">
        <v>5068</v>
      </c>
      <c r="DK226" s="171">
        <f>DJ226</f>
        <v>5068</v>
      </c>
      <c r="DL226" s="244"/>
      <c r="DM226" s="243">
        <v>5051</v>
      </c>
      <c r="DN226" s="243">
        <v>5032</v>
      </c>
      <c r="DO226" s="243">
        <v>4979</v>
      </c>
      <c r="DP226" s="243">
        <v>4905</v>
      </c>
      <c r="DQ226" s="171">
        <f>DP226</f>
        <v>4905</v>
      </c>
      <c r="DR226" s="244"/>
      <c r="DS226" s="243">
        <v>4831</v>
      </c>
      <c r="DT226" s="243">
        <v>4748</v>
      </c>
      <c r="DU226" s="243">
        <v>4719</v>
      </c>
      <c r="DV226" s="243">
        <v>4635</v>
      </c>
      <c r="DW226" s="171">
        <f>DV226</f>
        <v>4635</v>
      </c>
      <c r="DX226" s="244"/>
      <c r="DY226" s="243">
        <v>4569</v>
      </c>
      <c r="DZ226" s="243">
        <v>4535</v>
      </c>
      <c r="EA226" s="243">
        <v>4483</v>
      </c>
      <c r="EB226" s="243">
        <v>4464</v>
      </c>
      <c r="EC226" s="171">
        <f>EB226</f>
        <v>4464</v>
      </c>
      <c r="ED226" s="244"/>
      <c r="EE226" s="243">
        <v>4438</v>
      </c>
      <c r="EF226" s="243">
        <v>4398</v>
      </c>
      <c r="EG226" s="243">
        <v>4373</v>
      </c>
      <c r="EH226" s="243">
        <v>4343</v>
      </c>
      <c r="EI226" s="171">
        <f>EH226</f>
        <v>4343</v>
      </c>
      <c r="EJ226" s="244"/>
      <c r="EK226" s="243">
        <v>4282</v>
      </c>
      <c r="EL226" s="243">
        <v>4208</v>
      </c>
      <c r="EM226" s="243">
        <v>4156</v>
      </c>
      <c r="EN226" s="243">
        <v>4131</v>
      </c>
      <c r="EO226" s="171">
        <f>EN226</f>
        <v>4131</v>
      </c>
      <c r="EP226" s="244"/>
      <c r="EQ226" s="243">
        <v>4106</v>
      </c>
      <c r="ER226" s="243">
        <v>4103</v>
      </c>
      <c r="ES226" s="243">
        <v>4115</v>
      </c>
      <c r="ET226" s="243">
        <v>4137</v>
      </c>
      <c r="EU226" s="171">
        <f>ET226</f>
        <v>4137</v>
      </c>
      <c r="EV226" s="244"/>
      <c r="EW226" s="243">
        <v>4171</v>
      </c>
      <c r="EX226" s="243">
        <v>4143</v>
      </c>
      <c r="EY226" s="243">
        <v>4110</v>
      </c>
      <c r="EZ226" s="243">
        <f>EY226+'Balance Sheet'!EZ193</f>
        <v>4049.5765097249759</v>
      </c>
      <c r="FA226" s="171">
        <f>EZ226</f>
        <v>4049.5765097249759</v>
      </c>
      <c r="FB226" s="244"/>
      <c r="FC226" s="243">
        <f>EZ226+'Balance Sheet'!FC193</f>
        <v>4017.60490495866</v>
      </c>
      <c r="FD226" s="243">
        <f>FC226+'Balance Sheet'!FD193</f>
        <v>3986.5092812551134</v>
      </c>
      <c r="FE226" s="243">
        <f>FD226+'Balance Sheet'!FE193</f>
        <v>3956.2766930813887</v>
      </c>
      <c r="FF226" s="243">
        <f>FE226+'Balance Sheet'!FF193</f>
        <v>3926.8943862178335</v>
      </c>
      <c r="FG226" s="171">
        <f>FF226</f>
        <v>3926.8943862178335</v>
      </c>
      <c r="FH226" s="244"/>
      <c r="FI226" s="243">
        <f>FF226+'Balance Sheet'!FI193</f>
        <v>3899.5401127045657</v>
      </c>
      <c r="FJ226" s="243">
        <f>FI226+'Balance Sheet'!FJ193</f>
        <v>3873.0111747346691</v>
      </c>
      <c r="FK226" s="243">
        <f>FJ226+'Balance Sheet'!FK193</f>
        <v>3847.2953752311482</v>
      </c>
      <c r="FL226" s="243">
        <f>FK226+'Balance Sheet'!FL193</f>
        <v>3822.3806973693763</v>
      </c>
      <c r="FM226" s="171">
        <f>FL226</f>
        <v>3822.3806973693763</v>
      </c>
      <c r="FN226" s="1123"/>
      <c r="FO226" s="235"/>
      <c r="FS226" s="235"/>
      <c r="FT226" s="33"/>
      <c r="FU226" s="33"/>
      <c r="FV226" s="33"/>
      <c r="FW226" s="33"/>
      <c r="FX226" s="33"/>
      <c r="FY226" s="33"/>
      <c r="FZ226" s="33"/>
      <c r="GA226" s="33"/>
      <c r="GB226" s="33"/>
      <c r="GC226" s="33"/>
      <c r="GD226" s="33"/>
      <c r="GE226" s="33"/>
      <c r="GF226" s="33"/>
      <c r="GI226"/>
      <c r="GJ226"/>
      <c r="GK226"/>
      <c r="GL226"/>
      <c r="GM226"/>
      <c r="GN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</row>
    <row r="227" spans="1:281" s="37" customFormat="1" ht="5.25" customHeight="1" collapsed="1" x14ac:dyDescent="0.2">
      <c r="A227" s="41"/>
      <c r="B227" s="968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  <c r="W227" s="36"/>
      <c r="X227" s="36"/>
      <c r="Y227" s="36"/>
      <c r="Z227" s="36"/>
      <c r="AA227" s="36"/>
      <c r="AB227" s="36"/>
      <c r="AC227" s="36"/>
      <c r="AD227" s="36"/>
      <c r="AE227" s="36"/>
      <c r="AF227" s="36"/>
      <c r="AG227" s="36"/>
      <c r="AH227" s="36"/>
      <c r="AI227" s="36"/>
      <c r="AJ227" s="36"/>
      <c r="AK227" s="36"/>
      <c r="AL227" s="36"/>
      <c r="AM227" s="36"/>
      <c r="AN227" s="36"/>
      <c r="AO227" s="36"/>
      <c r="AP227" s="36"/>
      <c r="AQ227" s="36"/>
      <c r="AR227" s="36"/>
      <c r="AS227" s="36"/>
      <c r="AT227" s="36"/>
      <c r="AU227" s="36"/>
      <c r="AV227" s="36"/>
      <c r="AW227" s="36"/>
      <c r="AX227" s="36"/>
      <c r="AY227" s="36"/>
      <c r="AZ227" s="36"/>
      <c r="BA227" s="36"/>
      <c r="BB227" s="36"/>
      <c r="BC227" s="36"/>
      <c r="BD227" s="36"/>
      <c r="BE227" s="36"/>
      <c r="BF227" s="36"/>
      <c r="BG227" s="36"/>
      <c r="BH227" s="36"/>
      <c r="BI227" s="36"/>
      <c r="BJ227" s="36"/>
      <c r="BK227" s="36"/>
      <c r="BL227" s="36"/>
      <c r="BM227" s="36"/>
      <c r="BN227" s="36"/>
      <c r="BO227" s="36"/>
      <c r="BP227" s="36"/>
      <c r="BQ227" s="36"/>
      <c r="BR227" s="36"/>
      <c r="BS227" s="36"/>
      <c r="BT227" s="261"/>
      <c r="BU227" s="36"/>
      <c r="BV227" s="36"/>
      <c r="BW227" s="261"/>
      <c r="BX227" s="36"/>
      <c r="BY227" s="36"/>
      <c r="BZ227" s="36"/>
      <c r="CA227" s="36"/>
      <c r="CB227" s="36"/>
      <c r="CC227" s="36"/>
      <c r="CD227" s="36"/>
      <c r="CE227" s="36"/>
      <c r="CF227" s="36"/>
      <c r="CG227" s="264"/>
      <c r="CH227" s="36"/>
      <c r="CI227" s="36"/>
      <c r="CJ227" s="36"/>
      <c r="CK227" s="36"/>
      <c r="CL227" s="36"/>
      <c r="CM227" s="264"/>
      <c r="CN227" s="36"/>
      <c r="CO227" s="36"/>
      <c r="CP227" s="36"/>
      <c r="CQ227" s="36"/>
      <c r="CR227" s="36"/>
      <c r="CS227" s="264"/>
      <c r="CT227" s="36"/>
      <c r="CU227" s="36"/>
      <c r="CV227" s="36"/>
      <c r="CW227" s="36"/>
      <c r="CX227" s="36"/>
      <c r="CY227" s="264"/>
      <c r="CZ227" s="36"/>
      <c r="DA227" s="36"/>
      <c r="DB227" s="36"/>
      <c r="DC227" s="36"/>
      <c r="DD227" s="36"/>
      <c r="DE227" s="264"/>
      <c r="DF227" s="36"/>
      <c r="DG227" s="36"/>
      <c r="DH227" s="36"/>
      <c r="DI227" s="36"/>
      <c r="DJ227" s="36"/>
      <c r="DK227" s="264"/>
      <c r="DL227" s="36"/>
      <c r="DM227" s="36"/>
      <c r="DN227" s="36"/>
      <c r="DO227" s="36"/>
      <c r="DP227" s="36"/>
      <c r="DQ227" s="264"/>
      <c r="DR227" s="36"/>
      <c r="DS227" s="36"/>
      <c r="DT227" s="36"/>
      <c r="DU227" s="36"/>
      <c r="DV227" s="36"/>
      <c r="DW227" s="264"/>
      <c r="DX227" s="36"/>
      <c r="DY227" s="36"/>
      <c r="DZ227" s="36"/>
      <c r="EA227" s="36"/>
      <c r="EB227" s="36"/>
      <c r="EC227" s="264"/>
      <c r="ED227" s="36"/>
      <c r="EE227" s="36"/>
      <c r="EF227" s="36"/>
      <c r="EG227" s="36"/>
      <c r="EH227" s="36"/>
      <c r="EI227" s="264"/>
      <c r="EJ227" s="36"/>
      <c r="EK227" s="36"/>
      <c r="EL227" s="36"/>
      <c r="EM227" s="36"/>
      <c r="EN227" s="36"/>
      <c r="EO227" s="264"/>
      <c r="EP227" s="36"/>
      <c r="EQ227" s="36"/>
      <c r="ER227" s="36"/>
      <c r="ES227" s="36"/>
      <c r="ET227" s="36"/>
      <c r="EU227" s="264"/>
      <c r="EV227" s="36"/>
      <c r="EW227" s="36"/>
      <c r="EX227" s="36"/>
      <c r="EY227" s="36"/>
      <c r="EZ227" s="36"/>
      <c r="FA227" s="264"/>
      <c r="FB227" s="36"/>
      <c r="FC227" s="36"/>
      <c r="FD227" s="36"/>
      <c r="FE227" s="36"/>
      <c r="FF227" s="36"/>
      <c r="FG227" s="264"/>
      <c r="FH227" s="36"/>
      <c r="FI227" s="36"/>
      <c r="FJ227" s="36"/>
      <c r="FK227" s="36"/>
      <c r="FL227" s="36"/>
      <c r="FM227" s="264"/>
      <c r="FN227" s="1123"/>
      <c r="FO227" s="235"/>
      <c r="FS227" s="235"/>
      <c r="FT227" s="33"/>
      <c r="FU227" s="33"/>
      <c r="FV227" s="33"/>
      <c r="FW227" s="33"/>
      <c r="FX227" s="33"/>
      <c r="FY227" s="33"/>
      <c r="FZ227" s="33"/>
      <c r="GA227" s="33"/>
      <c r="GB227" s="33"/>
      <c r="GC227" s="33"/>
      <c r="GD227" s="33"/>
      <c r="GE227" s="33"/>
      <c r="GF227" s="33"/>
      <c r="GI227"/>
      <c r="GJ227"/>
      <c r="GK227"/>
      <c r="GL227"/>
      <c r="GM227"/>
      <c r="GN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</row>
    <row r="228" spans="1:281" s="37" customFormat="1" ht="12.75" customHeight="1" x14ac:dyDescent="0.2">
      <c r="A228" s="41" t="s">
        <v>195</v>
      </c>
      <c r="B228" s="968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  <c r="W228" s="36"/>
      <c r="X228" s="36"/>
      <c r="Y228" s="36"/>
      <c r="Z228" s="36"/>
      <c r="AA228" s="36"/>
      <c r="AB228" s="36"/>
      <c r="AC228" s="36"/>
      <c r="AD228" s="36"/>
      <c r="AE228" s="36"/>
      <c r="AF228" s="36"/>
      <c r="AG228" s="36"/>
      <c r="AH228" s="36"/>
      <c r="AI228" s="36"/>
      <c r="AJ228" s="36"/>
      <c r="AK228" s="36"/>
      <c r="AL228" s="36"/>
      <c r="AM228" s="36"/>
      <c r="AN228" s="36"/>
      <c r="AO228" s="36"/>
      <c r="AP228" s="36"/>
      <c r="AQ228" s="36"/>
      <c r="AR228" s="36"/>
      <c r="AS228" s="36"/>
      <c r="AT228" s="36"/>
      <c r="AU228" s="36"/>
      <c r="AV228" s="36"/>
      <c r="AW228" s="36"/>
      <c r="AX228" s="36"/>
      <c r="AY228" s="36"/>
      <c r="AZ228" s="36"/>
      <c r="BA228" s="36"/>
      <c r="BB228" s="36"/>
      <c r="BC228" s="36"/>
      <c r="BD228" s="36"/>
      <c r="BE228" s="36"/>
      <c r="BF228" s="36"/>
      <c r="BG228" s="36"/>
      <c r="BH228" s="36"/>
      <c r="BI228" s="36"/>
      <c r="BJ228" s="36"/>
      <c r="BK228" s="36"/>
      <c r="BL228" s="36"/>
      <c r="BM228" s="36"/>
      <c r="BN228" s="36"/>
      <c r="BO228" s="36"/>
      <c r="BP228" s="36"/>
      <c r="BQ228" s="36"/>
      <c r="BR228" s="36"/>
      <c r="BS228" s="36"/>
      <c r="BT228" s="261"/>
      <c r="BU228" s="36"/>
      <c r="BV228" s="36"/>
      <c r="BW228" s="261"/>
      <c r="BX228" s="36"/>
      <c r="BY228" s="36"/>
      <c r="BZ228" s="36"/>
      <c r="CA228" s="36"/>
      <c r="CB228" s="36"/>
      <c r="CC228" s="36"/>
      <c r="CD228" s="36"/>
      <c r="CE228" s="36"/>
      <c r="CF228" s="36"/>
      <c r="CG228" s="264"/>
      <c r="CH228" s="36"/>
      <c r="CI228" s="36"/>
      <c r="CJ228" s="36"/>
      <c r="CK228" s="36"/>
      <c r="CL228" s="36"/>
      <c r="CM228" s="264"/>
      <c r="CN228" s="36"/>
      <c r="CO228" s="36"/>
      <c r="CP228" s="36"/>
      <c r="CQ228" s="36"/>
      <c r="CR228" s="36"/>
      <c r="CS228" s="264"/>
      <c r="CT228" s="36"/>
      <c r="CU228" s="36"/>
      <c r="CV228" s="36"/>
      <c r="CW228" s="36"/>
      <c r="CX228" s="1076">
        <v>0.05</v>
      </c>
      <c r="CY228" s="903">
        <f>SUM(CU228:CX228)</f>
        <v>0.05</v>
      </c>
      <c r="CZ228" s="220"/>
      <c r="DA228" s="1076">
        <f>CX228</f>
        <v>0.05</v>
      </c>
      <c r="DB228" s="1076">
        <f>DA228</f>
        <v>0.05</v>
      </c>
      <c r="DC228" s="1076">
        <f>DB228</f>
        <v>0.05</v>
      </c>
      <c r="DD228" s="1076">
        <f>DC228</f>
        <v>0.05</v>
      </c>
      <c r="DE228" s="903">
        <f>SUM(DA228:DD228)</f>
        <v>0.2</v>
      </c>
      <c r="DF228" s="433"/>
      <c r="DG228" s="1076">
        <f>DD228</f>
        <v>0.05</v>
      </c>
      <c r="DH228" s="1076">
        <f>DG228</f>
        <v>0.05</v>
      </c>
      <c r="DI228" s="1076">
        <f>DH228</f>
        <v>0.05</v>
      </c>
      <c r="DJ228" s="1076">
        <v>0.06</v>
      </c>
      <c r="DK228" s="903">
        <f>SUM(DG228:DJ228)</f>
        <v>0.21000000000000002</v>
      </c>
      <c r="DL228" s="433"/>
      <c r="DM228" s="1076">
        <f>DJ228</f>
        <v>0.06</v>
      </c>
      <c r="DN228" s="1076">
        <f>DM228</f>
        <v>0.06</v>
      </c>
      <c r="DO228" s="1076">
        <f>DN228</f>
        <v>0.06</v>
      </c>
      <c r="DP228" s="1076">
        <f>DO228</f>
        <v>0.06</v>
      </c>
      <c r="DQ228" s="903">
        <f>SUM(DM228:DP228)</f>
        <v>0.24</v>
      </c>
      <c r="DR228" s="433"/>
      <c r="DS228" s="1076">
        <f>DP228</f>
        <v>0.06</v>
      </c>
      <c r="DT228" s="1076">
        <f>DS228</f>
        <v>0.06</v>
      </c>
      <c r="DU228" s="1076">
        <v>0.18</v>
      </c>
      <c r="DV228" s="1076">
        <v>0</v>
      </c>
      <c r="DW228" s="903">
        <f>SUM(DS228:DV228)</f>
        <v>0.3</v>
      </c>
      <c r="DX228" s="433"/>
      <c r="DY228" s="1076">
        <v>0.12</v>
      </c>
      <c r="DZ228" s="1076">
        <f>DY228</f>
        <v>0.12</v>
      </c>
      <c r="EA228" s="1076">
        <f>DZ228</f>
        <v>0.12</v>
      </c>
      <c r="EB228" s="1076">
        <f>EA228</f>
        <v>0.12</v>
      </c>
      <c r="EC228" s="903">
        <f>SUM(DY228:EB228)</f>
        <v>0.48</v>
      </c>
      <c r="ED228" s="433"/>
      <c r="EE228" s="1076">
        <f>EB228</f>
        <v>0.12</v>
      </c>
      <c r="EF228" s="1076">
        <f>EE228</f>
        <v>0.12</v>
      </c>
      <c r="EG228" s="1076">
        <f>EF228</f>
        <v>0.12</v>
      </c>
      <c r="EH228" s="1076">
        <v>0.15</v>
      </c>
      <c r="EI228" s="903">
        <f>SUM(EE228:EH228)</f>
        <v>0.51</v>
      </c>
      <c r="EJ228" s="433"/>
      <c r="EK228" s="1076">
        <f>EH228</f>
        <v>0.15</v>
      </c>
      <c r="EL228" s="1076">
        <f>EK228</f>
        <v>0.15</v>
      </c>
      <c r="EM228" s="1076">
        <f>EL228</f>
        <v>0.15</v>
      </c>
      <c r="EN228" s="1076">
        <f>EM228</f>
        <v>0.15</v>
      </c>
      <c r="EO228" s="903">
        <f>SUM(EK228:EN228)</f>
        <v>0.6</v>
      </c>
      <c r="EP228" s="433"/>
      <c r="EQ228" s="1076">
        <f>EN228</f>
        <v>0.15</v>
      </c>
      <c r="ER228" s="1076">
        <f>EQ228</f>
        <v>0.15</v>
      </c>
      <c r="ES228" s="1076">
        <f>ER228</f>
        <v>0.15</v>
      </c>
      <c r="ET228" s="1076">
        <v>0.19</v>
      </c>
      <c r="EU228" s="903">
        <f>SUM(EQ228:ET228)</f>
        <v>0.6399999999999999</v>
      </c>
      <c r="EV228" s="433"/>
      <c r="EW228" s="1076">
        <f>ET228</f>
        <v>0.19</v>
      </c>
      <c r="EX228" s="1076">
        <f>EW228</f>
        <v>0.19</v>
      </c>
      <c r="EY228" s="1076">
        <f>EX228</f>
        <v>0.19</v>
      </c>
      <c r="EZ228" s="1076">
        <f>EY228</f>
        <v>0.19</v>
      </c>
      <c r="FA228" s="903">
        <f>SUM(EW228:EZ228)</f>
        <v>0.76</v>
      </c>
      <c r="FB228" s="433"/>
      <c r="FC228" s="1076">
        <f>EZ228</f>
        <v>0.19</v>
      </c>
      <c r="FD228" s="1076">
        <f>FC228</f>
        <v>0.19</v>
      </c>
      <c r="FE228" s="1076">
        <f>FD228</f>
        <v>0.19</v>
      </c>
      <c r="FF228" s="1076">
        <f>FE228</f>
        <v>0.19</v>
      </c>
      <c r="FG228" s="903">
        <f>SUM(FC228:FF228)</f>
        <v>0.76</v>
      </c>
      <c r="FH228" s="433"/>
      <c r="FI228" s="1076">
        <f>FF228</f>
        <v>0.19</v>
      </c>
      <c r="FJ228" s="1076">
        <f>FI228</f>
        <v>0.19</v>
      </c>
      <c r="FK228" s="1076">
        <f>FJ228</f>
        <v>0.19</v>
      </c>
      <c r="FL228" s="1076">
        <f>FK228</f>
        <v>0.19</v>
      </c>
      <c r="FM228" s="903">
        <f>SUM(FI228:FL228)</f>
        <v>0.76</v>
      </c>
      <c r="FN228" s="1123"/>
      <c r="FO228" s="235"/>
      <c r="FS228" s="235"/>
      <c r="FT228" s="33"/>
      <c r="FU228" s="33"/>
      <c r="FV228" s="33"/>
      <c r="FW228" s="33"/>
      <c r="FX228" s="33"/>
      <c r="FY228" s="33"/>
      <c r="FZ228" s="33"/>
      <c r="GA228" s="33"/>
      <c r="GB228" s="33"/>
      <c r="GC228" s="33"/>
      <c r="GD228" s="33"/>
      <c r="GE228" s="33"/>
      <c r="GF228" s="33"/>
      <c r="GI228"/>
      <c r="GJ228"/>
      <c r="GK228"/>
      <c r="GL228"/>
      <c r="GM228"/>
      <c r="GN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</row>
    <row r="229" spans="1:281" s="37" customFormat="1" ht="12.75" customHeight="1" x14ac:dyDescent="0.2">
      <c r="A229" s="41" t="s">
        <v>196</v>
      </c>
      <c r="B229" s="968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  <c r="W229" s="36"/>
      <c r="X229" s="36"/>
      <c r="Y229" s="36"/>
      <c r="Z229" s="36"/>
      <c r="AA229" s="36"/>
      <c r="AB229" s="36"/>
      <c r="AC229" s="36"/>
      <c r="AD229" s="36"/>
      <c r="AE229" s="36"/>
      <c r="AF229" s="36"/>
      <c r="AG229" s="36"/>
      <c r="AH229" s="36"/>
      <c r="AI229" s="36"/>
      <c r="AJ229" s="36"/>
      <c r="AK229" s="36"/>
      <c r="AL229" s="36"/>
      <c r="AM229" s="36"/>
      <c r="AN229" s="36"/>
      <c r="AO229" s="36"/>
      <c r="AP229" s="36"/>
      <c r="AQ229" s="36"/>
      <c r="AR229" s="36"/>
      <c r="AS229" s="36"/>
      <c r="AT229" s="36"/>
      <c r="AU229" s="36"/>
      <c r="AV229" s="36"/>
      <c r="AW229" s="36"/>
      <c r="AX229" s="36"/>
      <c r="AY229" s="36"/>
      <c r="AZ229" s="36"/>
      <c r="BA229" s="36"/>
      <c r="BB229" s="36"/>
      <c r="BC229" s="36"/>
      <c r="BD229" s="36"/>
      <c r="BE229" s="36"/>
      <c r="BF229" s="36"/>
      <c r="BG229" s="36"/>
      <c r="BH229" s="36"/>
      <c r="BI229" s="36"/>
      <c r="BJ229" s="36"/>
      <c r="BK229" s="36"/>
      <c r="BL229" s="36"/>
      <c r="BM229" s="36"/>
      <c r="BN229" s="36"/>
      <c r="BO229" s="36"/>
      <c r="BP229" s="36"/>
      <c r="BQ229" s="36"/>
      <c r="BR229" s="36"/>
      <c r="BS229" s="36"/>
      <c r="BT229" s="261"/>
      <c r="BU229" s="36"/>
      <c r="BV229" s="36"/>
      <c r="BW229" s="261"/>
      <c r="BX229" s="36"/>
      <c r="BY229" s="36"/>
      <c r="BZ229" s="36"/>
      <c r="CA229" s="36"/>
      <c r="CB229" s="36"/>
      <c r="CC229" s="36"/>
      <c r="CD229" s="36"/>
      <c r="CE229" s="36"/>
      <c r="CF229" s="36"/>
      <c r="CG229" s="264"/>
      <c r="CH229" s="36"/>
      <c r="CI229" s="36"/>
      <c r="CJ229" s="36"/>
      <c r="CK229" s="36"/>
      <c r="CL229" s="36"/>
      <c r="CM229" s="264"/>
      <c r="CN229" s="36"/>
      <c r="CO229" s="36"/>
      <c r="CP229" s="36"/>
      <c r="CQ229" s="36"/>
      <c r="CR229" s="36"/>
      <c r="CS229" s="264"/>
      <c r="CT229" s="36"/>
      <c r="CU229" s="36"/>
      <c r="CV229" s="36"/>
      <c r="CW229" s="36"/>
      <c r="CX229" s="36">
        <f>CX224*CX228</f>
        <v>249.75</v>
      </c>
      <c r="CY229" s="264">
        <f>SUM(CU229:CX229)</f>
        <v>249.75</v>
      </c>
      <c r="CZ229" s="36"/>
      <c r="DA229" s="36">
        <f>DA224*DA228</f>
        <v>250.45000000000002</v>
      </c>
      <c r="DB229" s="36">
        <f>DB224*DB228</f>
        <v>250.5</v>
      </c>
      <c r="DC229" s="36">
        <f>DC224*DC228</f>
        <v>250.75</v>
      </c>
      <c r="DD229" s="36">
        <f>DD224*DD228</f>
        <v>251.10000000000002</v>
      </c>
      <c r="DE229" s="264">
        <f>SUM(DA229:DD229)</f>
        <v>1002.8000000000001</v>
      </c>
      <c r="DF229" s="36"/>
      <c r="DG229" s="36">
        <f>DG224*DG228</f>
        <v>251.3</v>
      </c>
      <c r="DH229" s="36">
        <f>DH224*DH228</f>
        <v>252.20000000000002</v>
      </c>
      <c r="DI229" s="36">
        <f>DI224*DI228</f>
        <v>252.85000000000002</v>
      </c>
      <c r="DJ229" s="36">
        <f>DJ224*DJ228</f>
        <v>303.89999999999998</v>
      </c>
      <c r="DK229" s="264">
        <f>SUM(DG229:DJ229)</f>
        <v>1060.25</v>
      </c>
      <c r="DL229" s="36"/>
      <c r="DM229" s="36">
        <f>DM224*DM228</f>
        <v>303.71999999999997</v>
      </c>
      <c r="DN229" s="36">
        <f>DN224*DN228</f>
        <v>302.45999999999998</v>
      </c>
      <c r="DO229" s="36">
        <f>DO224*DO228</f>
        <v>300.42</v>
      </c>
      <c r="DP229" s="36">
        <f>DP224*DP228</f>
        <v>294.3</v>
      </c>
      <c r="DQ229" s="264">
        <f>SUM(DM229:DP229)</f>
        <v>1200.8999999999999</v>
      </c>
      <c r="DR229" s="36"/>
      <c r="DS229" s="36">
        <f>DS224*DS228</f>
        <v>292.02</v>
      </c>
      <c r="DT229" s="36">
        <f>DT224*DT228</f>
        <v>287.52</v>
      </c>
      <c r="DU229" s="36">
        <f>DU224*DU228</f>
        <v>852.3</v>
      </c>
      <c r="DV229" s="36">
        <f>DV224*DV228</f>
        <v>0</v>
      </c>
      <c r="DW229" s="264">
        <f>SUM(DS229:DV229)</f>
        <v>1431.84</v>
      </c>
      <c r="DX229" s="36"/>
      <c r="DY229" s="36">
        <f>DY224*DY228</f>
        <v>552.96</v>
      </c>
      <c r="DZ229" s="36">
        <f>DZ224*DZ228</f>
        <v>544.71718948500109</v>
      </c>
      <c r="EA229" s="36">
        <f>EA224*EA228</f>
        <v>539.52</v>
      </c>
      <c r="EB229" s="36">
        <f>EB224*EB228</f>
        <v>537</v>
      </c>
      <c r="EC229" s="264">
        <f>SUM(DY229:EB229)</f>
        <v>2174.1971894850012</v>
      </c>
      <c r="ED229" s="36"/>
      <c r="EE229" s="36">
        <f>EE224*EE228</f>
        <v>534.12</v>
      </c>
      <c r="EF229" s="36">
        <f>EF224*EF228</f>
        <v>530.04</v>
      </c>
      <c r="EG229" s="36">
        <f>EG224*EG228</f>
        <v>526.67999999999995</v>
      </c>
      <c r="EH229" s="36">
        <f>EH224*EH228</f>
        <v>653.85</v>
      </c>
      <c r="EI229" s="264">
        <f>SUM(EE229:EH229)</f>
        <v>2244.6899999999996</v>
      </c>
      <c r="EJ229" s="36"/>
      <c r="EK229" s="36">
        <f>EK224*EK228</f>
        <v>647.54999999999995</v>
      </c>
      <c r="EL229" s="36">
        <f>EL224*EL228</f>
        <v>635.85</v>
      </c>
      <c r="EM229" s="36">
        <f>EM224*EM228</f>
        <v>627.29999999999995</v>
      </c>
      <c r="EN229" s="36">
        <f>EN224*EN228</f>
        <v>622.04999999999995</v>
      </c>
      <c r="EO229" s="264">
        <f>SUM(EK229:EN229)</f>
        <v>2532.75</v>
      </c>
      <c r="EP229" s="36"/>
      <c r="EQ229" s="36">
        <f>EQ224*EQ228</f>
        <v>617.85</v>
      </c>
      <c r="ER229" s="36">
        <f>ER224*ER228</f>
        <v>615.6</v>
      </c>
      <c r="ES229" s="36">
        <f>ES224*ES228</f>
        <v>616.04999999999995</v>
      </c>
      <c r="ET229" s="36">
        <f>ET224*ET228</f>
        <v>785.08</v>
      </c>
      <c r="EU229" s="264">
        <f>SUM(EQ229:ET229)</f>
        <v>2634.58</v>
      </c>
      <c r="EV229" s="36"/>
      <c r="EW229" s="36">
        <f>EW224*EW228</f>
        <v>789.64</v>
      </c>
      <c r="EX229" s="36">
        <f>EX224*EX228</f>
        <v>790.4</v>
      </c>
      <c r="EY229" s="36">
        <f>EY224*EY228</f>
        <v>783.18000000000006</v>
      </c>
      <c r="EZ229" s="36">
        <f>EZ224*EZ228</f>
        <v>775.15976842387272</v>
      </c>
      <c r="FA229" s="264">
        <f>SUM(EW229:EZ229)</f>
        <v>3138.379768423873</v>
      </c>
      <c r="FB229" s="36"/>
      <c r="FC229" s="36">
        <f>FC224*FC228</f>
        <v>766.38223439494539</v>
      </c>
      <c r="FD229" s="36">
        <f>FD224*FD228</f>
        <v>760.39084769030853</v>
      </c>
      <c r="FE229" s="36">
        <f>FE224*FE228</f>
        <v>754.56466756196778</v>
      </c>
      <c r="FF229" s="36">
        <f>FF224*FF228</f>
        <v>748.90125253342603</v>
      </c>
      <c r="FG229" s="264">
        <f>SUM(FC229:FF229)</f>
        <v>3030.2390021806477</v>
      </c>
      <c r="FH229" s="36"/>
      <c r="FI229" s="36">
        <f>FI224*FI228</f>
        <v>743.51127739762796</v>
      </c>
      <c r="FJ229" s="36">
        <f>FJ224*FJ228</f>
        <v>738.39237230672734</v>
      </c>
      <c r="FK229" s="36">
        <f>FK224*FK228</f>
        <v>733.42912224675263</v>
      </c>
      <c r="FL229" s="36">
        <f>FL224*FL228</f>
        <v>728.61922689704988</v>
      </c>
      <c r="FM229" s="264">
        <f>SUM(FI229:FL229)</f>
        <v>2943.9519988481579</v>
      </c>
      <c r="FN229" s="1123"/>
      <c r="FO229" s="235"/>
      <c r="FS229" s="1729"/>
      <c r="FT229" s="33"/>
      <c r="FU229" s="33"/>
      <c r="FV229" s="33"/>
      <c r="FW229" s="33"/>
      <c r="FX229" s="33"/>
      <c r="FY229" s="33"/>
      <c r="FZ229" s="33"/>
      <c r="GA229" s="33"/>
      <c r="GB229" s="33"/>
      <c r="GC229" s="33"/>
      <c r="GD229" s="33"/>
      <c r="GE229" s="33"/>
      <c r="GF229" s="33"/>
      <c r="GG229" s="37">
        <f>47/3.5</f>
        <v>13.428571428571429</v>
      </c>
      <c r="GI229"/>
      <c r="GJ229"/>
      <c r="GK229"/>
      <c r="GL229"/>
      <c r="GM229"/>
      <c r="GN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</row>
    <row r="230" spans="1:281" s="127" customFormat="1" ht="3.75" customHeight="1" x14ac:dyDescent="0.2">
      <c r="B230" s="359"/>
      <c r="CG230" s="961"/>
      <c r="CM230" s="961"/>
      <c r="CS230" s="961"/>
      <c r="CY230" s="961"/>
      <c r="DE230" s="961"/>
      <c r="DK230" s="961"/>
      <c r="DQ230" s="961"/>
      <c r="DW230" s="961"/>
      <c r="EC230" s="961"/>
      <c r="EI230" s="961"/>
      <c r="EO230" s="961"/>
      <c r="EU230" s="961"/>
      <c r="FA230" s="961"/>
      <c r="FG230" s="961"/>
      <c r="FM230" s="961"/>
      <c r="FN230" s="961"/>
      <c r="FO230" s="964"/>
      <c r="FS230" s="964"/>
      <c r="GI230"/>
      <c r="GJ230"/>
      <c r="GK230"/>
      <c r="GL230"/>
      <c r="GM230"/>
      <c r="GN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</row>
    <row r="231" spans="1:281" s="127" customFormat="1" ht="12.75" hidden="1" customHeight="1" outlineLevel="1" x14ac:dyDescent="0.2">
      <c r="A231" s="357" t="s">
        <v>197</v>
      </c>
      <c r="B231" s="359"/>
      <c r="BB231" s="358"/>
      <c r="BH231" s="33"/>
      <c r="BN231" s="33"/>
      <c r="BT231" s="33"/>
      <c r="BZ231" s="33"/>
      <c r="CA231" s="64"/>
      <c r="CE231" s="18"/>
      <c r="CG231" s="961"/>
      <c r="CM231" s="961"/>
      <c r="CS231" s="961"/>
      <c r="CU231" s="64"/>
      <c r="CY231" s="961"/>
      <c r="DE231" s="961"/>
      <c r="DK231" s="961"/>
      <c r="DQ231" s="961"/>
      <c r="DW231" s="961"/>
      <c r="EC231" s="961"/>
      <c r="EI231" s="961"/>
      <c r="EO231" s="961"/>
      <c r="EU231" s="961"/>
      <c r="FA231" s="961"/>
      <c r="FG231" s="961"/>
      <c r="FM231" s="961"/>
      <c r="FN231" s="961"/>
      <c r="FO231" s="964"/>
      <c r="FS231" s="964"/>
      <c r="GI231"/>
      <c r="GJ231"/>
      <c r="GK231"/>
      <c r="GL231"/>
      <c r="GM231"/>
      <c r="GN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</row>
    <row r="232" spans="1:281" s="127" customFormat="1" ht="12.75" hidden="1" customHeight="1" outlineLevel="1" x14ac:dyDescent="0.2">
      <c r="A232" s="18" t="s">
        <v>489</v>
      </c>
      <c r="B232" s="359"/>
      <c r="C232" s="33"/>
      <c r="D232" s="33"/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  <c r="AD232" s="33"/>
      <c r="AE232" s="33"/>
      <c r="AF232" s="33"/>
      <c r="AG232" s="33"/>
      <c r="AH232" s="33"/>
      <c r="AI232" s="33"/>
      <c r="AJ232" s="33"/>
      <c r="AK232" s="33"/>
      <c r="AL232" s="33"/>
      <c r="AM232" s="33"/>
      <c r="AN232" s="33"/>
      <c r="AO232" s="33"/>
      <c r="AP232" s="33"/>
      <c r="AQ232" s="33"/>
      <c r="AR232" s="33"/>
      <c r="AS232" s="33"/>
      <c r="AT232" s="33"/>
      <c r="AU232" s="33"/>
      <c r="AV232" s="33"/>
      <c r="AW232" s="33"/>
      <c r="AX232" s="33"/>
      <c r="AY232" s="33"/>
      <c r="AZ232" s="33"/>
      <c r="BA232" s="33"/>
      <c r="BB232" s="33"/>
      <c r="BC232" s="33">
        <v>0</v>
      </c>
      <c r="BD232" s="33"/>
      <c r="BE232" s="33"/>
      <c r="BF232" s="33"/>
      <c r="BG232" s="33"/>
      <c r="BH232" s="33"/>
      <c r="BI232" s="33">
        <v>0</v>
      </c>
      <c r="BJ232" s="33"/>
      <c r="BK232" s="33">
        <v>16</v>
      </c>
      <c r="BL232" s="33">
        <v>7</v>
      </c>
      <c r="BM232" s="33">
        <v>0</v>
      </c>
      <c r="BN232" s="33">
        <f>BO232-BM232-BL232-BK232</f>
        <v>0</v>
      </c>
      <c r="BO232" s="33">
        <v>23</v>
      </c>
      <c r="BP232" s="33"/>
      <c r="BQ232" s="33">
        <v>39</v>
      </c>
      <c r="BR232" s="33">
        <v>8</v>
      </c>
      <c r="BS232" s="33">
        <v>0</v>
      </c>
      <c r="BT232" s="33">
        <v>0</v>
      </c>
      <c r="BU232" s="33">
        <v>0</v>
      </c>
      <c r="BV232" s="33"/>
      <c r="BW232" s="33">
        <v>0</v>
      </c>
      <c r="BX232" s="33">
        <v>0</v>
      </c>
      <c r="BY232" s="33">
        <v>30</v>
      </c>
      <c r="BZ232" s="33">
        <f>70-BY232-BX232-BW232</f>
        <v>40</v>
      </c>
      <c r="CA232" s="33">
        <f>SUM(BW232:BZ232)</f>
        <v>70</v>
      </c>
      <c r="CB232" s="33"/>
      <c r="CC232" s="33">
        <v>8</v>
      </c>
      <c r="CD232" s="33">
        <v>5</v>
      </c>
      <c r="CE232" s="33">
        <v>10</v>
      </c>
      <c r="CF232" s="33">
        <f>CG232-CE232-CD232-CC232</f>
        <v>16</v>
      </c>
      <c r="CG232" s="226">
        <v>39</v>
      </c>
      <c r="CH232" s="33"/>
      <c r="CI232" s="33"/>
      <c r="CJ232" s="33"/>
      <c r="CK232" s="33"/>
      <c r="CL232" s="33"/>
      <c r="CM232" s="226"/>
      <c r="CN232" s="33"/>
      <c r="CO232" s="64"/>
      <c r="CP232" s="33"/>
      <c r="CQ232" s="33"/>
      <c r="CR232" s="33"/>
      <c r="CS232" s="226"/>
      <c r="CT232" s="33"/>
      <c r="CU232" s="64"/>
      <c r="CV232" s="33"/>
      <c r="CW232" s="33"/>
      <c r="CX232" s="33"/>
      <c r="CY232" s="226"/>
      <c r="CZ232" s="33"/>
      <c r="DA232" s="33"/>
      <c r="DB232" s="33"/>
      <c r="DC232" s="33"/>
      <c r="DD232" s="33"/>
      <c r="DE232" s="226"/>
      <c r="DF232" s="33"/>
      <c r="DG232" s="33"/>
      <c r="DH232" s="33"/>
      <c r="DI232" s="33"/>
      <c r="DJ232" s="33"/>
      <c r="DK232" s="226"/>
      <c r="DL232" s="33"/>
      <c r="DM232" s="33"/>
      <c r="DN232" s="33"/>
      <c r="DO232" s="33"/>
      <c r="DP232" s="33"/>
      <c r="DQ232" s="226"/>
      <c r="DR232" s="33"/>
      <c r="DS232" s="33"/>
      <c r="DT232" s="33"/>
      <c r="DU232" s="33"/>
      <c r="DV232" s="33"/>
      <c r="DW232" s="226"/>
      <c r="DX232" s="33"/>
      <c r="DY232" s="33"/>
      <c r="DZ232" s="33"/>
      <c r="EA232" s="33"/>
      <c r="EB232" s="33"/>
      <c r="EC232" s="226"/>
      <c r="ED232" s="33"/>
      <c r="EE232" s="33"/>
      <c r="EF232" s="33"/>
      <c r="EG232" s="33"/>
      <c r="EH232" s="33"/>
      <c r="EI232" s="226"/>
      <c r="EJ232" s="33"/>
      <c r="EK232" s="33"/>
      <c r="EL232" s="33"/>
      <c r="EM232" s="33"/>
      <c r="EN232" s="33"/>
      <c r="EO232" s="226"/>
      <c r="EP232" s="33"/>
      <c r="EQ232" s="33"/>
      <c r="ER232" s="33"/>
      <c r="ES232" s="33"/>
      <c r="ET232" s="33"/>
      <c r="EU232" s="226"/>
      <c r="EV232" s="33"/>
      <c r="EW232" s="33"/>
      <c r="EX232" s="33"/>
      <c r="EY232" s="33"/>
      <c r="EZ232" s="33"/>
      <c r="FA232" s="226"/>
      <c r="FB232" s="33"/>
      <c r="FC232" s="33"/>
      <c r="FD232" s="33"/>
      <c r="FE232" s="33"/>
      <c r="FF232" s="33"/>
      <c r="FG232" s="226"/>
      <c r="FH232" s="33"/>
      <c r="FI232" s="33"/>
      <c r="FJ232" s="33"/>
      <c r="FK232" s="33"/>
      <c r="FL232" s="33"/>
      <c r="FM232" s="226"/>
      <c r="FN232" s="226"/>
      <c r="FO232" s="227"/>
      <c r="FP232" s="33"/>
      <c r="FQ232" s="33"/>
      <c r="FR232" s="33"/>
      <c r="FS232" s="227"/>
      <c r="FT232" s="33"/>
      <c r="FU232" s="33"/>
      <c r="FV232" s="33"/>
      <c r="FW232" s="33"/>
      <c r="FX232" s="33"/>
      <c r="FY232" s="33"/>
      <c r="FZ232" s="33"/>
      <c r="GA232" s="33"/>
      <c r="GB232" s="33"/>
      <c r="GC232" s="33"/>
      <c r="GD232" s="33"/>
      <c r="GE232" s="33"/>
      <c r="GF232" s="33"/>
      <c r="GH232" s="33"/>
      <c r="GI232"/>
      <c r="GJ232"/>
      <c r="GK232"/>
      <c r="GL232"/>
      <c r="GM232"/>
      <c r="GN232"/>
      <c r="GO232" s="33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</row>
    <row r="233" spans="1:281" s="127" customFormat="1" ht="12.75" hidden="1" customHeight="1" outlineLevel="1" x14ac:dyDescent="0.2">
      <c r="A233" s="18" t="s">
        <v>1089</v>
      </c>
      <c r="B233" s="359"/>
      <c r="C233" s="33"/>
      <c r="D233" s="33"/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  <c r="AD233" s="33"/>
      <c r="AE233" s="33"/>
      <c r="AF233" s="33"/>
      <c r="AG233" s="33"/>
      <c r="AH233" s="33"/>
      <c r="AI233" s="33"/>
      <c r="AJ233" s="33"/>
      <c r="AK233" s="33"/>
      <c r="AL233" s="33"/>
      <c r="AM233" s="33"/>
      <c r="AN233" s="33"/>
      <c r="AO233" s="33"/>
      <c r="AP233" s="33"/>
      <c r="AQ233" s="33"/>
      <c r="AR233" s="33"/>
      <c r="AS233" s="33"/>
      <c r="AT233" s="33"/>
      <c r="AU233" s="33"/>
      <c r="AV233" s="33"/>
      <c r="AW233" s="33"/>
      <c r="AX233" s="33"/>
      <c r="AY233" s="33"/>
      <c r="AZ233" s="33"/>
      <c r="BA233" s="33"/>
      <c r="BB233" s="33"/>
      <c r="BC233" s="33">
        <v>-582</v>
      </c>
      <c r="BD233" s="33"/>
      <c r="BE233" s="33"/>
      <c r="BF233" s="33"/>
      <c r="BG233" s="33"/>
      <c r="BH233" s="33"/>
      <c r="BI233" s="33">
        <v>-460</v>
      </c>
      <c r="BJ233" s="33"/>
      <c r="BK233" s="33">
        <v>-100</v>
      </c>
      <c r="BL233" s="33">
        <v>-101</v>
      </c>
      <c r="BM233" s="33">
        <v>-83</v>
      </c>
      <c r="BN233" s="33">
        <f>BO233-BM233-BL233-BK233</f>
        <v>-69</v>
      </c>
      <c r="BO233" s="33">
        <f>-330-23</f>
        <v>-353</v>
      </c>
      <c r="BP233" s="33"/>
      <c r="BQ233" s="33">
        <v>-65</v>
      </c>
      <c r="BR233" s="33">
        <v>-65</v>
      </c>
      <c r="BS233" s="33">
        <v>-58</v>
      </c>
      <c r="BT233" s="33">
        <f>-203-BS233-BR233-BQ233</f>
        <v>-15</v>
      </c>
      <c r="BU233" s="33">
        <f>SUM(BQ233:BT233)</f>
        <v>-203</v>
      </c>
      <c r="BV233" s="33"/>
      <c r="BW233" s="33">
        <v>-37</v>
      </c>
      <c r="BX233" s="33">
        <v>-41</v>
      </c>
      <c r="BY233" s="33">
        <v>-42</v>
      </c>
      <c r="BZ233" s="33">
        <f>-205-BY233-BX233-BW233</f>
        <v>-85</v>
      </c>
      <c r="CA233" s="33">
        <f>SUM(BW233:BZ233)</f>
        <v>-205</v>
      </c>
      <c r="CB233" s="33"/>
      <c r="CC233" s="33">
        <v>-34</v>
      </c>
      <c r="CD233" s="33">
        <f>+-39</f>
        <v>-39</v>
      </c>
      <c r="CE233" s="33">
        <v>-41</v>
      </c>
      <c r="CF233" s="33">
        <f>CG233-CE233-CD233-CC233</f>
        <v>-44</v>
      </c>
      <c r="CG233" s="226">
        <v>-158</v>
      </c>
      <c r="CH233" s="33"/>
      <c r="CI233" s="33"/>
      <c r="CJ233" s="33"/>
      <c r="CK233" s="33"/>
      <c r="CL233" s="33"/>
      <c r="CM233" s="360"/>
      <c r="CN233" s="33"/>
      <c r="CO233" s="33"/>
      <c r="CP233" s="33"/>
      <c r="CQ233" s="33"/>
      <c r="CR233" s="33"/>
      <c r="CS233" s="360"/>
      <c r="CT233" s="33"/>
      <c r="CU233" s="33"/>
      <c r="CV233" s="33"/>
      <c r="CW233" s="33"/>
      <c r="CX233" s="33"/>
      <c r="CY233" s="360"/>
      <c r="CZ233" s="33"/>
      <c r="DA233" s="33"/>
      <c r="DB233" s="33"/>
      <c r="DC233" s="33"/>
      <c r="DD233" s="33"/>
      <c r="DE233" s="360"/>
      <c r="DF233" s="33"/>
      <c r="DG233" s="33"/>
      <c r="DH233" s="33"/>
      <c r="DI233" s="33"/>
      <c r="DJ233" s="33"/>
      <c r="DK233" s="360"/>
      <c r="DL233" s="33"/>
      <c r="DM233" s="33"/>
      <c r="DN233" s="33"/>
      <c r="DO233" s="33">
        <f>0.805*5000</f>
        <v>4025.0000000000005</v>
      </c>
      <c r="DP233" s="33"/>
      <c r="DQ233" s="360"/>
      <c r="DR233" s="33"/>
      <c r="DS233" s="1208">
        <v>0.52815000000000001</v>
      </c>
      <c r="DT233" s="1208">
        <v>0.61609999999999998</v>
      </c>
      <c r="DU233" s="1208">
        <v>0.68872999999999995</v>
      </c>
      <c r="DV233" s="1208">
        <v>0.90386999999999995</v>
      </c>
      <c r="DW233" s="360"/>
      <c r="DX233" s="33"/>
      <c r="DY233" s="33"/>
      <c r="DZ233" s="33"/>
      <c r="EA233" s="33"/>
      <c r="EB233" s="33"/>
      <c r="EC233" s="362">
        <v>3.0868600000000002</v>
      </c>
      <c r="ED233" s="33"/>
      <c r="EE233" s="33"/>
      <c r="EF233" s="33"/>
      <c r="EG233" s="33"/>
      <c r="EH233" s="33"/>
      <c r="EI233" s="360"/>
      <c r="EJ233" s="33"/>
      <c r="EK233" s="33"/>
      <c r="EL233" s="33"/>
      <c r="EM233" s="33"/>
      <c r="EN233" s="33"/>
      <c r="EO233" s="362"/>
      <c r="EP233" s="33"/>
      <c r="EQ233" s="33"/>
      <c r="ER233" s="33"/>
      <c r="ES233" s="33"/>
      <c r="ET233" s="33"/>
      <c r="EU233" s="360"/>
      <c r="EV233" s="33"/>
      <c r="EW233" s="33"/>
      <c r="EX233" s="33"/>
      <c r="EY233" s="33"/>
      <c r="EZ233" s="33"/>
      <c r="FA233" s="360"/>
      <c r="FB233" s="33"/>
      <c r="FC233" s="33"/>
      <c r="FD233" s="33"/>
      <c r="FE233" s="33"/>
      <c r="FF233" s="33"/>
      <c r="FG233" s="360"/>
      <c r="FH233" s="33"/>
      <c r="FI233" s="33"/>
      <c r="FJ233" s="33"/>
      <c r="FK233" s="33"/>
      <c r="FL233" s="33"/>
      <c r="FM233" s="360"/>
      <c r="FN233" s="226"/>
      <c r="FO233" s="227"/>
      <c r="FP233" s="33"/>
      <c r="FQ233" s="33"/>
      <c r="FR233" s="33"/>
      <c r="FS233" s="227"/>
      <c r="FT233" s="33"/>
      <c r="FU233" s="33"/>
      <c r="FV233" s="33"/>
      <c r="FW233" s="33"/>
      <c r="FX233" s="33"/>
      <c r="FY233" s="33"/>
      <c r="FZ233" s="33"/>
      <c r="GA233" s="33"/>
      <c r="GB233" s="33"/>
      <c r="GC233" s="33"/>
      <c r="GD233" s="33"/>
      <c r="GE233" s="33"/>
      <c r="GF233" s="33"/>
      <c r="GH233" s="33"/>
      <c r="GI233"/>
      <c r="GJ233"/>
      <c r="GK233"/>
      <c r="GL233"/>
      <c r="GM233"/>
      <c r="GN233"/>
      <c r="GO233" s="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</row>
    <row r="234" spans="1:281" s="127" customFormat="1" ht="12.75" hidden="1" customHeight="1" outlineLevel="1" x14ac:dyDescent="0.2">
      <c r="A234" s="18" t="s">
        <v>1090</v>
      </c>
      <c r="B234" s="359"/>
      <c r="C234" s="33"/>
      <c r="D234" s="33"/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  <c r="AD234" s="33"/>
      <c r="AE234" s="33"/>
      <c r="AF234" s="33"/>
      <c r="AG234" s="33"/>
      <c r="AH234" s="33"/>
      <c r="AI234" s="33"/>
      <c r="AJ234" s="33"/>
      <c r="AK234" s="33"/>
      <c r="AL234" s="33"/>
      <c r="AM234" s="33"/>
      <c r="AN234" s="33"/>
      <c r="AO234" s="33"/>
      <c r="AP234" s="33"/>
      <c r="AQ234" s="33"/>
      <c r="AR234" s="33"/>
      <c r="AS234" s="33"/>
      <c r="AT234" s="33"/>
      <c r="AU234" s="33"/>
      <c r="AV234" s="33"/>
      <c r="AW234" s="33"/>
      <c r="AX234" s="33"/>
      <c r="AY234" s="33"/>
      <c r="AZ234" s="33"/>
      <c r="BA234" s="33"/>
      <c r="BB234" s="33"/>
      <c r="BC234" s="33">
        <f>BC218+BC233+BC232</f>
        <v>1979.096</v>
      </c>
      <c r="BD234" s="33"/>
      <c r="BE234" s="33"/>
      <c r="BF234" s="33"/>
      <c r="BG234" s="33"/>
      <c r="BH234" s="33"/>
      <c r="BI234" s="33">
        <f>BI218+BI233+BI232</f>
        <v>1764.2049999999995</v>
      </c>
      <c r="BJ234" s="33"/>
      <c r="BK234" s="33">
        <f>BK218+BK233+BK232</f>
        <v>259</v>
      </c>
      <c r="BL234" s="33">
        <f>BL218+BL233+BL232</f>
        <v>441</v>
      </c>
      <c r="BM234" s="33">
        <f>BM218+BM233+BM232</f>
        <v>488</v>
      </c>
      <c r="BN234" s="33">
        <f>BN218+BN233+BN232</f>
        <v>789.40000000000009</v>
      </c>
      <c r="BO234" s="33">
        <f>BO218+BO233+BO232</f>
        <v>1977.4</v>
      </c>
      <c r="BP234" s="33"/>
      <c r="BQ234" s="33">
        <f>BQ218+BQ233+BQ232</f>
        <v>414</v>
      </c>
      <c r="BR234" s="33">
        <f>BR218+BR233+BR232</f>
        <v>560</v>
      </c>
      <c r="BS234" s="33">
        <f>BS218+BS233+BS232</f>
        <v>576</v>
      </c>
      <c r="BT234" s="33">
        <f>BT218+BT233+BT232</f>
        <v>975</v>
      </c>
      <c r="BU234" s="33">
        <f>BU218+BU233+BU232</f>
        <v>2478</v>
      </c>
      <c r="BV234" s="33"/>
      <c r="BW234" s="33">
        <f>BW218+BW233+BW232</f>
        <v>472</v>
      </c>
      <c r="BX234" s="33">
        <f>BX218+BX233+BX232</f>
        <v>774</v>
      </c>
      <c r="BY234" s="33">
        <f>BY218+BY233+BY232</f>
        <v>526</v>
      </c>
      <c r="BZ234" s="33">
        <f>BZ218+BZ233+BZ232</f>
        <v>978.99199999999996</v>
      </c>
      <c r="CA234" s="33">
        <f>CA218+CA233+CA232</f>
        <v>2750.9920000000002</v>
      </c>
      <c r="CB234" s="33"/>
      <c r="CC234" s="33">
        <f>CC218+CC233+CC232</f>
        <v>493</v>
      </c>
      <c r="CD234" s="33">
        <f>CD218+CD233+CD232</f>
        <v>763.5</v>
      </c>
      <c r="CE234" s="33">
        <f>CE218+CE233+CE232</f>
        <v>733.90000000000009</v>
      </c>
      <c r="CF234" s="33">
        <f>CF218+CF233+CF232</f>
        <v>1272.4500000000003</v>
      </c>
      <c r="CG234" s="226">
        <f>CG218+CG233+CG232</f>
        <v>3262.8500000000004</v>
      </c>
      <c r="CH234" s="33"/>
      <c r="CI234" s="33"/>
      <c r="CJ234" s="33"/>
      <c r="CK234" s="33"/>
      <c r="CL234" s="33"/>
      <c r="CM234" s="226"/>
      <c r="CN234" s="33"/>
      <c r="CO234" s="33"/>
      <c r="CP234" s="33"/>
      <c r="CQ234" s="33"/>
      <c r="CR234" s="33"/>
      <c r="CS234" s="226"/>
      <c r="CT234" s="33"/>
      <c r="CU234" s="33"/>
      <c r="CV234" s="33"/>
      <c r="CW234" s="33"/>
      <c r="CX234" s="33"/>
      <c r="CY234" s="226"/>
      <c r="CZ234" s="33"/>
      <c r="DA234" s="33"/>
      <c r="DB234" s="33"/>
      <c r="DC234" s="33"/>
      <c r="DD234" s="33"/>
      <c r="DE234" s="226"/>
      <c r="DF234" s="33"/>
      <c r="DG234" s="33"/>
      <c r="DH234" s="33"/>
      <c r="DI234" s="33"/>
      <c r="DJ234" s="33"/>
      <c r="DK234" s="226"/>
      <c r="DL234" s="33"/>
      <c r="DM234" s="33"/>
      <c r="DN234" s="33"/>
      <c r="DO234" s="33">
        <f>DO233/(1-0.245)</f>
        <v>5331.1258278145697</v>
      </c>
      <c r="DP234" s="33"/>
      <c r="DQ234" s="226"/>
      <c r="DR234" s="33"/>
      <c r="DS234" s="1207">
        <f>DS189-DS233</f>
        <v>1.1099999999999444E-3</v>
      </c>
      <c r="DT234" s="1207">
        <f>DT189-DT233</f>
        <v>2.5229999999999975E-2</v>
      </c>
      <c r="DU234" s="1207">
        <f>DU189-DU233</f>
        <v>-4.2839999999999989E-2</v>
      </c>
      <c r="DV234" s="1207">
        <f>DV189-DV233</f>
        <v>-3.8860000000000006E-2</v>
      </c>
      <c r="DW234" s="226"/>
      <c r="DX234" s="33"/>
      <c r="DY234" s="33"/>
      <c r="DZ234" s="33"/>
      <c r="EA234" s="33"/>
      <c r="EB234" s="33"/>
      <c r="EC234" s="1126">
        <f>EC189-EC233</f>
        <v>-0.21706000000000003</v>
      </c>
      <c r="ED234" s="33"/>
      <c r="EE234" s="33"/>
      <c r="EF234" s="33"/>
      <c r="EG234" s="33"/>
      <c r="EH234" s="33"/>
      <c r="EI234" s="226"/>
      <c r="EJ234" s="33"/>
      <c r="EK234" s="33"/>
      <c r="EL234" s="33"/>
      <c r="EM234" s="33"/>
      <c r="EN234" s="33"/>
      <c r="EO234" s="1126"/>
      <c r="EP234" s="33"/>
      <c r="EQ234" s="33"/>
      <c r="ER234" s="33"/>
      <c r="ES234" s="33"/>
      <c r="ET234" s="33"/>
      <c r="EU234" s="226"/>
      <c r="EV234" s="33"/>
      <c r="EW234" s="33"/>
      <c r="EX234" s="33"/>
      <c r="EY234" s="33"/>
      <c r="EZ234" s="33"/>
      <c r="FA234" s="226"/>
      <c r="FB234" s="33"/>
      <c r="FC234" s="33"/>
      <c r="FD234" s="33"/>
      <c r="FE234" s="33"/>
      <c r="FF234" s="33"/>
      <c r="FG234" s="226"/>
      <c r="FH234" s="33"/>
      <c r="FI234" s="33"/>
      <c r="FJ234" s="33"/>
      <c r="FK234" s="33"/>
      <c r="FL234" s="33"/>
      <c r="FM234" s="226"/>
      <c r="FN234" s="226"/>
      <c r="FO234" s="227"/>
      <c r="FP234" s="33"/>
      <c r="FQ234" s="33"/>
      <c r="FR234" s="33"/>
      <c r="FS234" s="227"/>
      <c r="FT234" s="33"/>
      <c r="FU234" s="33"/>
      <c r="FV234" s="33"/>
      <c r="FW234" s="33"/>
      <c r="FX234" s="33"/>
      <c r="FY234" s="33"/>
      <c r="FZ234" s="33"/>
      <c r="GA234" s="33"/>
      <c r="GB234" s="33"/>
      <c r="GC234" s="33"/>
      <c r="GD234" s="33"/>
      <c r="GE234" s="33"/>
      <c r="GF234" s="33"/>
      <c r="GH234" s="33"/>
      <c r="GI234"/>
      <c r="GJ234"/>
      <c r="GK234"/>
      <c r="GL234"/>
      <c r="GM234"/>
      <c r="GN234"/>
      <c r="GO234" s="33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</row>
    <row r="235" spans="1:281" s="127" customFormat="1" ht="12.75" hidden="1" customHeight="1" outlineLevel="1" x14ac:dyDescent="0.2">
      <c r="A235" s="18" t="s">
        <v>1091</v>
      </c>
      <c r="B235" s="359"/>
      <c r="C235" s="33"/>
      <c r="D235" s="33"/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  <c r="AD235" s="33"/>
      <c r="AE235" s="33"/>
      <c r="AF235" s="33"/>
      <c r="AG235" s="33"/>
      <c r="AH235" s="33"/>
      <c r="AI235" s="33"/>
      <c r="AJ235" s="33"/>
      <c r="AK235" s="33"/>
      <c r="AL235" s="33"/>
      <c r="AM235" s="33"/>
      <c r="AN235" s="33"/>
      <c r="AO235" s="33"/>
      <c r="AP235" s="33"/>
      <c r="AQ235" s="33"/>
      <c r="AR235" s="33"/>
      <c r="AS235" s="33"/>
      <c r="AT235" s="33"/>
      <c r="AU235" s="33"/>
      <c r="AV235" s="33"/>
      <c r="AW235" s="33"/>
      <c r="AX235" s="33"/>
      <c r="AY235" s="33"/>
      <c r="AZ235" s="33"/>
      <c r="BA235" s="33"/>
      <c r="BB235" s="33"/>
      <c r="BC235" s="361">
        <f>BC234/BC224</f>
        <v>0.35361705541512606</v>
      </c>
      <c r="BD235" s="33"/>
      <c r="BE235" s="33"/>
      <c r="BF235" s="33"/>
      <c r="BG235" s="33"/>
      <c r="BH235" s="33"/>
      <c r="BI235" s="361">
        <f>BI234/BI224</f>
        <v>0.31971678993618041</v>
      </c>
      <c r="BJ235" s="33"/>
      <c r="BK235" s="361">
        <f>BK234/BK224</f>
        <v>4.7971846638266348E-2</v>
      </c>
      <c r="BL235" s="361">
        <f>BL234/BL224</f>
        <v>8.3066490864569603E-2</v>
      </c>
      <c r="BM235" s="361">
        <f>BM234/BM224</f>
        <v>9.2793306712302723E-2</v>
      </c>
      <c r="BN235" s="361">
        <f>BN234/BN224</f>
        <v>0.15064885496183208</v>
      </c>
      <c r="BO235" s="361">
        <f>BO234/BO224</f>
        <v>0.37295360241418335</v>
      </c>
      <c r="BP235" s="33"/>
      <c r="BQ235" s="361">
        <f>BQ234/BQ224</f>
        <v>7.9158699808795405E-2</v>
      </c>
      <c r="BR235" s="361">
        <f>BR234/BR224</f>
        <v>0.10715652506697283</v>
      </c>
      <c r="BS235" s="361">
        <f>BS234/BS224</f>
        <v>0.11038712150249137</v>
      </c>
      <c r="BT235" s="361">
        <f>BT234/BT224</f>
        <v>0.18804243008678881</v>
      </c>
      <c r="BU235" s="361">
        <f>BU234/BU224</f>
        <v>0.47519056522364445</v>
      </c>
      <c r="BV235" s="33"/>
      <c r="BW235" s="361">
        <f>BW234/BW224</f>
        <v>9.157935584012418E-2</v>
      </c>
      <c r="BX235" s="361">
        <f>BX234/BX224</f>
        <v>0.15108334959984385</v>
      </c>
      <c r="BY235" s="361">
        <f>BY234/BY224</f>
        <v>0.10269426005466614</v>
      </c>
      <c r="BZ235" s="361">
        <f>BZ234/BZ224</f>
        <v>0.19028027210884352</v>
      </c>
      <c r="CA235" s="361">
        <f>CA234/CA224</f>
        <v>0.53562928348909666</v>
      </c>
      <c r="CB235" s="33"/>
      <c r="CC235" s="361">
        <f>CC234/CC224</f>
        <v>9.5765345765345761E-2</v>
      </c>
      <c r="CD235" s="361">
        <f>CD234/CD224</f>
        <v>0.14819487577639751</v>
      </c>
      <c r="CE235" s="361">
        <f>CE234/CE224</f>
        <v>0.14094488188976378</v>
      </c>
      <c r="CF235" s="361">
        <f>CF234/CF224</f>
        <v>0.24108563849943165</v>
      </c>
      <c r="CG235" s="362">
        <f>CG234/CG224</f>
        <v>0.6279239836420496</v>
      </c>
      <c r="CH235" s="33"/>
      <c r="CI235" s="33"/>
      <c r="CJ235" s="33"/>
      <c r="CK235" s="33"/>
      <c r="CL235" s="33"/>
      <c r="CM235" s="226"/>
      <c r="CN235" s="33"/>
      <c r="CO235" s="33"/>
      <c r="CP235" s="33"/>
      <c r="CQ235" s="33"/>
      <c r="CR235" s="33"/>
      <c r="CS235" s="226"/>
      <c r="CT235" s="33"/>
      <c r="CU235" s="33"/>
      <c r="CV235" s="33"/>
      <c r="CW235" s="33"/>
      <c r="CX235" s="33"/>
      <c r="CY235" s="226"/>
      <c r="CZ235" s="33"/>
      <c r="DA235" s="33"/>
      <c r="DB235" s="33"/>
      <c r="DC235" s="33"/>
      <c r="DD235" s="33"/>
      <c r="DE235" s="226"/>
      <c r="DF235" s="33"/>
      <c r="DG235" s="33"/>
      <c r="DH235" s="33"/>
      <c r="DI235" s="33"/>
      <c r="DJ235" s="33"/>
      <c r="DK235" s="226"/>
      <c r="DL235" s="33"/>
      <c r="DM235" s="33"/>
      <c r="DN235" s="33"/>
      <c r="DO235" s="33">
        <f>DO234+170</f>
        <v>5501.1258278145697</v>
      </c>
      <c r="DP235" s="33"/>
      <c r="DQ235" s="226"/>
      <c r="DR235" s="33"/>
      <c r="DS235" s="33"/>
      <c r="DT235" s="33"/>
      <c r="DU235" s="33"/>
      <c r="DV235" s="33"/>
      <c r="DW235" s="226"/>
      <c r="DX235" s="33"/>
      <c r="DY235" s="33"/>
      <c r="DZ235" s="33"/>
      <c r="EA235" s="33"/>
      <c r="EB235" s="33"/>
      <c r="EC235" s="226"/>
      <c r="ED235" s="33"/>
      <c r="EE235" s="33"/>
      <c r="EF235" s="33"/>
      <c r="EG235" s="33"/>
      <c r="EH235" s="33"/>
      <c r="EI235" s="226"/>
      <c r="EJ235" s="33"/>
      <c r="EK235" s="33"/>
      <c r="EL235" s="33"/>
      <c r="EM235" s="33"/>
      <c r="EN235" s="33"/>
      <c r="EO235" s="226"/>
      <c r="EP235" s="33"/>
      <c r="EQ235" s="33"/>
      <c r="ER235" s="33"/>
      <c r="ES235" s="33"/>
      <c r="ET235" s="33"/>
      <c r="EU235" s="226"/>
      <c r="EV235" s="33"/>
      <c r="EW235" s="33"/>
      <c r="EX235" s="33"/>
      <c r="EY235" s="33"/>
      <c r="EZ235" s="33"/>
      <c r="FA235" s="226"/>
      <c r="FB235" s="33"/>
      <c r="FC235" s="33"/>
      <c r="FD235" s="33"/>
      <c r="FE235" s="33"/>
      <c r="FF235" s="33"/>
      <c r="FG235" s="226"/>
      <c r="FH235" s="33"/>
      <c r="FI235" s="33"/>
      <c r="FJ235" s="33"/>
      <c r="FK235" s="33"/>
      <c r="FL235" s="33"/>
      <c r="FM235" s="226"/>
      <c r="FN235" s="226"/>
      <c r="FO235" s="227"/>
      <c r="FP235" s="33"/>
      <c r="FQ235" s="33"/>
      <c r="FR235" s="33"/>
      <c r="FS235" s="227"/>
      <c r="FT235" s="33"/>
      <c r="FU235" s="33"/>
      <c r="FV235" s="33"/>
      <c r="FW235" s="33"/>
      <c r="FX235" s="33"/>
      <c r="FY235" s="33"/>
      <c r="FZ235" s="33"/>
      <c r="GA235" s="33"/>
      <c r="GB235" s="33"/>
      <c r="GC235" s="33"/>
      <c r="GD235" s="33"/>
      <c r="GE235" s="33"/>
      <c r="GF235" s="33"/>
      <c r="GH235" s="33"/>
      <c r="GI235"/>
      <c r="GJ235"/>
      <c r="GK235"/>
      <c r="GL235"/>
      <c r="GM235"/>
      <c r="GN235"/>
      <c r="GO235" s="33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</row>
    <row r="236" spans="1:281" s="127" customFormat="1" ht="12.75" hidden="1" customHeight="1" outlineLevel="1" x14ac:dyDescent="0.2">
      <c r="A236" s="18" t="s">
        <v>619</v>
      </c>
      <c r="B236" s="359"/>
      <c r="C236" s="33"/>
      <c r="D236" s="33"/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  <c r="AD236" s="33"/>
      <c r="AE236" s="33"/>
      <c r="AF236" s="33"/>
      <c r="AG236" s="33"/>
      <c r="AH236" s="33"/>
      <c r="AI236" s="33"/>
      <c r="AJ236" s="33"/>
      <c r="AK236" s="33"/>
      <c r="AL236" s="33"/>
      <c r="AM236" s="33"/>
      <c r="AN236" s="33"/>
      <c r="AO236" s="33"/>
      <c r="AP236" s="33"/>
      <c r="AQ236" s="33"/>
      <c r="AR236" s="33"/>
      <c r="AS236" s="33"/>
      <c r="AT236" s="33"/>
      <c r="AU236" s="33"/>
      <c r="AV236" s="33"/>
      <c r="AW236" s="33"/>
      <c r="AX236" s="33"/>
      <c r="AY236" s="33"/>
      <c r="AZ236" s="33"/>
      <c r="BA236" s="33"/>
      <c r="BB236" s="33"/>
      <c r="BC236" s="361">
        <f>BC234/BC223</f>
        <v>0.33745296412643183</v>
      </c>
      <c r="BD236" s="33"/>
      <c r="BE236" s="33"/>
      <c r="BF236" s="33"/>
      <c r="BG236" s="33"/>
      <c r="BH236" s="33"/>
      <c r="BI236" s="361">
        <f>BI234/BI223</f>
        <v>0.31011028377770267</v>
      </c>
      <c r="BJ236" s="33"/>
      <c r="BK236" s="361">
        <f>BK234/BK223</f>
        <v>4.6962828649138713E-2</v>
      </c>
      <c r="BL236" s="361">
        <f>BL234/BL223</f>
        <v>8.1365313653136526E-2</v>
      </c>
      <c r="BM236" s="361">
        <f>BM234/BM223</f>
        <v>9.0655768159019129E-2</v>
      </c>
      <c r="BN236" s="361">
        <f>BN234/BN223</f>
        <v>0.14738610903659449</v>
      </c>
      <c r="BO236" s="361">
        <f>BO234/BO223</f>
        <v>0.36496862310815803</v>
      </c>
      <c r="BP236" s="33"/>
      <c r="BQ236" s="361">
        <f>BQ234/BQ223</f>
        <v>7.7426594351973063E-2</v>
      </c>
      <c r="BR236" s="361">
        <f>BR234/BR223</f>
        <v>0.10492786209480982</v>
      </c>
      <c r="BS236" s="361">
        <f>BS234/BS223</f>
        <v>0.10792580101180438</v>
      </c>
      <c r="BT236" s="361">
        <f>BT234/BT223</f>
        <v>0.1845542305508234</v>
      </c>
      <c r="BU236" s="361">
        <f>BU234/BU223</f>
        <v>0.46526473901614718</v>
      </c>
      <c r="BV236" s="33"/>
      <c r="BW236" s="361">
        <f>BW234/BW223</f>
        <v>9.0059149017363102E-2</v>
      </c>
      <c r="BX236" s="361">
        <f>BX234/BX223</f>
        <v>0.1483326945189728</v>
      </c>
      <c r="BY236" s="361">
        <f>BY234/BY223</f>
        <v>0.10057361376673041</v>
      </c>
      <c r="BZ236" s="361">
        <f>BZ234/BZ223</f>
        <v>0.18704470768055023</v>
      </c>
      <c r="CA236" s="361">
        <f>CA234/CA223</f>
        <v>0.52592687473115718</v>
      </c>
      <c r="CB236" s="33"/>
      <c r="CC236" s="361">
        <f>CC234/CC223</f>
        <v>9.401220442410374E-2</v>
      </c>
      <c r="CD236" s="361">
        <f>CD234/CD223</f>
        <v>0.14576174112256587</v>
      </c>
      <c r="CE236" s="361">
        <f>CE234/CE223</f>
        <v>0.13836726998491705</v>
      </c>
      <c r="CF236" s="361">
        <f>CF234/CF223</f>
        <v>0.23682300390843108</v>
      </c>
      <c r="CG236" s="362">
        <f>CG234/CG223</f>
        <v>0.61682499172928784</v>
      </c>
      <c r="CH236" s="33"/>
      <c r="CI236" s="33"/>
      <c r="CJ236" s="33"/>
      <c r="CK236" s="33"/>
      <c r="CL236" s="33"/>
      <c r="CM236" s="226"/>
      <c r="CN236" s="33"/>
      <c r="CO236" s="33"/>
      <c r="CP236" s="33"/>
      <c r="CQ236" s="33"/>
      <c r="CR236" s="33"/>
      <c r="CS236" s="226"/>
      <c r="CT236" s="33"/>
      <c r="CU236" s="33"/>
      <c r="CV236" s="33"/>
      <c r="CW236" s="33"/>
      <c r="CX236" s="33"/>
      <c r="CY236" s="226"/>
      <c r="CZ236" s="33"/>
      <c r="DA236" s="33"/>
      <c r="DB236" s="33"/>
      <c r="DC236" s="33"/>
      <c r="DD236" s="33"/>
      <c r="DE236" s="226"/>
      <c r="DF236" s="33"/>
      <c r="DG236" s="33"/>
      <c r="DH236" s="33"/>
      <c r="DI236" s="33"/>
      <c r="DJ236" s="33"/>
      <c r="DK236" s="226"/>
      <c r="DL236" s="33"/>
      <c r="DM236" s="33"/>
      <c r="DN236" s="33"/>
      <c r="DO236" s="33">
        <f>DJ91</f>
        <v>10806</v>
      </c>
      <c r="DP236" s="33"/>
      <c r="DQ236" s="226"/>
      <c r="DR236" s="33"/>
      <c r="DS236" s="33"/>
      <c r="DT236" s="33"/>
      <c r="DU236" s="33"/>
      <c r="DV236" s="33"/>
      <c r="DW236" s="226"/>
      <c r="DX236" s="33"/>
      <c r="DY236" s="33"/>
      <c r="DZ236" s="33"/>
      <c r="EA236" s="33"/>
      <c r="EB236" s="33"/>
      <c r="EC236" s="226"/>
      <c r="ED236" s="33"/>
      <c r="EE236" s="33"/>
      <c r="EF236" s="33"/>
      <c r="EG236" s="33"/>
      <c r="EH236" s="33"/>
      <c r="EI236" s="226"/>
      <c r="EJ236" s="33"/>
      <c r="EK236" s="33"/>
      <c r="EL236" s="33"/>
      <c r="EM236" s="33"/>
      <c r="EN236" s="33"/>
      <c r="EO236" s="226"/>
      <c r="EP236" s="33"/>
      <c r="EQ236" s="33"/>
      <c r="ER236" s="33"/>
      <c r="ES236" s="33"/>
      <c r="ET236" s="33"/>
      <c r="EU236" s="226"/>
      <c r="EV236" s="33"/>
      <c r="EW236" s="33"/>
      <c r="EX236" s="33"/>
      <c r="EY236" s="33"/>
      <c r="EZ236" s="33"/>
      <c r="FA236" s="226"/>
      <c r="FB236" s="33"/>
      <c r="FC236" s="33"/>
      <c r="FD236" s="33"/>
      <c r="FE236" s="33"/>
      <c r="FF236" s="33"/>
      <c r="FG236" s="226"/>
      <c r="FH236" s="33"/>
      <c r="FI236" s="33"/>
      <c r="FJ236" s="33"/>
      <c r="FK236" s="33"/>
      <c r="FL236" s="33"/>
      <c r="FM236" s="226"/>
      <c r="FN236" s="226"/>
      <c r="FO236" s="227"/>
      <c r="FP236" s="33"/>
      <c r="FQ236" s="33"/>
      <c r="FR236" s="33"/>
      <c r="FS236" s="227"/>
      <c r="FT236" s="33"/>
      <c r="FU236" s="33"/>
      <c r="FV236" s="33"/>
      <c r="FW236" s="33"/>
      <c r="FX236" s="33"/>
      <c r="FY236" s="33"/>
      <c r="FZ236" s="33"/>
      <c r="GA236" s="33"/>
      <c r="GB236" s="33"/>
      <c r="GC236" s="33"/>
      <c r="GD236" s="33"/>
      <c r="GE236" s="33"/>
      <c r="GF236" s="33"/>
      <c r="GH236" s="33"/>
      <c r="GI236"/>
      <c r="GJ236"/>
      <c r="GK236"/>
      <c r="GL236"/>
      <c r="GM236"/>
      <c r="GN236"/>
      <c r="GO236" s="33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</row>
    <row r="237" spans="1:281" s="127" customFormat="1" ht="12.75" hidden="1" customHeight="1" outlineLevel="1" x14ac:dyDescent="0.2">
      <c r="A237" s="18"/>
      <c r="B237" s="359"/>
      <c r="C237" s="33"/>
      <c r="D237" s="33"/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  <c r="AD237" s="33"/>
      <c r="AE237" s="33"/>
      <c r="AF237" s="33"/>
      <c r="AG237" s="33"/>
      <c r="AH237" s="33"/>
      <c r="AI237" s="33"/>
      <c r="AJ237" s="33"/>
      <c r="AK237" s="33"/>
      <c r="AL237" s="33"/>
      <c r="AM237" s="33"/>
      <c r="AN237" s="33"/>
      <c r="AO237" s="33"/>
      <c r="AP237" s="33"/>
      <c r="AQ237" s="33"/>
      <c r="AR237" s="33"/>
      <c r="AS237" s="33"/>
      <c r="AT237" s="33"/>
      <c r="AU237" s="33"/>
      <c r="AV237" s="33"/>
      <c r="AW237" s="33"/>
      <c r="AX237" s="33"/>
      <c r="AY237" s="33"/>
      <c r="AZ237" s="33"/>
      <c r="BA237" s="33"/>
      <c r="BB237" s="33"/>
      <c r="BC237" s="361"/>
      <c r="BD237" s="33"/>
      <c r="BE237" s="33"/>
      <c r="BF237" s="33"/>
      <c r="BG237" s="33"/>
      <c r="BH237" s="33"/>
      <c r="BI237" s="361"/>
      <c r="BJ237" s="33"/>
      <c r="BK237" s="361"/>
      <c r="BL237" s="361"/>
      <c r="BM237" s="361"/>
      <c r="BN237" s="361"/>
      <c r="BO237" s="361"/>
      <c r="BP237" s="33"/>
      <c r="BQ237" s="361"/>
      <c r="BR237" s="361"/>
      <c r="BS237" s="361"/>
      <c r="BT237" s="361"/>
      <c r="BU237" s="361"/>
      <c r="BV237" s="33"/>
      <c r="BW237" s="361"/>
      <c r="BX237" s="361"/>
      <c r="BY237" s="361"/>
      <c r="BZ237" s="361"/>
      <c r="CA237" s="361"/>
      <c r="CB237" s="33"/>
      <c r="CC237" s="361"/>
      <c r="CD237" s="33"/>
      <c r="CE237" s="33"/>
      <c r="CF237" s="33"/>
      <c r="CG237" s="226"/>
      <c r="CH237" s="33"/>
      <c r="CI237" s="33"/>
      <c r="CJ237" s="33"/>
      <c r="CK237" s="33"/>
      <c r="CL237" s="33"/>
      <c r="CM237" s="226"/>
      <c r="CN237" s="33"/>
      <c r="CO237" s="33"/>
      <c r="CP237" s="33"/>
      <c r="CQ237" s="33"/>
      <c r="CR237" s="33"/>
      <c r="CS237" s="226"/>
      <c r="CT237" s="33"/>
      <c r="CU237" s="33"/>
      <c r="CV237" s="33"/>
      <c r="CW237" s="33"/>
      <c r="CX237" s="33"/>
      <c r="CY237" s="226"/>
      <c r="CZ237" s="33"/>
      <c r="DA237" s="33"/>
      <c r="DB237" s="33"/>
      <c r="DC237" s="33"/>
      <c r="DD237" s="33"/>
      <c r="DE237" s="226"/>
      <c r="DF237" s="33"/>
      <c r="DG237" s="33"/>
      <c r="DH237" s="33"/>
      <c r="DI237" s="33"/>
      <c r="DJ237" s="33"/>
      <c r="DK237" s="226"/>
      <c r="DL237" s="33"/>
      <c r="DM237" s="33"/>
      <c r="DN237" s="33"/>
      <c r="DO237" s="1179">
        <f>DO235/DO236</f>
        <v>0.50908067997543671</v>
      </c>
      <c r="DP237" s="33"/>
      <c r="DQ237" s="226"/>
      <c r="DR237" s="33"/>
      <c r="DS237" s="33"/>
      <c r="DT237" s="33"/>
      <c r="DU237" s="33"/>
      <c r="DV237" s="33"/>
      <c r="DW237" s="226"/>
      <c r="DX237" s="33"/>
      <c r="DY237" s="33"/>
      <c r="DZ237" s="33"/>
      <c r="EA237" s="33"/>
      <c r="EB237" s="33"/>
      <c r="EC237" s="226"/>
      <c r="ED237" s="33"/>
      <c r="EE237" s="33"/>
      <c r="EF237" s="33"/>
      <c r="EG237" s="33"/>
      <c r="EH237" s="33"/>
      <c r="EI237" s="226"/>
      <c r="EJ237" s="33"/>
      <c r="EK237" s="33"/>
      <c r="EL237" s="33"/>
      <c r="EM237" s="33"/>
      <c r="EN237" s="33"/>
      <c r="EO237" s="226"/>
      <c r="EP237" s="33"/>
      <c r="EQ237" s="33"/>
      <c r="ER237" s="33"/>
      <c r="ES237" s="33"/>
      <c r="ET237" s="33"/>
      <c r="EU237" s="226"/>
      <c r="EV237" s="33"/>
      <c r="EW237" s="33"/>
      <c r="EX237" s="33"/>
      <c r="EY237" s="33"/>
      <c r="EZ237" s="33"/>
      <c r="FA237" s="226"/>
      <c r="FB237" s="33"/>
      <c r="FC237" s="33"/>
      <c r="FD237" s="33"/>
      <c r="FE237" s="33"/>
      <c r="FF237" s="33"/>
      <c r="FG237" s="226"/>
      <c r="FH237" s="33"/>
      <c r="FI237" s="33"/>
      <c r="FJ237" s="33"/>
      <c r="FK237" s="33"/>
      <c r="FL237" s="33"/>
      <c r="FM237" s="226"/>
      <c r="FN237" s="226"/>
      <c r="FO237" s="227"/>
      <c r="FP237" s="33"/>
      <c r="FQ237" s="33"/>
      <c r="FR237" s="33"/>
      <c r="FS237" s="227"/>
      <c r="FT237" s="33"/>
      <c r="FU237" s="33"/>
      <c r="FV237" s="33"/>
      <c r="FW237" s="33"/>
      <c r="FX237" s="33"/>
      <c r="FY237" s="33"/>
      <c r="FZ237" s="33"/>
      <c r="GA237" s="33"/>
      <c r="GB237" s="33"/>
      <c r="GC237" s="33"/>
      <c r="GD237" s="33"/>
      <c r="GE237" s="33"/>
      <c r="GF237" s="33"/>
      <c r="GH237" s="33"/>
      <c r="GI237"/>
      <c r="GJ237"/>
      <c r="GK237"/>
      <c r="GL237"/>
      <c r="GM237"/>
      <c r="GN237"/>
      <c r="GO237" s="33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</row>
    <row r="238" spans="1:281" s="127" customFormat="1" ht="12.75" hidden="1" customHeight="1" outlineLevel="1" x14ac:dyDescent="0.2">
      <c r="A238" s="860" t="s">
        <v>620</v>
      </c>
      <c r="B238" s="861"/>
      <c r="C238" s="230"/>
      <c r="D238" s="230"/>
      <c r="E238" s="230"/>
      <c r="F238" s="230"/>
      <c r="G238" s="230"/>
      <c r="H238" s="230"/>
      <c r="I238" s="230"/>
      <c r="J238" s="230"/>
      <c r="K238" s="230"/>
      <c r="L238" s="230"/>
      <c r="M238" s="230"/>
      <c r="N238" s="230"/>
      <c r="O238" s="230"/>
      <c r="P238" s="230"/>
      <c r="Q238" s="230"/>
      <c r="R238" s="230"/>
      <c r="S238" s="230"/>
      <c r="T238" s="230"/>
      <c r="U238" s="230"/>
      <c r="V238" s="230"/>
      <c r="W238" s="230"/>
      <c r="X238" s="230"/>
      <c r="Y238" s="230"/>
      <c r="Z238" s="230"/>
      <c r="AA238" s="230"/>
      <c r="AB238" s="230"/>
      <c r="AC238" s="230"/>
      <c r="AD238" s="230"/>
      <c r="AE238" s="230"/>
      <c r="AF238" s="230"/>
      <c r="AG238" s="230"/>
      <c r="AH238" s="230"/>
      <c r="AI238" s="230"/>
      <c r="AJ238" s="230"/>
      <c r="AK238" s="230"/>
      <c r="AL238" s="230"/>
      <c r="AM238" s="230"/>
      <c r="AN238" s="230"/>
      <c r="AO238" s="230"/>
      <c r="AP238" s="230"/>
      <c r="AQ238" s="230"/>
      <c r="AR238" s="230"/>
      <c r="AS238" s="230"/>
      <c r="AT238" s="230"/>
      <c r="AU238" s="230"/>
      <c r="AV238" s="230"/>
      <c r="AW238" s="230"/>
      <c r="AX238" s="230"/>
      <c r="AY238" s="230"/>
      <c r="AZ238" s="230"/>
      <c r="BA238" s="230"/>
      <c r="BB238" s="230"/>
      <c r="BC238" s="862"/>
      <c r="BD238" s="230"/>
      <c r="BE238" s="230"/>
      <c r="BF238" s="230"/>
      <c r="BG238" s="230"/>
      <c r="BH238" s="230"/>
      <c r="BI238" s="862"/>
      <c r="BJ238" s="230"/>
      <c r="BK238" s="862"/>
      <c r="BL238" s="862"/>
      <c r="BM238" s="862"/>
      <c r="BN238" s="862"/>
      <c r="BO238" s="862"/>
      <c r="BP238" s="230"/>
      <c r="BQ238" s="862"/>
      <c r="BR238" s="862"/>
      <c r="BS238" s="862"/>
      <c r="BT238" s="862"/>
      <c r="BU238" s="862"/>
      <c r="BV238" s="230"/>
      <c r="BW238" s="862"/>
      <c r="BX238" s="862"/>
      <c r="BY238" s="862"/>
      <c r="BZ238" s="862"/>
      <c r="CA238" s="862"/>
      <c r="CB238" s="230"/>
      <c r="CC238" s="862"/>
      <c r="CD238" s="230"/>
      <c r="CE238" s="230"/>
      <c r="CF238" s="230"/>
      <c r="CG238" s="420"/>
      <c r="CH238" s="230"/>
      <c r="CI238" s="230"/>
      <c r="CJ238" s="230"/>
      <c r="CK238" s="230"/>
      <c r="CL238" s="230"/>
      <c r="CM238" s="420"/>
      <c r="CN238" s="230"/>
      <c r="CO238" s="230"/>
      <c r="CP238" s="230"/>
      <c r="CQ238" s="230"/>
      <c r="CR238" s="230"/>
      <c r="CS238" s="420"/>
      <c r="CT238" s="230"/>
      <c r="CU238" s="230"/>
      <c r="CV238" s="230"/>
      <c r="CW238" s="230"/>
      <c r="CX238" s="230"/>
      <c r="CY238" s="420"/>
      <c r="CZ238" s="230"/>
      <c r="DA238" s="230"/>
      <c r="DB238" s="230"/>
      <c r="DC238" s="230"/>
      <c r="DD238" s="230"/>
      <c r="DE238" s="420"/>
      <c r="DF238" s="230"/>
      <c r="DG238" s="230"/>
      <c r="DH238" s="230"/>
      <c r="DI238" s="230"/>
      <c r="DJ238" s="230"/>
      <c r="DK238" s="420"/>
      <c r="DL238" s="230"/>
      <c r="DM238" s="230"/>
      <c r="DN238" s="230"/>
      <c r="DO238" s="230"/>
      <c r="DP238" s="230"/>
      <c r="DQ238" s="420"/>
      <c r="DR238" s="230"/>
      <c r="DS238" s="230"/>
      <c r="DT238" s="230"/>
      <c r="DU238" s="230"/>
      <c r="DV238" s="230"/>
      <c r="DW238" s="420"/>
      <c r="DX238" s="230"/>
      <c r="DY238" s="230"/>
      <c r="DZ238" s="230"/>
      <c r="EA238" s="230"/>
      <c r="EB238" s="230"/>
      <c r="EC238" s="420"/>
      <c r="ED238" s="230"/>
      <c r="EE238" s="230"/>
      <c r="EF238" s="230"/>
      <c r="EG238" s="230"/>
      <c r="EH238" s="230"/>
      <c r="EI238" s="420"/>
      <c r="EJ238" s="230"/>
      <c r="EK238" s="230"/>
      <c r="EL238" s="230"/>
      <c r="EM238" s="230"/>
      <c r="EN238" s="230"/>
      <c r="EO238" s="420"/>
      <c r="EP238" s="230"/>
      <c r="EQ238" s="230"/>
      <c r="ER238" s="230"/>
      <c r="ES238" s="230"/>
      <c r="ET238" s="230"/>
      <c r="EU238" s="420"/>
      <c r="EV238" s="230"/>
      <c r="EW238" s="230"/>
      <c r="EX238" s="230"/>
      <c r="EY238" s="230"/>
      <c r="EZ238" s="230"/>
      <c r="FA238" s="420"/>
      <c r="FB238" s="230"/>
      <c r="FC238" s="230"/>
      <c r="FD238" s="230"/>
      <c r="FE238" s="230"/>
      <c r="FF238" s="230"/>
      <c r="FG238" s="420"/>
      <c r="FH238" s="230"/>
      <c r="FI238" s="230"/>
      <c r="FJ238" s="230"/>
      <c r="FK238" s="230"/>
      <c r="FL238" s="230"/>
      <c r="FM238" s="420"/>
      <c r="FN238" s="226"/>
      <c r="FO238" s="227"/>
      <c r="FP238" s="33"/>
      <c r="FQ238" s="33"/>
      <c r="FR238" s="33"/>
      <c r="FS238" s="227"/>
      <c r="FT238" s="33"/>
      <c r="FU238" s="33"/>
      <c r="FV238" s="33"/>
      <c r="FW238" s="33"/>
      <c r="FX238" s="33"/>
      <c r="FY238" s="33"/>
      <c r="FZ238" s="33"/>
      <c r="GA238" s="33"/>
      <c r="GB238" s="33"/>
      <c r="GC238" s="33"/>
      <c r="GD238" s="33"/>
      <c r="GE238" s="33"/>
      <c r="GF238" s="33"/>
      <c r="GH238" s="33"/>
      <c r="GI238"/>
      <c r="GJ238"/>
      <c r="GK238"/>
      <c r="GL238"/>
      <c r="GM238"/>
      <c r="GN238"/>
      <c r="GO238" s="33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</row>
    <row r="239" spans="1:281" s="127" customFormat="1" ht="12.75" hidden="1" customHeight="1" outlineLevel="1" x14ac:dyDescent="0.2">
      <c r="A239" s="363" t="s">
        <v>621</v>
      </c>
      <c r="B239" s="359"/>
      <c r="C239" s="33"/>
      <c r="D239" s="33"/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  <c r="AD239" s="33"/>
      <c r="AE239" s="33"/>
      <c r="AF239" s="33"/>
      <c r="AG239" s="364"/>
      <c r="AH239" s="364"/>
      <c r="AI239" s="364"/>
      <c r="AJ239" s="364"/>
      <c r="AK239" s="364"/>
      <c r="AL239" s="33"/>
      <c r="AM239" s="364"/>
      <c r="AN239" s="364"/>
      <c r="AO239" s="364"/>
      <c r="AP239" s="364"/>
      <c r="AQ239" s="364"/>
      <c r="AR239" s="33"/>
      <c r="AS239" s="364"/>
      <c r="AT239" s="364"/>
      <c r="AU239" s="364"/>
      <c r="AV239" s="364"/>
      <c r="AW239" s="364"/>
      <c r="AX239" s="33"/>
      <c r="AY239" s="364"/>
      <c r="AZ239" s="364"/>
      <c r="BA239" s="364"/>
      <c r="BB239" s="364"/>
      <c r="BC239" s="364"/>
      <c r="BD239" s="33"/>
      <c r="BE239" s="364">
        <f>(-BE233/(1-BE185))</f>
        <v>0</v>
      </c>
      <c r="BF239" s="364">
        <f>(-BF233/(1-BF185))</f>
        <v>0</v>
      </c>
      <c r="BG239" s="364">
        <f>(-BG233/(1-BG185))</f>
        <v>0</v>
      </c>
      <c r="BH239" s="364">
        <f>(-BH233/(1-BH185))</f>
        <v>0</v>
      </c>
      <c r="BI239" s="364">
        <f>SUM(BE239:BH239)</f>
        <v>0</v>
      </c>
      <c r="BJ239" s="33"/>
      <c r="BK239" s="364">
        <f>(-BK233/(1-BK185))</f>
        <v>152.18658892128281</v>
      </c>
      <c r="BL239" s="364">
        <f>(-BL233/(1-BL185))</f>
        <v>151.02803738317758</v>
      </c>
      <c r="BM239" s="364">
        <f>(-BM233/(1-BM185))</f>
        <v>120.50262697022765</v>
      </c>
      <c r="BN239" s="364">
        <f>(-BN233/(1-BN185))</f>
        <v>102.43895619757689</v>
      </c>
      <c r="BO239" s="364">
        <f>SUM(BK239:BN239)</f>
        <v>526.15620947226489</v>
      </c>
      <c r="BP239" s="33"/>
      <c r="BQ239" s="364">
        <f>(-BQ233/(1-BQ185))</f>
        <v>98.090909090909093</v>
      </c>
      <c r="BR239" s="364">
        <f>(-BR233/(1-BR185))</f>
        <v>96.499189627228532</v>
      </c>
      <c r="BS239" s="364">
        <f>(-BS233/(1-BS185))</f>
        <v>86.542586750788644</v>
      </c>
      <c r="BT239" s="364">
        <f>(-BT233/(1-BT185))</f>
        <v>21.5</v>
      </c>
      <c r="BU239" s="364">
        <f>SUM(BQ239:BT239)</f>
        <v>302.6326854689263</v>
      </c>
      <c r="BV239" s="33"/>
      <c r="BW239" s="364">
        <f>(-BW233/(1-BW185))</f>
        <v>53.646365422396862</v>
      </c>
      <c r="BX239" s="364">
        <f>(-BX233/(1-BX185))</f>
        <v>58.053987730061344</v>
      </c>
      <c r="BY239" s="364">
        <f>(-BY233/(1-BY185))</f>
        <v>60.021818181818183</v>
      </c>
      <c r="BZ239" s="364">
        <f>(-BZ233/(1-BZ185))</f>
        <v>115.77802359882004</v>
      </c>
      <c r="CA239" s="364">
        <f>SUM(BW239:BZ239)</f>
        <v>287.50019493309645</v>
      </c>
      <c r="CB239" s="367"/>
      <c r="CC239" s="364">
        <f>(-CC233/(1-CC185))</f>
        <v>48.051490514905147</v>
      </c>
      <c r="CD239" s="364">
        <f>(-CD233/(1-CD185))</f>
        <v>54.856922285126096</v>
      </c>
      <c r="CE239" s="364">
        <f>(-CE233/(1-CE185))</f>
        <v>57.777356517191784</v>
      </c>
      <c r="CF239" s="364">
        <f>(-CF233/(1-CF185))</f>
        <v>63.55630743204275</v>
      </c>
      <c r="CG239" s="365">
        <f>SUM(CC239:CF239)</f>
        <v>224.24207674926578</v>
      </c>
      <c r="CH239" s="33"/>
      <c r="CI239" s="859">
        <f>CI165</f>
        <v>50</v>
      </c>
      <c r="CJ239" s="859">
        <f>CJ165</f>
        <v>47</v>
      </c>
      <c r="CK239" s="859">
        <f>CK165</f>
        <v>48</v>
      </c>
      <c r="CL239" s="859">
        <f>CL165</f>
        <v>53</v>
      </c>
      <c r="CM239" s="365">
        <f>SUM(CI239:CL239)</f>
        <v>198</v>
      </c>
      <c r="CN239" s="33"/>
      <c r="CO239" s="859">
        <f>CO165</f>
        <v>69</v>
      </c>
      <c r="CP239" s="859">
        <f>CP165</f>
        <v>63</v>
      </c>
      <c r="CQ239" s="859">
        <f>CQ165</f>
        <v>62</v>
      </c>
      <c r="CR239" s="859">
        <v>70</v>
      </c>
      <c r="CS239" s="174">
        <f>SUM(CO239:CR239)</f>
        <v>264</v>
      </c>
      <c r="CT239" s="33"/>
      <c r="CU239" s="859">
        <f>CU165</f>
        <v>86</v>
      </c>
      <c r="CV239" s="859">
        <f>CV165</f>
        <v>89</v>
      </c>
      <c r="CW239" s="859">
        <f>CW165</f>
        <v>85</v>
      </c>
      <c r="CX239" s="859">
        <f>CX165</f>
        <v>82</v>
      </c>
      <c r="CY239" s="174">
        <f>SUM(CU239:CX239)</f>
        <v>342</v>
      </c>
      <c r="CZ239" s="33"/>
      <c r="DA239" s="859">
        <f>DA165</f>
        <v>84</v>
      </c>
      <c r="DB239" s="859">
        <f>DB165</f>
        <v>104</v>
      </c>
      <c r="DC239" s="859">
        <f>DC165</f>
        <v>112</v>
      </c>
      <c r="DD239" s="859">
        <f>DD165</f>
        <v>126</v>
      </c>
      <c r="DE239" s="174">
        <f>SUM(DA239:DD239)</f>
        <v>426</v>
      </c>
      <c r="DF239" s="33"/>
      <c r="DG239" s="859">
        <f>DG156</f>
        <v>129</v>
      </c>
      <c r="DH239" s="859">
        <f>DH156</f>
        <v>119</v>
      </c>
      <c r="DI239" s="859">
        <f>DI156</f>
        <v>128</v>
      </c>
      <c r="DJ239" s="859">
        <f>DJ156</f>
        <v>127</v>
      </c>
      <c r="DK239" s="174">
        <f>SUM(DG239:DJ239)</f>
        <v>503</v>
      </c>
      <c r="DL239" s="33"/>
      <c r="DM239" s="859">
        <f>DM156</f>
        <v>147</v>
      </c>
      <c r="DN239" s="859">
        <f>DN156</f>
        <v>150</v>
      </c>
      <c r="DO239" s="859">
        <f>DO156</f>
        <v>157</v>
      </c>
      <c r="DP239" s="859">
        <f>DP156</f>
        <v>184</v>
      </c>
      <c r="DQ239" s="174">
        <f>SUM(DM239:DP239)</f>
        <v>638</v>
      </c>
      <c r="DR239" s="33"/>
      <c r="DS239" s="859">
        <f>DS156</f>
        <v>176</v>
      </c>
      <c r="DT239" s="859">
        <f>DT156</f>
        <v>188</v>
      </c>
      <c r="DU239" s="859">
        <f>DU156</f>
        <v>172</v>
      </c>
      <c r="DV239" s="859">
        <f>DW239*0.25</f>
        <v>185.28829667646059</v>
      </c>
      <c r="DW239" s="174">
        <f>DQ239+((DQ240-CS240)/4)</f>
        <v>741.15318670584236</v>
      </c>
      <c r="DX239" s="33"/>
      <c r="DY239" s="859">
        <v>198</v>
      </c>
      <c r="DZ239" s="859">
        <v>183</v>
      </c>
      <c r="EA239" s="859">
        <v>198</v>
      </c>
      <c r="EB239" s="859">
        <v>190</v>
      </c>
      <c r="EC239" s="174">
        <f>DW239+((DW240-CY240)/4)-40</f>
        <v>780.94051044404398</v>
      </c>
      <c r="ED239" s="33"/>
      <c r="EE239" s="859">
        <v>212</v>
      </c>
      <c r="EF239" s="859">
        <v>240</v>
      </c>
      <c r="EG239" s="859">
        <v>234</v>
      </c>
      <c r="EH239" s="859">
        <v>244</v>
      </c>
      <c r="EI239" s="174">
        <f>EC239+((EC240-DE240)/4)-40</f>
        <v>818.83060612535883</v>
      </c>
      <c r="EJ239" s="33"/>
      <c r="EK239" s="859">
        <v>250</v>
      </c>
      <c r="EL239" s="859">
        <v>254</v>
      </c>
      <c r="EM239" s="859">
        <v>260</v>
      </c>
      <c r="EN239" s="859">
        <v>269</v>
      </c>
      <c r="EO239" s="174">
        <f>SUM(EK239:EN239)</f>
        <v>1033</v>
      </c>
      <c r="EP239" s="33"/>
      <c r="EQ239" s="859">
        <v>319</v>
      </c>
      <c r="ER239" s="859">
        <v>327</v>
      </c>
      <c r="ES239" s="859">
        <v>371</v>
      </c>
      <c r="ET239" s="859">
        <v>334</v>
      </c>
      <c r="EU239" s="174">
        <f>SUM(EQ239:ET239)</f>
        <v>1351</v>
      </c>
      <c r="EV239" s="33"/>
      <c r="EW239" s="859">
        <v>302</v>
      </c>
      <c r="EX239" s="859">
        <v>418</v>
      </c>
      <c r="EY239" s="859">
        <v>389</v>
      </c>
      <c r="EZ239" s="859">
        <f>FA239*0.25</f>
        <v>368.37485726736128</v>
      </c>
      <c r="FA239" s="174">
        <f>EU239+((EU240-DW240)/4)+150</f>
        <v>1473.4994290694451</v>
      </c>
      <c r="FB239" s="33"/>
      <c r="FC239" s="859">
        <f>FG239*0.25</f>
        <v>402.96541119750179</v>
      </c>
      <c r="FD239" s="859">
        <f>FG239*0.25</f>
        <v>402.96541119750179</v>
      </c>
      <c r="FE239" s="859">
        <f>FG239*0.25</f>
        <v>402.96541119750179</v>
      </c>
      <c r="FF239" s="859">
        <f>FG239*0.25</f>
        <v>402.96541119750179</v>
      </c>
      <c r="FG239" s="174">
        <f>FA239+((FA240-EC240)/4)+150</f>
        <v>1611.8616447900072</v>
      </c>
      <c r="FH239" s="33"/>
      <c r="FI239" s="859">
        <f>FM239*0.25</f>
        <v>442.929379426048</v>
      </c>
      <c r="FJ239" s="859">
        <f>FM239*0.25</f>
        <v>442.929379426048</v>
      </c>
      <c r="FK239" s="859">
        <f>FM239*0.25</f>
        <v>442.929379426048</v>
      </c>
      <c r="FL239" s="859">
        <f>FM239*0.25</f>
        <v>442.929379426048</v>
      </c>
      <c r="FM239" s="174">
        <f>FG239+((FG240-EI240)/4)+150</f>
        <v>1771.717517704192</v>
      </c>
      <c r="FN239" s="226"/>
      <c r="FO239" s="227"/>
      <c r="FP239" s="33"/>
      <c r="FQ239" s="33"/>
      <c r="FR239" s="33"/>
      <c r="FS239" s="227"/>
      <c r="FT239" s="33"/>
      <c r="FU239" s="33"/>
      <c r="FV239" s="33"/>
      <c r="FW239" s="33"/>
      <c r="FX239" s="33"/>
      <c r="FY239" s="33"/>
      <c r="FZ239" s="33"/>
      <c r="GA239" s="33"/>
      <c r="GB239" s="33"/>
      <c r="GC239" s="33"/>
      <c r="GD239" s="33"/>
      <c r="GE239" s="33"/>
      <c r="GF239" s="33"/>
      <c r="GH239" s="33"/>
      <c r="GI239"/>
      <c r="GJ239"/>
      <c r="GK239"/>
      <c r="GL239"/>
      <c r="GM239"/>
      <c r="GN239"/>
      <c r="GO239" s="33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</row>
    <row r="240" spans="1:281" s="127" customFormat="1" ht="12.75" hidden="1" customHeight="1" outlineLevel="1" x14ac:dyDescent="0.2">
      <c r="A240" s="363" t="s">
        <v>622</v>
      </c>
      <c r="B240" s="359"/>
      <c r="C240" s="33"/>
      <c r="D240" s="33"/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  <c r="AD240" s="33"/>
      <c r="AE240" s="33"/>
      <c r="AF240" s="33"/>
      <c r="AG240" s="361"/>
      <c r="AH240" s="361"/>
      <c r="AI240" s="361"/>
      <c r="AJ240" s="361"/>
      <c r="AK240" s="364"/>
      <c r="AL240" s="33"/>
      <c r="AM240" s="361"/>
      <c r="AN240" s="361"/>
      <c r="AO240" s="361"/>
      <c r="AP240" s="361"/>
      <c r="AQ240" s="364"/>
      <c r="AR240" s="33"/>
      <c r="AS240" s="361"/>
      <c r="AT240" s="361"/>
      <c r="AU240" s="361"/>
      <c r="AV240" s="361"/>
      <c r="AW240" s="364"/>
      <c r="AX240" s="33"/>
      <c r="AY240" s="361"/>
      <c r="AZ240" s="361"/>
      <c r="BA240" s="361"/>
      <c r="BB240" s="361"/>
      <c r="BC240" s="364"/>
      <c r="BD240" s="33"/>
      <c r="BE240" s="361"/>
      <c r="BF240" s="361"/>
      <c r="BG240" s="361"/>
      <c r="BH240" s="361"/>
      <c r="BI240" s="364">
        <f>+'Balance Sheet'!BI242*'Balance Sheet'!BI259</f>
        <v>3095.6699999999996</v>
      </c>
      <c r="BJ240" s="33"/>
      <c r="BK240" s="361"/>
      <c r="BL240" s="361"/>
      <c r="BM240" s="361"/>
      <c r="BN240" s="361"/>
      <c r="BO240" s="364">
        <f>+'Balance Sheet'!BO242*'Balance Sheet'!BO259</f>
        <v>2721.1600000000003</v>
      </c>
      <c r="BP240" s="33"/>
      <c r="BQ240" s="361"/>
      <c r="BR240" s="361"/>
      <c r="BS240" s="361"/>
      <c r="BT240" s="361"/>
      <c r="BU240" s="364">
        <f>+'Balance Sheet'!BU242*'Balance Sheet'!BU259</f>
        <v>2042.5450000000001</v>
      </c>
      <c r="BV240" s="33"/>
      <c r="BW240" s="361"/>
      <c r="BX240" s="361"/>
      <c r="BY240" s="361"/>
      <c r="BZ240" s="361"/>
      <c r="CA240" s="364">
        <f>+'Balance Sheet'!CA242*'Balance Sheet'!CA259</f>
        <v>1620.675</v>
      </c>
      <c r="CB240" s="33"/>
      <c r="CC240" s="361"/>
      <c r="CD240" s="33"/>
      <c r="CE240" s="33"/>
      <c r="CF240" s="33"/>
      <c r="CG240" s="365">
        <f>+'Balance Sheet'!CG242*'Balance Sheet'!CG259</f>
        <v>1360.32</v>
      </c>
      <c r="CH240" s="33"/>
      <c r="CI240" s="33"/>
      <c r="CJ240" s="33"/>
      <c r="CK240" s="33"/>
      <c r="CL240" s="33"/>
      <c r="CM240" s="174">
        <f>(CM243-CM248)*CM261</f>
        <v>313.78433605175132</v>
      </c>
      <c r="CN240" s="33"/>
      <c r="CO240" s="33"/>
      <c r="CP240" s="33"/>
      <c r="CQ240" s="33"/>
      <c r="CR240" s="33"/>
      <c r="CS240" s="174">
        <f>(CS243-CS248)*CS261</f>
        <v>396.25104279801525</v>
      </c>
      <c r="CT240" s="33"/>
      <c r="CU240" s="33"/>
      <c r="CV240" s="33"/>
      <c r="CW240" s="33"/>
      <c r="CX240" s="33"/>
      <c r="CY240" s="174">
        <f>(CY243-CY248)*CY261</f>
        <v>545.51712233817454</v>
      </c>
      <c r="CZ240" s="33"/>
      <c r="DA240" s="33"/>
      <c r="DB240" s="33"/>
      <c r="DC240" s="33"/>
      <c r="DD240" s="33"/>
      <c r="DE240" s="174">
        <f>(DE243-DE248)*DE261</f>
        <v>421.81178546817733</v>
      </c>
      <c r="DF240" s="33"/>
      <c r="DG240" s="33"/>
      <c r="DH240" s="33"/>
      <c r="DI240" s="33"/>
      <c r="DJ240" s="33"/>
      <c r="DK240" s="174">
        <f>(DK243-DK248)*DK261</f>
        <v>607.39522911928066</v>
      </c>
      <c r="DL240" s="33"/>
      <c r="DM240" s="879"/>
      <c r="DN240" s="879"/>
      <c r="DO240" s="33"/>
      <c r="DP240" s="33"/>
      <c r="DQ240" s="174">
        <f>(DQ243-DQ248)*DQ261</f>
        <v>808.86378962138485</v>
      </c>
      <c r="DR240" s="33"/>
      <c r="DS240" s="33"/>
      <c r="DT240" s="33"/>
      <c r="DU240" s="33"/>
      <c r="DV240" s="33"/>
      <c r="DW240" s="174">
        <f>(DW243-DW248)*DW261</f>
        <v>864.66641729098114</v>
      </c>
      <c r="DX240" s="33"/>
      <c r="DY240" s="33"/>
      <c r="DZ240" s="33"/>
      <c r="EA240" s="33"/>
      <c r="EB240" s="33"/>
      <c r="EC240" s="174">
        <f>(EC243-EC248)*EC261</f>
        <v>733.37216819343666</v>
      </c>
      <c r="ED240" s="33"/>
      <c r="EE240" s="33"/>
      <c r="EF240" s="33"/>
      <c r="EG240" s="33"/>
      <c r="EH240" s="33"/>
      <c r="EI240" s="174">
        <f>(EI243-EI248)*EI261</f>
        <v>686.51468960137231</v>
      </c>
      <c r="EJ240" s="33"/>
      <c r="EK240" s="33"/>
      <c r="EL240" s="33"/>
      <c r="EM240" s="33"/>
      <c r="EN240" s="33"/>
      <c r="EO240" s="174">
        <f>(EO243-EO248)*EO261</f>
        <v>727.32953032305659</v>
      </c>
      <c r="EP240" s="33"/>
      <c r="EQ240" s="33"/>
      <c r="ER240" s="33"/>
      <c r="ES240" s="33"/>
      <c r="ET240" s="33"/>
      <c r="EU240" s="174">
        <f>(EU243-EU248)*EU261</f>
        <v>754.6641335687616</v>
      </c>
      <c r="EV240" s="33"/>
      <c r="EW240" s="33"/>
      <c r="EX240" s="33"/>
      <c r="EY240" s="33"/>
      <c r="EZ240" s="33"/>
      <c r="FA240" s="174">
        <f>(FA243-FA248)*FA261</f>
        <v>686.82103107568491</v>
      </c>
      <c r="FB240" s="33"/>
      <c r="FC240" s="33"/>
      <c r="FD240" s="33"/>
      <c r="FE240" s="33"/>
      <c r="FF240" s="33"/>
      <c r="FG240" s="174">
        <f>(FG243-FG248)*FG261</f>
        <v>725.93818125811129</v>
      </c>
      <c r="FH240" s="33"/>
      <c r="FI240" s="33"/>
      <c r="FJ240" s="33"/>
      <c r="FK240" s="33"/>
      <c r="FL240" s="33"/>
      <c r="FM240" s="174">
        <f>(FM243-FM248)*FM261</f>
        <v>764.99864555190857</v>
      </c>
      <c r="FN240" s="226"/>
      <c r="FO240" s="227"/>
      <c r="FP240" s="33"/>
      <c r="FQ240" s="33"/>
      <c r="FR240" s="33"/>
      <c r="FS240" s="227"/>
      <c r="FT240" s="33"/>
      <c r="FU240" s="33"/>
      <c r="FV240" s="33"/>
      <c r="FW240" s="33"/>
      <c r="FX240" s="33"/>
      <c r="FY240" s="33"/>
      <c r="FZ240" s="33"/>
      <c r="GA240" s="33"/>
      <c r="GB240" s="33"/>
      <c r="GC240" s="33"/>
      <c r="GD240" s="33"/>
      <c r="GE240" s="33"/>
      <c r="GF240" s="33"/>
      <c r="GH240" s="33"/>
      <c r="GI240"/>
      <c r="GJ240"/>
      <c r="GK240"/>
      <c r="GL240"/>
      <c r="GM240"/>
      <c r="GN240"/>
      <c r="GO240" s="33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</row>
    <row r="241" spans="1:281" s="127" customFormat="1" ht="12.75" hidden="1" customHeight="1" outlineLevel="1" x14ac:dyDescent="0.2">
      <c r="A241" s="366" t="s">
        <v>623</v>
      </c>
      <c r="B241" s="359"/>
      <c r="C241" s="33"/>
      <c r="D241" s="33"/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  <c r="AD241" s="33"/>
      <c r="AE241" s="33"/>
      <c r="AF241" s="33"/>
      <c r="AG241" s="361"/>
      <c r="AH241" s="361"/>
      <c r="AI241" s="361"/>
      <c r="AJ241" s="361"/>
      <c r="AK241" s="123"/>
      <c r="AL241" s="33"/>
      <c r="AM241" s="361"/>
      <c r="AN241" s="361"/>
      <c r="AO241" s="361"/>
      <c r="AP241" s="361"/>
      <c r="AQ241" s="123"/>
      <c r="AR241" s="33"/>
      <c r="AS241" s="361"/>
      <c r="AT241" s="361"/>
      <c r="AU241" s="361"/>
      <c r="AV241" s="361"/>
      <c r="AW241" s="123"/>
      <c r="AX241" s="33"/>
      <c r="AY241" s="361"/>
      <c r="AZ241" s="361"/>
      <c r="BA241" s="361"/>
      <c r="BB241" s="361"/>
      <c r="BC241" s="123"/>
      <c r="BD241" s="33"/>
      <c r="BE241" s="361"/>
      <c r="BF241" s="361"/>
      <c r="BG241" s="361"/>
      <c r="BH241" s="361"/>
      <c r="BI241" s="123">
        <f>BI240/(BI141+BI167)</f>
        <v>0.50733210736855516</v>
      </c>
      <c r="BJ241" s="33"/>
      <c r="BK241" s="361"/>
      <c r="BL241" s="361"/>
      <c r="BM241" s="361"/>
      <c r="BN241" s="361"/>
      <c r="BO241" s="123">
        <f>BO240/(BO141+BO167)</f>
        <v>0.45089643744821878</v>
      </c>
      <c r="BP241" s="33"/>
      <c r="BQ241" s="361"/>
      <c r="BR241" s="361"/>
      <c r="BS241" s="361"/>
      <c r="BT241" s="361"/>
      <c r="BU241" s="123">
        <f>BU240/(BU141+BU167)</f>
        <v>0.32462571519389705</v>
      </c>
      <c r="BV241" s="33"/>
      <c r="BW241" s="361"/>
      <c r="BX241" s="361"/>
      <c r="BY241" s="361"/>
      <c r="BZ241" s="361"/>
      <c r="CA241" s="123">
        <f>CA240/(CA141+CA167)</f>
        <v>0.22577735365411941</v>
      </c>
      <c r="CB241" s="33"/>
      <c r="CC241" s="361"/>
      <c r="CD241" s="33"/>
      <c r="CE241" s="33"/>
      <c r="CF241" s="33"/>
      <c r="CG241" s="269">
        <f>CG240/(CG141+CG167)</f>
        <v>0.15449140559786032</v>
      </c>
      <c r="CH241" s="33"/>
      <c r="CI241" s="33"/>
      <c r="CJ241" s="33"/>
      <c r="CK241" s="33"/>
      <c r="CL241" s="33"/>
      <c r="CM241" s="269">
        <f>CM240/(CM87+CM142)</f>
        <v>2.5455044702827233E-2</v>
      </c>
      <c r="CN241" s="33"/>
      <c r="CO241" s="33"/>
      <c r="CP241" s="33"/>
      <c r="CQ241" s="33"/>
      <c r="CR241" s="33"/>
      <c r="CS241" s="269">
        <f>CS240/(CS87+CS142)</f>
        <v>2.6252222260369367E-2</v>
      </c>
      <c r="CT241" s="33"/>
      <c r="CU241" s="33"/>
      <c r="CV241" s="33"/>
      <c r="CW241" s="33"/>
      <c r="CX241" s="33"/>
      <c r="CY241" s="269">
        <f>CY240/(CY87+CY142)</f>
        <v>3.3320127188991848E-2</v>
      </c>
      <c r="CZ241" s="33"/>
      <c r="DA241" s="33"/>
      <c r="DB241" s="33"/>
      <c r="DC241" s="33"/>
      <c r="DD241" s="33"/>
      <c r="DE241" s="269">
        <f>DE240/(DE87+DE142)</f>
        <v>2.3440499331379681E-2</v>
      </c>
      <c r="DF241" s="33"/>
      <c r="DG241" s="33"/>
      <c r="DH241" s="33"/>
      <c r="DI241" s="33"/>
      <c r="DJ241" s="33"/>
      <c r="DK241" s="269">
        <f>DK240/(DK87+DK142)</f>
        <v>2.7265575666350076E-2</v>
      </c>
      <c r="DL241" s="33"/>
      <c r="DM241" s="33"/>
      <c r="DN241" s="33"/>
      <c r="DO241" s="33"/>
      <c r="DP241" s="33"/>
      <c r="DQ241" s="269">
        <f>DQ240/(DQ87+DQ142)</f>
        <v>3.4468873821709503E-2</v>
      </c>
      <c r="DR241" s="33"/>
      <c r="DS241" s="33"/>
      <c r="DT241" s="33"/>
      <c r="DU241" s="33"/>
      <c r="DV241" s="33"/>
      <c r="DW241" s="269">
        <f>DW240/(DW87+DW142)</f>
        <v>3.6954714817120315E-2</v>
      </c>
      <c r="DX241" s="33"/>
      <c r="DY241" s="33"/>
      <c r="DZ241" s="33"/>
      <c r="EA241" s="33"/>
      <c r="EB241" s="33"/>
      <c r="EC241" s="269">
        <f>EC240/(EC87+EC142)</f>
        <v>3.015882584995833E-2</v>
      </c>
      <c r="ED241" s="33"/>
      <c r="EE241" s="33"/>
      <c r="EF241" s="33"/>
      <c r="EG241" s="33"/>
      <c r="EH241" s="33"/>
      <c r="EI241" s="269">
        <f>EI240/(EI87+EI142)</f>
        <v>2.7695444957292734E-2</v>
      </c>
      <c r="EJ241" s="33"/>
      <c r="EK241" s="33"/>
      <c r="EL241" s="33"/>
      <c r="EM241" s="33"/>
      <c r="EN241" s="33"/>
      <c r="EO241" s="269">
        <f>EO240/(EO87+EO142)</f>
        <v>2.9747629052067754E-2</v>
      </c>
      <c r="EP241" s="33"/>
      <c r="EQ241" s="33"/>
      <c r="ER241" s="33"/>
      <c r="ES241" s="33"/>
      <c r="ET241" s="33"/>
      <c r="EU241" s="269">
        <f>EU240/(EU87+EU142)</f>
        <v>3.0598072702917461E-2</v>
      </c>
      <c r="EV241" s="33"/>
      <c r="EW241" s="33"/>
      <c r="EX241" s="33"/>
      <c r="EY241" s="33"/>
      <c r="EZ241" s="33"/>
      <c r="FA241" s="269">
        <f>FA240/(FA87+FA142)</f>
        <v>2.6850754723962256E-2</v>
      </c>
      <c r="FB241" s="33"/>
      <c r="FC241" s="33"/>
      <c r="FD241" s="33"/>
      <c r="FE241" s="33"/>
      <c r="FF241" s="33"/>
      <c r="FG241" s="269">
        <f>FG240/(FG87+FG142)</f>
        <v>2.8017992433559853E-2</v>
      </c>
      <c r="FH241" s="33"/>
      <c r="FI241" s="33"/>
      <c r="FJ241" s="33"/>
      <c r="FK241" s="33"/>
      <c r="FL241" s="33"/>
      <c r="FM241" s="269">
        <f>FM240/(FM87+FM142)</f>
        <v>2.9193111571804643E-2</v>
      </c>
      <c r="FN241" s="226"/>
      <c r="FO241" s="227"/>
      <c r="FP241" s="33"/>
      <c r="FQ241" s="33"/>
      <c r="FR241" s="33"/>
      <c r="FS241" s="227"/>
      <c r="FT241" s="33"/>
      <c r="FU241" s="33"/>
      <c r="FV241" s="33"/>
      <c r="FW241" s="33"/>
      <c r="FX241" s="33"/>
      <c r="FY241" s="33"/>
      <c r="FZ241" s="33"/>
      <c r="GA241" s="33"/>
      <c r="GB241" s="33"/>
      <c r="GC241" s="33"/>
      <c r="GD241" s="33"/>
      <c r="GE241" s="33"/>
      <c r="GF241" s="33"/>
      <c r="GH241" s="33"/>
      <c r="GI241"/>
      <c r="GJ241"/>
      <c r="GK241"/>
      <c r="GL241"/>
      <c r="GM241"/>
      <c r="GN241"/>
      <c r="GO241" s="33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</row>
    <row r="242" spans="1:281" s="127" customFormat="1" ht="12.75" hidden="1" customHeight="1" outlineLevel="1" x14ac:dyDescent="0.2">
      <c r="A242" s="366"/>
      <c r="B242" s="359"/>
      <c r="C242" s="33"/>
      <c r="D242" s="33"/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  <c r="AD242" s="33"/>
      <c r="AE242" s="33"/>
      <c r="AF242" s="33"/>
      <c r="AG242" s="361"/>
      <c r="AH242" s="361"/>
      <c r="AI242" s="361"/>
      <c r="AJ242" s="361"/>
      <c r="AK242" s="367"/>
      <c r="AL242" s="33"/>
      <c r="AM242" s="361"/>
      <c r="AN242" s="361"/>
      <c r="AO242" s="361"/>
      <c r="AP242" s="361"/>
      <c r="AQ242" s="367"/>
      <c r="AR242" s="33"/>
      <c r="AS242" s="361"/>
      <c r="AT242" s="361"/>
      <c r="AU242" s="361"/>
      <c r="AV242" s="361"/>
      <c r="AW242" s="367"/>
      <c r="AX242" s="33"/>
      <c r="AY242" s="361"/>
      <c r="AZ242" s="361"/>
      <c r="BA242" s="361"/>
      <c r="BB242" s="361"/>
      <c r="BC242" s="367"/>
      <c r="BD242" s="33"/>
      <c r="BE242" s="361"/>
      <c r="BF242" s="361"/>
      <c r="BG242" s="361"/>
      <c r="BH242" s="361"/>
      <c r="BI242" s="367"/>
      <c r="BJ242" s="33"/>
      <c r="BK242" s="361"/>
      <c r="BL242" s="361"/>
      <c r="BM242" s="361"/>
      <c r="BN242" s="361"/>
      <c r="BO242" s="367"/>
      <c r="BP242" s="33"/>
      <c r="BQ242" s="361"/>
      <c r="BR242" s="361"/>
      <c r="BS242" s="361"/>
      <c r="BT242" s="361"/>
      <c r="BU242" s="367"/>
      <c r="BV242" s="33"/>
      <c r="BW242" s="361"/>
      <c r="BX242" s="361"/>
      <c r="BY242" s="361"/>
      <c r="BZ242" s="361"/>
      <c r="CA242" s="367"/>
      <c r="CB242" s="33"/>
      <c r="CC242" s="361"/>
      <c r="CD242" s="33"/>
      <c r="CE242" s="33"/>
      <c r="CF242" s="33"/>
      <c r="CG242" s="174"/>
      <c r="CH242" s="33"/>
      <c r="CI242" s="33"/>
      <c r="CJ242" s="33"/>
      <c r="CK242" s="33"/>
      <c r="CL242" s="33"/>
      <c r="CM242" s="174"/>
      <c r="CN242" s="33"/>
      <c r="CO242" s="33"/>
      <c r="CP242" s="33"/>
      <c r="CQ242" s="33"/>
      <c r="CR242" s="33"/>
      <c r="CS242" s="174"/>
      <c r="CT242" s="33"/>
      <c r="CU242" s="33"/>
      <c r="CV242" s="33"/>
      <c r="CW242" s="33"/>
      <c r="CX242" s="33"/>
      <c r="CY242" s="174"/>
      <c r="CZ242" s="33"/>
      <c r="DA242" s="33"/>
      <c r="DB242" s="33"/>
      <c r="DC242" s="33"/>
      <c r="DD242" s="33"/>
      <c r="DE242" s="174"/>
      <c r="DF242" s="33"/>
      <c r="DG242" s="33"/>
      <c r="DH242" s="33"/>
      <c r="DI242" s="33"/>
      <c r="DJ242" s="33"/>
      <c r="DK242" s="174"/>
      <c r="DL242" s="33"/>
      <c r="DM242" s="33"/>
      <c r="DN242" s="33"/>
      <c r="DO242" s="33"/>
      <c r="DP242" s="33"/>
      <c r="DQ242" s="174"/>
      <c r="DR242" s="33"/>
      <c r="DS242" s="33"/>
      <c r="DT242" s="33"/>
      <c r="DU242" s="33"/>
      <c r="DV242" s="33"/>
      <c r="DW242" s="174"/>
      <c r="DX242" s="33"/>
      <c r="DY242" s="33"/>
      <c r="DZ242" s="33"/>
      <c r="EA242" s="33"/>
      <c r="EB242" s="33"/>
      <c r="EC242" s="174"/>
      <c r="ED242" s="33"/>
      <c r="EE242" s="33"/>
      <c r="EF242" s="33"/>
      <c r="EG242" s="33"/>
      <c r="EH242" s="33"/>
      <c r="EI242" s="174"/>
      <c r="EJ242" s="33"/>
      <c r="EK242" s="33"/>
      <c r="EL242" s="33"/>
      <c r="EM242" s="33"/>
      <c r="EN242" s="33"/>
      <c r="EO242" s="174"/>
      <c r="EP242" s="33"/>
      <c r="EQ242" s="33"/>
      <c r="ER242" s="33"/>
      <c r="ES242" s="33"/>
      <c r="ET242" s="33"/>
      <c r="EU242" s="174"/>
      <c r="EV242" s="33"/>
      <c r="EW242" s="33"/>
      <c r="EX242" s="33"/>
      <c r="EY242" s="33"/>
      <c r="EZ242" s="33"/>
      <c r="FA242" s="174"/>
      <c r="FB242" s="33"/>
      <c r="FC242" s="33"/>
      <c r="FD242" s="33"/>
      <c r="FE242" s="33"/>
      <c r="FF242" s="33"/>
      <c r="FG242" s="174"/>
      <c r="FH242" s="33"/>
      <c r="FI242" s="33"/>
      <c r="FJ242" s="33"/>
      <c r="FK242" s="33"/>
      <c r="FL242" s="33"/>
      <c r="FM242" s="174"/>
      <c r="FN242" s="226"/>
      <c r="FO242" s="227"/>
      <c r="FP242" s="33"/>
      <c r="FQ242" s="33"/>
      <c r="FR242" s="33"/>
      <c r="FS242" s="227"/>
      <c r="FT242" s="33"/>
      <c r="FU242" s="33"/>
      <c r="FV242" s="33"/>
      <c r="FW242" s="33"/>
      <c r="FX242" s="33"/>
      <c r="FY242" s="33"/>
      <c r="FZ242" s="33"/>
      <c r="GA242" s="33"/>
      <c r="GB242" s="33"/>
      <c r="GC242" s="33"/>
      <c r="GD242" s="33"/>
      <c r="GE242" s="33"/>
      <c r="GF242" s="33"/>
      <c r="GH242" s="33"/>
      <c r="GI242"/>
      <c r="GJ242"/>
      <c r="GK242"/>
      <c r="GL242"/>
      <c r="GM242"/>
      <c r="GN242"/>
      <c r="GO242" s="33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</row>
    <row r="243" spans="1:281" s="127" customFormat="1" ht="12.75" hidden="1" customHeight="1" outlineLevel="1" x14ac:dyDescent="0.2">
      <c r="A243" s="366" t="s">
        <v>624</v>
      </c>
      <c r="B243" s="359"/>
      <c r="C243" s="33"/>
      <c r="D243" s="33"/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  <c r="AD243" s="33"/>
      <c r="AE243" s="33"/>
      <c r="AF243" s="33"/>
      <c r="AG243" s="361"/>
      <c r="AH243" s="361"/>
      <c r="AI243" s="361"/>
      <c r="AJ243" s="361"/>
      <c r="AK243" s="364"/>
      <c r="AL243" s="33"/>
      <c r="AM243" s="361"/>
      <c r="AN243" s="361"/>
      <c r="AO243" s="361"/>
      <c r="AP243" s="361"/>
      <c r="AQ243" s="364"/>
      <c r="AR243" s="33"/>
      <c r="AS243" s="361"/>
      <c r="AT243" s="361"/>
      <c r="AU243" s="361"/>
      <c r="AV243" s="361"/>
      <c r="AW243" s="364"/>
      <c r="AX243" s="33"/>
      <c r="AY243" s="361"/>
      <c r="AZ243" s="361"/>
      <c r="BA243" s="361"/>
      <c r="BB243" s="361"/>
      <c r="BC243" s="364"/>
      <c r="BD243" s="33"/>
      <c r="BE243" s="361"/>
      <c r="BF243" s="361"/>
      <c r="BG243" s="361"/>
      <c r="BH243" s="361"/>
      <c r="BI243" s="364">
        <f>+'Balance Sheet'!BI241</f>
        <v>0</v>
      </c>
      <c r="BJ243" s="33"/>
      <c r="BK243" s="361"/>
      <c r="BL243" s="361"/>
      <c r="BM243" s="361"/>
      <c r="BN243" s="361"/>
      <c r="BO243" s="364">
        <f>+'Balance Sheet'!BO241</f>
        <v>0</v>
      </c>
      <c r="BP243" s="33"/>
      <c r="BQ243" s="361"/>
      <c r="BR243" s="361"/>
      <c r="BS243" s="361"/>
      <c r="BT243" s="361"/>
      <c r="BU243" s="364">
        <f>+'Balance Sheet'!BU241</f>
        <v>0</v>
      </c>
      <c r="BV243" s="33"/>
      <c r="BW243" s="361"/>
      <c r="BX243" s="361"/>
      <c r="BY243" s="361"/>
      <c r="BZ243" s="361"/>
      <c r="CA243" s="364">
        <f>+'Balance Sheet'!CA241</f>
        <v>0</v>
      </c>
      <c r="CB243" s="33"/>
      <c r="CC243" s="361"/>
      <c r="CD243" s="33"/>
      <c r="CE243" s="33"/>
      <c r="CF243" s="33"/>
      <c r="CG243" s="365">
        <f>+'Balance Sheet'!CG241</f>
        <v>0</v>
      </c>
      <c r="CH243" s="33"/>
      <c r="CI243" s="33"/>
      <c r="CJ243" s="33"/>
      <c r="CK243" s="33"/>
      <c r="CL243" s="33"/>
      <c r="CM243" s="365">
        <f>(CM244*Metrics!CM300)/1000000</f>
        <v>63.472900000000003</v>
      </c>
      <c r="CN243" s="33"/>
      <c r="CO243" s="33"/>
      <c r="CP243" s="33"/>
      <c r="CQ243" s="33"/>
      <c r="CR243" s="33"/>
      <c r="CS243" s="365">
        <f>(CS244*Metrics!CS300)/1000000</f>
        <v>71.598050000000001</v>
      </c>
      <c r="CT243" s="33"/>
      <c r="CU243" s="33"/>
      <c r="CV243" s="33"/>
      <c r="CW243" s="33"/>
      <c r="CX243" s="33"/>
      <c r="CY243" s="365">
        <f>(CY244*Metrics!CY300)/1000000</f>
        <v>86.417619999999999</v>
      </c>
      <c r="CZ243" s="33"/>
      <c r="DA243" s="33"/>
      <c r="DB243" s="33"/>
      <c r="DC243" s="33"/>
      <c r="DD243" s="33"/>
      <c r="DE243" s="365">
        <f>(DE244*Metrics!DE300)/1000000</f>
        <v>95.157790000000006</v>
      </c>
      <c r="DF243" s="33"/>
      <c r="DG243" s="33"/>
      <c r="DH243" s="33"/>
      <c r="DI243" s="33"/>
      <c r="DJ243" s="33"/>
      <c r="DK243" s="365">
        <f>(DK244*Metrics!DK300)/1000000</f>
        <v>115.56</v>
      </c>
      <c r="DL243" s="33"/>
      <c r="DM243" s="33"/>
      <c r="DN243" s="33"/>
      <c r="DO243" s="33"/>
      <c r="DP243" s="33"/>
      <c r="DQ243" s="365">
        <f>(DQ244*Metrics!DQ300)/1000000</f>
        <v>128.84850289129292</v>
      </c>
      <c r="DR243" s="33"/>
      <c r="DS243" s="33"/>
      <c r="DT243" s="33"/>
      <c r="DU243" s="33"/>
      <c r="DV243" s="33"/>
      <c r="DW243" s="365">
        <f>(DW244*Metrics!DW300)/1000000</f>
        <v>126</v>
      </c>
      <c r="DX243" s="33"/>
      <c r="DY243" s="33"/>
      <c r="DZ243" s="33"/>
      <c r="EA243" s="33"/>
      <c r="EB243" s="33"/>
      <c r="EC243" s="365">
        <f>(EC244*Metrics!EC300)/1000000</f>
        <v>118.95</v>
      </c>
      <c r="ED243" s="33"/>
      <c r="EE243" s="33"/>
      <c r="EF243" s="33"/>
      <c r="EG243" s="33"/>
      <c r="EH243" s="33"/>
      <c r="EI243" s="365">
        <f>(EI244*Metrics!EI300)/1000000</f>
        <v>128.69999999999999</v>
      </c>
      <c r="EJ243" s="33"/>
      <c r="EK243" s="33"/>
      <c r="EL243" s="33"/>
      <c r="EM243" s="33"/>
      <c r="EN243" s="33"/>
      <c r="EO243" s="365">
        <f>(EO244*Metrics!EO300)/1000000</f>
        <v>132.6</v>
      </c>
      <c r="EP243" s="33"/>
      <c r="EQ243" s="33"/>
      <c r="ER243" s="33"/>
      <c r="ES243" s="33"/>
      <c r="ET243" s="33"/>
      <c r="EU243" s="365">
        <f>(EU244*Metrics!EU300)/1000000</f>
        <v>134.55000000000001</v>
      </c>
      <c r="EV243" s="33"/>
      <c r="EW243" s="33"/>
      <c r="EX243" s="33"/>
      <c r="EY243" s="33"/>
      <c r="EZ243" s="33"/>
      <c r="FA243" s="365">
        <f>(FA244*Metrics!FA300)/1000000</f>
        <v>127.5913629466372</v>
      </c>
      <c r="FB243" s="33"/>
      <c r="FC243" s="33"/>
      <c r="FD243" s="33"/>
      <c r="FE243" s="33"/>
      <c r="FF243" s="33"/>
      <c r="FG243" s="365">
        <f>(FG244*Metrics!FG300)/1000000</f>
        <v>133.10267984528429</v>
      </c>
      <c r="FH243" s="33"/>
      <c r="FI243" s="33"/>
      <c r="FJ243" s="33"/>
      <c r="FK243" s="33"/>
      <c r="FL243" s="33"/>
      <c r="FM243" s="365">
        <f>(FM244*Metrics!FM300)/1000000</f>
        <v>138.9054789923911</v>
      </c>
      <c r="FN243" s="226"/>
      <c r="FO243" s="227"/>
      <c r="FP243" s="33"/>
      <c r="FQ243" s="33"/>
      <c r="FR243" s="33"/>
      <c r="FS243" s="227"/>
      <c r="FT243" s="33"/>
      <c r="FU243" s="33"/>
      <c r="FV243" s="33"/>
      <c r="FW243" s="33"/>
      <c r="FX243" s="33"/>
      <c r="FY243" s="33"/>
      <c r="FZ243" s="33"/>
      <c r="GA243" s="33"/>
      <c r="GB243" s="33"/>
      <c r="GC243" s="33"/>
      <c r="GD243" s="33"/>
      <c r="GE243" s="33"/>
      <c r="GF243" s="33"/>
      <c r="GH243" s="33"/>
      <c r="GI243"/>
      <c r="GJ243"/>
      <c r="GK243"/>
      <c r="GL243"/>
      <c r="GM243"/>
      <c r="GN243"/>
      <c r="GO243" s="3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</row>
    <row r="244" spans="1:281" s="127" customFormat="1" ht="12.75" hidden="1" customHeight="1" outlineLevel="1" x14ac:dyDescent="0.2">
      <c r="A244" s="366" t="s">
        <v>983</v>
      </c>
      <c r="B244" s="359"/>
      <c r="C244" s="33"/>
      <c r="D244" s="33"/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  <c r="AD244" s="33"/>
      <c r="AE244" s="33"/>
      <c r="AF244" s="33"/>
      <c r="AG244" s="361"/>
      <c r="AH244" s="361"/>
      <c r="AI244" s="361"/>
      <c r="AJ244" s="361"/>
      <c r="AK244" s="367"/>
      <c r="AL244" s="33"/>
      <c r="AM244" s="361"/>
      <c r="AN244" s="361"/>
      <c r="AO244" s="361"/>
      <c r="AP244" s="361"/>
      <c r="AQ244" s="367"/>
      <c r="AR244" s="33"/>
      <c r="AS244" s="361"/>
      <c r="AT244" s="361"/>
      <c r="AU244" s="361"/>
      <c r="AV244" s="361"/>
      <c r="AW244" s="367"/>
      <c r="AX244" s="33"/>
      <c r="AY244" s="361"/>
      <c r="AZ244" s="361"/>
      <c r="BA244" s="361"/>
      <c r="BB244" s="361"/>
      <c r="BC244" s="367"/>
      <c r="BD244" s="33"/>
      <c r="BE244" s="361"/>
      <c r="BF244" s="361"/>
      <c r="BG244" s="361"/>
      <c r="BH244" s="361"/>
      <c r="BI244" s="367">
        <f>BI243/Metrics!BI255*1000000</f>
        <v>0</v>
      </c>
      <c r="BJ244" s="33"/>
      <c r="BK244" s="361"/>
      <c r="BL244" s="361"/>
      <c r="BM244" s="361"/>
      <c r="BN244" s="361"/>
      <c r="BO244" s="367">
        <f>BO243/Metrics!BO255*1000000</f>
        <v>0</v>
      </c>
      <c r="BP244" s="33"/>
      <c r="BQ244" s="361"/>
      <c r="BR244" s="361"/>
      <c r="BS244" s="361"/>
      <c r="BT244" s="361"/>
      <c r="BU244" s="367">
        <f>BU243/Metrics!BU255*1000000</f>
        <v>0</v>
      </c>
      <c r="BV244" s="33"/>
      <c r="BW244" s="361"/>
      <c r="BX244" s="361"/>
      <c r="BY244" s="361"/>
      <c r="BZ244" s="361"/>
      <c r="CA244" s="367">
        <f>CA243/Metrics!CA255*1000000</f>
        <v>0</v>
      </c>
      <c r="CB244" s="33"/>
      <c r="CC244" s="361"/>
      <c r="CD244" s="33"/>
      <c r="CE244" s="33"/>
      <c r="CF244" s="33"/>
      <c r="CG244" s="174">
        <f>CG243/Metrics!CG255*1000000</f>
        <v>0</v>
      </c>
      <c r="CH244" s="33"/>
      <c r="CI244" s="33"/>
      <c r="CJ244" s="33"/>
      <c r="CK244" s="33"/>
      <c r="CL244" s="33"/>
      <c r="CM244" s="368">
        <v>850</v>
      </c>
      <c r="CN244" s="33"/>
      <c r="CO244" s="33"/>
      <c r="CP244" s="33"/>
      <c r="CQ244" s="33"/>
      <c r="CR244" s="33"/>
      <c r="CS244" s="368">
        <v>850</v>
      </c>
      <c r="CT244" s="33"/>
      <c r="CU244" s="33"/>
      <c r="CV244" s="33"/>
      <c r="CW244" s="33"/>
      <c r="CX244" s="33"/>
      <c r="CY244" s="368">
        <v>1010</v>
      </c>
      <c r="CZ244" s="33"/>
      <c r="DA244" s="33"/>
      <c r="DB244" s="33"/>
      <c r="DC244" s="33"/>
      <c r="DD244" s="33"/>
      <c r="DE244" s="368">
        <v>910</v>
      </c>
      <c r="DF244" s="33"/>
      <c r="DG244" s="33"/>
      <c r="DH244" s="33"/>
      <c r="DI244" s="33"/>
      <c r="DJ244" s="33"/>
      <c r="DK244" s="368">
        <v>1070</v>
      </c>
      <c r="DL244" s="33"/>
      <c r="DM244" s="33"/>
      <c r="DN244" s="33"/>
      <c r="DO244" s="33"/>
      <c r="DP244" s="33"/>
      <c r="DQ244" s="368">
        <v>1115</v>
      </c>
      <c r="DR244" s="33"/>
      <c r="DS244" s="33"/>
      <c r="DT244" s="33"/>
      <c r="DU244" s="33"/>
      <c r="DV244" s="33"/>
      <c r="DW244" s="368">
        <v>1050</v>
      </c>
      <c r="DX244" s="33"/>
      <c r="DY244" s="33"/>
      <c r="DZ244" s="33"/>
      <c r="EA244" s="33"/>
      <c r="EB244" s="33"/>
      <c r="EC244" s="368">
        <v>975</v>
      </c>
      <c r="ED244" s="33"/>
      <c r="EE244" s="33"/>
      <c r="EF244" s="33"/>
      <c r="EG244" s="33"/>
      <c r="EH244" s="33"/>
      <c r="EI244" s="368">
        <v>975</v>
      </c>
      <c r="EJ244" s="33"/>
      <c r="EK244" s="33"/>
      <c r="EL244" s="33"/>
      <c r="EM244" s="33"/>
      <c r="EN244" s="33"/>
      <c r="EO244" s="368">
        <v>975</v>
      </c>
      <c r="EP244" s="33"/>
      <c r="EQ244" s="33"/>
      <c r="ER244" s="33"/>
      <c r="ES244" s="33"/>
      <c r="ET244" s="33"/>
      <c r="EU244" s="368">
        <v>975</v>
      </c>
      <c r="EV244" s="33"/>
      <c r="EW244" s="33"/>
      <c r="EX244" s="33"/>
      <c r="EY244" s="33"/>
      <c r="EZ244" s="33"/>
      <c r="FA244" s="368">
        <v>975</v>
      </c>
      <c r="FB244" s="33"/>
      <c r="FC244" s="33"/>
      <c r="FD244" s="33"/>
      <c r="FE244" s="33"/>
      <c r="FF244" s="33"/>
      <c r="FG244" s="368">
        <v>975</v>
      </c>
      <c r="FH244" s="33"/>
      <c r="FI244" s="33"/>
      <c r="FJ244" s="33"/>
      <c r="FK244" s="33"/>
      <c r="FL244" s="33"/>
      <c r="FM244" s="368">
        <v>975</v>
      </c>
      <c r="FN244" s="226"/>
      <c r="FO244" s="227"/>
      <c r="FP244" s="33"/>
      <c r="FQ244" s="33"/>
      <c r="FR244" s="33"/>
      <c r="FS244" s="227"/>
      <c r="FT244" s="33"/>
      <c r="FU244" s="33"/>
      <c r="FV244" s="33"/>
      <c r="FW244" s="33"/>
      <c r="FX244" s="33"/>
      <c r="FY244" s="33"/>
      <c r="FZ244" s="33"/>
      <c r="GA244" s="33"/>
      <c r="GB244" s="33"/>
      <c r="GC244" s="33"/>
      <c r="GD244" s="33"/>
      <c r="GE244" s="33"/>
      <c r="GF244" s="33"/>
      <c r="GH244" s="33"/>
      <c r="GI244"/>
      <c r="GJ244"/>
      <c r="GK244"/>
      <c r="GL244"/>
      <c r="GM244"/>
      <c r="GN244"/>
      <c r="GO244" s="33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</row>
    <row r="245" spans="1:281" s="127" customFormat="1" ht="12.75" hidden="1" customHeight="1" outlineLevel="1" x14ac:dyDescent="0.2">
      <c r="A245" s="366" t="s">
        <v>281</v>
      </c>
      <c r="B245" s="359"/>
      <c r="C245" s="33"/>
      <c r="D245" s="33"/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  <c r="AD245" s="33"/>
      <c r="AE245" s="33"/>
      <c r="AF245" s="33"/>
      <c r="AG245" s="361"/>
      <c r="AH245" s="361"/>
      <c r="AI245" s="361"/>
      <c r="AJ245" s="361"/>
      <c r="AK245" s="123"/>
      <c r="AL245" s="33"/>
      <c r="AM245" s="361"/>
      <c r="AN245" s="361"/>
      <c r="AO245" s="361"/>
      <c r="AP245" s="361"/>
      <c r="AQ245" s="123"/>
      <c r="AR245" s="33"/>
      <c r="AS245" s="361"/>
      <c r="AT245" s="361"/>
      <c r="AU245" s="361"/>
      <c r="AV245" s="361"/>
      <c r="AW245" s="123"/>
      <c r="AX245" s="33"/>
      <c r="AY245" s="361"/>
      <c r="AZ245" s="361"/>
      <c r="BA245" s="361"/>
      <c r="BB245" s="361"/>
      <c r="BC245" s="123"/>
      <c r="BD245" s="33"/>
      <c r="BE245" s="361"/>
      <c r="BF245" s="361"/>
      <c r="BG245" s="361"/>
      <c r="BH245" s="361"/>
      <c r="BI245" s="123">
        <f>BI243/BC226</f>
        <v>0</v>
      </c>
      <c r="BJ245" s="33"/>
      <c r="BK245" s="361"/>
      <c r="BL245" s="361"/>
      <c r="BM245" s="361"/>
      <c r="BN245" s="361"/>
      <c r="BO245" s="123">
        <f>BO243/BI226</f>
        <v>0</v>
      </c>
      <c r="BP245" s="33"/>
      <c r="BQ245" s="361"/>
      <c r="BR245" s="361"/>
      <c r="BS245" s="361"/>
      <c r="BT245" s="361"/>
      <c r="BU245" s="123">
        <f>BU243/BO226</f>
        <v>0</v>
      </c>
      <c r="BV245" s="33"/>
      <c r="BW245" s="361"/>
      <c r="BX245" s="361"/>
      <c r="BY245" s="361"/>
      <c r="BZ245" s="361"/>
      <c r="CA245" s="123">
        <f>CA243/BU226</f>
        <v>0</v>
      </c>
      <c r="CB245" s="33"/>
      <c r="CC245" s="361"/>
      <c r="CD245" s="33"/>
      <c r="CE245" s="33"/>
      <c r="CF245" s="33"/>
      <c r="CG245" s="269">
        <f>CG243/CA226</f>
        <v>0</v>
      </c>
      <c r="CH245" s="33"/>
      <c r="CI245" s="33"/>
      <c r="CJ245" s="33"/>
      <c r="CK245" s="33"/>
      <c r="CL245" s="33"/>
      <c r="CM245" s="269">
        <f>CM243/CG226</f>
        <v>1.2131670489296637E-2</v>
      </c>
      <c r="CN245" s="33"/>
      <c r="CO245" s="33"/>
      <c r="CP245" s="33"/>
      <c r="CQ245" s="33"/>
      <c r="CR245" s="33"/>
      <c r="CS245" s="269">
        <f>CS243/CM226</f>
        <v>1.4019590757783435E-2</v>
      </c>
      <c r="CT245" s="33"/>
      <c r="CU245" s="33"/>
      <c r="CV245" s="33"/>
      <c r="CW245" s="33"/>
      <c r="CX245" s="33"/>
      <c r="CY245" s="269">
        <f>CY243/CS226</f>
        <v>1.6780120388349515E-2</v>
      </c>
      <c r="CZ245" s="33"/>
      <c r="DA245" s="33"/>
      <c r="DB245" s="33"/>
      <c r="DC245" s="33"/>
      <c r="DD245" s="33"/>
      <c r="DE245" s="269">
        <f>DE243/CY226</f>
        <v>1.9012545454545456E-2</v>
      </c>
      <c r="DF245" s="33"/>
      <c r="DG245" s="33"/>
      <c r="DH245" s="33"/>
      <c r="DI245" s="33"/>
      <c r="DJ245" s="33"/>
      <c r="DK245" s="269">
        <f>DK243/DE226</f>
        <v>2.2992439315559093E-2</v>
      </c>
      <c r="DL245" s="33"/>
      <c r="DM245" s="33"/>
      <c r="DN245" s="33"/>
      <c r="DO245" s="33"/>
      <c r="DP245" s="33"/>
      <c r="DQ245" s="269">
        <f>DQ243/DK226</f>
        <v>2.5423935061423229E-2</v>
      </c>
      <c r="DR245" s="33"/>
      <c r="DS245" s="33"/>
      <c r="DT245" s="33"/>
      <c r="DU245" s="33"/>
      <c r="DV245" s="33"/>
      <c r="DW245" s="269">
        <f>DW243/DQ226</f>
        <v>2.5688073394495414E-2</v>
      </c>
      <c r="DX245" s="33"/>
      <c r="DY245" s="33"/>
      <c r="DZ245" s="33"/>
      <c r="EA245" s="33"/>
      <c r="EB245" s="33"/>
      <c r="EC245" s="269">
        <f>EC243/DW226</f>
        <v>2.5663430420711973E-2</v>
      </c>
      <c r="ED245" s="33"/>
      <c r="EE245" s="33"/>
      <c r="EF245" s="33"/>
      <c r="EG245" s="33"/>
      <c r="EH245" s="33"/>
      <c r="EI245" s="269">
        <f>EI243/EC226</f>
        <v>2.883064516129032E-2</v>
      </c>
      <c r="EJ245" s="33"/>
      <c r="EK245" s="33"/>
      <c r="EL245" s="33"/>
      <c r="EM245" s="33"/>
      <c r="EN245" s="33"/>
      <c r="EO245" s="269">
        <f>EO243/EI226</f>
        <v>3.0531890398342157E-2</v>
      </c>
      <c r="EP245" s="33"/>
      <c r="EQ245" s="33"/>
      <c r="ER245" s="33"/>
      <c r="ES245" s="33"/>
      <c r="ET245" s="33"/>
      <c r="EU245" s="269">
        <f>EU243/EO226</f>
        <v>3.2570806100217869E-2</v>
      </c>
      <c r="EV245" s="33"/>
      <c r="EW245" s="33"/>
      <c r="EX245" s="33"/>
      <c r="EY245" s="33"/>
      <c r="EZ245" s="33"/>
      <c r="FA245" s="269">
        <f>FA243/EU226</f>
        <v>3.0841518720482766E-2</v>
      </c>
      <c r="FB245" s="33"/>
      <c r="FC245" s="33"/>
      <c r="FD245" s="33"/>
      <c r="FE245" s="33"/>
      <c r="FF245" s="33"/>
      <c r="FG245" s="269">
        <f>FG243/FA226</f>
        <v>3.2868296110875023E-2</v>
      </c>
      <c r="FH245" s="33"/>
      <c r="FI245" s="33"/>
      <c r="FJ245" s="33"/>
      <c r="FK245" s="33"/>
      <c r="FL245" s="33"/>
      <c r="FM245" s="269">
        <f>FM243/FG226</f>
        <v>3.5372858378851672E-2</v>
      </c>
      <c r="FN245" s="226"/>
      <c r="FO245" s="227"/>
      <c r="FP245" s="33"/>
      <c r="FQ245" s="33"/>
      <c r="FR245" s="33"/>
      <c r="FS245" s="227"/>
      <c r="FT245" s="33"/>
      <c r="FU245" s="33"/>
      <c r="FV245" s="33"/>
      <c r="FW245" s="33"/>
      <c r="FX245" s="33"/>
      <c r="FY245" s="33"/>
      <c r="FZ245" s="33"/>
      <c r="GA245" s="33"/>
      <c r="GB245" s="33"/>
      <c r="GC245" s="33"/>
      <c r="GD245" s="33"/>
      <c r="GE245" s="33"/>
      <c r="GF245" s="33"/>
      <c r="GH245" s="33"/>
      <c r="GI245"/>
      <c r="GJ245"/>
      <c r="GK245"/>
      <c r="GL245"/>
      <c r="GM245"/>
      <c r="GN245"/>
      <c r="GO245" s="33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</row>
    <row r="246" spans="1:281" s="127" customFormat="1" ht="12.75" hidden="1" customHeight="1" outlineLevel="1" x14ac:dyDescent="0.2">
      <c r="A246" s="366"/>
      <c r="B246" s="359"/>
      <c r="C246" s="33"/>
      <c r="D246" s="33"/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  <c r="AD246" s="33"/>
      <c r="AE246" s="33"/>
      <c r="AF246" s="33"/>
      <c r="AG246" s="361"/>
      <c r="AH246" s="361"/>
      <c r="AI246" s="361"/>
      <c r="AJ246" s="361"/>
      <c r="AK246" s="367"/>
      <c r="AL246" s="33"/>
      <c r="AM246" s="361"/>
      <c r="AN246" s="361"/>
      <c r="AO246" s="361"/>
      <c r="AP246" s="361"/>
      <c r="AQ246" s="367"/>
      <c r="AR246" s="33"/>
      <c r="AS246" s="361"/>
      <c r="AT246" s="361"/>
      <c r="AU246" s="361"/>
      <c r="AV246" s="361"/>
      <c r="AW246" s="367"/>
      <c r="AX246" s="33"/>
      <c r="AY246" s="361"/>
      <c r="AZ246" s="361"/>
      <c r="BA246" s="361"/>
      <c r="BB246" s="361"/>
      <c r="BC246" s="367"/>
      <c r="BD246" s="33"/>
      <c r="BE246" s="361"/>
      <c r="BF246" s="361"/>
      <c r="BG246" s="361"/>
      <c r="BH246" s="361"/>
      <c r="BI246" s="367"/>
      <c r="BJ246" s="33"/>
      <c r="BK246" s="361"/>
      <c r="BL246" s="361"/>
      <c r="BM246" s="361"/>
      <c r="BN246" s="361"/>
      <c r="BO246" s="367"/>
      <c r="BP246" s="33"/>
      <c r="BQ246" s="361"/>
      <c r="BR246" s="361"/>
      <c r="BS246" s="361"/>
      <c r="BT246" s="361"/>
      <c r="BU246" s="367"/>
      <c r="BV246" s="33"/>
      <c r="BW246" s="361"/>
      <c r="BX246" s="361"/>
      <c r="BY246" s="361"/>
      <c r="BZ246" s="361"/>
      <c r="CA246" s="367"/>
      <c r="CB246" s="33"/>
      <c r="CC246" s="361"/>
      <c r="CD246" s="33"/>
      <c r="CE246" s="33"/>
      <c r="CF246" s="33"/>
      <c r="CG246" s="174"/>
      <c r="CH246" s="33"/>
      <c r="CI246" s="33"/>
      <c r="CJ246" s="33"/>
      <c r="CK246" s="33"/>
      <c r="CL246" s="33"/>
      <c r="CM246" s="174"/>
      <c r="CN246" s="33"/>
      <c r="CO246" s="33"/>
      <c r="CP246" s="33"/>
      <c r="CQ246" s="33"/>
      <c r="CR246" s="33"/>
      <c r="CS246" s="174"/>
      <c r="CT246" s="33"/>
      <c r="CU246" s="33"/>
      <c r="CV246" s="33"/>
      <c r="CW246" s="33"/>
      <c r="CX246" s="33"/>
      <c r="CY246" s="174"/>
      <c r="CZ246" s="33"/>
      <c r="DA246" s="33"/>
      <c r="DB246" s="33"/>
      <c r="DC246" s="33"/>
      <c r="DD246" s="33"/>
      <c r="DE246" s="174"/>
      <c r="DF246" s="33"/>
      <c r="DG246" s="33"/>
      <c r="DH246" s="33"/>
      <c r="DI246" s="33"/>
      <c r="DJ246" s="33"/>
      <c r="DK246" s="174"/>
      <c r="DL246" s="33"/>
      <c r="DM246" s="33"/>
      <c r="DN246" s="33"/>
      <c r="DO246" s="33"/>
      <c r="DP246" s="33"/>
      <c r="DQ246" s="174"/>
      <c r="DR246" s="33"/>
      <c r="DS246" s="33"/>
      <c r="DT246" s="33"/>
      <c r="DU246" s="33"/>
      <c r="DV246" s="33"/>
      <c r="DW246" s="174"/>
      <c r="DX246" s="33"/>
      <c r="DY246" s="33"/>
      <c r="DZ246" s="33"/>
      <c r="EA246" s="33"/>
      <c r="EB246" s="33"/>
      <c r="EC246" s="174"/>
      <c r="ED246" s="33"/>
      <c r="EE246" s="33"/>
      <c r="EF246" s="33"/>
      <c r="EG246" s="33"/>
      <c r="EH246" s="33"/>
      <c r="EI246" s="174"/>
      <c r="EJ246" s="33"/>
      <c r="EK246" s="33"/>
      <c r="EL246" s="33"/>
      <c r="EM246" s="33"/>
      <c r="EN246" s="33"/>
      <c r="EO246" s="174"/>
      <c r="EP246" s="33"/>
      <c r="EQ246" s="33"/>
      <c r="ER246" s="33"/>
      <c r="ES246" s="33"/>
      <c r="ET246" s="33"/>
      <c r="EU246" s="174"/>
      <c r="EV246" s="33"/>
      <c r="EW246" s="33"/>
      <c r="EX246" s="33"/>
      <c r="EY246" s="33"/>
      <c r="EZ246" s="33"/>
      <c r="FA246" s="174"/>
      <c r="FB246" s="33"/>
      <c r="FC246" s="33"/>
      <c r="FD246" s="33"/>
      <c r="FE246" s="33"/>
      <c r="FF246" s="33"/>
      <c r="FG246" s="174"/>
      <c r="FH246" s="33"/>
      <c r="FI246" s="33"/>
      <c r="FJ246" s="33"/>
      <c r="FK246" s="33"/>
      <c r="FL246" s="33"/>
      <c r="FM246" s="174"/>
      <c r="FN246" s="226"/>
      <c r="FO246" s="227"/>
      <c r="FP246" s="33"/>
      <c r="FQ246" s="33"/>
      <c r="FR246" s="33"/>
      <c r="FS246" s="227"/>
      <c r="FT246" s="33"/>
      <c r="FU246" s="33"/>
      <c r="FV246" s="33"/>
      <c r="FW246" s="33"/>
      <c r="FX246" s="33"/>
      <c r="FY246" s="33"/>
      <c r="FZ246" s="33"/>
      <c r="GA246" s="33"/>
      <c r="GB246" s="33"/>
      <c r="GC246" s="33"/>
      <c r="GD246" s="33"/>
      <c r="GE246" s="33"/>
      <c r="GF246" s="33"/>
      <c r="GH246" s="33"/>
      <c r="GI246"/>
      <c r="GJ246"/>
      <c r="GK246"/>
      <c r="GL246"/>
      <c r="GM246"/>
      <c r="GN246"/>
      <c r="GO246" s="33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</row>
    <row r="247" spans="1:281" s="127" customFormat="1" ht="12.75" hidden="1" customHeight="1" outlineLevel="1" x14ac:dyDescent="0.2">
      <c r="A247" s="366" t="s">
        <v>282</v>
      </c>
      <c r="B247" s="359"/>
      <c r="C247" s="33"/>
      <c r="D247" s="33"/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  <c r="AD247" s="33"/>
      <c r="AE247" s="33"/>
      <c r="AF247" s="33"/>
      <c r="AG247" s="361"/>
      <c r="AH247" s="361"/>
      <c r="AI247" s="361"/>
      <c r="AJ247" s="361"/>
      <c r="AK247" s="364"/>
      <c r="AL247" s="33"/>
      <c r="AM247" s="361"/>
      <c r="AN247" s="361"/>
      <c r="AO247" s="361"/>
      <c r="AP247" s="361"/>
      <c r="AQ247" s="364"/>
      <c r="AR247" s="33"/>
      <c r="AS247" s="361"/>
      <c r="AT247" s="361"/>
      <c r="AU247" s="361"/>
      <c r="AV247" s="361"/>
      <c r="AW247" s="364"/>
      <c r="AX247" s="33"/>
      <c r="AY247" s="361"/>
      <c r="AZ247" s="361"/>
      <c r="BA247" s="361"/>
      <c r="BB247" s="361"/>
      <c r="BC247" s="364"/>
      <c r="BD247" s="33"/>
      <c r="BE247" s="361"/>
      <c r="BF247" s="361"/>
      <c r="BG247" s="361"/>
      <c r="BH247" s="361"/>
      <c r="BI247" s="364">
        <f>+'Balance Sheet'!BI244</f>
        <v>41</v>
      </c>
      <c r="BJ247" s="33"/>
      <c r="BK247" s="361"/>
      <c r="BL247" s="361"/>
      <c r="BM247" s="361"/>
      <c r="BN247" s="361"/>
      <c r="BO247" s="364">
        <f>+'Balance Sheet'!BO244</f>
        <v>49</v>
      </c>
      <c r="BP247" s="33"/>
      <c r="BQ247" s="361"/>
      <c r="BR247" s="361"/>
      <c r="BS247" s="361"/>
      <c r="BT247" s="361"/>
      <c r="BU247" s="364">
        <f>+'Balance Sheet'!BU244</f>
        <v>23</v>
      </c>
      <c r="BV247" s="33"/>
      <c r="BW247" s="361"/>
      <c r="BX247" s="361"/>
      <c r="BY247" s="361"/>
      <c r="BZ247" s="361"/>
      <c r="CA247" s="364">
        <f>+'Balance Sheet'!CA244</f>
        <v>3</v>
      </c>
      <c r="CB247" s="33"/>
      <c r="CC247" s="361"/>
      <c r="CD247" s="33"/>
      <c r="CE247" s="33"/>
      <c r="CF247" s="33"/>
      <c r="CG247" s="365">
        <f>+'Balance Sheet'!CG244</f>
        <v>9</v>
      </c>
      <c r="CH247" s="33"/>
      <c r="CI247" s="33"/>
      <c r="CJ247" s="33"/>
      <c r="CK247" s="33"/>
      <c r="CL247" s="33"/>
      <c r="CM247" s="365">
        <f>CG247+CM243-CM248-CM251</f>
        <v>69.952900000000014</v>
      </c>
      <c r="CN247" s="33"/>
      <c r="CO247" s="33"/>
      <c r="CP247" s="33"/>
      <c r="CQ247" s="33"/>
      <c r="CR247" s="33"/>
      <c r="CS247" s="365">
        <f>CM247+CS243-CS248-CS251</f>
        <v>124.76225399999998</v>
      </c>
      <c r="CT247" s="33"/>
      <c r="CU247" s="33"/>
      <c r="CV247" s="33"/>
      <c r="CW247" s="33"/>
      <c r="CX247" s="33"/>
      <c r="CY247" s="365">
        <f>CS247+CY243-CY248-CY251</f>
        <v>176.24644287999999</v>
      </c>
      <c r="CZ247" s="33"/>
      <c r="DA247" s="33"/>
      <c r="DB247" s="33"/>
      <c r="DC247" s="33"/>
      <c r="DD247" s="33"/>
      <c r="DE247" s="365">
        <f>CY247+DE243-DE248-DE251</f>
        <v>221.35024310208001</v>
      </c>
      <c r="DF247" s="33"/>
      <c r="DG247" s="33"/>
      <c r="DH247" s="33"/>
      <c r="DI247" s="33"/>
      <c r="DJ247" s="33"/>
      <c r="DK247" s="365">
        <f>DE247+DK243-DK248-DK251</f>
        <v>268.73436822663939</v>
      </c>
      <c r="DL247" s="33"/>
      <c r="DM247" s="33"/>
      <c r="DN247" s="33"/>
      <c r="DO247" s="33"/>
      <c r="DP247" s="33"/>
      <c r="DQ247" s="365">
        <f>DK247+DQ243-DQ248-DQ251</f>
        <v>358.07891898861629</v>
      </c>
      <c r="DR247" s="33"/>
      <c r="DS247" s="33"/>
      <c r="DT247" s="33"/>
      <c r="DU247" s="33"/>
      <c r="DV247" s="33"/>
      <c r="DW247" s="365">
        <f>DQ247+DW243-DW248-DW251</f>
        <v>416.04392438077923</v>
      </c>
      <c r="DX247" s="33"/>
      <c r="DY247" s="33"/>
      <c r="DZ247" s="33"/>
      <c r="EA247" s="33"/>
      <c r="EB247" s="33"/>
      <c r="EC247" s="365">
        <f>DW247+EC243-EC248-EC251</f>
        <v>455.94557874843122</v>
      </c>
      <c r="ED247" s="33"/>
      <c r="EE247" s="33"/>
      <c r="EF247" s="33"/>
      <c r="EG247" s="33"/>
      <c r="EH247" s="33"/>
      <c r="EI247" s="365">
        <f>EC247+EI243-EI248-EI251</f>
        <v>479.77809563629211</v>
      </c>
      <c r="EJ247" s="33"/>
      <c r="EK247" s="33"/>
      <c r="EL247" s="33"/>
      <c r="EM247" s="33"/>
      <c r="EN247" s="33"/>
      <c r="EO247" s="365">
        <f>EI247+EO243-EO248-EO251</f>
        <v>502.02913363994492</v>
      </c>
      <c r="EP247" s="33"/>
      <c r="EQ247" s="33"/>
      <c r="ER247" s="33"/>
      <c r="ES247" s="33"/>
      <c r="ET247" s="33"/>
      <c r="EU247" s="365">
        <f>EO247+EU243-EU248-EU251</f>
        <v>521.11243290275763</v>
      </c>
      <c r="EV247" s="33"/>
      <c r="EW247" s="33"/>
      <c r="EX247" s="33"/>
      <c r="EY247" s="33"/>
      <c r="EZ247" s="33"/>
      <c r="FA247" s="365">
        <f>EU247+FA243-FA248-FA251</f>
        <v>528.84793628176055</v>
      </c>
      <c r="FB247" s="33"/>
      <c r="FC247" s="33"/>
      <c r="FD247" s="33"/>
      <c r="FE247" s="33"/>
      <c r="FF247" s="33"/>
      <c r="FG247" s="365">
        <f>FA247+FG243-FG248-FG251</f>
        <v>540.31559078223995</v>
      </c>
      <c r="FH247" s="33"/>
      <c r="FI247" s="33"/>
      <c r="FJ247" s="33"/>
      <c r="FK247" s="33"/>
      <c r="FL247" s="33"/>
      <c r="FM247" s="365">
        <f>FG247+FM243-FM248-FM251</f>
        <v>554.94848389471588</v>
      </c>
      <c r="FN247" s="226"/>
      <c r="FO247" s="227"/>
      <c r="FP247" s="33"/>
      <c r="FQ247" s="33"/>
      <c r="FR247" s="33"/>
      <c r="FS247" s="227"/>
      <c r="FT247" s="33"/>
      <c r="FU247" s="33"/>
      <c r="FV247" s="33"/>
      <c r="FW247" s="33"/>
      <c r="FX247" s="33"/>
      <c r="FY247" s="33"/>
      <c r="FZ247" s="33"/>
      <c r="GA247" s="33"/>
      <c r="GB247" s="33"/>
      <c r="GC247" s="33"/>
      <c r="GD247" s="33"/>
      <c r="GE247" s="33"/>
      <c r="GF247" s="33"/>
      <c r="GH247" s="33"/>
      <c r="GI247"/>
      <c r="GJ247"/>
      <c r="GK247"/>
      <c r="GL247"/>
      <c r="GM247"/>
      <c r="GN247"/>
      <c r="GO247" s="33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</row>
    <row r="248" spans="1:281" s="127" customFormat="1" ht="12.75" hidden="1" customHeight="1" outlineLevel="1" x14ac:dyDescent="0.2">
      <c r="A248" s="366" t="s">
        <v>283</v>
      </c>
      <c r="B248" s="359"/>
      <c r="C248" s="33"/>
      <c r="D248" s="33"/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  <c r="AD248" s="33"/>
      <c r="AE248" s="33"/>
      <c r="AF248" s="33"/>
      <c r="AG248" s="361"/>
      <c r="AH248" s="361"/>
      <c r="AI248" s="361"/>
      <c r="AJ248" s="361"/>
      <c r="AK248" s="364"/>
      <c r="AL248" s="33"/>
      <c r="AM248" s="361"/>
      <c r="AN248" s="361"/>
      <c r="AO248" s="361"/>
      <c r="AP248" s="361"/>
      <c r="AQ248" s="364"/>
      <c r="AR248" s="33"/>
      <c r="AS248" s="361"/>
      <c r="AT248" s="361"/>
      <c r="AU248" s="361"/>
      <c r="AV248" s="361"/>
      <c r="AW248" s="364"/>
      <c r="AX248" s="33"/>
      <c r="AY248" s="361"/>
      <c r="AZ248" s="361"/>
      <c r="BA248" s="361"/>
      <c r="BB248" s="361"/>
      <c r="BC248" s="364"/>
      <c r="BD248" s="33"/>
      <c r="BE248" s="361"/>
      <c r="BF248" s="361"/>
      <c r="BG248" s="361"/>
      <c r="BH248" s="361"/>
      <c r="BI248" s="364">
        <f>+'Balance Sheet'!BI241-'Balance Sheet'!BI242</f>
        <v>-5431</v>
      </c>
      <c r="BJ248" s="33"/>
      <c r="BK248" s="361"/>
      <c r="BL248" s="361"/>
      <c r="BM248" s="361"/>
      <c r="BN248" s="361"/>
      <c r="BO248" s="364">
        <f>+'Balance Sheet'!BO241-'Balance Sheet'!BO242</f>
        <v>-5233</v>
      </c>
      <c r="BP248" s="33"/>
      <c r="BQ248" s="361"/>
      <c r="BR248" s="361"/>
      <c r="BS248" s="361"/>
      <c r="BT248" s="361"/>
      <c r="BU248" s="364">
        <f>+'Balance Sheet'!BU241-'Balance Sheet'!BU242</f>
        <v>-5171</v>
      </c>
      <c r="BV248" s="33"/>
      <c r="BW248" s="361"/>
      <c r="BX248" s="361"/>
      <c r="BY248" s="361"/>
      <c r="BZ248" s="361"/>
      <c r="CA248" s="364">
        <f>+'Balance Sheet'!CA241-'Balance Sheet'!CA242</f>
        <v>-5145</v>
      </c>
      <c r="CB248" s="33"/>
      <c r="CC248" s="361"/>
      <c r="CD248" s="33"/>
      <c r="CE248" s="33"/>
      <c r="CF248" s="33"/>
      <c r="CG248" s="365">
        <f>+'Balance Sheet'!CG241-'Balance Sheet'!CG242</f>
        <v>-5232</v>
      </c>
      <c r="CH248" s="33"/>
      <c r="CI248" s="33"/>
      <c r="CJ248" s="33"/>
      <c r="CK248" s="33"/>
      <c r="CL248" s="33"/>
      <c r="CM248" s="365">
        <f>CG247*CM249</f>
        <v>1.17</v>
      </c>
      <c r="CN248" s="33"/>
      <c r="CO248" s="33"/>
      <c r="CP248" s="33"/>
      <c r="CQ248" s="33"/>
      <c r="CR248" s="33"/>
      <c r="CS248" s="365">
        <f>CM247*CS249</f>
        <v>6.9952900000000016</v>
      </c>
      <c r="CT248" s="33"/>
      <c r="CU248" s="33"/>
      <c r="CV248" s="33"/>
      <c r="CW248" s="33"/>
      <c r="CX248" s="33"/>
      <c r="CY248" s="365">
        <f>CS247*CY249</f>
        <v>9.9809803199999987</v>
      </c>
      <c r="CZ248" s="33"/>
      <c r="DA248" s="33"/>
      <c r="DB248" s="33"/>
      <c r="DC248" s="33"/>
      <c r="DD248" s="33"/>
      <c r="DE248" s="365">
        <f>CY247*DE249</f>
        <v>20.620833816960001</v>
      </c>
      <c r="DF248" s="33"/>
      <c r="DG248" s="33"/>
      <c r="DH248" s="33"/>
      <c r="DI248" s="33"/>
      <c r="DJ248" s="33"/>
      <c r="DK248" s="365">
        <f>DE247*DK249</f>
        <v>19.47882139298304</v>
      </c>
      <c r="DL248" s="33"/>
      <c r="DM248" s="33"/>
      <c r="DN248" s="33"/>
      <c r="DO248" s="33"/>
      <c r="DP248" s="33"/>
      <c r="DQ248" s="365">
        <f>DK247*DQ249</f>
        <v>9.9431716243856574</v>
      </c>
      <c r="DR248" s="33"/>
      <c r="DS248" s="33"/>
      <c r="DT248" s="33"/>
      <c r="DU248" s="33"/>
      <c r="DV248" s="33"/>
      <c r="DW248" s="365">
        <f>DQ247*DW249</f>
        <v>14.323156759544652</v>
      </c>
      <c r="DX248" s="33"/>
      <c r="DY248" s="33"/>
      <c r="DZ248" s="33"/>
      <c r="EA248" s="33"/>
      <c r="EB248" s="33"/>
      <c r="EC248" s="365">
        <f>DW247*EC249</f>
        <v>16.641756975231168</v>
      </c>
      <c r="ED248" s="33"/>
      <c r="EE248" s="33"/>
      <c r="EF248" s="33"/>
      <c r="EG248" s="33"/>
      <c r="EH248" s="33"/>
      <c r="EI248" s="365">
        <f>EC247*EI249</f>
        <v>36.475646299874498</v>
      </c>
      <c r="EJ248" s="33"/>
      <c r="EK248" s="33"/>
      <c r="EL248" s="33"/>
      <c r="EM248" s="33"/>
      <c r="EN248" s="33"/>
      <c r="EO248" s="365">
        <f>EI247*EO249</f>
        <v>38.382247650903366</v>
      </c>
      <c r="EP248" s="33"/>
      <c r="EQ248" s="33"/>
      <c r="ER248" s="33"/>
      <c r="ES248" s="33"/>
      <c r="ET248" s="33"/>
      <c r="EU248" s="365">
        <f>EO247*EU249</f>
        <v>40.162330691195592</v>
      </c>
      <c r="EV248" s="33"/>
      <c r="EW248" s="33"/>
      <c r="EX248" s="33"/>
      <c r="EY248" s="33"/>
      <c r="EZ248" s="33"/>
      <c r="FA248" s="365">
        <f>EU247*FA249</f>
        <v>41.688994632220613</v>
      </c>
      <c r="FB248" s="33"/>
      <c r="FC248" s="33"/>
      <c r="FD248" s="33"/>
      <c r="FE248" s="33"/>
      <c r="FF248" s="33"/>
      <c r="FG248" s="365">
        <f>FA247*FG249</f>
        <v>42.307834902540847</v>
      </c>
      <c r="FH248" s="33"/>
      <c r="FI248" s="33"/>
      <c r="FJ248" s="33"/>
      <c r="FK248" s="33"/>
      <c r="FL248" s="33"/>
      <c r="FM248" s="365">
        <f>FG247*FM249</f>
        <v>43.225247262579195</v>
      </c>
      <c r="FN248" s="226"/>
      <c r="FO248" s="227"/>
      <c r="FP248" s="33"/>
      <c r="FQ248" s="33"/>
      <c r="FR248" s="33"/>
      <c r="FS248" s="227"/>
      <c r="FT248" s="33"/>
      <c r="FU248" s="33"/>
      <c r="FV248" s="33"/>
      <c r="FW248" s="33"/>
      <c r="FX248" s="33"/>
      <c r="FY248" s="33"/>
      <c r="FZ248" s="33"/>
      <c r="GA248" s="33"/>
      <c r="GB248" s="33"/>
      <c r="GC248" s="33"/>
      <c r="GD248" s="33"/>
      <c r="GE248" s="33"/>
      <c r="GF248" s="33"/>
      <c r="GH248" s="33"/>
      <c r="GI248"/>
      <c r="GJ248"/>
      <c r="GK248"/>
      <c r="GL248"/>
      <c r="GM248"/>
      <c r="GN248"/>
      <c r="GO248" s="33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</row>
    <row r="249" spans="1:281" s="127" customFormat="1" ht="12.75" hidden="1" customHeight="1" outlineLevel="1" x14ac:dyDescent="0.2">
      <c r="A249" s="366" t="s">
        <v>284</v>
      </c>
      <c r="B249" s="359"/>
      <c r="C249" s="33"/>
      <c r="D249" s="33"/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  <c r="AD249" s="33"/>
      <c r="AE249" s="33"/>
      <c r="AF249" s="33"/>
      <c r="AG249" s="361"/>
      <c r="AH249" s="361"/>
      <c r="AI249" s="361"/>
      <c r="AJ249" s="361"/>
      <c r="AK249" s="123"/>
      <c r="AL249" s="33"/>
      <c r="AM249" s="361"/>
      <c r="AN249" s="361"/>
      <c r="AO249" s="361"/>
      <c r="AP249" s="361"/>
      <c r="AQ249" s="123"/>
      <c r="AR249" s="33"/>
      <c r="AS249" s="361"/>
      <c r="AT249" s="361"/>
      <c r="AU249" s="361"/>
      <c r="AV249" s="361"/>
      <c r="AW249" s="123"/>
      <c r="AX249" s="33"/>
      <c r="AY249" s="361"/>
      <c r="AZ249" s="361"/>
      <c r="BA249" s="361"/>
      <c r="BB249" s="361"/>
      <c r="BC249" s="123"/>
      <c r="BD249" s="33"/>
      <c r="BE249" s="361"/>
      <c r="BF249" s="361"/>
      <c r="BG249" s="361"/>
      <c r="BH249" s="361"/>
      <c r="BI249" s="123" t="e">
        <f>BI248/BC247</f>
        <v>#DIV/0!</v>
      </c>
      <c r="BJ249" s="33"/>
      <c r="BK249" s="361"/>
      <c r="BL249" s="361"/>
      <c r="BM249" s="361"/>
      <c r="BN249" s="361"/>
      <c r="BO249" s="123">
        <f>BO248/BI247</f>
        <v>-127.63414634146342</v>
      </c>
      <c r="BP249" s="33"/>
      <c r="BQ249" s="361"/>
      <c r="BR249" s="361"/>
      <c r="BS249" s="361"/>
      <c r="BT249" s="361"/>
      <c r="BU249" s="123">
        <f>BU248/BO247</f>
        <v>-105.53061224489795</v>
      </c>
      <c r="BV249" s="33"/>
      <c r="BW249" s="361"/>
      <c r="BX249" s="361"/>
      <c r="BY249" s="361"/>
      <c r="BZ249" s="361"/>
      <c r="CA249" s="123">
        <f>CA248/BU247</f>
        <v>-223.69565217391303</v>
      </c>
      <c r="CB249" s="33"/>
      <c r="CC249" s="361"/>
      <c r="CD249" s="33"/>
      <c r="CE249" s="33"/>
      <c r="CF249" s="33"/>
      <c r="CG249" s="269">
        <f>CG248/CA247</f>
        <v>-1744</v>
      </c>
      <c r="CH249" s="33"/>
      <c r="CI249" s="33"/>
      <c r="CJ249" s="33"/>
      <c r="CK249" s="33"/>
      <c r="CL249" s="33"/>
      <c r="CM249" s="369">
        <v>0.13</v>
      </c>
      <c r="CN249" s="33"/>
      <c r="CO249" s="33"/>
      <c r="CP249" s="33"/>
      <c r="CQ249" s="33"/>
      <c r="CR249" s="33"/>
      <c r="CS249" s="369">
        <v>0.1</v>
      </c>
      <c r="CT249" s="33"/>
      <c r="CU249" s="33"/>
      <c r="CV249" s="33"/>
      <c r="CW249" s="33"/>
      <c r="CX249" s="33"/>
      <c r="CY249" s="369">
        <v>0.08</v>
      </c>
      <c r="CZ249" s="33"/>
      <c r="DA249" s="33"/>
      <c r="DB249" s="33"/>
      <c r="DC249" s="33"/>
      <c r="DD249" s="33"/>
      <c r="DE249" s="369">
        <v>0.11700000000000001</v>
      </c>
      <c r="DF249" s="33"/>
      <c r="DG249" s="33"/>
      <c r="DH249" s="33"/>
      <c r="DI249" s="33"/>
      <c r="DJ249" s="33"/>
      <c r="DK249" s="369">
        <v>8.7999999999999995E-2</v>
      </c>
      <c r="DL249" s="33"/>
      <c r="DM249" s="33"/>
      <c r="DN249" s="33"/>
      <c r="DO249" s="33"/>
      <c r="DP249" s="33"/>
      <c r="DQ249" s="369">
        <v>3.6999999999999998E-2</v>
      </c>
      <c r="DR249" s="33"/>
      <c r="DS249" s="33"/>
      <c r="DT249" s="33"/>
      <c r="DU249" s="33"/>
      <c r="DV249" s="33"/>
      <c r="DW249" s="369">
        <v>0.04</v>
      </c>
      <c r="DX249" s="33"/>
      <c r="DY249" s="33"/>
      <c r="DZ249" s="33"/>
      <c r="EA249" s="33"/>
      <c r="EB249" s="33"/>
      <c r="EC249" s="369">
        <v>0.04</v>
      </c>
      <c r="ED249" s="33"/>
      <c r="EE249" s="33"/>
      <c r="EF249" s="33"/>
      <c r="EG249" s="33"/>
      <c r="EH249" s="33"/>
      <c r="EI249" s="369">
        <v>0.08</v>
      </c>
      <c r="EJ249" s="33"/>
      <c r="EK249" s="33"/>
      <c r="EL249" s="33"/>
      <c r="EM249" s="33"/>
      <c r="EN249" s="33"/>
      <c r="EO249" s="369">
        <v>0.08</v>
      </c>
      <c r="EP249" s="33"/>
      <c r="EQ249" s="33"/>
      <c r="ER249" s="33"/>
      <c r="ES249" s="33"/>
      <c r="ET249" s="33"/>
      <c r="EU249" s="369">
        <v>0.08</v>
      </c>
      <c r="EV249" s="33"/>
      <c r="EW249" s="33"/>
      <c r="EX249" s="33"/>
      <c r="EY249" s="33"/>
      <c r="EZ249" s="33"/>
      <c r="FA249" s="369">
        <v>0.08</v>
      </c>
      <c r="FB249" s="33"/>
      <c r="FC249" s="33"/>
      <c r="FD249" s="33"/>
      <c r="FE249" s="33"/>
      <c r="FF249" s="33"/>
      <c r="FG249" s="369">
        <v>0.08</v>
      </c>
      <c r="FH249" s="33"/>
      <c r="FI249" s="33"/>
      <c r="FJ249" s="33"/>
      <c r="FK249" s="33"/>
      <c r="FL249" s="33"/>
      <c r="FM249" s="369">
        <v>0.08</v>
      </c>
      <c r="FN249" s="226"/>
      <c r="FO249" s="227"/>
      <c r="FP249" s="33"/>
      <c r="FQ249" s="33"/>
      <c r="FR249" s="33"/>
      <c r="FS249" s="227"/>
      <c r="FT249" s="33"/>
      <c r="FU249" s="33"/>
      <c r="FV249" s="33"/>
      <c r="FW249" s="33"/>
      <c r="FX249" s="33"/>
      <c r="FY249" s="33"/>
      <c r="FZ249" s="33"/>
      <c r="GA249" s="33"/>
      <c r="GB249" s="33"/>
      <c r="GC249" s="33"/>
      <c r="GD249" s="33"/>
      <c r="GE249" s="33"/>
      <c r="GF249" s="33"/>
      <c r="GH249" s="33"/>
      <c r="GI249"/>
      <c r="GJ249"/>
      <c r="GK249"/>
      <c r="GL249"/>
      <c r="GM249"/>
      <c r="GN249"/>
      <c r="GO249" s="33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</row>
    <row r="250" spans="1:281" s="127" customFormat="1" ht="12.75" hidden="1" customHeight="1" outlineLevel="1" x14ac:dyDescent="0.2">
      <c r="A250" s="366"/>
      <c r="B250" s="359"/>
      <c r="C250" s="33"/>
      <c r="D250" s="33"/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  <c r="AD250" s="33"/>
      <c r="AE250" s="33"/>
      <c r="AF250" s="33"/>
      <c r="AG250" s="361"/>
      <c r="AH250" s="361"/>
      <c r="AI250" s="361"/>
      <c r="AJ250" s="361"/>
      <c r="AK250" s="367"/>
      <c r="AL250" s="33"/>
      <c r="AM250" s="361"/>
      <c r="AN250" s="361"/>
      <c r="AO250" s="361"/>
      <c r="AP250" s="361"/>
      <c r="AQ250" s="367"/>
      <c r="AR250" s="33"/>
      <c r="AS250" s="361"/>
      <c r="AT250" s="361"/>
      <c r="AU250" s="361"/>
      <c r="AV250" s="361"/>
      <c r="AW250" s="367"/>
      <c r="AX250" s="33"/>
      <c r="AY250" s="361"/>
      <c r="AZ250" s="361"/>
      <c r="BA250" s="361"/>
      <c r="BB250" s="361"/>
      <c r="BC250" s="367"/>
      <c r="BD250" s="33"/>
      <c r="BE250" s="361"/>
      <c r="BF250" s="361"/>
      <c r="BG250" s="361"/>
      <c r="BH250" s="361"/>
      <c r="BI250" s="367"/>
      <c r="BJ250" s="33"/>
      <c r="BK250" s="361"/>
      <c r="BL250" s="361"/>
      <c r="BM250" s="361"/>
      <c r="BN250" s="361"/>
      <c r="BO250" s="367"/>
      <c r="BP250" s="33"/>
      <c r="BQ250" s="361"/>
      <c r="BR250" s="361"/>
      <c r="BS250" s="361"/>
      <c r="BT250" s="361"/>
      <c r="BU250" s="367"/>
      <c r="BV250" s="33"/>
      <c r="BW250" s="361"/>
      <c r="BX250" s="361"/>
      <c r="BY250" s="361"/>
      <c r="BZ250" s="361"/>
      <c r="CA250" s="367"/>
      <c r="CB250" s="33"/>
      <c r="CC250" s="361"/>
      <c r="CD250" s="33"/>
      <c r="CE250" s="33"/>
      <c r="CF250" s="33"/>
      <c r="CG250" s="174"/>
      <c r="CH250" s="33"/>
      <c r="CI250" s="33"/>
      <c r="CJ250" s="33"/>
      <c r="CK250" s="33"/>
      <c r="CL250" s="33"/>
      <c r="CM250" s="174"/>
      <c r="CN250" s="33"/>
      <c r="CO250" s="33"/>
      <c r="CP250" s="33"/>
      <c r="CQ250" s="33"/>
      <c r="CR250" s="33"/>
      <c r="CS250" s="174"/>
      <c r="CT250" s="33"/>
      <c r="CU250" s="33"/>
      <c r="CV250" s="33"/>
      <c r="CW250" s="33"/>
      <c r="CX250" s="33"/>
      <c r="CY250" s="174"/>
      <c r="CZ250" s="33"/>
      <c r="DA250" s="33"/>
      <c r="DB250" s="33"/>
      <c r="DC250" s="33"/>
      <c r="DD250" s="33"/>
      <c r="DE250" s="174"/>
      <c r="DF250" s="33"/>
      <c r="DG250" s="33"/>
      <c r="DH250" s="33"/>
      <c r="DI250" s="33"/>
      <c r="DJ250" s="33"/>
      <c r="DK250" s="174"/>
      <c r="DL250" s="33"/>
      <c r="DM250" s="33"/>
      <c r="DN250" s="33"/>
      <c r="DO250" s="33"/>
      <c r="DP250" s="33"/>
      <c r="DQ250" s="174"/>
      <c r="DR250" s="33"/>
      <c r="DS250" s="33"/>
      <c r="DT250" s="33"/>
      <c r="DU250" s="33"/>
      <c r="DV250" s="33"/>
      <c r="DW250" s="174"/>
      <c r="DX250" s="33"/>
      <c r="DY250" s="33"/>
      <c r="DZ250" s="33"/>
      <c r="EA250" s="33"/>
      <c r="EB250" s="33"/>
      <c r="EC250" s="174"/>
      <c r="ED250" s="33"/>
      <c r="EE250" s="33"/>
      <c r="EF250" s="33"/>
      <c r="EG250" s="33"/>
      <c r="EH250" s="33"/>
      <c r="EI250" s="174"/>
      <c r="EJ250" s="33"/>
      <c r="EK250" s="33"/>
      <c r="EL250" s="33"/>
      <c r="EM250" s="33"/>
      <c r="EN250" s="33"/>
      <c r="EO250" s="174"/>
      <c r="EP250" s="33"/>
      <c r="EQ250" s="33"/>
      <c r="ER250" s="33"/>
      <c r="ES250" s="33"/>
      <c r="ET250" s="33"/>
      <c r="EU250" s="174"/>
      <c r="EV250" s="33"/>
      <c r="EW250" s="33"/>
      <c r="EX250" s="33"/>
      <c r="EY250" s="33"/>
      <c r="EZ250" s="33"/>
      <c r="FA250" s="174"/>
      <c r="FB250" s="33"/>
      <c r="FC250" s="33"/>
      <c r="FD250" s="33"/>
      <c r="FE250" s="33"/>
      <c r="FF250" s="33"/>
      <c r="FG250" s="174"/>
      <c r="FH250" s="33"/>
      <c r="FI250" s="33"/>
      <c r="FJ250" s="33"/>
      <c r="FK250" s="33"/>
      <c r="FL250" s="33"/>
      <c r="FM250" s="174"/>
      <c r="FN250" s="226"/>
      <c r="FO250" s="227"/>
      <c r="FP250" s="33"/>
      <c r="FQ250" s="33"/>
      <c r="FR250" s="33"/>
      <c r="FS250" s="227"/>
      <c r="FT250" s="33"/>
      <c r="FU250" s="33"/>
      <c r="FV250" s="33"/>
      <c r="FW250" s="33"/>
      <c r="FX250" s="33"/>
      <c r="FY250" s="33"/>
      <c r="FZ250" s="33"/>
      <c r="GA250" s="33"/>
      <c r="GB250" s="33"/>
      <c r="GC250" s="33"/>
      <c r="GD250" s="33"/>
      <c r="GE250" s="33"/>
      <c r="GF250" s="33"/>
      <c r="GH250" s="33"/>
      <c r="GI250"/>
      <c r="GJ250"/>
      <c r="GK250"/>
      <c r="GL250"/>
      <c r="GM250"/>
      <c r="GN250"/>
      <c r="GO250" s="33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</row>
    <row r="251" spans="1:281" s="127" customFormat="1" ht="12.75" hidden="1" customHeight="1" outlineLevel="1" x14ac:dyDescent="0.2">
      <c r="A251" s="366" t="s">
        <v>285</v>
      </c>
      <c r="B251" s="359"/>
      <c r="C251" s="33"/>
      <c r="D251" s="33"/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  <c r="AD251" s="33"/>
      <c r="AE251" s="33"/>
      <c r="AF251" s="33"/>
      <c r="AG251" s="361"/>
      <c r="AH251" s="361"/>
      <c r="AI251" s="361"/>
      <c r="AJ251" s="361"/>
      <c r="AK251" s="364"/>
      <c r="AL251" s="33"/>
      <c r="AM251" s="361"/>
      <c r="AN251" s="361"/>
      <c r="AO251" s="361"/>
      <c r="AP251" s="361"/>
      <c r="AQ251" s="364"/>
      <c r="AR251" s="33"/>
      <c r="AS251" s="361"/>
      <c r="AT251" s="361"/>
      <c r="AU251" s="361"/>
      <c r="AV251" s="361"/>
      <c r="AW251" s="364"/>
      <c r="AX251" s="33"/>
      <c r="AY251" s="361"/>
      <c r="AZ251" s="361"/>
      <c r="BA251" s="361"/>
      <c r="BB251" s="361"/>
      <c r="BC251" s="364"/>
      <c r="BD251" s="33"/>
      <c r="BE251" s="361"/>
      <c r="BF251" s="361"/>
      <c r="BG251" s="361"/>
      <c r="BH251" s="361"/>
      <c r="BI251" s="364">
        <f>+'Balance Sheet'!BI243</f>
        <v>65</v>
      </c>
      <c r="BJ251" s="33"/>
      <c r="BK251" s="361"/>
      <c r="BL251" s="361"/>
      <c r="BM251" s="361"/>
      <c r="BN251" s="361"/>
      <c r="BO251" s="364">
        <f>+'Balance Sheet'!BO243</f>
        <v>66</v>
      </c>
      <c r="BP251" s="33"/>
      <c r="BQ251" s="361"/>
      <c r="BR251" s="361"/>
      <c r="BS251" s="361"/>
      <c r="BT251" s="361"/>
      <c r="BU251" s="364">
        <f>+'Balance Sheet'!BU243</f>
        <v>44</v>
      </c>
      <c r="BV251" s="33"/>
      <c r="BW251" s="361"/>
      <c r="BX251" s="361"/>
      <c r="BY251" s="361"/>
      <c r="BZ251" s="361"/>
      <c r="CA251" s="364">
        <f>+'Balance Sheet'!CA243</f>
        <v>42</v>
      </c>
      <c r="CB251" s="33"/>
      <c r="CC251" s="361"/>
      <c r="CD251" s="33"/>
      <c r="CE251" s="33"/>
      <c r="CF251" s="33"/>
      <c r="CG251" s="365">
        <f>+'Balance Sheet'!CG243</f>
        <v>68</v>
      </c>
      <c r="CH251" s="33"/>
      <c r="CI251" s="33"/>
      <c r="CJ251" s="33"/>
      <c r="CK251" s="33"/>
      <c r="CL251" s="33"/>
      <c r="CM251" s="365">
        <f>CG247*CM252</f>
        <v>1.3499999999999999</v>
      </c>
      <c r="CN251" s="33"/>
      <c r="CO251" s="33"/>
      <c r="CP251" s="33"/>
      <c r="CQ251" s="33"/>
      <c r="CR251" s="33"/>
      <c r="CS251" s="365">
        <f>CM247*CS252</f>
        <v>9.7934060000000027</v>
      </c>
      <c r="CT251" s="33"/>
      <c r="CU251" s="33"/>
      <c r="CV251" s="33"/>
      <c r="CW251" s="33"/>
      <c r="CX251" s="33"/>
      <c r="CY251" s="365">
        <f>CS247*CY252</f>
        <v>24.952450799999998</v>
      </c>
      <c r="CZ251" s="33"/>
      <c r="DA251" s="33"/>
      <c r="DB251" s="33"/>
      <c r="DC251" s="33"/>
      <c r="DD251" s="33"/>
      <c r="DE251" s="365">
        <f>CY247*DE252</f>
        <v>29.433155960960001</v>
      </c>
      <c r="DF251" s="33"/>
      <c r="DG251" s="33"/>
      <c r="DH251" s="33"/>
      <c r="DI251" s="33"/>
      <c r="DJ251" s="33"/>
      <c r="DK251" s="365">
        <f>DE247*DK252</f>
        <v>48.697053482457605</v>
      </c>
      <c r="DL251" s="33"/>
      <c r="DM251" s="33"/>
      <c r="DN251" s="33"/>
      <c r="DO251" s="33"/>
      <c r="DP251" s="33"/>
      <c r="DQ251" s="365">
        <f>DK247*DQ252</f>
        <v>29.560780504930332</v>
      </c>
      <c r="DR251" s="33"/>
      <c r="DS251" s="33"/>
      <c r="DT251" s="33"/>
      <c r="DU251" s="33"/>
      <c r="DV251" s="33"/>
      <c r="DW251" s="365">
        <f>DQ247*DW252</f>
        <v>53.71183784829244</v>
      </c>
      <c r="DX251" s="33"/>
      <c r="DY251" s="33"/>
      <c r="DZ251" s="33"/>
      <c r="EA251" s="33"/>
      <c r="EB251" s="33"/>
      <c r="EC251" s="365">
        <f>DW247*EC252</f>
        <v>62.406588657116885</v>
      </c>
      <c r="ED251" s="33"/>
      <c r="EE251" s="33"/>
      <c r="EF251" s="33"/>
      <c r="EG251" s="33"/>
      <c r="EH251" s="33"/>
      <c r="EI251" s="365">
        <f>EC247*EI252</f>
        <v>68.391836812264685</v>
      </c>
      <c r="EJ251" s="33"/>
      <c r="EK251" s="33"/>
      <c r="EL251" s="33"/>
      <c r="EM251" s="33"/>
      <c r="EN251" s="33"/>
      <c r="EO251" s="365">
        <f>EI247*EO252</f>
        <v>71.966714345443819</v>
      </c>
      <c r="EP251" s="33"/>
      <c r="EQ251" s="33"/>
      <c r="ER251" s="33"/>
      <c r="ES251" s="33"/>
      <c r="ET251" s="33"/>
      <c r="EU251" s="365">
        <f>EO247*EU252</f>
        <v>75.304370045991732</v>
      </c>
      <c r="EV251" s="33"/>
      <c r="EW251" s="33"/>
      <c r="EX251" s="33"/>
      <c r="EY251" s="33"/>
      <c r="EZ251" s="33"/>
      <c r="FA251" s="365">
        <f>EU247*FA252</f>
        <v>78.166864935413642</v>
      </c>
      <c r="FB251" s="33"/>
      <c r="FC251" s="33"/>
      <c r="FD251" s="33"/>
      <c r="FE251" s="33"/>
      <c r="FF251" s="33"/>
      <c r="FG251" s="365">
        <f>FA247*FG252</f>
        <v>79.327190442264083</v>
      </c>
      <c r="FH251" s="33"/>
      <c r="FI251" s="33"/>
      <c r="FJ251" s="33"/>
      <c r="FK251" s="33"/>
      <c r="FL251" s="33"/>
      <c r="FM251" s="365">
        <f>FG247*FM252</f>
        <v>81.047338617335996</v>
      </c>
      <c r="FN251" s="226"/>
      <c r="FO251" s="227"/>
      <c r="FP251" s="33"/>
      <c r="FQ251" s="33"/>
      <c r="FR251" s="33"/>
      <c r="FS251" s="227"/>
      <c r="FT251" s="33"/>
      <c r="FU251" s="33"/>
      <c r="FV251" s="33"/>
      <c r="FW251" s="33"/>
      <c r="FX251" s="33"/>
      <c r="FY251" s="33"/>
      <c r="FZ251" s="33"/>
      <c r="GA251" s="33"/>
      <c r="GB251" s="33"/>
      <c r="GC251" s="33"/>
      <c r="GD251" s="33"/>
      <c r="GE251" s="33"/>
      <c r="GF251" s="33"/>
      <c r="GH251" s="33"/>
      <c r="GI251"/>
      <c r="GJ251"/>
      <c r="GK251"/>
      <c r="GL251"/>
      <c r="GM251"/>
      <c r="GN251"/>
      <c r="GO251" s="33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</row>
    <row r="252" spans="1:281" s="127" customFormat="1" ht="12.75" hidden="1" customHeight="1" outlineLevel="1" x14ac:dyDescent="0.2">
      <c r="A252" s="366" t="s">
        <v>286</v>
      </c>
      <c r="B252" s="359"/>
      <c r="C252" s="33"/>
      <c r="D252" s="33"/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  <c r="AD252" s="33"/>
      <c r="AE252" s="33"/>
      <c r="AF252" s="33"/>
      <c r="AG252" s="361"/>
      <c r="AH252" s="361"/>
      <c r="AI252" s="361"/>
      <c r="AJ252" s="361"/>
      <c r="AK252" s="123"/>
      <c r="AL252" s="33"/>
      <c r="AM252" s="361"/>
      <c r="AN252" s="361"/>
      <c r="AO252" s="361"/>
      <c r="AP252" s="361"/>
      <c r="AQ252" s="123"/>
      <c r="AR252" s="33"/>
      <c r="AS252" s="361"/>
      <c r="AT252" s="361"/>
      <c r="AU252" s="361"/>
      <c r="AV252" s="361"/>
      <c r="AW252" s="123"/>
      <c r="AX252" s="33"/>
      <c r="AY252" s="361"/>
      <c r="AZ252" s="361"/>
      <c r="BA252" s="361"/>
      <c r="BB252" s="361"/>
      <c r="BC252" s="123"/>
      <c r="BD252" s="33"/>
      <c r="BE252" s="361"/>
      <c r="BF252" s="361"/>
      <c r="BG252" s="361"/>
      <c r="BH252" s="361"/>
      <c r="BI252" s="123" t="e">
        <f>BI251/BC247</f>
        <v>#DIV/0!</v>
      </c>
      <c r="BJ252" s="33"/>
      <c r="BK252" s="361"/>
      <c r="BL252" s="361"/>
      <c r="BM252" s="361"/>
      <c r="BN252" s="361"/>
      <c r="BO252" s="123">
        <f>BO251/BI247</f>
        <v>1.6097560975609757</v>
      </c>
      <c r="BP252" s="33"/>
      <c r="BQ252" s="361"/>
      <c r="BR252" s="361"/>
      <c r="BS252" s="361"/>
      <c r="BT252" s="361"/>
      <c r="BU252" s="123">
        <f>BU251/BO247</f>
        <v>0.89795918367346939</v>
      </c>
      <c r="BV252" s="33"/>
      <c r="BW252" s="361"/>
      <c r="BX252" s="361"/>
      <c r="BY252" s="361"/>
      <c r="BZ252" s="361"/>
      <c r="CA252" s="123">
        <f>CA251/BU247</f>
        <v>1.826086956521739</v>
      </c>
      <c r="CB252" s="33"/>
      <c r="CC252" s="361"/>
      <c r="CD252" s="33"/>
      <c r="CE252" s="33"/>
      <c r="CF252" s="33"/>
      <c r="CG252" s="269">
        <f>CG251/CA247</f>
        <v>22.666666666666668</v>
      </c>
      <c r="CH252" s="33"/>
      <c r="CI252" s="33"/>
      <c r="CJ252" s="33"/>
      <c r="CK252" s="33"/>
      <c r="CL252" s="33"/>
      <c r="CM252" s="369">
        <v>0.15</v>
      </c>
      <c r="CN252" s="33"/>
      <c r="CO252" s="33"/>
      <c r="CP252" s="33"/>
      <c r="CQ252" s="33"/>
      <c r="CR252" s="33"/>
      <c r="CS252" s="369">
        <v>0.14000000000000001</v>
      </c>
      <c r="CT252" s="33"/>
      <c r="CU252" s="33"/>
      <c r="CV252" s="33"/>
      <c r="CW252" s="33"/>
      <c r="CX252" s="33"/>
      <c r="CY252" s="369">
        <v>0.2</v>
      </c>
      <c r="CZ252" s="33"/>
      <c r="DA252" s="33"/>
      <c r="DB252" s="33"/>
      <c r="DC252" s="33"/>
      <c r="DD252" s="33"/>
      <c r="DE252" s="369">
        <v>0.16700000000000001</v>
      </c>
      <c r="DF252" s="33"/>
      <c r="DG252" s="33"/>
      <c r="DH252" s="33"/>
      <c r="DI252" s="33"/>
      <c r="DJ252" s="33"/>
      <c r="DK252" s="369">
        <v>0.22</v>
      </c>
      <c r="DL252" s="33"/>
      <c r="DM252" s="33"/>
      <c r="DN252" s="33"/>
      <c r="DO252" s="33"/>
      <c r="DP252" s="33"/>
      <c r="DQ252" s="369">
        <v>0.11</v>
      </c>
      <c r="DR252" s="33"/>
      <c r="DS252" s="33"/>
      <c r="DT252" s="33"/>
      <c r="DU252" s="33"/>
      <c r="DV252" s="33"/>
      <c r="DW252" s="369">
        <v>0.15</v>
      </c>
      <c r="DX252" s="33"/>
      <c r="DY252" s="33"/>
      <c r="DZ252" s="33"/>
      <c r="EA252" s="33"/>
      <c r="EB252" s="33"/>
      <c r="EC252" s="369">
        <v>0.15</v>
      </c>
      <c r="ED252" s="33"/>
      <c r="EE252" s="33"/>
      <c r="EF252" s="33"/>
      <c r="EG252" s="33"/>
      <c r="EH252" s="33"/>
      <c r="EI252" s="369">
        <v>0.15</v>
      </c>
      <c r="EJ252" s="33"/>
      <c r="EK252" s="33"/>
      <c r="EL252" s="33"/>
      <c r="EM252" s="33"/>
      <c r="EN252" s="33"/>
      <c r="EO252" s="369">
        <v>0.15</v>
      </c>
      <c r="EP252" s="33"/>
      <c r="EQ252" s="33"/>
      <c r="ER252" s="33"/>
      <c r="ES252" s="33"/>
      <c r="ET252" s="33"/>
      <c r="EU252" s="369">
        <v>0.15</v>
      </c>
      <c r="EV252" s="33"/>
      <c r="EW252" s="33"/>
      <c r="EX252" s="33"/>
      <c r="EY252" s="33"/>
      <c r="EZ252" s="33"/>
      <c r="FA252" s="369">
        <v>0.15</v>
      </c>
      <c r="FB252" s="33"/>
      <c r="FC252" s="33"/>
      <c r="FD252" s="33"/>
      <c r="FE252" s="33"/>
      <c r="FF252" s="33"/>
      <c r="FG252" s="369">
        <v>0.15</v>
      </c>
      <c r="FH252" s="33"/>
      <c r="FI252" s="33"/>
      <c r="FJ252" s="33"/>
      <c r="FK252" s="33"/>
      <c r="FL252" s="33"/>
      <c r="FM252" s="369">
        <v>0.15</v>
      </c>
      <c r="FN252" s="226"/>
      <c r="FO252" s="227"/>
      <c r="FP252" s="33"/>
      <c r="FQ252" s="33"/>
      <c r="FR252" s="33"/>
      <c r="FS252" s="227"/>
      <c r="FT252" s="33"/>
      <c r="FU252" s="33"/>
      <c r="FV252" s="33"/>
      <c r="FW252" s="33"/>
      <c r="FX252" s="33"/>
      <c r="FY252" s="33"/>
      <c r="FZ252" s="33"/>
      <c r="GA252" s="33"/>
      <c r="GB252" s="33"/>
      <c r="GC252" s="33"/>
      <c r="GD252" s="33"/>
      <c r="GE252" s="33"/>
      <c r="GF252" s="33"/>
      <c r="GH252" s="33"/>
      <c r="GI252"/>
      <c r="GJ252"/>
      <c r="GK252"/>
      <c r="GL252"/>
      <c r="GM252"/>
      <c r="GN252"/>
      <c r="GO252" s="33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</row>
    <row r="253" spans="1:281" s="127" customFormat="1" ht="12.75" hidden="1" customHeight="1" outlineLevel="1" x14ac:dyDescent="0.2">
      <c r="A253" s="366"/>
      <c r="B253" s="359"/>
      <c r="C253" s="33"/>
      <c r="D253" s="33"/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  <c r="AD253" s="33"/>
      <c r="AE253" s="33"/>
      <c r="AF253" s="33"/>
      <c r="AG253" s="361"/>
      <c r="AH253" s="361"/>
      <c r="AI253" s="361"/>
      <c r="AJ253" s="361"/>
      <c r="AK253" s="367"/>
      <c r="AL253" s="33"/>
      <c r="AM253" s="361"/>
      <c r="AN253" s="361"/>
      <c r="AO253" s="361"/>
      <c r="AP253" s="361"/>
      <c r="AQ253" s="367"/>
      <c r="AR253" s="33"/>
      <c r="AS253" s="361"/>
      <c r="AT253" s="361"/>
      <c r="AU253" s="361"/>
      <c r="AV253" s="361"/>
      <c r="AW253" s="367"/>
      <c r="AX253" s="33"/>
      <c r="AY253" s="361"/>
      <c r="AZ253" s="361"/>
      <c r="BA253" s="361"/>
      <c r="BB253" s="361"/>
      <c r="BC253" s="367"/>
      <c r="BD253" s="33"/>
      <c r="BE253" s="361"/>
      <c r="BF253" s="361"/>
      <c r="BG253" s="361"/>
      <c r="BH253" s="361"/>
      <c r="BI253" s="367"/>
      <c r="BJ253" s="33"/>
      <c r="BK253" s="361"/>
      <c r="BL253" s="361"/>
      <c r="BM253" s="361"/>
      <c r="BN253" s="361"/>
      <c r="BO253" s="367"/>
      <c r="BP253" s="33"/>
      <c r="BQ253" s="361"/>
      <c r="BR253" s="361"/>
      <c r="BS253" s="361"/>
      <c r="BT253" s="361"/>
      <c r="BU253" s="367"/>
      <c r="BV253" s="33"/>
      <c r="BW253" s="361"/>
      <c r="BX253" s="361"/>
      <c r="BY253" s="361"/>
      <c r="BZ253" s="361"/>
      <c r="CA253" s="367"/>
      <c r="CB253" s="33"/>
      <c r="CC253" s="361"/>
      <c r="CD253" s="33"/>
      <c r="CE253" s="33"/>
      <c r="CF253" s="33"/>
      <c r="CG253" s="174"/>
      <c r="CH253" s="33"/>
      <c r="CI253" s="33"/>
      <c r="CJ253" s="33"/>
      <c r="CK253" s="33"/>
      <c r="CL253" s="33"/>
      <c r="CM253" s="174"/>
      <c r="CN253" s="33"/>
      <c r="CO253" s="33"/>
      <c r="CP253" s="33"/>
      <c r="CQ253" s="33"/>
      <c r="CR253" s="33"/>
      <c r="CS253" s="174"/>
      <c r="CT253" s="33"/>
      <c r="CU253" s="33"/>
      <c r="CV253" s="33"/>
      <c r="CW253" s="33"/>
      <c r="CX253" s="33"/>
      <c r="CY253" s="174"/>
      <c r="CZ253" s="33"/>
      <c r="DA253" s="33"/>
      <c r="DB253" s="33"/>
      <c r="DC253" s="33"/>
      <c r="DD253" s="33"/>
      <c r="DE253" s="368"/>
      <c r="DF253" s="33"/>
      <c r="DG253" s="33"/>
      <c r="DH253" s="33"/>
      <c r="DI253" s="33"/>
      <c r="DJ253" s="33"/>
      <c r="DK253" s="174"/>
      <c r="DL253" s="33"/>
      <c r="DM253" s="33"/>
      <c r="DN253" s="33"/>
      <c r="DO253" s="33"/>
      <c r="DP253" s="33"/>
      <c r="DQ253" s="174"/>
      <c r="DR253" s="33"/>
      <c r="DS253" s="33"/>
      <c r="DT253" s="33"/>
      <c r="DU253" s="33"/>
      <c r="DV253" s="33"/>
      <c r="DW253" s="174"/>
      <c r="DX253" s="33"/>
      <c r="DY253" s="33"/>
      <c r="DZ253" s="33"/>
      <c r="EA253" s="33"/>
      <c r="EB253" s="33"/>
      <c r="EC253" s="174"/>
      <c r="ED253" s="33"/>
      <c r="EE253" s="33"/>
      <c r="EF253" s="33"/>
      <c r="EG253" s="33"/>
      <c r="EH253" s="33"/>
      <c r="EI253" s="174"/>
      <c r="EJ253" s="33"/>
      <c r="EK253" s="33"/>
      <c r="EL253" s="33"/>
      <c r="EM253" s="33"/>
      <c r="EN253" s="33"/>
      <c r="EO253" s="174"/>
      <c r="EP253" s="33"/>
      <c r="EQ253" s="33"/>
      <c r="ER253" s="33"/>
      <c r="ES253" s="33"/>
      <c r="ET253" s="33"/>
      <c r="EU253" s="174"/>
      <c r="EV253" s="33"/>
      <c r="EW253" s="33"/>
      <c r="EX253" s="33"/>
      <c r="EY253" s="33"/>
      <c r="EZ253" s="33"/>
      <c r="FA253" s="174"/>
      <c r="FB253" s="33"/>
      <c r="FC253" s="33"/>
      <c r="FD253" s="33"/>
      <c r="FE253" s="33"/>
      <c r="FF253" s="33"/>
      <c r="FG253" s="174"/>
      <c r="FH253" s="33"/>
      <c r="FI253" s="33"/>
      <c r="FJ253" s="33"/>
      <c r="FK253" s="33"/>
      <c r="FL253" s="33"/>
      <c r="FM253" s="174"/>
      <c r="FN253" s="226"/>
      <c r="FO253" s="227"/>
      <c r="FP253" s="33"/>
      <c r="FQ253" s="33"/>
      <c r="FR253" s="33"/>
      <c r="FS253" s="227"/>
      <c r="FT253" s="33"/>
      <c r="FU253" s="33"/>
      <c r="FV253" s="33"/>
      <c r="FW253" s="33"/>
      <c r="FX253" s="33"/>
      <c r="FY253" s="33"/>
      <c r="FZ253" s="33"/>
      <c r="GA253" s="33"/>
      <c r="GB253" s="33"/>
      <c r="GC253" s="33"/>
      <c r="GD253" s="33"/>
      <c r="GE253" s="33"/>
      <c r="GF253" s="33"/>
      <c r="GH253" s="33"/>
      <c r="GI253"/>
      <c r="GJ253"/>
      <c r="GK253"/>
      <c r="GL253"/>
      <c r="GM253"/>
      <c r="GN253"/>
      <c r="GO253" s="3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</row>
    <row r="254" spans="1:281" s="127" customFormat="1" ht="12.75" hidden="1" customHeight="1" outlineLevel="1" x14ac:dyDescent="0.2">
      <c r="A254" s="904" t="s">
        <v>595</v>
      </c>
      <c r="B254" s="359"/>
      <c r="C254" s="33"/>
      <c r="D254" s="33"/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  <c r="AD254" s="33"/>
      <c r="AE254" s="33"/>
      <c r="AF254" s="33"/>
      <c r="AG254" s="361"/>
      <c r="AH254" s="361"/>
      <c r="AI254" s="361"/>
      <c r="AJ254" s="361"/>
      <c r="AK254" s="367"/>
      <c r="AL254" s="33"/>
      <c r="AM254" s="361"/>
      <c r="AN254" s="361"/>
      <c r="AO254" s="361"/>
      <c r="AP254" s="361"/>
      <c r="AQ254" s="367"/>
      <c r="AR254" s="33"/>
      <c r="AS254" s="361"/>
      <c r="AT254" s="361"/>
      <c r="AU254" s="361"/>
      <c r="AV254" s="361"/>
      <c r="AW254" s="367"/>
      <c r="AX254" s="33"/>
      <c r="AY254" s="361"/>
      <c r="AZ254" s="361"/>
      <c r="BA254" s="361"/>
      <c r="BB254" s="361"/>
      <c r="BC254" s="367"/>
      <c r="BD254" s="33"/>
      <c r="BE254" s="361"/>
      <c r="BF254" s="361"/>
      <c r="BG254" s="361"/>
      <c r="BH254" s="361"/>
      <c r="BI254" s="367"/>
      <c r="BJ254" s="33"/>
      <c r="BK254" s="361"/>
      <c r="BL254" s="361"/>
      <c r="BM254" s="361"/>
      <c r="BN254" s="361"/>
      <c r="BO254" s="367"/>
      <c r="BP254" s="33"/>
      <c r="BQ254" s="361"/>
      <c r="BR254" s="361"/>
      <c r="BS254" s="361"/>
      <c r="BT254" s="361"/>
      <c r="BU254" s="367"/>
      <c r="BV254" s="33"/>
      <c r="BW254" s="361"/>
      <c r="BX254" s="361"/>
      <c r="BY254" s="361"/>
      <c r="BZ254" s="361"/>
      <c r="CA254" s="367"/>
      <c r="CB254" s="33"/>
      <c r="CC254" s="361"/>
      <c r="CD254" s="33"/>
      <c r="CE254" s="33"/>
      <c r="CF254" s="33"/>
      <c r="CG254" s="174"/>
      <c r="CH254" s="33"/>
      <c r="CI254" s="33"/>
      <c r="CJ254" s="33"/>
      <c r="CK254" s="33"/>
      <c r="CL254" s="33"/>
      <c r="CM254" s="174"/>
      <c r="CN254" s="33"/>
      <c r="CO254" s="33"/>
      <c r="CP254" s="33"/>
      <c r="CQ254" s="33"/>
      <c r="CR254" s="33"/>
      <c r="CS254" s="174"/>
      <c r="CT254" s="33"/>
      <c r="CU254" s="33"/>
      <c r="CV254" s="33"/>
      <c r="CW254" s="33"/>
      <c r="CX254" s="33"/>
      <c r="CY254" s="174"/>
      <c r="CZ254" s="33"/>
      <c r="DA254" s="33"/>
      <c r="DB254" s="33"/>
      <c r="DC254" s="33"/>
      <c r="DD254" s="33"/>
      <c r="DE254" s="174"/>
      <c r="DF254" s="33"/>
      <c r="DG254" s="33"/>
      <c r="DH254" s="33"/>
      <c r="DI254" s="33"/>
      <c r="DJ254" s="33"/>
      <c r="DK254" s="174"/>
      <c r="DL254" s="33"/>
      <c r="DM254" s="33"/>
      <c r="DN254" s="33"/>
      <c r="DO254" s="33"/>
      <c r="DP254" s="33"/>
      <c r="DQ254" s="174"/>
      <c r="DR254" s="33"/>
      <c r="DS254" s="33"/>
      <c r="DT254" s="33"/>
      <c r="DU254" s="33"/>
      <c r="DV254" s="33"/>
      <c r="DW254" s="174"/>
      <c r="DX254" s="33"/>
      <c r="DY254" s="33"/>
      <c r="DZ254" s="33"/>
      <c r="EA254" s="33"/>
      <c r="EB254" s="33"/>
      <c r="EC254" s="174"/>
      <c r="ED254" s="33"/>
      <c r="EE254" s="33"/>
      <c r="EF254" s="33"/>
      <c r="EG254" s="33"/>
      <c r="EH254" s="33"/>
      <c r="EI254" s="174"/>
      <c r="EJ254" s="33"/>
      <c r="EK254" s="33"/>
      <c r="EL254" s="33"/>
      <c r="EM254" s="33"/>
      <c r="EN254" s="33"/>
      <c r="EO254" s="174"/>
      <c r="EP254" s="33"/>
      <c r="EQ254" s="33"/>
      <c r="ER254" s="33"/>
      <c r="ES254" s="33"/>
      <c r="ET254" s="33"/>
      <c r="EU254" s="174"/>
      <c r="EV254" s="33"/>
      <c r="EW254" s="33"/>
      <c r="EX254" s="33"/>
      <c r="EY254" s="33"/>
      <c r="EZ254" s="33"/>
      <c r="FA254" s="174"/>
      <c r="FB254" s="33"/>
      <c r="FC254" s="33"/>
      <c r="FD254" s="33"/>
      <c r="FE254" s="33"/>
      <c r="FF254" s="33"/>
      <c r="FG254" s="174"/>
      <c r="FH254" s="33"/>
      <c r="FI254" s="33"/>
      <c r="FJ254" s="33"/>
      <c r="FK254" s="33"/>
      <c r="FL254" s="33"/>
      <c r="FM254" s="174"/>
      <c r="FN254" s="226"/>
      <c r="FO254" s="227"/>
      <c r="FP254" s="33"/>
      <c r="FQ254" s="33"/>
      <c r="FR254" s="33"/>
      <c r="FS254" s="227"/>
      <c r="FT254" s="33"/>
      <c r="FU254" s="33"/>
      <c r="FV254" s="33"/>
      <c r="FW254" s="33"/>
      <c r="FX254" s="33"/>
      <c r="FY254" s="33"/>
      <c r="FZ254" s="33"/>
      <c r="GA254" s="33"/>
      <c r="GB254" s="33"/>
      <c r="GC254" s="33"/>
      <c r="GD254" s="33"/>
      <c r="GE254" s="33"/>
      <c r="GF254" s="33"/>
      <c r="GH254" s="33"/>
      <c r="GI254"/>
      <c r="GJ254"/>
      <c r="GK254"/>
      <c r="GL254"/>
      <c r="GM254"/>
      <c r="GN254"/>
      <c r="GO254" s="33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</row>
    <row r="255" spans="1:281" s="127" customFormat="1" ht="12.75" hidden="1" customHeight="1" outlineLevel="1" x14ac:dyDescent="0.2">
      <c r="A255" s="905" t="s">
        <v>596</v>
      </c>
      <c r="B255" s="359"/>
      <c r="C255" s="33"/>
      <c r="D255" s="33"/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  <c r="AC255" s="33"/>
      <c r="AD255" s="33"/>
      <c r="AE255" s="33"/>
      <c r="AF255" s="33"/>
      <c r="AG255" s="361"/>
      <c r="AH255" s="361"/>
      <c r="AI255" s="361"/>
      <c r="AJ255" s="361"/>
      <c r="AK255" s="124"/>
      <c r="AL255" s="33"/>
      <c r="AM255" s="361"/>
      <c r="AN255" s="361"/>
      <c r="AO255" s="361"/>
      <c r="AP255" s="361"/>
      <c r="AQ255" s="124"/>
      <c r="AR255" s="33"/>
      <c r="AS255" s="361"/>
      <c r="AT255" s="361"/>
      <c r="AU255" s="361"/>
      <c r="AV255" s="361"/>
      <c r="AW255" s="124"/>
      <c r="AX255" s="33"/>
      <c r="AY255" s="361"/>
      <c r="AZ255" s="361"/>
      <c r="BA255" s="361"/>
      <c r="BB255" s="361"/>
      <c r="BC255" s="124"/>
      <c r="BD255" s="33"/>
      <c r="BE255" s="361"/>
      <c r="BF255" s="361"/>
      <c r="BG255" s="361"/>
      <c r="BH255" s="361"/>
      <c r="BI255" s="124">
        <v>4.2</v>
      </c>
      <c r="BJ255" s="33"/>
      <c r="BK255" s="361"/>
      <c r="BL255" s="361"/>
      <c r="BM255" s="361"/>
      <c r="BN255" s="361"/>
      <c r="BO255" s="124">
        <v>3.96</v>
      </c>
      <c r="BP255" s="33"/>
      <c r="BQ255" s="361"/>
      <c r="BR255" s="361"/>
      <c r="BS255" s="361"/>
      <c r="BT255" s="361"/>
      <c r="BU255" s="124">
        <v>4.8899999999999997</v>
      </c>
      <c r="BV255" s="33"/>
      <c r="BW255" s="361"/>
      <c r="BX255" s="361"/>
      <c r="BY255" s="361"/>
      <c r="BZ255" s="361"/>
      <c r="CA255" s="124">
        <v>6.16</v>
      </c>
      <c r="CB255" s="33"/>
      <c r="CC255" s="361"/>
      <c r="CD255" s="33"/>
      <c r="CE255" s="33"/>
      <c r="CF255" s="33"/>
      <c r="CG255" s="969">
        <v>6.56</v>
      </c>
      <c r="CH255" s="33"/>
      <c r="CI255" s="33"/>
      <c r="CJ255" s="33"/>
      <c r="CK255" s="33"/>
      <c r="CL255" s="33"/>
      <c r="CM255" s="365">
        <v>16.8</v>
      </c>
      <c r="CN255" s="33"/>
      <c r="CO255" s="33"/>
      <c r="CP255" s="33"/>
      <c r="CQ255" s="33"/>
      <c r="CR255" s="33"/>
      <c r="CS255" s="365">
        <v>20.46</v>
      </c>
      <c r="CT255" s="33"/>
      <c r="CU255" s="33"/>
      <c r="CV255" s="33"/>
      <c r="CW255" s="33"/>
      <c r="CX255" s="33"/>
      <c r="CY255" s="365">
        <v>18.32</v>
      </c>
      <c r="CZ255" s="33"/>
      <c r="DA255" s="33"/>
      <c r="DB255" s="33"/>
      <c r="DC255" s="33"/>
      <c r="DD255" s="33"/>
      <c r="DE255" s="365">
        <v>18.84</v>
      </c>
      <c r="DF255" s="33"/>
      <c r="DG255" s="33"/>
      <c r="DH255" s="33"/>
      <c r="DI255" s="33"/>
      <c r="DJ255" s="33"/>
      <c r="DK255" s="365">
        <v>19.53</v>
      </c>
      <c r="DL255" s="33"/>
      <c r="DM255" s="33"/>
      <c r="DN255" s="33"/>
      <c r="DO255" s="33"/>
      <c r="DP255" s="33"/>
      <c r="DQ255" s="365">
        <v>23</v>
      </c>
      <c r="DR255" s="33"/>
      <c r="DS255" s="33"/>
      <c r="DT255" s="33"/>
      <c r="DU255" s="33"/>
      <c r="DV255" s="33"/>
      <c r="DW255" s="365">
        <v>27</v>
      </c>
      <c r="DX255" s="33"/>
      <c r="DY255" s="33"/>
      <c r="DZ255" s="33"/>
      <c r="EA255" s="33"/>
      <c r="EB255" s="33"/>
      <c r="EC255" s="365">
        <v>26</v>
      </c>
      <c r="ED255" s="33"/>
      <c r="EE255" s="33"/>
      <c r="EF255" s="33"/>
      <c r="EG255" s="33"/>
      <c r="EH255" s="33"/>
      <c r="EI255" s="365">
        <v>41.962989832359369</v>
      </c>
      <c r="EJ255" s="33"/>
      <c r="EK255" s="33"/>
      <c r="EL255" s="33"/>
      <c r="EM255" s="33"/>
      <c r="EN255" s="33"/>
      <c r="EO255" s="365">
        <v>46.369103764757106</v>
      </c>
      <c r="EP255" s="33"/>
      <c r="EQ255" s="33"/>
      <c r="ER255" s="33"/>
      <c r="ES255" s="33"/>
      <c r="ET255" s="33"/>
      <c r="EU255" s="365">
        <v>46.369103764757106</v>
      </c>
      <c r="EV255" s="33"/>
      <c r="EW255" s="33"/>
      <c r="EX255" s="33"/>
      <c r="EY255" s="33"/>
      <c r="EZ255" s="33"/>
      <c r="FA255" s="365">
        <v>46.369103764757106</v>
      </c>
      <c r="FB255" s="33"/>
      <c r="FC255" s="33"/>
      <c r="FD255" s="33"/>
      <c r="FE255" s="33"/>
      <c r="FF255" s="33"/>
      <c r="FG255" s="365">
        <v>46.369103764757106</v>
      </c>
      <c r="FH255" s="33"/>
      <c r="FI255" s="33"/>
      <c r="FJ255" s="33"/>
      <c r="FK255" s="33"/>
      <c r="FL255" s="33"/>
      <c r="FM255" s="365">
        <v>46.369103764757106</v>
      </c>
      <c r="FN255" s="226"/>
      <c r="FO255" s="227"/>
      <c r="FP255" s="33"/>
      <c r="FQ255" s="33"/>
      <c r="FR255" s="33"/>
      <c r="FS255" s="227"/>
      <c r="FT255" s="33"/>
      <c r="FU255" s="33"/>
      <c r="FV255" s="33"/>
      <c r="FW255" s="33"/>
      <c r="FX255" s="33"/>
      <c r="FY255" s="33"/>
      <c r="FZ255" s="33"/>
      <c r="GA255" s="33"/>
      <c r="GB255" s="33"/>
      <c r="GC255" s="33"/>
      <c r="GD255" s="33"/>
      <c r="GE255" s="33"/>
      <c r="GF255" s="33"/>
      <c r="GH255" s="33"/>
      <c r="GI255"/>
      <c r="GJ255"/>
      <c r="GK255"/>
      <c r="GL255"/>
      <c r="GM255"/>
      <c r="GN255"/>
      <c r="GO255" s="33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</row>
    <row r="256" spans="1:281" s="308" customFormat="1" ht="12.75" hidden="1" customHeight="1" outlineLevel="1" x14ac:dyDescent="0.2">
      <c r="A256" s="370" t="s">
        <v>25</v>
      </c>
      <c r="B256" s="371"/>
      <c r="C256" s="302"/>
      <c r="D256" s="302"/>
      <c r="E256" s="302"/>
      <c r="F256" s="302"/>
      <c r="G256" s="302"/>
      <c r="H256" s="302"/>
      <c r="I256" s="302"/>
      <c r="J256" s="302"/>
      <c r="K256" s="302"/>
      <c r="L256" s="302"/>
      <c r="M256" s="302"/>
      <c r="N256" s="302"/>
      <c r="O256" s="302"/>
      <c r="P256" s="302"/>
      <c r="Q256" s="302"/>
      <c r="R256" s="302"/>
      <c r="S256" s="302"/>
      <c r="T256" s="302"/>
      <c r="U256" s="302"/>
      <c r="V256" s="302"/>
      <c r="W256" s="302"/>
      <c r="X256" s="302"/>
      <c r="Y256" s="302"/>
      <c r="Z256" s="302"/>
      <c r="AA256" s="302"/>
      <c r="AB256" s="302"/>
      <c r="AC256" s="302"/>
      <c r="AD256" s="302"/>
      <c r="AE256" s="302"/>
      <c r="AF256" s="302"/>
      <c r="AG256" s="372"/>
      <c r="AH256" s="372"/>
      <c r="AI256" s="372"/>
      <c r="AJ256" s="372"/>
      <c r="AK256" s="373"/>
      <c r="AL256" s="302"/>
      <c r="AM256" s="372"/>
      <c r="AN256" s="372"/>
      <c r="AO256" s="372"/>
      <c r="AP256" s="372"/>
      <c r="AQ256" s="373"/>
      <c r="AR256" s="302"/>
      <c r="AS256" s="372"/>
      <c r="AT256" s="372"/>
      <c r="AU256" s="372"/>
      <c r="AV256" s="372"/>
      <c r="AW256" s="373"/>
      <c r="AX256" s="302"/>
      <c r="AY256" s="372"/>
      <c r="AZ256" s="372"/>
      <c r="BA256" s="372"/>
      <c r="BB256" s="372"/>
      <c r="BC256" s="373"/>
      <c r="BD256" s="302"/>
      <c r="BE256" s="372"/>
      <c r="BF256" s="372"/>
      <c r="BG256" s="372"/>
      <c r="BH256" s="372"/>
      <c r="BI256" s="373">
        <v>7.92</v>
      </c>
      <c r="BJ256" s="302"/>
      <c r="BK256" s="372"/>
      <c r="BL256" s="372"/>
      <c r="BM256" s="372"/>
      <c r="BN256" s="372"/>
      <c r="BO256" s="373">
        <v>13.01</v>
      </c>
      <c r="BP256" s="302"/>
      <c r="BQ256" s="372"/>
      <c r="BR256" s="372"/>
      <c r="BS256" s="372"/>
      <c r="BT256" s="372"/>
      <c r="BU256" s="373">
        <v>11.4</v>
      </c>
      <c r="BV256" s="302"/>
      <c r="BW256" s="372"/>
      <c r="BX256" s="372"/>
      <c r="BY256" s="372"/>
      <c r="BZ256" s="372"/>
      <c r="CA256" s="373">
        <v>12.8</v>
      </c>
      <c r="CB256" s="302"/>
      <c r="CC256" s="372"/>
      <c r="CD256" s="302"/>
      <c r="CE256" s="302"/>
      <c r="CF256" s="302"/>
      <c r="CG256" s="374">
        <v>14.22</v>
      </c>
      <c r="CH256" s="302"/>
      <c r="CI256" s="302"/>
      <c r="CJ256" s="302"/>
      <c r="CK256" s="302"/>
      <c r="CL256" s="302"/>
      <c r="CM256" s="374">
        <v>19.38</v>
      </c>
      <c r="CN256" s="302"/>
      <c r="CO256" s="302"/>
      <c r="CP256" s="302"/>
      <c r="CQ256" s="302"/>
      <c r="CR256" s="302"/>
      <c r="CS256" s="374">
        <v>21.54</v>
      </c>
      <c r="CT256" s="302"/>
      <c r="CU256" s="302"/>
      <c r="CV256" s="302"/>
      <c r="CW256" s="302"/>
      <c r="CX256" s="302"/>
      <c r="CY256" s="374">
        <v>23.93</v>
      </c>
      <c r="CZ256" s="302"/>
      <c r="DA256" s="302"/>
      <c r="DB256" s="302"/>
      <c r="DC256" s="302"/>
      <c r="DD256" s="302"/>
      <c r="DE256" s="374">
        <v>26.59</v>
      </c>
      <c r="DF256" s="302"/>
      <c r="DG256" s="302"/>
      <c r="DH256" s="302"/>
      <c r="DI256" s="302"/>
      <c r="DJ256" s="302"/>
      <c r="DK256" s="374">
        <v>29.55</v>
      </c>
      <c r="DL256" s="302"/>
      <c r="DM256" s="302"/>
      <c r="DN256" s="302"/>
      <c r="DO256" s="302"/>
      <c r="DP256" s="302"/>
      <c r="DQ256" s="374">
        <v>32.652749999999997</v>
      </c>
      <c r="DR256" s="302"/>
      <c r="DS256" s="302"/>
      <c r="DT256" s="302"/>
      <c r="DU256" s="302"/>
      <c r="DV256" s="302"/>
      <c r="DW256" s="374">
        <v>36.081288749999999</v>
      </c>
      <c r="DX256" s="302"/>
      <c r="DY256" s="302"/>
      <c r="DZ256" s="302"/>
      <c r="EA256" s="302"/>
      <c r="EB256" s="302"/>
      <c r="EC256" s="374">
        <v>39.869824068749999</v>
      </c>
      <c r="ED256" s="302"/>
      <c r="EE256" s="302"/>
      <c r="EF256" s="302"/>
      <c r="EG256" s="302"/>
      <c r="EH256" s="302"/>
      <c r="EI256" s="374">
        <v>44.056155595968747</v>
      </c>
      <c r="EJ256" s="302"/>
      <c r="EK256" s="302"/>
      <c r="EL256" s="302"/>
      <c r="EM256" s="302"/>
      <c r="EN256" s="302"/>
      <c r="EO256" s="374">
        <v>48.682051933545466</v>
      </c>
      <c r="EP256" s="302"/>
      <c r="EQ256" s="302"/>
      <c r="ER256" s="302"/>
      <c r="ES256" s="302"/>
      <c r="ET256" s="302"/>
      <c r="EU256" s="374">
        <v>48.682051933545466</v>
      </c>
      <c r="EV256" s="302"/>
      <c r="EW256" s="302"/>
      <c r="EX256" s="302"/>
      <c r="EY256" s="302"/>
      <c r="EZ256" s="302"/>
      <c r="FA256" s="374">
        <v>48.682051933545466</v>
      </c>
      <c r="FB256" s="302"/>
      <c r="FC256" s="302"/>
      <c r="FD256" s="302"/>
      <c r="FE256" s="302"/>
      <c r="FF256" s="302"/>
      <c r="FG256" s="374">
        <v>48.682051933545466</v>
      </c>
      <c r="FH256" s="302"/>
      <c r="FI256" s="302"/>
      <c r="FJ256" s="302"/>
      <c r="FK256" s="302"/>
      <c r="FL256" s="302"/>
      <c r="FM256" s="374">
        <v>48.682051933545466</v>
      </c>
      <c r="FN256" s="304"/>
      <c r="FO256" s="375"/>
      <c r="FP256" s="302"/>
      <c r="FQ256" s="302"/>
      <c r="FR256" s="302"/>
      <c r="FS256" s="375"/>
      <c r="FT256" s="302"/>
      <c r="FU256" s="302"/>
      <c r="FV256" s="302"/>
      <c r="FW256" s="302"/>
      <c r="FX256" s="302"/>
      <c r="FY256" s="302"/>
      <c r="FZ256" s="302"/>
      <c r="GA256" s="302"/>
      <c r="GB256" s="302"/>
      <c r="GC256" s="302"/>
      <c r="GD256" s="302"/>
      <c r="GE256" s="302"/>
      <c r="GF256" s="302"/>
      <c r="GH256" s="302"/>
      <c r="GI256"/>
      <c r="GJ256"/>
      <c r="GK256"/>
      <c r="GL256"/>
      <c r="GM256"/>
      <c r="GN256"/>
      <c r="GO256" s="302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</row>
    <row r="257" spans="1:281" s="127" customFormat="1" ht="12.75" hidden="1" customHeight="1" outlineLevel="1" x14ac:dyDescent="0.2">
      <c r="A257" s="376" t="s">
        <v>1065</v>
      </c>
      <c r="B257" s="359"/>
      <c r="C257" s="33"/>
      <c r="D257" s="33"/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  <c r="AD257" s="33"/>
      <c r="AE257" s="33"/>
      <c r="AF257" s="33"/>
      <c r="AG257" s="361"/>
      <c r="AH257" s="361"/>
      <c r="AI257" s="361"/>
      <c r="AJ257" s="361"/>
      <c r="AK257" s="367"/>
      <c r="AL257" s="33"/>
      <c r="AM257" s="361"/>
      <c r="AN257" s="361"/>
      <c r="AO257" s="361"/>
      <c r="AP257" s="361"/>
      <c r="AQ257" s="367"/>
      <c r="AR257" s="33"/>
      <c r="AS257" s="361"/>
      <c r="AT257" s="361"/>
      <c r="AU257" s="361"/>
      <c r="AV257" s="361"/>
      <c r="AW257" s="367"/>
      <c r="AX257" s="33"/>
      <c r="AY257" s="361"/>
      <c r="AZ257" s="361"/>
      <c r="BA257" s="361"/>
      <c r="BB257" s="361"/>
      <c r="BC257" s="367"/>
      <c r="BD257" s="33"/>
      <c r="BE257" s="361"/>
      <c r="BF257" s="361"/>
      <c r="BG257" s="361"/>
      <c r="BH257" s="361"/>
      <c r="BI257" s="367">
        <v>1.885</v>
      </c>
      <c r="BJ257" s="33"/>
      <c r="BK257" s="361"/>
      <c r="BL257" s="361"/>
      <c r="BM257" s="361"/>
      <c r="BN257" s="361"/>
      <c r="BO257" s="367">
        <v>2.0449999999999999</v>
      </c>
      <c r="BP257" s="33"/>
      <c r="BQ257" s="361"/>
      <c r="BR257" s="361"/>
      <c r="BS257" s="361"/>
      <c r="BT257" s="361"/>
      <c r="BU257" s="367">
        <v>2.13</v>
      </c>
      <c r="BV257" s="33"/>
      <c r="BW257" s="361"/>
      <c r="BX257" s="361"/>
      <c r="BY257" s="361"/>
      <c r="BZ257" s="361"/>
      <c r="CA257" s="364">
        <v>3.92</v>
      </c>
      <c r="CB257" s="33"/>
      <c r="CC257" s="361"/>
      <c r="CD257" s="33"/>
      <c r="CE257" s="33"/>
      <c r="CF257" s="33"/>
      <c r="CG257" s="365">
        <v>3.875</v>
      </c>
      <c r="CH257" s="33"/>
      <c r="CI257" s="33"/>
      <c r="CJ257" s="33"/>
      <c r="CK257" s="33"/>
      <c r="CL257" s="33"/>
      <c r="CM257" s="368">
        <v>4</v>
      </c>
      <c r="CN257" s="33"/>
      <c r="CO257" s="33"/>
      <c r="CP257" s="33"/>
      <c r="CQ257" s="33"/>
      <c r="CR257" s="33"/>
      <c r="CS257" s="368">
        <v>4</v>
      </c>
      <c r="CT257" s="33"/>
      <c r="CU257" s="33"/>
      <c r="CV257" s="33"/>
      <c r="CW257" s="33"/>
      <c r="CX257" s="33"/>
      <c r="CY257" s="368">
        <v>5.3</v>
      </c>
      <c r="CZ257" s="33"/>
      <c r="DA257" s="33"/>
      <c r="DB257" s="33"/>
      <c r="DC257" s="33"/>
      <c r="DD257" s="33"/>
      <c r="DE257" s="368">
        <v>4.7</v>
      </c>
      <c r="DF257" s="33"/>
      <c r="DG257" s="33"/>
      <c r="DH257" s="33"/>
      <c r="DI257" s="33"/>
      <c r="DJ257" s="33"/>
      <c r="DK257" s="368">
        <v>5.0999999999999996</v>
      </c>
      <c r="DL257" s="33"/>
      <c r="DM257" s="33"/>
      <c r="DN257" s="33"/>
      <c r="DO257" s="33"/>
      <c r="DP257" s="33"/>
      <c r="DQ257" s="368">
        <v>5.0999999999999996</v>
      </c>
      <c r="DR257" s="33"/>
      <c r="DS257" s="33"/>
      <c r="DT257" s="33"/>
      <c r="DU257" s="33"/>
      <c r="DV257" s="33"/>
      <c r="DW257" s="368">
        <v>5.0999999999999996</v>
      </c>
      <c r="DX257" s="33"/>
      <c r="DY257" s="33"/>
      <c r="DZ257" s="33"/>
      <c r="EA257" s="33"/>
      <c r="EB257" s="33"/>
      <c r="EC257" s="368">
        <v>5</v>
      </c>
      <c r="ED257" s="33"/>
      <c r="EE257" s="33"/>
      <c r="EF257" s="33"/>
      <c r="EG257" s="33"/>
      <c r="EH257" s="33"/>
      <c r="EI257" s="368">
        <v>5</v>
      </c>
      <c r="EJ257" s="33"/>
      <c r="EK257" s="33"/>
      <c r="EL257" s="33"/>
      <c r="EM257" s="33"/>
      <c r="EN257" s="33"/>
      <c r="EO257" s="368">
        <v>5</v>
      </c>
      <c r="EP257" s="33"/>
      <c r="EQ257" s="33"/>
      <c r="ER257" s="33"/>
      <c r="ES257" s="33"/>
      <c r="ET257" s="33"/>
      <c r="EU257" s="368">
        <v>5</v>
      </c>
      <c r="EV257" s="33"/>
      <c r="EW257" s="33"/>
      <c r="EX257" s="33"/>
      <c r="EY257" s="33"/>
      <c r="EZ257" s="33"/>
      <c r="FA257" s="368">
        <v>5</v>
      </c>
      <c r="FB257" s="33"/>
      <c r="FC257" s="33"/>
      <c r="FD257" s="33"/>
      <c r="FE257" s="33"/>
      <c r="FF257" s="33"/>
      <c r="FG257" s="368">
        <v>5</v>
      </c>
      <c r="FH257" s="33"/>
      <c r="FI257" s="33"/>
      <c r="FJ257" s="33"/>
      <c r="FK257" s="33"/>
      <c r="FL257" s="33"/>
      <c r="FM257" s="368">
        <v>5</v>
      </c>
      <c r="FN257" s="226"/>
      <c r="FO257" s="227"/>
      <c r="FP257" s="33"/>
      <c r="FQ257" s="33"/>
      <c r="FR257" s="33"/>
      <c r="FS257" s="227"/>
      <c r="FT257" s="33"/>
      <c r="FU257" s="33"/>
      <c r="FV257" s="33"/>
      <c r="FW257" s="33"/>
      <c r="FX257" s="33"/>
      <c r="FY257" s="33"/>
      <c r="FZ257" s="33"/>
      <c r="GA257" s="33"/>
      <c r="GB257" s="33"/>
      <c r="GC257" s="33"/>
      <c r="GD257" s="33"/>
      <c r="GE257" s="33"/>
      <c r="GF257" s="33"/>
      <c r="GH257" s="33"/>
      <c r="GI257"/>
      <c r="GJ257"/>
      <c r="GK257"/>
      <c r="GL257"/>
      <c r="GM257"/>
      <c r="GN257"/>
      <c r="GO257" s="33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</row>
    <row r="258" spans="1:281" s="127" customFormat="1" ht="12.75" hidden="1" customHeight="1" outlineLevel="1" x14ac:dyDescent="0.2">
      <c r="A258" s="905" t="s">
        <v>652</v>
      </c>
      <c r="B258" s="359"/>
      <c r="C258" s="33"/>
      <c r="D258" s="33"/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  <c r="AD258" s="33"/>
      <c r="AE258" s="33"/>
      <c r="AF258" s="33"/>
      <c r="AG258" s="361"/>
      <c r="AH258" s="361"/>
      <c r="AI258" s="361"/>
      <c r="AJ258" s="361"/>
      <c r="AK258" s="377"/>
      <c r="AL258" s="33"/>
      <c r="AM258" s="361"/>
      <c r="AN258" s="361"/>
      <c r="AO258" s="361"/>
      <c r="AP258" s="361"/>
      <c r="AQ258" s="377"/>
      <c r="AR258" s="33"/>
      <c r="AS258" s="361"/>
      <c r="AT258" s="361"/>
      <c r="AU258" s="361"/>
      <c r="AV258" s="361"/>
      <c r="AW258" s="377"/>
      <c r="AX258" s="33"/>
      <c r="AY258" s="361"/>
      <c r="AZ258" s="361"/>
      <c r="BA258" s="361"/>
      <c r="BB258" s="361"/>
      <c r="BC258" s="377"/>
      <c r="BD258" s="33"/>
      <c r="BE258" s="361"/>
      <c r="BF258" s="361"/>
      <c r="BG258" s="361"/>
      <c r="BH258" s="361"/>
      <c r="BI258" s="377">
        <v>3.9650000000000005E-2</v>
      </c>
      <c r="BJ258" s="33"/>
      <c r="BK258" s="361"/>
      <c r="BL258" s="361"/>
      <c r="BM258" s="361"/>
      <c r="BN258" s="361"/>
      <c r="BO258" s="377">
        <v>2.2199999999999998E-2</v>
      </c>
      <c r="BP258" s="33"/>
      <c r="BQ258" s="361"/>
      <c r="BR258" s="361"/>
      <c r="BS258" s="361"/>
      <c r="BT258" s="361"/>
      <c r="BU258" s="377">
        <v>2.87E-2</v>
      </c>
      <c r="BV258" s="33"/>
      <c r="BW258" s="361"/>
      <c r="BX258" s="361"/>
      <c r="BY258" s="361"/>
      <c r="BZ258" s="361"/>
      <c r="CA258" s="377">
        <v>3.2249999999999994E-2</v>
      </c>
      <c r="CB258" s="33"/>
      <c r="CC258" s="361"/>
      <c r="CD258" s="33"/>
      <c r="CE258" s="33"/>
      <c r="CF258" s="33"/>
      <c r="CG258" s="970">
        <v>4.2450000000000002E-2</v>
      </c>
      <c r="CH258" s="33"/>
      <c r="CI258" s="33"/>
      <c r="CJ258" s="33"/>
      <c r="CK258" s="33"/>
      <c r="CL258" s="33"/>
      <c r="CM258" s="378">
        <v>0.04</v>
      </c>
      <c r="CN258" s="33"/>
      <c r="CO258" s="33"/>
      <c r="CP258" s="33"/>
      <c r="CQ258" s="33"/>
      <c r="CR258" s="33"/>
      <c r="CS258" s="378">
        <v>0.04</v>
      </c>
      <c r="CT258" s="33"/>
      <c r="CU258" s="33"/>
      <c r="CV258" s="33"/>
      <c r="CW258" s="33"/>
      <c r="CX258" s="33"/>
      <c r="CY258" s="378">
        <v>3.3000000000000002E-2</v>
      </c>
      <c r="CZ258" s="33"/>
      <c r="DA258" s="33"/>
      <c r="DB258" s="33"/>
      <c r="DC258" s="33"/>
      <c r="DD258" s="33"/>
      <c r="DE258" s="378">
        <v>2.1000000000000001E-2</v>
      </c>
      <c r="DF258" s="33"/>
      <c r="DG258" s="33"/>
      <c r="DH258" s="33"/>
      <c r="DI258" s="33"/>
      <c r="DJ258" s="33"/>
      <c r="DK258" s="378">
        <v>1.7999999999999999E-2</v>
      </c>
      <c r="DL258" s="33"/>
      <c r="DM258" s="33"/>
      <c r="DN258" s="33"/>
      <c r="DO258" s="33"/>
      <c r="DP258" s="33"/>
      <c r="DQ258" s="378">
        <v>1.6E-2</v>
      </c>
      <c r="DR258" s="33"/>
      <c r="DS258" s="33"/>
      <c r="DT258" s="33"/>
      <c r="DU258" s="33"/>
      <c r="DV258" s="33"/>
      <c r="DW258" s="378">
        <v>7.0000000000000001E-3</v>
      </c>
      <c r="DX258" s="33"/>
      <c r="DY258" s="33"/>
      <c r="DZ258" s="33"/>
      <c r="EA258" s="33"/>
      <c r="EB258" s="33"/>
      <c r="EC258" s="378">
        <f>DW258</f>
        <v>7.0000000000000001E-3</v>
      </c>
      <c r="ED258" s="33"/>
      <c r="EE258" s="33"/>
      <c r="EF258" s="33"/>
      <c r="EG258" s="33"/>
      <c r="EH258" s="33"/>
      <c r="EI258" s="378">
        <f>EC258</f>
        <v>7.0000000000000001E-3</v>
      </c>
      <c r="EJ258" s="33"/>
      <c r="EK258" s="33"/>
      <c r="EL258" s="33"/>
      <c r="EM258" s="33"/>
      <c r="EN258" s="33"/>
      <c r="EO258" s="378">
        <f>EI258</f>
        <v>7.0000000000000001E-3</v>
      </c>
      <c r="EP258" s="33"/>
      <c r="EQ258" s="33"/>
      <c r="ER258" s="33"/>
      <c r="ES258" s="33"/>
      <c r="ET258" s="33"/>
      <c r="EU258" s="378">
        <f>EO258</f>
        <v>7.0000000000000001E-3</v>
      </c>
      <c r="EV258" s="33"/>
      <c r="EW258" s="33"/>
      <c r="EX258" s="33"/>
      <c r="EY258" s="33"/>
      <c r="EZ258" s="33"/>
      <c r="FA258" s="378">
        <f>EU258</f>
        <v>7.0000000000000001E-3</v>
      </c>
      <c r="FB258" s="33"/>
      <c r="FC258" s="33"/>
      <c r="FD258" s="33"/>
      <c r="FE258" s="33"/>
      <c r="FF258" s="33"/>
      <c r="FG258" s="378">
        <f>FA258</f>
        <v>7.0000000000000001E-3</v>
      </c>
      <c r="FH258" s="33"/>
      <c r="FI258" s="33"/>
      <c r="FJ258" s="33"/>
      <c r="FK258" s="33"/>
      <c r="FL258" s="33"/>
      <c r="FM258" s="378">
        <f>FG258</f>
        <v>7.0000000000000001E-3</v>
      </c>
      <c r="FN258" s="226"/>
      <c r="FO258" s="227"/>
      <c r="FP258" s="33"/>
      <c r="FQ258" s="33"/>
      <c r="FR258" s="33"/>
      <c r="FS258" s="227"/>
      <c r="FT258" s="33"/>
      <c r="FU258" s="33"/>
      <c r="FV258" s="33"/>
      <c r="FW258" s="33"/>
      <c r="FX258" s="33"/>
      <c r="FY258" s="33"/>
      <c r="FZ258" s="33"/>
      <c r="GA258" s="33"/>
      <c r="GB258" s="33"/>
      <c r="GC258" s="33"/>
      <c r="GD258" s="33"/>
      <c r="GE258" s="33"/>
      <c r="GF258" s="33"/>
      <c r="GH258" s="33"/>
      <c r="GI258"/>
      <c r="GJ258"/>
      <c r="GK258"/>
      <c r="GL258"/>
      <c r="GM258"/>
      <c r="GN258"/>
      <c r="GO258" s="33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</row>
    <row r="259" spans="1:281" s="127" customFormat="1" ht="12.75" hidden="1" customHeight="1" outlineLevel="1" x14ac:dyDescent="0.2">
      <c r="A259" s="376" t="s">
        <v>653</v>
      </c>
      <c r="B259" s="359"/>
      <c r="C259" s="33"/>
      <c r="D259" s="33"/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  <c r="AD259" s="33"/>
      <c r="AE259" s="33"/>
      <c r="AF259" s="33"/>
      <c r="AG259" s="361"/>
      <c r="AH259" s="361"/>
      <c r="AI259" s="361"/>
      <c r="AJ259" s="361"/>
      <c r="AK259" s="377"/>
      <c r="AL259" s="33"/>
      <c r="AM259" s="361"/>
      <c r="AN259" s="361"/>
      <c r="AO259" s="361"/>
      <c r="AP259" s="361"/>
      <c r="AQ259" s="377"/>
      <c r="AR259" s="33"/>
      <c r="AS259" s="361"/>
      <c r="AT259" s="361"/>
      <c r="AU259" s="361"/>
      <c r="AV259" s="361"/>
      <c r="AW259" s="377"/>
      <c r="AX259" s="33"/>
      <c r="AY259" s="361"/>
      <c r="AZ259" s="361"/>
      <c r="BA259" s="361"/>
      <c r="BB259" s="361"/>
      <c r="BC259" s="377"/>
      <c r="BD259" s="33"/>
      <c r="BE259" s="361"/>
      <c r="BF259" s="361"/>
      <c r="BG259" s="361"/>
      <c r="BH259" s="361"/>
      <c r="BI259" s="377">
        <v>0.56999999999999995</v>
      </c>
      <c r="BJ259" s="33"/>
      <c r="BK259" s="361"/>
      <c r="BL259" s="361"/>
      <c r="BM259" s="361"/>
      <c r="BN259" s="361"/>
      <c r="BO259" s="377">
        <v>0.52</v>
      </c>
      <c r="BP259" s="33"/>
      <c r="BQ259" s="361"/>
      <c r="BR259" s="361"/>
      <c r="BS259" s="361"/>
      <c r="BT259" s="361"/>
      <c r="BU259" s="377">
        <v>0.39500000000000002</v>
      </c>
      <c r="BV259" s="33"/>
      <c r="BW259" s="361"/>
      <c r="BX259" s="361"/>
      <c r="BY259" s="361"/>
      <c r="BZ259" s="361"/>
      <c r="CA259" s="123">
        <v>0.315</v>
      </c>
      <c r="CB259" s="33"/>
      <c r="CC259" s="361"/>
      <c r="CD259" s="33"/>
      <c r="CE259" s="33"/>
      <c r="CF259" s="33"/>
      <c r="CG259" s="269">
        <v>0.26</v>
      </c>
      <c r="CH259" s="33"/>
      <c r="CI259" s="33"/>
      <c r="CJ259" s="33"/>
      <c r="CK259" s="33"/>
      <c r="CL259" s="33"/>
      <c r="CM259" s="369">
        <v>0.3</v>
      </c>
      <c r="CN259" s="33"/>
      <c r="CO259" s="33"/>
      <c r="CP259" s="33"/>
      <c r="CQ259" s="33"/>
      <c r="CR259" s="33"/>
      <c r="CS259" s="369">
        <v>0.3</v>
      </c>
      <c r="CT259" s="33"/>
      <c r="CU259" s="33"/>
      <c r="CV259" s="33"/>
      <c r="CW259" s="33"/>
      <c r="CX259" s="33"/>
      <c r="CY259" s="369">
        <v>0.37</v>
      </c>
      <c r="CZ259" s="33"/>
      <c r="DA259" s="33"/>
      <c r="DB259" s="33"/>
      <c r="DC259" s="33"/>
      <c r="DD259" s="33"/>
      <c r="DE259" s="369">
        <v>0.31</v>
      </c>
      <c r="DF259" s="33"/>
      <c r="DG259" s="33"/>
      <c r="DH259" s="33"/>
      <c r="DI259" s="33"/>
      <c r="DJ259" s="33"/>
      <c r="DK259" s="369">
        <v>0.33</v>
      </c>
      <c r="DL259" s="33"/>
      <c r="DM259" s="33"/>
      <c r="DN259" s="33"/>
      <c r="DO259" s="33"/>
      <c r="DP259" s="33"/>
      <c r="DQ259" s="369">
        <v>0.3</v>
      </c>
      <c r="DR259" s="33"/>
      <c r="DS259" s="33"/>
      <c r="DT259" s="33"/>
      <c r="DU259" s="33"/>
      <c r="DV259" s="33"/>
      <c r="DW259" s="369">
        <v>0.31</v>
      </c>
      <c r="DX259" s="33"/>
      <c r="DY259" s="33"/>
      <c r="DZ259" s="33"/>
      <c r="EA259" s="33"/>
      <c r="EB259" s="33"/>
      <c r="EC259" s="369">
        <v>0.3</v>
      </c>
      <c r="ED259" s="33"/>
      <c r="EE259" s="33"/>
      <c r="EF259" s="33"/>
      <c r="EG259" s="33"/>
      <c r="EH259" s="33"/>
      <c r="EI259" s="369">
        <v>0.3</v>
      </c>
      <c r="EJ259" s="33"/>
      <c r="EK259" s="33"/>
      <c r="EL259" s="33"/>
      <c r="EM259" s="33"/>
      <c r="EN259" s="33"/>
      <c r="EO259" s="369">
        <v>0.3</v>
      </c>
      <c r="EP259" s="33"/>
      <c r="EQ259" s="33"/>
      <c r="ER259" s="33"/>
      <c r="ES259" s="33"/>
      <c r="ET259" s="33"/>
      <c r="EU259" s="369">
        <v>0.3</v>
      </c>
      <c r="EV259" s="33"/>
      <c r="EW259" s="33"/>
      <c r="EX259" s="33"/>
      <c r="EY259" s="33"/>
      <c r="EZ259" s="33"/>
      <c r="FA259" s="369">
        <v>0.3</v>
      </c>
      <c r="FB259" s="33"/>
      <c r="FC259" s="33"/>
      <c r="FD259" s="33"/>
      <c r="FE259" s="33"/>
      <c r="FF259" s="33"/>
      <c r="FG259" s="369">
        <v>0.3</v>
      </c>
      <c r="FH259" s="33"/>
      <c r="FI259" s="33"/>
      <c r="FJ259" s="33"/>
      <c r="FK259" s="33"/>
      <c r="FL259" s="33"/>
      <c r="FM259" s="369">
        <v>0.3</v>
      </c>
      <c r="FN259" s="226"/>
      <c r="FO259" s="227"/>
      <c r="FP259" s="33"/>
      <c r="FQ259" s="33"/>
      <c r="FR259" s="33"/>
      <c r="FS259" s="227"/>
      <c r="FT259" s="33"/>
      <c r="FU259" s="33"/>
      <c r="FV259" s="33"/>
      <c r="FW259" s="33"/>
      <c r="FX259" s="33"/>
      <c r="FY259" s="33"/>
      <c r="FZ259" s="33"/>
      <c r="GA259" s="33"/>
      <c r="GB259" s="33"/>
      <c r="GC259" s="33"/>
      <c r="GD259" s="33"/>
      <c r="GE259" s="33"/>
      <c r="GF259" s="33"/>
      <c r="GH259" s="33"/>
      <c r="GI259"/>
      <c r="GJ259"/>
      <c r="GK259"/>
      <c r="GL259"/>
      <c r="GM259"/>
      <c r="GN259"/>
      <c r="GO259" s="33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</row>
    <row r="260" spans="1:281" s="127" customFormat="1" ht="12.75" hidden="1" customHeight="1" outlineLevel="1" x14ac:dyDescent="0.2">
      <c r="A260" s="376" t="s">
        <v>1048</v>
      </c>
      <c r="B260" s="359"/>
      <c r="C260" s="33"/>
      <c r="D260" s="33"/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  <c r="AC260" s="33"/>
      <c r="AD260" s="33"/>
      <c r="AE260" s="33"/>
      <c r="AF260" s="33"/>
      <c r="AG260" s="361"/>
      <c r="AH260" s="361"/>
      <c r="AI260" s="361"/>
      <c r="AJ260" s="361"/>
      <c r="AK260" s="377"/>
      <c r="AL260" s="33"/>
      <c r="AM260" s="361"/>
      <c r="AN260" s="361"/>
      <c r="AO260" s="361"/>
      <c r="AP260" s="361"/>
      <c r="AQ260" s="377"/>
      <c r="AR260" s="33"/>
      <c r="AS260" s="361"/>
      <c r="AT260" s="361"/>
      <c r="AU260" s="361"/>
      <c r="AV260" s="361"/>
      <c r="AW260" s="377"/>
      <c r="AX260" s="33"/>
      <c r="AY260" s="361"/>
      <c r="AZ260" s="361"/>
      <c r="BA260" s="361"/>
      <c r="BB260" s="361"/>
      <c r="BC260" s="377"/>
      <c r="BD260" s="33"/>
      <c r="BE260" s="361"/>
      <c r="BF260" s="361"/>
      <c r="BG260" s="361"/>
      <c r="BH260" s="361"/>
      <c r="BI260" s="377" t="s">
        <v>40</v>
      </c>
      <c r="BJ260" s="33"/>
      <c r="BK260" s="361"/>
      <c r="BL260" s="361"/>
      <c r="BM260" s="361"/>
      <c r="BN260" s="361"/>
      <c r="BO260" s="377" t="s">
        <v>40</v>
      </c>
      <c r="BP260" s="33"/>
      <c r="BQ260" s="361"/>
      <c r="BR260" s="361"/>
      <c r="BS260" s="361"/>
      <c r="BT260" s="361"/>
      <c r="BU260" s="377" t="s">
        <v>40</v>
      </c>
      <c r="BV260" s="33"/>
      <c r="BW260" s="361"/>
      <c r="BX260" s="361"/>
      <c r="BY260" s="361"/>
      <c r="BZ260" s="361"/>
      <c r="CA260" s="377" t="s">
        <v>40</v>
      </c>
      <c r="CB260" s="33"/>
      <c r="CC260" s="361"/>
      <c r="CD260" s="33"/>
      <c r="CE260" s="33"/>
      <c r="CF260" s="33"/>
      <c r="CG260" s="970">
        <v>0</v>
      </c>
      <c r="CH260" s="33"/>
      <c r="CI260" s="33"/>
      <c r="CJ260" s="33"/>
      <c r="CK260" s="33"/>
      <c r="CL260" s="33"/>
      <c r="CM260" s="369">
        <v>0</v>
      </c>
      <c r="CN260" s="33"/>
      <c r="CO260" s="33"/>
      <c r="CP260" s="33"/>
      <c r="CQ260" s="33"/>
      <c r="CR260" s="33"/>
      <c r="CS260" s="369">
        <v>0</v>
      </c>
      <c r="CT260" s="33"/>
      <c r="CU260" s="33"/>
      <c r="CV260" s="33"/>
      <c r="CW260" s="33"/>
      <c r="CX260" s="33"/>
      <c r="CY260" s="369">
        <v>0</v>
      </c>
      <c r="CZ260" s="33"/>
      <c r="DA260" s="33"/>
      <c r="DB260" s="33"/>
      <c r="DC260" s="33"/>
      <c r="DD260" s="33"/>
      <c r="DE260" s="369">
        <v>8.9999999999999993E-3</v>
      </c>
      <c r="DF260" s="33"/>
      <c r="DG260" s="33"/>
      <c r="DH260" s="33"/>
      <c r="DI260" s="33"/>
      <c r="DJ260" s="33"/>
      <c r="DK260" s="369">
        <v>8.9999999999999993E-3</v>
      </c>
      <c r="DL260" s="33"/>
      <c r="DM260" s="33"/>
      <c r="DN260" s="33"/>
      <c r="DO260" s="33"/>
      <c r="DP260" s="33"/>
      <c r="DQ260" s="369">
        <v>8.0000000000000002E-3</v>
      </c>
      <c r="DR260" s="33"/>
      <c r="DS260" s="33"/>
      <c r="DT260" s="33"/>
      <c r="DU260" s="33"/>
      <c r="DV260" s="33"/>
      <c r="DW260" s="369">
        <v>8.0000000000000002E-3</v>
      </c>
      <c r="DX260" s="33"/>
      <c r="DY260" s="33"/>
      <c r="DZ260" s="33"/>
      <c r="EA260" s="33"/>
      <c r="EB260" s="33"/>
      <c r="EC260" s="369">
        <v>8.0000000000000002E-3</v>
      </c>
      <c r="ED260" s="33"/>
      <c r="EE260" s="33"/>
      <c r="EF260" s="33"/>
      <c r="EG260" s="33"/>
      <c r="EH260" s="33"/>
      <c r="EI260" s="369">
        <v>8.0000000000000002E-3</v>
      </c>
      <c r="EJ260" s="33"/>
      <c r="EK260" s="33"/>
      <c r="EL260" s="33"/>
      <c r="EM260" s="33"/>
      <c r="EN260" s="33"/>
      <c r="EO260" s="369">
        <v>8.0000000000000002E-3</v>
      </c>
      <c r="EP260" s="33"/>
      <c r="EQ260" s="33"/>
      <c r="ER260" s="33"/>
      <c r="ES260" s="33"/>
      <c r="ET260" s="33"/>
      <c r="EU260" s="369">
        <v>8.0000000000000002E-3</v>
      </c>
      <c r="EV260" s="33"/>
      <c r="EW260" s="33"/>
      <c r="EX260" s="33"/>
      <c r="EY260" s="33"/>
      <c r="EZ260" s="33"/>
      <c r="FA260" s="369">
        <v>8.0000000000000002E-3</v>
      </c>
      <c r="FB260" s="33"/>
      <c r="FC260" s="33"/>
      <c r="FD260" s="33"/>
      <c r="FE260" s="33"/>
      <c r="FF260" s="33"/>
      <c r="FG260" s="369">
        <v>8.0000000000000002E-3</v>
      </c>
      <c r="FH260" s="33"/>
      <c r="FI260" s="33"/>
      <c r="FJ260" s="33"/>
      <c r="FK260" s="33"/>
      <c r="FL260" s="33"/>
      <c r="FM260" s="369">
        <v>8.0000000000000002E-3</v>
      </c>
      <c r="FN260" s="226"/>
      <c r="FO260" s="227"/>
      <c r="FP260" s="33"/>
      <c r="FQ260" s="33"/>
      <c r="FR260" s="33"/>
      <c r="FS260" s="227"/>
      <c r="FT260" s="33"/>
      <c r="FU260" s="33"/>
      <c r="FV260" s="33"/>
      <c r="FW260" s="33"/>
      <c r="FX260" s="33"/>
      <c r="FY260" s="33"/>
      <c r="FZ260" s="33"/>
      <c r="GA260" s="33"/>
      <c r="GB260" s="33"/>
      <c r="GC260" s="33"/>
      <c r="GD260" s="33"/>
      <c r="GE260" s="33"/>
      <c r="GF260" s="33"/>
      <c r="GH260" s="33"/>
      <c r="GI260"/>
      <c r="GJ260"/>
      <c r="GK260"/>
      <c r="GL260"/>
      <c r="GM260"/>
      <c r="GN260"/>
      <c r="GO260" s="33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</row>
    <row r="261" spans="1:281" s="127" customFormat="1" ht="12.75" hidden="1" customHeight="1" outlineLevel="1" x14ac:dyDescent="0.2">
      <c r="A261" s="863" t="s">
        <v>1049</v>
      </c>
      <c r="B261" s="379"/>
      <c r="C261" s="380"/>
      <c r="D261" s="380"/>
      <c r="E261" s="380"/>
      <c r="F261" s="380"/>
      <c r="G261" s="380"/>
      <c r="H261" s="380"/>
      <c r="I261" s="380"/>
      <c r="J261" s="380"/>
      <c r="K261" s="380"/>
      <c r="L261" s="380"/>
      <c r="M261" s="380"/>
      <c r="N261" s="380"/>
      <c r="O261" s="380"/>
      <c r="P261" s="380"/>
      <c r="Q261" s="380"/>
      <c r="R261" s="380"/>
      <c r="S261" s="380"/>
      <c r="T261" s="380"/>
      <c r="U261" s="380"/>
      <c r="V261" s="380"/>
      <c r="W261" s="380"/>
      <c r="X261" s="380"/>
      <c r="Y261" s="380"/>
      <c r="Z261" s="380"/>
      <c r="AA261" s="380"/>
      <c r="AB261" s="380"/>
      <c r="AC261" s="380"/>
      <c r="AD261" s="380"/>
      <c r="AE261" s="380"/>
      <c r="AF261" s="380"/>
      <c r="AG261" s="862"/>
      <c r="AH261" s="862"/>
      <c r="AI261" s="862"/>
      <c r="AJ261" s="862"/>
      <c r="AK261" s="864"/>
      <c r="AL261" s="380"/>
      <c r="AM261" s="862"/>
      <c r="AN261" s="862"/>
      <c r="AO261" s="862"/>
      <c r="AP261" s="862"/>
      <c r="AQ261" s="864"/>
      <c r="AR261" s="380"/>
      <c r="AS261" s="862"/>
      <c r="AT261" s="862"/>
      <c r="AU261" s="862"/>
      <c r="AV261" s="862"/>
      <c r="AW261" s="864"/>
      <c r="AX261" s="380"/>
      <c r="AY261" s="862"/>
      <c r="AZ261" s="862"/>
      <c r="BA261" s="862"/>
      <c r="BB261" s="862"/>
      <c r="BC261" s="864"/>
      <c r="BD261" s="380"/>
      <c r="BE261" s="862"/>
      <c r="BF261" s="862"/>
      <c r="BG261" s="862"/>
      <c r="BH261" s="862"/>
      <c r="BI261" s="864">
        <v>1.3890839949424225</v>
      </c>
      <c r="BJ261" s="380"/>
      <c r="BK261" s="862"/>
      <c r="BL261" s="862"/>
      <c r="BM261" s="862"/>
      <c r="BN261" s="862"/>
      <c r="BO261" s="864">
        <v>1.2126557765593251</v>
      </c>
      <c r="BP261" s="380"/>
      <c r="BQ261" s="862"/>
      <c r="BR261" s="862"/>
      <c r="BS261" s="862"/>
      <c r="BT261" s="862"/>
      <c r="BU261" s="864">
        <v>1.227216742877784</v>
      </c>
      <c r="BV261" s="380"/>
      <c r="BW261" s="862"/>
      <c r="BX261" s="862"/>
      <c r="BY261" s="862"/>
      <c r="BZ261" s="862"/>
      <c r="CA261" s="864">
        <v>1.8124580623034325</v>
      </c>
      <c r="CB261" s="380"/>
      <c r="CC261" s="862"/>
      <c r="CD261" s="380"/>
      <c r="CE261" s="380"/>
      <c r="CF261" s="380"/>
      <c r="CG261" s="865">
        <v>1.783153293470106</v>
      </c>
      <c r="CH261" s="380"/>
      <c r="CI261" s="380"/>
      <c r="CJ261" s="380"/>
      <c r="CK261" s="380"/>
      <c r="CL261" s="380"/>
      <c r="CM261" s="865">
        <v>5.0364322696335373</v>
      </c>
      <c r="CN261" s="380"/>
      <c r="CO261" s="380"/>
      <c r="CP261" s="380"/>
      <c r="CQ261" s="380"/>
      <c r="CR261" s="380"/>
      <c r="CS261" s="865">
        <v>6.1336550140894168</v>
      </c>
      <c r="CT261" s="380"/>
      <c r="CU261" s="380"/>
      <c r="CV261" s="380"/>
      <c r="CW261" s="380"/>
      <c r="CX261" s="380"/>
      <c r="CY261" s="865">
        <v>7.1368537997218056</v>
      </c>
      <c r="CZ261" s="380"/>
      <c r="DA261" s="380"/>
      <c r="DB261" s="380"/>
      <c r="DC261" s="380"/>
      <c r="DD261" s="380"/>
      <c r="DE261" s="865">
        <v>5.6590959313167604</v>
      </c>
      <c r="DF261" s="380"/>
      <c r="DG261" s="380"/>
      <c r="DH261" s="380"/>
      <c r="DI261" s="380"/>
      <c r="DJ261" s="380"/>
      <c r="DK261" s="865">
        <v>6.3216879510148054</v>
      </c>
      <c r="DL261" s="380"/>
      <c r="DM261" s="380"/>
      <c r="DN261" s="380"/>
      <c r="DO261" s="380"/>
      <c r="DP261" s="380"/>
      <c r="DQ261" s="865">
        <v>6.8025864021666536</v>
      </c>
      <c r="DR261" s="380"/>
      <c r="DS261" s="380"/>
      <c r="DT261" s="380"/>
      <c r="DU261" s="380"/>
      <c r="DV261" s="380"/>
      <c r="DW261" s="865">
        <v>7.7425757408743845</v>
      </c>
      <c r="DX261" s="380"/>
      <c r="DY261" s="380"/>
      <c r="DZ261" s="380"/>
      <c r="EA261" s="380"/>
      <c r="EB261" s="380"/>
      <c r="EC261" s="865">
        <v>7.1682608019755278</v>
      </c>
      <c r="ED261" s="380"/>
      <c r="EE261" s="380"/>
      <c r="EF261" s="380"/>
      <c r="EG261" s="380"/>
      <c r="EH261" s="380"/>
      <c r="EI261" s="865">
        <v>7.4439631405130484</v>
      </c>
      <c r="EJ261" s="380"/>
      <c r="EK261" s="380"/>
      <c r="EL261" s="380"/>
      <c r="EM261" s="380"/>
      <c r="EN261" s="380"/>
      <c r="EO261" s="865">
        <v>7.7196654790505654</v>
      </c>
      <c r="EP261" s="380"/>
      <c r="EQ261" s="380"/>
      <c r="ER261" s="380"/>
      <c r="ES261" s="380"/>
      <c r="ET261" s="380"/>
      <c r="EU261" s="865">
        <v>7.995367817588086</v>
      </c>
      <c r="EV261" s="380"/>
      <c r="EW261" s="380"/>
      <c r="EX261" s="380"/>
      <c r="EY261" s="380"/>
      <c r="EZ261" s="380"/>
      <c r="FA261" s="865">
        <v>7.995367817588086</v>
      </c>
      <c r="FB261" s="380"/>
      <c r="FC261" s="380"/>
      <c r="FD261" s="380"/>
      <c r="FE261" s="380"/>
      <c r="FF261" s="380"/>
      <c r="FG261" s="865">
        <v>7.995367817588086</v>
      </c>
      <c r="FH261" s="380"/>
      <c r="FI261" s="380"/>
      <c r="FJ261" s="380"/>
      <c r="FK261" s="380"/>
      <c r="FL261" s="380"/>
      <c r="FM261" s="865">
        <v>7.995367817588086</v>
      </c>
      <c r="FN261" s="226"/>
      <c r="FO261" s="227"/>
      <c r="FP261" s="33"/>
      <c r="FQ261" s="33"/>
      <c r="FR261" s="33"/>
      <c r="FS261" s="227"/>
      <c r="FT261" s="33"/>
      <c r="FU261" s="33"/>
      <c r="FV261" s="33"/>
      <c r="FW261" s="33"/>
      <c r="FX261" s="33"/>
      <c r="FY261" s="33"/>
      <c r="FZ261" s="33"/>
      <c r="GA261" s="33"/>
      <c r="GB261" s="33"/>
      <c r="GC261" s="33"/>
      <c r="GD261" s="33"/>
      <c r="GE261" s="33"/>
      <c r="GF261" s="33"/>
      <c r="GH261" s="33"/>
      <c r="GI261"/>
      <c r="GJ261"/>
      <c r="GK261"/>
      <c r="GL261"/>
      <c r="GM261"/>
      <c r="GN261"/>
      <c r="GO261" s="33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</row>
    <row r="262" spans="1:281" s="127" customFormat="1" ht="12.75" hidden="1" customHeight="1" outlineLevel="1" x14ac:dyDescent="0.2">
      <c r="A262" s="18"/>
      <c r="B262" s="359"/>
      <c r="C262" s="33"/>
      <c r="D262" s="33"/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  <c r="AD262" s="33"/>
      <c r="AE262" s="33"/>
      <c r="AF262" s="33"/>
      <c r="AG262" s="33"/>
      <c r="AH262" s="33"/>
      <c r="AI262" s="33"/>
      <c r="AJ262" s="33"/>
      <c r="AK262" s="33"/>
      <c r="AL262" s="33"/>
      <c r="AM262" s="33"/>
      <c r="AN262" s="33"/>
      <c r="AO262" s="33"/>
      <c r="AP262" s="33"/>
      <c r="AQ262" s="33"/>
      <c r="AR262" s="33"/>
      <c r="AS262" s="33"/>
      <c r="AT262" s="33"/>
      <c r="AU262" s="33"/>
      <c r="AV262" s="33"/>
      <c r="AW262" s="33"/>
      <c r="AX262" s="33"/>
      <c r="AY262" s="33"/>
      <c r="AZ262" s="33"/>
      <c r="BA262" s="33"/>
      <c r="BB262" s="33"/>
      <c r="BC262" s="361"/>
      <c r="BD262" s="33"/>
      <c r="BE262" s="33"/>
      <c r="BF262" s="33"/>
      <c r="BG262" s="33"/>
      <c r="BH262" s="33"/>
      <c r="BI262" s="361"/>
      <c r="BJ262" s="33"/>
      <c r="BK262" s="361"/>
      <c r="BL262" s="361"/>
      <c r="BM262" s="361"/>
      <c r="BN262" s="361"/>
      <c r="BO262" s="361"/>
      <c r="BP262" s="33"/>
      <c r="BQ262" s="361"/>
      <c r="BR262" s="361"/>
      <c r="BS262" s="361"/>
      <c r="BT262" s="361"/>
      <c r="BU262" s="361"/>
      <c r="BV262" s="33"/>
      <c r="BW262" s="361"/>
      <c r="BX262" s="361"/>
      <c r="BY262" s="361"/>
      <c r="BZ262" s="361"/>
      <c r="CA262" s="361"/>
      <c r="CB262" s="33"/>
      <c r="CC262" s="361"/>
      <c r="CD262" s="33"/>
      <c r="CE262" s="33"/>
      <c r="CF262" s="33"/>
      <c r="CG262" s="226"/>
      <c r="CH262" s="33"/>
      <c r="CI262" s="33"/>
      <c r="CJ262" s="33"/>
      <c r="CK262" s="33"/>
      <c r="CL262" s="33"/>
      <c r="CM262" s="226"/>
      <c r="CN262" s="33"/>
      <c r="CO262" s="33"/>
      <c r="CP262" s="33"/>
      <c r="CQ262" s="33"/>
      <c r="CR262" s="33"/>
      <c r="CS262" s="226"/>
      <c r="CT262" s="33"/>
      <c r="CU262" s="33"/>
      <c r="CV262" s="33"/>
      <c r="CW262" s="33"/>
      <c r="CX262" s="33"/>
      <c r="CY262" s="226"/>
      <c r="CZ262" s="33"/>
      <c r="DA262" s="33"/>
      <c r="DB262" s="33"/>
      <c r="DC262" s="33"/>
      <c r="DD262" s="33"/>
      <c r="DE262" s="226"/>
      <c r="DF262" s="33"/>
      <c r="DG262" s="33"/>
      <c r="DH262" s="33"/>
      <c r="DI262" s="33"/>
      <c r="DJ262" s="33"/>
      <c r="DK262" s="226"/>
      <c r="DL262" s="33"/>
      <c r="DM262" s="33"/>
      <c r="DN262" s="33"/>
      <c r="DO262" s="33"/>
      <c r="DP262" s="33"/>
      <c r="DQ262" s="226"/>
      <c r="DR262" s="33"/>
      <c r="DS262" s="33"/>
      <c r="DT262" s="33"/>
      <c r="DU262" s="33"/>
      <c r="DV262" s="33"/>
      <c r="DW262" s="226"/>
      <c r="DX262" s="33"/>
      <c r="DY262" s="33"/>
      <c r="DZ262" s="33"/>
      <c r="EA262" s="33"/>
      <c r="EB262" s="33"/>
      <c r="EC262" s="226"/>
      <c r="ED262" s="33"/>
      <c r="EE262" s="33"/>
      <c r="EF262" s="33"/>
      <c r="EG262" s="33"/>
      <c r="EH262" s="33"/>
      <c r="EI262" s="226"/>
      <c r="EJ262" s="33"/>
      <c r="EK262" s="33"/>
      <c r="EL262" s="33"/>
      <c r="EM262" s="33"/>
      <c r="EN262" s="33"/>
      <c r="EO262" s="226"/>
      <c r="EP262" s="33"/>
      <c r="EQ262" s="33"/>
      <c r="ER262" s="33"/>
      <c r="ES262" s="33"/>
      <c r="ET262" s="33"/>
      <c r="EU262" s="226"/>
      <c r="EV262" s="33"/>
      <c r="EW262" s="33"/>
      <c r="EX262" s="33"/>
      <c r="EY262" s="33"/>
      <c r="EZ262" s="33"/>
      <c r="FA262" s="226"/>
      <c r="FB262" s="33"/>
      <c r="FC262" s="33"/>
      <c r="FD262" s="33"/>
      <c r="FE262" s="33"/>
      <c r="FF262" s="33"/>
      <c r="FG262" s="226"/>
      <c r="FH262" s="33"/>
      <c r="FI262" s="33"/>
      <c r="FJ262" s="33"/>
      <c r="FK262" s="33"/>
      <c r="FL262" s="33"/>
      <c r="FM262" s="226"/>
      <c r="FN262" s="226"/>
      <c r="FO262" s="227"/>
      <c r="FP262" s="33"/>
      <c r="FQ262" s="33"/>
      <c r="FR262" s="33"/>
      <c r="FS262" s="227"/>
      <c r="FT262" s="33"/>
      <c r="FU262" s="33"/>
      <c r="FV262" s="33"/>
      <c r="FW262" s="33"/>
      <c r="FX262" s="33"/>
      <c r="FY262" s="33"/>
      <c r="FZ262" s="33"/>
      <c r="GA262" s="33"/>
      <c r="GB262" s="33"/>
      <c r="GC262" s="33"/>
      <c r="GD262" s="33"/>
      <c r="GE262" s="33"/>
      <c r="GF262" s="33"/>
      <c r="GH262" s="33"/>
      <c r="GI262"/>
      <c r="GJ262"/>
      <c r="GK262"/>
      <c r="GL262"/>
      <c r="GM262"/>
      <c r="GN262"/>
      <c r="GO262" s="33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</row>
    <row r="263" spans="1:281" s="383" customFormat="1" ht="15" hidden="1" customHeight="1" outlineLevel="1" x14ac:dyDescent="0.2">
      <c r="A263" s="381" t="s">
        <v>156</v>
      </c>
      <c r="B263" s="980"/>
      <c r="AY263" s="981">
        <f>BC263</f>
        <v>0.35699999999999998</v>
      </c>
      <c r="AZ263" s="981">
        <f>BC263</f>
        <v>0.35699999999999998</v>
      </c>
      <c r="BA263" s="981">
        <f>BC263</f>
        <v>0.35699999999999998</v>
      </c>
      <c r="BB263" s="981">
        <f>BC263</f>
        <v>0.35699999999999998</v>
      </c>
      <c r="BC263" s="81">
        <v>0.35699999999999998</v>
      </c>
      <c r="BE263" s="981">
        <f>BI263</f>
        <v>0.33700000000000002</v>
      </c>
      <c r="BF263" s="981">
        <f>BI263</f>
        <v>0.33700000000000002</v>
      </c>
      <c r="BG263" s="981">
        <f>BI263</f>
        <v>0.33700000000000002</v>
      </c>
      <c r="BH263" s="981">
        <f>BI263</f>
        <v>0.33700000000000002</v>
      </c>
      <c r="BI263" s="81">
        <v>0.33700000000000002</v>
      </c>
      <c r="BK263" s="981">
        <f>BO263</f>
        <v>0.3075</v>
      </c>
      <c r="BL263" s="981">
        <f>BO263</f>
        <v>0.3075</v>
      </c>
      <c r="BM263" s="981">
        <f>BO263</f>
        <v>0.3075</v>
      </c>
      <c r="BN263" s="981">
        <f>BO263</f>
        <v>0.3075</v>
      </c>
      <c r="BO263" s="81">
        <v>0.3075</v>
      </c>
      <c r="BQ263" s="981">
        <f>BU263</f>
        <v>0.30468948035487958</v>
      </c>
      <c r="BR263" s="981">
        <f>BU263</f>
        <v>0.30468948035487958</v>
      </c>
      <c r="BS263" s="981">
        <f>BU263</f>
        <v>0.30468948035487958</v>
      </c>
      <c r="BT263" s="981">
        <f>BU263</f>
        <v>0.30468948035487958</v>
      </c>
      <c r="BU263" s="81">
        <f>(1381-260+81)/BU215</f>
        <v>0.30468948035487958</v>
      </c>
      <c r="BW263" s="981">
        <f>CA263</f>
        <v>0.27252584058423218</v>
      </c>
      <c r="BX263" s="981">
        <f>CA263</f>
        <v>0.27252584058423218</v>
      </c>
      <c r="BY263" s="981">
        <f>CA263</f>
        <v>0.27252584058423218</v>
      </c>
      <c r="BZ263" s="981">
        <f>CA263</f>
        <v>0.27252584058423218</v>
      </c>
      <c r="CA263" s="81">
        <f>(1418-380+66)/CA215</f>
        <v>0.27252584058423218</v>
      </c>
      <c r="CC263" s="981">
        <f>CG263</f>
        <v>0.27252584058423218</v>
      </c>
      <c r="CD263" s="981">
        <f>CG263</f>
        <v>0.27252584058423218</v>
      </c>
      <c r="CE263" s="981">
        <f>CG263</f>
        <v>0.27252584058423218</v>
      </c>
      <c r="CF263" s="981">
        <f>CG263</f>
        <v>0.27252584058423218</v>
      </c>
      <c r="CG263" s="982">
        <f>CA263</f>
        <v>0.27252584058423218</v>
      </c>
      <c r="CI263" s="981">
        <f>CM263</f>
        <v>0.27252584058423218</v>
      </c>
      <c r="CJ263" s="981">
        <f>CM263</f>
        <v>0.27252584058423218</v>
      </c>
      <c r="CK263" s="981">
        <f>CM263</f>
        <v>0.27252584058423218</v>
      </c>
      <c r="CL263" s="981">
        <f>CM263</f>
        <v>0.27252584058423218</v>
      </c>
      <c r="CM263" s="982">
        <f>CG263</f>
        <v>0.27252584058423218</v>
      </c>
      <c r="CO263" s="981">
        <f>CS263</f>
        <v>0.27252584058423218</v>
      </c>
      <c r="CP263" s="981">
        <f>CS263</f>
        <v>0.27252584058423218</v>
      </c>
      <c r="CQ263" s="981">
        <f>CS263</f>
        <v>0.27252584058423218</v>
      </c>
      <c r="CR263" s="981">
        <f>CS263</f>
        <v>0.27252584058423218</v>
      </c>
      <c r="CS263" s="982">
        <f>CM263</f>
        <v>0.27252584058423218</v>
      </c>
      <c r="CU263" s="981">
        <f>CY263</f>
        <v>0.27252584058423218</v>
      </c>
      <c r="CV263" s="981">
        <f>CY263</f>
        <v>0.27252584058423218</v>
      </c>
      <c r="CW263" s="981">
        <f>CY263</f>
        <v>0.27252584058423218</v>
      </c>
      <c r="CX263" s="981">
        <f>CY263</f>
        <v>0.27252584058423218</v>
      </c>
      <c r="CY263" s="982">
        <f>CS263</f>
        <v>0.27252584058423218</v>
      </c>
      <c r="DA263" s="981">
        <f>DE263</f>
        <v>0.27252584058423218</v>
      </c>
      <c r="DB263" s="981">
        <f>DE263</f>
        <v>0.27252584058423218</v>
      </c>
      <c r="DC263" s="981">
        <f>DE263</f>
        <v>0.27252584058423218</v>
      </c>
      <c r="DD263" s="981">
        <f>DE263</f>
        <v>0.27252584058423218</v>
      </c>
      <c r="DE263" s="982">
        <f>CY263</f>
        <v>0.27252584058423218</v>
      </c>
      <c r="DG263" s="981">
        <f>DK263</f>
        <v>0.27252584058423218</v>
      </c>
      <c r="DH263" s="981">
        <f>DK263</f>
        <v>0.27252584058423218</v>
      </c>
      <c r="DI263" s="981">
        <f>DK263</f>
        <v>0.27252584058423218</v>
      </c>
      <c r="DJ263" s="981">
        <f>DK263</f>
        <v>0.27252584058423218</v>
      </c>
      <c r="DK263" s="982">
        <f>DE263</f>
        <v>0.27252584058423218</v>
      </c>
      <c r="DM263" s="981">
        <f>DQ263</f>
        <v>0.27252584058423218</v>
      </c>
      <c r="DN263" s="981">
        <f>DQ263</f>
        <v>0.27252584058423218</v>
      </c>
      <c r="DO263" s="981">
        <f>DQ263</f>
        <v>0.27252584058423218</v>
      </c>
      <c r="DP263" s="981">
        <f>DQ263</f>
        <v>0.27252584058423218</v>
      </c>
      <c r="DQ263" s="982">
        <f>DK263</f>
        <v>0.27252584058423218</v>
      </c>
      <c r="DS263" s="981">
        <f>DW263</f>
        <v>0.27252584058423218</v>
      </c>
      <c r="DT263" s="981">
        <f>DW263</f>
        <v>0.27252584058423218</v>
      </c>
      <c r="DU263" s="981">
        <f>DW263</f>
        <v>0.27252584058423218</v>
      </c>
      <c r="DV263" s="981">
        <f>DW263</f>
        <v>0.27252584058423218</v>
      </c>
      <c r="DW263" s="982">
        <f>DQ263</f>
        <v>0.27252584058423218</v>
      </c>
      <c r="DY263" s="981">
        <f>EC263</f>
        <v>0.27252584058423218</v>
      </c>
      <c r="DZ263" s="981">
        <f>EC263</f>
        <v>0.27252584058423218</v>
      </c>
      <c r="EA263" s="981">
        <f>EC263</f>
        <v>0.27252584058423218</v>
      </c>
      <c r="EB263" s="981">
        <f>EC263</f>
        <v>0.27252584058423218</v>
      </c>
      <c r="EC263" s="982">
        <f>DW263</f>
        <v>0.27252584058423218</v>
      </c>
      <c r="EE263" s="981">
        <f>EI263</f>
        <v>0.27252584058423218</v>
      </c>
      <c r="EF263" s="981">
        <f>EI263</f>
        <v>0.27252584058423218</v>
      </c>
      <c r="EG263" s="981">
        <f>EI263</f>
        <v>0.27252584058423218</v>
      </c>
      <c r="EH263" s="981">
        <f>EI263</f>
        <v>0.27252584058423218</v>
      </c>
      <c r="EI263" s="982">
        <f>EC263</f>
        <v>0.27252584058423218</v>
      </c>
      <c r="EK263" s="981">
        <f>EO263</f>
        <v>0.27252584058423218</v>
      </c>
      <c r="EL263" s="981">
        <f>EO263</f>
        <v>0.27252584058423218</v>
      </c>
      <c r="EM263" s="981">
        <f>EO263</f>
        <v>0.27252584058423218</v>
      </c>
      <c r="EN263" s="981">
        <f>EO263</f>
        <v>0.27252584058423218</v>
      </c>
      <c r="EO263" s="982">
        <f>EI263</f>
        <v>0.27252584058423218</v>
      </c>
      <c r="EQ263" s="981">
        <f>EU263</f>
        <v>0.27252584058423218</v>
      </c>
      <c r="ER263" s="981">
        <f>EU263</f>
        <v>0.27252584058423218</v>
      </c>
      <c r="ES263" s="981">
        <f>EU263</f>
        <v>0.27252584058423218</v>
      </c>
      <c r="ET263" s="981">
        <f>EU263</f>
        <v>0.27252584058423218</v>
      </c>
      <c r="EU263" s="982">
        <f>EO263</f>
        <v>0.27252584058423218</v>
      </c>
      <c r="EW263" s="981">
        <f>FA263</f>
        <v>0.27252584058423218</v>
      </c>
      <c r="EX263" s="981">
        <f>FA263</f>
        <v>0.27252584058423218</v>
      </c>
      <c r="EY263" s="981">
        <f>FA263</f>
        <v>0.27252584058423218</v>
      </c>
      <c r="EZ263" s="981">
        <f>FA263</f>
        <v>0.27252584058423218</v>
      </c>
      <c r="FA263" s="982">
        <f>EU263</f>
        <v>0.27252584058423218</v>
      </c>
      <c r="FC263" s="981">
        <f>FG263</f>
        <v>0.27252584058423218</v>
      </c>
      <c r="FD263" s="981">
        <f>FG263</f>
        <v>0.27252584058423218</v>
      </c>
      <c r="FE263" s="981">
        <f>FG263</f>
        <v>0.27252584058423218</v>
      </c>
      <c r="FF263" s="981">
        <f>FG263</f>
        <v>0.27252584058423218</v>
      </c>
      <c r="FG263" s="982">
        <f>FA263</f>
        <v>0.27252584058423218</v>
      </c>
      <c r="FI263" s="981">
        <f>FM263</f>
        <v>0.27252584058423218</v>
      </c>
      <c r="FJ263" s="981">
        <f>FM263</f>
        <v>0.27252584058423218</v>
      </c>
      <c r="FK263" s="981">
        <f>FM263</f>
        <v>0.27252584058423218</v>
      </c>
      <c r="FL263" s="981">
        <f>FM263</f>
        <v>0.27252584058423218</v>
      </c>
      <c r="FM263" s="982">
        <f>FG263</f>
        <v>0.27252584058423218</v>
      </c>
      <c r="FN263" s="1127"/>
      <c r="FO263" s="983"/>
      <c r="FS263" s="983"/>
      <c r="GI263"/>
      <c r="GJ263"/>
      <c r="GK263"/>
      <c r="GL263"/>
      <c r="GM263"/>
      <c r="GN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</row>
    <row r="264" spans="1:281" s="383" customFormat="1" ht="15" hidden="1" customHeight="1" outlineLevel="1" x14ac:dyDescent="0.2">
      <c r="A264" s="1097" t="s">
        <v>1050</v>
      </c>
      <c r="B264" s="1098"/>
      <c r="C264" s="1099"/>
      <c r="D264" s="1099"/>
      <c r="E264" s="1099"/>
      <c r="F264" s="1099"/>
      <c r="G264" s="1099"/>
      <c r="H264" s="1099"/>
      <c r="I264" s="1099"/>
      <c r="J264" s="1099"/>
      <c r="K264" s="1099"/>
      <c r="L264" s="1099"/>
      <c r="M264" s="1099"/>
      <c r="N264" s="1099"/>
      <c r="O264" s="1099"/>
      <c r="P264" s="1099"/>
      <c r="Q264" s="1099"/>
      <c r="R264" s="1099"/>
      <c r="S264" s="1099"/>
      <c r="T264" s="1099"/>
      <c r="U264" s="1099"/>
      <c r="V264" s="1099"/>
      <c r="W264" s="1099"/>
      <c r="X264" s="1099"/>
      <c r="Y264" s="1099"/>
      <c r="Z264" s="1099"/>
      <c r="AA264" s="1099"/>
      <c r="AB264" s="1099"/>
      <c r="AC264" s="1099"/>
      <c r="AD264" s="1099"/>
      <c r="AE264" s="1099"/>
      <c r="AF264" s="1099"/>
      <c r="AG264" s="1099"/>
      <c r="AH264" s="1099"/>
      <c r="AI264" s="1099"/>
      <c r="AJ264" s="1099"/>
      <c r="AK264" s="1099"/>
      <c r="AL264" s="1099"/>
      <c r="AM264" s="1099"/>
      <c r="AN264" s="1099"/>
      <c r="AO264" s="1099"/>
      <c r="AP264" s="1099"/>
      <c r="AQ264" s="1099"/>
      <c r="AR264" s="1099"/>
      <c r="AS264" s="1099"/>
      <c r="AT264" s="1099"/>
      <c r="AU264" s="1099"/>
      <c r="AV264" s="1099"/>
      <c r="AW264" s="1099"/>
      <c r="AX264" s="1099"/>
      <c r="AY264" s="1100">
        <v>0</v>
      </c>
      <c r="AZ264" s="1100">
        <v>0</v>
      </c>
      <c r="BA264" s="1100">
        <v>0</v>
      </c>
      <c r="BB264" s="1100">
        <v>0</v>
      </c>
      <c r="BC264" s="1100">
        <v>0</v>
      </c>
      <c r="BD264" s="1100"/>
      <c r="BE264" s="1100">
        <v>0</v>
      </c>
      <c r="BF264" s="1100">
        <v>0</v>
      </c>
      <c r="BG264" s="1100">
        <v>0</v>
      </c>
      <c r="BH264" s="1100">
        <v>0</v>
      </c>
      <c r="BI264" s="1100">
        <v>0</v>
      </c>
      <c r="BJ264" s="1099"/>
      <c r="BK264" s="1100">
        <v>0</v>
      </c>
      <c r="BL264" s="1100">
        <v>0</v>
      </c>
      <c r="BM264" s="1100">
        <v>0</v>
      </c>
      <c r="BN264" s="1100">
        <v>0</v>
      </c>
      <c r="BO264" s="1100">
        <v>0</v>
      </c>
      <c r="BP264" s="1099"/>
      <c r="BQ264" s="1100">
        <v>0</v>
      </c>
      <c r="BR264" s="1100">
        <v>0</v>
      </c>
      <c r="BS264" s="1100">
        <v>0</v>
      </c>
      <c r="BT264" s="1100">
        <v>0</v>
      </c>
      <c r="BU264" s="1100">
        <v>0</v>
      </c>
      <c r="BV264" s="1099"/>
      <c r="BW264" s="1100">
        <v>0</v>
      </c>
      <c r="BX264" s="1100">
        <v>0</v>
      </c>
      <c r="BY264" s="1100">
        <v>0</v>
      </c>
      <c r="BZ264" s="1100">
        <v>0</v>
      </c>
      <c r="CA264" s="1100">
        <v>0</v>
      </c>
      <c r="CB264" s="1099"/>
      <c r="CC264" s="1100">
        <v>0</v>
      </c>
      <c r="CD264" s="1100">
        <v>0</v>
      </c>
      <c r="CE264" s="1100">
        <v>0</v>
      </c>
      <c r="CF264" s="1100">
        <v>0</v>
      </c>
      <c r="CG264" s="1101">
        <v>0</v>
      </c>
      <c r="CH264" s="1099"/>
      <c r="CI264" s="1100">
        <v>0</v>
      </c>
      <c r="CJ264" s="1100">
        <v>0</v>
      </c>
      <c r="CK264" s="1100">
        <v>0</v>
      </c>
      <c r="CL264" s="1100">
        <v>0</v>
      </c>
      <c r="CM264" s="1101">
        <v>0</v>
      </c>
      <c r="CN264" s="1099"/>
      <c r="CO264" s="1100">
        <v>0</v>
      </c>
      <c r="CP264" s="1100">
        <v>0</v>
      </c>
      <c r="CQ264" s="1100">
        <v>0</v>
      </c>
      <c r="CR264" s="1100">
        <v>0</v>
      </c>
      <c r="CS264" s="1101">
        <v>0</v>
      </c>
      <c r="CT264" s="1099"/>
      <c r="CU264" s="1100">
        <v>0</v>
      </c>
      <c r="CV264" s="1100">
        <v>0</v>
      </c>
      <c r="CW264" s="1100">
        <v>0</v>
      </c>
      <c r="CX264" s="1100">
        <v>0</v>
      </c>
      <c r="CY264" s="1101">
        <v>0</v>
      </c>
      <c r="CZ264" s="1099"/>
      <c r="DA264" s="1100">
        <v>0</v>
      </c>
      <c r="DB264" s="1100">
        <v>0</v>
      </c>
      <c r="DC264" s="1100">
        <v>0</v>
      </c>
      <c r="DD264" s="1100">
        <v>0</v>
      </c>
      <c r="DE264" s="1101">
        <v>0</v>
      </c>
      <c r="DF264" s="1099"/>
      <c r="DG264" s="1100">
        <v>0</v>
      </c>
      <c r="DH264" s="1100">
        <v>0</v>
      </c>
      <c r="DI264" s="1100">
        <v>0</v>
      </c>
      <c r="DJ264" s="1100">
        <v>0</v>
      </c>
      <c r="DK264" s="1101">
        <v>0</v>
      </c>
      <c r="DL264" s="1099"/>
      <c r="DM264" s="1100">
        <v>0</v>
      </c>
      <c r="DN264" s="1100">
        <v>0</v>
      </c>
      <c r="DO264" s="1100">
        <v>0</v>
      </c>
      <c r="DP264" s="1100">
        <v>0</v>
      </c>
      <c r="DQ264" s="1101">
        <v>0</v>
      </c>
      <c r="DR264" s="1099"/>
      <c r="DS264" s="1100">
        <v>0</v>
      </c>
      <c r="DT264" s="1100">
        <v>0</v>
      </c>
      <c r="DU264" s="1100">
        <v>0</v>
      </c>
      <c r="DV264" s="1100">
        <v>0</v>
      </c>
      <c r="DW264" s="1101">
        <v>0</v>
      </c>
      <c r="DX264" s="1099"/>
      <c r="DY264" s="1100">
        <v>0</v>
      </c>
      <c r="DZ264" s="1100">
        <v>0</v>
      </c>
      <c r="EA264" s="1100">
        <v>0</v>
      </c>
      <c r="EB264" s="1100">
        <v>0</v>
      </c>
      <c r="EC264" s="1101">
        <v>0</v>
      </c>
      <c r="ED264" s="1099"/>
      <c r="EE264" s="1100">
        <v>0</v>
      </c>
      <c r="EF264" s="1100">
        <v>0</v>
      </c>
      <c r="EG264" s="1100">
        <v>0</v>
      </c>
      <c r="EH264" s="1100">
        <v>0</v>
      </c>
      <c r="EI264" s="1101">
        <v>0</v>
      </c>
      <c r="EJ264" s="1099"/>
      <c r="EK264" s="1100">
        <v>0</v>
      </c>
      <c r="EL264" s="1100">
        <v>0</v>
      </c>
      <c r="EM264" s="1100">
        <v>0</v>
      </c>
      <c r="EN264" s="1100">
        <v>0</v>
      </c>
      <c r="EO264" s="1101">
        <v>0</v>
      </c>
      <c r="EP264" s="1099"/>
      <c r="EQ264" s="1100">
        <v>0</v>
      </c>
      <c r="ER264" s="1100">
        <v>0</v>
      </c>
      <c r="ES264" s="1100">
        <v>0</v>
      </c>
      <c r="ET264" s="1100">
        <v>0</v>
      </c>
      <c r="EU264" s="1101">
        <v>0</v>
      </c>
      <c r="EV264" s="1099"/>
      <c r="EW264" s="1100">
        <v>0</v>
      </c>
      <c r="EX264" s="1100">
        <v>0</v>
      </c>
      <c r="EY264" s="1100">
        <v>0</v>
      </c>
      <c r="EZ264" s="1100">
        <v>0</v>
      </c>
      <c r="FA264" s="1101">
        <v>0</v>
      </c>
      <c r="FB264" s="1099"/>
      <c r="FC264" s="1100">
        <v>0</v>
      </c>
      <c r="FD264" s="1100">
        <v>0</v>
      </c>
      <c r="FE264" s="1100">
        <v>0</v>
      </c>
      <c r="FF264" s="1100">
        <v>0</v>
      </c>
      <c r="FG264" s="1101">
        <v>0</v>
      </c>
      <c r="FH264" s="1099"/>
      <c r="FI264" s="1100">
        <v>0</v>
      </c>
      <c r="FJ264" s="1100">
        <v>0</v>
      </c>
      <c r="FK264" s="1100">
        <v>0</v>
      </c>
      <c r="FL264" s="1100">
        <v>0</v>
      </c>
      <c r="FM264" s="1101">
        <v>0</v>
      </c>
      <c r="FN264" s="1127"/>
      <c r="FO264" s="983"/>
      <c r="FS264" s="983"/>
      <c r="GI264"/>
      <c r="GJ264"/>
      <c r="GK264"/>
      <c r="GL264"/>
      <c r="GM264"/>
      <c r="GN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</row>
    <row r="265" spans="1:281" s="242" customFormat="1" ht="9" customHeight="1" collapsed="1" x14ac:dyDescent="0.2">
      <c r="A265" s="247"/>
      <c r="B265" s="967"/>
      <c r="C265" s="34"/>
      <c r="D265" s="34"/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  <c r="AX265" s="34"/>
      <c r="AY265" s="34"/>
      <c r="AZ265" s="34"/>
      <c r="BA265" s="34"/>
      <c r="BB265" s="34"/>
      <c r="BC265" s="34"/>
      <c r="BD265" s="34"/>
      <c r="BE265" s="34"/>
      <c r="BF265" s="34"/>
      <c r="BG265" s="34"/>
      <c r="BH265" s="34"/>
      <c r="BI265" s="34"/>
      <c r="BJ265" s="34"/>
      <c r="BK265" s="34"/>
      <c r="BL265" s="34"/>
      <c r="BM265" s="34"/>
      <c r="BN265" s="343"/>
      <c r="BO265" s="34"/>
      <c r="BP265" s="34"/>
      <c r="BQ265" s="34"/>
      <c r="BR265" s="34"/>
      <c r="BS265" s="34"/>
      <c r="BT265" s="85"/>
      <c r="BU265" s="82"/>
      <c r="BV265" s="34"/>
      <c r="BW265" s="343"/>
      <c r="BX265" s="343"/>
      <c r="BY265" s="343"/>
      <c r="BZ265" s="343"/>
      <c r="CA265" s="343"/>
      <c r="CB265" s="343"/>
      <c r="CC265" s="343"/>
      <c r="CD265" s="343"/>
      <c r="CE265" s="343"/>
      <c r="CF265" s="343"/>
      <c r="CG265" s="385"/>
      <c r="CH265" s="343"/>
      <c r="CI265" s="343"/>
      <c r="CJ265" s="343"/>
      <c r="CK265" s="343"/>
      <c r="CL265" s="343"/>
      <c r="CM265" s="385"/>
      <c r="CN265" s="343"/>
      <c r="CO265" s="343"/>
      <c r="CP265" s="343"/>
      <c r="CQ265" s="343"/>
      <c r="CR265" s="343"/>
      <c r="CS265" s="385"/>
      <c r="CT265" s="343"/>
      <c r="CU265" s="343"/>
      <c r="CV265" s="343"/>
      <c r="CW265" s="343"/>
      <c r="CX265" s="83"/>
      <c r="CY265" s="385"/>
      <c r="CZ265" s="343"/>
      <c r="DA265" s="343"/>
      <c r="DB265" s="343"/>
      <c r="DC265" s="343"/>
      <c r="DD265" s="343"/>
      <c r="DE265" s="385"/>
      <c r="DF265" s="343"/>
      <c r="DG265" s="343"/>
      <c r="DH265" s="343"/>
      <c r="DI265" s="343"/>
      <c r="DJ265" s="343"/>
      <c r="DK265" s="385"/>
      <c r="DL265" s="343"/>
      <c r="DM265" s="343"/>
      <c r="DN265" s="343"/>
      <c r="DO265" s="343"/>
      <c r="DP265" s="343"/>
      <c r="DQ265" s="385"/>
      <c r="DR265" s="343"/>
      <c r="DS265" s="343"/>
      <c r="DT265" s="343"/>
      <c r="DU265" s="343"/>
      <c r="DV265" s="343"/>
      <c r="DW265" s="385"/>
      <c r="DX265" s="343"/>
      <c r="DY265" s="343"/>
      <c r="DZ265" s="343"/>
      <c r="EA265" s="343"/>
      <c r="EB265" s="343"/>
      <c r="EC265" s="385"/>
      <c r="ED265" s="343"/>
      <c r="EE265" s="343"/>
      <c r="EF265" s="343"/>
      <c r="EG265" s="343"/>
      <c r="EH265" s="343"/>
      <c r="EI265" s="385"/>
      <c r="EJ265" s="343"/>
      <c r="EK265" s="343"/>
      <c r="EL265" s="343"/>
      <c r="EM265" s="343"/>
      <c r="EN265" s="343"/>
      <c r="EO265" s="385"/>
      <c r="EP265" s="343"/>
      <c r="EQ265" s="343"/>
      <c r="ER265" s="343"/>
      <c r="ES265" s="343"/>
      <c r="ET265" s="343"/>
      <c r="EU265" s="385"/>
      <c r="EV265" s="343"/>
      <c r="EW265" s="343"/>
      <c r="EX265" s="343"/>
      <c r="EY265" s="343"/>
      <c r="EZ265" s="343"/>
      <c r="FA265" s="385"/>
      <c r="FB265" s="343"/>
      <c r="FC265" s="343"/>
      <c r="FD265" s="343"/>
      <c r="FE265" s="343"/>
      <c r="FF265" s="343"/>
      <c r="FG265" s="385"/>
      <c r="FH265" s="343"/>
      <c r="FI265" s="343"/>
      <c r="FJ265" s="343"/>
      <c r="FK265" s="343"/>
      <c r="FL265" s="343"/>
      <c r="FM265" s="385"/>
      <c r="FN265" s="347"/>
      <c r="FO265" s="270"/>
      <c r="FP265" s="271"/>
      <c r="FQ265" s="271"/>
      <c r="FR265" s="271"/>
      <c r="FS265" s="270"/>
      <c r="FT265" s="271"/>
      <c r="FU265" s="271"/>
      <c r="FV265" s="271"/>
      <c r="FW265" s="271"/>
      <c r="FX265" s="271"/>
      <c r="FY265" s="271"/>
      <c r="FZ265" s="271"/>
      <c r="GA265" s="271"/>
      <c r="GB265" s="271"/>
      <c r="GC265" s="271"/>
      <c r="GD265" s="271"/>
      <c r="GE265" s="271"/>
      <c r="GF265" s="271"/>
      <c r="GI265"/>
      <c r="GJ265"/>
      <c r="GK265"/>
      <c r="GL265"/>
      <c r="GM265"/>
      <c r="GN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</row>
    <row r="266" spans="1:281" s="242" customFormat="1" collapsed="1" x14ac:dyDescent="0.2">
      <c r="A266" s="247" t="s">
        <v>1051</v>
      </c>
      <c r="B266" s="967"/>
      <c r="C266" s="34"/>
      <c r="D266" s="34"/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  <c r="AX266" s="34"/>
      <c r="AY266" s="34"/>
      <c r="AZ266" s="34"/>
      <c r="BA266" s="34"/>
      <c r="BB266" s="34"/>
      <c r="BC266" s="34"/>
      <c r="BD266" s="34"/>
      <c r="BE266" s="34"/>
      <c r="BF266" s="34"/>
      <c r="BG266" s="34"/>
      <c r="BH266" s="34"/>
      <c r="BI266" s="34"/>
      <c r="BJ266" s="34"/>
      <c r="BK266" s="34"/>
      <c r="BL266" s="34"/>
      <c r="BM266" s="34"/>
      <c r="BN266" s="343"/>
      <c r="BO266" s="34"/>
      <c r="BP266" s="34"/>
      <c r="BQ266" s="34"/>
      <c r="BR266" s="34"/>
      <c r="BS266" s="34"/>
      <c r="BT266" s="85"/>
      <c r="BU266" s="82"/>
      <c r="BV266" s="34"/>
      <c r="BW266" s="343"/>
      <c r="BX266" s="343"/>
      <c r="BY266" s="343"/>
      <c r="BZ266" s="343"/>
      <c r="CA266" s="343"/>
      <c r="CB266" s="343"/>
      <c r="CC266" s="343"/>
      <c r="CD266" s="343"/>
      <c r="CE266" s="343"/>
      <c r="CF266" s="343"/>
      <c r="CG266" s="387"/>
      <c r="CH266" s="343"/>
      <c r="CI266" s="343"/>
      <c r="CJ266" s="343"/>
      <c r="CK266" s="343"/>
      <c r="CL266" s="343"/>
      <c r="CM266" s="387"/>
      <c r="CN266" s="343"/>
      <c r="CO266" s="343"/>
      <c r="CP266" s="343"/>
      <c r="CQ266" s="343"/>
      <c r="CR266" s="343"/>
      <c r="CS266" s="387"/>
      <c r="CT266" s="343"/>
      <c r="CU266" s="343"/>
      <c r="CV266" s="343"/>
      <c r="CW266" s="343"/>
      <c r="CX266" s="83"/>
      <c r="CY266" s="387"/>
      <c r="CZ266" s="343"/>
      <c r="DA266" s="343"/>
      <c r="DB266" s="343"/>
      <c r="DC266" s="343"/>
      <c r="DD266" s="343"/>
      <c r="DE266" s="387"/>
      <c r="DF266" s="343"/>
      <c r="DG266" s="343"/>
      <c r="DH266" s="343"/>
      <c r="DI266" s="343"/>
      <c r="DJ266" s="343"/>
      <c r="DK266" s="387"/>
      <c r="DL266" s="343"/>
      <c r="DM266" s="343"/>
      <c r="DN266" s="343"/>
      <c r="DO266" s="343"/>
      <c r="DP266" s="343"/>
      <c r="DQ266" s="387"/>
      <c r="DR266" s="343"/>
      <c r="DS266" s="343"/>
      <c r="DT266" s="343"/>
      <c r="DU266" s="343"/>
      <c r="DV266" s="343"/>
      <c r="DW266" s="387"/>
      <c r="DX266" s="343"/>
      <c r="DY266" s="343"/>
      <c r="DZ266" s="343"/>
      <c r="EA266" s="343"/>
      <c r="EB266" s="343"/>
      <c r="EC266" s="387"/>
      <c r="ED266" s="343"/>
      <c r="EE266" s="343"/>
      <c r="EF266" s="343"/>
      <c r="EG266" s="343"/>
      <c r="EH266" s="343"/>
      <c r="EI266" s="387"/>
      <c r="EJ266" s="343"/>
      <c r="EK266" s="343"/>
      <c r="EL266" s="343"/>
      <c r="EM266" s="343"/>
      <c r="EN266" s="343"/>
      <c r="EO266" s="387"/>
      <c r="EP266" s="343"/>
      <c r="EQ266" s="343"/>
      <c r="ER266" s="343"/>
      <c r="ES266" s="343"/>
      <c r="ET266" s="343"/>
      <c r="EU266" s="387"/>
      <c r="EV266" s="343"/>
      <c r="EW266" s="343"/>
      <c r="EX266" s="343"/>
      <c r="EY266" s="343"/>
      <c r="EZ266" s="343"/>
      <c r="FA266" s="387"/>
      <c r="FB266" s="343"/>
      <c r="FC266" s="343"/>
      <c r="FD266" s="343"/>
      <c r="FE266" s="343"/>
      <c r="FF266" s="343"/>
      <c r="FG266" s="387"/>
      <c r="FH266" s="343"/>
      <c r="FI266" s="343"/>
      <c r="FJ266" s="343"/>
      <c r="FK266" s="343"/>
      <c r="FL266" s="343"/>
      <c r="FM266" s="387"/>
      <c r="FN266" s="347"/>
      <c r="FO266" s="390"/>
      <c r="FP266" s="389"/>
      <c r="FQ266" s="389"/>
      <c r="FR266" s="389"/>
      <c r="FS266" s="390"/>
      <c r="FT266" s="389"/>
      <c r="FU266" s="389"/>
      <c r="FV266" s="389"/>
      <c r="FW266" s="389"/>
      <c r="FX266" s="389"/>
      <c r="FY266" s="389"/>
      <c r="FZ266" s="389"/>
      <c r="GA266" s="389"/>
      <c r="GB266" s="389"/>
      <c r="GC266" s="271"/>
      <c r="GD266" s="271"/>
      <c r="GE266" s="271"/>
      <c r="GF266" s="271"/>
      <c r="GI266"/>
      <c r="GJ266"/>
      <c r="GK266"/>
      <c r="GL266"/>
      <c r="GM266"/>
      <c r="GN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</row>
    <row r="267" spans="1:281" s="242" customFormat="1" ht="12.75" customHeight="1" x14ac:dyDescent="0.2">
      <c r="A267" s="1906" t="s">
        <v>91</v>
      </c>
      <c r="B267" s="1906"/>
      <c r="C267" s="1906"/>
      <c r="D267" s="1906"/>
      <c r="E267" s="1906"/>
      <c r="F267" s="1906"/>
      <c r="G267" s="1906"/>
      <c r="H267" s="1906"/>
      <c r="I267" s="1906"/>
      <c r="J267" s="1906"/>
      <c r="K267" s="1906"/>
      <c r="L267" s="1906"/>
      <c r="M267" s="1906"/>
      <c r="N267" s="1906"/>
      <c r="O267" s="1906"/>
      <c r="P267" s="1906"/>
      <c r="Q267" s="1906"/>
      <c r="R267" s="1906"/>
      <c r="S267" s="1906"/>
      <c r="T267" s="1906"/>
      <c r="U267" s="1906"/>
      <c r="V267" s="1906"/>
      <c r="W267" s="1906"/>
      <c r="X267" s="1906"/>
      <c r="Y267" s="1906"/>
      <c r="Z267" s="1906"/>
      <c r="AA267" s="1906"/>
      <c r="AB267" s="1906"/>
      <c r="AC267" s="1906"/>
      <c r="AD267" s="1906"/>
      <c r="AE267" s="1906"/>
      <c r="AF267" s="1906"/>
      <c r="AG267" s="1906"/>
      <c r="AH267" s="1906"/>
      <c r="AI267" s="1906"/>
      <c r="AJ267" s="1906"/>
      <c r="AK267" s="1906"/>
      <c r="AL267" s="1906"/>
      <c r="AM267" s="1906"/>
      <c r="AN267" s="1906"/>
      <c r="AO267" s="1906"/>
      <c r="AP267" s="1906"/>
      <c r="AQ267" s="1906"/>
      <c r="AR267" s="1906"/>
      <c r="AS267" s="1906"/>
      <c r="AT267" s="1906"/>
      <c r="AU267" s="1906"/>
      <c r="AV267" s="1906"/>
      <c r="AW267" s="1906"/>
      <c r="AX267" s="1906"/>
      <c r="AY267" s="1906"/>
      <c r="AZ267" s="1906"/>
      <c r="BA267" s="1906"/>
      <c r="BB267" s="1906"/>
      <c r="BC267" s="1906"/>
      <c r="BD267" s="1906"/>
      <c r="BE267" s="1906"/>
      <c r="BF267" s="1906"/>
      <c r="BG267" s="1906"/>
      <c r="BH267" s="1906"/>
      <c r="BI267" s="1906"/>
      <c r="BJ267" s="1906"/>
      <c r="BK267" s="1906"/>
      <c r="BL267" s="1906"/>
      <c r="BM267" s="1906"/>
      <c r="BN267" s="1906"/>
      <c r="BO267" s="1906"/>
      <c r="BP267" s="1906"/>
      <c r="BQ267" s="1906"/>
      <c r="BR267" s="1906"/>
      <c r="BS267" s="1906"/>
      <c r="BT267" s="1906"/>
      <c r="BU267" s="1906"/>
      <c r="BV267" s="1906"/>
      <c r="BW267" s="1906"/>
      <c r="BX267" s="1906"/>
      <c r="BY267" s="1906"/>
      <c r="BZ267" s="1906"/>
      <c r="CA267" s="1906"/>
      <c r="CB267" s="1906"/>
      <c r="CC267" s="1906"/>
      <c r="CD267" s="1906"/>
      <c r="CE267" s="1906"/>
      <c r="CF267" s="1906"/>
      <c r="CG267" s="1906"/>
      <c r="CH267" s="1906"/>
      <c r="CI267" s="1906"/>
      <c r="CJ267" s="1906"/>
      <c r="CK267" s="1906"/>
      <c r="CL267" s="1906"/>
      <c r="CM267" s="1906"/>
      <c r="CN267" s="1906"/>
      <c r="CO267" s="1906"/>
      <c r="CP267" s="1906"/>
      <c r="CQ267" s="1906"/>
      <c r="CR267" s="1906"/>
      <c r="CS267" s="1906"/>
      <c r="CT267" s="1906"/>
      <c r="CU267" s="1906"/>
      <c r="CV267" s="1906"/>
      <c r="CW267" s="1906"/>
      <c r="CX267" s="1906"/>
      <c r="CY267" s="1906"/>
      <c r="CZ267" s="1906"/>
      <c r="DA267" s="1906"/>
      <c r="DB267" s="1906"/>
      <c r="DC267" s="1906"/>
      <c r="DD267" s="1906"/>
      <c r="DE267" s="1906"/>
      <c r="DG267" s="34"/>
      <c r="DH267" s="34"/>
      <c r="DI267" s="40"/>
      <c r="DJ267" s="34"/>
      <c r="DK267" s="34"/>
      <c r="DM267" s="34"/>
      <c r="DN267" s="34"/>
      <c r="DO267" s="40"/>
      <c r="DP267" s="34"/>
      <c r="DQ267" s="34"/>
      <c r="DS267" s="34"/>
      <c r="DT267" s="34"/>
      <c r="DU267" s="40"/>
      <c r="DV267" s="34"/>
      <c r="DW267" s="34"/>
      <c r="DY267" s="34"/>
      <c r="DZ267" s="34"/>
      <c r="EA267" s="40"/>
      <c r="EB267" s="34"/>
      <c r="EC267" s="34"/>
      <c r="EE267" s="34"/>
      <c r="EF267" s="34"/>
      <c r="EG267" s="40"/>
      <c r="EH267" s="34"/>
      <c r="EI267" s="34"/>
      <c r="EK267" s="34"/>
      <c r="EL267" s="34"/>
      <c r="EM267" s="40"/>
      <c r="EN267" s="34"/>
      <c r="EO267" s="34"/>
      <c r="EQ267" s="40">
        <f>0.19*4</f>
        <v>0.76</v>
      </c>
      <c r="ER267" s="34"/>
      <c r="ES267" s="40"/>
      <c r="ET267" s="34"/>
      <c r="EU267" s="34"/>
      <c r="EW267" s="34"/>
      <c r="EX267" s="34"/>
      <c r="EY267" s="40"/>
      <c r="EZ267" s="34"/>
      <c r="FA267" s="34"/>
      <c r="FC267" s="34"/>
      <c r="FD267" s="34"/>
      <c r="FE267" s="40"/>
      <c r="FF267" s="34"/>
      <c r="FG267" s="34"/>
      <c r="FI267" s="34"/>
      <c r="FJ267" s="34"/>
      <c r="FK267" s="40"/>
      <c r="FL267" s="34"/>
      <c r="FM267" s="34"/>
      <c r="FO267" s="93"/>
      <c r="FP267" s="93"/>
      <c r="FQ267" s="93"/>
      <c r="FR267" s="93"/>
      <c r="FS267" s="93"/>
      <c r="FT267" s="93"/>
      <c r="FU267" s="93"/>
      <c r="FV267" s="93"/>
      <c r="FW267" s="93"/>
      <c r="FX267" s="93"/>
      <c r="FY267" s="93"/>
      <c r="FZ267" s="93"/>
      <c r="GA267" s="93"/>
      <c r="GB267" s="93"/>
      <c r="GC267" s="271"/>
      <c r="GD267" s="271"/>
      <c r="GE267" s="271"/>
      <c r="GF267" s="271"/>
      <c r="GI267"/>
      <c r="GJ267"/>
      <c r="GK267"/>
      <c r="GL267"/>
      <c r="GM267"/>
      <c r="GN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</row>
    <row r="268" spans="1:281" s="242" customFormat="1" x14ac:dyDescent="0.2">
      <c r="A268" s="104" t="s">
        <v>83</v>
      </c>
      <c r="B268" s="414"/>
      <c r="C268" s="91"/>
      <c r="D268" s="91"/>
      <c r="E268" s="91"/>
      <c r="F268" s="91"/>
      <c r="G268" s="91"/>
      <c r="H268" s="91"/>
      <c r="I268" s="91"/>
      <c r="J268" s="91"/>
      <c r="K268" s="91"/>
      <c r="L268" s="91"/>
      <c r="M268" s="91"/>
      <c r="N268" s="91"/>
      <c r="O268" s="91"/>
      <c r="P268" s="91"/>
      <c r="Q268" s="91"/>
      <c r="R268" s="91"/>
      <c r="S268" s="91"/>
      <c r="T268" s="91"/>
      <c r="U268" s="91"/>
      <c r="V268" s="91"/>
      <c r="W268" s="91"/>
      <c r="X268" s="91"/>
      <c r="Y268" s="91"/>
      <c r="Z268" s="91"/>
      <c r="AA268" s="91"/>
      <c r="AB268" s="91"/>
      <c r="AC268" s="91"/>
      <c r="AD268" s="91"/>
      <c r="AE268" s="91"/>
      <c r="AF268" s="91"/>
      <c r="AG268" s="91"/>
      <c r="AH268" s="91"/>
      <c r="AI268" s="91"/>
      <c r="AJ268" s="91"/>
      <c r="AK268" s="91"/>
      <c r="AL268" s="91"/>
      <c r="AM268" s="91"/>
      <c r="AN268" s="91"/>
      <c r="AO268" s="91"/>
      <c r="AP268" s="91"/>
      <c r="AQ268" s="91"/>
      <c r="AR268" s="91"/>
      <c r="AS268" s="91"/>
      <c r="AT268" s="91"/>
      <c r="AU268" s="91"/>
      <c r="AV268" s="91"/>
      <c r="AW268" s="91"/>
      <c r="AX268" s="91"/>
      <c r="AY268" s="91"/>
      <c r="AZ268" s="91"/>
      <c r="BA268" s="91"/>
      <c r="BB268" s="91"/>
      <c r="BC268" s="91"/>
      <c r="BD268" s="91"/>
      <c r="BE268" s="91"/>
      <c r="BF268" s="91"/>
      <c r="BG268" s="91"/>
      <c r="BH268" s="91"/>
      <c r="BI268" s="91"/>
      <c r="BJ268" s="91"/>
      <c r="BK268" s="91"/>
      <c r="BL268" s="91"/>
      <c r="BM268" s="91"/>
      <c r="BN268" s="91"/>
      <c r="BO268" s="91"/>
      <c r="BP268" s="91"/>
      <c r="BQ268" s="91"/>
      <c r="BR268" s="91"/>
      <c r="BS268" s="91"/>
      <c r="BT268" s="91"/>
      <c r="BU268" s="159"/>
      <c r="BV268" s="91"/>
      <c r="BW268" s="91"/>
      <c r="BX268" s="91"/>
      <c r="BY268" s="122"/>
      <c r="BZ268" s="91"/>
      <c r="CA268" s="91"/>
      <c r="CB268" s="91"/>
      <c r="CC268" s="91"/>
      <c r="CD268" s="156"/>
      <c r="CE268" s="122"/>
      <c r="CF268" s="91"/>
      <c r="CG268" s="271"/>
      <c r="CH268" s="91"/>
      <c r="CI268" s="91"/>
      <c r="CJ268" s="91"/>
      <c r="CK268" s="122"/>
      <c r="CL268" s="91"/>
      <c r="CM268" s="91"/>
      <c r="CN268" s="91"/>
      <c r="CO268" s="91"/>
      <c r="CP268" s="91"/>
      <c r="CQ268" s="122"/>
      <c r="CR268" s="91"/>
      <c r="CS268" s="91"/>
      <c r="CT268" s="91"/>
      <c r="CU268" s="91"/>
      <c r="CV268" s="91"/>
      <c r="CW268" s="122"/>
      <c r="CX268" s="91"/>
      <c r="CY268" s="122"/>
      <c r="CZ268" s="91"/>
      <c r="DA268" s="91"/>
      <c r="DB268" s="91"/>
      <c r="DC268" s="122"/>
      <c r="DD268" s="91"/>
      <c r="DE268" s="122"/>
      <c r="DF268" s="91"/>
      <c r="DG268" s="91"/>
      <c r="DH268" s="91"/>
      <c r="DI268" s="122"/>
      <c r="DJ268" s="91"/>
      <c r="DK268" s="1186"/>
      <c r="DL268" s="1187"/>
      <c r="DM268" s="1187"/>
      <c r="DN268" s="1187"/>
      <c r="DO268" s="122"/>
      <c r="DP268" s="91"/>
      <c r="DQ268" s="91"/>
      <c r="DR268" s="91"/>
      <c r="DS268" s="91"/>
      <c r="DT268" s="91"/>
      <c r="DU268" s="122"/>
      <c r="DV268" s="91"/>
      <c r="DW268" s="91"/>
      <c r="DX268" s="91"/>
      <c r="DY268" s="91"/>
      <c r="DZ268" s="91"/>
      <c r="EA268" s="122"/>
      <c r="EB268" s="91"/>
      <c r="EC268" s="91"/>
      <c r="ED268" s="91"/>
      <c r="EE268" s="91"/>
      <c r="EF268" s="91"/>
      <c r="EG268" s="122"/>
      <c r="EH268" s="91"/>
      <c r="EI268" s="91"/>
      <c r="EJ268" s="91"/>
      <c r="EK268" s="91"/>
      <c r="EL268" s="91"/>
      <c r="EM268" s="122"/>
      <c r="EN268" s="91"/>
      <c r="EO268" s="91"/>
      <c r="EP268" s="91"/>
      <c r="EQ268" s="1837">
        <f>EQ267/44</f>
        <v>1.7272727272727273E-2</v>
      </c>
      <c r="ER268" s="91"/>
      <c r="ES268" s="122"/>
      <c r="ET268" s="91"/>
      <c r="EU268" s="91"/>
      <c r="EV268" s="91"/>
      <c r="EW268" s="91"/>
      <c r="EX268" s="91"/>
      <c r="EY268" s="122"/>
      <c r="EZ268" s="91"/>
      <c r="FA268" s="91"/>
      <c r="FB268" s="91"/>
      <c r="FC268" s="91"/>
      <c r="FD268" s="91"/>
      <c r="FE268" s="122"/>
      <c r="FF268" s="91"/>
      <c r="FG268" s="91"/>
      <c r="FH268" s="91"/>
      <c r="FI268" s="91"/>
      <c r="FJ268" s="91"/>
      <c r="FK268" s="122"/>
      <c r="FL268" s="91"/>
      <c r="FM268" s="91"/>
      <c r="FO268" s="271"/>
      <c r="FP268" s="271"/>
      <c r="FQ268" s="271"/>
      <c r="FR268" s="271"/>
      <c r="FS268" s="351"/>
      <c r="FT268" s="351"/>
      <c r="FU268" s="351"/>
      <c r="FV268" s="351"/>
      <c r="FW268" s="351"/>
      <c r="FX268" s="351"/>
      <c r="FY268" s="351"/>
      <c r="FZ268" s="351"/>
      <c r="GA268" s="351"/>
      <c r="GB268" s="351"/>
      <c r="GC268" s="351"/>
      <c r="GD268" s="351"/>
      <c r="GE268" s="351"/>
      <c r="GF268" s="351"/>
      <c r="GI268"/>
      <c r="GJ268"/>
      <c r="GK268"/>
      <c r="GL268"/>
      <c r="GM268"/>
      <c r="GN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</row>
    <row r="269" spans="1:281" s="127" customFormat="1" ht="9.75" customHeight="1" x14ac:dyDescent="0.2">
      <c r="B269" s="359"/>
      <c r="CY269" s="18"/>
      <c r="DA269" s="391"/>
      <c r="DB269" s="391"/>
      <c r="DC269" s="391"/>
      <c r="DD269" s="391"/>
      <c r="DE269" s="391"/>
      <c r="DF269" s="391"/>
      <c r="DG269" s="391"/>
      <c r="DH269" s="391"/>
      <c r="DI269" s="391"/>
      <c r="DJ269" s="391"/>
      <c r="DK269" s="1163">
        <f>DK191/DE191-1</f>
        <v>1.0841176760459259E-2</v>
      </c>
      <c r="DL269" s="1189"/>
      <c r="DM269" s="1189"/>
      <c r="DN269" s="1189"/>
      <c r="DQ269" s="1163">
        <f>DQ191/DK191-1</f>
        <v>-6.4836932676839432E-3</v>
      </c>
      <c r="DW269" s="1163">
        <f>DW191/DQ191-1</f>
        <v>-4.9313052011776271E-2</v>
      </c>
      <c r="FS269" s="382"/>
      <c r="FT269" s="382"/>
      <c r="FU269" s="382"/>
      <c r="FV269" s="382"/>
      <c r="FW269" s="382"/>
      <c r="FX269" s="382"/>
      <c r="FY269" s="698"/>
      <c r="FZ269" s="698"/>
      <c r="GA269" s="698"/>
      <c r="GB269" s="698"/>
      <c r="GC269" s="698"/>
      <c r="GD269" s="698"/>
      <c r="GE269" s="698"/>
      <c r="GF269" s="698"/>
      <c r="GI269"/>
      <c r="GJ269"/>
      <c r="GK269"/>
      <c r="GL269"/>
      <c r="GM269"/>
      <c r="GN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</row>
    <row r="270" spans="1:281" s="127" customFormat="1" ht="9.75" customHeight="1" x14ac:dyDescent="0.2">
      <c r="B270" s="359"/>
      <c r="CF270" s="879">
        <f>(CF169-CE169)/(CF91-CE91)</f>
        <v>0.58281049479538027</v>
      </c>
      <c r="CI270" s="879">
        <f>(CI169-CF169)/(CI91-CF91)</f>
        <v>0.69188871473354263</v>
      </c>
      <c r="CL270" s="879">
        <f>(CL169-CK169)/(CL91-CK91)</f>
        <v>0.66875871687587174</v>
      </c>
      <c r="CO270" s="879">
        <f>(CO169-CL169)/(CO91-CL91)</f>
        <v>0.8</v>
      </c>
      <c r="CR270" s="879">
        <f>(CR169-CQ169)/(CR91-CQ91)</f>
        <v>0.69371727748691103</v>
      </c>
      <c r="CU270" s="879">
        <f>(CU169-CR169)/(CU91-CR91)</f>
        <v>0.73695535233996767</v>
      </c>
      <c r="CX270" s="879">
        <f>(CX169-CW169)/(CX91-CW91)</f>
        <v>0.69571532316630358</v>
      </c>
      <c r="CY270" s="18"/>
      <c r="DA270" s="879">
        <f>(DA169-CX169)/(DA91-CX91)</f>
        <v>0.65731573157315737</v>
      </c>
      <c r="DB270" s="391"/>
      <c r="DC270" s="391"/>
      <c r="DD270" s="879">
        <f>(DD169-DC169)/(DD91-DC91)</f>
        <v>0.48339448380566802</v>
      </c>
      <c r="DE270" s="391"/>
      <c r="DF270" s="391"/>
      <c r="DG270" s="879">
        <f>(DG169-DD169)/(DG91-DD91)</f>
        <v>0.7184043073910914</v>
      </c>
      <c r="DH270" s="391"/>
      <c r="DI270" s="391"/>
      <c r="DJ270" s="879">
        <f>(DJ169-DI169)/(DJ91-DI91)</f>
        <v>0.67333666833416705</v>
      </c>
      <c r="DK270" s="1188"/>
      <c r="DL270" s="1189"/>
      <c r="DM270" s="879">
        <f>(DM169-DJ169)/(DM91-DJ91)</f>
        <v>0.69435215946843853</v>
      </c>
      <c r="DN270" s="879">
        <f>(DN169-DM169)/(DN91-DM91)</f>
        <v>0.87893462469733652</v>
      </c>
      <c r="DO270" s="879">
        <f>(DO169-DN169)/(DO91-DN91)</f>
        <v>1.0994671742410256</v>
      </c>
      <c r="DP270" s="879">
        <f>(DP169-DO169)/(DP91-DO91)</f>
        <v>0.69223768891163118</v>
      </c>
      <c r="DS270" s="879">
        <f>(DS169-DP169)/(DS91-DP91)</f>
        <v>0.70158615712904293</v>
      </c>
      <c r="DT270" s="879">
        <f>(DT169-DS169)/(DT91-DS91)</f>
        <v>0.75553097345132747</v>
      </c>
      <c r="DU270" s="879">
        <f>(DU169-DT169)/(DU91-DT91)</f>
        <v>0.65734265734265729</v>
      </c>
      <c r="DV270" s="879">
        <f>(DV169-DU169)/(DV91-DU91)</f>
        <v>0.70065293822199903</v>
      </c>
      <c r="DY270" s="879">
        <f>(DY169-DV169)/(DY91-DV91)</f>
        <v>0.71007751937984498</v>
      </c>
      <c r="DZ270" s="879">
        <f>(DZ169-DY169)/(DZ91-DY91)</f>
        <v>0.55986696230598665</v>
      </c>
      <c r="EA270" s="879">
        <f>(EA169-DZ169)/(EA91-DZ91)</f>
        <v>3.75</v>
      </c>
      <c r="EB270" s="879">
        <f>(EB169-EA169)/(EB91-EA91)</f>
        <v>0.69119840875186478</v>
      </c>
      <c r="EL270" s="879"/>
      <c r="EM270" s="879"/>
      <c r="EN270" s="879"/>
      <c r="ER270" s="879"/>
      <c r="ET270" s="879"/>
      <c r="EX270" s="879"/>
      <c r="FS270" s="382"/>
      <c r="FT270" s="382"/>
      <c r="FU270" s="382"/>
      <c r="FV270" s="382"/>
      <c r="FW270" s="382"/>
      <c r="FX270" s="382"/>
      <c r="FY270" s="188"/>
      <c r="FZ270" s="188"/>
      <c r="GA270" s="188"/>
      <c r="GB270" s="188"/>
      <c r="GC270" s="188"/>
      <c r="GD270" s="188"/>
      <c r="GE270" s="188"/>
      <c r="GF270" s="188"/>
      <c r="GI270"/>
      <c r="GJ270"/>
      <c r="GK270"/>
      <c r="GL270"/>
      <c r="GM270"/>
      <c r="GN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</row>
    <row r="271" spans="1:281" s="127" customFormat="1" ht="9.75" customHeight="1" x14ac:dyDescent="0.2">
      <c r="B271" s="359"/>
      <c r="CY271" s="18"/>
      <c r="DA271" s="391"/>
      <c r="DB271" s="391"/>
      <c r="DC271" s="391"/>
      <c r="DD271" s="391"/>
      <c r="DE271" s="391"/>
      <c r="DF271" s="391"/>
      <c r="DG271" s="391"/>
      <c r="DH271" s="391"/>
      <c r="DI271" s="391"/>
      <c r="DJ271" s="391"/>
      <c r="DK271" s="1188"/>
      <c r="DL271" s="1189"/>
      <c r="DM271" s="1189"/>
      <c r="DN271" s="1189"/>
      <c r="FS271" s="382"/>
      <c r="FT271" s="382"/>
      <c r="FU271" s="382"/>
      <c r="FV271" s="382"/>
      <c r="FW271" s="382"/>
      <c r="FX271" s="382"/>
      <c r="FY271" s="382"/>
      <c r="FZ271" s="382"/>
      <c r="GA271" s="382"/>
      <c r="GB271" s="382"/>
      <c r="GC271" s="382"/>
      <c r="GD271" s="382"/>
      <c r="GE271" s="382"/>
      <c r="GF271" s="382"/>
      <c r="GI271"/>
      <c r="GJ271"/>
      <c r="GK271"/>
      <c r="GL271"/>
      <c r="GM271"/>
      <c r="GN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</row>
    <row r="272" spans="1:281" s="66" customFormat="1" ht="17.25" customHeight="1" x14ac:dyDescent="0.2">
      <c r="A272" s="392" t="s">
        <v>287</v>
      </c>
      <c r="B272" s="972"/>
      <c r="DC272" s="626"/>
      <c r="DE272" s="973"/>
      <c r="DG272" s="626"/>
      <c r="DI272" s="973"/>
      <c r="DK272" s="1190"/>
      <c r="DL272" s="1190"/>
      <c r="DM272" s="1191"/>
      <c r="DN272" s="1202"/>
      <c r="DO272" s="973"/>
      <c r="DS272" s="626"/>
      <c r="DU272" s="973"/>
      <c r="DY272" s="626"/>
      <c r="EA272" s="973"/>
      <c r="EE272" s="626"/>
      <c r="EG272" s="973"/>
      <c r="EK272" s="626"/>
      <c r="EM272" s="973"/>
      <c r="EQ272" s="626"/>
      <c r="ES272" s="973"/>
      <c r="EW272" s="626"/>
      <c r="EY272" s="973"/>
      <c r="FC272" s="626"/>
      <c r="FE272" s="973"/>
      <c r="FI272" s="626"/>
      <c r="FK272" s="973"/>
      <c r="FS272" s="974"/>
      <c r="FT272" s="974"/>
      <c r="FU272" s="974"/>
      <c r="FV272" s="974"/>
      <c r="FW272" s="974"/>
      <c r="FX272" s="974"/>
      <c r="FY272" s="974"/>
      <c r="FZ272" s="974"/>
      <c r="GA272" s="974"/>
      <c r="GB272" s="974"/>
      <c r="GC272" s="974"/>
      <c r="GD272" s="974"/>
      <c r="GE272" s="974"/>
      <c r="GF272" s="974"/>
      <c r="GI272"/>
      <c r="GJ272"/>
      <c r="GK272"/>
      <c r="GL272"/>
      <c r="GM272"/>
      <c r="GN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</row>
    <row r="273" spans="1:281" s="66" customFormat="1" ht="20.100000000000001" customHeight="1" x14ac:dyDescent="0.2">
      <c r="A273" s="392" t="s">
        <v>81</v>
      </c>
      <c r="B273" s="972"/>
      <c r="DK273" s="1190"/>
      <c r="DL273" s="1190"/>
      <c r="DM273" s="1190"/>
      <c r="DN273" s="1190"/>
      <c r="GI273"/>
      <c r="GJ273"/>
      <c r="GK273"/>
      <c r="GL273"/>
      <c r="GM273"/>
      <c r="GN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</row>
    <row r="274" spans="1:281" s="31" customFormat="1" ht="11.25" customHeight="1" x14ac:dyDescent="0.2">
      <c r="A274" s="54"/>
      <c r="B274" s="1144"/>
      <c r="C274" s="682"/>
      <c r="D274" s="682"/>
      <c r="E274" s="682"/>
      <c r="F274" s="682"/>
      <c r="G274" s="682"/>
      <c r="H274" s="682"/>
      <c r="I274" s="682"/>
      <c r="J274" s="682"/>
      <c r="K274" s="682"/>
      <c r="L274" s="682"/>
      <c r="M274" s="682"/>
      <c r="N274" s="1145"/>
      <c r="O274" s="682" t="str">
        <f>O6</f>
        <v>F1995</v>
      </c>
      <c r="P274" s="682"/>
      <c r="Q274" s="682"/>
      <c r="R274" s="682"/>
      <c r="S274" s="682"/>
      <c r="T274" s="1145"/>
      <c r="U274" s="682" t="str">
        <f>U6</f>
        <v>F1996</v>
      </c>
      <c r="V274" s="682"/>
      <c r="W274" s="682"/>
      <c r="X274" s="682"/>
      <c r="Y274" s="682"/>
      <c r="Z274" s="1145"/>
      <c r="AA274" s="682" t="str">
        <f>AA6</f>
        <v>F1997</v>
      </c>
      <c r="AB274" s="682"/>
      <c r="AC274" s="682"/>
      <c r="AD274" s="682"/>
      <c r="AE274" s="682"/>
      <c r="AF274" s="1145"/>
      <c r="AG274" s="682" t="str">
        <f>AG6</f>
        <v>F1998</v>
      </c>
      <c r="AH274" s="682"/>
      <c r="AI274" s="682"/>
      <c r="AJ274" s="682"/>
      <c r="AK274" s="682"/>
      <c r="AL274" s="1145"/>
      <c r="AM274" s="682" t="str">
        <f>AM6</f>
        <v>F1999</v>
      </c>
      <c r="AN274" s="682"/>
      <c r="AO274" s="682"/>
      <c r="AP274" s="682"/>
      <c r="AQ274" s="682"/>
      <c r="AR274" s="1145"/>
      <c r="AS274" s="682" t="str">
        <f>AS6</f>
        <v>F2000</v>
      </c>
      <c r="AT274" s="682"/>
      <c r="AU274" s="682"/>
      <c r="AV274" s="682"/>
      <c r="AW274" s="682"/>
      <c r="AX274" s="1145"/>
      <c r="AY274" s="682" t="str">
        <f>AY6</f>
        <v>F2001</v>
      </c>
      <c r="AZ274" s="682"/>
      <c r="BA274" s="682"/>
      <c r="BB274" s="682"/>
      <c r="BC274" s="682"/>
      <c r="BD274" s="1145"/>
      <c r="BE274" s="682" t="str">
        <f>BE6</f>
        <v>F2002</v>
      </c>
      <c r="BF274" s="682"/>
      <c r="BG274" s="682"/>
      <c r="BH274" s="682"/>
      <c r="BI274" s="682"/>
      <c r="BJ274" s="1145"/>
      <c r="BK274" s="682" t="str">
        <f>BK6</f>
        <v>F2003</v>
      </c>
      <c r="BL274" s="682"/>
      <c r="BM274" s="682"/>
      <c r="BN274" s="682"/>
      <c r="BO274" s="682"/>
      <c r="BP274" s="1145"/>
      <c r="BQ274" s="682" t="str">
        <f>BQ6</f>
        <v>F2004</v>
      </c>
      <c r="BR274" s="682"/>
      <c r="BS274" s="682"/>
      <c r="BT274" s="682"/>
      <c r="BU274" s="682"/>
      <c r="BV274" s="1145"/>
      <c r="BW274" s="682" t="str">
        <f>BW6</f>
        <v>F2005</v>
      </c>
      <c r="BX274" s="682"/>
      <c r="BY274" s="682"/>
      <c r="BZ274" s="682"/>
      <c r="CA274" s="682"/>
      <c r="CB274" s="1145"/>
      <c r="CC274" s="682" t="str">
        <f>CC6</f>
        <v>F2006</v>
      </c>
      <c r="CD274" s="682"/>
      <c r="CE274" s="682"/>
      <c r="CF274" s="682"/>
      <c r="CG274" s="682"/>
      <c r="CH274" s="1145"/>
      <c r="CI274" s="682" t="str">
        <f>CI6</f>
        <v>F2007</v>
      </c>
      <c r="CJ274" s="682"/>
      <c r="CK274" s="682"/>
      <c r="CL274" s="682"/>
      <c r="CM274" s="682"/>
      <c r="CN274" s="1145"/>
      <c r="CO274" s="682" t="str">
        <f>CO6</f>
        <v>F2008</v>
      </c>
      <c r="CP274" s="682"/>
      <c r="CQ274" s="682"/>
      <c r="CR274" s="682"/>
      <c r="CS274" s="682"/>
      <c r="CT274" s="1145"/>
      <c r="CU274" s="682" t="str">
        <f>CU6</f>
        <v>F2009</v>
      </c>
      <c r="CV274" s="682"/>
      <c r="CW274" s="682"/>
      <c r="CX274" s="682"/>
      <c r="CY274" s="682"/>
      <c r="CZ274" s="1145"/>
      <c r="DA274" s="682" t="str">
        <f>DA6</f>
        <v>F2010</v>
      </c>
      <c r="DB274" s="682"/>
      <c r="DC274" s="682"/>
      <c r="DD274" s="682"/>
      <c r="DE274" s="1146"/>
      <c r="DF274" s="1145"/>
      <c r="DG274" s="682" t="str">
        <f>DG6</f>
        <v>F2011</v>
      </c>
      <c r="DH274" s="682"/>
      <c r="DI274" s="682"/>
      <c r="DJ274" s="682"/>
      <c r="DK274" s="1146"/>
      <c r="DL274" s="1145"/>
      <c r="DM274" s="682" t="str">
        <f>DM6</f>
        <v>F2012</v>
      </c>
      <c r="DN274" s="682"/>
      <c r="DO274" s="682"/>
      <c r="DP274" s="682"/>
      <c r="DQ274" s="1146"/>
      <c r="DR274" s="1145"/>
      <c r="DS274" s="682" t="str">
        <f>DS6</f>
        <v>F2013</v>
      </c>
      <c r="DT274" s="682"/>
      <c r="DU274" s="682"/>
      <c r="DV274" s="682"/>
      <c r="DW274" s="682"/>
      <c r="DX274" s="1145"/>
      <c r="DY274" s="682" t="str">
        <f>DY6</f>
        <v>F2014</v>
      </c>
      <c r="DZ274" s="682"/>
      <c r="EA274" s="682"/>
      <c r="EB274" s="682"/>
      <c r="EC274" s="682"/>
      <c r="ED274" s="1145"/>
      <c r="EE274" s="682" t="str">
        <f>EE6</f>
        <v>F2015</v>
      </c>
      <c r="EF274" s="682"/>
      <c r="EG274" s="682"/>
      <c r="EH274" s="682"/>
      <c r="EI274" s="682"/>
      <c r="EJ274" s="1145"/>
      <c r="EK274" s="682" t="str">
        <f>EK6</f>
        <v>F2016</v>
      </c>
      <c r="EL274" s="682"/>
      <c r="EM274" s="682"/>
      <c r="EN274" s="682"/>
      <c r="EO274" s="682"/>
      <c r="EP274" s="1145"/>
      <c r="EQ274" s="682" t="str">
        <f>EQ6</f>
        <v>F2017</v>
      </c>
      <c r="ER274" s="682"/>
      <c r="ES274" s="682"/>
      <c r="ET274" s="682"/>
      <c r="EU274" s="682"/>
      <c r="EV274" s="1145"/>
      <c r="EW274" s="682" t="str">
        <f>EW6</f>
        <v>F2018E</v>
      </c>
      <c r="EX274" s="682"/>
      <c r="EY274" s="682"/>
      <c r="EZ274" s="682"/>
      <c r="FA274" s="682"/>
      <c r="FB274" s="1145"/>
      <c r="FC274" s="682" t="str">
        <f>FC6</f>
        <v>F2019E</v>
      </c>
      <c r="FD274" s="682"/>
      <c r="FE274" s="682"/>
      <c r="FF274" s="682"/>
      <c r="FG274" s="682"/>
      <c r="FH274" s="1145"/>
      <c r="FI274" s="682" t="str">
        <f>FI6</f>
        <v>F2020E</v>
      </c>
      <c r="FJ274" s="682"/>
      <c r="FK274" s="682"/>
      <c r="FL274" s="682"/>
      <c r="FM274" s="682"/>
      <c r="GI274"/>
      <c r="GJ274"/>
      <c r="GK274"/>
      <c r="GL274"/>
      <c r="GM274"/>
      <c r="GN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</row>
    <row r="275" spans="1:281" s="17" customFormat="1" x14ac:dyDescent="0.2">
      <c r="A275" s="1141"/>
      <c r="B275" s="1142"/>
      <c r="C275" s="216" t="str">
        <f t="shared" ref="C275:M275" si="170">C7</f>
        <v>FY84</v>
      </c>
      <c r="D275" s="216" t="str">
        <f t="shared" si="170"/>
        <v>FY85</v>
      </c>
      <c r="E275" s="216" t="str">
        <f t="shared" si="170"/>
        <v>FY86</v>
      </c>
      <c r="F275" s="216" t="str">
        <f t="shared" si="170"/>
        <v>FY87</v>
      </c>
      <c r="G275" s="216" t="str">
        <f t="shared" si="170"/>
        <v>FY88</v>
      </c>
      <c r="H275" s="216" t="str">
        <f t="shared" si="170"/>
        <v>FY89</v>
      </c>
      <c r="I275" s="216" t="str">
        <f t="shared" si="170"/>
        <v>FY90</v>
      </c>
      <c r="J275" s="216" t="str">
        <f t="shared" si="170"/>
        <v>FY91</v>
      </c>
      <c r="K275" s="216" t="str">
        <f t="shared" si="170"/>
        <v>FY92</v>
      </c>
      <c r="L275" s="216" t="str">
        <f t="shared" si="170"/>
        <v>FY93</v>
      </c>
      <c r="M275" s="216" t="str">
        <f t="shared" si="170"/>
        <v>FY94</v>
      </c>
      <c r="N275" s="216"/>
      <c r="O275" s="216" t="str">
        <f>O7</f>
        <v xml:space="preserve"> 8/94</v>
      </c>
      <c r="P275" s="216" t="str">
        <f>P7</f>
        <v xml:space="preserve"> 11/94</v>
      </c>
      <c r="Q275" s="216" t="str">
        <f>Q7</f>
        <v xml:space="preserve"> 2/95</v>
      </c>
      <c r="R275" s="216" t="str">
        <f>R7</f>
        <v>5/95</v>
      </c>
      <c r="S275" s="216" t="str">
        <f>S7</f>
        <v>FY95</v>
      </c>
      <c r="T275" s="216"/>
      <c r="U275" s="216" t="str">
        <f>U7</f>
        <v xml:space="preserve"> 8/95</v>
      </c>
      <c r="V275" s="216" t="str">
        <f>V7</f>
        <v xml:space="preserve"> 11/95</v>
      </c>
      <c r="W275" s="216" t="str">
        <f>W7</f>
        <v xml:space="preserve"> 2/96</v>
      </c>
      <c r="X275" s="216" t="str">
        <f>X7</f>
        <v>5/96</v>
      </c>
      <c r="Y275" s="216" t="str">
        <f>Y7</f>
        <v>FY96</v>
      </c>
      <c r="Z275" s="216"/>
      <c r="AA275" s="216" t="str">
        <f>AA7</f>
        <v xml:space="preserve"> 8/96</v>
      </c>
      <c r="AB275" s="216" t="str">
        <f>AB7</f>
        <v xml:space="preserve"> 11/96</v>
      </c>
      <c r="AC275" s="216" t="str">
        <f>AC7</f>
        <v xml:space="preserve"> 2/97</v>
      </c>
      <c r="AD275" s="216" t="str">
        <f>AD7</f>
        <v>5/97</v>
      </c>
      <c r="AE275" s="216" t="str">
        <f>AE7</f>
        <v>FY97</v>
      </c>
      <c r="AF275" s="216"/>
      <c r="AG275" s="216" t="str">
        <f>AG7</f>
        <v xml:space="preserve"> 8/97</v>
      </c>
      <c r="AH275" s="216" t="str">
        <f>AH7</f>
        <v xml:space="preserve"> 11/97</v>
      </c>
      <c r="AI275" s="216" t="str">
        <f>AI7</f>
        <v xml:space="preserve"> 2/98</v>
      </c>
      <c r="AJ275" s="216" t="str">
        <f>AJ7</f>
        <v>5/98</v>
      </c>
      <c r="AK275" s="216" t="str">
        <f>AK7</f>
        <v>FY98</v>
      </c>
      <c r="AL275" s="216"/>
      <c r="AM275" s="216" t="str">
        <f>AM7</f>
        <v xml:space="preserve"> 8/98</v>
      </c>
      <c r="AN275" s="216" t="str">
        <f>AN7</f>
        <v xml:space="preserve"> 11/98</v>
      </c>
      <c r="AO275" s="216" t="str">
        <f>AO7</f>
        <v xml:space="preserve"> 2/99</v>
      </c>
      <c r="AP275" s="216" t="str">
        <f>AP7</f>
        <v>5/99</v>
      </c>
      <c r="AQ275" s="216" t="str">
        <f>AQ7</f>
        <v>FY99</v>
      </c>
      <c r="AR275" s="216"/>
      <c r="AS275" s="216" t="str">
        <f>AS7</f>
        <v xml:space="preserve"> 8/99</v>
      </c>
      <c r="AT275" s="216" t="str">
        <f>AT7</f>
        <v xml:space="preserve"> 11/99</v>
      </c>
      <c r="AU275" s="216" t="str">
        <f>AU7</f>
        <v xml:space="preserve"> 2/00</v>
      </c>
      <c r="AV275" s="216" t="str">
        <f>AV7</f>
        <v>5/00</v>
      </c>
      <c r="AW275" s="216" t="str">
        <f>AW7</f>
        <v>FY00</v>
      </c>
      <c r="AX275" s="216"/>
      <c r="AY275" s="216" t="str">
        <f>AY7</f>
        <v xml:space="preserve"> 8/00</v>
      </c>
      <c r="AZ275" s="216" t="str">
        <f>AZ7</f>
        <v xml:space="preserve"> 11/00</v>
      </c>
      <c r="BA275" s="216" t="str">
        <f>BA7</f>
        <v xml:space="preserve"> 2/01</v>
      </c>
      <c r="BB275" s="216" t="str">
        <f>BB7</f>
        <v>5/01</v>
      </c>
      <c r="BC275" s="216" t="str">
        <f>BC7</f>
        <v>FY01</v>
      </c>
      <c r="BD275" s="216"/>
      <c r="BE275" s="216" t="str">
        <f>BE7</f>
        <v xml:space="preserve"> 8/01</v>
      </c>
      <c r="BF275" s="216" t="str">
        <f>BF7</f>
        <v xml:space="preserve"> 11/01</v>
      </c>
      <c r="BG275" s="216" t="str">
        <f>BG7</f>
        <v xml:space="preserve"> 2/02</v>
      </c>
      <c r="BH275" s="216" t="str">
        <f>BH7</f>
        <v>5/02</v>
      </c>
      <c r="BI275" s="216" t="str">
        <f>BI7</f>
        <v>FY02</v>
      </c>
      <c r="BJ275" s="216"/>
      <c r="BK275" s="216" t="str">
        <f>BK7</f>
        <v xml:space="preserve"> 8/02</v>
      </c>
      <c r="BL275" s="216" t="str">
        <f>BL7</f>
        <v xml:space="preserve"> 11/02</v>
      </c>
      <c r="BM275" s="216" t="str">
        <f>BM7</f>
        <v xml:space="preserve"> 2/03</v>
      </c>
      <c r="BN275" s="216" t="str">
        <f>BN7</f>
        <v>5/03</v>
      </c>
      <c r="BO275" s="216" t="str">
        <f>BO7</f>
        <v>FY03</v>
      </c>
      <c r="BP275" s="216"/>
      <c r="BQ275" s="216" t="str">
        <f>BQ7</f>
        <v xml:space="preserve"> 8/03</v>
      </c>
      <c r="BR275" s="216" t="str">
        <f>BR7</f>
        <v xml:space="preserve"> 11/03</v>
      </c>
      <c r="BS275" s="216" t="str">
        <f>BS7</f>
        <v xml:space="preserve"> 2/04</v>
      </c>
      <c r="BT275" s="216" t="str">
        <f>BT7</f>
        <v>5/04</v>
      </c>
      <c r="BU275" s="216" t="str">
        <f>BU7</f>
        <v>FY04</v>
      </c>
      <c r="BV275" s="216"/>
      <c r="BW275" s="216" t="str">
        <f>BW7</f>
        <v xml:space="preserve"> 8/04</v>
      </c>
      <c r="BX275" s="216" t="str">
        <f>BX7</f>
        <v xml:space="preserve"> 11/04</v>
      </c>
      <c r="BY275" s="216" t="str">
        <f>BY7</f>
        <v xml:space="preserve"> 2/05</v>
      </c>
      <c r="BZ275" s="216" t="str">
        <f>BZ7</f>
        <v>5/05</v>
      </c>
      <c r="CA275" s="216" t="str">
        <f>CA7</f>
        <v>FY05</v>
      </c>
      <c r="CB275" s="216"/>
      <c r="CC275" s="216" t="str">
        <f>CC7</f>
        <v xml:space="preserve"> 8/05</v>
      </c>
      <c r="CD275" s="216" t="str">
        <f>CD7</f>
        <v xml:space="preserve"> 11/05</v>
      </c>
      <c r="CE275" s="216" t="str">
        <f>CE7</f>
        <v xml:space="preserve"> 2/06</v>
      </c>
      <c r="CF275" s="216" t="str">
        <f>CF7</f>
        <v>5/06</v>
      </c>
      <c r="CG275" s="1143" t="str">
        <f>CG7</f>
        <v>FY06</v>
      </c>
      <c r="CH275" s="216"/>
      <c r="CI275" s="216" t="str">
        <f>CI7</f>
        <v xml:space="preserve"> 8/06</v>
      </c>
      <c r="CJ275" s="216" t="str">
        <f>CJ7</f>
        <v xml:space="preserve"> 11/06</v>
      </c>
      <c r="CK275" s="216" t="str">
        <f>CK7</f>
        <v xml:space="preserve"> 2/07</v>
      </c>
      <c r="CL275" s="216" t="str">
        <f>CL7</f>
        <v>5/07</v>
      </c>
      <c r="CM275" s="1143" t="str">
        <f>CM7</f>
        <v>FY07</v>
      </c>
      <c r="CN275" s="216"/>
      <c r="CO275" s="216" t="str">
        <f>CO7</f>
        <v xml:space="preserve"> 8/07</v>
      </c>
      <c r="CP275" s="216" t="str">
        <f>CP7</f>
        <v xml:space="preserve"> 11/07</v>
      </c>
      <c r="CQ275" s="216" t="str">
        <f>CQ7</f>
        <v xml:space="preserve"> 2/08</v>
      </c>
      <c r="CR275" s="216" t="str">
        <f>CR7</f>
        <v>5/08</v>
      </c>
      <c r="CS275" s="1143" t="str">
        <f>CS7</f>
        <v>FY08</v>
      </c>
      <c r="CT275" s="216"/>
      <c r="CU275" s="216" t="str">
        <f>CU7</f>
        <v xml:space="preserve"> 8/08</v>
      </c>
      <c r="CV275" s="216" t="str">
        <f>CV7</f>
        <v xml:space="preserve"> 11/08</v>
      </c>
      <c r="CW275" s="216" t="str">
        <f>CW7</f>
        <v xml:space="preserve"> 2/09</v>
      </c>
      <c r="CX275" s="216" t="str">
        <f>CX7</f>
        <v>5/09</v>
      </c>
      <c r="CY275" s="1143" t="str">
        <f>CY7</f>
        <v>FY09</v>
      </c>
      <c r="CZ275" s="216"/>
      <c r="DA275" s="216" t="str">
        <f>DA7</f>
        <v>8/09</v>
      </c>
      <c r="DB275" s="216" t="str">
        <f>DB7</f>
        <v>11/09</v>
      </c>
      <c r="DC275" s="216" t="str">
        <f>DC7</f>
        <v>2/10</v>
      </c>
      <c r="DD275" s="216" t="str">
        <f>DD7</f>
        <v>5/10</v>
      </c>
      <c r="DE275" s="1143" t="str">
        <f>DE7</f>
        <v>FY10</v>
      </c>
      <c r="DF275" s="216"/>
      <c r="DG275" s="216" t="str">
        <f>DG7</f>
        <v>8/10</v>
      </c>
      <c r="DH275" s="216" t="str">
        <f>DH7</f>
        <v>11/10</v>
      </c>
      <c r="DI275" s="216" t="str">
        <f>DI7</f>
        <v>2/11</v>
      </c>
      <c r="DJ275" s="216" t="str">
        <f>DJ7</f>
        <v>5/11</v>
      </c>
      <c r="DK275" s="1143" t="str">
        <f>DK7</f>
        <v>FY11</v>
      </c>
      <c r="DL275" s="216"/>
      <c r="DM275" s="216" t="str">
        <f>DM7</f>
        <v>8/11</v>
      </c>
      <c r="DN275" s="216" t="str">
        <f>DN7</f>
        <v>11/11</v>
      </c>
      <c r="DO275" s="216" t="str">
        <f>DO7</f>
        <v xml:space="preserve"> 2/12</v>
      </c>
      <c r="DP275" s="216" t="str">
        <f>DP7</f>
        <v>5/12</v>
      </c>
      <c r="DQ275" s="1143" t="str">
        <f>DQ7</f>
        <v>FY12</v>
      </c>
      <c r="DR275" s="216"/>
      <c r="DS275" s="216" t="str">
        <f>DS7</f>
        <v>8/12</v>
      </c>
      <c r="DT275" s="216" t="str">
        <f>DT7</f>
        <v>11/12</v>
      </c>
      <c r="DU275" s="216" t="str">
        <f>DU7</f>
        <v xml:space="preserve"> 2/13</v>
      </c>
      <c r="DV275" s="216" t="str">
        <f>DV7</f>
        <v>5/13</v>
      </c>
      <c r="DW275" s="1143" t="str">
        <f>DW7</f>
        <v>FY13</v>
      </c>
      <c r="DX275" s="216"/>
      <c r="DY275" s="216" t="str">
        <f>DY7</f>
        <v>8/13</v>
      </c>
      <c r="DZ275" s="216" t="str">
        <f>DZ7</f>
        <v>11/13</v>
      </c>
      <c r="EA275" s="216" t="str">
        <f>EA7</f>
        <v>2/14</v>
      </c>
      <c r="EB275" s="216" t="str">
        <f>EB7</f>
        <v>5/14</v>
      </c>
      <c r="EC275" s="1143" t="str">
        <f>EC7</f>
        <v>FY14</v>
      </c>
      <c r="ED275" s="216"/>
      <c r="EE275" s="216" t="str">
        <f>EE7</f>
        <v>8/14</v>
      </c>
      <c r="EF275" s="216" t="str">
        <f>EF7</f>
        <v>11/14</v>
      </c>
      <c r="EG275" s="216" t="str">
        <f>EG7</f>
        <v>2/15</v>
      </c>
      <c r="EH275" s="216" t="str">
        <f>EH7</f>
        <v>5/15</v>
      </c>
      <c r="EI275" s="1143" t="str">
        <f>EI7</f>
        <v>FY15</v>
      </c>
      <c r="EJ275" s="216"/>
      <c r="EK275" s="216" t="str">
        <f>EK7</f>
        <v xml:space="preserve"> 8/15</v>
      </c>
      <c r="EL275" s="216" t="str">
        <f>EL7</f>
        <v xml:space="preserve"> 11/15</v>
      </c>
      <c r="EM275" s="216" t="str">
        <f>EM7</f>
        <v>2/16</v>
      </c>
      <c r="EN275" s="216" t="str">
        <f>EN7</f>
        <v>5/16</v>
      </c>
      <c r="EO275" s="1143" t="str">
        <f>EO7</f>
        <v>FY16</v>
      </c>
      <c r="EP275" s="216"/>
      <c r="EQ275" s="216" t="str">
        <f>EQ7</f>
        <v xml:space="preserve"> 8/16</v>
      </c>
      <c r="ER275" s="216" t="str">
        <f>ER7</f>
        <v xml:space="preserve"> 11/16</v>
      </c>
      <c r="ES275" s="216" t="str">
        <f>ES7</f>
        <v xml:space="preserve"> 2/17</v>
      </c>
      <c r="ET275" s="216" t="str">
        <f>ET7</f>
        <v>5/17</v>
      </c>
      <c r="EU275" s="1143" t="str">
        <f>EU7</f>
        <v>FY17</v>
      </c>
      <c r="EV275" s="216"/>
      <c r="EW275" s="216" t="str">
        <f>EW7</f>
        <v xml:space="preserve"> 8/17</v>
      </c>
      <c r="EX275" s="216" t="str">
        <f>EX7</f>
        <v xml:space="preserve"> 11/17</v>
      </c>
      <c r="EY275" s="216" t="str">
        <f>EY7</f>
        <v xml:space="preserve"> 2/18</v>
      </c>
      <c r="EZ275" s="216" t="str">
        <f>EZ7</f>
        <v>5/18E</v>
      </c>
      <c r="FA275" s="1143" t="str">
        <f>FA7</f>
        <v>FY18E</v>
      </c>
      <c r="FB275" s="216"/>
      <c r="FC275" s="216" t="str">
        <f>FC7</f>
        <v xml:space="preserve"> 8/18E</v>
      </c>
      <c r="FD275" s="216" t="str">
        <f>FD7</f>
        <v xml:space="preserve"> 11/18E</v>
      </c>
      <c r="FE275" s="216" t="str">
        <f>FE7</f>
        <v xml:space="preserve"> 2/19E</v>
      </c>
      <c r="FF275" s="216" t="str">
        <f>FF7</f>
        <v>5/19E</v>
      </c>
      <c r="FG275" s="1143" t="str">
        <f>FG7</f>
        <v>FY19E</v>
      </c>
      <c r="FH275" s="216"/>
      <c r="FI275" s="216" t="str">
        <f>FI7</f>
        <v xml:space="preserve"> 8/19E</v>
      </c>
      <c r="FJ275" s="216" t="str">
        <f>FJ7</f>
        <v xml:space="preserve"> 11/19E</v>
      </c>
      <c r="FK275" s="216" t="str">
        <f>FK7</f>
        <v xml:space="preserve"> 2/20E</v>
      </c>
      <c r="FL275" s="216" t="str">
        <f>FL7</f>
        <v>5/20E</v>
      </c>
      <c r="FM275" s="1143" t="str">
        <f>FM7</f>
        <v>FY20E</v>
      </c>
      <c r="GI275"/>
      <c r="GJ275"/>
      <c r="GK275"/>
      <c r="GL275"/>
      <c r="GM275"/>
      <c r="GN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</row>
    <row r="276" spans="1:281" s="28" customFormat="1" ht="3" customHeight="1" x14ac:dyDescent="0.2">
      <c r="A276" s="18"/>
      <c r="B276" s="414"/>
      <c r="CG276" s="416"/>
      <c r="CM276" s="416"/>
      <c r="CS276" s="416"/>
      <c r="CY276" s="416"/>
      <c r="DE276" s="416"/>
      <c r="DK276" s="975"/>
      <c r="DQ276" s="975"/>
      <c r="DW276" s="975"/>
      <c r="EC276" s="975"/>
      <c r="EI276" s="975"/>
      <c r="EO276" s="975"/>
      <c r="EU276" s="975"/>
      <c r="FA276" s="975"/>
      <c r="FG276" s="975"/>
      <c r="FM276" s="975"/>
      <c r="GI276"/>
      <c r="GJ276"/>
      <c r="GK276"/>
      <c r="GL276"/>
      <c r="GM276"/>
      <c r="GN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</row>
    <row r="277" spans="1:281" s="1221" customFormat="1" x14ac:dyDescent="0.2">
      <c r="A277" s="1221" t="s">
        <v>82</v>
      </c>
      <c r="B277" s="1373"/>
      <c r="CG277" s="1374"/>
      <c r="CM277" s="1374"/>
      <c r="CS277" s="1374"/>
      <c r="CY277" s="1374"/>
      <c r="DE277" s="1374"/>
      <c r="DK277" s="1374"/>
      <c r="DQ277" s="1374"/>
      <c r="DW277" s="1374"/>
      <c r="EC277" s="1374"/>
      <c r="EI277" s="1374"/>
      <c r="EO277" s="1374"/>
      <c r="EU277" s="1374"/>
      <c r="FA277" s="1374"/>
      <c r="FG277" s="1374"/>
      <c r="FM277" s="1374"/>
      <c r="GI277"/>
      <c r="GJ277"/>
      <c r="GK277"/>
      <c r="GL277"/>
      <c r="GM277"/>
      <c r="GN277"/>
      <c r="GP277" s="1364"/>
      <c r="GQ277" s="1364"/>
      <c r="GR277" s="1364"/>
      <c r="GS277" s="1364"/>
      <c r="GT277" s="1364"/>
      <c r="GU277" s="1364"/>
      <c r="GV277" s="1364"/>
      <c r="GW277" s="1364"/>
      <c r="GX277" s="1364"/>
      <c r="GY277" s="1364"/>
      <c r="GZ277" s="1364"/>
      <c r="HA277" s="1364"/>
      <c r="HB277" s="1364"/>
      <c r="HC277" s="1364"/>
      <c r="HD277" s="1364"/>
      <c r="HE277" s="1364"/>
      <c r="HF277" s="1364"/>
      <c r="HG277" s="1364"/>
      <c r="HH277" s="1364"/>
      <c r="HI277" s="1364"/>
      <c r="HJ277" s="1364"/>
      <c r="HK277" s="1364"/>
      <c r="HL277" s="1364"/>
      <c r="HM277" s="1364"/>
      <c r="HN277" s="1364"/>
      <c r="HO277" s="1364"/>
      <c r="HP277" s="1364"/>
      <c r="HQ277" s="1364"/>
      <c r="HR277" s="1364"/>
      <c r="HS277" s="1364"/>
      <c r="HT277" s="1364"/>
      <c r="HU277" s="1364"/>
      <c r="HV277" s="1364"/>
      <c r="HW277" s="1364"/>
      <c r="HX277" s="1364"/>
      <c r="HY277" s="1364"/>
      <c r="HZ277" s="1364"/>
      <c r="IA277" s="1364"/>
      <c r="IB277" s="1364"/>
      <c r="IC277" s="1364"/>
      <c r="ID277" s="1364"/>
      <c r="IE277" s="1364"/>
      <c r="IF277" s="1364"/>
      <c r="IG277" s="1364"/>
      <c r="IH277" s="1364"/>
      <c r="II277" s="1364"/>
      <c r="IJ277" s="1364"/>
      <c r="IK277" s="1364"/>
      <c r="IL277" s="1364"/>
      <c r="IM277" s="1364"/>
      <c r="IN277" s="1364"/>
      <c r="IO277" s="1364"/>
      <c r="IP277" s="1364"/>
      <c r="IQ277" s="1364"/>
      <c r="IR277" s="1364"/>
      <c r="IS277" s="1364"/>
      <c r="IT277" s="1364"/>
      <c r="IU277" s="1364"/>
      <c r="IV277" s="1364"/>
      <c r="IW277" s="1364"/>
      <c r="IX277" s="1364"/>
      <c r="IY277" s="1364"/>
      <c r="IZ277" s="1364"/>
      <c r="JA277" s="1364"/>
      <c r="JB277" s="1364"/>
      <c r="JC277" s="1364"/>
      <c r="JD277" s="1364"/>
      <c r="JE277" s="1364"/>
      <c r="JF277" s="1364"/>
      <c r="JG277" s="1364"/>
      <c r="JH277" s="1364"/>
      <c r="JI277" s="1364"/>
      <c r="JJ277" s="1364"/>
      <c r="JK277" s="1364"/>
      <c r="JL277" s="1364"/>
      <c r="JM277" s="1364"/>
      <c r="JN277" s="1364"/>
      <c r="JO277" s="1364"/>
      <c r="JP277" s="1364"/>
      <c r="JQ277" s="1364"/>
      <c r="JR277" s="1364"/>
      <c r="JS277" s="1364"/>
      <c r="JT277" s="1364"/>
      <c r="JU277" s="1364"/>
    </row>
    <row r="278" spans="1:281" s="27" customFormat="1" x14ac:dyDescent="0.2">
      <c r="A278" s="353" t="s">
        <v>645</v>
      </c>
      <c r="B278" s="413"/>
      <c r="C278" s="94" t="s">
        <v>945</v>
      </c>
      <c r="D278" s="43">
        <f t="shared" ref="D278:M278" si="171">D14/C14-1</f>
        <v>0.82076287848997209</v>
      </c>
      <c r="E278" s="43">
        <f t="shared" si="171"/>
        <v>1.3906094769124446</v>
      </c>
      <c r="F278" s="43">
        <f t="shared" si="171"/>
        <v>1.3714698708103712</v>
      </c>
      <c r="G278" s="43">
        <f t="shared" si="171"/>
        <v>0.56523097318836713</v>
      </c>
      <c r="H278" s="43">
        <f t="shared" si="171"/>
        <v>1.0343661011998928</v>
      </c>
      <c r="I278" s="43">
        <f t="shared" si="171"/>
        <v>0.59013231880936989</v>
      </c>
      <c r="J278" s="43">
        <f t="shared" si="171"/>
        <v>-2.8709048338459442E-2</v>
      </c>
      <c r="K278" s="43">
        <f t="shared" si="171"/>
        <v>1.7839299131660713E-2</v>
      </c>
      <c r="L278" s="43">
        <f t="shared" si="171"/>
        <v>0.22678843226788437</v>
      </c>
      <c r="M278" s="43">
        <f t="shared" si="171"/>
        <v>0.36352357320099249</v>
      </c>
      <c r="N278" s="353"/>
      <c r="O278" s="94" t="s">
        <v>945</v>
      </c>
      <c r="P278" s="94" t="s">
        <v>945</v>
      </c>
      <c r="Q278" s="94" t="s">
        <v>945</v>
      </c>
      <c r="R278" s="94" t="s">
        <v>945</v>
      </c>
      <c r="S278" s="49">
        <f>S14/M14-1</f>
        <v>0.46132848043676078</v>
      </c>
      <c r="T278" s="353"/>
      <c r="U278" s="43">
        <f>U14/O14-1</f>
        <v>0.25</v>
      </c>
      <c r="V278" s="43">
        <f>V14/P14-1</f>
        <v>0.41425655976676379</v>
      </c>
      <c r="W278" s="43">
        <f>W14/Q14-1</f>
        <v>0.37333333333333329</v>
      </c>
      <c r="X278" s="43">
        <f>X14/R14-1</f>
        <v>0.45230263157894735</v>
      </c>
      <c r="Y278" s="43">
        <f>Y14/S14-1</f>
        <v>0.39046699875467006</v>
      </c>
      <c r="Z278" s="353"/>
      <c r="AA278" s="43">
        <f>AA14/U14-1</f>
        <v>0.26947714285714297</v>
      </c>
      <c r="AB278" s="43">
        <f>AB14/V14-1</f>
        <v>0.25017419447937495</v>
      </c>
      <c r="AC278" s="43">
        <f>AC14/W14-1</f>
        <v>0.28981941747572804</v>
      </c>
      <c r="AD278" s="43">
        <f>AD14/X14-1</f>
        <v>0.25416647791619496</v>
      </c>
      <c r="AE278" s="43">
        <f>AE14/Y14-1</f>
        <v>0.2639212929169894</v>
      </c>
      <c r="AF278" s="353"/>
      <c r="AG278" s="43">
        <f>AG14/AA14-1</f>
        <v>0.13742215580317652</v>
      </c>
      <c r="AH278" s="43">
        <f>AH14/AB14-1</f>
        <v>2.4274174000366022E-2</v>
      </c>
      <c r="AI278" s="43">
        <f>AI14/AC14-1</f>
        <v>0.1338879379517266</v>
      </c>
      <c r="AJ278" s="43">
        <f>AJ14/AD14-1</f>
        <v>9.2009510316236831E-2</v>
      </c>
      <c r="AK278" s="43">
        <f>AK14/AE14-1</f>
        <v>9.4460486456801496E-2</v>
      </c>
      <c r="AL278" s="353"/>
      <c r="AM278" s="43">
        <f>AM14/AG14-1</f>
        <v>0.1033626448426519</v>
      </c>
      <c r="AN278" s="43">
        <f>AN14/AH14-1</f>
        <v>0.19975111403034296</v>
      </c>
      <c r="AO278" s="43">
        <f>AO14/AI14-1</f>
        <v>6.8261388515294286E-2</v>
      </c>
      <c r="AP278" s="43">
        <f>AP14/AJ14-1</f>
        <v>0.2266375484465275</v>
      </c>
      <c r="AQ278" s="43">
        <f>AQ14/AK14-1</f>
        <v>0.16244682848504088</v>
      </c>
      <c r="AR278" s="353"/>
      <c r="AS278" s="43">
        <f>AS14/AM14-1</f>
        <v>8.0760312259577693E-2</v>
      </c>
      <c r="AT278" s="43">
        <f>AT14/AN14-1</f>
        <v>0.17702050461122276</v>
      </c>
      <c r="AU278" s="43">
        <f>AU14/AO14-1</f>
        <v>0.29654104426135985</v>
      </c>
      <c r="AV278" s="43">
        <f>AV14/AP14-1</f>
        <v>0.20803882429633003</v>
      </c>
      <c r="AW278" s="43">
        <f>AW14/AQ14-1</f>
        <v>0.20166739629526909</v>
      </c>
      <c r="AX278" s="353"/>
      <c r="AY278" s="43">
        <f>AY14/AS14-1</f>
        <v>0.27976457157269796</v>
      </c>
      <c r="AZ278" s="43">
        <f>AZ14/AT14-1</f>
        <v>0.24627125155756402</v>
      </c>
      <c r="BA278" s="43">
        <f>BA14/AU14-1</f>
        <v>5.5366821126412447E-2</v>
      </c>
      <c r="BB278" s="43">
        <f>BB14/AV14-1</f>
        <v>-9.683338113823281E-2</v>
      </c>
      <c r="BC278" s="43">
        <f>BC14/AW14-1</f>
        <v>6.2306417871119679E-2</v>
      </c>
      <c r="BD278" s="353"/>
      <c r="BE278" s="43">
        <f>BE14/AY14-1</f>
        <v>-7.7973925276663136E-2</v>
      </c>
      <c r="BF278" s="43">
        <f>BF14/AZ14-1</f>
        <v>-0.26509683102617732</v>
      </c>
      <c r="BG278" s="43">
        <f>BG14/BA14-1</f>
        <v>-0.29429818386597228</v>
      </c>
      <c r="BH278" s="43">
        <f>BH14/BB14-1</f>
        <v>-0.2894703672581681</v>
      </c>
      <c r="BI278" s="43">
        <f>BI14/BC14-1</f>
        <v>-0.24923258294332551</v>
      </c>
      <c r="BJ278" s="353"/>
      <c r="BK278" s="43">
        <f>BK14/BE14-1</f>
        <v>-0.20827778621531479</v>
      </c>
      <c r="BL278" s="43">
        <f>BL14/BF14-1</f>
        <v>-4.7786196260600433E-2</v>
      </c>
      <c r="BM278" s="43">
        <f>BM14/BG14-1</f>
        <v>-2.8255248386968024E-2</v>
      </c>
      <c r="BN278" s="43">
        <f>BN14/BH14-1</f>
        <v>3.2193659356961613E-2</v>
      </c>
      <c r="BO278" s="43">
        <f>BO14/BI14-1</f>
        <v>-4.9813594930014693E-2</v>
      </c>
      <c r="BP278" s="353"/>
      <c r="BQ278" s="43">
        <f>BQ14/BK14-1</f>
        <v>-6.7495559502664282E-2</v>
      </c>
      <c r="BR278" s="43">
        <f>BR14/BL14-1</f>
        <v>0.11764705882352944</v>
      </c>
      <c r="BS278" s="43">
        <f>BS14/BM14-1</f>
        <v>0.12185430463576163</v>
      </c>
      <c r="BT278" s="43">
        <f>BT14/BN14-1</f>
        <v>0.10699241786015157</v>
      </c>
      <c r="BU278" s="43">
        <f>BU14/BO14-1</f>
        <v>8.2874617737002998E-2</v>
      </c>
      <c r="BV278" s="353"/>
      <c r="BW278" s="43">
        <f>BW14/BQ14-1</f>
        <v>7.2380952380952435E-2</v>
      </c>
      <c r="BX278" s="43">
        <f>BX14/BR14-1</f>
        <v>0.13567251461988294</v>
      </c>
      <c r="BY278" s="43">
        <f>BY14/BS14-1</f>
        <v>0.11806375442739081</v>
      </c>
      <c r="BZ278" s="43">
        <f>BZ14/BT14-1</f>
        <v>0.22450532724505323</v>
      </c>
      <c r="CA278" s="43">
        <f>CA14/BU14-1</f>
        <v>0.15504094888449593</v>
      </c>
      <c r="CB278" s="353"/>
      <c r="CC278" s="43">
        <f>CC14/BW14-1</f>
        <v>0.1172291296625223</v>
      </c>
      <c r="CD278" s="43">
        <f>CD14/BX14-1</f>
        <v>8.9598352214212085E-2</v>
      </c>
      <c r="CE278" s="43">
        <f>CE14/BY14-1</f>
        <v>0.15776135163674776</v>
      </c>
      <c r="CF278" s="43">
        <f>CF14/BZ14-1</f>
        <v>0.3182100683654443</v>
      </c>
      <c r="CG278" s="148">
        <f>CG14/CA14-1</f>
        <v>0.19911980440097787</v>
      </c>
      <c r="CH278" s="353"/>
      <c r="CI278" s="43">
        <f>CI14/CC14-1</f>
        <v>0.27821939586645472</v>
      </c>
      <c r="CJ278" s="43">
        <f>CJ14/CD14-1</f>
        <v>0.14083175803402637</v>
      </c>
      <c r="CK278" s="43">
        <f>CK14/CE14-1</f>
        <v>0.26778547975191525</v>
      </c>
      <c r="CL278" s="43">
        <f>CL14/CF14-1</f>
        <v>0.16973125884016982</v>
      </c>
      <c r="CM278" s="148">
        <f>CM14/CG14-1</f>
        <v>0.19933121278851651</v>
      </c>
      <c r="CN278" s="353"/>
      <c r="CO278" s="43">
        <f>CO14/CI14-1</f>
        <v>0.35199004975124382</v>
      </c>
      <c r="CP278" s="43">
        <f>CP14/CJ14-1</f>
        <v>0.38193869096934541</v>
      </c>
      <c r="CQ278" s="43">
        <f>CQ14/CK14-1</f>
        <v>0.16258992805755401</v>
      </c>
      <c r="CR278" s="43">
        <f>CR14/CL14-1</f>
        <v>0.26723095525997587</v>
      </c>
      <c r="CS278" s="148">
        <f>CS14/CM14-1</f>
        <v>0.27762665759945593</v>
      </c>
      <c r="CT278" s="353"/>
      <c r="CU278" s="43">
        <f>CU14/CO14-1</f>
        <v>0.13615455381784725</v>
      </c>
      <c r="CV278" s="43">
        <f>CV14/CP14-1</f>
        <v>-2.5179856115107868E-2</v>
      </c>
      <c r="CW278" s="43">
        <f>CW14/CQ14-1</f>
        <v>-6.1881188118811936E-2</v>
      </c>
      <c r="CX278" s="43">
        <f>CX14/CR14-1</f>
        <v>-0.12722646310432573</v>
      </c>
      <c r="CY278" s="148">
        <f>CY14/CS14-1</f>
        <v>-5.2428476380572242E-2</v>
      </c>
      <c r="CZ278" s="353"/>
      <c r="DA278" s="43">
        <f>DA14/CU14-1</f>
        <v>-0.16761133603238865</v>
      </c>
      <c r="DB278" s="43">
        <f>DB14/CV14-1</f>
        <v>1.6605166051660625E-2</v>
      </c>
      <c r="DC278" s="43">
        <f>DC14/CW14-1</f>
        <v>0.13350923482849608</v>
      </c>
      <c r="DD278" s="43">
        <f>DD14/CX14-1</f>
        <v>0.14249271137026231</v>
      </c>
      <c r="DE278" s="148">
        <f>DE14/CY14-1</f>
        <v>5.8053644151102368E-2</v>
      </c>
      <c r="DF278" s="353"/>
      <c r="DG278" s="43">
        <f>DG14/DA14-1</f>
        <v>0.25097276264591439</v>
      </c>
      <c r="DH278" s="43">
        <f>DH14/DB14-1</f>
        <v>0.20931639443436167</v>
      </c>
      <c r="DI278" s="43">
        <f>DI14/DC14-1</f>
        <v>0.28840782122905018</v>
      </c>
      <c r="DJ278" s="43">
        <f>DJ14/DD14-1</f>
        <v>0.19170653907496016</v>
      </c>
      <c r="DK278" s="395">
        <f>DK14/DE14-1</f>
        <v>0.22571140369505205</v>
      </c>
      <c r="DL278" s="353"/>
      <c r="DM278" s="43">
        <f>DM14/DG14-1</f>
        <v>0.16485225505443224</v>
      </c>
      <c r="DN278" s="43">
        <f>DN14/DH14-1</f>
        <v>2.4512256128063958E-2</v>
      </c>
      <c r="DO278" s="43">
        <f>DO14/DI14-1</f>
        <v>7.2267389340560095E-2</v>
      </c>
      <c r="DP278" s="43">
        <f>DP14/DJ14-1</f>
        <v>7.2537473233404759E-2</v>
      </c>
      <c r="DQ278" s="395">
        <f>DQ14/DK14-1</f>
        <v>7.4932322685435926E-2</v>
      </c>
      <c r="DR278" s="353"/>
      <c r="DS278" s="43">
        <f>DS14/DM14-1</f>
        <v>0.14285714285714279</v>
      </c>
      <c r="DT278" s="43">
        <f>DT14/DN14-1</f>
        <v>0.22802734375</v>
      </c>
      <c r="DU278" s="43">
        <f>DU14/DO14-1</f>
        <v>3.1171019376579512E-2</v>
      </c>
      <c r="DV278" s="43">
        <f>DV14/DP14-1</f>
        <v>3.4938857000249568E-2</v>
      </c>
      <c r="DW278" s="395">
        <f>DW14/DQ14-1</f>
        <v>9.0158154528054757E-2</v>
      </c>
      <c r="DX278" s="353"/>
      <c r="DY278" s="43">
        <f>DY14/DS14-1</f>
        <v>3.0957943925233655E-2</v>
      </c>
      <c r="DZ278" s="43">
        <f>DZ14/DT14-1</f>
        <v>-1.3916500994035741E-2</v>
      </c>
      <c r="EA278" s="43">
        <f>EA14/DU14-1</f>
        <v>3.799019607843146E-2</v>
      </c>
      <c r="EB278" s="43">
        <f>EB14/DV14-1</f>
        <v>1.8567639257294433E-2</v>
      </c>
      <c r="EC278" s="395">
        <f>EC14/DW14-1</f>
        <v>1.7372019959342122E-2</v>
      </c>
      <c r="ED278" s="353"/>
      <c r="EE278" s="43">
        <f>EE14/DY14-1</f>
        <v>4.6458923512747941E-2</v>
      </c>
      <c r="EF278" s="43">
        <f>EF14/DZ14-1</f>
        <v>3.3870967741935543E-2</v>
      </c>
      <c r="EG278" s="43">
        <f>EG14/EA14-1</f>
        <v>-1.1412829594647733E-2</v>
      </c>
      <c r="EH278" s="43">
        <f>EH14/EB14-1</f>
        <v>-0.12002840909090906</v>
      </c>
      <c r="EI278" s="395">
        <f>EI14/EC14-1</f>
        <v>-3.3605812897366083E-2</v>
      </c>
      <c r="EJ278" s="353"/>
      <c r="EK278" s="43">
        <f>EK14/EE14-1</f>
        <v>-4.5479155387114223E-2</v>
      </c>
      <c r="EL278" s="43">
        <f>EL14/EF14-1</f>
        <v>-9.1653666146645829E-2</v>
      </c>
      <c r="EM278" s="43">
        <f>EM14/EG14-1</f>
        <v>-3.7818471337579651E-2</v>
      </c>
      <c r="EN278" s="43">
        <f>EN14/EH14-1</f>
        <v>-2.4482109227871973E-2</v>
      </c>
      <c r="EO278" s="395">
        <f>EO14/EI14-1</f>
        <v>-4.7462406015037595E-2</v>
      </c>
      <c r="EP278" s="353"/>
      <c r="EQ278" s="43">
        <f>EQ14/EK14-1</f>
        <v>0.14350538854225747</v>
      </c>
      <c r="ER278" s="43">
        <f>ER14/EL14-1</f>
        <v>4.5083726921425482E-2</v>
      </c>
      <c r="ES278" s="43">
        <f>ES14/EM14-1</f>
        <v>0.10550268928423656</v>
      </c>
      <c r="ET278" s="43">
        <f>ET14/EN14-1</f>
        <v>0.11307225592939885</v>
      </c>
      <c r="EU278" s="395">
        <f>EU14/EO14-1</f>
        <v>0.10093734583127767</v>
      </c>
      <c r="EV278" s="353"/>
      <c r="EW278" s="43">
        <f>EW14/EQ14-1</f>
        <v>0.21924603174603186</v>
      </c>
      <c r="EX278" s="43">
        <f>EX14/ER14-1</f>
        <v>0.18364831552999172</v>
      </c>
      <c r="EY278" s="43">
        <f>EY14/ES14-1</f>
        <v>0.10741017964071853</v>
      </c>
      <c r="EZ278" s="43">
        <f>EZ14/ET14-1</f>
        <v>2.772918731417251E-2</v>
      </c>
      <c r="FA278" s="395">
        <f>FA14/EU14-1</f>
        <v>0.11542525542211868</v>
      </c>
      <c r="FB278" s="353"/>
      <c r="FC278" s="43">
        <f>FC14/EW14-1</f>
        <v>0.12385956061838899</v>
      </c>
      <c r="FD278" s="43">
        <f>FD14/EX14-1</f>
        <v>0.10507462686567171</v>
      </c>
      <c r="FE278" s="43">
        <f>FE14/EY14-1</f>
        <v>0.10702095302467063</v>
      </c>
      <c r="FF278" s="43">
        <f>FF14/EZ14-1</f>
        <v>5.5918624176242826E-2</v>
      </c>
      <c r="FG278" s="395">
        <f>FG14/FA14-1</f>
        <v>9.2864807448870046E-2</v>
      </c>
      <c r="FH278" s="353"/>
      <c r="FI278" s="43">
        <f>FI14/FC14-1</f>
        <v>0.12715937914170872</v>
      </c>
      <c r="FJ278" s="43">
        <f>FJ14/FD14-1</f>
        <v>0.10624219466536</v>
      </c>
      <c r="FK278" s="43">
        <f>FK14/FE14-1</f>
        <v>0.10318226014485554</v>
      </c>
      <c r="FL278" s="43">
        <f>FL14/FF14-1</f>
        <v>6.3241167921162411E-2</v>
      </c>
      <c r="FM278" s="395">
        <f>FM14/FG14-1</f>
        <v>9.5906779022699284E-2</v>
      </c>
      <c r="GI278"/>
      <c r="GJ278"/>
      <c r="GK278"/>
      <c r="GL278"/>
      <c r="GM278"/>
      <c r="GN278"/>
      <c r="GP278" s="24"/>
      <c r="GQ278" s="24"/>
      <c r="GR278" s="24"/>
      <c r="GS278" s="24"/>
      <c r="GT278" s="24"/>
      <c r="GU278" s="24"/>
      <c r="GV278" s="24"/>
      <c r="GW278" s="24"/>
      <c r="GX278" s="24"/>
      <c r="GY278" s="24"/>
      <c r="GZ278" s="24"/>
      <c r="HA278" s="24"/>
      <c r="HB278" s="24"/>
      <c r="HC278" s="24"/>
      <c r="HD278" s="24"/>
      <c r="HE278" s="24"/>
      <c r="HF278" s="24"/>
      <c r="HG278" s="24"/>
      <c r="HH278" s="24"/>
      <c r="HI278" s="24"/>
      <c r="HJ278" s="24"/>
      <c r="HK278" s="24"/>
      <c r="HL278" s="24"/>
      <c r="HM278" s="24"/>
      <c r="HN278" s="24"/>
      <c r="HO278" s="24"/>
      <c r="HP278" s="24"/>
      <c r="HQ278" s="24"/>
      <c r="HR278" s="24"/>
      <c r="HS278" s="24"/>
      <c r="HT278" s="24"/>
      <c r="HU278" s="24"/>
      <c r="HV278" s="24"/>
      <c r="HW278" s="24"/>
      <c r="HX278" s="24"/>
      <c r="HY278" s="24"/>
      <c r="HZ278" s="24"/>
      <c r="IA278" s="24"/>
      <c r="IB278" s="24"/>
      <c r="IC278" s="24"/>
      <c r="ID278" s="24"/>
      <c r="IE278" s="24"/>
      <c r="IF278" s="24"/>
      <c r="IG278" s="24"/>
      <c r="IH278" s="24"/>
      <c r="II278" s="24"/>
      <c r="IJ278" s="24"/>
      <c r="IK278" s="24"/>
      <c r="IL278" s="24"/>
      <c r="IM278" s="24"/>
      <c r="IN278" s="24"/>
      <c r="IO278" s="24"/>
      <c r="IP278" s="24"/>
      <c r="IQ278" s="24"/>
      <c r="IR278" s="24"/>
      <c r="IS278" s="24"/>
      <c r="IT278" s="24"/>
      <c r="IU278" s="24"/>
      <c r="IV278" s="24"/>
      <c r="IW278" s="24"/>
      <c r="IX278" s="24"/>
      <c r="IY278" s="24"/>
      <c r="IZ278" s="24"/>
      <c r="JA278" s="24"/>
      <c r="JB278" s="24"/>
      <c r="JC278" s="24"/>
      <c r="JD278" s="24"/>
      <c r="JE278" s="24"/>
      <c r="JF278" s="24"/>
      <c r="JG278" s="24"/>
      <c r="JH278" s="24"/>
      <c r="JI278" s="24"/>
      <c r="JJ278" s="24"/>
      <c r="JK278" s="24"/>
      <c r="JL278" s="24"/>
      <c r="JM278" s="24"/>
      <c r="JN278" s="24"/>
      <c r="JO278" s="24"/>
      <c r="JP278" s="24"/>
      <c r="JQ278" s="24"/>
      <c r="JR278" s="24"/>
      <c r="JS278" s="24"/>
      <c r="JT278" s="24"/>
      <c r="JU278" s="24"/>
    </row>
    <row r="279" spans="1:281" s="24" customFormat="1" hidden="1" outlineLevel="1" x14ac:dyDescent="0.2">
      <c r="A279" s="342" t="s">
        <v>30</v>
      </c>
      <c r="B279" s="413"/>
      <c r="C279" s="94" t="s">
        <v>945</v>
      </c>
      <c r="D279" s="94" t="s">
        <v>945</v>
      </c>
      <c r="E279" s="94" t="s">
        <v>945</v>
      </c>
      <c r="F279" s="94" t="s">
        <v>945</v>
      </c>
      <c r="G279" s="94" t="s">
        <v>945</v>
      </c>
      <c r="H279" s="94" t="s">
        <v>945</v>
      </c>
      <c r="I279" s="94" t="s">
        <v>945</v>
      </c>
      <c r="J279" s="94" t="s">
        <v>945</v>
      </c>
      <c r="K279" s="94" t="s">
        <v>945</v>
      </c>
      <c r="L279" s="43">
        <f>L39/K39-1</f>
        <v>0.2009803921568627</v>
      </c>
      <c r="M279" s="43">
        <f>M39/L39-1</f>
        <v>0.36734693877551017</v>
      </c>
      <c r="N279" s="342"/>
      <c r="O279" s="94" t="s">
        <v>945</v>
      </c>
      <c r="P279" s="94" t="s">
        <v>945</v>
      </c>
      <c r="Q279" s="94" t="s">
        <v>945</v>
      </c>
      <c r="R279" s="94" t="s">
        <v>945</v>
      </c>
      <c r="S279" s="43">
        <f>S39/M39-1</f>
        <v>0.44477611940298512</v>
      </c>
      <c r="T279" s="342"/>
      <c r="U279" s="43">
        <f>U39/O39-1</f>
        <v>0.17509727626459148</v>
      </c>
      <c r="V279" s="43">
        <f>V39/P39-1</f>
        <v>0.35471518987341755</v>
      </c>
      <c r="W279" s="43">
        <f>W39/Q39-1</f>
        <v>0.30994152046783618</v>
      </c>
      <c r="X279" s="43">
        <f>X39/R39-1</f>
        <v>0.41527001862197399</v>
      </c>
      <c r="Y279" s="43">
        <f>Y39/S39-1</f>
        <v>0.33477272727272722</v>
      </c>
      <c r="Z279" s="342"/>
      <c r="AA279" s="43">
        <f>AA39/U39-1</f>
        <v>0.30430794701986752</v>
      </c>
      <c r="AB279" s="43">
        <f>AB39/V39-1</f>
        <v>0.17972622579364161</v>
      </c>
      <c r="AC279" s="43">
        <f>AC39/W39-1</f>
        <v>0.24204464285714278</v>
      </c>
      <c r="AD279" s="43">
        <f>AD39/X39-1</f>
        <v>0.16950394736842123</v>
      </c>
      <c r="AE279" s="43">
        <f>AE39/Y39-1</f>
        <v>0.20953567687775099</v>
      </c>
      <c r="AF279" s="342"/>
      <c r="AG279" s="43">
        <f>AG39/AA39-1</f>
        <v>3.3119997156646042E-2</v>
      </c>
      <c r="AH279" s="43">
        <f>AH39/AB39-1</f>
        <v>1.5442677549210027E-2</v>
      </c>
      <c r="AI279" s="43">
        <f>AI39/AC39-1</f>
        <v>0.10254009445830281</v>
      </c>
      <c r="AJ279" s="43">
        <f>AJ39/AD39-1</f>
        <v>0.11778385572830574</v>
      </c>
      <c r="AK279" s="43">
        <f>AK39/AE39-1</f>
        <v>7.7890903847769755E-2</v>
      </c>
      <c r="AL279" s="342"/>
      <c r="AM279" s="43">
        <f>AM39/AG39-1</f>
        <v>0.12919618525262511</v>
      </c>
      <c r="AN279" s="43">
        <f>AN39/AH39-1</f>
        <v>0.20273464007425512</v>
      </c>
      <c r="AO279" s="43">
        <f>AO39/AI39-1</f>
        <v>7.1334147251883806E-2</v>
      </c>
      <c r="AP279" s="43">
        <f>AP39/AJ39-1</f>
        <v>0.21412826417798692</v>
      </c>
      <c r="AQ279" s="43">
        <f>AQ39/AK39-1</f>
        <v>0.16346733787666534</v>
      </c>
      <c r="AR279" s="342"/>
      <c r="AS279" s="43">
        <f>AS39/AM39-1</f>
        <v>7.3946244257632188E-2</v>
      </c>
      <c r="AT279" s="43">
        <f>AT39/AN39-1</f>
        <v>0.15006096018780912</v>
      </c>
      <c r="AU279" s="43">
        <f>AU39/AO39-1</f>
        <v>0.28469880837907913</v>
      </c>
      <c r="AV279" s="43">
        <f>AV39/AP39-1</f>
        <v>0.11468757331600155</v>
      </c>
      <c r="AW279" s="43">
        <f>AW39/AQ39-1</f>
        <v>0.15375025596752989</v>
      </c>
      <c r="AX279" s="342"/>
      <c r="AY279" s="43">
        <f>AY39/AS39-1</f>
        <v>0.24764996362737435</v>
      </c>
      <c r="AZ279" s="43">
        <f>AZ39/AT39-1</f>
        <v>0.14741461585416582</v>
      </c>
      <c r="BA279" s="43">
        <f>BA39/AU39-1</f>
        <v>8.4855561977128513E-3</v>
      </c>
      <c r="BB279" s="43">
        <f>BB39/AV39-1</f>
        <v>-4.768134297887916E-2</v>
      </c>
      <c r="BC279" s="43">
        <f>BC39/AW39-1</f>
        <v>5.0072748446633009E-2</v>
      </c>
      <c r="BD279" s="342"/>
      <c r="BE279" s="43">
        <f>BE39/AY39-1</f>
        <v>-8.2086146440178087E-2</v>
      </c>
      <c r="BF279" s="43">
        <f>BF39/AZ39-1</f>
        <v>-0.21336688282169547</v>
      </c>
      <c r="BG279" s="43">
        <f>BG39/BA39-1</f>
        <v>-0.2612452013467349</v>
      </c>
      <c r="BH279" s="43">
        <f>BH39/BB39-1</f>
        <v>-0.29380443755120145</v>
      </c>
      <c r="BI279" s="43">
        <f>BI39/BC39-1</f>
        <v>-0.23103757991702201</v>
      </c>
      <c r="BJ279" s="342"/>
      <c r="BK279" s="43">
        <f>BK39/BE39-1</f>
        <v>-0.20025054098096706</v>
      </c>
      <c r="BL279" s="43">
        <f>BL39/BF39-1</f>
        <v>2.6148833751393985E-2</v>
      </c>
      <c r="BM279" s="43">
        <f>BM39/BG39-1</f>
        <v>-2.2381891015451183E-2</v>
      </c>
      <c r="BN279" s="43">
        <f>BN39/BH39-1</f>
        <v>4.0618399371868952E-2</v>
      </c>
      <c r="BO279" s="43">
        <f>BO39/BI39-1</f>
        <v>-2.6940778483889649E-2</v>
      </c>
      <c r="BP279" s="342"/>
      <c r="BQ279" s="43">
        <f>BQ39/BK39-1</f>
        <v>-7.5221238938053103E-2</v>
      </c>
      <c r="BR279" s="43">
        <f>BR39/BL39-1</f>
        <v>9.284627092846276E-2</v>
      </c>
      <c r="BS279" s="43">
        <f>BS39/BM39-1</f>
        <v>0.14959349593495941</v>
      </c>
      <c r="BT279" s="43">
        <f>BT39/BN39-1</f>
        <v>0.15090329436769401</v>
      </c>
      <c r="BU279" s="43">
        <f>BU39/BO39-1</f>
        <v>9.7936210131332135E-2</v>
      </c>
      <c r="BV279" s="342"/>
      <c r="BW279" s="43">
        <f>BW39/BQ39-1</f>
        <v>0.18181818181818188</v>
      </c>
      <c r="BX279" s="43">
        <f>BX39/BR39-1</f>
        <v>5.2924791086351064E-2</v>
      </c>
      <c r="BY279" s="43">
        <f>BY39/BS39-1</f>
        <v>0.12446958981612455</v>
      </c>
      <c r="BZ279" s="43">
        <f>BZ39/BT39-1</f>
        <v>0.16251154201292706</v>
      </c>
      <c r="CA279" s="43">
        <f>CA39/BU39-1</f>
        <v>0.12918660287081329</v>
      </c>
      <c r="CB279" s="342"/>
      <c r="CC279" s="43">
        <f>CC39/BW39-1</f>
        <v>1.6194331983805599E-2</v>
      </c>
      <c r="CD279" s="43">
        <f>CD39/BX39-1</f>
        <v>4.7619047619047672E-2</v>
      </c>
      <c r="CE279" s="43">
        <f>CE39/BY39-1</f>
        <v>4.0754716981131978E-2</v>
      </c>
      <c r="CF279" s="43">
        <f>CF39/BZ39-1</f>
        <v>0.17553613979348692</v>
      </c>
      <c r="CG279" s="395">
        <f>CG39/CA39-1</f>
        <v>9.0012106537530334E-2</v>
      </c>
      <c r="CH279" s="342"/>
      <c r="CI279" s="43">
        <f>CI39/CC39-1</f>
        <v>0.14741035856573714</v>
      </c>
      <c r="CJ279" s="43">
        <f>CJ39/CD39-1</f>
        <v>9.4696969696969724E-2</v>
      </c>
      <c r="CK279" s="43">
        <f>CK39/CE39-1</f>
        <v>0.16872129562484894</v>
      </c>
      <c r="CL279" s="43">
        <f>CL39/CF39-1</f>
        <v>0.18581081081081074</v>
      </c>
      <c r="CM279" s="395">
        <f>CM39/CG39-1</f>
        <v>0.15649469650691405</v>
      </c>
      <c r="CN279" s="342"/>
      <c r="CO279" s="43">
        <f>CO39/CI39-1</f>
        <v>0.234375</v>
      </c>
      <c r="CP279" s="43">
        <f>CP39/CJ39-1</f>
        <v>0.28604382929642447</v>
      </c>
      <c r="CQ279" s="43">
        <f>CQ39/CK39-1</f>
        <v>0.20475698035160295</v>
      </c>
      <c r="CR279" s="43">
        <f>CR39/CL39-1</f>
        <v>0.22792022792022792</v>
      </c>
      <c r="CS279" s="395">
        <f>CS39/CM39-1</f>
        <v>0.23553421368547411</v>
      </c>
      <c r="CT279" s="342"/>
      <c r="CU279" s="43">
        <f>CU39/CO39-1</f>
        <v>0.27144866385372723</v>
      </c>
      <c r="CV279" s="43">
        <f>CV39/CP39-1</f>
        <v>3.7668161434977643E-2</v>
      </c>
      <c r="CW279" s="43">
        <f>CW39/CQ39-1</f>
        <v>-3.8626609442060089E-2</v>
      </c>
      <c r="CX279" s="43">
        <f>CX39/CR39-1</f>
        <v>-0.10023201856148489</v>
      </c>
      <c r="CY279" s="395">
        <f>CY39/CS39-1</f>
        <v>-5.0524679362611291E-3</v>
      </c>
      <c r="CZ279" s="342"/>
      <c r="DA279" s="43">
        <f>DA39/CU39-1</f>
        <v>-0.21349557522123896</v>
      </c>
      <c r="DB279" s="43">
        <f>DB39/CV39-1</f>
        <v>1.5557476231633505E-2</v>
      </c>
      <c r="DC279" s="43">
        <f>DC39/CW39-1</f>
        <v>0.10803571428571423</v>
      </c>
      <c r="DD279" s="43">
        <f>DD39/CX39-1</f>
        <v>0.17586384734399174</v>
      </c>
      <c r="DE279" s="395">
        <f>DE39/CY39-1</f>
        <v>5.6054687500000089E-2</v>
      </c>
      <c r="DF279" s="342"/>
      <c r="DG279" s="43">
        <f>DG39/DA39-1</f>
        <v>0.31786216596343175</v>
      </c>
      <c r="DH279" s="43">
        <f>DH39/DB39-1</f>
        <v>0.20851063829787231</v>
      </c>
      <c r="DI279" s="43">
        <f>DI39/DC39-1</f>
        <v>0.26913779210314259</v>
      </c>
      <c r="DJ279" s="43">
        <f>DJ39/DD39-1</f>
        <v>0.18157894736842106</v>
      </c>
      <c r="DK279" s="395">
        <f>DK39/DE39-1</f>
        <v>0.22544849269465517</v>
      </c>
      <c r="DL279" s="342"/>
      <c r="DM279" s="43">
        <f>DM39/DG39-1</f>
        <v>0.14194236926360726</v>
      </c>
      <c r="DN279" s="43">
        <f>DN39/DH39-1</f>
        <v>4.1549295774647943E-2</v>
      </c>
      <c r="DO279" s="43">
        <f>DO39/DI39-1</f>
        <v>8.9523809523809561E-2</v>
      </c>
      <c r="DP279" s="43">
        <f>DP39/DJ39-1</f>
        <v>1.0022271714922093E-2</v>
      </c>
      <c r="DQ279" s="395">
        <f>DQ39/DK39-1</f>
        <v>5.4331421672200397E-2</v>
      </c>
      <c r="DR279" s="342"/>
      <c r="DS279" s="43">
        <f>DS39/DM39-1</f>
        <v>3.0000000000000027E-2</v>
      </c>
      <c r="DT279" s="43">
        <f>DT39/DN39-1</f>
        <v>0.1100000000000001</v>
      </c>
      <c r="DU279" s="43">
        <f>DU39/DO39-1</f>
        <v>5.0000000000000044E-2</v>
      </c>
      <c r="DV279" s="43">
        <f>DV39/DP39-1</f>
        <v>0.1100000000000001</v>
      </c>
      <c r="DW279" s="395">
        <f>DW39/DQ39-1</f>
        <v>8.3008874892642526E-2</v>
      </c>
      <c r="DX279" s="342"/>
      <c r="DY279" s="43">
        <f>DY39/DS39-1</f>
        <v>0.1100000000000001</v>
      </c>
      <c r="DZ279" s="43">
        <f>DZ39/DT39-1</f>
        <v>1.4999999999999902E-2</v>
      </c>
      <c r="EA279" s="43">
        <f>EA39/DU39-1</f>
        <v>7.0000000000000062E-2</v>
      </c>
      <c r="EB279" s="43">
        <f>EB39/DV39-1</f>
        <v>2.0000000000000018E-3</v>
      </c>
      <c r="EC279" s="395">
        <f>EC39/DW39-1</f>
        <v>3.6746847037365082E-2</v>
      </c>
      <c r="ED279" s="342"/>
      <c r="EE279" s="43">
        <f>EE39/DY39-1</f>
        <v>-1.0000000000000009E-2</v>
      </c>
      <c r="EF279" s="43">
        <f>EF39/DZ39-1</f>
        <v>1.0000000000000009E-2</v>
      </c>
      <c r="EG279" s="43">
        <f>EG39/EA39-1</f>
        <v>-1.0000000000000009E-2</v>
      </c>
      <c r="EH279" s="43">
        <f>EH39/EB39-1</f>
        <v>-1.9999999999999907E-2</v>
      </c>
      <c r="EI279" s="395">
        <f>EI39/EC39-1</f>
        <v>-9.6095320145654917E-3</v>
      </c>
      <c r="EJ279" s="342"/>
      <c r="EK279" s="43">
        <f>EK39/EE39-1</f>
        <v>-1.4999999999999902E-2</v>
      </c>
      <c r="EL279" s="43">
        <f>EL39/EF39-1</f>
        <v>-1.5000000000000013E-2</v>
      </c>
      <c r="EM279" s="43">
        <f>EM39/EG39-1</f>
        <v>-1.4999999999999902E-2</v>
      </c>
      <c r="EN279" s="43">
        <f>EN39/EH39-1</f>
        <v>-1.5000000000000013E-2</v>
      </c>
      <c r="EO279" s="395">
        <f>EO39/EI39-1</f>
        <v>-1.4999999999999902E-2</v>
      </c>
      <c r="EP279" s="342"/>
      <c r="EQ279" s="43">
        <f>EQ39/EK39-1</f>
        <v>-1.4999999999999902E-2</v>
      </c>
      <c r="ER279" s="43">
        <f>ER39/EL39-1</f>
        <v>2.0000000000000018E-2</v>
      </c>
      <c r="ES279" s="43">
        <f>ES39/EM39-1</f>
        <v>2.4999999999999911E-2</v>
      </c>
      <c r="ET279" s="43">
        <f>ET39/EN39-1</f>
        <v>-1.5000000000000013E-2</v>
      </c>
      <c r="EU279" s="395">
        <f>EU39/EO39-1</f>
        <v>2.4099642071975236E-3</v>
      </c>
      <c r="EV279" s="342"/>
      <c r="EW279" s="43">
        <f>EW39/EQ39-1</f>
        <v>-1.5000000000000124E-2</v>
      </c>
      <c r="EX279" s="43">
        <f>EX39/ER39-1</f>
        <v>6.0000000000000053E-2</v>
      </c>
      <c r="EY279" s="43">
        <f>EY39/ES39-1</f>
        <v>8.0000000000000071E-2</v>
      </c>
      <c r="EZ279" s="43">
        <f>EZ39/ET39-1</f>
        <v>2.4999999999999911E-2</v>
      </c>
      <c r="FA279" s="395">
        <f>FA39/EU39-1</f>
        <v>4.0405279035837571E-2</v>
      </c>
      <c r="FB279" s="342"/>
      <c r="FC279" s="43">
        <f>FC39/EW39-1</f>
        <v>2.4999999999999911E-2</v>
      </c>
      <c r="FD279" s="43">
        <f>FD39/EX39-1</f>
        <v>2.4999999999999911E-2</v>
      </c>
      <c r="FE279" s="43">
        <f>FE39/EY39-1</f>
        <v>2.4999999999999911E-2</v>
      </c>
      <c r="FF279" s="43">
        <f>FF39/EZ39-1</f>
        <v>2.4999999999999911E-2</v>
      </c>
      <c r="FG279" s="395">
        <f>FG39/FA39-1</f>
        <v>2.4999999999999911E-2</v>
      </c>
      <c r="FH279" s="342"/>
      <c r="FI279" s="43">
        <f>FI39/FC39-1</f>
        <v>2.4999999999999911E-2</v>
      </c>
      <c r="FJ279" s="43">
        <f>FJ39/FD39-1</f>
        <v>2.4999999999999911E-2</v>
      </c>
      <c r="FK279" s="43">
        <f>FK39/FE39-1</f>
        <v>2.4999999999999911E-2</v>
      </c>
      <c r="FL279" s="43">
        <f>FL39/FF39-1</f>
        <v>2.4999999999999911E-2</v>
      </c>
      <c r="FM279" s="395">
        <f>FM39/FG39-1</f>
        <v>2.4999999999999911E-2</v>
      </c>
      <c r="FN279" s="27"/>
      <c r="FO279" s="27"/>
      <c r="FP279" s="27"/>
      <c r="FQ279" s="27"/>
      <c r="FR279" s="27"/>
      <c r="FS279" s="27"/>
      <c r="FT279" s="27"/>
      <c r="FU279" s="27"/>
      <c r="FV279" s="27"/>
      <c r="FW279" s="27"/>
      <c r="FX279" s="27"/>
      <c r="FY279" s="27"/>
      <c r="FZ279" s="27"/>
      <c r="GA279" s="27"/>
      <c r="GB279" s="27"/>
      <c r="GC279" s="27"/>
      <c r="GD279" s="27"/>
      <c r="GE279" s="27"/>
      <c r="GF279" s="27"/>
      <c r="GH279" s="27"/>
      <c r="GI279"/>
      <c r="GJ279"/>
      <c r="GK279"/>
      <c r="GL279"/>
      <c r="GM279"/>
      <c r="GN279"/>
      <c r="GO279" s="27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</row>
    <row r="280" spans="1:281" s="24" customFormat="1" hidden="1" outlineLevel="1" x14ac:dyDescent="0.2">
      <c r="A280" s="342" t="s">
        <v>31</v>
      </c>
      <c r="B280" s="413"/>
      <c r="C280" s="94" t="s">
        <v>945</v>
      </c>
      <c r="D280" s="94" t="s">
        <v>945</v>
      </c>
      <c r="E280" s="94" t="s">
        <v>945</v>
      </c>
      <c r="F280" s="94" t="s">
        <v>945</v>
      </c>
      <c r="G280" s="94" t="s">
        <v>945</v>
      </c>
      <c r="H280" s="94" t="s">
        <v>945</v>
      </c>
      <c r="I280" s="94" t="s">
        <v>945</v>
      </c>
      <c r="J280" s="94" t="s">
        <v>945</v>
      </c>
      <c r="K280" s="94" t="s">
        <v>945</v>
      </c>
      <c r="L280" s="43">
        <f>L42/K42-1</f>
        <v>0.57777777777777772</v>
      </c>
      <c r="M280" s="43">
        <f>M42/L42-1</f>
        <v>0.323943661971831</v>
      </c>
      <c r="N280" s="342"/>
      <c r="O280" s="94" t="s">
        <v>945</v>
      </c>
      <c r="P280" s="94" t="s">
        <v>945</v>
      </c>
      <c r="Q280" s="94" t="s">
        <v>945</v>
      </c>
      <c r="R280" s="94" t="s">
        <v>945</v>
      </c>
      <c r="S280" s="43">
        <f>S42/M42-1</f>
        <v>0.63829787234042556</v>
      </c>
      <c r="T280" s="342"/>
      <c r="U280" s="43">
        <f>U42/O42-1</f>
        <v>1.0869565217391304</v>
      </c>
      <c r="V280" s="43">
        <f>V42/P42-1</f>
        <v>1.1111111111111112</v>
      </c>
      <c r="W280" s="43">
        <f>W42/Q42-1</f>
        <v>1.0303030303030303</v>
      </c>
      <c r="X280" s="43">
        <f>X42/R42-1</f>
        <v>0.73239436619718301</v>
      </c>
      <c r="Y280" s="43">
        <f>Y42/S42-1</f>
        <v>0.9155844155844155</v>
      </c>
      <c r="Z280" s="342"/>
      <c r="AA280" s="43">
        <f>AA42/U42-1</f>
        <v>5.0333333333333341E-2</v>
      </c>
      <c r="AB280" s="43">
        <f>AB42/V42-1</f>
        <v>0.77926315789473688</v>
      </c>
      <c r="AC280" s="43">
        <f>AC42/W42-1</f>
        <v>0.60926865671641783</v>
      </c>
      <c r="AD280" s="43">
        <f>AD42/X42-1</f>
        <v>0.77728455284552833</v>
      </c>
      <c r="AE280" s="43">
        <f>AE42/Y42-1</f>
        <v>0.62122372881355914</v>
      </c>
      <c r="AF280" s="342"/>
      <c r="AG280" s="43">
        <f>AG42/AA42-1</f>
        <v>0.95233655982227883</v>
      </c>
      <c r="AH280" s="43">
        <f>AH42/AB42-1</f>
        <v>6.8252184030448193E-2</v>
      </c>
      <c r="AI280" s="43">
        <f>AI42/AC42-1</f>
        <v>0.29566596488624652</v>
      </c>
      <c r="AJ280" s="43">
        <f>AJ42/AD42-1</f>
        <v>-1.2785559408250435E-2</v>
      </c>
      <c r="AK280" s="43">
        <f>AK42/AE42-1</f>
        <v>0.17567604299744288</v>
      </c>
      <c r="AL280" s="342"/>
      <c r="AM280" s="43">
        <f>AM42/AG42-1</f>
        <v>-3.4441069197086449E-3</v>
      </c>
      <c r="AN280" s="43">
        <f>AN42/AH42-1</f>
        <v>0.18562857670297195</v>
      </c>
      <c r="AO280" s="43">
        <f>AO42/AI42-1</f>
        <v>5.4767358625626317E-2</v>
      </c>
      <c r="AP280" s="43">
        <f>AP42/AJ42-1</f>
        <v>0.28422554920740817</v>
      </c>
      <c r="AQ280" s="43">
        <f>AQ42/AK42-1</f>
        <v>0.15786085224443336</v>
      </c>
      <c r="AR280" s="342"/>
      <c r="AS280" s="43">
        <f>AS42/AM42-1</f>
        <v>0.11268223060454674</v>
      </c>
      <c r="AT280" s="43">
        <f>AT42/AN42-1</f>
        <v>0.30647484254696367</v>
      </c>
      <c r="AU280" s="43">
        <f>AU42/AO42-1</f>
        <v>0.34936308542188388</v>
      </c>
      <c r="AV280" s="43">
        <f>AV42/AP42-1</f>
        <v>0.61433519754645527</v>
      </c>
      <c r="AW280" s="43">
        <f>AW42/AQ42-1</f>
        <v>0.41804061796320391</v>
      </c>
      <c r="AX280" s="342"/>
      <c r="AY280" s="43">
        <f>AY42/AS42-1</f>
        <v>0.42497457464060928</v>
      </c>
      <c r="AZ280" s="43">
        <f>AZ42/AT42-1</f>
        <v>0.66413018865675899</v>
      </c>
      <c r="BA280" s="43">
        <f>BA42/AU42-1</f>
        <v>0.2544585827088468</v>
      </c>
      <c r="BB280" s="43">
        <f>BB42/AV42-1</f>
        <v>-0.24454810208912126</v>
      </c>
      <c r="BC280" s="43">
        <f>BC42/AW42-1</f>
        <v>0.10725256822977358</v>
      </c>
      <c r="BD280" s="342"/>
      <c r="BE280" s="43">
        <f>BE42/AY42-1</f>
        <v>-6.169386469143423E-2</v>
      </c>
      <c r="BF280" s="43">
        <f>BF42/AZ42-1</f>
        <v>-0.41586129601713029</v>
      </c>
      <c r="BG280" s="43">
        <f>BG42/BA42-1</f>
        <v>-0.40714205529540071</v>
      </c>
      <c r="BH280" s="43">
        <f>BH42/BB42-1</f>
        <v>-0.27305110370149033</v>
      </c>
      <c r="BI280" s="43">
        <f>BI42/BC42-1</f>
        <v>-0.3126283970182544</v>
      </c>
      <c r="BJ280" s="342"/>
      <c r="BK280" s="43">
        <f>BK42/BE42-1</f>
        <v>-0.23936654994483697</v>
      </c>
      <c r="BL280" s="43">
        <f>BL42/BF42-1</f>
        <v>-0.33796350217307358</v>
      </c>
      <c r="BM280" s="43">
        <f>BM42/BG42-1</f>
        <v>-5.3241633022931834E-2</v>
      </c>
      <c r="BN280" s="43">
        <f>BN42/BH42-1</f>
        <v>1.1884024940171933E-3</v>
      </c>
      <c r="BO280" s="43">
        <f>BO42/BI42-1</f>
        <v>-0.13896775754470603</v>
      </c>
      <c r="BP280" s="342"/>
      <c r="BQ280" s="43">
        <f>BQ42/BK42-1</f>
        <v>-3.6036036036036001E-2</v>
      </c>
      <c r="BR280" s="43">
        <f>BR42/BL42-1</f>
        <v>0.2685185185185186</v>
      </c>
      <c r="BS280" s="43">
        <f>BS42/BM42-1</f>
        <v>0</v>
      </c>
      <c r="BT280" s="43">
        <f>BT42/BN42-1</f>
        <v>-6.0975609756097615E-2</v>
      </c>
      <c r="BU280" s="43">
        <f>BU42/BO42-1</f>
        <v>1.6528925619834656E-2</v>
      </c>
      <c r="BV280" s="342"/>
      <c r="BW280" s="43">
        <f>BW42/BQ42-1</f>
        <v>-0.35514018691588789</v>
      </c>
      <c r="BX280" s="43">
        <f>BX42/BR42-1</f>
        <v>0.56934306569343063</v>
      </c>
      <c r="BY280" s="43">
        <f>BY42/BS42-1</f>
        <v>8.5714285714285632E-2</v>
      </c>
      <c r="BZ280" s="43">
        <f>BZ42/BT42-1</f>
        <v>0.51515151515151514</v>
      </c>
      <c r="CA280" s="43">
        <f>CA42/BU42-1</f>
        <v>0.2780487804878049</v>
      </c>
      <c r="CB280" s="342"/>
      <c r="CC280" s="43">
        <f>CC42/BW42-1</f>
        <v>0.84057971014492749</v>
      </c>
      <c r="CD280" s="43">
        <f>CD42/BX42-1</f>
        <v>0.23720930232558146</v>
      </c>
      <c r="CE280" s="43">
        <f>CE42/BY42-1</f>
        <v>0.76973684210526305</v>
      </c>
      <c r="CF280" s="43">
        <f>CF42/BZ42-1</f>
        <v>0.83142857142857141</v>
      </c>
      <c r="CG280" s="395">
        <f>CG42/CA42-1</f>
        <v>0.65776081424936383</v>
      </c>
      <c r="CH280" s="342"/>
      <c r="CI280" s="43">
        <f>CI42/CC42-1</f>
        <v>0.79527559055118102</v>
      </c>
      <c r="CJ280" s="43">
        <f>CJ42/CD42-1</f>
        <v>0.27819548872180455</v>
      </c>
      <c r="CK280" s="43">
        <f>CK42/CE42-1</f>
        <v>0.57249070631970267</v>
      </c>
      <c r="CL280" s="43">
        <f>CL42/CF42-1</f>
        <v>0.13260530421216843</v>
      </c>
      <c r="CM280" s="395">
        <f>CM42/CG42-1</f>
        <v>0.31772831926323875</v>
      </c>
      <c r="CN280" s="342"/>
      <c r="CO280" s="43">
        <f>CO42/CI42-1</f>
        <v>0.64912280701754388</v>
      </c>
      <c r="CP280" s="43">
        <f>CP42/CJ42-1</f>
        <v>0.62647058823529411</v>
      </c>
      <c r="CQ280" s="43">
        <f>CQ42/CK42-1</f>
        <v>6.6193853427896077E-2</v>
      </c>
      <c r="CR280" s="43">
        <f>CR42/CL42-1</f>
        <v>0.36225895316804402</v>
      </c>
      <c r="CS280" s="395">
        <f>CS42/CM42-1</f>
        <v>0.37973209085614434</v>
      </c>
      <c r="CT280" s="342"/>
      <c r="CU280" s="43">
        <f>CU42/CO42-1</f>
        <v>-0.11968085106382975</v>
      </c>
      <c r="CV280" s="43">
        <f>CV42/CP42-1</f>
        <v>-0.15189873417721522</v>
      </c>
      <c r="CW280" s="43">
        <f>CW42/CQ42-1</f>
        <v>-0.12195121951219512</v>
      </c>
      <c r="CX280" s="43">
        <f>CX42/CR42-1</f>
        <v>-0.18604651162790697</v>
      </c>
      <c r="CY280" s="395">
        <f>CY42/CS42-1</f>
        <v>-0.15533980582524276</v>
      </c>
      <c r="CZ280" s="342"/>
      <c r="DA280" s="43">
        <f>DA42/CU42-1</f>
        <v>-4.2296072507552851E-2</v>
      </c>
      <c r="DB280" s="43">
        <f>DB42/CV42-1</f>
        <v>1.9189765458422103E-2</v>
      </c>
      <c r="DC280" s="43">
        <f>DC42/CW42-1</f>
        <v>0.20555555555555549</v>
      </c>
      <c r="DD280" s="43">
        <f>DD42/CX42-1</f>
        <v>6.211180124223592E-2</v>
      </c>
      <c r="DE280" s="395">
        <f>DE42/CY42-1</f>
        <v>6.3168415792103971E-2</v>
      </c>
      <c r="DF280" s="342"/>
      <c r="DG280" s="43">
        <f>DG42/DA42-1</f>
        <v>0.10094637223974767</v>
      </c>
      <c r="DH280" s="43">
        <f>DH42/DB42-1</f>
        <v>0.21129707112970708</v>
      </c>
      <c r="DI280" s="43">
        <f>DI42/DC42-1</f>
        <v>0.33850020946795145</v>
      </c>
      <c r="DJ280" s="43">
        <f>DJ42/DD42-1</f>
        <v>0.21871345029239775</v>
      </c>
      <c r="DK280" s="395">
        <f>DK42/DE42-1</f>
        <v>0.22637961831343412</v>
      </c>
      <c r="DL280" s="342"/>
      <c r="DM280" s="43">
        <f>DM42/DG42-1</f>
        <v>0.22636103151862463</v>
      </c>
      <c r="DN280" s="43">
        <f>DN42/DH42-1</f>
        <v>-1.7271157167530249E-2</v>
      </c>
      <c r="DO280" s="43">
        <f>DO42/DI42-1</f>
        <v>2.9733959311424085E-2</v>
      </c>
      <c r="DP280" s="43">
        <f>DP42/DJ42-1</f>
        <v>0.23416506717850294</v>
      </c>
      <c r="DQ280" s="395">
        <f>DQ42/DK42-1</f>
        <v>0.12725182062092766</v>
      </c>
      <c r="DR280" s="342"/>
      <c r="DS280" s="43">
        <f>DS42/DM42-1</f>
        <v>0.4249999999999996</v>
      </c>
      <c r="DT280" s="43">
        <f>DT42/DN42-1</f>
        <v>0.53481546572934957</v>
      </c>
      <c r="DU280" s="43">
        <f>DU42/DO42-1</f>
        <v>-1.7933130699088418E-2</v>
      </c>
      <c r="DV280" s="43">
        <f>DV42/DP42-1</f>
        <v>-0.12388024883359283</v>
      </c>
      <c r="DW280" s="395">
        <f>DW42/DQ42-1</f>
        <v>0.10714042842570537</v>
      </c>
      <c r="DX280" s="342"/>
      <c r="DY280" s="43">
        <f>DY42/DS42-1</f>
        <v>-0.11187243810460767</v>
      </c>
      <c r="DZ280" s="43">
        <f>DZ42/DT42-1</f>
        <v>-6.8275125671296344E-2</v>
      </c>
      <c r="EA280" s="43">
        <f>EA42/DU42-1</f>
        <v>-5.1262766945218474E-2</v>
      </c>
      <c r="EB280" s="43">
        <f>EB42/DV42-1</f>
        <v>6.2980393897167586E-2</v>
      </c>
      <c r="EC280" s="395">
        <f>EC42/DW42-1</f>
        <v>-2.7647483185406108E-2</v>
      </c>
      <c r="ED280" s="342"/>
      <c r="EE280" s="43">
        <f>EE42/DY42-1</f>
        <v>0.17396843828980457</v>
      </c>
      <c r="EF280" s="43">
        <f>EF42/DZ42-1</f>
        <v>8.275545876403112E-2</v>
      </c>
      <c r="EG280" s="43">
        <f>EG42/EA42-1</f>
        <v>-1.585573682785435E-2</v>
      </c>
      <c r="EH280" s="43">
        <f>EH42/EB42-1</f>
        <v>-0.37279106477723922</v>
      </c>
      <c r="EI280" s="395">
        <f>EI42/EC42-1</f>
        <v>-9.3056349642889002E-2</v>
      </c>
      <c r="EJ280" s="342"/>
      <c r="EK280" s="43">
        <f>EK42/EE42-1</f>
        <v>-0.10352774886129923</v>
      </c>
      <c r="EL280" s="43">
        <f>EL42/EF42-1</f>
        <v>-0.23808195745596084</v>
      </c>
      <c r="EM280" s="43">
        <f>EM42/EG42-1</f>
        <v>-0.11000238715872712</v>
      </c>
      <c r="EN280" s="43">
        <f>EN42/EH42-1</f>
        <v>-6.1919738634746868E-2</v>
      </c>
      <c r="EO280" s="395">
        <f>EO42/EI42-1</f>
        <v>-0.13528751464852817</v>
      </c>
      <c r="EP280" s="342"/>
      <c r="EQ280" s="43">
        <f>EQ42/EK42-1</f>
        <v>0.4751952397382786</v>
      </c>
      <c r="ER280" s="43">
        <f>ER42/EL42-1</f>
        <v>0.10702956034163402</v>
      </c>
      <c r="ES280" s="43">
        <f>ES42/EM42-1</f>
        <v>0.38734855497354492</v>
      </c>
      <c r="ET280" s="43">
        <f>ET42/EN42-1</f>
        <v>0.64402354463012546</v>
      </c>
      <c r="EU280" s="395">
        <f>EU42/EO42-1</f>
        <v>0.4045776604276845</v>
      </c>
      <c r="EV280" s="342"/>
      <c r="EW280" s="43">
        <f>EW42/EQ42-1</f>
        <v>0.54654687413521597</v>
      </c>
      <c r="EX280" s="43">
        <f>EX42/ER42-1</f>
        <v>0.46499978939756881</v>
      </c>
      <c r="EY280" s="43">
        <f>EY42/ES42-1</f>
        <v>0.17831102951623579</v>
      </c>
      <c r="EZ280" s="43">
        <f>EZ42/ET42-1</f>
        <v>3.4508117499850943E-2</v>
      </c>
      <c r="FA280" s="395">
        <f>FA42/EU42-1</f>
        <v>0.2804233893659156</v>
      </c>
      <c r="FB280" s="342"/>
      <c r="FC280" s="43">
        <f>FC42/EW42-1</f>
        <v>0.21183606451093029</v>
      </c>
      <c r="FD280" s="43">
        <f>FD42/EX42-1</f>
        <v>0.23690765170656514</v>
      </c>
      <c r="FE280" s="43">
        <f>FE42/EY42-1</f>
        <v>0.30148001342299091</v>
      </c>
      <c r="FF280" s="43">
        <f>FF42/EZ42-1</f>
        <v>0.13201043863610162</v>
      </c>
      <c r="FG280" s="395">
        <f>FG42/FA42-1</f>
        <v>0.2141466200581621</v>
      </c>
      <c r="FH280" s="342"/>
      <c r="FI280" s="43">
        <f>FI42/FC42-1</f>
        <v>0.20405582386757071</v>
      </c>
      <c r="FJ280" s="43">
        <f>FJ42/FD42-1</f>
        <v>0.21708245301175078</v>
      </c>
      <c r="FK280" s="43">
        <f>FK42/FE42-1</f>
        <v>0.24916380498005775</v>
      </c>
      <c r="FL280" s="43">
        <f>FL42/FF42-1</f>
        <v>0.1484574066155071</v>
      </c>
      <c r="FM280" s="395">
        <f>FM42/FG42-1</f>
        <v>0.20288405765548601</v>
      </c>
      <c r="FN280" s="27"/>
      <c r="FO280" s="27"/>
      <c r="FP280" s="27"/>
      <c r="FQ280" s="27"/>
      <c r="FR280" s="27"/>
      <c r="FS280" s="27"/>
      <c r="FT280" s="27"/>
      <c r="FU280" s="27"/>
      <c r="FV280" s="27"/>
      <c r="FW280" s="27"/>
      <c r="FX280" s="27"/>
      <c r="FY280" s="27"/>
      <c r="FZ280" s="27"/>
      <c r="GA280" s="27"/>
      <c r="GB280" s="27"/>
      <c r="GC280" s="27"/>
      <c r="GD280" s="27"/>
      <c r="GE280" s="27"/>
      <c r="GF280" s="27"/>
      <c r="GH280" s="27"/>
      <c r="GI280"/>
      <c r="GJ280"/>
      <c r="GK280"/>
      <c r="GL280"/>
      <c r="GM280"/>
      <c r="GN280"/>
      <c r="GO280" s="27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</row>
    <row r="281" spans="1:281" s="24" customFormat="1" collapsed="1" x14ac:dyDescent="0.2">
      <c r="A281" s="258" t="s">
        <v>654</v>
      </c>
      <c r="B281" s="413"/>
      <c r="C281" s="94" t="s">
        <v>945</v>
      </c>
      <c r="D281" s="94" t="s">
        <v>945</v>
      </c>
      <c r="E281" s="94" t="s">
        <v>945</v>
      </c>
      <c r="F281" s="94" t="s">
        <v>945</v>
      </c>
      <c r="G281" s="94" t="s">
        <v>945</v>
      </c>
      <c r="H281" s="94" t="s">
        <v>945</v>
      </c>
      <c r="I281" s="94" t="s">
        <v>945</v>
      </c>
      <c r="J281" s="94" t="s">
        <v>945</v>
      </c>
      <c r="K281" s="94" t="s">
        <v>945</v>
      </c>
      <c r="L281" s="94" t="s">
        <v>945</v>
      </c>
      <c r="M281" s="94" t="s">
        <v>945</v>
      </c>
      <c r="N281" s="94"/>
      <c r="O281" s="94" t="s">
        <v>945</v>
      </c>
      <c r="P281" s="94" t="s">
        <v>945</v>
      </c>
      <c r="Q281" s="94" t="s">
        <v>945</v>
      </c>
      <c r="R281" s="94" t="s">
        <v>945</v>
      </c>
      <c r="S281" s="94" t="s">
        <v>945</v>
      </c>
      <c r="T281" s="342"/>
      <c r="U281" s="94" t="s">
        <v>945</v>
      </c>
      <c r="V281" s="94" t="s">
        <v>945</v>
      </c>
      <c r="W281" s="94" t="s">
        <v>945</v>
      </c>
      <c r="X281" s="94" t="s">
        <v>945</v>
      </c>
      <c r="Y281" s="94" t="s">
        <v>945</v>
      </c>
      <c r="Z281" s="342"/>
      <c r="AA281" s="94" t="s">
        <v>945</v>
      </c>
      <c r="AB281" s="94" t="s">
        <v>945</v>
      </c>
      <c r="AC281" s="94" t="s">
        <v>945</v>
      </c>
      <c r="AD281" s="94" t="s">
        <v>945</v>
      </c>
      <c r="AE281" s="94" t="s">
        <v>945</v>
      </c>
      <c r="AF281" s="342"/>
      <c r="AG281" s="43">
        <f>AG46/AA46-1</f>
        <v>0.41019893137476715</v>
      </c>
      <c r="AH281" s="43">
        <f>AH46/AB46-1</f>
        <v>0.3476025455232814</v>
      </c>
      <c r="AI281" s="43">
        <f>AI46/AC46-1</f>
        <v>0.34638965191832605</v>
      </c>
      <c r="AJ281" s="43">
        <f>AJ46/AD46-1</f>
        <v>0.34177152313552428</v>
      </c>
      <c r="AK281" s="43">
        <f>AK46/AE46-1</f>
        <v>0.35923103147846525</v>
      </c>
      <c r="AL281" s="342"/>
      <c r="AM281" s="43">
        <f>AM46/AG46-1</f>
        <v>0.29552809105247957</v>
      </c>
      <c r="AN281" s="43">
        <f>AN46/AH46-1</f>
        <v>0.32421286901878665</v>
      </c>
      <c r="AO281" s="43">
        <f>AO46/AI46-1</f>
        <v>0.30268418174309986</v>
      </c>
      <c r="AP281" s="43">
        <f>AP46/AJ46-1</f>
        <v>0.30667118699548168</v>
      </c>
      <c r="AQ281" s="43">
        <f>AQ46/AK46-1</f>
        <v>0.30734171740193061</v>
      </c>
      <c r="AR281" s="342"/>
      <c r="AS281" s="43">
        <f>AS46/AM46-1</f>
        <v>0.27161545261938502</v>
      </c>
      <c r="AT281" s="43">
        <f>AT46/AN46-1</f>
        <v>0.27170044488383582</v>
      </c>
      <c r="AU281" s="43">
        <f>AU46/AO46-1</f>
        <v>0.29269734542388903</v>
      </c>
      <c r="AV281" s="43">
        <f>AV46/AP46-1</f>
        <v>0.24763357549296794</v>
      </c>
      <c r="AW281" s="43">
        <f>AW46/AQ46-1</f>
        <v>0.27002452330481375</v>
      </c>
      <c r="AX281" s="342"/>
      <c r="AY281" s="43">
        <f>AY46/AS46-1</f>
        <v>0.25756538285774222</v>
      </c>
      <c r="AZ281" s="43">
        <f>AZ46/AT46-1</f>
        <v>0.21164391358549128</v>
      </c>
      <c r="BA281" s="43">
        <f>BA46/AU46-1</f>
        <v>0.20162165816336675</v>
      </c>
      <c r="BB281" s="43">
        <f>BB46/AV46-1</f>
        <v>0.13725419892124191</v>
      </c>
      <c r="BC281" s="43">
        <f>BC46/AW46-1</f>
        <v>0.19849990247989768</v>
      </c>
      <c r="BD281" s="342"/>
      <c r="BE281" s="43">
        <f>BE46/AY46-1</f>
        <v>4.5834832566440387E-3</v>
      </c>
      <c r="BF281" s="43">
        <f>BF46/AZ46-1</f>
        <v>9.5520383868890057E-3</v>
      </c>
      <c r="BG281" s="43">
        <f>BG46/BA46-1</f>
        <v>-4.4259414309021583E-2</v>
      </c>
      <c r="BH281" s="43">
        <f>BH46/BB46-1</f>
        <v>-2.107101720992266E-3</v>
      </c>
      <c r="BI281" s="43">
        <f>BI46/BC46-1</f>
        <v>-8.3869744346152242E-3</v>
      </c>
      <c r="BJ281" s="342"/>
      <c r="BK281" s="43">
        <f>BK46/BE46-1</f>
        <v>7.3336772755036028E-2</v>
      </c>
      <c r="BL281" s="43">
        <f>BL46/BF46-1</f>
        <v>8.2694479279565636E-2</v>
      </c>
      <c r="BM281" s="43">
        <f>BM46/BG46-1</f>
        <v>0.15997631570746429</v>
      </c>
      <c r="BN281" s="43">
        <f>BN46/BH46-1</f>
        <v>0.1220181582852311</v>
      </c>
      <c r="BO281" s="43">
        <f>BO46/BI46-1</f>
        <v>0.10992600493300464</v>
      </c>
      <c r="BP281" s="342"/>
      <c r="BQ281" s="43">
        <f>BQ46/BK46-1</f>
        <v>0.14254143646408846</v>
      </c>
      <c r="BR281" s="43">
        <f>BR46/BL46-1</f>
        <v>0.16771488469601681</v>
      </c>
      <c r="BS281" s="43">
        <f>BS46/BM46-1</f>
        <v>0.17014925373134338</v>
      </c>
      <c r="BT281" s="43">
        <f>BT46/BN46-1</f>
        <v>0.13103059883611778</v>
      </c>
      <c r="BU281" s="43">
        <f>BU46/BO46-1</f>
        <v>0.15259327123733901</v>
      </c>
      <c r="BV281" s="342"/>
      <c r="BW281" s="43">
        <f>BW46/BQ46-1</f>
        <v>0.13733075435203101</v>
      </c>
      <c r="BX281" s="43">
        <f>BX46/BR46-1</f>
        <v>0.12387791741472176</v>
      </c>
      <c r="BY281" s="43">
        <f>BY46/BS46-1</f>
        <v>0.30272108843537415</v>
      </c>
      <c r="BZ281" s="43">
        <f>BZ46/BT46-1</f>
        <v>0.4033195020746887</v>
      </c>
      <c r="CA281" s="43">
        <f>CA46/BU46-1</f>
        <v>0.24773680724221681</v>
      </c>
      <c r="CB281" s="342"/>
      <c r="CC281" s="43">
        <f>CC46/BW46-1</f>
        <v>0.39540816326530615</v>
      </c>
      <c r="CD281" s="43">
        <f>CD46/BX46-1</f>
        <v>0.32667731629392982</v>
      </c>
      <c r="CE281" s="43">
        <f>CE46/BY46-1</f>
        <v>0.1533942558746737</v>
      </c>
      <c r="CF281" s="43">
        <f>CF46/BZ46-1</f>
        <v>0.1584861028976936</v>
      </c>
      <c r="CG281" s="395">
        <f>CG46/CA46-1</f>
        <v>0.24367368607326134</v>
      </c>
      <c r="CH281" s="342"/>
      <c r="CI281" s="43">
        <f>CI46/CC46-1</f>
        <v>0.22547227300426576</v>
      </c>
      <c r="CJ281" s="43">
        <f>CJ46/CD46-1</f>
        <v>0.24021673690547862</v>
      </c>
      <c r="CK281" s="43">
        <f>CK46/CE46-1</f>
        <v>0.21279003961516696</v>
      </c>
      <c r="CL281" s="43">
        <f>CL46/CF46-1</f>
        <v>0.187850944359367</v>
      </c>
      <c r="CM281" s="395">
        <f>CM46/CG46-1</f>
        <v>0.21528173022196917</v>
      </c>
      <c r="CN281" s="342"/>
      <c r="CO281" s="43">
        <f>CO46/CI46-1</f>
        <v>0.21680755842864241</v>
      </c>
      <c r="CP281" s="43">
        <f>CP46/CJ46-1</f>
        <v>0.23398058252427179</v>
      </c>
      <c r="CQ281" s="43">
        <f>CQ46/CK46-1</f>
        <v>0.23471768548763405</v>
      </c>
      <c r="CR281" s="43">
        <f>CR46/CL46-1</f>
        <v>0.23420713364847434</v>
      </c>
      <c r="CS281" s="395">
        <f>CS46/CM46-1</f>
        <v>0.23018381922491504</v>
      </c>
      <c r="CT281" s="342"/>
      <c r="CU281" s="43">
        <f>CU46/CO46-1</f>
        <v>0.2370249284838577</v>
      </c>
      <c r="CV281" s="43">
        <f>CV46/CP46-1</f>
        <v>0.15263571990558611</v>
      </c>
      <c r="CW281" s="43">
        <f>CW46/CQ46-1</f>
        <v>0.12169312169312163</v>
      </c>
      <c r="CX281" s="43">
        <f>CX46/CR46-1</f>
        <v>6.9637883008356605E-2</v>
      </c>
      <c r="CY281" s="395">
        <f>CY46/CS46-1</f>
        <v>0.14181022175692393</v>
      </c>
      <c r="CZ281" s="342"/>
      <c r="DA281" s="43">
        <f>DA46/CU46-1</f>
        <v>3.2705649157581673E-2</v>
      </c>
      <c r="DB281" s="43">
        <f>DB46/CV46-1</f>
        <v>0.11296928327645062</v>
      </c>
      <c r="DC281" s="43">
        <f>DC46/CW46-1</f>
        <v>0.11960916442048508</v>
      </c>
      <c r="DD281" s="43">
        <f>DD46/CX46-1</f>
        <v>0.12858072916666674</v>
      </c>
      <c r="DE281" s="395">
        <f>DE46/CY46-1</f>
        <v>9.8357922814036769E-2</v>
      </c>
      <c r="DF281" s="342"/>
      <c r="DG281" s="43">
        <f>DG46/DA46-1</f>
        <v>0.11164427383237374</v>
      </c>
      <c r="DH281" s="43">
        <f>DH46/DB46-1</f>
        <v>0.13830113462128191</v>
      </c>
      <c r="DI281" s="43">
        <f>DI46/DC46-1</f>
        <v>0.13030394222088471</v>
      </c>
      <c r="DJ281" s="43">
        <f>DJ46/DD46-1</f>
        <v>0.14738967406980108</v>
      </c>
      <c r="DK281" s="395">
        <f>DK46/DE46-1</f>
        <v>0.13235182514988231</v>
      </c>
      <c r="DL281" s="342"/>
      <c r="DM281" s="43">
        <f>DM46/DG46-1</f>
        <v>0.16115107913669058</v>
      </c>
      <c r="DN281" s="43">
        <f>DN46/DH46-1</f>
        <v>7.6508620689655249E-2</v>
      </c>
      <c r="DO281" s="43">
        <f>DO46/DI46-1</f>
        <v>8.3067092651757157E-2</v>
      </c>
      <c r="DP281" s="43">
        <f>DP46/DJ46-1</f>
        <v>4.5751633986928164E-2</v>
      </c>
      <c r="DQ281" s="395">
        <f>DQ46/DK46-1</f>
        <v>8.9672273976274974E-2</v>
      </c>
      <c r="DR281" s="342"/>
      <c r="DS281" s="43">
        <f>DS46/DM46-1</f>
        <v>2.7261462205700138E-2</v>
      </c>
      <c r="DT281" s="43">
        <f>DT46/DN46-1</f>
        <v>6.7067067067066999E-2</v>
      </c>
      <c r="DU281" s="43">
        <f>DU46/DO46-1</f>
        <v>6.7846607669616477E-2</v>
      </c>
      <c r="DV281" s="43">
        <f>DV46/DP46-1</f>
        <v>5.8653846153846168E-2</v>
      </c>
      <c r="DW281" s="395">
        <f>DW46/DQ46-1</f>
        <v>5.5230949012854413E-2</v>
      </c>
      <c r="DX281" s="342"/>
      <c r="DY281" s="43">
        <f>DY46/DS46-1</f>
        <v>6.9240048250904795E-2</v>
      </c>
      <c r="DZ281" s="43">
        <f>DZ46/DT46-1</f>
        <v>5.9333958724202551E-2</v>
      </c>
      <c r="EA281" s="43">
        <f>EA46/DU46-1</f>
        <v>5.0874769797421671E-2</v>
      </c>
      <c r="EB281" s="43">
        <f>EB46/DV46-1</f>
        <v>6.607629427792916E-2</v>
      </c>
      <c r="EC281" s="395">
        <f>EC46/DW46-1</f>
        <v>6.1316080899924241E-2</v>
      </c>
      <c r="ED281" s="342"/>
      <c r="EE281" s="43">
        <f>EE46/DY46-1</f>
        <v>6.746389891696758E-2</v>
      </c>
      <c r="EF281" s="43">
        <f>EF46/DZ46-1</f>
        <v>5.6674784148771362E-2</v>
      </c>
      <c r="EG281" s="43">
        <f>EG46/EA46-1</f>
        <v>2.168674698795181E-2</v>
      </c>
      <c r="EH281" s="43">
        <f>EH46/EB46-1</f>
        <v>-1.49094781682646E-3</v>
      </c>
      <c r="EI281" s="395">
        <f>EI46/EC46-1</f>
        <v>3.5531879839639791E-2</v>
      </c>
      <c r="EJ281" s="342"/>
      <c r="EK281" s="43">
        <f>EK46/EE46-1</f>
        <v>-7.1866413020502673E-3</v>
      </c>
      <c r="EL281" s="43">
        <f>EL46/EF46-1</f>
        <v>-1.8856065367693242E-2</v>
      </c>
      <c r="EM281" s="43">
        <f>EM46/EG46-1</f>
        <v>1.0720411663807106E-3</v>
      </c>
      <c r="EN281" s="43">
        <f>EN46/EH46-1</f>
        <v>2.7090443686006882E-2</v>
      </c>
      <c r="EO281" s="395">
        <f>EO46/EI46-1</f>
        <v>4.2426813746287984E-4</v>
      </c>
      <c r="EP281" s="342"/>
      <c r="EQ281" s="43">
        <f>EQ46/EK46-1</f>
        <v>2.0438577815627079E-2</v>
      </c>
      <c r="ER281" s="43">
        <f>ER46/EL46-1</f>
        <v>2.0286141362374499E-2</v>
      </c>
      <c r="ES281" s="43">
        <f>ES46/EM46-1</f>
        <v>1.9918612122510115E-2</v>
      </c>
      <c r="ET281" s="43">
        <f>ET46/EN46-1</f>
        <v>1.7030114226376014E-2</v>
      </c>
      <c r="EU281" s="395">
        <f>EU46/EO46-1</f>
        <v>1.9402035623409697E-2</v>
      </c>
      <c r="EV281" s="342"/>
      <c r="EW281" s="43">
        <f>EW46/EQ46-1</f>
        <v>3.2964740246192337E-2</v>
      </c>
      <c r="EX281" s="43">
        <f>EX46/ER46-1</f>
        <v>3.662620343239853E-2</v>
      </c>
      <c r="EY281" s="43">
        <f>EY46/ES46-1</f>
        <v>5.5648887022259563E-2</v>
      </c>
      <c r="EZ281" s="43">
        <f>EZ46/ET46-1</f>
        <v>4.1633360444704781E-2</v>
      </c>
      <c r="FA281" s="395">
        <f>FA46/EU46-1</f>
        <v>4.1699353411217777E-2</v>
      </c>
      <c r="FB281" s="342"/>
      <c r="FC281" s="43">
        <f>FC46/EW46-1</f>
        <v>3.6163474231488246E-2</v>
      </c>
      <c r="FD281" s="43">
        <f>FD46/EX46-1</f>
        <v>3.5713303465209068E-2</v>
      </c>
      <c r="FE281" s="43">
        <f>FE46/EY46-1</f>
        <v>3.1874090224791596E-2</v>
      </c>
      <c r="FF281" s="43">
        <f>FF46/EZ46-1</f>
        <v>2.794571999781148E-2</v>
      </c>
      <c r="FG281" s="395">
        <f>FG46/FA46-1</f>
        <v>3.2883192982665399E-2</v>
      </c>
      <c r="FH281" s="342"/>
      <c r="FI281" s="43">
        <f>FI46/FC46-1</f>
        <v>2.5369411958416244E-2</v>
      </c>
      <c r="FJ281" s="43">
        <f>FJ46/FD46-1</f>
        <v>2.4387236679070723E-2</v>
      </c>
      <c r="FK281" s="43">
        <f>FK46/FE46-1</f>
        <v>2.3107538762845659E-2</v>
      </c>
      <c r="FL281" s="43">
        <f>FL46/FF46-1</f>
        <v>2.1838374975951647E-2</v>
      </c>
      <c r="FM281" s="395">
        <f>FM46/FG46-1</f>
        <v>2.3663997129397041E-2</v>
      </c>
      <c r="FN281" s="27"/>
      <c r="FO281" s="27"/>
      <c r="FP281" s="27"/>
      <c r="FQ281" s="27"/>
      <c r="FR281" s="27"/>
      <c r="FS281" s="27"/>
      <c r="FT281" s="27"/>
      <c r="FU281" s="27"/>
      <c r="FV281" s="27"/>
      <c r="FW281" s="27"/>
      <c r="FX281" s="27"/>
      <c r="FY281" s="27"/>
      <c r="FZ281" s="27"/>
      <c r="GA281" s="27"/>
      <c r="GB281" s="27"/>
      <c r="GC281" s="27"/>
      <c r="GD281" s="27"/>
      <c r="GE281" s="27"/>
      <c r="GF281" s="27"/>
      <c r="GH281" s="27"/>
      <c r="GI281"/>
      <c r="GJ281"/>
      <c r="GK281"/>
      <c r="GL281"/>
      <c r="GM281"/>
      <c r="GN281"/>
      <c r="GO281" s="27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</row>
    <row r="282" spans="1:281" s="24" customFormat="1" ht="3.95" customHeight="1" x14ac:dyDescent="0.2">
      <c r="A282" s="258"/>
      <c r="B282" s="413"/>
      <c r="C282" s="94"/>
      <c r="D282" s="94"/>
      <c r="E282" s="94"/>
      <c r="F282" s="94"/>
      <c r="G282" s="94"/>
      <c r="H282" s="94"/>
      <c r="I282" s="94"/>
      <c r="J282" s="94"/>
      <c r="K282" s="94"/>
      <c r="L282" s="94"/>
      <c r="M282" s="94"/>
      <c r="N282" s="94"/>
      <c r="O282" s="94"/>
      <c r="P282" s="94"/>
      <c r="Q282" s="94"/>
      <c r="R282" s="94"/>
      <c r="S282" s="94"/>
      <c r="T282" s="342"/>
      <c r="U282" s="94"/>
      <c r="V282" s="94"/>
      <c r="W282" s="94"/>
      <c r="X282" s="94"/>
      <c r="Y282" s="94"/>
      <c r="Z282" s="342"/>
      <c r="AA282" s="94"/>
      <c r="AB282" s="94"/>
      <c r="AC282" s="94"/>
      <c r="AD282" s="94"/>
      <c r="AE282" s="94"/>
      <c r="AF282" s="342"/>
      <c r="AG282" s="43"/>
      <c r="AH282" s="43"/>
      <c r="AI282" s="43"/>
      <c r="AJ282" s="43"/>
      <c r="AK282" s="43"/>
      <c r="AL282" s="342"/>
      <c r="AM282" s="43"/>
      <c r="AN282" s="43"/>
      <c r="AO282" s="43"/>
      <c r="AP282" s="43"/>
      <c r="AQ282" s="43"/>
      <c r="AR282" s="342"/>
      <c r="AS282" s="43"/>
      <c r="AT282" s="43"/>
      <c r="AU282" s="43"/>
      <c r="AV282" s="43"/>
      <c r="AW282" s="43"/>
      <c r="AX282" s="342"/>
      <c r="AY282" s="43"/>
      <c r="AZ282" s="43"/>
      <c r="BA282" s="43"/>
      <c r="BB282" s="43"/>
      <c r="BC282" s="43"/>
      <c r="BD282" s="342"/>
      <c r="BE282" s="43"/>
      <c r="BF282" s="43"/>
      <c r="BG282" s="43"/>
      <c r="BH282" s="43"/>
      <c r="BI282" s="43"/>
      <c r="BJ282" s="342"/>
      <c r="BK282" s="43"/>
      <c r="BL282" s="43"/>
      <c r="BM282" s="43"/>
      <c r="BN282" s="43"/>
      <c r="BO282" s="43"/>
      <c r="BP282" s="342"/>
      <c r="BQ282" s="43"/>
      <c r="BR282" s="43"/>
      <c r="BS282" s="43"/>
      <c r="BT282" s="43"/>
      <c r="BU282" s="43"/>
      <c r="BV282" s="342"/>
      <c r="BW282" s="43"/>
      <c r="BX282" s="43"/>
      <c r="BY282" s="43"/>
      <c r="BZ282" s="43"/>
      <c r="CA282" s="43"/>
      <c r="CB282" s="342"/>
      <c r="CC282" s="43"/>
      <c r="CD282" s="43"/>
      <c r="CE282" s="43"/>
      <c r="CF282" s="43"/>
      <c r="CG282" s="395"/>
      <c r="CH282" s="342"/>
      <c r="CI282" s="43"/>
      <c r="CJ282" s="43"/>
      <c r="CK282" s="43"/>
      <c r="CL282" s="43"/>
      <c r="CM282" s="395"/>
      <c r="CN282" s="342"/>
      <c r="CO282" s="43"/>
      <c r="CP282" s="43"/>
      <c r="CQ282" s="43"/>
      <c r="CR282" s="43"/>
      <c r="CS282" s="395"/>
      <c r="CT282" s="342"/>
      <c r="CU282" s="43"/>
      <c r="CV282" s="43"/>
      <c r="CW282" s="43"/>
      <c r="CX282" s="43"/>
      <c r="CY282" s="395"/>
      <c r="CZ282" s="342"/>
      <c r="DA282" s="43"/>
      <c r="DB282" s="43"/>
      <c r="DC282" s="43"/>
      <c r="DD282" s="43"/>
      <c r="DE282" s="395"/>
      <c r="DF282" s="342"/>
      <c r="DG282" s="43"/>
      <c r="DH282" s="43"/>
      <c r="DI282" s="43"/>
      <c r="DJ282" s="43"/>
      <c r="DK282" s="395"/>
      <c r="DL282" s="342"/>
      <c r="DM282" s="43"/>
      <c r="DN282" s="43"/>
      <c r="DO282" s="43"/>
      <c r="DP282" s="43"/>
      <c r="DQ282" s="395"/>
      <c r="DR282" s="342"/>
      <c r="DS282" s="43"/>
      <c r="DT282" s="43"/>
      <c r="DU282" s="43"/>
      <c r="DV282" s="43"/>
      <c r="DW282" s="395"/>
      <c r="DX282" s="342"/>
      <c r="DY282" s="43"/>
      <c r="DZ282" s="43"/>
      <c r="EA282" s="43"/>
      <c r="EB282" s="43"/>
      <c r="EC282" s="395"/>
      <c r="ED282" s="342"/>
      <c r="EE282" s="43"/>
      <c r="EF282" s="43"/>
      <c r="EG282" s="43"/>
      <c r="EH282" s="43"/>
      <c r="EI282" s="395"/>
      <c r="EJ282" s="342"/>
      <c r="EK282" s="43"/>
      <c r="EL282" s="43"/>
      <c r="EM282" s="43"/>
      <c r="EN282" s="43"/>
      <c r="EO282" s="395"/>
      <c r="EP282" s="342"/>
      <c r="EQ282" s="43"/>
      <c r="ER282" s="43"/>
      <c r="ES282" s="43"/>
      <c r="ET282" s="43"/>
      <c r="EU282" s="395"/>
      <c r="EV282" s="342"/>
      <c r="EW282" s="43"/>
      <c r="EX282" s="43"/>
      <c r="EY282" s="43"/>
      <c r="EZ282" s="43"/>
      <c r="FA282" s="395"/>
      <c r="FB282" s="342"/>
      <c r="FC282" s="43"/>
      <c r="FD282" s="43"/>
      <c r="FE282" s="43"/>
      <c r="FF282" s="43"/>
      <c r="FG282" s="395"/>
      <c r="FH282" s="342"/>
      <c r="FI282" s="43"/>
      <c r="FJ282" s="43"/>
      <c r="FK282" s="43"/>
      <c r="FL282" s="43"/>
      <c r="FM282" s="395"/>
      <c r="FN282" s="27"/>
      <c r="FO282" s="27"/>
      <c r="FP282" s="27"/>
      <c r="FQ282" s="27"/>
      <c r="FR282" s="27"/>
      <c r="FS282" s="27"/>
      <c r="FT282" s="27"/>
      <c r="FU282" s="27"/>
      <c r="FV282" s="27"/>
      <c r="FW282" s="27"/>
      <c r="FX282" s="27"/>
      <c r="FY282" s="27"/>
      <c r="FZ282" s="27"/>
      <c r="GA282" s="27"/>
      <c r="GB282" s="27"/>
      <c r="GC282" s="27"/>
      <c r="GD282" s="27"/>
      <c r="GE282" s="27"/>
      <c r="GF282" s="27"/>
      <c r="GH282" s="27"/>
      <c r="GI282"/>
      <c r="GJ282"/>
      <c r="GK282"/>
      <c r="GL282"/>
      <c r="GM282"/>
      <c r="GN282"/>
      <c r="GO282" s="27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</row>
    <row r="283" spans="1:281" s="24" customFormat="1" x14ac:dyDescent="0.2">
      <c r="A283" s="342" t="s">
        <v>643</v>
      </c>
      <c r="B283" s="413"/>
      <c r="C283" s="94"/>
      <c r="D283" s="94"/>
      <c r="E283" s="94"/>
      <c r="F283" s="94"/>
      <c r="G283" s="94"/>
      <c r="H283" s="94"/>
      <c r="I283" s="94"/>
      <c r="J283" s="94"/>
      <c r="K283" s="94"/>
      <c r="L283" s="43"/>
      <c r="M283" s="43"/>
      <c r="N283" s="342"/>
      <c r="O283" s="94"/>
      <c r="P283" s="94"/>
      <c r="Q283" s="94"/>
      <c r="R283" s="94"/>
      <c r="S283" s="43"/>
      <c r="T283" s="342"/>
      <c r="U283" s="43"/>
      <c r="V283" s="43"/>
      <c r="W283" s="43"/>
      <c r="X283" s="43"/>
      <c r="Y283" s="43"/>
      <c r="Z283" s="342"/>
      <c r="AA283" s="43"/>
      <c r="AB283" s="43"/>
      <c r="AC283" s="43"/>
      <c r="AD283" s="43"/>
      <c r="AE283" s="43"/>
      <c r="AF283" s="342"/>
      <c r="AG283" s="43"/>
      <c r="AH283" s="43"/>
      <c r="AI283" s="43"/>
      <c r="AJ283" s="43"/>
      <c r="AK283" s="43"/>
      <c r="AL283" s="342"/>
      <c r="AM283" s="43"/>
      <c r="AN283" s="43"/>
      <c r="AO283" s="43"/>
      <c r="AP283" s="43"/>
      <c r="AQ283" s="43"/>
      <c r="AR283" s="342"/>
      <c r="AS283" s="43"/>
      <c r="AT283" s="43"/>
      <c r="AU283" s="43"/>
      <c r="AV283" s="43"/>
      <c r="AW283" s="43"/>
      <c r="AX283" s="342"/>
      <c r="AY283" s="43"/>
      <c r="AZ283" s="43"/>
      <c r="BA283" s="43"/>
      <c r="BB283" s="43"/>
      <c r="BC283" s="43"/>
      <c r="BD283" s="342"/>
      <c r="BE283" s="43"/>
      <c r="BF283" s="43"/>
      <c r="BG283" s="43"/>
      <c r="BH283" s="43"/>
      <c r="BI283" s="43"/>
      <c r="BJ283" s="342"/>
      <c r="BK283" s="43"/>
      <c r="BL283" s="43"/>
      <c r="BM283" s="43"/>
      <c r="BN283" s="43"/>
      <c r="BO283" s="43"/>
      <c r="BP283" s="342"/>
      <c r="BQ283" s="43"/>
      <c r="BR283" s="43"/>
      <c r="BS283" s="43"/>
      <c r="BT283" s="43"/>
      <c r="BU283" s="43"/>
      <c r="BV283" s="342"/>
      <c r="BW283" s="43"/>
      <c r="BX283" s="43"/>
      <c r="BY283" s="43"/>
      <c r="BZ283" s="43"/>
      <c r="CA283" s="43"/>
      <c r="CB283" s="342"/>
      <c r="CC283" s="43"/>
      <c r="CD283" s="43"/>
      <c r="CE283" s="43"/>
      <c r="CF283" s="43"/>
      <c r="CG283" s="395"/>
      <c r="CH283" s="342"/>
      <c r="CI283" s="43"/>
      <c r="CJ283" s="43"/>
      <c r="CK283" s="43"/>
      <c r="CL283" s="43"/>
      <c r="CM283" s="395"/>
      <c r="CN283" s="342"/>
      <c r="CO283" s="43"/>
      <c r="CP283" s="43"/>
      <c r="CQ283" s="43"/>
      <c r="CR283" s="43"/>
      <c r="CS283" s="395"/>
      <c r="CT283" s="342"/>
      <c r="CU283" s="43"/>
      <c r="CV283" s="43"/>
      <c r="CW283" s="43"/>
      <c r="CX283" s="43"/>
      <c r="CY283" s="395"/>
      <c r="CZ283" s="342"/>
      <c r="DA283" s="43"/>
      <c r="DB283" s="43"/>
      <c r="DC283" s="43"/>
      <c r="DD283" s="43"/>
      <c r="DE283" s="395"/>
      <c r="DF283" s="342"/>
      <c r="DG283" s="43"/>
      <c r="DH283" s="43"/>
      <c r="DI283" s="43"/>
      <c r="DJ283" s="43"/>
      <c r="DK283" s="395"/>
      <c r="DL283" s="342"/>
      <c r="DM283" s="43">
        <f>DM60/DG60-1</f>
        <v>-4.6339202965709037E-2</v>
      </c>
      <c r="DN283" s="43">
        <f>DN60/DH60-1</f>
        <v>-0.14298561151079137</v>
      </c>
      <c r="DO283" s="43">
        <f>DO60/DI60-1</f>
        <v>-0.16038647342995171</v>
      </c>
      <c r="DP283" s="43">
        <f>DP60/DJ60-1</f>
        <v>-0.15557476231633538</v>
      </c>
      <c r="DQ283" s="395">
        <f>DQ60/DK60-1</f>
        <v>-0.12662559890485969</v>
      </c>
      <c r="DR283" s="342"/>
      <c r="DS283" s="43">
        <f>DS60/DM60-1</f>
        <v>-0.24295432458697763</v>
      </c>
      <c r="DT283" s="43">
        <f>DT60/DN60-1</f>
        <v>-0.22980062959076597</v>
      </c>
      <c r="DU283" s="43">
        <f>DU60/DO60-1</f>
        <v>-0.22784810126582278</v>
      </c>
      <c r="DV283" s="43">
        <f>DV60/DP60-1</f>
        <v>-0.13101330603889461</v>
      </c>
      <c r="DW283" s="395">
        <f>DW60/DQ60-1</f>
        <v>-0.20768025078369901</v>
      </c>
      <c r="DX283" s="342"/>
      <c r="DY283" s="43">
        <f>DY60/DS60-1</f>
        <v>-0.14120667522464703</v>
      </c>
      <c r="DZ283" s="43">
        <f>DZ60/DT60-1</f>
        <v>-2.7247956403269713E-2</v>
      </c>
      <c r="EA283" s="43">
        <f>EA60/DU60-1</f>
        <v>8.0476900149031305E-2</v>
      </c>
      <c r="EB283" s="43">
        <f>EB60/DV60-1</f>
        <v>2.4734982332155431E-2</v>
      </c>
      <c r="EC283" s="395">
        <f>EC60/DW60-1</f>
        <v>-1.8133860863831175E-2</v>
      </c>
      <c r="ED283" s="342"/>
      <c r="EE283" s="43">
        <f>EE60/DY60-1</f>
        <v>-0.13602391629297461</v>
      </c>
      <c r="EF283" s="43">
        <f>EF60/DZ60-1</f>
        <v>4.2016806722688926E-3</v>
      </c>
      <c r="EG283" s="43">
        <f>EG60/EA60-1</f>
        <v>-1.7931034482758568E-2</v>
      </c>
      <c r="EH283" s="43">
        <f>EH60/EB60-1</f>
        <v>-5.9770114942528707E-2</v>
      </c>
      <c r="EI283" s="395">
        <f>EI60/EC60-1</f>
        <v>-5.1376762928139641E-2</v>
      </c>
      <c r="EJ283" s="342"/>
      <c r="EK283" s="43">
        <f>EK60/EE60-1</f>
        <v>-1.384083044982698E-2</v>
      </c>
      <c r="EL283" s="43">
        <f>EL60/EF60-1</f>
        <v>-0.20083682008368198</v>
      </c>
      <c r="EM283" s="43">
        <f>EM60/EG60-1</f>
        <v>-0.151685393258427</v>
      </c>
      <c r="EN283" s="43">
        <f>EN60/EH60-1</f>
        <v>-0.11369193154034229</v>
      </c>
      <c r="EO283" s="395"/>
      <c r="EP283" s="342"/>
      <c r="EQ283" s="43">
        <f>EQ60/EK60-1</f>
        <v>-0.18947368421052635</v>
      </c>
      <c r="ER283" s="43">
        <f>ER60/EL60-1</f>
        <v>-0.13263525305410118</v>
      </c>
      <c r="ES283" s="43">
        <f>ES60/EM60-1</f>
        <v>-0.13907284768211925</v>
      </c>
      <c r="ET283" s="43">
        <f>ET60/EN60-1</f>
        <v>-0.17655172413793108</v>
      </c>
      <c r="EU283" s="395"/>
      <c r="EV283" s="342"/>
      <c r="EW283" s="43"/>
      <c r="EX283" s="43">
        <f>EX60/ER60-1</f>
        <v>-0.16000000000000003</v>
      </c>
      <c r="EY283" s="43">
        <f>EY60/ES60-1</f>
        <v>-0.12</v>
      </c>
      <c r="EZ283" s="43"/>
      <c r="FA283" s="395"/>
      <c r="FB283" s="342"/>
      <c r="FC283" s="43"/>
      <c r="FD283" s="43"/>
      <c r="FE283" s="43"/>
      <c r="FF283" s="43"/>
      <c r="FG283" s="395"/>
      <c r="FH283" s="342"/>
      <c r="FI283" s="43"/>
      <c r="FJ283" s="43"/>
      <c r="FK283" s="43"/>
      <c r="FL283" s="43"/>
      <c r="FM283" s="395"/>
      <c r="FN283" s="27"/>
      <c r="FO283" s="27"/>
      <c r="FP283" s="27"/>
      <c r="FQ283" s="27"/>
      <c r="FR283" s="27"/>
      <c r="FS283" s="27"/>
      <c r="FT283" s="27"/>
      <c r="FU283" s="27"/>
      <c r="FV283" s="27"/>
      <c r="FW283" s="27"/>
      <c r="FX283" s="27"/>
      <c r="FY283" s="27"/>
      <c r="FZ283" s="27"/>
      <c r="GA283" s="27"/>
      <c r="GB283" s="27"/>
      <c r="GC283" s="27"/>
      <c r="GD283" s="27"/>
      <c r="GE283" s="27"/>
      <c r="GF283" s="27"/>
      <c r="GH283" s="27"/>
      <c r="GI283"/>
      <c r="GJ283"/>
      <c r="GK283"/>
      <c r="GL283"/>
      <c r="GM283"/>
      <c r="GN283"/>
      <c r="GO283" s="27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</row>
    <row r="284" spans="1:281" s="24" customFormat="1" x14ac:dyDescent="0.2">
      <c r="A284" s="342" t="s">
        <v>513</v>
      </c>
      <c r="B284" s="413"/>
      <c r="C284" s="94"/>
      <c r="D284" s="94"/>
      <c r="E284" s="94"/>
      <c r="F284" s="94"/>
      <c r="G284" s="94"/>
      <c r="H284" s="94"/>
      <c r="I284" s="94"/>
      <c r="J284" s="94"/>
      <c r="K284" s="94"/>
      <c r="L284" s="43"/>
      <c r="M284" s="43"/>
      <c r="N284" s="342"/>
      <c r="O284" s="94"/>
      <c r="P284" s="94"/>
      <c r="Q284" s="94"/>
      <c r="R284" s="94"/>
      <c r="S284" s="43"/>
      <c r="T284" s="342"/>
      <c r="U284" s="43"/>
      <c r="V284" s="43"/>
      <c r="W284" s="43"/>
      <c r="X284" s="43"/>
      <c r="Y284" s="43"/>
      <c r="Z284" s="342"/>
      <c r="AA284" s="43"/>
      <c r="AB284" s="43"/>
      <c r="AC284" s="43"/>
      <c r="AD284" s="43"/>
      <c r="AE284" s="43"/>
      <c r="AF284" s="342"/>
      <c r="AG284" s="43"/>
      <c r="AH284" s="43"/>
      <c r="AI284" s="43"/>
      <c r="AJ284" s="43"/>
      <c r="AK284" s="43"/>
      <c r="AL284" s="342"/>
      <c r="AM284" s="43"/>
      <c r="AN284" s="43"/>
      <c r="AO284" s="43"/>
      <c r="AP284" s="43"/>
      <c r="AQ284" s="43"/>
      <c r="AR284" s="342"/>
      <c r="AS284" s="43"/>
      <c r="AT284" s="43"/>
      <c r="AU284" s="43"/>
      <c r="AV284" s="43"/>
      <c r="AW284" s="43"/>
      <c r="AX284" s="342"/>
      <c r="AY284" s="43"/>
      <c r="AZ284" s="43"/>
      <c r="BA284" s="43"/>
      <c r="BB284" s="43"/>
      <c r="BC284" s="43"/>
      <c r="BD284" s="342"/>
      <c r="BE284" s="43"/>
      <c r="BF284" s="43"/>
      <c r="BG284" s="43"/>
      <c r="BH284" s="43"/>
      <c r="BI284" s="43"/>
      <c r="BJ284" s="342"/>
      <c r="BK284" s="43"/>
      <c r="BL284" s="43"/>
      <c r="BM284" s="43"/>
      <c r="BN284" s="43"/>
      <c r="BO284" s="43"/>
      <c r="BP284" s="342"/>
      <c r="BQ284" s="43"/>
      <c r="BR284" s="43"/>
      <c r="BS284" s="43"/>
      <c r="BT284" s="43"/>
      <c r="BU284" s="43"/>
      <c r="BV284" s="342"/>
      <c r="BW284" s="43"/>
      <c r="BX284" s="43"/>
      <c r="BY284" s="43"/>
      <c r="BZ284" s="43"/>
      <c r="CA284" s="43"/>
      <c r="CB284" s="342"/>
      <c r="CC284" s="43"/>
      <c r="CD284" s="43"/>
      <c r="CE284" s="43"/>
      <c r="CF284" s="43"/>
      <c r="CG284" s="395"/>
      <c r="CH284" s="342"/>
      <c r="CI284" s="43"/>
      <c r="CJ284" s="43"/>
      <c r="CK284" s="43"/>
      <c r="CL284" s="43"/>
      <c r="CM284" s="395"/>
      <c r="CN284" s="342"/>
      <c r="CO284" s="43"/>
      <c r="CP284" s="43"/>
      <c r="CQ284" s="43"/>
      <c r="CR284" s="43"/>
      <c r="CS284" s="395"/>
      <c r="CT284" s="342"/>
      <c r="CU284" s="43"/>
      <c r="CV284" s="43"/>
      <c r="CW284" s="43"/>
      <c r="CX284" s="43"/>
      <c r="CY284" s="395"/>
      <c r="CZ284" s="342"/>
      <c r="DA284" s="43"/>
      <c r="DB284" s="43"/>
      <c r="DC284" s="43"/>
      <c r="DD284" s="43"/>
      <c r="DE284" s="395"/>
      <c r="DF284" s="342"/>
      <c r="DG284" s="43"/>
      <c r="DH284" s="43"/>
      <c r="DI284" s="43"/>
      <c r="DJ284" s="43"/>
      <c r="DK284" s="395"/>
      <c r="DL284" s="342"/>
      <c r="DM284" s="43">
        <f>DM67/DG67-1</f>
        <v>-3.5294117647058809E-2</v>
      </c>
      <c r="DN284" s="43">
        <f>DN67/DH67-1</f>
        <v>-7.5801749271137031E-2</v>
      </c>
      <c r="DO284" s="43">
        <f>DO67/DI67-1</f>
        <v>-7.0121951219512146E-2</v>
      </c>
      <c r="DP284" s="43">
        <f>DP67/DJ67-1</f>
        <v>-0.12081513828238721</v>
      </c>
      <c r="DQ284" s="395">
        <f>DQ67/DK67-1</f>
        <v>-7.5673680324843118E-2</v>
      </c>
      <c r="DR284" s="342"/>
      <c r="DS284" s="43">
        <f>DS67/DM67-1</f>
        <v>-0.11890243902439024</v>
      </c>
      <c r="DT284" s="43">
        <f>DT67/DN67-1</f>
        <v>-6.9400630914826511E-2</v>
      </c>
      <c r="DU284" s="43">
        <f>DU67/DO67-1</f>
        <v>-6.2295081967213117E-2</v>
      </c>
      <c r="DV284" s="43">
        <f>DV67/DP67-1</f>
        <v>-2.9801324503311299E-2</v>
      </c>
      <c r="DW284" s="395">
        <f>DW67/DQ67-1</f>
        <v>-7.1086261980830678E-2</v>
      </c>
      <c r="DX284" s="342"/>
      <c r="DY284" s="43">
        <f>DY67/DS67-1</f>
        <v>3.2871972318339049E-2</v>
      </c>
      <c r="DZ284" s="43">
        <f>DZ67/DT67-1</f>
        <v>3.8983050847457568E-2</v>
      </c>
      <c r="EA284" s="43">
        <f>EA67/DU67-1</f>
        <v>4.8951048951048959E-2</v>
      </c>
      <c r="EB284" s="43">
        <f>EB67/DV67-1</f>
        <v>1.8771331058020424E-2</v>
      </c>
      <c r="EC284" s="395">
        <f>EC67/DW67-1</f>
        <v>3.4823731728288898E-2</v>
      </c>
      <c r="ED284" s="342"/>
      <c r="EE284" s="43">
        <f>EE67/DY67-1</f>
        <v>-1.5075376884422065E-2</v>
      </c>
      <c r="EF284" s="43">
        <f>EF67/DZ67-1</f>
        <v>9.7879282218598096E-3</v>
      </c>
      <c r="EG284" s="43">
        <f>EG67/EA67-1</f>
        <v>-2.0000000000000018E-2</v>
      </c>
      <c r="EH284" s="43">
        <f>EH67/EB67-1</f>
        <v>-1.1725293132328285E-2</v>
      </c>
      <c r="EI284" s="395">
        <f>EI67/EC67-1</f>
        <v>-9.1400083090984463E-3</v>
      </c>
      <c r="EJ284" s="342"/>
      <c r="EK284" s="43">
        <f>EK67/EE67-1</f>
        <v>-4.9319727891156462E-2</v>
      </c>
      <c r="EL284" s="43">
        <f>EL67/EF67-1</f>
        <v>-0.11147011308562194</v>
      </c>
      <c r="EM284" s="43">
        <f>EM67/EG67-1</f>
        <v>-9.6938775510204134E-2</v>
      </c>
      <c r="EN284" s="43">
        <f>EN67/EH67-1</f>
        <v>-5.4237288135593253E-2</v>
      </c>
      <c r="EO284" s="395"/>
      <c r="EP284" s="342"/>
      <c r="EQ284" s="43">
        <f>EQ67/EK67-1</f>
        <v>-4.4722719141323752E-2</v>
      </c>
      <c r="ER284" s="43">
        <f>ER67/EL67-1</f>
        <v>-6.0000000000000053E-2</v>
      </c>
      <c r="ES284" s="43">
        <f>ES67/EM67-1</f>
        <v>-4.3314500941619594E-2</v>
      </c>
      <c r="ET284" s="43">
        <f>ET67/EN67-1</f>
        <v>-7.3476702508960545E-2</v>
      </c>
      <c r="EU284" s="395"/>
      <c r="EV284" s="342"/>
      <c r="EW284" s="43"/>
      <c r="EX284" s="43">
        <f>EX67/ER67-1</f>
        <v>1.0676982591876216E-2</v>
      </c>
      <c r="EY284" s="43">
        <f>EY67/ES67-1</f>
        <v>5.5905511811023656E-2</v>
      </c>
      <c r="EZ284" s="43"/>
      <c r="FA284" s="395"/>
      <c r="FB284" s="342"/>
      <c r="FC284" s="43"/>
      <c r="FD284" s="43"/>
      <c r="FE284" s="43"/>
      <c r="FF284" s="43"/>
      <c r="FG284" s="395"/>
      <c r="FH284" s="342"/>
      <c r="FI284" s="43"/>
      <c r="FJ284" s="43"/>
      <c r="FK284" s="43"/>
      <c r="FL284" s="43"/>
      <c r="FM284" s="395"/>
      <c r="FN284" s="27"/>
      <c r="FO284" s="27"/>
      <c r="FP284" s="27"/>
      <c r="FQ284" s="27"/>
      <c r="FR284" s="27"/>
      <c r="FS284" s="27"/>
      <c r="FT284" s="27"/>
      <c r="FU284" s="27"/>
      <c r="FV284" s="27"/>
      <c r="FW284" s="27"/>
      <c r="FX284" s="27"/>
      <c r="FY284" s="27"/>
      <c r="FZ284" s="27"/>
      <c r="GA284" s="27"/>
      <c r="GB284" s="27"/>
      <c r="GC284" s="27"/>
      <c r="GD284" s="27"/>
      <c r="GE284" s="27"/>
      <c r="GF284" s="27"/>
      <c r="GH284" s="27"/>
      <c r="GI284"/>
      <c r="GJ284"/>
      <c r="GK284"/>
      <c r="GL284"/>
      <c r="GM284"/>
      <c r="GN284"/>
      <c r="GO284" s="27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</row>
    <row r="285" spans="1:281" s="24" customFormat="1" ht="3.95" customHeight="1" x14ac:dyDescent="0.2">
      <c r="A285" s="342"/>
      <c r="B285" s="413"/>
      <c r="C285" s="94"/>
      <c r="D285" s="94"/>
      <c r="E285" s="94"/>
      <c r="F285" s="94"/>
      <c r="G285" s="94"/>
      <c r="H285" s="94"/>
      <c r="I285" s="94"/>
      <c r="J285" s="94"/>
      <c r="K285" s="94"/>
      <c r="L285" s="43"/>
      <c r="M285" s="43"/>
      <c r="N285" s="342"/>
      <c r="O285" s="94"/>
      <c r="P285" s="94"/>
      <c r="Q285" s="94"/>
      <c r="R285" s="94"/>
      <c r="S285" s="43"/>
      <c r="T285" s="342"/>
      <c r="U285" s="43"/>
      <c r="V285" s="43"/>
      <c r="W285" s="43"/>
      <c r="X285" s="43"/>
      <c r="Y285" s="43"/>
      <c r="Z285" s="342"/>
      <c r="AA285" s="43"/>
      <c r="AB285" s="43"/>
      <c r="AC285" s="43"/>
      <c r="AD285" s="43"/>
      <c r="AE285" s="43"/>
      <c r="AF285" s="342"/>
      <c r="AG285" s="43"/>
      <c r="AH285" s="43"/>
      <c r="AI285" s="43"/>
      <c r="AJ285" s="43"/>
      <c r="AK285" s="43"/>
      <c r="AL285" s="342"/>
      <c r="AM285" s="43"/>
      <c r="AN285" s="43"/>
      <c r="AO285" s="43"/>
      <c r="AP285" s="43"/>
      <c r="AQ285" s="43"/>
      <c r="AR285" s="342"/>
      <c r="AS285" s="43"/>
      <c r="AT285" s="43"/>
      <c r="AU285" s="43"/>
      <c r="AV285" s="43"/>
      <c r="AW285" s="43"/>
      <c r="AX285" s="342"/>
      <c r="AY285" s="43"/>
      <c r="AZ285" s="43"/>
      <c r="BA285" s="43"/>
      <c r="BB285" s="43"/>
      <c r="BC285" s="43"/>
      <c r="BD285" s="342"/>
      <c r="BE285" s="43"/>
      <c r="BF285" s="43"/>
      <c r="BG285" s="43"/>
      <c r="BH285" s="43"/>
      <c r="BI285" s="43"/>
      <c r="BJ285" s="342"/>
      <c r="BK285" s="43"/>
      <c r="BL285" s="43"/>
      <c r="BM285" s="43"/>
      <c r="BN285" s="43"/>
      <c r="BO285" s="43"/>
      <c r="BP285" s="342"/>
      <c r="BQ285" s="43"/>
      <c r="BR285" s="43"/>
      <c r="BS285" s="43"/>
      <c r="BT285" s="43"/>
      <c r="BU285" s="43"/>
      <c r="BV285" s="342"/>
      <c r="BW285" s="43"/>
      <c r="BX285" s="43"/>
      <c r="BY285" s="43"/>
      <c r="BZ285" s="43"/>
      <c r="CA285" s="43"/>
      <c r="CB285" s="342"/>
      <c r="CC285" s="43"/>
      <c r="CD285" s="43"/>
      <c r="CE285" s="43"/>
      <c r="CF285" s="43"/>
      <c r="CG285" s="395"/>
      <c r="CH285" s="342"/>
      <c r="CI285" s="43"/>
      <c r="CJ285" s="43"/>
      <c r="CK285" s="43"/>
      <c r="CL285" s="43"/>
      <c r="CM285" s="395"/>
      <c r="CN285" s="342"/>
      <c r="CO285" s="43"/>
      <c r="CP285" s="43"/>
      <c r="CQ285" s="43"/>
      <c r="CR285" s="43"/>
      <c r="CS285" s="395"/>
      <c r="CT285" s="342"/>
      <c r="CU285" s="43"/>
      <c r="CV285" s="43"/>
      <c r="CW285" s="43"/>
      <c r="CX285" s="43"/>
      <c r="CY285" s="395"/>
      <c r="CZ285" s="342"/>
      <c r="DA285" s="43"/>
      <c r="DB285" s="43"/>
      <c r="DC285" s="43"/>
      <c r="DD285" s="43"/>
      <c r="DE285" s="395"/>
      <c r="DF285" s="342"/>
      <c r="DG285" s="43"/>
      <c r="DH285" s="43"/>
      <c r="DI285" s="43"/>
      <c r="DJ285" s="43"/>
      <c r="DK285" s="395"/>
      <c r="DL285" s="342"/>
      <c r="DM285" s="43"/>
      <c r="DN285" s="43"/>
      <c r="DO285" s="43"/>
      <c r="DP285" s="43"/>
      <c r="DQ285" s="395"/>
      <c r="DR285" s="342"/>
      <c r="DS285" s="43"/>
      <c r="DT285" s="43"/>
      <c r="DU285" s="43"/>
      <c r="DV285" s="43"/>
      <c r="DW285" s="395"/>
      <c r="DX285" s="342"/>
      <c r="DY285" s="43"/>
      <c r="DZ285" s="43"/>
      <c r="EA285" s="43"/>
      <c r="EB285" s="43"/>
      <c r="EC285" s="395"/>
      <c r="ED285" s="342"/>
      <c r="EE285" s="43"/>
      <c r="EF285" s="43"/>
      <c r="EG285" s="43"/>
      <c r="EH285" s="43"/>
      <c r="EI285" s="395"/>
      <c r="EJ285" s="342"/>
      <c r="EK285" s="43"/>
      <c r="EL285" s="43"/>
      <c r="EM285" s="43"/>
      <c r="EN285" s="43"/>
      <c r="EO285" s="395"/>
      <c r="EP285" s="342"/>
      <c r="EQ285" s="43"/>
      <c r="ER285" s="43"/>
      <c r="ES285" s="43"/>
      <c r="ET285" s="43"/>
      <c r="EU285" s="395"/>
      <c r="EV285" s="342"/>
      <c r="EW285" s="43"/>
      <c r="EX285" s="43"/>
      <c r="EY285" s="43"/>
      <c r="EZ285" s="43"/>
      <c r="FA285" s="395"/>
      <c r="FB285" s="342"/>
      <c r="FC285" s="43"/>
      <c r="FD285" s="43"/>
      <c r="FE285" s="43"/>
      <c r="FF285" s="43"/>
      <c r="FG285" s="395"/>
      <c r="FH285" s="342"/>
      <c r="FI285" s="43"/>
      <c r="FJ285" s="43"/>
      <c r="FK285" s="43"/>
      <c r="FL285" s="43"/>
      <c r="FM285" s="395"/>
      <c r="FN285" s="27"/>
      <c r="FO285" s="27"/>
      <c r="FP285" s="27"/>
      <c r="FQ285" s="27"/>
      <c r="FR285" s="27"/>
      <c r="FS285" s="27"/>
      <c r="FT285" s="27"/>
      <c r="FU285" s="27"/>
      <c r="FV285" s="27"/>
      <c r="FW285" s="27"/>
      <c r="FX285" s="27"/>
      <c r="FY285" s="27"/>
      <c r="FZ285" s="27"/>
      <c r="GA285" s="27"/>
      <c r="GB285" s="27"/>
      <c r="GC285" s="27"/>
      <c r="GD285" s="27"/>
      <c r="GE285" s="27"/>
      <c r="GF285" s="27"/>
      <c r="GH285" s="27"/>
      <c r="GI285"/>
      <c r="GJ285"/>
      <c r="GK285"/>
      <c r="GL285"/>
      <c r="GM285"/>
      <c r="GN285"/>
      <c r="GO285" s="27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</row>
    <row r="286" spans="1:281" s="24" customFormat="1" x14ac:dyDescent="0.2">
      <c r="A286" s="342" t="s">
        <v>32</v>
      </c>
      <c r="B286" s="413"/>
      <c r="C286" s="94" t="s">
        <v>945</v>
      </c>
      <c r="D286" s="94" t="s">
        <v>945</v>
      </c>
      <c r="E286" s="94" t="s">
        <v>945</v>
      </c>
      <c r="F286" s="94" t="s">
        <v>945</v>
      </c>
      <c r="G286" s="94" t="s">
        <v>945</v>
      </c>
      <c r="H286" s="43">
        <f t="shared" ref="H286:M286" si="172">H87/G87-1</f>
        <v>1.1632019614491771</v>
      </c>
      <c r="I286" s="43">
        <f t="shared" si="172"/>
        <v>0.51821305841924392</v>
      </c>
      <c r="J286" s="43">
        <f t="shared" si="172"/>
        <v>0.51876295537394879</v>
      </c>
      <c r="K286" s="43">
        <f t="shared" si="172"/>
        <v>0.36483433734939763</v>
      </c>
      <c r="L286" s="43">
        <f t="shared" si="172"/>
        <v>0.33524904214559381</v>
      </c>
      <c r="M286" s="43">
        <f t="shared" si="172"/>
        <v>0.29432855093256816</v>
      </c>
      <c r="N286" s="342"/>
      <c r="O286" s="94" t="s">
        <v>945</v>
      </c>
      <c r="P286" s="94" t="s">
        <v>945</v>
      </c>
      <c r="Q286" s="94" t="s">
        <v>945</v>
      </c>
      <c r="R286" s="94" t="s">
        <v>945</v>
      </c>
      <c r="S286" s="43">
        <f>S87/M87-1</f>
        <v>0.50848808453611238</v>
      </c>
      <c r="T286" s="342"/>
      <c r="U286" s="43">
        <f>U87/O87-1</f>
        <v>0.52565159834197761</v>
      </c>
      <c r="V286" s="43">
        <f>V87/P87-1</f>
        <v>0.47247005622097316</v>
      </c>
      <c r="W286" s="43">
        <f>W87/Q87-1</f>
        <v>0.45499287246756626</v>
      </c>
      <c r="X286" s="43">
        <f>X87/R87-1</f>
        <v>0.41767204467659913</v>
      </c>
      <c r="Y286" s="43">
        <f>Y87/S87-1</f>
        <v>0.46231036139903758</v>
      </c>
      <c r="Z286" s="342"/>
      <c r="AA286" s="43">
        <f>AA87/U87-1</f>
        <v>0.44143593099148171</v>
      </c>
      <c r="AB286" s="43">
        <f>AB87/V87-1</f>
        <v>0.46277520698885688</v>
      </c>
      <c r="AC286" s="43">
        <f>AC87/W87-1</f>
        <v>0.40202161749191956</v>
      </c>
      <c r="AD286" s="43">
        <f>AD87/X87-1</f>
        <v>0.4466350241105268</v>
      </c>
      <c r="AE286" s="43">
        <f>AE87/Y87-1</f>
        <v>0.43811487890107981</v>
      </c>
      <c r="AF286" s="342"/>
      <c r="AG286" s="43">
        <f>AG87/AA87-1</f>
        <v>0.42014664425445969</v>
      </c>
      <c r="AH286" s="43">
        <f>AH87/AB87-1</f>
        <v>0.40803289990722424</v>
      </c>
      <c r="AI286" s="43">
        <f>AI87/AC87-1</f>
        <v>0.40545714301848212</v>
      </c>
      <c r="AJ286" s="43">
        <f>AJ87/AD87-1</f>
        <v>0.43139083656712662</v>
      </c>
      <c r="AK286" s="43">
        <f>AK87/AE87-1</f>
        <v>0.4168296710630679</v>
      </c>
      <c r="AL286" s="342"/>
      <c r="AM286" s="43">
        <f>AM87/AG87-1</f>
        <v>0.37992268244210425</v>
      </c>
      <c r="AN286" s="43">
        <f>AN87/AH87-1</f>
        <v>0.3205230117302853</v>
      </c>
      <c r="AO286" s="43">
        <f>AO87/AI87-1</f>
        <v>0.27999104025456933</v>
      </c>
      <c r="AP286" s="43">
        <f>AP87/AJ87-1</f>
        <v>0.21329837188235024</v>
      </c>
      <c r="AQ286" s="43">
        <f>AQ87/AK87-1</f>
        <v>0.29140217593694406</v>
      </c>
      <c r="AR286" s="342"/>
      <c r="AS286" s="43">
        <f>AS87/AM87-1</f>
        <v>0.15977715428574335</v>
      </c>
      <c r="AT286" s="43">
        <f>AT87/AN87-1</f>
        <v>0.10224712500295641</v>
      </c>
      <c r="AU286" s="43">
        <f>AU87/AO87-1</f>
        <v>0.1035059675291703</v>
      </c>
      <c r="AV286" s="43">
        <f>AV87/AP87-1</f>
        <v>8.3861174605805999E-2</v>
      </c>
      <c r="AW286" s="43">
        <f>AW87/AQ87-1</f>
        <v>0.11051805979087859</v>
      </c>
      <c r="AX286" s="342"/>
      <c r="AY286" s="43">
        <f>AY87/AS87-1</f>
        <v>9.7603900798265419E-2</v>
      </c>
      <c r="AZ286" s="43">
        <f>AZ87/AT87-1</f>
        <v>0.10279072922492505</v>
      </c>
      <c r="BA286" s="43">
        <f>BA87/AU87-1</f>
        <v>0.13432185189715362</v>
      </c>
      <c r="BB286" s="43">
        <f>BB87/AV87-1</f>
        <v>5.6528960300928244E-2</v>
      </c>
      <c r="BC286" s="43">
        <f>BC87/AW87-1</f>
        <v>9.6595088062988888E-2</v>
      </c>
      <c r="BD286" s="342"/>
      <c r="BE286" s="43">
        <f>BE87/AY87-1</f>
        <v>2.4526173448834898E-2</v>
      </c>
      <c r="BF286" s="43">
        <f>BF87/AZ87-1</f>
        <v>-1.014866166838746E-2</v>
      </c>
      <c r="BG286" s="43">
        <f>BG87/BA87-1</f>
        <v>-7.4434344745178516E-2</v>
      </c>
      <c r="BH286" s="43">
        <f>BH87/BB87-1</f>
        <v>-2.8561088679527336E-2</v>
      </c>
      <c r="BI286" s="43">
        <f>BI87/BC87-1</f>
        <v>-2.2808586551674948E-2</v>
      </c>
      <c r="BJ286" s="342"/>
      <c r="BK286" s="43">
        <f>BK87/BE87-1</f>
        <v>-5.7239403917894172E-2</v>
      </c>
      <c r="BL286" s="43">
        <f>BL87/BF87-1</f>
        <v>-2.0954366581570905E-2</v>
      </c>
      <c r="BM286" s="43">
        <f>BM87/BG87-1</f>
        <v>5.1229132051854309E-2</v>
      </c>
      <c r="BN286" s="43">
        <f>BN87/BH87-1</f>
        <v>1.2559705862612347E-2</v>
      </c>
      <c r="BO286" s="43">
        <f>BO87/BI87-1</f>
        <v>-4.1665041821508098E-3</v>
      </c>
      <c r="BP286" s="342"/>
      <c r="BQ286" s="43">
        <f>BQ87/BK87-1</f>
        <v>5.5972696245733866E-2</v>
      </c>
      <c r="BR286" s="43">
        <f>BR87/BL87-1</f>
        <v>6.4119170984455964E-2</v>
      </c>
      <c r="BS286" s="43">
        <f>BS87/BM87-1</f>
        <v>7.0876288659793785E-2</v>
      </c>
      <c r="BT286" s="43">
        <f>BT87/BN87-1</f>
        <v>7.2123570907321799E-2</v>
      </c>
      <c r="BU286" s="43">
        <f>BU87/BO87-1</f>
        <v>6.6007026138524605E-2</v>
      </c>
      <c r="BV286" s="342"/>
      <c r="BW286" s="43">
        <f>BW87/BQ87-1</f>
        <v>6.7873303167420795E-2</v>
      </c>
      <c r="BX286" s="43">
        <f>BX87/BR87-1</f>
        <v>8.6427267194157054E-2</v>
      </c>
      <c r="BY286" s="43">
        <f>BY87/BS87-1</f>
        <v>0.2912154031287606</v>
      </c>
      <c r="BZ286" s="43">
        <f>BZ87/BT87-1</f>
        <v>0.38740782756664771</v>
      </c>
      <c r="CA286" s="43">
        <f>CA87/BU87-1</f>
        <v>0.21375661375661381</v>
      </c>
      <c r="CB286" s="342"/>
      <c r="CC286" s="43">
        <f>CC87/BW87-1</f>
        <v>0.37893462469733663</v>
      </c>
      <c r="CD286" s="43">
        <f>CD87/BX87-1</f>
        <v>0.30868347338935576</v>
      </c>
      <c r="CE286" s="43">
        <f>CE87/BY87-1</f>
        <v>0.13606710158434288</v>
      </c>
      <c r="CF286" s="43">
        <f>CF87/BZ87-1</f>
        <v>0.15126737530662315</v>
      </c>
      <c r="CG286" s="395">
        <f>CG87/CA87-1</f>
        <v>0.22904471291568074</v>
      </c>
      <c r="CH286" s="342"/>
      <c r="CI286" s="43">
        <f>CI87/CC87-1</f>
        <v>0.25417032484635649</v>
      </c>
      <c r="CJ286" s="43">
        <f>CJ87/CD87-1</f>
        <v>0.28809931506849318</v>
      </c>
      <c r="CK286" s="43">
        <f>CK87/CE87-1</f>
        <v>0.25471698113207553</v>
      </c>
      <c r="CL286" s="43">
        <f>CL87/CF87-1</f>
        <v>0.20809659090909083</v>
      </c>
      <c r="CM286" s="395">
        <f>CM87/CG87-1</f>
        <v>0.249189298743413</v>
      </c>
      <c r="CN286" s="342"/>
      <c r="CO286" s="43">
        <f>CO87/CI87-1</f>
        <v>0.2271613580679035</v>
      </c>
      <c r="CP286" s="43">
        <f>CP87/CJ87-1</f>
        <v>0.22831505483549352</v>
      </c>
      <c r="CQ286" s="43">
        <f>CQ87/CK87-1</f>
        <v>0.22752533507682249</v>
      </c>
      <c r="CR286" s="43">
        <f>CR87/CL87-1</f>
        <v>0.21604938271604945</v>
      </c>
      <c r="CS286" s="395">
        <f>CS87/CM87-1</f>
        <v>0.22446661799302348</v>
      </c>
      <c r="CT286" s="342"/>
      <c r="CU286" s="43">
        <f>CU87/CO87-1</f>
        <v>0.19395322304620644</v>
      </c>
      <c r="CV286" s="43">
        <f>CV87/CP87-1</f>
        <v>9.8755411255411207E-2</v>
      </c>
      <c r="CW286" s="43">
        <f>CW87/CQ87-1</f>
        <v>6.2050599201065149E-2</v>
      </c>
      <c r="CX286" s="43">
        <f>CX87/CR87-1</f>
        <v>0</v>
      </c>
      <c r="CY286" s="395">
        <f>CY75/CS75-1</f>
        <v>-4.6217571397427548E-2</v>
      </c>
      <c r="CZ286" s="342"/>
      <c r="DA286" s="43">
        <f>DA75/CU75-1</f>
        <v>-0.21570319240724767</v>
      </c>
      <c r="DB286" s="43">
        <f>DB75/CV75-1</f>
        <v>-0.15296198054818744</v>
      </c>
      <c r="DC286" s="43">
        <f>DC75/CW75-1</f>
        <v>-8.7254901960784337E-2</v>
      </c>
      <c r="DD286" s="43">
        <f>DD75/CX75-1</f>
        <v>4.0375586854460188E-2</v>
      </c>
      <c r="DE286" s="395">
        <f>DE75/CY75-1</f>
        <v>-0.10719999999999996</v>
      </c>
      <c r="DF286" s="342"/>
      <c r="DG286" s="43">
        <f>DG75/DA75-1</f>
        <v>0.17491749174917492</v>
      </c>
      <c r="DH286" s="43">
        <f>DH75/DB75-1</f>
        <v>0.23695198329853873</v>
      </c>
      <c r="DI286" s="43">
        <f>DI75/DC75-1</f>
        <v>0.23093447905477982</v>
      </c>
      <c r="DJ286" s="43">
        <f>DJ75/DD75-1</f>
        <v>0.12635379061371843</v>
      </c>
      <c r="DK286" s="395">
        <f>DK75/DE75-1</f>
        <v>0.18970814132104463</v>
      </c>
      <c r="DL286" s="342"/>
      <c r="DM286" s="43">
        <f>DM75/DG75-1</f>
        <v>0.10486891385767794</v>
      </c>
      <c r="DN286" s="43">
        <f>DN75/DH75-1</f>
        <v>-4.2194092827003704E-3</v>
      </c>
      <c r="DO286" s="43">
        <f>DO75/DI75-1</f>
        <v>-4.0670157068063428E-3</v>
      </c>
      <c r="DP286" s="43">
        <f>DP75/DJ75-1</f>
        <v>-3.6731009615384669E-2</v>
      </c>
      <c r="DQ286" s="395">
        <f>DQ75/DK75-1</f>
        <v>1.2158145039810497E-2</v>
      </c>
      <c r="DR286" s="342"/>
      <c r="DS286" s="43">
        <f>DS75/DM75-1</f>
        <v>-0.15677966101694918</v>
      </c>
      <c r="DT286" s="43">
        <f>DT75/DN75-1</f>
        <v>-0.14406779661016944</v>
      </c>
      <c r="DU286" s="43">
        <f>DU75/DO75-1</f>
        <v>-0.18078692118872275</v>
      </c>
      <c r="DV286" s="43">
        <f>DV75/DP75-1</f>
        <v>-0.18895966983421586</v>
      </c>
      <c r="DW286" s="395">
        <f>DW75/DQ75-1</f>
        <v>-0.16764092365366545</v>
      </c>
      <c r="DX286" s="342"/>
      <c r="DY286" s="43">
        <f>DY75/DS75-1</f>
        <v>-7.7386934673366881E-2</v>
      </c>
      <c r="DZ286" s="43">
        <f>DZ75/DT75-1</f>
        <v>-5.049504950495054E-2</v>
      </c>
      <c r="EA286" s="43">
        <f>EA75/DU75-1</f>
        <v>-5.4545454545454564E-2</v>
      </c>
      <c r="EB286" s="43">
        <f>EB75/DV75-1</f>
        <v>-3.5897435897435881E-2</v>
      </c>
      <c r="EC286" s="395">
        <f>EC75/DW75-1</f>
        <v>-5.4661558109833974E-2</v>
      </c>
      <c r="ED286" s="342"/>
      <c r="EE286" s="43">
        <f>EE75/DY75-1</f>
        <v>-6.8627450980392135E-2</v>
      </c>
      <c r="EF286" s="43">
        <f>EF75/DZ75-1</f>
        <v>-2.5026068821689229E-2</v>
      </c>
      <c r="EG286" s="43">
        <f>EG75/EA75-1</f>
        <v>-2.9411764705882359E-2</v>
      </c>
      <c r="EH286" s="43">
        <f>EH75/EB75-1</f>
        <v>-4.3617021276595724E-2</v>
      </c>
      <c r="EI286" s="395">
        <f>EI75/EC75-1</f>
        <v>-4.1610375574169134E-2</v>
      </c>
      <c r="EJ286" s="342"/>
      <c r="EK286" s="43">
        <f>EK75/EE75-1</f>
        <v>8.1871345029240761E-3</v>
      </c>
      <c r="EL286" s="43">
        <f>EL75/EF75-1</f>
        <v>-7.9144385026737929E-2</v>
      </c>
      <c r="EM286" s="43">
        <f>EM87/EG87-1</f>
        <v>-1.9148936170212738E-2</v>
      </c>
      <c r="EN286" s="43">
        <f>EN87/EH87-1</f>
        <v>1.1008580216933739E-2</v>
      </c>
      <c r="EO286" s="395">
        <f>EO87/EI87-1</f>
        <v>-1.3635630143617905E-2</v>
      </c>
      <c r="EP286" s="342"/>
      <c r="EQ286" s="43">
        <f>EQ75/EK75-1</f>
        <v>-6.2645011600928058E-2</v>
      </c>
      <c r="ER286" s="43">
        <f>ER75/EL75-1</f>
        <v>-2.0000000000000018E-2</v>
      </c>
      <c r="ES286" s="43">
        <f>ES87/EM87-1</f>
        <v>1.485065910228589E-2</v>
      </c>
      <c r="ET286" s="43">
        <f>ET87/EN87-1</f>
        <v>1.0088070456365061E-2</v>
      </c>
      <c r="EU286" s="395">
        <f>EU87/EO87-1</f>
        <v>8.74355828220863E-3</v>
      </c>
      <c r="EV286" s="342"/>
      <c r="EW286" s="43">
        <f>EW87/EQ87-1</f>
        <v>3.7639771801140975E-2</v>
      </c>
      <c r="EX286" s="43">
        <f>EX75/ER75-1</f>
        <v>1.4482448031477357E-2</v>
      </c>
      <c r="EY286" s="43">
        <f>EY87/ES87-1</f>
        <v>4.5609996711607925E-2</v>
      </c>
      <c r="EZ286" s="43">
        <f>EZ87/ET87-1</f>
        <v>3.398346006622055E-2</v>
      </c>
      <c r="FA286" s="395">
        <f>FA87/EU87-1</f>
        <v>3.7116276016803784E-2</v>
      </c>
      <c r="FB286" s="342"/>
      <c r="FC286" s="43">
        <f>FC87/EW87-1</f>
        <v>1.4319981890656752E-2</v>
      </c>
      <c r="FD286" s="43">
        <f>FD87/EX87-1</f>
        <v>1.7654375578562531E-2</v>
      </c>
      <c r="FE286" s="43">
        <f>FE87/EY87-1</f>
        <v>1.0661460445958282E-2</v>
      </c>
      <c r="FF286" s="43">
        <f>FF87/EZ87-1</f>
        <v>9.1634399056752525E-3</v>
      </c>
      <c r="FG286" s="395">
        <f>FG87/FA87-1</f>
        <v>1.2920912610191237E-2</v>
      </c>
      <c r="FH286" s="342"/>
      <c r="FI286" s="43">
        <f>FI87/FC87-1</f>
        <v>1.3691801117255764E-2</v>
      </c>
      <c r="FJ286" s="43">
        <f>FJ87/FD87-1</f>
        <v>1.1788971894921563E-2</v>
      </c>
      <c r="FK286" s="43">
        <f>FK87/FE87-1</f>
        <v>1.0661730139855718E-2</v>
      </c>
      <c r="FL286" s="43">
        <f>FL87/FF87-1</f>
        <v>9.4433211188009736E-3</v>
      </c>
      <c r="FM286" s="395">
        <f>FM87/FG87-1</f>
        <v>1.13876676422342E-2</v>
      </c>
      <c r="FN286" s="27"/>
      <c r="FO286" s="27"/>
      <c r="FP286" s="27"/>
      <c r="FQ286" s="27"/>
      <c r="FR286" s="27"/>
      <c r="FS286" s="27"/>
      <c r="FT286" s="27"/>
      <c r="FU286" s="27"/>
      <c r="FV286" s="27"/>
      <c r="FW286" s="27"/>
      <c r="FX286" s="27"/>
      <c r="FY286" s="27"/>
      <c r="FZ286" s="27"/>
      <c r="GA286" s="27"/>
      <c r="GB286" s="27"/>
      <c r="GC286" s="27"/>
      <c r="GD286" s="27"/>
      <c r="GE286" s="27"/>
      <c r="GF286" s="27"/>
      <c r="GH286" s="27"/>
      <c r="GI286"/>
      <c r="GJ286"/>
      <c r="GK286"/>
      <c r="GL286"/>
      <c r="GM286"/>
      <c r="GN286"/>
      <c r="GO286" s="27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</row>
    <row r="287" spans="1:281" s="24" customFormat="1" hidden="1" outlineLevel="1" x14ac:dyDescent="0.2">
      <c r="A287" s="258" t="s">
        <v>394</v>
      </c>
      <c r="B287" s="413"/>
      <c r="C287" s="94" t="s">
        <v>945</v>
      </c>
      <c r="D287" s="94" t="s">
        <v>945</v>
      </c>
      <c r="E287" s="94" t="s">
        <v>945</v>
      </c>
      <c r="F287" s="94" t="s">
        <v>945</v>
      </c>
      <c r="G287" s="94" t="s">
        <v>945</v>
      </c>
      <c r="H287" s="94" t="s">
        <v>945</v>
      </c>
      <c r="I287" s="94" t="s">
        <v>945</v>
      </c>
      <c r="J287" s="94" t="s">
        <v>945</v>
      </c>
      <c r="K287" s="94" t="s">
        <v>945</v>
      </c>
      <c r="L287" s="94" t="s">
        <v>945</v>
      </c>
      <c r="M287" s="94" t="s">
        <v>945</v>
      </c>
      <c r="N287" s="94"/>
      <c r="O287" s="94" t="s">
        <v>945</v>
      </c>
      <c r="P287" s="94" t="s">
        <v>945</v>
      </c>
      <c r="Q287" s="94" t="s">
        <v>945</v>
      </c>
      <c r="R287" s="94" t="s">
        <v>945</v>
      </c>
      <c r="S287" s="94" t="s">
        <v>945</v>
      </c>
      <c r="T287" s="342"/>
      <c r="U287" s="94" t="s">
        <v>945</v>
      </c>
      <c r="V287" s="94" t="s">
        <v>945</v>
      </c>
      <c r="W287" s="94" t="s">
        <v>945</v>
      </c>
      <c r="X287" s="94" t="s">
        <v>945</v>
      </c>
      <c r="Y287" s="94" t="s">
        <v>945</v>
      </c>
      <c r="Z287" s="342"/>
      <c r="AA287" s="94" t="s">
        <v>945</v>
      </c>
      <c r="AB287" s="94" t="s">
        <v>945</v>
      </c>
      <c r="AC287" s="94" t="s">
        <v>945</v>
      </c>
      <c r="AD287" s="94" t="s">
        <v>945</v>
      </c>
      <c r="AE287" s="94" t="s">
        <v>945</v>
      </c>
      <c r="AF287" s="342"/>
      <c r="AG287" s="94" t="s">
        <v>945</v>
      </c>
      <c r="AH287" s="94" t="s">
        <v>945</v>
      </c>
      <c r="AI287" s="94" t="s">
        <v>945</v>
      </c>
      <c r="AJ287" s="94" t="s">
        <v>945</v>
      </c>
      <c r="AK287" s="94" t="s">
        <v>945</v>
      </c>
      <c r="AL287" s="342"/>
      <c r="AM287" s="94" t="s">
        <v>945</v>
      </c>
      <c r="AN287" s="94" t="s">
        <v>945</v>
      </c>
      <c r="AO287" s="94" t="s">
        <v>945</v>
      </c>
      <c r="AP287" s="94" t="s">
        <v>945</v>
      </c>
      <c r="AQ287" s="94" t="s">
        <v>945</v>
      </c>
      <c r="AR287" s="342"/>
      <c r="AS287" s="94" t="s">
        <v>945</v>
      </c>
      <c r="AT287" s="94" t="s">
        <v>945</v>
      </c>
      <c r="AU287" s="94" t="s">
        <v>945</v>
      </c>
      <c r="AV287" s="94" t="s">
        <v>945</v>
      </c>
      <c r="AW287" s="94" t="s">
        <v>945</v>
      </c>
      <c r="AX287" s="342"/>
      <c r="AY287" s="43">
        <f>AY72/AS72-1</f>
        <v>-4.7318372632436101E-2</v>
      </c>
      <c r="AZ287" s="43">
        <f>AZ72/AT72-1</f>
        <v>-8.2818199503998935E-3</v>
      </c>
      <c r="BA287" s="43">
        <f>BA72/AU72-1</f>
        <v>9.5946071239630726E-2</v>
      </c>
      <c r="BB287" s="43">
        <f>BB72/AV72-1</f>
        <v>-1.6860330190085482E-2</v>
      </c>
      <c r="BC287" s="43">
        <f>BC72/AW72-1</f>
        <v>3.3054769083327162E-3</v>
      </c>
      <c r="BD287" s="342"/>
      <c r="BE287" s="43">
        <f>BE72/AY72-1</f>
        <v>-4.5080117354998839E-2</v>
      </c>
      <c r="BF287" s="43">
        <f>BF72/AZ72-1</f>
        <v>-0.11986474218848231</v>
      </c>
      <c r="BG287" s="43">
        <f>BG72/BA72-1</f>
        <v>-0.18454410055345627</v>
      </c>
      <c r="BH287" s="43">
        <f>BH72/BB72-1</f>
        <v>-0.13681261169036107</v>
      </c>
      <c r="BI287" s="43">
        <f>BI72/BC72-1</f>
        <v>-0.12202256748315399</v>
      </c>
      <c r="BJ287" s="342"/>
      <c r="BK287" s="43">
        <f t="shared" ref="BK287:BO289" si="173">BK72/BE72-1</f>
        <v>-0.17663315385714962</v>
      </c>
      <c r="BL287" s="43">
        <f t="shared" si="173"/>
        <v>-0.1094792508665452</v>
      </c>
      <c r="BM287" s="43">
        <f t="shared" si="173"/>
        <v>-6.2799005259223217E-2</v>
      </c>
      <c r="BN287" s="43">
        <f t="shared" si="173"/>
        <v>-8.8991571120212054E-2</v>
      </c>
      <c r="BO287" s="43">
        <f t="shared" si="173"/>
        <v>-0.11141252106043165</v>
      </c>
      <c r="BP287" s="342"/>
      <c r="BQ287" s="43">
        <f t="shared" ref="BQ287:BU289" si="174">BQ72/BK72-1</f>
        <v>-8.101851851851849E-2</v>
      </c>
      <c r="BR287" s="43">
        <f t="shared" si="174"/>
        <v>-0.12967032967032965</v>
      </c>
      <c r="BS287" s="43">
        <f t="shared" si="174"/>
        <v>-0.13023255813953494</v>
      </c>
      <c r="BT287" s="43">
        <f t="shared" si="174"/>
        <v>-4.9549549549549599E-2</v>
      </c>
      <c r="BU287" s="43">
        <f t="shared" si="174"/>
        <v>-9.7671777399204962E-2</v>
      </c>
      <c r="BV287" s="342"/>
      <c r="BW287" s="43">
        <f t="shared" ref="BW287:CA289" si="175">BW72/BQ72-1</f>
        <v>-0.10579345088161207</v>
      </c>
      <c r="BX287" s="43">
        <f t="shared" si="175"/>
        <v>-2.525252525252486E-3</v>
      </c>
      <c r="BY287" s="43">
        <f t="shared" si="175"/>
        <v>0.25668449197860954</v>
      </c>
      <c r="BZ287" s="43">
        <f t="shared" si="175"/>
        <v>0.39573459715639814</v>
      </c>
      <c r="CA287" s="43">
        <f t="shared" si="175"/>
        <v>0.13845185651353042</v>
      </c>
      <c r="CB287" s="342"/>
      <c r="CC287" s="43">
        <f t="shared" ref="CC287:CG289" si="176">CC72/BW72-1</f>
        <v>0.3549295774647887</v>
      </c>
      <c r="CD287" s="43">
        <f t="shared" si="176"/>
        <v>0.28101265822784804</v>
      </c>
      <c r="CE287" s="43">
        <f t="shared" si="176"/>
        <v>6.5957446808510678E-2</v>
      </c>
      <c r="CF287" s="43">
        <f t="shared" si="176"/>
        <v>7.3005093378607722E-2</v>
      </c>
      <c r="CG287" s="395">
        <f t="shared" si="176"/>
        <v>0.17191818684355997</v>
      </c>
      <c r="CH287" s="342"/>
      <c r="CI287" s="43">
        <f t="shared" ref="CI287:CM289" si="177">CI72/CC72-1</f>
        <v>0.33056133056133064</v>
      </c>
      <c r="CJ287" s="43">
        <f t="shared" si="177"/>
        <v>0.41501976284584985</v>
      </c>
      <c r="CK287" s="43">
        <f t="shared" si="177"/>
        <v>0.38522954091816364</v>
      </c>
      <c r="CL287" s="43">
        <f t="shared" si="177"/>
        <v>0.29588607594936711</v>
      </c>
      <c r="CM287" s="395">
        <f t="shared" si="177"/>
        <v>0.35330188679245289</v>
      </c>
      <c r="CN287" s="342"/>
      <c r="CO287" s="43">
        <f t="shared" ref="CO287:CS289" si="178">CO72/CI72-1</f>
        <v>0.25156249999999991</v>
      </c>
      <c r="CP287" s="43">
        <f t="shared" si="178"/>
        <v>0.22486033519553073</v>
      </c>
      <c r="CQ287" s="43">
        <f t="shared" si="178"/>
        <v>0.21469740634005774</v>
      </c>
      <c r="CR287" s="43">
        <f t="shared" si="178"/>
        <v>0.16849816849816857</v>
      </c>
      <c r="CS287" s="395">
        <f t="shared" si="178"/>
        <v>0.21226908330428729</v>
      </c>
      <c r="CT287" s="342"/>
      <c r="CU287" s="43">
        <f t="shared" ref="CU287:CY289" si="179">CU72/CO72-1</f>
        <v>7.9900124843945042E-2</v>
      </c>
      <c r="CV287" s="43">
        <f t="shared" si="179"/>
        <v>-3.9908779931584926E-2</v>
      </c>
      <c r="CW287" s="43">
        <f t="shared" si="179"/>
        <v>-0.10083036773428233</v>
      </c>
      <c r="CX287" s="43">
        <f t="shared" si="179"/>
        <v>-0.18286311389759669</v>
      </c>
      <c r="CY287" s="395">
        <f t="shared" si="179"/>
        <v>-6.641748131109837E-2</v>
      </c>
      <c r="CZ287" s="342"/>
      <c r="DA287" s="43">
        <f t="shared" ref="DA287:DE289" si="180">DA72/CU72-1</f>
        <v>-0.23352601156069364</v>
      </c>
      <c r="DB287" s="43">
        <f t="shared" si="180"/>
        <v>-0.17814726840855111</v>
      </c>
      <c r="DC287" s="43">
        <f t="shared" si="180"/>
        <v>-0.14116094986807393</v>
      </c>
      <c r="DD287" s="43">
        <f t="shared" si="180"/>
        <v>-8.8235294117647078E-2</v>
      </c>
      <c r="DE287" s="395">
        <f t="shared" si="180"/>
        <v>-0.16261164151524488</v>
      </c>
      <c r="DF287" s="342"/>
      <c r="DG287" s="43">
        <f t="shared" ref="DG287:DK289" si="181">DG72/DA72-1</f>
        <v>4.5248868778280382E-3</v>
      </c>
      <c r="DH287" s="43">
        <f t="shared" si="181"/>
        <v>6.6473988439306408E-2</v>
      </c>
      <c r="DI287" s="43">
        <f t="shared" si="181"/>
        <v>0.1090629800307219</v>
      </c>
      <c r="DJ287" s="43">
        <f t="shared" si="181"/>
        <v>0.10378681626928477</v>
      </c>
      <c r="DK287" s="395">
        <f t="shared" si="181"/>
        <v>7.1349760941522566E-2</v>
      </c>
      <c r="DL287" s="342"/>
      <c r="DM287" s="43">
        <f t="shared" ref="DM287:DQ289" si="182">DM72/DG72-1</f>
        <v>9.2220720720720628E-2</v>
      </c>
      <c r="DN287" s="43">
        <f t="shared" si="182"/>
        <v>3.6422764227641569E-3</v>
      </c>
      <c r="DO287" s="43">
        <f t="shared" si="182"/>
        <v>-2.1026038781163381E-2</v>
      </c>
      <c r="DP287" s="43">
        <f t="shared" si="182"/>
        <v>-6.5323125794155112E-2</v>
      </c>
      <c r="DQ287" s="395">
        <f t="shared" si="182"/>
        <v>-8.5242018537601272E-4</v>
      </c>
      <c r="DR287" s="342"/>
      <c r="DS287" s="43">
        <f t="shared" ref="DS287:DW289" si="183">DS72/DM72-1</f>
        <v>-5.4245214931146868E-2</v>
      </c>
      <c r="DT287" s="43">
        <f t="shared" si="183"/>
        <v>-8.6324336292744053E-2</v>
      </c>
      <c r="DU287" s="43">
        <f t="shared" si="183"/>
        <v>-0.11257362561741391</v>
      </c>
      <c r="DV287" s="43">
        <f t="shared" si="183"/>
        <v>-0.1555195028974673</v>
      </c>
      <c r="DW287" s="395">
        <f t="shared" si="183"/>
        <v>-0.10216958369147411</v>
      </c>
      <c r="DX287" s="342"/>
      <c r="DY287" s="43">
        <f t="shared" ref="DY287:EC289" si="184">DY72/DS72-1</f>
        <v>-0.14239199953485671</v>
      </c>
      <c r="DZ287" s="43">
        <f t="shared" si="184"/>
        <v>-0.11892688067622159</v>
      </c>
      <c r="EA287" s="43">
        <f t="shared" si="184"/>
        <v>-6.9184535671582226E-2</v>
      </c>
      <c r="EB287" s="43">
        <f t="shared" si="184"/>
        <v>-6.0107020051771376E-2</v>
      </c>
      <c r="EC287" s="395">
        <f t="shared" si="184"/>
        <v>-9.9182037192957817E-2</v>
      </c>
      <c r="ED287" s="342"/>
      <c r="EE287" s="43">
        <f t="shared" ref="EE287:EI289" si="185">EE72/DY72-1</f>
        <v>-3.7332203389830676E-2</v>
      </c>
      <c r="EF287" s="43">
        <f t="shared" si="185"/>
        <v>-3.9541143619028496E-2</v>
      </c>
      <c r="EG287" s="43">
        <f t="shared" si="185"/>
        <v>-5.8052184278946428E-2</v>
      </c>
      <c r="EH287" s="43">
        <f t="shared" si="185"/>
        <v>-0.12289716264682615</v>
      </c>
      <c r="EI287" s="395">
        <f t="shared" si="185"/>
        <v>-6.4253498234686734E-2</v>
      </c>
      <c r="EJ287" s="342"/>
      <c r="EK287" s="43">
        <f t="shared" ref="EK287:EO289" si="186">EK72/EE72-1</f>
        <v>-0.14347135608320094</v>
      </c>
      <c r="EL287" s="43">
        <f t="shared" si="186"/>
        <v>-0.17423448719023271</v>
      </c>
      <c r="EM287" s="43">
        <f t="shared" si="186"/>
        <v>-0.19363590079278503</v>
      </c>
      <c r="EN287" s="43">
        <f t="shared" si="186"/>
        <v>-0.17615309509861354</v>
      </c>
      <c r="EO287" s="395">
        <f t="shared" si="186"/>
        <v>-0.17159223905694843</v>
      </c>
      <c r="EP287" s="342"/>
      <c r="EQ287" s="43">
        <f t="shared" ref="EQ287:EU289" si="187">EQ72/EK72-1</f>
        <v>-0.16925769703547489</v>
      </c>
      <c r="ER287" s="43">
        <f t="shared" si="187"/>
        <v>-0.17040067159224037</v>
      </c>
      <c r="ES287" s="43">
        <f t="shared" si="187"/>
        <v>-0.17199888154274945</v>
      </c>
      <c r="ET287" s="43">
        <f t="shared" si="187"/>
        <v>-0.1482369895613096</v>
      </c>
      <c r="EU287" s="395">
        <f t="shared" si="187"/>
        <v>-0.16536000508562265</v>
      </c>
      <c r="EV287" s="342"/>
      <c r="EW287" s="43">
        <f t="shared" ref="EW287:FA289" si="188">EW72/EQ72-1</f>
        <v>-0.1432804355867765</v>
      </c>
      <c r="EX287" s="43">
        <f t="shared" si="188"/>
        <v>-0.10042248405329801</v>
      </c>
      <c r="EY287" s="43">
        <f t="shared" si="188"/>
        <v>-6.865617987319983E-2</v>
      </c>
      <c r="EZ287" s="43">
        <f t="shared" si="188"/>
        <v>-7.4973201763173791E-2</v>
      </c>
      <c r="FA287" s="395">
        <f t="shared" si="188"/>
        <v>-9.8131773178263382E-2</v>
      </c>
      <c r="FB287" s="342"/>
      <c r="FC287" s="43">
        <f t="shared" ref="FC287:FG289" si="189">FC72/EW72-1</f>
        <v>-6.8071683247241332E-2</v>
      </c>
      <c r="FD287" s="43">
        <f t="shared" si="189"/>
        <v>-8.0618042952529612E-2</v>
      </c>
      <c r="FE287" s="43">
        <f t="shared" si="189"/>
        <v>-9.2575808083466438E-2</v>
      </c>
      <c r="FF287" s="43">
        <f t="shared" si="189"/>
        <v>-9.7091684573004877E-2</v>
      </c>
      <c r="FG287" s="395">
        <f t="shared" si="189"/>
        <v>-8.4419356912208143E-2</v>
      </c>
      <c r="FH287" s="342"/>
      <c r="FI287" s="43">
        <f t="shared" ref="FI287:FM289" si="190">FI72/FC72-1</f>
        <v>-0.10864022621911429</v>
      </c>
      <c r="FJ287" s="43">
        <f t="shared" si="190"/>
        <v>-0.1121895009766124</v>
      </c>
      <c r="FK287" s="43">
        <f t="shared" si="190"/>
        <v>-0.11538461538461553</v>
      </c>
      <c r="FL287" s="43">
        <f t="shared" si="190"/>
        <v>-0.11538461538461553</v>
      </c>
      <c r="FM287" s="395">
        <f t="shared" si="190"/>
        <v>-0.11282980189921366</v>
      </c>
      <c r="FN287" s="27"/>
      <c r="FO287" s="27"/>
      <c r="FP287" s="27"/>
      <c r="FQ287" s="27"/>
      <c r="FR287" s="27"/>
      <c r="FS287" s="27"/>
      <c r="FT287" s="27"/>
      <c r="FU287" s="27"/>
      <c r="FV287" s="27"/>
      <c r="FW287" s="27"/>
      <c r="FX287" s="27"/>
      <c r="FY287" s="27"/>
      <c r="FZ287" s="27"/>
      <c r="GA287" s="27"/>
      <c r="GB287" s="27"/>
      <c r="GC287" s="27"/>
      <c r="GD287" s="27"/>
      <c r="GE287" s="27"/>
      <c r="GF287" s="27"/>
      <c r="GH287" s="27"/>
      <c r="GI287"/>
      <c r="GJ287"/>
      <c r="GK287"/>
      <c r="GL287"/>
      <c r="GM287"/>
      <c r="GN287"/>
      <c r="GO287" s="2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</row>
    <row r="288" spans="1:281" s="24" customFormat="1" hidden="1" outlineLevel="1" x14ac:dyDescent="0.2">
      <c r="A288" s="258" t="s">
        <v>440</v>
      </c>
      <c r="B288" s="413"/>
      <c r="C288" s="94" t="s">
        <v>945</v>
      </c>
      <c r="D288" s="94" t="s">
        <v>945</v>
      </c>
      <c r="E288" s="94" t="s">
        <v>945</v>
      </c>
      <c r="F288" s="94" t="s">
        <v>945</v>
      </c>
      <c r="G288" s="94" t="s">
        <v>945</v>
      </c>
      <c r="H288" s="94" t="s">
        <v>945</v>
      </c>
      <c r="I288" s="94" t="s">
        <v>945</v>
      </c>
      <c r="J288" s="94" t="s">
        <v>945</v>
      </c>
      <c r="K288" s="94" t="s">
        <v>945</v>
      </c>
      <c r="L288" s="94" t="s">
        <v>945</v>
      </c>
      <c r="M288" s="94" t="s">
        <v>945</v>
      </c>
      <c r="N288" s="94"/>
      <c r="O288" s="94" t="s">
        <v>945</v>
      </c>
      <c r="P288" s="94" t="s">
        <v>945</v>
      </c>
      <c r="Q288" s="94" t="s">
        <v>945</v>
      </c>
      <c r="R288" s="94" t="s">
        <v>945</v>
      </c>
      <c r="S288" s="94" t="s">
        <v>945</v>
      </c>
      <c r="T288" s="342"/>
      <c r="U288" s="94" t="s">
        <v>945</v>
      </c>
      <c r="V288" s="94" t="s">
        <v>945</v>
      </c>
      <c r="W288" s="94" t="s">
        <v>945</v>
      </c>
      <c r="X288" s="94" t="s">
        <v>945</v>
      </c>
      <c r="Y288" s="94" t="s">
        <v>945</v>
      </c>
      <c r="Z288" s="342"/>
      <c r="AA288" s="94" t="s">
        <v>945</v>
      </c>
      <c r="AB288" s="94" t="s">
        <v>945</v>
      </c>
      <c r="AC288" s="94" t="s">
        <v>945</v>
      </c>
      <c r="AD288" s="94" t="s">
        <v>945</v>
      </c>
      <c r="AE288" s="94" t="s">
        <v>945</v>
      </c>
      <c r="AF288" s="342"/>
      <c r="AG288" s="94" t="s">
        <v>945</v>
      </c>
      <c r="AH288" s="94" t="s">
        <v>945</v>
      </c>
      <c r="AI288" s="94" t="s">
        <v>945</v>
      </c>
      <c r="AJ288" s="94" t="s">
        <v>945</v>
      </c>
      <c r="AK288" s="94" t="s">
        <v>945</v>
      </c>
      <c r="AL288" s="342"/>
      <c r="AM288" s="94" t="s">
        <v>945</v>
      </c>
      <c r="AN288" s="94" t="s">
        <v>945</v>
      </c>
      <c r="AO288" s="94" t="s">
        <v>945</v>
      </c>
      <c r="AP288" s="94" t="s">
        <v>945</v>
      </c>
      <c r="AQ288" s="94" t="s">
        <v>945</v>
      </c>
      <c r="AR288" s="342"/>
      <c r="AS288" s="94" t="s">
        <v>945</v>
      </c>
      <c r="AT288" s="94" t="s">
        <v>945</v>
      </c>
      <c r="AU288" s="94" t="s">
        <v>945</v>
      </c>
      <c r="AV288" s="94" t="s">
        <v>945</v>
      </c>
      <c r="AW288" s="94" t="s">
        <v>945</v>
      </c>
      <c r="AX288" s="342"/>
      <c r="AY288" s="94" t="s">
        <v>945</v>
      </c>
      <c r="AZ288" s="94" t="s">
        <v>945</v>
      </c>
      <c r="BA288" s="94" t="s">
        <v>945</v>
      </c>
      <c r="BB288" s="94" t="s">
        <v>945</v>
      </c>
      <c r="BC288" s="94" t="s">
        <v>945</v>
      </c>
      <c r="BD288" s="342"/>
      <c r="BE288" s="94" t="s">
        <v>945</v>
      </c>
      <c r="BF288" s="94" t="s">
        <v>945</v>
      </c>
      <c r="BG288" s="94" t="s">
        <v>945</v>
      </c>
      <c r="BH288" s="94" t="s">
        <v>945</v>
      </c>
      <c r="BI288" s="43">
        <f>BI73/BC73-1</f>
        <v>0.12888732394366209</v>
      </c>
      <c r="BJ288" s="342"/>
      <c r="BK288" s="43">
        <f t="shared" si="173"/>
        <v>-0.17593737124021425</v>
      </c>
      <c r="BL288" s="43">
        <f t="shared" si="173"/>
        <v>-0.23077847622023773</v>
      </c>
      <c r="BM288" s="43">
        <f t="shared" si="173"/>
        <v>-0.15850775374998338</v>
      </c>
      <c r="BN288" s="43">
        <f t="shared" si="173"/>
        <v>-0.22235837496465261</v>
      </c>
      <c r="BO288" s="43">
        <f t="shared" si="173"/>
        <v>-0.19838804256964993</v>
      </c>
      <c r="BP288" s="342"/>
      <c r="BQ288" s="43">
        <f t="shared" si="174"/>
        <v>-6.25E-2</v>
      </c>
      <c r="BR288" s="43">
        <f t="shared" si="174"/>
        <v>1.5625E-2</v>
      </c>
      <c r="BS288" s="43">
        <f t="shared" si="174"/>
        <v>-1.5873015873015928E-2</v>
      </c>
      <c r="BT288" s="43">
        <f t="shared" si="174"/>
        <v>7.575757575757569E-2</v>
      </c>
      <c r="BU288" s="43">
        <f t="shared" si="174"/>
        <v>3.8910505836575737E-3</v>
      </c>
      <c r="BV288" s="342"/>
      <c r="BW288" s="43">
        <f t="shared" si="175"/>
        <v>0.18333333333333335</v>
      </c>
      <c r="BX288" s="43">
        <f t="shared" si="175"/>
        <v>0.10769230769230775</v>
      </c>
      <c r="BY288" s="43">
        <f t="shared" si="175"/>
        <v>0.22580645161290325</v>
      </c>
      <c r="BZ288" s="43">
        <f t="shared" si="175"/>
        <v>0.12676056338028174</v>
      </c>
      <c r="CA288" s="43">
        <f t="shared" si="175"/>
        <v>0.1589147286821706</v>
      </c>
      <c r="CB288" s="342"/>
      <c r="CC288" s="43">
        <f t="shared" si="176"/>
        <v>0.18309859154929575</v>
      </c>
      <c r="CD288" s="43">
        <f t="shared" si="176"/>
        <v>0.20833333333333326</v>
      </c>
      <c r="CE288" s="43">
        <f t="shared" si="176"/>
        <v>0.26315789473684204</v>
      </c>
      <c r="CF288" s="43">
        <f t="shared" si="176"/>
        <v>0.625</v>
      </c>
      <c r="CG288" s="395">
        <f t="shared" si="176"/>
        <v>0.32775919732441472</v>
      </c>
      <c r="CH288" s="342"/>
      <c r="CI288" s="43">
        <f t="shared" si="177"/>
        <v>0.48809523809523814</v>
      </c>
      <c r="CJ288" s="43">
        <f t="shared" si="177"/>
        <v>0.60919540229885061</v>
      </c>
      <c r="CK288" s="43">
        <f t="shared" si="177"/>
        <v>0.47916666666666674</v>
      </c>
      <c r="CL288" s="43">
        <f t="shared" si="177"/>
        <v>0.16153846153846163</v>
      </c>
      <c r="CM288" s="395">
        <f t="shared" si="177"/>
        <v>0.40554156171284639</v>
      </c>
      <c r="CN288" s="342"/>
      <c r="CO288" s="43">
        <f t="shared" si="178"/>
        <v>0.26400000000000001</v>
      </c>
      <c r="CP288" s="43">
        <f t="shared" si="178"/>
        <v>0.19285714285714284</v>
      </c>
      <c r="CQ288" s="43">
        <f t="shared" si="178"/>
        <v>0.22535211267605626</v>
      </c>
      <c r="CR288" s="43">
        <f t="shared" si="178"/>
        <v>0.2847682119205297</v>
      </c>
      <c r="CS288" s="395">
        <f t="shared" si="178"/>
        <v>0.24193548387096775</v>
      </c>
      <c r="CT288" s="342"/>
      <c r="CU288" s="43">
        <f t="shared" si="179"/>
        <v>0.23417721518987333</v>
      </c>
      <c r="CV288" s="43">
        <f t="shared" si="179"/>
        <v>0.13173652694610771</v>
      </c>
      <c r="CW288" s="43">
        <f t="shared" si="179"/>
        <v>9.7701149425287293E-2</v>
      </c>
      <c r="CX288" s="43">
        <f t="shared" si="179"/>
        <v>5.1546391752577359E-2</v>
      </c>
      <c r="CY288" s="395">
        <f t="shared" si="179"/>
        <v>0.12409812409812404</v>
      </c>
      <c r="CZ288" s="342"/>
      <c r="DA288" s="43">
        <f t="shared" si="180"/>
        <v>-7.6923076923076872E-2</v>
      </c>
      <c r="DB288" s="43">
        <f t="shared" si="180"/>
        <v>-5.2910052910053462E-3</v>
      </c>
      <c r="DC288" s="43">
        <f t="shared" si="180"/>
        <v>0.10471204188481686</v>
      </c>
      <c r="DD288" s="43">
        <f t="shared" si="180"/>
        <v>0.44607843137254899</v>
      </c>
      <c r="DE288" s="395">
        <f t="shared" si="180"/>
        <v>0.12195121951219523</v>
      </c>
      <c r="DF288" s="342"/>
      <c r="DG288" s="43">
        <f t="shared" si="181"/>
        <v>0.78333333333333344</v>
      </c>
      <c r="DH288" s="43">
        <f t="shared" si="181"/>
        <v>0.86170212765957444</v>
      </c>
      <c r="DI288" s="43">
        <f t="shared" si="181"/>
        <v>0.61611374407582931</v>
      </c>
      <c r="DJ288" s="43">
        <f t="shared" si="181"/>
        <v>0.24406779661016942</v>
      </c>
      <c r="DK288" s="395">
        <f t="shared" si="181"/>
        <v>0.5778032036613272</v>
      </c>
      <c r="DL288" s="342"/>
      <c r="DM288" s="43">
        <f t="shared" si="182"/>
        <v>0.20662616822429913</v>
      </c>
      <c r="DN288" s="43">
        <f t="shared" si="182"/>
        <v>7.1691428571428517E-2</v>
      </c>
      <c r="DO288" s="43">
        <f t="shared" si="182"/>
        <v>1.9401759530791818E-2</v>
      </c>
      <c r="DP288" s="43">
        <f t="shared" si="182"/>
        <v>2.7863760217983646E-2</v>
      </c>
      <c r="DQ288" s="395">
        <f t="shared" si="182"/>
        <v>7.8506889050036222E-2</v>
      </c>
      <c r="DR288" s="342"/>
      <c r="DS288" s="43">
        <f t="shared" si="183"/>
        <v>-0.44547564663563177</v>
      </c>
      <c r="DT288" s="43">
        <f t="shared" si="183"/>
        <v>-0.44415302259319833</v>
      </c>
      <c r="DU288" s="43">
        <f t="shared" si="183"/>
        <v>-0.54110684955379407</v>
      </c>
      <c r="DV288" s="43">
        <f t="shared" si="183"/>
        <v>-0.57348882620150543</v>
      </c>
      <c r="DW288" s="395">
        <f t="shared" si="183"/>
        <v>-0.49996287531384742</v>
      </c>
      <c r="DX288" s="342"/>
      <c r="DY288" s="43">
        <f t="shared" si="184"/>
        <v>-0.25661359929528071</v>
      </c>
      <c r="DZ288" s="43">
        <f t="shared" si="184"/>
        <v>-0.10066620364765633</v>
      </c>
      <c r="EA288" s="43">
        <f t="shared" si="184"/>
        <v>-0.18201942974283836</v>
      </c>
      <c r="EB288" s="43">
        <f t="shared" si="184"/>
        <v>7.5606705749445169E-2</v>
      </c>
      <c r="EC288" s="395">
        <f t="shared" si="184"/>
        <v>-0.12501969420325254</v>
      </c>
      <c r="ED288" s="342"/>
      <c r="EE288" s="43">
        <f t="shared" si="185"/>
        <v>-6.4306138668601798E-2</v>
      </c>
      <c r="EF288" s="43">
        <f t="shared" si="185"/>
        <v>-5.7969257872611313E-2</v>
      </c>
      <c r="EG288" s="43">
        <f t="shared" si="185"/>
        <v>-9.6900559824774746E-2</v>
      </c>
      <c r="EH288" s="43">
        <f t="shared" si="185"/>
        <v>-0.14297982501940953</v>
      </c>
      <c r="EI288" s="395">
        <f t="shared" si="185"/>
        <v>-8.9939263735429265E-2</v>
      </c>
      <c r="EJ288" s="342"/>
      <c r="EK288" s="43">
        <f t="shared" si="186"/>
        <v>-0.16985146432988152</v>
      </c>
      <c r="EL288" s="43">
        <f t="shared" si="186"/>
        <v>-0.32505236864719922</v>
      </c>
      <c r="EM288" s="43">
        <f t="shared" si="186"/>
        <v>-0.23071525573164486</v>
      </c>
      <c r="EN288" s="43">
        <f t="shared" si="186"/>
        <v>-0.1967898046452109</v>
      </c>
      <c r="EO288" s="395">
        <f t="shared" si="186"/>
        <v>-0.23500241896256535</v>
      </c>
      <c r="EP288" s="342"/>
      <c r="EQ288" s="43">
        <f t="shared" si="187"/>
        <v>-0.19752562787244876</v>
      </c>
      <c r="ER288" s="43">
        <f t="shared" si="187"/>
        <v>-0.19877537325952033</v>
      </c>
      <c r="ES288" s="43">
        <f t="shared" si="187"/>
        <v>-0.21475902927802681</v>
      </c>
      <c r="ET288" s="43">
        <f t="shared" si="187"/>
        <v>-0.17168431107718496</v>
      </c>
      <c r="EU288" s="395">
        <f t="shared" si="187"/>
        <v>-0.19450781584372978</v>
      </c>
      <c r="EV288" s="342"/>
      <c r="EW288" s="43">
        <f t="shared" si="188"/>
        <v>-0.17567416103086531</v>
      </c>
      <c r="EX288" s="43">
        <f t="shared" si="188"/>
        <v>-0.13457632796633245</v>
      </c>
      <c r="EY288" s="43">
        <f t="shared" si="188"/>
        <v>-0.12312908238664044</v>
      </c>
      <c r="EZ288" s="43">
        <f t="shared" si="188"/>
        <v>-0.10309777230832795</v>
      </c>
      <c r="FA288" s="395">
        <f t="shared" si="188"/>
        <v>-0.13504032053264359</v>
      </c>
      <c r="FB288" s="342"/>
      <c r="FC288" s="43">
        <f t="shared" si="189"/>
        <v>-0.10748415170066739</v>
      </c>
      <c r="FD288" s="43">
        <f t="shared" si="189"/>
        <v>-0.11961411445921599</v>
      </c>
      <c r="FE288" s="43">
        <f t="shared" si="189"/>
        <v>-0.15328296399469532</v>
      </c>
      <c r="FF288" s="43">
        <f t="shared" si="189"/>
        <v>-0.12758250659831472</v>
      </c>
      <c r="FG288" s="395">
        <f t="shared" si="189"/>
        <v>-0.12535384956891071</v>
      </c>
      <c r="FH288" s="342"/>
      <c r="FI288" s="43">
        <f t="shared" si="190"/>
        <v>-0.15111937980045342</v>
      </c>
      <c r="FJ288" s="43">
        <f t="shared" si="190"/>
        <v>-0.15456880473258316</v>
      </c>
      <c r="FK288" s="43">
        <f t="shared" si="190"/>
        <v>-0.18388292158968855</v>
      </c>
      <c r="FL288" s="43">
        <f t="shared" si="190"/>
        <v>-0.14877512221618705</v>
      </c>
      <c r="FM288" s="395">
        <f t="shared" si="190"/>
        <v>-0.15764555981894757</v>
      </c>
      <c r="FN288" s="27"/>
      <c r="FO288" s="27"/>
      <c r="FP288" s="27"/>
      <c r="FQ288" s="27"/>
      <c r="FR288" s="27"/>
      <c r="FS288" s="27"/>
      <c r="FT288" s="27"/>
      <c r="FU288" s="27"/>
      <c r="FV288" s="27"/>
      <c r="FW288" s="27"/>
      <c r="FX288" s="27"/>
      <c r="FY288" s="27"/>
      <c r="FZ288" s="27"/>
      <c r="GA288" s="27"/>
      <c r="GB288" s="27"/>
      <c r="GC288" s="27"/>
      <c r="GD288" s="27"/>
      <c r="GE288" s="27"/>
      <c r="GF288" s="27"/>
      <c r="GH288" s="27"/>
      <c r="GI288"/>
      <c r="GJ288"/>
      <c r="GK288"/>
      <c r="GL288"/>
      <c r="GM288"/>
      <c r="GN288"/>
      <c r="GO288" s="27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</row>
    <row r="289" spans="1:281" s="24" customFormat="1" hidden="1" outlineLevel="1" x14ac:dyDescent="0.2">
      <c r="A289" s="258" t="s">
        <v>441</v>
      </c>
      <c r="B289" s="413"/>
      <c r="C289" s="94" t="s">
        <v>945</v>
      </c>
      <c r="D289" s="94" t="s">
        <v>945</v>
      </c>
      <c r="E289" s="94" t="s">
        <v>945</v>
      </c>
      <c r="F289" s="94" t="s">
        <v>945</v>
      </c>
      <c r="G289" s="94" t="s">
        <v>945</v>
      </c>
      <c r="H289" s="94" t="s">
        <v>945</v>
      </c>
      <c r="I289" s="94" t="s">
        <v>945</v>
      </c>
      <c r="J289" s="94" t="s">
        <v>945</v>
      </c>
      <c r="K289" s="94" t="s">
        <v>945</v>
      </c>
      <c r="L289" s="94" t="s">
        <v>945</v>
      </c>
      <c r="M289" s="94" t="s">
        <v>945</v>
      </c>
      <c r="N289" s="94"/>
      <c r="O289" s="94" t="s">
        <v>945</v>
      </c>
      <c r="P289" s="94" t="s">
        <v>945</v>
      </c>
      <c r="Q289" s="94" t="s">
        <v>945</v>
      </c>
      <c r="R289" s="94" t="s">
        <v>945</v>
      </c>
      <c r="S289" s="94" t="s">
        <v>945</v>
      </c>
      <c r="T289" s="342"/>
      <c r="U289" s="94" t="s">
        <v>945</v>
      </c>
      <c r="V289" s="94" t="s">
        <v>945</v>
      </c>
      <c r="W289" s="94" t="s">
        <v>945</v>
      </c>
      <c r="X289" s="94" t="s">
        <v>945</v>
      </c>
      <c r="Y289" s="94" t="s">
        <v>945</v>
      </c>
      <c r="Z289" s="342"/>
      <c r="AA289" s="94" t="s">
        <v>945</v>
      </c>
      <c r="AB289" s="94" t="s">
        <v>945</v>
      </c>
      <c r="AC289" s="94" t="s">
        <v>945</v>
      </c>
      <c r="AD289" s="94" t="s">
        <v>945</v>
      </c>
      <c r="AE289" s="94" t="s">
        <v>945</v>
      </c>
      <c r="AF289" s="342"/>
      <c r="AG289" s="94" t="s">
        <v>945</v>
      </c>
      <c r="AH289" s="94" t="s">
        <v>945</v>
      </c>
      <c r="AI289" s="94" t="s">
        <v>945</v>
      </c>
      <c r="AJ289" s="94" t="s">
        <v>945</v>
      </c>
      <c r="AK289" s="94" t="s">
        <v>945</v>
      </c>
      <c r="AL289" s="342"/>
      <c r="AM289" s="94" t="s">
        <v>945</v>
      </c>
      <c r="AN289" s="94" t="s">
        <v>945</v>
      </c>
      <c r="AO289" s="94" t="s">
        <v>945</v>
      </c>
      <c r="AP289" s="94" t="s">
        <v>945</v>
      </c>
      <c r="AQ289" s="94" t="s">
        <v>945</v>
      </c>
      <c r="AR289" s="342"/>
      <c r="AS289" s="94" t="s">
        <v>945</v>
      </c>
      <c r="AT289" s="94" t="s">
        <v>945</v>
      </c>
      <c r="AU289" s="94" t="s">
        <v>945</v>
      </c>
      <c r="AV289" s="94" t="s">
        <v>945</v>
      </c>
      <c r="AW289" s="94" t="s">
        <v>945</v>
      </c>
      <c r="AX289" s="342"/>
      <c r="AY289" s="43">
        <f>AY74/AS74-1</f>
        <v>-0.17823676956022771</v>
      </c>
      <c r="AZ289" s="43">
        <f>AZ74/AT74-1</f>
        <v>-1.2551338699074432E-2</v>
      </c>
      <c r="BA289" s="43">
        <f>BA74/AU74-1</f>
        <v>-0.13271155876622331</v>
      </c>
      <c r="BB289" s="43">
        <f>BB74/AV74-1</f>
        <v>-6.204827407688962E-2</v>
      </c>
      <c r="BC289" s="43">
        <f>BC74/AW74-1</f>
        <v>-9.4468421962957128E-2</v>
      </c>
      <c r="BD289" s="342"/>
      <c r="BE289" s="43">
        <f>BE74/AY74-1</f>
        <v>-8.8297489426797382E-3</v>
      </c>
      <c r="BF289" s="43">
        <f>BF74/AZ74-1</f>
        <v>-0.23435757927128387</v>
      </c>
      <c r="BG289" s="43">
        <f>BG74/BA74-1</f>
        <v>-0.33413866315250018</v>
      </c>
      <c r="BH289" s="43">
        <f>BH74/BB74-1</f>
        <v>-0.30851646203175098</v>
      </c>
      <c r="BI289" s="43">
        <f>BI74/BC74-1</f>
        <v>-0.2295592825133892</v>
      </c>
      <c r="BJ289" s="342"/>
      <c r="BK289" s="43">
        <f t="shared" si="173"/>
        <v>-0.27370941567652829</v>
      </c>
      <c r="BL289" s="43">
        <f t="shared" si="173"/>
        <v>-0.17287977632805218</v>
      </c>
      <c r="BM289" s="43">
        <f t="shared" si="173"/>
        <v>-0.15181025681300553</v>
      </c>
      <c r="BN289" s="43">
        <f t="shared" si="173"/>
        <v>-0.132926185629194</v>
      </c>
      <c r="BO289" s="43">
        <f t="shared" si="173"/>
        <v>-0.18663816747687589</v>
      </c>
      <c r="BP289" s="342"/>
      <c r="BQ289" s="43">
        <f t="shared" si="174"/>
        <v>-0.125</v>
      </c>
      <c r="BR289" s="43">
        <f t="shared" si="174"/>
        <v>-4.2253521126760618E-2</v>
      </c>
      <c r="BS289" s="43">
        <f t="shared" si="174"/>
        <v>-7.407407407407407E-2</v>
      </c>
      <c r="BT289" s="43">
        <f t="shared" si="174"/>
        <v>-5.7971014492753659E-2</v>
      </c>
      <c r="BU289" s="43">
        <f t="shared" si="174"/>
        <v>-7.3643410852713198E-2</v>
      </c>
      <c r="BV289" s="342"/>
      <c r="BW289" s="43">
        <f t="shared" si="175"/>
        <v>-0.1071428571428571</v>
      </c>
      <c r="BX289" s="43">
        <f t="shared" si="175"/>
        <v>-2.9411764705882359E-2</v>
      </c>
      <c r="BY289" s="43">
        <f t="shared" si="175"/>
        <v>0.3600000000000001</v>
      </c>
      <c r="BZ289" s="43">
        <f t="shared" si="175"/>
        <v>0.32307692307692304</v>
      </c>
      <c r="CA289" s="43">
        <f t="shared" si="175"/>
        <v>0.12970711297071125</v>
      </c>
      <c r="CB289" s="342"/>
      <c r="CC289" s="43">
        <f t="shared" si="176"/>
        <v>0.43999999999999995</v>
      </c>
      <c r="CD289" s="43">
        <f t="shared" si="176"/>
        <v>0.24242424242424243</v>
      </c>
      <c r="CE289" s="43">
        <f t="shared" si="176"/>
        <v>8.8235294117646967E-2</v>
      </c>
      <c r="CF289" s="43">
        <f t="shared" si="176"/>
        <v>0.10465116279069764</v>
      </c>
      <c r="CG289" s="395">
        <f t="shared" si="176"/>
        <v>0.19629629629629619</v>
      </c>
      <c r="CH289" s="342"/>
      <c r="CI289" s="43">
        <f t="shared" si="177"/>
        <v>0.125</v>
      </c>
      <c r="CJ289" s="43">
        <f t="shared" si="177"/>
        <v>0.13414634146341453</v>
      </c>
      <c r="CK289" s="43">
        <f t="shared" si="177"/>
        <v>8.1081081081081141E-2</v>
      </c>
      <c r="CL289" s="43">
        <f t="shared" si="177"/>
        <v>0.10526315789473695</v>
      </c>
      <c r="CM289" s="395">
        <f t="shared" si="177"/>
        <v>0.11145510835913308</v>
      </c>
      <c r="CN289" s="342"/>
      <c r="CO289" s="43">
        <f t="shared" si="178"/>
        <v>0.23456790123456783</v>
      </c>
      <c r="CP289" s="43">
        <f t="shared" si="178"/>
        <v>0.18279569892473124</v>
      </c>
      <c r="CQ289" s="43">
        <f t="shared" si="178"/>
        <v>0.14999999999999991</v>
      </c>
      <c r="CR289" s="43">
        <f t="shared" si="178"/>
        <v>8.5714285714285632E-2</v>
      </c>
      <c r="CS289" s="395">
        <f t="shared" si="178"/>
        <v>0.15877437325905297</v>
      </c>
      <c r="CT289" s="342"/>
      <c r="CU289" s="43">
        <f t="shared" si="179"/>
        <v>-1.0000000000000009E-2</v>
      </c>
      <c r="CV289" s="43">
        <f t="shared" si="179"/>
        <v>-9.0909090909090939E-2</v>
      </c>
      <c r="CW289" s="43">
        <f t="shared" si="179"/>
        <v>-0.22826086956521741</v>
      </c>
      <c r="CX289" s="43">
        <f t="shared" si="179"/>
        <v>-0.30701754385964908</v>
      </c>
      <c r="CY289" s="395">
        <f t="shared" si="179"/>
        <v>-0.16105769230769229</v>
      </c>
      <c r="CZ289" s="342"/>
      <c r="DA289" s="43">
        <f t="shared" si="180"/>
        <v>-0.33333333333333337</v>
      </c>
      <c r="DB289" s="43">
        <f t="shared" si="180"/>
        <v>-0.21999999999999997</v>
      </c>
      <c r="DC289" s="43">
        <f t="shared" si="180"/>
        <v>-2.8169014084507005E-2</v>
      </c>
      <c r="DD289" s="43">
        <f t="shared" si="180"/>
        <v>0.26582278481012667</v>
      </c>
      <c r="DE289" s="395">
        <f t="shared" si="180"/>
        <v>-0.1031518624641834</v>
      </c>
      <c r="DF289" s="342"/>
      <c r="DG289" s="43">
        <f t="shared" si="181"/>
        <v>0.22727272727272729</v>
      </c>
      <c r="DH289" s="43">
        <f t="shared" si="181"/>
        <v>0.24358974358974361</v>
      </c>
      <c r="DI289" s="43">
        <f t="shared" si="181"/>
        <v>0.20289855072463769</v>
      </c>
      <c r="DJ289" s="43">
        <f t="shared" si="181"/>
        <v>-6.0000000000000053E-2</v>
      </c>
      <c r="DK289" s="395">
        <f t="shared" si="181"/>
        <v>0.13418530351437696</v>
      </c>
      <c r="DL289" s="342"/>
      <c r="DM289" s="43">
        <f t="shared" si="182"/>
        <v>-0.19439506172839482</v>
      </c>
      <c r="DN289" s="43">
        <f t="shared" si="182"/>
        <v>-0.33793814432989666</v>
      </c>
      <c r="DO289" s="43">
        <f t="shared" si="182"/>
        <v>4.7036144578313177E-2</v>
      </c>
      <c r="DP289" s="43">
        <f t="shared" si="182"/>
        <v>-4.954255319148948E-2</v>
      </c>
      <c r="DQ289" s="395">
        <f t="shared" si="182"/>
        <v>-0.13881408450704225</v>
      </c>
      <c r="DR289" s="342"/>
      <c r="DS289" s="43">
        <f t="shared" si="183"/>
        <v>-9.8905814202960962E-2</v>
      </c>
      <c r="DT289" s="43">
        <f t="shared" si="183"/>
        <v>-7.290563687324858E-2</v>
      </c>
      <c r="DU289" s="43">
        <f t="shared" si="183"/>
        <v>-0.33374758354045841</v>
      </c>
      <c r="DV289" s="43">
        <f t="shared" si="183"/>
        <v>-0.26257233359076804</v>
      </c>
      <c r="DW289" s="395">
        <f t="shared" si="183"/>
        <v>-0.2080295432763859</v>
      </c>
      <c r="DX289" s="342"/>
      <c r="DY289" s="43">
        <f t="shared" si="184"/>
        <v>-0.19727891156462585</v>
      </c>
      <c r="DZ289" s="43">
        <f t="shared" si="184"/>
        <v>-0.21142799556585712</v>
      </c>
      <c r="EA289" s="43">
        <f t="shared" si="184"/>
        <v>-0.18678756476683933</v>
      </c>
      <c r="EB289" s="43">
        <f t="shared" si="184"/>
        <v>-0.28533483091494138</v>
      </c>
      <c r="EC289" s="395">
        <f t="shared" si="184"/>
        <v>-0.22221029067990516</v>
      </c>
      <c r="ED289" s="342"/>
      <c r="EE289" s="43">
        <f t="shared" si="185"/>
        <v>-4.5288135593220313E-2</v>
      </c>
      <c r="EF289" s="43">
        <f t="shared" si="185"/>
        <v>-4.7974440894568704E-2</v>
      </c>
      <c r="EG289" s="43">
        <f t="shared" si="185"/>
        <v>-6.5587766804714787E-2</v>
      </c>
      <c r="EH289" s="43">
        <f t="shared" si="185"/>
        <v>-0.12991398534565146</v>
      </c>
      <c r="EI289" s="395">
        <f t="shared" si="185"/>
        <v>-7.219201359388272E-2</v>
      </c>
      <c r="EJ289" s="342"/>
      <c r="EK289" s="43">
        <f t="shared" si="186"/>
        <v>-0.15109714529186191</v>
      </c>
      <c r="EL289" s="43">
        <f t="shared" si="186"/>
        <v>-0.18204109392898038</v>
      </c>
      <c r="EM289" s="43">
        <f t="shared" si="186"/>
        <v>-0.20058731544112296</v>
      </c>
      <c r="EN289" s="43">
        <f t="shared" si="186"/>
        <v>-0.18325522358914259</v>
      </c>
      <c r="EO289" s="395">
        <f t="shared" si="186"/>
        <v>-0.17901522851936291</v>
      </c>
      <c r="EP289" s="342"/>
      <c r="EQ289" s="43">
        <f t="shared" si="187"/>
        <v>-0.1772486772486771</v>
      </c>
      <c r="ER289" s="43">
        <f t="shared" si="187"/>
        <v>-0.17886917135292446</v>
      </c>
      <c r="ES289" s="43">
        <f t="shared" si="187"/>
        <v>-0.17971317767744421</v>
      </c>
      <c r="ET289" s="43">
        <f t="shared" si="187"/>
        <v>-0.15617266978278799</v>
      </c>
      <c r="EU289" s="395">
        <f t="shared" si="187"/>
        <v>-0.173349766881567</v>
      </c>
      <c r="EV289" s="342"/>
      <c r="EW289" s="43">
        <f t="shared" si="188"/>
        <v>-0.15221204072035888</v>
      </c>
      <c r="EX289" s="43">
        <f t="shared" si="188"/>
        <v>-0.11036867280455132</v>
      </c>
      <c r="EY289" s="43">
        <f t="shared" si="188"/>
        <v>-7.8063693207813922E-2</v>
      </c>
      <c r="EZ289" s="43">
        <f t="shared" si="188"/>
        <v>-8.4316906795868896E-2</v>
      </c>
      <c r="FA289" s="395">
        <f t="shared" si="188"/>
        <v>-0.10741162927981107</v>
      </c>
      <c r="FB289" s="342"/>
      <c r="FC289" s="43">
        <f t="shared" si="189"/>
        <v>-7.8637763936048044E-2</v>
      </c>
      <c r="FD289" s="43">
        <f t="shared" si="189"/>
        <v>-9.1665356188079916E-2</v>
      </c>
      <c r="FE289" s="43">
        <f t="shared" si="189"/>
        <v>-0.10254750250013145</v>
      </c>
      <c r="FF289" s="43">
        <f t="shared" si="189"/>
        <v>-0.10701375397330137</v>
      </c>
      <c r="FG289" s="395">
        <f t="shared" si="189"/>
        <v>-9.4864990244194036E-2</v>
      </c>
      <c r="FH289" s="342"/>
      <c r="FI289" s="43">
        <f t="shared" si="190"/>
        <v>-0.11967190658768956</v>
      </c>
      <c r="FJ289" s="43">
        <f t="shared" si="190"/>
        <v>-0.12382585217740416</v>
      </c>
      <c r="FK289" s="43">
        <f t="shared" si="190"/>
        <v>-0.126</v>
      </c>
      <c r="FL289" s="43">
        <f t="shared" si="190"/>
        <v>-0.126</v>
      </c>
      <c r="FM289" s="395">
        <f t="shared" si="190"/>
        <v>-0.12382556417714219</v>
      </c>
      <c r="FN289" s="27"/>
      <c r="FO289" s="27"/>
      <c r="FP289" s="27"/>
      <c r="FQ289" s="27"/>
      <c r="FR289" s="27"/>
      <c r="FS289" s="27"/>
      <c r="FT289" s="27"/>
      <c r="FU289" s="27"/>
      <c r="FV289" s="27"/>
      <c r="FW289" s="27"/>
      <c r="FX289" s="27"/>
      <c r="FY289" s="27"/>
      <c r="FZ289" s="27"/>
      <c r="GA289" s="27"/>
      <c r="GB289" s="27"/>
      <c r="GC289" s="27"/>
      <c r="GD289" s="27"/>
      <c r="GE289" s="27"/>
      <c r="GF289" s="27"/>
      <c r="GH289" s="27"/>
      <c r="GI289"/>
      <c r="GJ289"/>
      <c r="GK289"/>
      <c r="GL289"/>
      <c r="GM289"/>
      <c r="GN289"/>
      <c r="GO289" s="27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</row>
    <row r="290" spans="1:281" s="32" customFormat="1" collapsed="1" x14ac:dyDescent="0.2">
      <c r="A290" s="353" t="s">
        <v>176</v>
      </c>
      <c r="B290" s="413"/>
      <c r="C290" s="42" t="s">
        <v>945</v>
      </c>
      <c r="D290" s="22">
        <f t="shared" ref="D290:M290" si="191">D91/C91-1</f>
        <v>0.82076287848997209</v>
      </c>
      <c r="E290" s="22">
        <f t="shared" si="191"/>
        <v>1.3906094769124446</v>
      </c>
      <c r="F290" s="22">
        <f t="shared" si="191"/>
        <v>1.3714698708103712</v>
      </c>
      <c r="G290" s="22">
        <f t="shared" si="191"/>
        <v>1.1494487577048207</v>
      </c>
      <c r="H290" s="22">
        <f t="shared" si="191"/>
        <v>1.0693835448915858</v>
      </c>
      <c r="I290" s="22">
        <f t="shared" si="191"/>
        <v>0.56969852689277167</v>
      </c>
      <c r="J290" s="22">
        <f t="shared" si="191"/>
        <v>0.12173746985453793</v>
      </c>
      <c r="K290" s="22">
        <f t="shared" si="191"/>
        <v>0.14694406045436104</v>
      </c>
      <c r="L290" s="22">
        <f t="shared" si="191"/>
        <v>0.27480916030534353</v>
      </c>
      <c r="M290" s="22">
        <f t="shared" si="191"/>
        <v>0.33143512974051892</v>
      </c>
      <c r="N290" s="353"/>
      <c r="O290" s="94" t="s">
        <v>945</v>
      </c>
      <c r="P290" s="94" t="s">
        <v>945</v>
      </c>
      <c r="Q290" s="94" t="s">
        <v>945</v>
      </c>
      <c r="R290" s="94" t="s">
        <v>945</v>
      </c>
      <c r="S290" s="22">
        <f>S91/M91-1</f>
        <v>0.48258873536027069</v>
      </c>
      <c r="T290" s="353"/>
      <c r="U290" s="22">
        <f>U91/O91-1</f>
        <v>0.38695249014329502</v>
      </c>
      <c r="V290" s="22">
        <f>V91/P91-1</f>
        <v>0.44268067076445661</v>
      </c>
      <c r="W290" s="22">
        <f>W91/Q91-1</f>
        <v>0.41259406434104773</v>
      </c>
      <c r="X290" s="22">
        <f>X91/R91-1</f>
        <v>0.4383576043910915</v>
      </c>
      <c r="Y290" s="22">
        <f>Y91/S91-1</f>
        <v>0.42342084844742534</v>
      </c>
      <c r="Z290" s="353"/>
      <c r="AA290" s="22">
        <f>AA91/U91-1</f>
        <v>0.36345544134967089</v>
      </c>
      <c r="AB290" s="22">
        <f>AB91/V91-1</f>
        <v>0.35612512926577056</v>
      </c>
      <c r="AC290" s="22">
        <f>AC91/W91-1</f>
        <v>0.3453837777226707</v>
      </c>
      <c r="AD290" s="22">
        <f>AD91/X91-1</f>
        <v>0.33055501292967437</v>
      </c>
      <c r="AE290" s="22">
        <f>AE91/Y91-1</f>
        <v>0.34600517721985358</v>
      </c>
      <c r="AF290" s="353"/>
      <c r="AG290" s="22">
        <f>AG91/AA91-1</f>
        <v>0.30077286450211393</v>
      </c>
      <c r="AH290" s="22">
        <f>AH91/AB91-1</f>
        <v>0.23056292908272469</v>
      </c>
      <c r="AI290" s="22">
        <f>AI91/AC91-1</f>
        <v>0.27403499748290328</v>
      </c>
      <c r="AJ290" s="22">
        <f>AJ91/AD91-1</f>
        <v>0.23845719087632578</v>
      </c>
      <c r="AK290" s="22">
        <f>AK91/AE91-1</f>
        <v>0.25676332292813098</v>
      </c>
      <c r="AL290" s="353"/>
      <c r="AM290" s="22">
        <f>AM91/AG91-1</f>
        <v>0.27781576648052186</v>
      </c>
      <c r="AN290" s="22">
        <f>AN91/AH91-1</f>
        <v>0.27403457957882638</v>
      </c>
      <c r="AO290" s="22">
        <f>AO91/AI91-1</f>
        <v>0.18879867242847359</v>
      </c>
      <c r="AP290" s="22">
        <f>AP91/AJ91-1</f>
        <v>0.21998480447890678</v>
      </c>
      <c r="AQ290" s="22">
        <f>AQ91/AK91-1</f>
        <v>0.2356409310646268</v>
      </c>
      <c r="AR290" s="353"/>
      <c r="AS290" s="22">
        <f>AS91/AM91-1</f>
        <v>0.13458673268119226</v>
      </c>
      <c r="AT290" s="22">
        <f>AT91/AN91-1</f>
        <v>0.12935128583268773</v>
      </c>
      <c r="AU290" s="22">
        <f>AU91/AO91-1</f>
        <v>0.17821657399034097</v>
      </c>
      <c r="AV290" s="22">
        <f>AV91/AP91-1</f>
        <v>0.14644624123171535</v>
      </c>
      <c r="AW290" s="22">
        <f>AW91/AQ91-1</f>
        <v>0.14759700980554302</v>
      </c>
      <c r="AX290" s="353"/>
      <c r="AY290" s="22">
        <f>AY91/AS91-1</f>
        <v>0.15292134055792928</v>
      </c>
      <c r="AZ290" s="22">
        <f>AZ91/AT91-1</f>
        <v>0.15699542138858846</v>
      </c>
      <c r="BA290" s="22">
        <f>BA91/AU91-1</f>
        <v>0.10069494059405137</v>
      </c>
      <c r="BB290" s="22">
        <f>BB91/AV91-1</f>
        <v>-2.4917686875242762E-2</v>
      </c>
      <c r="BC290" s="22">
        <f>BC91/AW91-1</f>
        <v>8.1989487200951228E-2</v>
      </c>
      <c r="BD290" s="353"/>
      <c r="BE290" s="22">
        <f>BE91/AY91-1</f>
        <v>-1.0024947639677206E-2</v>
      </c>
      <c r="BF290" s="22">
        <f>BF91/AZ91-1</f>
        <v>-0.11389595325803081</v>
      </c>
      <c r="BG290" s="22">
        <f>BG91/BA91-1</f>
        <v>-0.16421803356154285</v>
      </c>
      <c r="BH290" s="22">
        <f>BH91/BB91-1</f>
        <v>-0.15690362071952413</v>
      </c>
      <c r="BI290" s="22">
        <f>BI91/BC91-1</f>
        <v>-0.11750161394919223</v>
      </c>
      <c r="BJ290" s="353"/>
      <c r="BK290" s="22">
        <f>BK91/BE91-1</f>
        <v>-0.10465750279794528</v>
      </c>
      <c r="BL290" s="22">
        <f>BL91/BF91-1</f>
        <v>-3.0010035972386495E-2</v>
      </c>
      <c r="BM290" s="22">
        <f>BM91/BG91-1</f>
        <v>2.3822626169385686E-2</v>
      </c>
      <c r="BN290" s="22">
        <f>BN91/BH91-1</f>
        <v>2.0699132402132392E-2</v>
      </c>
      <c r="BO290" s="22">
        <f>BO91/BI91-1</f>
        <v>-2.0407032384544999E-2</v>
      </c>
      <c r="BP290" s="353"/>
      <c r="BQ290" s="22">
        <f>BQ91/BK91-1</f>
        <v>2.1696252465483346E-2</v>
      </c>
      <c r="BR290" s="22">
        <f>BR91/BL91-1</f>
        <v>8.1853616284105701E-2</v>
      </c>
      <c r="BS290" s="22">
        <f>BS91/BM91-1</f>
        <v>8.7559601213697436E-2</v>
      </c>
      <c r="BT290" s="22">
        <f>BT91/BN91-1</f>
        <v>8.6741541286995849E-2</v>
      </c>
      <c r="BU290" s="22">
        <f>BU91/BO91-1</f>
        <v>7.1828102243704839E-2</v>
      </c>
      <c r="BV290" s="353"/>
      <c r="BW290" s="22">
        <f>BW91/BQ91-1</f>
        <v>6.9015444015444016E-2</v>
      </c>
      <c r="BX290" s="22">
        <f>BX91/BR91-1</f>
        <v>0.10328262610088079</v>
      </c>
      <c r="BY290" s="22">
        <f>BY91/BS91-1</f>
        <v>0.2327620565962536</v>
      </c>
      <c r="BZ290" s="22">
        <f>BZ91/BT91-1</f>
        <v>0.31784205394865128</v>
      </c>
      <c r="CA290" s="22">
        <f>CA91/BU91-1</f>
        <v>0.19328475777865295</v>
      </c>
      <c r="CB290" s="353"/>
      <c r="CC290" s="22">
        <f>CC91/BW91-1</f>
        <v>0.31241534988713315</v>
      </c>
      <c r="CD290" s="22">
        <f>CD91/BX91-1</f>
        <v>0.2314949201741654</v>
      </c>
      <c r="CE290" s="22">
        <f>CE91/BY91-1</f>
        <v>0.1427093436792759</v>
      </c>
      <c r="CF290" s="22">
        <f>CF91/BZ91-1</f>
        <v>0.21750924784217007</v>
      </c>
      <c r="CG290" s="234">
        <f>CG91/CA91-1</f>
        <v>0.21894545754600214</v>
      </c>
      <c r="CH290" s="353"/>
      <c r="CI290" s="22">
        <f>CI91/CC91-1</f>
        <v>0.25937392500860001</v>
      </c>
      <c r="CJ290" s="22">
        <f>CJ91/CD91-1</f>
        <v>0.24219210371243372</v>
      </c>
      <c r="CK290" s="22">
        <f>CK91/CE91-1</f>
        <v>0.25877093707559973</v>
      </c>
      <c r="CL290" s="22">
        <f>CL91/CF91-1</f>
        <v>0.19161434069272842</v>
      </c>
      <c r="CM290" s="234">
        <f>CM91/CG91-1</f>
        <v>0.23263653840946641</v>
      </c>
      <c r="CN290" s="353"/>
      <c r="CO290" s="22">
        <f>CO91/CI91-1</f>
        <v>0.2545752526632068</v>
      </c>
      <c r="CP290" s="22">
        <f>CP91/CJ91-1</f>
        <v>0.27229601518026558</v>
      </c>
      <c r="CQ290" s="22">
        <f>CQ91/CK91-1</f>
        <v>0.20723758147898397</v>
      </c>
      <c r="CR290" s="22">
        <f>CR91/CL91-1</f>
        <v>0.23763386027536981</v>
      </c>
      <c r="CS290" s="234">
        <f>CS91/CM91-1</f>
        <v>0.24163875006864743</v>
      </c>
      <c r="CT290" s="353"/>
      <c r="CU290" s="22">
        <f>CU91/CO91-1</f>
        <v>0.18049205312431971</v>
      </c>
      <c r="CV290" s="22">
        <f>CV91/CP91-1</f>
        <v>6.0216256524981304E-2</v>
      </c>
      <c r="CW290" s="22">
        <f>CW91/CQ91-1</f>
        <v>2.4762614038354114E-2</v>
      </c>
      <c r="CX290" s="22">
        <f>CX91/CR91-1</f>
        <v>-5.4937508583985717E-2</v>
      </c>
      <c r="CY290" s="234">
        <f>CY91/CS91-1</f>
        <v>3.9143703834755961E-2</v>
      </c>
      <c r="CZ290" s="353"/>
      <c r="DA290" s="22">
        <f>DA91/CU91-1</f>
        <v>-6.6211729988933987E-2</v>
      </c>
      <c r="DB290" s="22">
        <f>DB91/CV91-1</f>
        <v>3.2530332336908829E-2</v>
      </c>
      <c r="DC290" s="22">
        <f>DC91/CW91-1</f>
        <v>0.17539970930232562</v>
      </c>
      <c r="DD290" s="22">
        <f>DD91/CX91-1</f>
        <v>0.39965121348641186</v>
      </c>
      <c r="DE290" s="234">
        <f>DE91/CY91-1</f>
        <v>0.1507363582191199</v>
      </c>
      <c r="DF290" s="353"/>
      <c r="DG290" s="22">
        <f>DG91/DA91-1</f>
        <v>0.49871617618013042</v>
      </c>
      <c r="DH290" s="22">
        <f>DH91/DB91-1</f>
        <v>0.48058583106267028</v>
      </c>
      <c r="DI290" s="22">
        <f>DI91/DC91-1</f>
        <v>0.36133180820477939</v>
      </c>
      <c r="DJ290" s="22">
        <f>DJ91/DD91-1</f>
        <v>0.12200186896480125</v>
      </c>
      <c r="DK290" s="394">
        <f>DK91/DE91-1</f>
        <v>0.32770367740074113</v>
      </c>
      <c r="DL290" s="353"/>
      <c r="DM290" s="22">
        <f>DM91/DG91-1</f>
        <v>0.106747496046389</v>
      </c>
      <c r="DN290" s="22">
        <f>DN91/DH91-1</f>
        <v>1.3457556935817738E-2</v>
      </c>
      <c r="DO290" s="22">
        <f>DO91/DI91-1</f>
        <v>2.8992755762461631E-2</v>
      </c>
      <c r="DP290" s="22">
        <f>DP91/DJ91-1</f>
        <v>1.3340708865445139E-2</v>
      </c>
      <c r="DQ290" s="394">
        <f>DQ91/DK91-1</f>
        <v>3.6954977016297796E-2</v>
      </c>
      <c r="DR290" s="353"/>
      <c r="DS290" s="22">
        <f>DS91/DM91-1</f>
        <v>-2.2505358418671073E-2</v>
      </c>
      <c r="DT290" s="22">
        <f>DT91/DN91-1</f>
        <v>3.4275337646124227E-2</v>
      </c>
      <c r="DU290" s="22">
        <f>DU91/DO91-1</f>
        <v>-1.0189333897367314E-2</v>
      </c>
      <c r="DV290" s="22">
        <f>DV91/DP91-1</f>
        <v>9.89967297006622E-4</v>
      </c>
      <c r="DW290" s="394">
        <f>DW91/DQ91-1</f>
        <v>8.4631465499618308E-4</v>
      </c>
      <c r="DX290" s="353"/>
      <c r="DY290" s="22">
        <f>DY91/DS91-1</f>
        <v>2.0952612985747354E-2</v>
      </c>
      <c r="DZ290" s="22">
        <f>DZ91/DT91-1</f>
        <v>1.8654669153955972E-2</v>
      </c>
      <c r="EA290" s="22">
        <f>EA91/DU91-1</f>
        <v>3.8461538461538547E-2</v>
      </c>
      <c r="EB290" s="22">
        <f>EB91/DV91-1</f>
        <v>3.3299881397682585E-2</v>
      </c>
      <c r="EC290" s="394">
        <f>EC91/DW91-1</f>
        <v>2.8239336429280781E-2</v>
      </c>
      <c r="ED290" s="353"/>
      <c r="EE290" s="22">
        <f>EE91/DY91-1</f>
        <v>2.6011215845364477E-2</v>
      </c>
      <c r="EF290" s="22">
        <f>EF91/DZ91-1</f>
        <v>3.5010233760637721E-2</v>
      </c>
      <c r="EG290" s="22">
        <f>EG91/EA91-1</f>
        <v>2.0397208803006883E-3</v>
      </c>
      <c r="EH290" s="22">
        <f>EH91/EB91-1</f>
        <v>-5.4211548649125918E-2</v>
      </c>
      <c r="EI290" s="394">
        <f>EI91/EC91-1</f>
        <v>-1.3575251272679445E-3</v>
      </c>
      <c r="EJ290" s="353"/>
      <c r="EK290" s="22">
        <f>EK91/EE91-1</f>
        <v>-1.7211303639958153E-2</v>
      </c>
      <c r="EL290" s="22">
        <f>EL91/EF91-1</f>
        <v>-6.3696919233971694E-2</v>
      </c>
      <c r="EM290" s="22">
        <f>EM91/EG91-1</f>
        <v>-3.4283265481037106E-2</v>
      </c>
      <c r="EN290" s="22">
        <f>EN91/EH91-1</f>
        <v>-1.0828976848394345E-2</v>
      </c>
      <c r="EO290" s="394">
        <f>EO91/EI91-1</f>
        <v>-3.1265521658431994E-2</v>
      </c>
      <c r="EP290" s="353"/>
      <c r="EQ290" s="22">
        <f>EQ91/EK91-1</f>
        <v>1.9169329073482455E-2</v>
      </c>
      <c r="ER290" s="22">
        <f>ER91/EL91-1</f>
        <v>8.201422854601903E-3</v>
      </c>
      <c r="ES290" s="22">
        <f>ES91/EM91-1</f>
        <v>2.8844020412691407E-2</v>
      </c>
      <c r="ET290" s="22">
        <f>ET91/EN91-1</f>
        <v>3.2559456398641107E-2</v>
      </c>
      <c r="EU290" s="394">
        <f>EU91/EO91-1</f>
        <v>2.2688830720241748E-2</v>
      </c>
      <c r="EV290" s="353"/>
      <c r="EW290" s="22">
        <f>EW91/EQ91-1</f>
        <v>6.954603506327639E-2</v>
      </c>
      <c r="EX290" s="22">
        <f>EX91/ER91-1</f>
        <v>6.1767760629254598E-2</v>
      </c>
      <c r="EY290" s="22">
        <f>EY91/ES91-1</f>
        <v>5.4129825318093516E-2</v>
      </c>
      <c r="EZ290" s="22">
        <f>EZ91/ET91-1</f>
        <v>2.272851349033167E-2</v>
      </c>
      <c r="FA290" s="394">
        <f>FA91/EU91-1</f>
        <v>5.0395898284746998E-2</v>
      </c>
      <c r="FB290" s="353"/>
      <c r="FC290" s="22">
        <f>FC91/EW91-1</f>
        <v>3.6625560043136218E-2</v>
      </c>
      <c r="FD290" s="22">
        <f>FD91/EX91-1</f>
        <v>3.6539671034598209E-2</v>
      </c>
      <c r="FE290" s="22">
        <f>FE91/EY91-1</f>
        <v>3.2307231133390735E-2</v>
      </c>
      <c r="FF290" s="22">
        <f>FF91/EZ91-1</f>
        <v>1.9107308187735317E-2</v>
      </c>
      <c r="FG290" s="394">
        <f>FG91/FA91-1</f>
        <v>3.0620019339379079E-2</v>
      </c>
      <c r="FH290" s="353"/>
      <c r="FI290" s="22">
        <f>FI91/FC91-1</f>
        <v>4.0861215517648208E-2</v>
      </c>
      <c r="FJ290" s="22">
        <f>FJ91/FD91-1</f>
        <v>3.6163195563325479E-2</v>
      </c>
      <c r="FK290" s="22">
        <f>FK91/FE91-1</f>
        <v>3.4500426358212266E-2</v>
      </c>
      <c r="FL290" s="22">
        <f>FL91/FF91-1</f>
        <v>2.3933269721764683E-2</v>
      </c>
      <c r="FM290" s="394">
        <f>FM91/FG91-1</f>
        <v>3.3448350330823162E-2</v>
      </c>
      <c r="GI290"/>
      <c r="GJ290"/>
      <c r="GK290"/>
      <c r="GL290"/>
      <c r="GM290"/>
      <c r="GN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</row>
    <row r="291" spans="1:281" s="28" customFormat="1" ht="5.25" customHeight="1" x14ac:dyDescent="0.2">
      <c r="A291" s="18"/>
      <c r="B291" s="414"/>
      <c r="CG291" s="416"/>
      <c r="CM291" s="416"/>
      <c r="CS291" s="416"/>
      <c r="CY291" s="416"/>
      <c r="DE291" s="416"/>
      <c r="DK291" s="975"/>
      <c r="DQ291" s="975"/>
      <c r="DW291" s="975"/>
      <c r="EC291" s="975"/>
      <c r="EI291" s="975"/>
      <c r="EO291" s="975"/>
      <c r="EU291" s="975"/>
      <c r="FA291" s="975"/>
      <c r="FG291" s="975"/>
      <c r="FM291" s="975"/>
      <c r="GI291"/>
      <c r="GJ291"/>
      <c r="GK291"/>
      <c r="GL291"/>
      <c r="GM291"/>
      <c r="GN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</row>
    <row r="292" spans="1:281" s="24" customFormat="1" x14ac:dyDescent="0.2">
      <c r="A292" s="342" t="s">
        <v>991</v>
      </c>
      <c r="B292" s="413"/>
      <c r="C292" s="94" t="s">
        <v>945</v>
      </c>
      <c r="D292" s="94" t="s">
        <v>945</v>
      </c>
      <c r="E292" s="94" t="s">
        <v>945</v>
      </c>
      <c r="F292" s="94" t="s">
        <v>945</v>
      </c>
      <c r="G292" s="94" t="s">
        <v>945</v>
      </c>
      <c r="H292" s="43">
        <f t="shared" ref="H292:M292" si="192">H141/G141-1</f>
        <v>0.9708241447278545</v>
      </c>
      <c r="I292" s="43">
        <f t="shared" si="192"/>
        <v>0.58860051293730886</v>
      </c>
      <c r="J292" s="43">
        <f t="shared" si="192"/>
        <v>0.66074500710599149</v>
      </c>
      <c r="K292" s="43">
        <f t="shared" si="192"/>
        <v>5.6795405922756448E-2</v>
      </c>
      <c r="L292" s="43">
        <f t="shared" si="192"/>
        <v>0.23110718065648062</v>
      </c>
      <c r="M292" s="43">
        <f t="shared" si="192"/>
        <v>0.44017736337855884</v>
      </c>
      <c r="N292" s="342"/>
      <c r="O292" s="94" t="s">
        <v>945</v>
      </c>
      <c r="P292" s="94" t="s">
        <v>945</v>
      </c>
      <c r="Q292" s="94" t="s">
        <v>945</v>
      </c>
      <c r="R292" s="94" t="s">
        <v>945</v>
      </c>
      <c r="S292" s="43">
        <f>S141/M141-1</f>
        <v>0.56048019582823372</v>
      </c>
      <c r="T292" s="43"/>
      <c r="U292" s="43">
        <f>U141/O141-1</f>
        <v>0.47907336302013115</v>
      </c>
      <c r="V292" s="43">
        <f>V141/P141-1</f>
        <v>0.36168420603695517</v>
      </c>
      <c r="W292" s="43">
        <f>W141/Q141-1</f>
        <v>0.45840260724109361</v>
      </c>
      <c r="X292" s="43">
        <f>X141/R141-1</f>
        <v>0.35264956260389191</v>
      </c>
      <c r="Y292" s="43">
        <f>Y141/S141-1</f>
        <v>0.40692697930198762</v>
      </c>
      <c r="Z292" s="342"/>
      <c r="AA292" s="43">
        <f>AA141/U141-1</f>
        <v>0.4518096488689427</v>
      </c>
      <c r="AB292" s="43">
        <f>AB141/V141-1</f>
        <v>0.47787974410974776</v>
      </c>
      <c r="AC292" s="43">
        <f>AC141/W141-1</f>
        <v>0.39951471711005659</v>
      </c>
      <c r="AD292" s="43">
        <f>AD141/X141-1</f>
        <v>0.35127964026700687</v>
      </c>
      <c r="AE292" s="43">
        <f>AE141/Y141-1</f>
        <v>0.41464197961155569</v>
      </c>
      <c r="AF292" s="342"/>
      <c r="AG292" s="43">
        <f>AG141/AA141-1</f>
        <v>0.39291059097251746</v>
      </c>
      <c r="AH292" s="43">
        <f>AH141/AB141-1</f>
        <v>0.45339260311060348</v>
      </c>
      <c r="AI292" s="43">
        <f>AI141/AC141-1</f>
        <v>0.46073271041074548</v>
      </c>
      <c r="AJ292" s="43">
        <f>AJ141/AD141-1</f>
        <v>0.5396373741201328</v>
      </c>
      <c r="AK292" s="43">
        <f>AK141/AE141-1</f>
        <v>0.46640300400008794</v>
      </c>
      <c r="AL292" s="342"/>
      <c r="AM292" s="43">
        <f>AM141/AG141-1</f>
        <v>0.45095660309248631</v>
      </c>
      <c r="AN292" s="43">
        <f>AN141/AH141-1</f>
        <v>0.42144173406169183</v>
      </c>
      <c r="AO292" s="43">
        <f>AO141/AI141-1</f>
        <v>0.35065774439885544</v>
      </c>
      <c r="AP292" s="43">
        <f>AP141/AJ141-1</f>
        <v>0.21266922429789448</v>
      </c>
      <c r="AQ292" s="43">
        <f>AQ141/AK141-1</f>
        <v>0.34770285818839475</v>
      </c>
      <c r="AR292" s="94"/>
      <c r="AS292" s="43">
        <f>AS141/AM141-1</f>
        <v>0.11403082630393513</v>
      </c>
      <c r="AT292" s="43">
        <f>AT141/AN141-1</f>
        <v>-3.4207992080497851E-2</v>
      </c>
      <c r="AU292" s="43">
        <f>AU141/AO141-1</f>
        <v>-0.10701961937974025</v>
      </c>
      <c r="AV292" s="43">
        <f>AV141/AP141-1</f>
        <v>-0.1076153645564264</v>
      </c>
      <c r="AW292" s="43">
        <f>AW141/AQ141-1</f>
        <v>-3.9642014680753013E-2</v>
      </c>
      <c r="AX292" s="342"/>
      <c r="AY292" s="43">
        <f>AY141/AS141-1</f>
        <v>-7.4998348199537435E-2</v>
      </c>
      <c r="AZ292" s="43">
        <f>AZ141/AT141-1</f>
        <v>-4.1570960075414498E-2</v>
      </c>
      <c r="BA292" s="43">
        <f>BA141/AU141-1</f>
        <v>3.2587686865245047E-2</v>
      </c>
      <c r="BB292" s="43">
        <f>BB141/AV141-1</f>
        <v>2.6737496175041064E-2</v>
      </c>
      <c r="BC292" s="43">
        <f>BC141/AW141-1</f>
        <v>-1.5502540372225648E-2</v>
      </c>
      <c r="BD292" s="342"/>
      <c r="BE292" s="43">
        <f>BE141/AY141-1</f>
        <v>-9.5876399117136524E-2</v>
      </c>
      <c r="BF292" s="43">
        <f>BF141/AZ141-1</f>
        <v>-0.12318039509046086</v>
      </c>
      <c r="BG292" s="43">
        <f>BG141/BA141-1</f>
        <v>-0.21753120939218884</v>
      </c>
      <c r="BH292" s="43">
        <f>BH141/BB141-1</f>
        <v>-0.23714988401065373</v>
      </c>
      <c r="BI292" s="43">
        <f>BI141/BC141-1</f>
        <v>-0.1696716671384092</v>
      </c>
      <c r="BJ292" s="342"/>
      <c r="BK292" s="43">
        <f>BK141/BE141-1</f>
        <v>-6.9336780000063269E-2</v>
      </c>
      <c r="BL292" s="43">
        <f>BL141/BF141-1</f>
        <v>-5.3624271456581107E-2</v>
      </c>
      <c r="BM292" s="43">
        <f>BM141/BG141-1</f>
        <v>4.4728792322608069E-3</v>
      </c>
      <c r="BN292" s="43">
        <f>BN141/BH141-1</f>
        <v>2.0688295872899554E-2</v>
      </c>
      <c r="BO292" s="43">
        <f>BO141/BI141-1</f>
        <v>-2.6402290407318896E-2</v>
      </c>
      <c r="BP292" s="342"/>
      <c r="BQ292" s="43">
        <f>BQ141/BK141-1</f>
        <v>-4.4142614601018648E-2</v>
      </c>
      <c r="BR292" s="43">
        <f>BR141/BL141-1</f>
        <v>-1.6694490818029983E-3</v>
      </c>
      <c r="BS292" s="43">
        <f>BS141/BM141-1</f>
        <v>1.3937282229965264E-2</v>
      </c>
      <c r="BT292" s="43">
        <f>BT141/BN141-1</f>
        <v>-1.0344827586206917E-2</v>
      </c>
      <c r="BU292" s="43">
        <f>BU141/BO141-1</f>
        <v>-1.0674637062339842E-2</v>
      </c>
      <c r="BV292" s="342"/>
      <c r="BW292" s="43">
        <f>BW141/BQ141-1</f>
        <v>-1.4209591474245165E-2</v>
      </c>
      <c r="BX292" s="43">
        <f>BX141/BR141-1</f>
        <v>-1.3377926421404673E-2</v>
      </c>
      <c r="BY292" s="43">
        <f>BY141/BS141-1</f>
        <v>0.22164948453608257</v>
      </c>
      <c r="BZ292" s="43">
        <f>BZ141/BT141-1</f>
        <v>0.36933797909407673</v>
      </c>
      <c r="CA292" s="43">
        <f>CA141/BU141-1</f>
        <v>0.14026758739749678</v>
      </c>
      <c r="CB292" s="342"/>
      <c r="CC292" s="43">
        <f>CC141/BW141-1</f>
        <v>0.29729729729729737</v>
      </c>
      <c r="CD292" s="43">
        <f>CD141/BX141-1</f>
        <v>0.27966101694915246</v>
      </c>
      <c r="CE292" s="43">
        <f>CE141/BY141-1</f>
        <v>0.10689170182841079</v>
      </c>
      <c r="CF292" s="43">
        <f>CF141/BZ141-1</f>
        <v>0.22264631043256999</v>
      </c>
      <c r="CG292" s="395">
        <f>CG141/CA141-1</f>
        <v>0.21990915972747915</v>
      </c>
      <c r="CH292" s="342"/>
      <c r="CI292" s="43">
        <f>CI141/CC141-1</f>
        <v>0.35277777777777786</v>
      </c>
      <c r="CJ292" s="43">
        <f>CJ141/CD141-1</f>
        <v>0.3496688741721854</v>
      </c>
      <c r="CK292" s="43">
        <f>CK141/CE141-1</f>
        <v>0.30114358322744605</v>
      </c>
      <c r="CL292" s="43">
        <f>CL141/CF141-1</f>
        <v>0.1966701352757545</v>
      </c>
      <c r="CM292" s="395">
        <f>CM141/CG141-1</f>
        <v>0.29289481849208809</v>
      </c>
      <c r="CN292" s="342"/>
      <c r="CO292" s="43">
        <f>CO141/CI141-1</f>
        <v>0.18172484599589311</v>
      </c>
      <c r="CP292" s="43">
        <f>CP141/CJ141-1</f>
        <v>0.20902845927379787</v>
      </c>
      <c r="CQ292" s="43">
        <f>CQ141/CK141-1</f>
        <v>0.2109375</v>
      </c>
      <c r="CR292" s="43">
        <f>CR141/CL141-1</f>
        <v>0.16086956521739126</v>
      </c>
      <c r="CS292" s="395">
        <f>CS141/CM141-1</f>
        <v>0.18982481401487883</v>
      </c>
      <c r="CT292" s="342"/>
      <c r="CU292" s="43">
        <f>CU141/CO141-1</f>
        <v>0.13119026933101652</v>
      </c>
      <c r="CV292" s="43">
        <f>CV141/CP141-1</f>
        <v>-3.4090909090909061E-2</v>
      </c>
      <c r="CW292" s="43">
        <f>CW141/CQ141-1</f>
        <v>-0.1088709677419355</v>
      </c>
      <c r="CX292" s="43">
        <f>CX141/CR141-1</f>
        <v>-0.12209737827715361</v>
      </c>
      <c r="CY292" s="395">
        <f>CY141/CS141-1</f>
        <v>-3.8120209762000812E-2</v>
      </c>
      <c r="CZ292" s="342"/>
      <c r="DA292" s="43">
        <f>DA141/CU141-1</f>
        <v>-0.23118279569892475</v>
      </c>
      <c r="DB292" s="43">
        <f>DB141/CV141-1</f>
        <v>-8.4873949579831964E-2</v>
      </c>
      <c r="DC292" s="43">
        <f>DC141/CW141-1</f>
        <v>0.25248868778280542</v>
      </c>
      <c r="DD292" s="43">
        <f>DD141/CX141-1</f>
        <v>0.89872013651877158</v>
      </c>
      <c r="DE292" s="395">
        <f>DE141/CY141-1</f>
        <v>0.19507234221010705</v>
      </c>
      <c r="DF292" s="342"/>
      <c r="DG292" s="43">
        <f>DG141/DA141-1</f>
        <v>1.0489510489510487</v>
      </c>
      <c r="DH292" s="43">
        <f>DH141/DB141-1</f>
        <v>0.97245179063360876</v>
      </c>
      <c r="DI292" s="43">
        <f>DI141/DC141-1</f>
        <v>0.44580924855491322</v>
      </c>
      <c r="DJ292" s="43">
        <f>DJ141/DD141-1</f>
        <v>-2.7996225228059224E-2</v>
      </c>
      <c r="DK292" s="395">
        <f>DK141/DE141-1</f>
        <v>0.46737318618075907</v>
      </c>
      <c r="DL292" s="342"/>
      <c r="DM292" s="43">
        <f>DM141/DG141-1</f>
        <v>-3.5592393954168688E-2</v>
      </c>
      <c r="DN292" s="43">
        <f>DN141/DH141-1</f>
        <v>-9.5437616387337054E-2</v>
      </c>
      <c r="DO292" s="43">
        <f>DO141/DI141-1</f>
        <v>-5.2473763118440764E-2</v>
      </c>
      <c r="DP292" s="43">
        <f>DP141/DJ141-1</f>
        <v>-7.8594544613962092E-2</v>
      </c>
      <c r="DQ292" s="395">
        <f>DQ141/DK141-1</f>
        <v>-6.6124596436685446E-2</v>
      </c>
      <c r="DR292" s="342"/>
      <c r="DS292" s="43">
        <f>DS141/DM141-1</f>
        <v>-0.11021233569261879</v>
      </c>
      <c r="DT292" s="43">
        <f>DT141/DN141-1</f>
        <v>-8.4405558414822446E-2</v>
      </c>
      <c r="DU292" s="43">
        <f>DU141/DO141-1</f>
        <v>-0.10232067510548526</v>
      </c>
      <c r="DV292" s="43">
        <f>DV141/DP141-1</f>
        <v>-4.9673858504766688E-2</v>
      </c>
      <c r="DW292" s="395">
        <f>DW141/DQ141-1</f>
        <v>-8.6427656850192047E-2</v>
      </c>
      <c r="DX292" s="342"/>
      <c r="DY292" s="43">
        <f>DY141/DS141-1</f>
        <v>-3.3522727272727315E-2</v>
      </c>
      <c r="DZ292" s="43">
        <f>DZ141/DT141-1</f>
        <v>6.7453625632378778E-3</v>
      </c>
      <c r="EA292" s="43">
        <f>EA141/DU141-1</f>
        <v>3.2902467685076431E-2</v>
      </c>
      <c r="EB292" s="43">
        <f>EB141/DV141-1</f>
        <v>6.8637803590285706E-3</v>
      </c>
      <c r="EC292" s="395">
        <f>EC141/DW141-1</f>
        <v>3.0833917309038839E-3</v>
      </c>
      <c r="ED292" s="342"/>
      <c r="EE292" s="43">
        <f>EE141/DY141-1</f>
        <v>-2.1164021164021163E-2</v>
      </c>
      <c r="EF292" s="43">
        <f>EF141/DZ141-1</f>
        <v>4.9134561697375734E-2</v>
      </c>
      <c r="EG292" s="43">
        <f>EG141/EA141-1</f>
        <v>6.8828213879408517E-2</v>
      </c>
      <c r="EH292" s="43">
        <f>EH141/EB141-1</f>
        <v>6.5023597273204059E-2</v>
      </c>
      <c r="EI292" s="395">
        <f>EI141/EC141-1</f>
        <v>4.1497834288109603E-2</v>
      </c>
      <c r="EJ292" s="342"/>
      <c r="EK292" s="43">
        <f>EK141/EE141-1</f>
        <v>9.7897897897897934E-2</v>
      </c>
      <c r="EL292" s="43">
        <f>EL141/EF141-1</f>
        <v>-2.5013304949441206E-2</v>
      </c>
      <c r="EM292" s="43">
        <f>EM141/EG141-1</f>
        <v>-3.1931878658861046E-2</v>
      </c>
      <c r="EN292" s="43">
        <f>EN141/EH141-1</f>
        <v>-5.7114721811915348E-2</v>
      </c>
      <c r="EO292" s="395">
        <f>EO141/EI141-1</f>
        <v>-8.049369466058498E-3</v>
      </c>
      <c r="EP292" s="342"/>
      <c r="EQ292" s="43">
        <f>EQ141/EK141-1</f>
        <v>-4.1028446389496764E-2</v>
      </c>
      <c r="ER292" s="43">
        <f>ER141/EL141-1</f>
        <v>-3.2751091703056789E-2</v>
      </c>
      <c r="ES292" s="43">
        <f>ES141/EM141-1</f>
        <v>2.3639362286970833E-2</v>
      </c>
      <c r="ET292" s="43">
        <f>ET141/EN141-1</f>
        <v>2.9765013054830369E-2</v>
      </c>
      <c r="EU292" s="395">
        <f>EU141/EO141-1</f>
        <v>-4.7335677576413326E-3</v>
      </c>
      <c r="EV292" s="342"/>
      <c r="EW292" s="43">
        <f>EW141/EQ141-1</f>
        <v>8.2715345122646999E-2</v>
      </c>
      <c r="EX292" s="43">
        <f>EX141/ER141-1</f>
        <v>8.8036117381489865E-2</v>
      </c>
      <c r="EY292" s="43">
        <f>EY141/ES141-1</f>
        <v>5.5853920515574584E-2</v>
      </c>
      <c r="EZ292" s="43">
        <f>EZ141/ET141-1</f>
        <v>6.3764404063600733E-2</v>
      </c>
      <c r="FA292" s="395">
        <f>FA141/EU141-1</f>
        <v>7.2121674794594304E-2</v>
      </c>
      <c r="FB292" s="342"/>
      <c r="FC292" s="43">
        <f>FC141/EW141-1</f>
        <v>3.5679237191582169E-2</v>
      </c>
      <c r="FD292" s="43">
        <f>FD141/EX141-1</f>
        <v>3.1415215016834752E-2</v>
      </c>
      <c r="FE292" s="43">
        <f>FE141/EY141-1</f>
        <v>1.1815667668919394E-2</v>
      </c>
      <c r="FF292" s="43">
        <f>FF141/EZ141-1</f>
        <v>2.1145543039757797E-3</v>
      </c>
      <c r="FG292" s="395">
        <f>FG141/FA141-1</f>
        <v>1.9766564477789794E-2</v>
      </c>
      <c r="FH292" s="342"/>
      <c r="FI292" s="43">
        <f>FI141/FC141-1</f>
        <v>1.9867019037212552E-2</v>
      </c>
      <c r="FJ292" s="43">
        <f>FJ141/FD141-1</f>
        <v>1.9378416374085772E-2</v>
      </c>
      <c r="FK292" s="43">
        <f>FK141/FE141-1</f>
        <v>1.711104885689152E-2</v>
      </c>
      <c r="FL292" s="43">
        <f>FL141/FF141-1</f>
        <v>1.6420914649492913E-2</v>
      </c>
      <c r="FM292" s="395">
        <f>FM141/FG141-1</f>
        <v>1.8164468330957195E-2</v>
      </c>
      <c r="FN292" s="27"/>
      <c r="FO292" s="27"/>
      <c r="FP292" s="27"/>
      <c r="FQ292" s="27"/>
      <c r="FR292" s="27"/>
      <c r="FS292" s="27"/>
      <c r="FT292" s="27"/>
      <c r="FU292" s="27"/>
      <c r="FV292" s="27"/>
      <c r="FW292" s="27"/>
      <c r="FX292" s="27"/>
      <c r="FY292" s="27"/>
      <c r="FZ292" s="27"/>
      <c r="GA292" s="27"/>
      <c r="GB292" s="27"/>
      <c r="GC292" s="27"/>
      <c r="GD292" s="27"/>
      <c r="GE292" s="27"/>
      <c r="GF292" s="27"/>
      <c r="GH292" s="27"/>
      <c r="GI292"/>
      <c r="GJ292"/>
      <c r="GK292"/>
      <c r="GL292"/>
      <c r="GM292"/>
      <c r="GN292"/>
      <c r="GO292" s="27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</row>
    <row r="293" spans="1:281" s="24" customFormat="1" x14ac:dyDescent="0.2">
      <c r="A293" s="342" t="s">
        <v>177</v>
      </c>
      <c r="B293" s="413"/>
      <c r="C293" s="94" t="s">
        <v>945</v>
      </c>
      <c r="D293" s="43">
        <f t="shared" ref="D293:M293" si="193">D147/C147-1</f>
        <v>1.2597610428689774</v>
      </c>
      <c r="E293" s="43">
        <f t="shared" si="193"/>
        <v>1.2878284962171644</v>
      </c>
      <c r="F293" s="43">
        <f t="shared" si="193"/>
        <v>1.5451302366083932</v>
      </c>
      <c r="G293" s="43">
        <f t="shared" si="193"/>
        <v>0.46650601840367623</v>
      </c>
      <c r="H293" s="43">
        <f t="shared" si="193"/>
        <v>1.1974385823600482</v>
      </c>
      <c r="I293" s="43">
        <f t="shared" si="193"/>
        <v>0.70474172690350856</v>
      </c>
      <c r="J293" s="43">
        <f t="shared" si="193"/>
        <v>0.18584784356898032</v>
      </c>
      <c r="K293" s="43">
        <f t="shared" si="193"/>
        <v>2.7060399958658943E-2</v>
      </c>
      <c r="L293" s="43">
        <f t="shared" si="193"/>
        <v>0.14052197001929612</v>
      </c>
      <c r="M293" s="43">
        <f t="shared" si="193"/>
        <v>0.16062641344711626</v>
      </c>
      <c r="N293" s="342"/>
      <c r="O293" s="94" t="s">
        <v>945</v>
      </c>
      <c r="P293" s="94" t="s">
        <v>945</v>
      </c>
      <c r="Q293" s="94" t="s">
        <v>945</v>
      </c>
      <c r="R293" s="94" t="s">
        <v>945</v>
      </c>
      <c r="S293" s="43">
        <f>S147/M147-1</f>
        <v>0.47152692198944779</v>
      </c>
      <c r="T293" s="342"/>
      <c r="U293" s="43">
        <f>U147/O147-1</f>
        <v>0.28038013601196776</v>
      </c>
      <c r="V293" s="43">
        <f>V147/P147-1</f>
        <v>0.46127907500809195</v>
      </c>
      <c r="W293" s="43">
        <f>W147/Q147-1</f>
        <v>0.39786616867064128</v>
      </c>
      <c r="X293" s="43">
        <f>X147/R147-1</f>
        <v>0.44267212571242132</v>
      </c>
      <c r="Y293" s="43">
        <f>Y147/S147-1</f>
        <v>0.40412201079444765</v>
      </c>
      <c r="Z293" s="342"/>
      <c r="AA293" s="43">
        <f>AA147/U147-1</f>
        <v>0.2896786286435169</v>
      </c>
      <c r="AB293" s="43">
        <f>AB147/V147-1</f>
        <v>0.27488574232440777</v>
      </c>
      <c r="AC293" s="43">
        <f>AC147/W147-1</f>
        <v>0.26028931072431716</v>
      </c>
      <c r="AD293" s="43">
        <f>AD147/X147-1</f>
        <v>0.268512573959101</v>
      </c>
      <c r="AE293" s="43">
        <f>AE147/Y147-1</f>
        <v>0.27185293865149873</v>
      </c>
      <c r="AF293" s="342"/>
      <c r="AG293" s="43">
        <f>AG147/AA147-1</f>
        <v>0.24899541475614839</v>
      </c>
      <c r="AH293" s="43">
        <f>AH147/AB147-1</f>
        <v>0.1623134984868746</v>
      </c>
      <c r="AI293" s="43">
        <f>AI147/AC147-1</f>
        <v>0.23298672129046571</v>
      </c>
      <c r="AJ293" s="43">
        <f>AJ147/AD147-1</f>
        <v>0.18727812565151436</v>
      </c>
      <c r="AK293" s="43">
        <f>AK147/AE147-1</f>
        <v>0.20346793585445355</v>
      </c>
      <c r="AL293" s="342"/>
      <c r="AM293" s="43">
        <f>AM147/AG147-1</f>
        <v>0.13488678409882282</v>
      </c>
      <c r="AN293" s="43">
        <f>AN147/AH147-1</f>
        <v>0.11970898219455428</v>
      </c>
      <c r="AO293" s="43">
        <f>AO147/AI147-1</f>
        <v>-1.5203860335895047E-3</v>
      </c>
      <c r="AP293" s="43">
        <f>AP147/AJ147-1</f>
        <v>0.15506705451797531</v>
      </c>
      <c r="AQ293" s="43">
        <f>AQ147/AK147-1</f>
        <v>0.10587962920011162</v>
      </c>
      <c r="AR293" s="342"/>
      <c r="AS293" s="43">
        <f>AS147/AM147-1</f>
        <v>5.5579952791348752E-2</v>
      </c>
      <c r="AT293" s="43">
        <f>AT147/AN147-1</f>
        <v>6.705139796030446E-2</v>
      </c>
      <c r="AU293" s="43">
        <f>AU147/AO147-1</f>
        <v>4.9298110650791704E-2</v>
      </c>
      <c r="AV293" s="43">
        <f>AV147/AP147-1</f>
        <v>-0.1065200798496948</v>
      </c>
      <c r="AW293" s="43">
        <f>AW147/AQ147-1</f>
        <v>-2.146905538825683E-3</v>
      </c>
      <c r="AX293" s="342"/>
      <c r="AY293" s="43">
        <f>AY147/AS147-1</f>
        <v>6.4146233651420914E-2</v>
      </c>
      <c r="AZ293" s="43">
        <f>AZ147/AT147-1</f>
        <v>1.493745179615269E-2</v>
      </c>
      <c r="BA293" s="43">
        <f>BA147/AU147-1</f>
        <v>0.11923571034612634</v>
      </c>
      <c r="BB293" s="43">
        <f>BB147/AV147-1</f>
        <v>-4.7296742291074501E-2</v>
      </c>
      <c r="BC293" s="43">
        <f>BC147/AW147-1</f>
        <v>2.8498338969461745E-2</v>
      </c>
      <c r="BD293" s="342"/>
      <c r="BE293" s="43">
        <f>BE147/AY147-1</f>
        <v>-6.5419467889780258E-2</v>
      </c>
      <c r="BF293" s="43">
        <f>BF147/AZ147-1</f>
        <v>-0.10877954015276226</v>
      </c>
      <c r="BG293" s="43">
        <f>BG147/BA147-1</f>
        <v>-0.22654427175276626</v>
      </c>
      <c r="BH293" s="43">
        <f>BH147/BB147-1</f>
        <v>-0.27633860828094514</v>
      </c>
      <c r="BI293" s="43">
        <f>BI147/BC147-1</f>
        <v>-0.17922084388267179</v>
      </c>
      <c r="BJ293" s="342"/>
      <c r="BK293" s="43">
        <f>BK147/BE147-1</f>
        <v>-0.12041697091026571</v>
      </c>
      <c r="BL293" s="43">
        <f>BL147/BF147-1</f>
        <v>-0.10356612600498649</v>
      </c>
      <c r="BM293" s="43">
        <f>BM147/BG147-1</f>
        <v>1.201205867727495E-2</v>
      </c>
      <c r="BN293" s="43">
        <f>BN147/BH147-1</f>
        <v>-3.3244146701796762E-2</v>
      </c>
      <c r="BO293" s="43">
        <f>BO147/BI147-1</f>
        <v>-6.2010945318226041E-2</v>
      </c>
      <c r="BP293" s="342"/>
      <c r="BQ293" s="43">
        <f>BQ147/BK147-1</f>
        <v>-1.4861995753715496E-2</v>
      </c>
      <c r="BR293" s="43">
        <f>BR147/BL147-1</f>
        <v>2.5390625E-2</v>
      </c>
      <c r="BS293" s="43">
        <f>BS147/BM147-1</f>
        <v>1.1516314779270731E-2</v>
      </c>
      <c r="BT293" s="43">
        <f>BT147/BN147-1</f>
        <v>9.1549295774647987E-2</v>
      </c>
      <c r="BU293" s="43">
        <f>BU147/BO147-1</f>
        <v>3.0888030888030826E-2</v>
      </c>
      <c r="BV293" s="342"/>
      <c r="BW293" s="43">
        <f>BW147/BQ147-1</f>
        <v>3.4482758620689724E-2</v>
      </c>
      <c r="BX293" s="43">
        <f>BX147/BR147-1</f>
        <v>5.7142857142857162E-2</v>
      </c>
      <c r="BY293" s="43">
        <f>BY147/BS147-1</f>
        <v>0.26565464895635671</v>
      </c>
      <c r="BZ293" s="43">
        <f>BZ147/BT147-1</f>
        <v>0.29516129032258065</v>
      </c>
      <c r="CA293" s="43">
        <f>CA147/BU147-1</f>
        <v>0.172752808988764</v>
      </c>
      <c r="CB293" s="342"/>
      <c r="CC293" s="43">
        <f>CC147/BW147-1</f>
        <v>0.27708333333333335</v>
      </c>
      <c r="CD293" s="43">
        <f>CD147/BX147-1</f>
        <v>0.27027027027027017</v>
      </c>
      <c r="CE293" s="43">
        <f>CE147/BY147-1</f>
        <v>0.13043478260869557</v>
      </c>
      <c r="CF293" s="43">
        <f>CF147/BZ147-1</f>
        <v>0.36737235367372345</v>
      </c>
      <c r="CG293" s="395">
        <f>CG147/CA147-1</f>
        <v>0.26546906187624741</v>
      </c>
      <c r="CH293" s="342"/>
      <c r="CI293" s="43">
        <f>CI147/CC147-1</f>
        <v>0.20717781402936386</v>
      </c>
      <c r="CJ293" s="43">
        <f>CJ147/CD147-1</f>
        <v>0.28652482269503543</v>
      </c>
      <c r="CK293" s="43">
        <f>CK147/CE147-1</f>
        <v>0.27055702917771884</v>
      </c>
      <c r="CL293" s="43">
        <f>CL147/CF147-1</f>
        <v>0.15118397085610202</v>
      </c>
      <c r="CM293" s="395">
        <f>CM147/CG147-1</f>
        <v>0.22050473186119879</v>
      </c>
      <c r="CN293" s="342"/>
      <c r="CO293" s="43">
        <f>CO147/CI147-1</f>
        <v>0.2986486486486486</v>
      </c>
      <c r="CP293" s="43">
        <f>CP147/CJ147-1</f>
        <v>0.19294377067254675</v>
      </c>
      <c r="CQ293" s="43">
        <f>CQ147/CK147-1</f>
        <v>0.1179540709812108</v>
      </c>
      <c r="CR293" s="43">
        <f>CR147/CL147-1</f>
        <v>0.196993670886076</v>
      </c>
      <c r="CS293" s="395">
        <f>CS147/CM147-1</f>
        <v>0.19591625743086061</v>
      </c>
      <c r="CT293" s="342"/>
      <c r="CU293" s="43">
        <f>CU147/CO147-1</f>
        <v>0.1373569198751301</v>
      </c>
      <c r="CV293" s="43">
        <f>CV147/CP147-1</f>
        <v>4.4362292051755903E-2</v>
      </c>
      <c r="CW293" s="43">
        <f>CW147/CQ147-1</f>
        <v>-3.081232492997199E-2</v>
      </c>
      <c r="CX293" s="43">
        <f>CX147/CR147-1</f>
        <v>-0.13417052214144087</v>
      </c>
      <c r="CY293" s="395">
        <f>CY147/CS147-1</f>
        <v>-1.2102874432677768E-2</v>
      </c>
      <c r="CZ293" s="342"/>
      <c r="DA293" s="43">
        <f>DA147/CU147-1</f>
        <v>-0.13632204940530646</v>
      </c>
      <c r="DB293" s="43">
        <f>DB147/CV147-1</f>
        <v>-1.5044247787610598E-2</v>
      </c>
      <c r="DC293" s="43">
        <f>DC147/CW147-1</f>
        <v>0.17533718689788058</v>
      </c>
      <c r="DD293" s="43">
        <f>DD147/CX147-1</f>
        <v>0.31374045801526718</v>
      </c>
      <c r="DE293" s="395">
        <f>DE147/CY147-1</f>
        <v>9.3415007656967752E-2</v>
      </c>
      <c r="DF293" s="342"/>
      <c r="DG293" s="43">
        <f>DG147/DA147-1</f>
        <v>0.38771186440677963</v>
      </c>
      <c r="DH293" s="43">
        <f>DH147/DB147-1</f>
        <v>0.35759209344115006</v>
      </c>
      <c r="DI293" s="43">
        <f>DI147/DC147-1</f>
        <v>0.30819672131147535</v>
      </c>
      <c r="DJ293" s="43">
        <f>DJ147/DD147-1</f>
        <v>0.20569436374201056</v>
      </c>
      <c r="DK293" s="395">
        <f>DK147/DE147-1</f>
        <v>0.29891956782713081</v>
      </c>
      <c r="DL293" s="342"/>
      <c r="DM293" s="43">
        <f>DM147/DG147-1</f>
        <v>0.22442748091603049</v>
      </c>
      <c r="DN293" s="43">
        <f>DN147/DH147-1</f>
        <v>0.10390469887491727</v>
      </c>
      <c r="DO293" s="43">
        <f>DO147/DI147-1</f>
        <v>4.6365914786967499E-2</v>
      </c>
      <c r="DP293" s="43">
        <f>DP147/DJ147-1</f>
        <v>-4.8192771084337727E-3</v>
      </c>
      <c r="DQ293" s="395">
        <f>DQ147/DK147-1</f>
        <v>7.9328404189771939E-2</v>
      </c>
      <c r="DR293" s="342"/>
      <c r="DS293" s="43">
        <f>DS147/DM147-1</f>
        <v>-5.9850374064837952E-2</v>
      </c>
      <c r="DT293" s="43">
        <f>DT147/DN147-1</f>
        <v>3.7170263788968816E-2</v>
      </c>
      <c r="DU293" s="43">
        <f>DU147/DO147-1</f>
        <v>5.9880239520958112E-2</v>
      </c>
      <c r="DV293" s="43">
        <f>DV147/DP147-1</f>
        <v>1.3075060532687699E-2</v>
      </c>
      <c r="DW293" s="395">
        <f>DW147/DQ147-1</f>
        <v>1.3272441843870331E-2</v>
      </c>
      <c r="DX293" s="342"/>
      <c r="DY293" s="43">
        <f>DY147/DS147-1</f>
        <v>4.8408488063660382E-2</v>
      </c>
      <c r="DZ293" s="43">
        <f>DZ147/DT147-1</f>
        <v>6.3583815028901647E-2</v>
      </c>
      <c r="EA293" s="43">
        <f>EA147/DU147-1</f>
        <v>1.0734463276836248E-2</v>
      </c>
      <c r="EB293" s="43">
        <f>EB147/DV147-1</f>
        <v>4.9235181644359471E-2</v>
      </c>
      <c r="EC293" s="395">
        <f>EC147/DW147-1</f>
        <v>4.2957746478873293E-2</v>
      </c>
      <c r="ED293" s="342"/>
      <c r="EE293" s="43">
        <f>EE147/DY147-1</f>
        <v>5.1865907653383836E-2</v>
      </c>
      <c r="EF293" s="43">
        <f>EF147/DZ147-1</f>
        <v>7.6086956521739246E-3</v>
      </c>
      <c r="EG293" s="43">
        <f>EG147/EA147-1</f>
        <v>2.7948574622693734E-3</v>
      </c>
      <c r="EH293" s="43">
        <f>EH147/EB147-1</f>
        <v>-1.4578587699316636E-2</v>
      </c>
      <c r="EI293" s="395">
        <f>EI147/EC147-1</f>
        <v>9.3180283592166901E-3</v>
      </c>
      <c r="EJ293" s="342"/>
      <c r="EK293" s="43">
        <f>EK147/EE147-1</f>
        <v>1.0222489476849006E-2</v>
      </c>
      <c r="EL293" s="43">
        <f>EL147/EF147-1</f>
        <v>1.9417475728155331E-2</v>
      </c>
      <c r="EM293" s="43">
        <f>EM147/EG147-1</f>
        <v>2.8985507246376718E-2</v>
      </c>
      <c r="EN293" s="43">
        <f>EN147/EH147-1</f>
        <v>3.9759593157651318E-2</v>
      </c>
      <c r="EO293" s="395">
        <f>EO147/EI147-1</f>
        <v>2.5555258228525446E-2</v>
      </c>
      <c r="EP293" s="342"/>
      <c r="EQ293" s="43">
        <f>EQ147/EK147-1</f>
        <v>0.10476190476190483</v>
      </c>
      <c r="ER293" s="43">
        <f>ER147/EL147-1</f>
        <v>5.8201058201057254E-3</v>
      </c>
      <c r="ES293" s="43">
        <f>ES147/EM147-1</f>
        <v>4.4962080173347685E-2</v>
      </c>
      <c r="ET293" s="43">
        <f>ET147/EN147-1</f>
        <v>8.8928412627842235E-4</v>
      </c>
      <c r="EU293" s="395">
        <f>EU147/EO147-1</f>
        <v>3.5485975212002696E-2</v>
      </c>
      <c r="EV293" s="342"/>
      <c r="EW293" s="43">
        <f>EW147/EQ147-1</f>
        <v>3.125E-2</v>
      </c>
      <c r="EX293" s="43">
        <f>EX147/ER147-1</f>
        <v>4.6291425565491817E-2</v>
      </c>
      <c r="EY293" s="43">
        <f>EY147/ES147-1</f>
        <v>1.0368066355624705E-2</v>
      </c>
      <c r="EZ293" s="43">
        <f>EZ147/ET147-1</f>
        <v>9.1086411451963833E-3</v>
      </c>
      <c r="FA293" s="395">
        <f>FA147/EU147-1</f>
        <v>2.349799057803148E-2</v>
      </c>
      <c r="FB293" s="342"/>
      <c r="FC293" s="43">
        <f>FC147/EW147-1</f>
        <v>3.0276905489935668E-2</v>
      </c>
      <c r="FD293" s="43">
        <f>FD147/EX147-1</f>
        <v>8.7266382326292025E-3</v>
      </c>
      <c r="FE293" s="43">
        <f>FE147/EY147-1</f>
        <v>4.0769078401008629E-2</v>
      </c>
      <c r="FF293" s="43">
        <f>FF147/EZ147-1</f>
        <v>1.9107308187735095E-2</v>
      </c>
      <c r="FG293" s="395">
        <f>FG147/FA147-1</f>
        <v>2.4394466194201048E-2</v>
      </c>
      <c r="FH293" s="342"/>
      <c r="FI293" s="43">
        <f>FI147/FC147-1</f>
        <v>8.0980295570443062E-3</v>
      </c>
      <c r="FJ293" s="43">
        <f>FJ147/FD147-1</f>
        <v>2.5853114015431666E-2</v>
      </c>
      <c r="FK293" s="43">
        <f>FK147/FE147-1</f>
        <v>3.9647194648551487E-2</v>
      </c>
      <c r="FL293" s="43">
        <f>FL147/FF147-1</f>
        <v>4.4109294740912963E-2</v>
      </c>
      <c r="FM293" s="395">
        <f>FM147/FG147-1</f>
        <v>3.0086629456829606E-2</v>
      </c>
      <c r="FN293" s="27"/>
      <c r="FO293" s="27"/>
      <c r="FP293" s="27"/>
      <c r="FQ293" s="27"/>
      <c r="FR293" s="27"/>
      <c r="FS293" s="27"/>
      <c r="FT293" s="27"/>
      <c r="FU293" s="27"/>
      <c r="FV293" s="27"/>
      <c r="FW293" s="27"/>
      <c r="FX293" s="27"/>
      <c r="FY293" s="27"/>
      <c r="FZ293" s="27"/>
      <c r="GA293" s="27"/>
      <c r="GB293" s="27"/>
      <c r="GC293" s="27"/>
      <c r="GD293" s="27"/>
      <c r="GE293" s="27"/>
      <c r="GF293" s="27"/>
      <c r="GH293" s="27"/>
      <c r="GI293"/>
      <c r="GJ293"/>
      <c r="GK293"/>
      <c r="GL293"/>
      <c r="GM293"/>
      <c r="GN293"/>
      <c r="GO293" s="27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</row>
    <row r="294" spans="1:281" s="24" customFormat="1" x14ac:dyDescent="0.2">
      <c r="A294" s="342" t="s">
        <v>178</v>
      </c>
      <c r="B294" s="413"/>
      <c r="C294" s="94" t="s">
        <v>945</v>
      </c>
      <c r="D294" s="43">
        <f t="shared" ref="D294:M294" si="194">D150/C150-1</f>
        <v>0.93600103535642609</v>
      </c>
      <c r="E294" s="43">
        <f t="shared" si="194"/>
        <v>0.79295710768433336</v>
      </c>
      <c r="F294" s="43">
        <f t="shared" si="194"/>
        <v>0.37721966252095429</v>
      </c>
      <c r="G294" s="43">
        <f t="shared" si="194"/>
        <v>1.6768013327780094</v>
      </c>
      <c r="H294" s="43">
        <f t="shared" si="194"/>
        <v>1.0448887505834761</v>
      </c>
      <c r="I294" s="43">
        <f t="shared" si="194"/>
        <v>0.67949400798934745</v>
      </c>
      <c r="J294" s="43">
        <f t="shared" si="194"/>
        <v>-6.2984902198412018E-2</v>
      </c>
      <c r="K294" s="43">
        <f t="shared" si="194"/>
        <v>0.33737459204641596</v>
      </c>
      <c r="L294" s="43">
        <f t="shared" si="194"/>
        <v>0.32337921746911169</v>
      </c>
      <c r="M294" s="43">
        <f t="shared" si="194"/>
        <v>0.34603196284660576</v>
      </c>
      <c r="N294" s="342"/>
      <c r="O294" s="94" t="s">
        <v>945</v>
      </c>
      <c r="P294" s="94" t="s">
        <v>945</v>
      </c>
      <c r="Q294" s="94" t="s">
        <v>945</v>
      </c>
      <c r="R294" s="94" t="s">
        <v>945</v>
      </c>
      <c r="S294" s="43">
        <f>S150/M150-1</f>
        <v>0.32478714875739501</v>
      </c>
      <c r="T294" s="342"/>
      <c r="U294" s="43">
        <f>U150/O150-1</f>
        <v>0.5309208260057654</v>
      </c>
      <c r="V294" s="43">
        <f>V150/P150-1</f>
        <v>0.62988851221472775</v>
      </c>
      <c r="W294" s="43">
        <f>W150/Q150-1</f>
        <v>0.36753459175102798</v>
      </c>
      <c r="X294" s="43">
        <f>X150/R150-1</f>
        <v>0.46658668414738225</v>
      </c>
      <c r="Y294" s="43">
        <f>Y150/S150-1</f>
        <v>0.49022393976185108</v>
      </c>
      <c r="Z294" s="342"/>
      <c r="AA294" s="43">
        <f>AA150/U150-1</f>
        <v>0.38805793394204247</v>
      </c>
      <c r="AB294" s="43">
        <f>AB150/V150-1</f>
        <v>0.45059610601252253</v>
      </c>
      <c r="AC294" s="43">
        <f>AC150/W150-1</f>
        <v>0.49266742093637172</v>
      </c>
      <c r="AD294" s="43">
        <f>AD150/X150-1</f>
        <v>0.38680160236137451</v>
      </c>
      <c r="AE294" s="43">
        <f>AE150/Y150-1</f>
        <v>0.42761756186824229</v>
      </c>
      <c r="AF294" s="342"/>
      <c r="AG294" s="43">
        <f>AG150/AA150-1</f>
        <v>0.3622418073697411</v>
      </c>
      <c r="AH294" s="43">
        <f>AH150/AB150-1</f>
        <v>0.35415373244641546</v>
      </c>
      <c r="AI294" s="43">
        <f>AI150/AC150-1</f>
        <v>0.32902611043334518</v>
      </c>
      <c r="AJ294" s="43">
        <f>AJ150/AD150-1</f>
        <v>0.16852955485283383</v>
      </c>
      <c r="AK294" s="43">
        <f>AK150/AE150-1</f>
        <v>0.29464279284793582</v>
      </c>
      <c r="AL294" s="342"/>
      <c r="AM294" s="43">
        <f>AM150/AG150-1</f>
        <v>0.17508940482378943</v>
      </c>
      <c r="AN294" s="43">
        <f>AN150/AH150-1</f>
        <v>9.5302291817898954E-2</v>
      </c>
      <c r="AO294" s="43">
        <f>AO150/AI150-1</f>
        <v>0.1395500418237321</v>
      </c>
      <c r="AP294" s="43">
        <f>AP150/AJ150-1</f>
        <v>0.26621494330039086</v>
      </c>
      <c r="AQ294" s="43">
        <f>AQ150/AK150-1</f>
        <v>0.17001208382755584</v>
      </c>
      <c r="AR294" s="342"/>
      <c r="AS294" s="43">
        <f>AS150/AM150-1</f>
        <v>0.25752706224716593</v>
      </c>
      <c r="AT294" s="43">
        <f>AT150/AN150-1</f>
        <v>0.23660789922163872</v>
      </c>
      <c r="AU294" s="43">
        <f>AU150/AO150-1</f>
        <v>0.21808596840770633</v>
      </c>
      <c r="AV294" s="43">
        <f>AV150/AP150-1</f>
        <v>0.1106503306522213</v>
      </c>
      <c r="AW294" s="43">
        <f>AW150/AQ150-1</f>
        <v>0.20023151724613331</v>
      </c>
      <c r="AX294" s="342"/>
      <c r="AY294" s="43">
        <f>AY150/AS150-1</f>
        <v>6.3939713741994808E-2</v>
      </c>
      <c r="AZ294" s="43">
        <f>AZ150/AT150-1</f>
        <v>7.3017408123791094E-2</v>
      </c>
      <c r="BA294" s="43">
        <f>BA150/AU150-1</f>
        <v>0.1796229338842974</v>
      </c>
      <c r="BB294" s="43">
        <f>BB150/AV150-1</f>
        <v>0.1835480277838426</v>
      </c>
      <c r="BC294" s="43">
        <f>BC150/AW150-1</f>
        <v>0.12744954361004535</v>
      </c>
      <c r="BD294" s="342"/>
      <c r="BE294" s="43">
        <f>BE150/AY150-1</f>
        <v>9.0548028698109739E-3</v>
      </c>
      <c r="BF294" s="43">
        <f>BF150/AZ150-1</f>
        <v>-3.3036653147063166E-2</v>
      </c>
      <c r="BG294" s="43">
        <f>BG150/BA150-1</f>
        <v>-6.0453467350018997E-2</v>
      </c>
      <c r="BH294" s="43">
        <f>BH150/BB150-1</f>
        <v>-0.11783484299422509</v>
      </c>
      <c r="BI294" s="43">
        <f>BI150/BC150-1</f>
        <v>-5.4835318389131804E-2</v>
      </c>
      <c r="BJ294" s="342"/>
      <c r="BK294" s="43">
        <f>BK150/BE150-1</f>
        <v>0.12909593367548355</v>
      </c>
      <c r="BL294" s="43">
        <f>BL150/BF150-1</f>
        <v>0.14570670685054932</v>
      </c>
      <c r="BM294" s="43">
        <f>BM150/BG150-1</f>
        <v>6.2736776694641394E-2</v>
      </c>
      <c r="BN294" s="43">
        <f>BN150/BH150-1</f>
        <v>5.6205740371869428E-2</v>
      </c>
      <c r="BO294" s="43">
        <f>BO150/BI150-1</f>
        <v>9.6495303654860587E-2</v>
      </c>
      <c r="BP294" s="342"/>
      <c r="BQ294" s="43">
        <f>BQ150/BK150-1</f>
        <v>4.195804195804187E-2</v>
      </c>
      <c r="BR294" s="43">
        <f>BR150/BL150-1</f>
        <v>9.4915254237288194E-2</v>
      </c>
      <c r="BS294" s="43">
        <f>BS150/BM150-1</f>
        <v>8.9700996677740896E-2</v>
      </c>
      <c r="BT294" s="43">
        <f>BT150/BN150-1</f>
        <v>0.10402684563758391</v>
      </c>
      <c r="BU294" s="43">
        <f>BU150/BO150-1</f>
        <v>8.3050847457627031E-2</v>
      </c>
      <c r="BV294" s="342"/>
      <c r="BW294" s="43">
        <f>BW150/BQ150-1</f>
        <v>4.6979865771812124E-2</v>
      </c>
      <c r="BX294" s="43">
        <f>BX150/BR150-1</f>
        <v>1.2383900928792491E-2</v>
      </c>
      <c r="BY294" s="43">
        <f>BY150/BS150-1</f>
        <v>0.19207317073170738</v>
      </c>
      <c r="BZ294" s="43">
        <f>BZ150/BT150-1</f>
        <v>0.37082066869300911</v>
      </c>
      <c r="CA294" s="43">
        <f>CA150/BU150-1</f>
        <v>0.15884194053208134</v>
      </c>
      <c r="CB294" s="342"/>
      <c r="CC294" s="43">
        <f>CC150/BW150-1</f>
        <v>0.26923076923076916</v>
      </c>
      <c r="CD294" s="43">
        <f>CD150/BX150-1</f>
        <v>0.41896024464831805</v>
      </c>
      <c r="CE294" s="43">
        <f>CE150/BY150-1</f>
        <v>0.1867007672634271</v>
      </c>
      <c r="CF294" s="43">
        <f>CF150/BZ150-1</f>
        <v>0.18093126385809311</v>
      </c>
      <c r="CG294" s="395">
        <f>CG150/CA150-1</f>
        <v>0.25361242403781215</v>
      </c>
      <c r="CH294" s="342"/>
      <c r="CI294" s="43">
        <f>CI150/CC150-1</f>
        <v>0.22222222222222232</v>
      </c>
      <c r="CJ294" s="43">
        <f>CJ150/CD150-1</f>
        <v>7.3275862068965525E-2</v>
      </c>
      <c r="CK294" s="43">
        <f>CK150/CE150-1</f>
        <v>0.1831896551724137</v>
      </c>
      <c r="CL294" s="43">
        <f>CL150/CF150-1</f>
        <v>8.7119789710852436E-2</v>
      </c>
      <c r="CM294" s="395">
        <f>CM150/CG150-1</f>
        <v>0.13648604976839396</v>
      </c>
      <c r="CN294" s="342"/>
      <c r="CO294" s="43">
        <f>CO150/CI150-1</f>
        <v>0.28925619834710736</v>
      </c>
      <c r="CP294" s="43">
        <f>CP150/CJ150-1</f>
        <v>0.30321285140562249</v>
      </c>
      <c r="CQ294" s="43">
        <f>CQ150/CK150-1</f>
        <v>0.18579234972677594</v>
      </c>
      <c r="CR294" s="43">
        <f>CR150/CL150-1</f>
        <v>0.21416234887737473</v>
      </c>
      <c r="CS294" s="395">
        <f>CS150/CM150-1</f>
        <v>0.24502369668246438</v>
      </c>
      <c r="CT294" s="342"/>
      <c r="CU294" s="43">
        <f>CU150/CO150-1</f>
        <v>7.5320512820512775E-2</v>
      </c>
      <c r="CV294" s="43">
        <f>CV150/CP150-1</f>
        <v>-6.6255778120184905E-2</v>
      </c>
      <c r="CW294" s="43">
        <f>CW150/CQ150-1</f>
        <v>-1.9969278033794113E-2</v>
      </c>
      <c r="CX294" s="43">
        <f>CX150/CR150-1</f>
        <v>-8.5348506401138335E-3</v>
      </c>
      <c r="CY294" s="395">
        <f>CY150/CS150-1</f>
        <v>-5.7099352874000475E-3</v>
      </c>
      <c r="CZ294" s="342"/>
      <c r="DA294" s="43">
        <f>DA150/CU150-1</f>
        <v>-6.4083457526080467E-2</v>
      </c>
      <c r="DB294" s="43">
        <f>DB150/CV150-1</f>
        <v>9.5709570957095647E-2</v>
      </c>
      <c r="DC294" s="43">
        <f>DC150/CW150-1</f>
        <v>0.21786833855799381</v>
      </c>
      <c r="DD294" s="43">
        <f>DD150/CX150-1</f>
        <v>0.4533715925394548</v>
      </c>
      <c r="DE294" s="395">
        <f>DE150/CY150-1</f>
        <v>0.17993874425727419</v>
      </c>
      <c r="DF294" s="342"/>
      <c r="DG294" s="43">
        <f>DG150/DA150-1</f>
        <v>0.66242038216560517</v>
      </c>
      <c r="DH294" s="43">
        <f>DH150/DB150-1</f>
        <v>0.60240963855421681</v>
      </c>
      <c r="DI294" s="43">
        <f>DI150/DC150-1</f>
        <v>0.37580437580437587</v>
      </c>
      <c r="DJ294" s="43">
        <f>DJ150/DD150-1</f>
        <v>9.5755182625863799E-2</v>
      </c>
      <c r="DK294" s="395">
        <f>DK150/DE150-1</f>
        <v>0.39097988319273203</v>
      </c>
      <c r="DL294" s="342"/>
      <c r="DM294" s="43">
        <f>DM150/DG150-1</f>
        <v>-6.2260536398467403E-2</v>
      </c>
      <c r="DN294" s="43">
        <f>DN150/DH150-1</f>
        <v>-2.8195488721804551E-2</v>
      </c>
      <c r="DO294" s="43">
        <f>DO150/DI150-1</f>
        <v>1.8709073900842199E-3</v>
      </c>
      <c r="DP294" s="43">
        <f>DP150/DJ150-1</f>
        <v>3.063063063063054E-2</v>
      </c>
      <c r="DQ294" s="395">
        <f>DQ150/DK150-1</f>
        <v>-1.3762537905295025E-2</v>
      </c>
      <c r="DR294" s="342"/>
      <c r="DS294" s="43">
        <f>DS150/DM150-1</f>
        <v>0.14198161389172625</v>
      </c>
      <c r="DT294" s="43">
        <f>DT150/DN150-1</f>
        <v>7.350096711798848E-2</v>
      </c>
      <c r="DU294" s="43">
        <f>DU150/DO150-1</f>
        <v>2.7077497665732864E-2</v>
      </c>
      <c r="DV294" s="43">
        <f>DV150/DP150-1</f>
        <v>2.3601398601398538E-2</v>
      </c>
      <c r="DW294" s="395">
        <f>DW150/DQ150-1</f>
        <v>6.4096499526963058E-2</v>
      </c>
      <c r="DX294" s="342"/>
      <c r="DY294" s="43">
        <f>DY150/DS150-1</f>
        <v>1.9677996422182487E-2</v>
      </c>
      <c r="DZ294" s="43">
        <f>DZ150/DT150-1</f>
        <v>6.8468468468468435E-2</v>
      </c>
      <c r="EA294" s="43">
        <f>EA150/DU150-1</f>
        <v>8.4545454545454479E-2</v>
      </c>
      <c r="EB294" s="43">
        <f>EB150/DV150-1</f>
        <v>6.5755764304013642E-2</v>
      </c>
      <c r="EC294" s="395">
        <f>EC150/DW150-1</f>
        <v>5.9568793065125636E-2</v>
      </c>
      <c r="ED294" s="342"/>
      <c r="EE294" s="43">
        <f>EE150/DY150-1</f>
        <v>7.1052631578947478E-2</v>
      </c>
      <c r="EF294" s="43">
        <f>EF150/DZ150-1</f>
        <v>5.817875210792578E-2</v>
      </c>
      <c r="EG294" s="43">
        <f>EG150/EA150-1</f>
        <v>3.2690695725062779E-2</v>
      </c>
      <c r="EH294" s="43">
        <f>EH150/EB150-1</f>
        <v>3.6057692307692291E-2</v>
      </c>
      <c r="EI294" s="395">
        <f>EI150/EC150-1</f>
        <v>4.9087476400251795E-2</v>
      </c>
      <c r="EJ294" s="342"/>
      <c r="EK294" s="43">
        <f>EK150/EE150-1</f>
        <v>1.7199017199017286E-2</v>
      </c>
      <c r="EL294" s="43">
        <f>EL150/EF150-1</f>
        <v>3.0278884462151323E-2</v>
      </c>
      <c r="EM294" s="43">
        <f>EM150/EG150-1</f>
        <v>2.6785714285714191E-2</v>
      </c>
      <c r="EN294" s="43">
        <f>EN150/EH150-1</f>
        <v>6.4965197215777204E-2</v>
      </c>
      <c r="EO294" s="395">
        <f>EO150/EI150-1</f>
        <v>3.5192961407718437E-2</v>
      </c>
      <c r="EP294" s="342"/>
      <c r="EQ294" s="43">
        <f>EQ150/EK150-1</f>
        <v>6.6827697262479946E-2</v>
      </c>
      <c r="ER294" s="43">
        <f>ER150/EL150-1</f>
        <v>2.2428460943542117E-2</v>
      </c>
      <c r="ES294" s="43">
        <f>ES150/EM150-1</f>
        <v>5.1383399209486091E-2</v>
      </c>
      <c r="ET294" s="43">
        <f>ET150/EN150-1</f>
        <v>2.5417574437182289E-2</v>
      </c>
      <c r="EU294" s="395">
        <f>EU150/EO150-1</f>
        <v>4.0950357349816446E-2</v>
      </c>
      <c r="EV294" s="342"/>
      <c r="EW294" s="43">
        <f>EW150/EQ150-1</f>
        <v>1.132075471698113E-2</v>
      </c>
      <c r="EX294" s="43">
        <f>EX150/ER150-1</f>
        <v>-6.35400907715582E-2</v>
      </c>
      <c r="EY294" s="43">
        <f>EY150/ES150-1</f>
        <v>-3.9849624060150357E-2</v>
      </c>
      <c r="EZ294" s="43">
        <f>EZ150/ET150-1</f>
        <v>-4.9036317328805867E-2</v>
      </c>
      <c r="FA294" s="395">
        <f>FA150/EU150-1</f>
        <v>-3.5486969765870069E-2</v>
      </c>
      <c r="FB294" s="342"/>
      <c r="FC294" s="43">
        <f>FC150/EW150-1</f>
        <v>2.2640398196524192E-2</v>
      </c>
      <c r="FD294" s="43">
        <f>FD150/EX150-1</f>
        <v>7.2366433977708366E-2</v>
      </c>
      <c r="FE294" s="43">
        <f>FE150/EY150-1</f>
        <v>4.000434666350805E-2</v>
      </c>
      <c r="FF294" s="43">
        <f>FF150/EZ150-1</f>
        <v>3.6092429990864261E-2</v>
      </c>
      <c r="FG294" s="395">
        <f>FG150/FA150-1</f>
        <v>4.2225265579086901E-2</v>
      </c>
      <c r="FH294" s="342"/>
      <c r="FI294" s="43">
        <f>FI150/FC150-1</f>
        <v>4.8114603779095377E-2</v>
      </c>
      <c r="FJ294" s="43">
        <f>FJ150/FD150-1</f>
        <v>4.3953896281846871E-2</v>
      </c>
      <c r="FK294" s="43">
        <f>FK150/FE150-1</f>
        <v>4.2361371847256413E-2</v>
      </c>
      <c r="FL294" s="43">
        <f>FL150/FF150-1</f>
        <v>4.0719061028678949E-2</v>
      </c>
      <c r="FM294" s="395">
        <f>FM150/FG150-1</f>
        <v>4.3785209994871233E-2</v>
      </c>
      <c r="FN294" s="27"/>
      <c r="FO294" s="27"/>
      <c r="FP294" s="27"/>
      <c r="FQ294" s="27"/>
      <c r="FR294" s="27"/>
      <c r="FS294" s="27"/>
      <c r="FT294" s="27"/>
      <c r="FU294" s="27"/>
      <c r="FV294" s="27"/>
      <c r="FW294" s="27"/>
      <c r="FX294" s="27"/>
      <c r="FY294" s="27"/>
      <c r="FZ294" s="27"/>
      <c r="GA294" s="27"/>
      <c r="GB294" s="27"/>
      <c r="GC294" s="27"/>
      <c r="GD294" s="27"/>
      <c r="GE294" s="27"/>
      <c r="GF294" s="27"/>
      <c r="GH294" s="27"/>
      <c r="GI294"/>
      <c r="GJ294"/>
      <c r="GK294"/>
      <c r="GL294"/>
      <c r="GM294"/>
      <c r="GN294"/>
      <c r="GO294" s="27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</row>
    <row r="295" spans="1:281" s="24" customFormat="1" x14ac:dyDescent="0.2">
      <c r="A295" s="342" t="s">
        <v>179</v>
      </c>
      <c r="B295" s="413"/>
      <c r="C295" s="94" t="s">
        <v>945</v>
      </c>
      <c r="D295" s="43">
        <f t="shared" ref="D295:M295" si="195">D153/C153-1</f>
        <v>0.1953099812987602</v>
      </c>
      <c r="E295" s="43">
        <f t="shared" si="195"/>
        <v>1.1404294153750962</v>
      </c>
      <c r="F295" s="43">
        <f t="shared" si="195"/>
        <v>1.0187419410474789</v>
      </c>
      <c r="G295" s="43">
        <f t="shared" si="195"/>
        <v>0.99011972567708928</v>
      </c>
      <c r="H295" s="43">
        <f t="shared" si="195"/>
        <v>1.005957595934817</v>
      </c>
      <c r="I295" s="43">
        <f t="shared" si="195"/>
        <v>0.95836245050081503</v>
      </c>
      <c r="J295" s="43">
        <f t="shared" si="195"/>
        <v>0.49429064200541206</v>
      </c>
      <c r="K295" s="43">
        <f t="shared" si="195"/>
        <v>5.6674925126613207E-2</v>
      </c>
      <c r="L295" s="43">
        <f t="shared" si="195"/>
        <v>0.15612199738227273</v>
      </c>
      <c r="M295" s="43">
        <f t="shared" si="195"/>
        <v>0.10034289251419204</v>
      </c>
      <c r="N295" s="342"/>
      <c r="O295" s="94" t="s">
        <v>945</v>
      </c>
      <c r="P295" s="94" t="s">
        <v>945</v>
      </c>
      <c r="Q295" s="94" t="s">
        <v>945</v>
      </c>
      <c r="R295" s="94" t="s">
        <v>945</v>
      </c>
      <c r="S295" s="43">
        <f>S153/M153-1</f>
        <v>0.28944699812729935</v>
      </c>
      <c r="T295" s="342"/>
      <c r="U295" s="43">
        <f>U153/O153-1</f>
        <v>0.31475501538305051</v>
      </c>
      <c r="V295" s="43">
        <f>V153/P153-1</f>
        <v>0.31628217218299337</v>
      </c>
      <c r="W295" s="43">
        <f>W153/Q153-1</f>
        <v>0.31719560355902354</v>
      </c>
      <c r="X295" s="43">
        <f>X153/R153-1</f>
        <v>0.39452626461114582</v>
      </c>
      <c r="Y295" s="43">
        <f>Y153/S153-1</f>
        <v>0.33832942027404811</v>
      </c>
      <c r="Z295" s="342"/>
      <c r="AA295" s="43">
        <f>AA153/U153-1</f>
        <v>0.35915138856656603</v>
      </c>
      <c r="AB295" s="43">
        <f>AB153/V153-1</f>
        <v>0.21817991193122244</v>
      </c>
      <c r="AC295" s="43">
        <f>AC153/W153-1</f>
        <v>0.36102732674697924</v>
      </c>
      <c r="AD295" s="43">
        <f>AD153/X153-1</f>
        <v>0.34905139603126201</v>
      </c>
      <c r="AE295" s="43">
        <f>AE153/Y153-1</f>
        <v>0.32201114347111837</v>
      </c>
      <c r="AF295" s="342"/>
      <c r="AG295" s="43">
        <f>AG153/AA153-1</f>
        <v>7.4488823119281733E-2</v>
      </c>
      <c r="AH295" s="43">
        <f>AH153/AB153-1</f>
        <v>0.16738388272083071</v>
      </c>
      <c r="AI295" s="43">
        <f>AI153/AC153-1</f>
        <v>0.2256621901374809</v>
      </c>
      <c r="AJ295" s="43">
        <f>AJ153/AD153-1</f>
        <v>0.28462515883100381</v>
      </c>
      <c r="AK295" s="43">
        <f>AK153/AE153-1</f>
        <v>0.19577567607027557</v>
      </c>
      <c r="AL295" s="342"/>
      <c r="AM295" s="43">
        <f>AM153/AG153-1</f>
        <v>0.2485764229149563</v>
      </c>
      <c r="AN295" s="43">
        <f>AN153/AH153-1</f>
        <v>0.24839339911283687</v>
      </c>
      <c r="AO295" s="43">
        <f>AO153/AI153-1</f>
        <v>0.12236766600621474</v>
      </c>
      <c r="AP295" s="43">
        <f>AP153/AJ153-1</f>
        <v>6.365571929118663E-2</v>
      </c>
      <c r="AQ295" s="43">
        <f>AQ153/AK153-1</f>
        <v>0.15705076026438314</v>
      </c>
      <c r="AR295" s="342"/>
      <c r="AS295" s="43">
        <f>AS153/AM153-1</f>
        <v>0.14055257994378767</v>
      </c>
      <c r="AT295" s="43">
        <f>AT153/AN153-1</f>
        <v>0.1127679678733835</v>
      </c>
      <c r="AU295" s="43">
        <f>AU153/AO153-1</f>
        <v>0.17870406991887178</v>
      </c>
      <c r="AV295" s="43">
        <f>AV153/AP153-1</f>
        <v>8.6577562021246335E-2</v>
      </c>
      <c r="AW295" s="43">
        <f>AW153/AQ153-1</f>
        <v>0.12714626745271307</v>
      </c>
      <c r="AX295" s="342"/>
      <c r="AY295" s="43">
        <f>AY153/AS153-1</f>
        <v>-1.461822442508165E-2</v>
      </c>
      <c r="AZ295" s="43">
        <f>AZ153/AT153-1</f>
        <v>-1.4621202069789119E-2</v>
      </c>
      <c r="BA295" s="43">
        <f>BA153/AU153-1</f>
        <v>-1.3241889547255137E-2</v>
      </c>
      <c r="BB295" s="43">
        <f>BB153/AV153-1</f>
        <v>-0.13915925673421425</v>
      </c>
      <c r="BC295" s="43">
        <f>BC153/AW153-1</f>
        <v>-4.9993966604113482E-2</v>
      </c>
      <c r="BD295" s="342"/>
      <c r="BE295" s="43">
        <f>BE153/AY153-1</f>
        <v>-7.8809040720992818E-2</v>
      </c>
      <c r="BF295" s="43">
        <f>BF153/AZ153-1</f>
        <v>-0.11207159656020538</v>
      </c>
      <c r="BG295" s="43">
        <f>BG153/BA153-1</f>
        <v>-0.12839014680268712</v>
      </c>
      <c r="BH295" s="43">
        <f>BH153/BB153-1</f>
        <v>-7.6661246429805208E-2</v>
      </c>
      <c r="BI295" s="43">
        <f>BI153/BC153-1</f>
        <v>-9.945732631376103E-2</v>
      </c>
      <c r="BJ295" s="342"/>
      <c r="BK295" s="43">
        <f>BK153/BE153-1</f>
        <v>4.4932079414838011E-2</v>
      </c>
      <c r="BL295" s="43">
        <f>BL153/BF153-1</f>
        <v>0.10193394462023719</v>
      </c>
      <c r="BM295" s="43">
        <f>BM153/BG153-1</f>
        <v>9.4300123703492167E-2</v>
      </c>
      <c r="BN295" s="43">
        <f>BN153/BH153-1</f>
        <v>4.934666763997364E-2</v>
      </c>
      <c r="BO295" s="43">
        <f>BO153/BI153-1</f>
        <v>7.2436912257151542E-2</v>
      </c>
      <c r="BP295" s="342"/>
      <c r="BQ295" s="43">
        <f>BQ153/BK153-1</f>
        <v>0.28431372549019618</v>
      </c>
      <c r="BR295" s="43">
        <f>BR153/BL153-1</f>
        <v>0.25688073394495414</v>
      </c>
      <c r="BS295" s="43">
        <f>BS153/BM153-1</f>
        <v>0.26086956521739135</v>
      </c>
      <c r="BT295" s="43">
        <f>BT153/BN153-1</f>
        <v>0.28695652173913033</v>
      </c>
      <c r="BU295" s="43">
        <f>BU153/BO153-1</f>
        <v>0.27210884353741505</v>
      </c>
      <c r="BV295" s="342"/>
      <c r="BW295" s="43">
        <f>BW153/BQ153-1</f>
        <v>-4.961832061068705E-2</v>
      </c>
      <c r="BX295" s="43">
        <f>BX153/BR153-1</f>
        <v>-5.3284671532846772E-2</v>
      </c>
      <c r="BY295" s="43">
        <f>BY153/BS153-1</f>
        <v>6.8965517241379448E-3</v>
      </c>
      <c r="BZ295" s="43">
        <f>BZ153/BT153-1</f>
        <v>1.3513513513513598E-2</v>
      </c>
      <c r="CA295" s="43">
        <f>CA153/BU153-1</f>
        <v>-1.9251336898395643E-2</v>
      </c>
      <c r="CB295" s="342"/>
      <c r="CC295" s="43">
        <f>CC153/BW153-1</f>
        <v>0.25301204819277112</v>
      </c>
      <c r="CD295" s="43">
        <f>CD153/BX153-1</f>
        <v>-0.15959907478797219</v>
      </c>
      <c r="CE295" s="43">
        <f>CE153/BY153-1</f>
        <v>0</v>
      </c>
      <c r="CF295" s="43">
        <f>CF153/BZ153-1</f>
        <v>-3.6333333333333218E-2</v>
      </c>
      <c r="CG295" s="395">
        <f>CG153/CA153-1</f>
        <v>9.7237368229732279E-3</v>
      </c>
      <c r="CH295" s="342"/>
      <c r="CI295" s="43">
        <f>CI153/CC153-1</f>
        <v>-7.0512820512820484E-2</v>
      </c>
      <c r="CJ295" s="43">
        <f>CJ153/CD153-1</f>
        <v>0.44954128440366969</v>
      </c>
      <c r="CK295" s="43">
        <f>CK153/CE153-1</f>
        <v>0.11643835616438358</v>
      </c>
      <c r="CL295" s="43">
        <f>CL153/CF153-1</f>
        <v>0.21757177447250076</v>
      </c>
      <c r="CM295" s="395">
        <f>CM153/CG153-1</f>
        <v>0.15561155611556132</v>
      </c>
      <c r="CN295" s="342"/>
      <c r="CO295" s="43">
        <f>CO153/CI153-1</f>
        <v>0.2068965517241379</v>
      </c>
      <c r="CP295" s="43">
        <f>CP153/CJ153-1</f>
        <v>0.18354430379746844</v>
      </c>
      <c r="CQ295" s="43">
        <f>CQ153/CK153-1</f>
        <v>0.16564417177914104</v>
      </c>
      <c r="CR295" s="43">
        <f>CR153/CL153-1</f>
        <v>5.6818181818181879E-2</v>
      </c>
      <c r="CS295" s="395">
        <f>CS153/CM153-1</f>
        <v>0.14953271028037385</v>
      </c>
      <c r="CT295" s="342"/>
      <c r="CU295" s="43">
        <f>CU153/CO153-1</f>
        <v>4.0000000000000036E-2</v>
      </c>
      <c r="CV295" s="43">
        <f>CV153/CP153-1</f>
        <v>-0.18716577540106949</v>
      </c>
      <c r="CW295" s="43">
        <f>CW153/CQ153-1</f>
        <v>-0.11578947368421055</v>
      </c>
      <c r="CX295" s="43">
        <f>CX153/CR153-1</f>
        <v>1.6129032258064502E-2</v>
      </c>
      <c r="CY295" s="395">
        <f>CY153/CS153-1</f>
        <v>-6.3685636856368522E-2</v>
      </c>
      <c r="CZ295" s="342"/>
      <c r="DA295" s="43">
        <f>DA153/CU153-1</f>
        <v>-5.4945054945054972E-2</v>
      </c>
      <c r="DB295" s="43">
        <f>DB153/CV153-1</f>
        <v>-1.3157894736842146E-2</v>
      </c>
      <c r="DC295" s="43">
        <f>DC153/CW153-1</f>
        <v>0.20238095238095233</v>
      </c>
      <c r="DD295" s="43">
        <f>DD153/CX153-1</f>
        <v>0.35978835978835977</v>
      </c>
      <c r="DE295" s="395">
        <f>DE153/CY153-1</f>
        <v>0.13024602026049203</v>
      </c>
      <c r="DF295" s="342"/>
      <c r="DG295" s="43">
        <f>DG153/DA153-1</f>
        <v>0.37209302325581395</v>
      </c>
      <c r="DH295" s="43">
        <f>DH153/DB153-1</f>
        <v>-0.19999999999999996</v>
      </c>
      <c r="DI295" s="43">
        <f>DI153/DC153-1</f>
        <v>0.23267326732673266</v>
      </c>
      <c r="DJ295" s="43">
        <f>DJ153/DD153-1</f>
        <v>-0.14396887159533078</v>
      </c>
      <c r="DK295" s="395">
        <f>DK153/DE153-1</f>
        <v>5.6338028169014009E-2</v>
      </c>
      <c r="DL295" s="342"/>
      <c r="DM295" s="43">
        <f>DM153/DG153-1</f>
        <v>0.14830508474576276</v>
      </c>
      <c r="DN295" s="43">
        <f>DN153/DH153-1</f>
        <v>0.97500000000000009</v>
      </c>
      <c r="DO295" s="43">
        <f>DO153/DI153-1</f>
        <v>-0.11646586345381527</v>
      </c>
      <c r="DP295" s="43">
        <f>DP153/DJ153-1</f>
        <v>7.2727272727272751E-2</v>
      </c>
      <c r="DQ295" s="395">
        <f>DQ153/DK153-1</f>
        <v>0.16848484848484846</v>
      </c>
      <c r="DR295" s="342"/>
      <c r="DS295" s="43">
        <f>DS153/DM153-1</f>
        <v>-0.13653136531365317</v>
      </c>
      <c r="DT295" s="43">
        <f>DT153/DN153-1</f>
        <v>-6.3291139240506333E-2</v>
      </c>
      <c r="DU295" s="43">
        <f>DU153/DO153-1</f>
        <v>0</v>
      </c>
      <c r="DV295" s="43">
        <f>DV153/DP153-1</f>
        <v>-2.1186440677966156E-2</v>
      </c>
      <c r="DW295" s="395">
        <f>DW153/DQ153-1</f>
        <v>-5.9128630705394203E-2</v>
      </c>
      <c r="DX295" s="342"/>
      <c r="DY295" s="43">
        <f>DY153/DS153-1</f>
        <v>-6.8376068376068355E-2</v>
      </c>
      <c r="DZ295" s="43">
        <f>DZ153/DT153-1</f>
        <v>-9.009009009009028E-3</v>
      </c>
      <c r="EA295" s="43">
        <f>EA153/DU153-1</f>
        <v>-5.0000000000000044E-2</v>
      </c>
      <c r="EB295" s="43">
        <f>EB153/DV153-1</f>
        <v>-4.7619047619047672E-2</v>
      </c>
      <c r="EC295" s="395">
        <f>EC153/DW153-1</f>
        <v>-4.4101433296582115E-2</v>
      </c>
      <c r="ED295" s="342"/>
      <c r="EE295" s="43">
        <f>EE153/DY153-1</f>
        <v>5.9633027522935755E-2</v>
      </c>
      <c r="EF295" s="43">
        <f>EF153/DZ153-1</f>
        <v>4.0909090909091006E-2</v>
      </c>
      <c r="EG295" s="43">
        <f>EG153/EA153-1</f>
        <v>6.698564593301426E-2</v>
      </c>
      <c r="EH295" s="43">
        <f>EH153/EB153-1</f>
        <v>0.1227272727272728</v>
      </c>
      <c r="EI295" s="395">
        <f>EI153/EC153-1</f>
        <v>7.2664359861591699E-2</v>
      </c>
      <c r="EJ295" s="342"/>
      <c r="EK295" s="43">
        <f>EK153/EE153-1</f>
        <v>-1.2987012987012991E-2</v>
      </c>
      <c r="EL295" s="43">
        <f>EL153/EF153-1</f>
        <v>0.1266375545851528</v>
      </c>
      <c r="EM295" s="43">
        <f>EM153/EG153-1</f>
        <v>0.17040358744394624</v>
      </c>
      <c r="EN295" s="43">
        <f>EN153/EH153-1</f>
        <v>0.17004048582995956</v>
      </c>
      <c r="EO295" s="395">
        <f>EO153/EI153-1</f>
        <v>0.11397849462365595</v>
      </c>
      <c r="EP295" s="342"/>
      <c r="EQ295" s="43">
        <f>EQ153/EK153-1</f>
        <v>0.21491228070175428</v>
      </c>
      <c r="ER295" s="43">
        <f>ER153/EL153-1</f>
        <v>3.8759689922480689E-2</v>
      </c>
      <c r="ES295" s="43">
        <f>ES153/EM153-1</f>
        <v>-0.1992337164750958</v>
      </c>
      <c r="ET295" s="43">
        <f>ET153/EN153-1</f>
        <v>6.9204152249136008E-3</v>
      </c>
      <c r="EU295" s="395">
        <f>EU153/EO153-1</f>
        <v>8.6872586872586144E-3</v>
      </c>
      <c r="EV295" s="342"/>
      <c r="EW295" s="43">
        <f>EW153/EQ153-1</f>
        <v>-3.6101083032491488E-3</v>
      </c>
      <c r="EX295" s="43">
        <f>EX153/ER153-1</f>
        <v>2.6119402985074647E-2</v>
      </c>
      <c r="EY295" s="43">
        <f>EY153/ES153-1</f>
        <v>0.41148325358851667</v>
      </c>
      <c r="EZ295" s="43">
        <f>EZ153/ET153-1</f>
        <v>1.8990809799276587E-2</v>
      </c>
      <c r="FA295" s="395">
        <f>FA153/EU153-1</f>
        <v>9.3326627417789076E-2</v>
      </c>
      <c r="FB295" s="342"/>
      <c r="FC295" s="43">
        <f>FC153/EW153-1</f>
        <v>2.0678052333197083E-2</v>
      </c>
      <c r="FD295" s="43">
        <f>FD153/EX153-1</f>
        <v>1.6336570537342165E-2</v>
      </c>
      <c r="FE295" s="43">
        <f>FE153/EY153-1</f>
        <v>-4.2130868597692106E-2</v>
      </c>
      <c r="FF295" s="43">
        <f>FF153/EZ153-1</f>
        <v>-1.2113158939186519E-4</v>
      </c>
      <c r="FG295" s="395">
        <f>FG153/FA153-1</f>
        <v>-1.982296205226497E-3</v>
      </c>
      <c r="FH295" s="342"/>
      <c r="FI295" s="43">
        <f>FI153/FC153-1</f>
        <v>2.3219500000400073E-2</v>
      </c>
      <c r="FJ295" s="43">
        <f>FJ153/FD153-1</f>
        <v>1.7660281356837615E-2</v>
      </c>
      <c r="FK295" s="43">
        <f>FK153/FE153-1</f>
        <v>1.6027204458958444E-2</v>
      </c>
      <c r="FL295" s="43">
        <f>FL153/FF153-1</f>
        <v>4.2422453040384944E-3</v>
      </c>
      <c r="FM295" s="395">
        <f>FM153/FG153-1</f>
        <v>1.5140062804826604E-2</v>
      </c>
      <c r="FN295" s="27"/>
      <c r="FO295" s="27"/>
      <c r="FP295" s="27"/>
      <c r="FQ295" s="27"/>
      <c r="FR295" s="27"/>
      <c r="FS295" s="27"/>
      <c r="FT295" s="27"/>
      <c r="FU295" s="27"/>
      <c r="FV295" s="27"/>
      <c r="FW295" s="27"/>
      <c r="FX295" s="27"/>
      <c r="FY295" s="27"/>
      <c r="FZ295" s="27"/>
      <c r="GA295" s="27"/>
      <c r="GB295" s="27"/>
      <c r="GC295" s="27"/>
      <c r="GD295" s="27"/>
      <c r="GE295" s="27"/>
      <c r="GF295" s="27"/>
      <c r="GH295" s="27"/>
      <c r="GI295"/>
      <c r="GJ295"/>
      <c r="GK295"/>
      <c r="GL295"/>
      <c r="GM295"/>
      <c r="GN295"/>
      <c r="GO295" s="27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</row>
    <row r="296" spans="1:281" s="24" customFormat="1" x14ac:dyDescent="0.2">
      <c r="A296" s="342" t="s">
        <v>410</v>
      </c>
      <c r="B296" s="413"/>
      <c r="C296" s="94" t="s">
        <v>945</v>
      </c>
      <c r="D296" s="43">
        <f t="shared" ref="D296:M296" si="196">D167/C167-1</f>
        <v>1.0200161746266105</v>
      </c>
      <c r="E296" s="43">
        <f t="shared" si="196"/>
        <v>1.17919503337597</v>
      </c>
      <c r="F296" s="43">
        <f t="shared" si="196"/>
        <v>1.311686665596941</v>
      </c>
      <c r="G296" s="43">
        <f t="shared" si="196"/>
        <v>0.6232987245294761</v>
      </c>
      <c r="H296" s="43">
        <f t="shared" si="196"/>
        <v>1.1543188065565131</v>
      </c>
      <c r="I296" s="43">
        <f t="shared" si="196"/>
        <v>0.7252658968214698</v>
      </c>
      <c r="J296" s="43">
        <f t="shared" si="196"/>
        <v>0.18387491278924561</v>
      </c>
      <c r="K296" s="43">
        <f t="shared" si="196"/>
        <v>6.6051936739526917E-2</v>
      </c>
      <c r="L296" s="43">
        <f t="shared" si="196"/>
        <v>0.1684665971292183</v>
      </c>
      <c r="M296" s="43">
        <f t="shared" si="196"/>
        <v>0.18220089901292158</v>
      </c>
      <c r="N296" s="342"/>
      <c r="O296" s="94" t="s">
        <v>945</v>
      </c>
      <c r="P296" s="94" t="s">
        <v>945</v>
      </c>
      <c r="Q296" s="94" t="s">
        <v>945</v>
      </c>
      <c r="R296" s="94" t="s">
        <v>945</v>
      </c>
      <c r="S296" s="43">
        <f>S167/M167-1</f>
        <v>0.42206286432016826</v>
      </c>
      <c r="T296" s="342"/>
      <c r="U296" s="43">
        <f>U167/O167-1</f>
        <v>0.32894164041893936</v>
      </c>
      <c r="V296" s="43">
        <f>V167/P167-1</f>
        <v>0.47098065376917941</v>
      </c>
      <c r="W296" s="43">
        <f>W167/Q167-1</f>
        <v>0.3831863818690715</v>
      </c>
      <c r="X296" s="43">
        <f>X167/R167-1</f>
        <v>0.44180372205324381</v>
      </c>
      <c r="Y296" s="43">
        <f>Y167/S167-1</f>
        <v>0.41128395438843901</v>
      </c>
      <c r="Z296" s="342"/>
      <c r="AA296" s="43">
        <f>AA167/U167-1</f>
        <v>0.3183403505053326</v>
      </c>
      <c r="AB296" s="43">
        <f>AB167/V167-1</f>
        <v>0.30080252390811402</v>
      </c>
      <c r="AC296" s="43">
        <f>AC167/W167-1</f>
        <v>0.31315366128221811</v>
      </c>
      <c r="AD296" s="43">
        <f>AD167/X167-1</f>
        <v>0.29511383206762631</v>
      </c>
      <c r="AE296" s="43">
        <f>AE167/Y167-1</f>
        <v>0.30514882809531829</v>
      </c>
      <c r="AF296" s="342"/>
      <c r="AG296" s="43">
        <f>AG167/AA167-1</f>
        <v>0.25083951781166314</v>
      </c>
      <c r="AH296" s="43">
        <f>AH167/AB167-1</f>
        <v>0.20219432410391369</v>
      </c>
      <c r="AI296" s="43">
        <f>AI167/AC167-1</f>
        <v>0.25189990567213072</v>
      </c>
      <c r="AJ296" s="43">
        <f>AJ167/AD167-1</f>
        <v>0.19353044339793946</v>
      </c>
      <c r="AK296" s="43">
        <f>AK167/AE167-1</f>
        <v>0.22050150224852105</v>
      </c>
      <c r="AL296" s="342"/>
      <c r="AM296" s="43">
        <f>AM167/AG167-1</f>
        <v>0.15680248659133667</v>
      </c>
      <c r="AN296" s="43">
        <f>AN167/AH167-1</f>
        <v>0.12727559293396706</v>
      </c>
      <c r="AO296" s="43">
        <f>AO167/AI167-1</f>
        <v>4.2804880071461771E-2</v>
      </c>
      <c r="AP296" s="43">
        <f>AP167/AJ167-1</f>
        <v>0.16425825956276685</v>
      </c>
      <c r="AQ296" s="43">
        <f>AQ167/AK167-1</f>
        <v>0.12466533005878855</v>
      </c>
      <c r="AR296" s="342"/>
      <c r="AS296" s="43">
        <f>AS167/AM167-1</f>
        <v>0.11353764722519655</v>
      </c>
      <c r="AT296" s="43">
        <f>AT167/AN167-1</f>
        <v>0.11030601847139532</v>
      </c>
      <c r="AU296" s="43">
        <f>AU167/AO167-1</f>
        <v>0.10476848322629539</v>
      </c>
      <c r="AV296" s="43">
        <f>AV167/AP167-1</f>
        <v>-4.8104556601970883E-2</v>
      </c>
      <c r="AW296" s="43">
        <f>AW167/AQ167-1</f>
        <v>5.5797829584576464E-2</v>
      </c>
      <c r="AX296" s="342"/>
      <c r="AY296" s="43">
        <f>AY167/AS167-1</f>
        <v>5.4486656143979184E-2</v>
      </c>
      <c r="AZ296" s="43">
        <f>AZ167/AT167-1</f>
        <v>2.6090819706482193E-2</v>
      </c>
      <c r="BA296" s="43">
        <f>BA167/AU167-1</f>
        <v>0.11845920965492818</v>
      </c>
      <c r="BB296" s="43">
        <f>BB167/AV167-1</f>
        <v>-7.8497120925872244E-3</v>
      </c>
      <c r="BC296" s="43">
        <f>BC167/AW167-1</f>
        <v>4.364241230651178E-2</v>
      </c>
      <c r="BD296" s="342"/>
      <c r="BE296" s="43">
        <f>BE167/AY167-1</f>
        <v>-4.684200112693504E-2</v>
      </c>
      <c r="BF296" s="43">
        <f>BF167/AZ167-1</f>
        <v>-8.9338047237879081E-2</v>
      </c>
      <c r="BG296" s="43">
        <f>BG167/BA167-1</f>
        <v>-0.16962845820729466</v>
      </c>
      <c r="BH296" s="43">
        <f>BH167/BB167-1</f>
        <v>-0.21684282250273523</v>
      </c>
      <c r="BI296" s="43">
        <f>BI167/BC167-1</f>
        <v>-0.1376846739597265</v>
      </c>
      <c r="BJ296" s="342"/>
      <c r="BK296" s="43">
        <f>BK167/BE167-1</f>
        <v>-3.0906085887217327E-2</v>
      </c>
      <c r="BL296" s="43">
        <f>BL167/BF167-1</f>
        <v>-1.2454288277099268E-2</v>
      </c>
      <c r="BM296" s="43">
        <f>BM167/BG167-1</f>
        <v>3.7494865120131227E-2</v>
      </c>
      <c r="BN296" s="43">
        <f>BN167/BH167-1</f>
        <v>1.7707139837388475E-3</v>
      </c>
      <c r="BO296" s="43">
        <f>BO167/BI167-1</f>
        <v>-9.0629945757314534E-4</v>
      </c>
      <c r="BP296" s="342"/>
      <c r="BQ296" s="43">
        <f>BQ167/BK167-1</f>
        <v>3.9580908032595952E-2</v>
      </c>
      <c r="BR296" s="43">
        <f>BR167/BL167-1</f>
        <v>7.5327510917030605E-2</v>
      </c>
      <c r="BS296" s="43">
        <f>BS167/BM167-1</f>
        <v>6.7235859124866515E-2</v>
      </c>
      <c r="BT296" s="43">
        <f>BT167/BN167-1</f>
        <v>0.11824668705402641</v>
      </c>
      <c r="BU296" s="43">
        <f>BU167/BO167-1</f>
        <v>7.6360682372055289E-2</v>
      </c>
      <c r="BV296" s="342"/>
      <c r="BW296" s="43">
        <f>BW167/BQ167-1</f>
        <v>2.6315789473684292E-2</v>
      </c>
      <c r="BX296" s="43">
        <f>BX167/BR167-1</f>
        <v>2.7106598984771635E-2</v>
      </c>
      <c r="BY296" s="43">
        <f>BY167/BS167-1</f>
        <v>0.20399999999999996</v>
      </c>
      <c r="BZ296" s="43">
        <f>BZ167/BT167-1</f>
        <v>0.27985414767547856</v>
      </c>
      <c r="CA296" s="43">
        <f>CA167/BU167-1</f>
        <v>0.14118238993710697</v>
      </c>
      <c r="CB296" s="342"/>
      <c r="CC296" s="43">
        <f>CC167/BW167-1</f>
        <v>0.2711402073104201</v>
      </c>
      <c r="CD296" s="43">
        <f>CD167/BX167-1</f>
        <v>0.2632203222299101</v>
      </c>
      <c r="CE296" s="43">
        <f>CE167/BY167-1</f>
        <v>0.13289036544850497</v>
      </c>
      <c r="CF296" s="43">
        <f>CF167/BZ167-1</f>
        <v>0.26435185185185173</v>
      </c>
      <c r="CG296" s="395">
        <f>CG167/CA167-1</f>
        <v>0.23057845773995878</v>
      </c>
      <c r="CH296" s="342"/>
      <c r="CI296" s="43">
        <f>CI167/CC167-1</f>
        <v>0.175107296137339</v>
      </c>
      <c r="CJ296" s="43">
        <f>CJ167/CD167-1</f>
        <v>0.22300469483568075</v>
      </c>
      <c r="CK296" s="43">
        <f>CK167/CE167-1</f>
        <v>0.2243401759530792</v>
      </c>
      <c r="CL296" s="43">
        <f>CL167/CF167-1</f>
        <v>0.13736867306988154</v>
      </c>
      <c r="CM296" s="395">
        <f>CM167/CG167-1</f>
        <v>0.18610212910796009</v>
      </c>
      <c r="CN296" s="342"/>
      <c r="CO296" s="43">
        <f>CO167/CI167-1</f>
        <v>0.28560993425858294</v>
      </c>
      <c r="CP296" s="43">
        <f>CP167/CJ167-1</f>
        <v>0.22712731925783758</v>
      </c>
      <c r="CQ296" s="43">
        <f>CQ167/CK167-1</f>
        <v>0.14491017964071862</v>
      </c>
      <c r="CR296" s="43">
        <f>CR167/CL167-1</f>
        <v>0.1896978702327885</v>
      </c>
      <c r="CS296" s="395">
        <f>CS167/CM167-1</f>
        <v>0.20706841866787484</v>
      </c>
      <c r="CT296" s="342"/>
      <c r="CU296" s="43">
        <f>CU167/CO167-1</f>
        <v>0.10568181818181821</v>
      </c>
      <c r="CV296" s="43">
        <f>CV167/CP167-1</f>
        <v>-1.5641293013555768E-2</v>
      </c>
      <c r="CW296" s="43">
        <f>CW167/CQ167-1</f>
        <v>-3.556485355648531E-2</v>
      </c>
      <c r="CX296" s="43">
        <f>CX167/CR167-1</f>
        <v>-8.5761865112406355E-2</v>
      </c>
      <c r="CY296" s="395">
        <f>CY167/CS167-1</f>
        <v>-1.4764764764764737E-2</v>
      </c>
      <c r="CZ296" s="342"/>
      <c r="DA296" s="43">
        <f>DA167/CU167-1</f>
        <v>-0.10380267214799588</v>
      </c>
      <c r="DB296" s="43">
        <f>DB167/CV167-1</f>
        <v>2.0656779661016866E-2</v>
      </c>
      <c r="DC296" s="43">
        <f>DC167/CW167-1</f>
        <v>0.19251626898047713</v>
      </c>
      <c r="DD296" s="43">
        <f>DD167/CX167-1</f>
        <v>0.36202185792349728</v>
      </c>
      <c r="DE296" s="395">
        <f>DE167/CY167-1</f>
        <v>0.12534925069850145</v>
      </c>
      <c r="DF296" s="342"/>
      <c r="DG296" s="43">
        <f>DG167/DA167-1</f>
        <v>0.48509174311926606</v>
      </c>
      <c r="DH296" s="43">
        <f>DH167/DB167-1</f>
        <v>0.39854696419304614</v>
      </c>
      <c r="DI296" s="43">
        <f>DI167/DC167-1</f>
        <v>0.32514779445202358</v>
      </c>
      <c r="DJ296" s="43">
        <f>DJ167/DD167-1</f>
        <v>0.13841524573721165</v>
      </c>
      <c r="DK296" s="395">
        <f>DK167/DE167-1</f>
        <v>0.30955874054847077</v>
      </c>
      <c r="DL296" s="342"/>
      <c r="DM296" s="43">
        <f>DM167/DG167-1</f>
        <v>0.1019305019305019</v>
      </c>
      <c r="DN296" s="43">
        <f>DN167/DH167-1</f>
        <v>9.0538033395176187E-2</v>
      </c>
      <c r="DO296" s="43">
        <f>DO167/DI167-1</f>
        <v>1.6129032258064502E-2</v>
      </c>
      <c r="DP296" s="43">
        <f>DP167/DJ167-1</f>
        <v>1.1747430249632984E-2</v>
      </c>
      <c r="DQ296" s="395">
        <f>DQ167/DK167-1</f>
        <v>5.127542226818349E-2</v>
      </c>
      <c r="DR296" s="342"/>
      <c r="DS296" s="43">
        <f>DS167/DM167-1</f>
        <v>2.1023125437982237E-3</v>
      </c>
      <c r="DT296" s="43">
        <f>DT167/DN167-1</f>
        <v>4.1850969717591058E-2</v>
      </c>
      <c r="DU296" s="43">
        <f>DU167/DO167-1</f>
        <v>4.3566362715298901E-2</v>
      </c>
      <c r="DV296" s="43">
        <f>DV167/DP167-1</f>
        <v>1.4223512336719812E-2</v>
      </c>
      <c r="DW296" s="395">
        <f>DW167/DQ167-1</f>
        <v>2.5165997212886371E-2</v>
      </c>
      <c r="DX296" s="342"/>
      <c r="DY296" s="43">
        <f>DY167/DS167-1</f>
        <v>2.7622377622377625E-2</v>
      </c>
      <c r="DZ296" s="43">
        <f>DZ167/DT167-1</f>
        <v>6.0091443500979835E-2</v>
      </c>
      <c r="EA296" s="43">
        <f>EA167/DU167-1</f>
        <v>3.2686084142394822E-2</v>
      </c>
      <c r="EB296" s="43">
        <f>EB167/DV167-1</f>
        <v>4.8368631940469475E-2</v>
      </c>
      <c r="EC296" s="395">
        <f>EC167/DW167-1</f>
        <v>4.2619542619542594E-2</v>
      </c>
      <c r="ED296" s="342"/>
      <c r="EE296" s="43">
        <f>EE167/DY167-1</f>
        <v>5.9884314392650628E-2</v>
      </c>
      <c r="EF296" s="43">
        <f>EF167/DZ167-1</f>
        <v>2.8342575477510845E-2</v>
      </c>
      <c r="EG296" s="43">
        <f>EG167/EA167-1</f>
        <v>1.817612033845184E-2</v>
      </c>
      <c r="EH296" s="43">
        <f>EH167/EB167-1</f>
        <v>1.0920010920010936E-2</v>
      </c>
      <c r="EI296" s="395">
        <f>EI167/EC167-1</f>
        <v>2.806963724211986E-2</v>
      </c>
      <c r="EJ296" s="342"/>
      <c r="EK296" s="43">
        <f>EK167/EE167-1</f>
        <v>1.1235955056179803E-2</v>
      </c>
      <c r="EL296" s="43">
        <f>EL167/EF167-1</f>
        <v>3.0856800479329038E-2</v>
      </c>
      <c r="EM296" s="43">
        <f>EM167/EG167-1</f>
        <v>3.7857802400738771E-2</v>
      </c>
      <c r="EN296" s="43">
        <f>EN167/EH167-1</f>
        <v>5.7250877666756628E-2</v>
      </c>
      <c r="EO296" s="395">
        <f>EO167/EI167-1</f>
        <v>3.5285341290563155E-2</v>
      </c>
      <c r="EP296" s="342"/>
      <c r="EQ296" s="43">
        <f>EQ167/EK167-1</f>
        <v>9.7777777777777741E-2</v>
      </c>
      <c r="ER296" s="43">
        <f>ER167/EL167-1</f>
        <v>1.453065969195011E-2</v>
      </c>
      <c r="ES296" s="43">
        <f>ES167/EM167-1</f>
        <v>2.8469750889679624E-2</v>
      </c>
      <c r="ET296" s="43">
        <f>ET167/EN167-1</f>
        <v>9.9616858237547845E-3</v>
      </c>
      <c r="EU296" s="395">
        <f>EU167/EO167-1</f>
        <v>3.5523850698947923E-2</v>
      </c>
      <c r="EV296" s="342"/>
      <c r="EW296" s="43">
        <f>EW167/EQ167-1</f>
        <v>2.0821283979178817E-2</v>
      </c>
      <c r="EX296" s="43">
        <f>EX167/ER167-1</f>
        <v>3.1509596104268844E-3</v>
      </c>
      <c r="EY296" s="43">
        <f>EY167/ES167-1</f>
        <v>1.5282583621683887E-2</v>
      </c>
      <c r="EZ296" s="43">
        <f>EZ167/ET167-1</f>
        <v>-1.0928023064958992E-2</v>
      </c>
      <c r="FA296" s="395">
        <f>FA167/EU167-1</f>
        <v>6.4567947116520585E-3</v>
      </c>
      <c r="FB296" s="342"/>
      <c r="FC296" s="43">
        <f>FC167/EW167-1</f>
        <v>2.6627556128907104E-2</v>
      </c>
      <c r="FD296" s="43">
        <f>FD167/EX167-1</f>
        <v>3.1821669219552096E-2</v>
      </c>
      <c r="FE296" s="43">
        <f>FE167/EY167-1</f>
        <v>3.3546117085074156E-2</v>
      </c>
      <c r="FF296" s="43">
        <f>FF167/EZ167-1</f>
        <v>2.3481159295837051E-2</v>
      </c>
      <c r="FG296" s="395">
        <f>FG167/FA167-1</f>
        <v>2.8718649595665058E-2</v>
      </c>
      <c r="FH296" s="342"/>
      <c r="FI296" s="43">
        <f>FI167/FC167-1</f>
        <v>2.440491171499759E-2</v>
      </c>
      <c r="FJ296" s="43">
        <f>FJ167/FD167-1</f>
        <v>3.1869701659057448E-2</v>
      </c>
      <c r="FK296" s="43">
        <f>FK167/FE167-1</f>
        <v>3.8803672724095017E-2</v>
      </c>
      <c r="FL296" s="43">
        <f>FL167/FF167-1</f>
        <v>3.9977808136208326E-2</v>
      </c>
      <c r="FM296" s="395">
        <f>FM167/FG167-1</f>
        <v>3.3928608947094485E-2</v>
      </c>
      <c r="FN296" s="27"/>
      <c r="FO296" s="27"/>
      <c r="FP296" s="27"/>
      <c r="FQ296" s="27"/>
      <c r="FR296" s="27"/>
      <c r="FS296" s="27"/>
      <c r="FT296" s="27"/>
      <c r="FU296" s="27"/>
      <c r="FV296" s="27"/>
      <c r="FW296" s="27"/>
      <c r="FX296" s="27"/>
      <c r="FY296" s="27"/>
      <c r="FZ296" s="27"/>
      <c r="GA296" s="27"/>
      <c r="GB296" s="27"/>
      <c r="GC296" s="27"/>
      <c r="GD296" s="27"/>
      <c r="GE296" s="27"/>
      <c r="GF296" s="27"/>
      <c r="GH296" s="27"/>
      <c r="GI296"/>
      <c r="GJ296"/>
      <c r="GK296"/>
      <c r="GL296"/>
      <c r="GM296"/>
      <c r="GN296"/>
      <c r="GO296" s="27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</row>
    <row r="297" spans="1:281" s="28" customFormat="1" ht="5.25" customHeight="1" x14ac:dyDescent="0.2">
      <c r="A297" s="18"/>
      <c r="B297" s="414"/>
      <c r="CG297" s="416"/>
      <c r="CM297" s="416"/>
      <c r="CS297" s="416"/>
      <c r="CY297" s="416"/>
      <c r="DE297" s="416"/>
      <c r="DK297" s="975"/>
      <c r="DQ297" s="975"/>
      <c r="DW297" s="975"/>
      <c r="EC297" s="975"/>
      <c r="EI297" s="975"/>
      <c r="EO297" s="975"/>
      <c r="EU297" s="975"/>
      <c r="FA297" s="975"/>
      <c r="FG297" s="975"/>
      <c r="FM297" s="975"/>
      <c r="GI297"/>
      <c r="GJ297"/>
      <c r="GK297"/>
      <c r="GL297"/>
      <c r="GM297"/>
      <c r="GN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</row>
    <row r="298" spans="1:281" s="24" customFormat="1" x14ac:dyDescent="0.2">
      <c r="A298" s="342" t="s">
        <v>22</v>
      </c>
      <c r="B298" s="413"/>
      <c r="C298" s="94" t="s">
        <v>945</v>
      </c>
      <c r="D298" s="43">
        <f t="shared" ref="D298:M298" si="197">D169/C169-1</f>
        <v>4.8048876399106488E-2</v>
      </c>
      <c r="E298" s="43">
        <f t="shared" si="197"/>
        <v>2.9708428599562651</v>
      </c>
      <c r="F298" s="43">
        <f t="shared" si="197"/>
        <v>1.6167030187266875</v>
      </c>
      <c r="G298" s="43">
        <f t="shared" si="197"/>
        <v>1.2509423991544826</v>
      </c>
      <c r="H298" s="43">
        <f t="shared" si="197"/>
        <v>0.92645516723271704</v>
      </c>
      <c r="I298" s="43">
        <f t="shared" si="197"/>
        <v>9.9539350215700706E-2</v>
      </c>
      <c r="J298" s="43">
        <f t="shared" si="197"/>
        <v>-0.80213390079725722</v>
      </c>
      <c r="K298" s="43">
        <f t="shared" si="197"/>
        <v>3.2633033347025675</v>
      </c>
      <c r="L298" s="43">
        <f t="shared" si="197"/>
        <v>1.1121777746634316</v>
      </c>
      <c r="M298" s="43">
        <f t="shared" si="197"/>
        <v>0.74152466814021611</v>
      </c>
      <c r="N298" s="342"/>
      <c r="O298" s="94" t="s">
        <v>945</v>
      </c>
      <c r="P298" s="94" t="s">
        <v>945</v>
      </c>
      <c r="Q298" s="94" t="s">
        <v>945</v>
      </c>
      <c r="R298" s="94" t="s">
        <v>945</v>
      </c>
      <c r="S298" s="43">
        <f>S169/M169-1</f>
        <v>0.54593728345791104</v>
      </c>
      <c r="T298" s="43"/>
      <c r="U298" s="43">
        <f>U169/O169-1</f>
        <v>0.4292633334475624</v>
      </c>
      <c r="V298" s="43">
        <f>V169/P169-1</f>
        <v>0.48209262535162245</v>
      </c>
      <c r="W298" s="43">
        <f>W169/Q169-1</f>
        <v>0.42494703630038044</v>
      </c>
      <c r="X298" s="43">
        <f>X169/R169-1</f>
        <v>0.50762263590638179</v>
      </c>
      <c r="Y298" s="43">
        <f>Y169/S169-1</f>
        <v>0.47197641481098063</v>
      </c>
      <c r="Z298" s="342"/>
      <c r="AA298" s="43">
        <f>AA169/U169-1</f>
        <v>0.34967471747574441</v>
      </c>
      <c r="AB298" s="43">
        <f>AB169/V169-1</f>
        <v>0.34124483925881055</v>
      </c>
      <c r="AC298" s="43">
        <f>AC169/W169-1</f>
        <v>0.35002864391521338</v>
      </c>
      <c r="AD298" s="43">
        <f>AD169/X169-1</f>
        <v>0.37830977037814062</v>
      </c>
      <c r="AE298" s="43">
        <f>AE169/Y169-1</f>
        <v>0.36012276615203698</v>
      </c>
      <c r="AF298" s="43"/>
      <c r="AG298" s="43">
        <f>AG169/AA169-1</f>
        <v>0.27923185333443845</v>
      </c>
      <c r="AH298" s="43">
        <f>AH169/AB169-1</f>
        <v>-7.9580433862901367E-3</v>
      </c>
      <c r="AI298" s="43">
        <f>AI169/AC169-1</f>
        <v>7.1886113805367025E-2</v>
      </c>
      <c r="AJ298" s="43">
        <f>AJ169/AD169-1</f>
        <v>8.0652738949078984E-2</v>
      </c>
      <c r="AK298" s="43">
        <f>AK169/AE169-1</f>
        <v>8.5758029212523068E-2</v>
      </c>
      <c r="AL298" s="342"/>
      <c r="AM298" s="43">
        <f>AM169/AG169-1</f>
        <v>0.28610510625888153</v>
      </c>
      <c r="AN298" s="43">
        <f>AN169/AH169-1</f>
        <v>0.40462342742439694</v>
      </c>
      <c r="AO298" s="43">
        <f>AO169/AI169-1</f>
        <v>0.27777097020482433</v>
      </c>
      <c r="AP298" s="43">
        <f>AP169/AJ169-1</f>
        <v>0.33284899098098397</v>
      </c>
      <c r="AQ298" s="43">
        <f>AQ169/AK169-1</f>
        <v>0.32710600232984688</v>
      </c>
      <c r="AR298" s="342"/>
      <c r="AS298" s="43">
        <f>AS169/AM169-1</f>
        <v>0.24484588030348853</v>
      </c>
      <c r="AT298" s="43">
        <f>AT169/AN169-1</f>
        <v>0.50776305664466115</v>
      </c>
      <c r="AU298" s="43">
        <f>AU169/AO169-1</f>
        <v>0.89269450181961196</v>
      </c>
      <c r="AV298" s="43">
        <f>AV169/AP169-1</f>
        <v>0.72207952632956318</v>
      </c>
      <c r="AW298" s="43">
        <f>AW169/AQ169-1</f>
        <v>0.64461062929251733</v>
      </c>
      <c r="AX298" s="342"/>
      <c r="AY298" s="43">
        <f>AY169/AS169-1</f>
        <v>0.90260594512856351</v>
      </c>
      <c r="AZ298" s="43">
        <f>AZ169/AT169-1</f>
        <v>0.64217753204933481</v>
      </c>
      <c r="BA298" s="43">
        <f>BA169/AU169-1</f>
        <v>0.14083284722646305</v>
      </c>
      <c r="BB298" s="43">
        <f>BB169/AV169-1</f>
        <v>-6.7399538066317599E-2</v>
      </c>
      <c r="BC298" s="43">
        <f>BC169/AW169-1</f>
        <v>0.22626454469897661</v>
      </c>
      <c r="BD298" s="342"/>
      <c r="BE298" s="43">
        <f>BE169/AY169-1</f>
        <v>0.13333059794146496</v>
      </c>
      <c r="BF298" s="43">
        <f>BF169/AZ169-1</f>
        <v>-0.13325250184724935</v>
      </c>
      <c r="BG298" s="43">
        <f>BG169/BA169-1</f>
        <v>-0.11317776666822343</v>
      </c>
      <c r="BH298" s="43">
        <f>BH169/BB169-1</f>
        <v>-5.2864024662412912E-2</v>
      </c>
      <c r="BI298" s="43">
        <f>BI169/BC169-1</f>
        <v>-5.4581422581558181E-2</v>
      </c>
      <c r="BJ298" s="342"/>
      <c r="BK298" s="43">
        <f>BK169/BE169-1</f>
        <v>-0.22228867035498479</v>
      </c>
      <c r="BL298" s="43">
        <f>BL169/BF169-1</f>
        <v>-3.1641185251675807E-2</v>
      </c>
      <c r="BM298" s="43">
        <f>BM169/BG169-1</f>
        <v>2.216532111529057E-2</v>
      </c>
      <c r="BN298" s="43">
        <f>BN169/BH169-1</f>
        <v>3.5817398046916749E-2</v>
      </c>
      <c r="BO298" s="43">
        <f>BO169/BI169-1</f>
        <v>-3.6554042474065351E-2</v>
      </c>
      <c r="BP298" s="342"/>
      <c r="BQ298" s="43">
        <f>BQ169/BK169-1</f>
        <v>6.2068965517241281E-2</v>
      </c>
      <c r="BR298" s="43">
        <f>BR169/BL169-1</f>
        <v>0.15239294710327456</v>
      </c>
      <c r="BS298" s="43">
        <f>BS169/BM169-1</f>
        <v>0.164572864321608</v>
      </c>
      <c r="BT298" s="43">
        <f>BT169/BN169-1</f>
        <v>0.10673803526448356</v>
      </c>
      <c r="BU298" s="43">
        <f>BU169/BO169-1</f>
        <v>0.12312521799790721</v>
      </c>
      <c r="BV298" s="342"/>
      <c r="BW298" s="43">
        <f>BW169/BQ169-1</f>
        <v>0.20698051948051943</v>
      </c>
      <c r="BX298" s="43">
        <f>BX169/BR169-1</f>
        <v>0.26153005464480872</v>
      </c>
      <c r="BY298" s="43">
        <f>BY169/BS169-1</f>
        <v>0.27076591154261065</v>
      </c>
      <c r="BZ298" s="43">
        <f>BZ169/BT169-1</f>
        <v>0.32645803698435283</v>
      </c>
      <c r="CA298" s="43">
        <f>CA169/BU169-1</f>
        <v>0.27867494824016559</v>
      </c>
      <c r="CB298" s="342"/>
      <c r="CC298" s="43">
        <f>CC169/BW169-1</f>
        <v>0.37457969065232022</v>
      </c>
      <c r="CD298" s="43">
        <f>CD169/BX169-1</f>
        <v>0.17906956597071821</v>
      </c>
      <c r="CE298" s="43">
        <f>CE169/BY169-1</f>
        <v>0.17436332767402374</v>
      </c>
      <c r="CF298" s="43">
        <f>CF169/BZ169-1</f>
        <v>0.18008042895442378</v>
      </c>
      <c r="CG298" s="395">
        <f>CG169/CA169-1</f>
        <v>0.20774975712435229</v>
      </c>
      <c r="CH298" s="342"/>
      <c r="CI298" s="43">
        <f>CI169/CC169-1</f>
        <v>0.28962818003913893</v>
      </c>
      <c r="CJ298" s="43">
        <f>CJ169/CD169-1</f>
        <v>0.20058780308596624</v>
      </c>
      <c r="CK298" s="43">
        <f>CK169/CE169-1</f>
        <v>0.26861356079225085</v>
      </c>
      <c r="CL298" s="43">
        <f>CL169/CF169-1</f>
        <v>0.23315991548719794</v>
      </c>
      <c r="CM298" s="395">
        <f>CM169/CG169-1</f>
        <v>0.24362143365872058</v>
      </c>
      <c r="CN298" s="342"/>
      <c r="CO298" s="43">
        <f>CO169/CI169-1</f>
        <v>0.27617602427921084</v>
      </c>
      <c r="CP298" s="43">
        <f>CP169/CJ169-1</f>
        <v>0.35495716034271729</v>
      </c>
      <c r="CQ298" s="43">
        <f>CQ169/CK169-1</f>
        <v>0.26438746438746441</v>
      </c>
      <c r="CR298" s="43">
        <f>CR169/CL169-1</f>
        <v>0.30582166543846712</v>
      </c>
      <c r="CS298" s="395">
        <f>CS169/CM169-1</f>
        <v>0.30157660692629018</v>
      </c>
      <c r="CT298" s="342"/>
      <c r="CU298" s="43">
        <f>CU169/CO169-1</f>
        <v>0.29250891795481571</v>
      </c>
      <c r="CV298" s="43">
        <f>CV169/CP169-1</f>
        <v>0.17841011743450763</v>
      </c>
      <c r="CW298" s="43">
        <f>CW169/CQ169-1</f>
        <v>0.1514195583596214</v>
      </c>
      <c r="CX298" s="43">
        <f>CX169/CR169-1</f>
        <v>-8.7471783295710592E-3</v>
      </c>
      <c r="CY298" s="395">
        <f>CY169/CS169-1</f>
        <v>0.12340822031266185</v>
      </c>
      <c r="CZ298" s="342"/>
      <c r="DA298" s="43">
        <f>DA169/CU169-1</f>
        <v>6.6237350505979675E-2</v>
      </c>
      <c r="DB298" s="43">
        <f>DB169/CV169-1</f>
        <v>9.4672288233039525E-2</v>
      </c>
      <c r="DC298" s="43">
        <f>DC169/CW169-1</f>
        <v>0.12970645792563595</v>
      </c>
      <c r="DD298" s="43">
        <f>DD169/CX169-1</f>
        <v>0.25667520637631647</v>
      </c>
      <c r="DE298" s="395">
        <f>DE169/CY169-1</f>
        <v>0.14967284121279123</v>
      </c>
      <c r="DF298" s="342"/>
      <c r="DG298" s="43">
        <f>DG169/DA169-1</f>
        <v>0.27135461604831757</v>
      </c>
      <c r="DH298" s="43">
        <f>DH169/DB169-1</f>
        <v>0.34838935574229701</v>
      </c>
      <c r="DI298" s="43">
        <f>DI169/DC169-1</f>
        <v>0.34839246119733946</v>
      </c>
      <c r="DJ298" s="43">
        <f>DJ169/DD169-1</f>
        <v>0.1864905882619432</v>
      </c>
      <c r="DK298" s="395">
        <f>DK169/DE169-1</f>
        <v>0.27678335243805674</v>
      </c>
      <c r="DL298" s="342"/>
      <c r="DM298" s="43">
        <f>DM169/DG169-1</f>
        <v>0.21004411265693923</v>
      </c>
      <c r="DN298" s="43">
        <f>DN169/DH169-1</f>
        <v>2.0254479356011323E-2</v>
      </c>
      <c r="DO298" s="43">
        <f>DO169/DI169-1</f>
        <v>8.0508530318602389E-2</v>
      </c>
      <c r="DP298" s="43">
        <f>DP169/DJ169-1</f>
        <v>5.2340530736922464E-2</v>
      </c>
      <c r="DQ298" s="395">
        <f>DQ169/DK169-1</f>
        <v>8.0644079608237051E-2</v>
      </c>
      <c r="DR298" s="342"/>
      <c r="DS298" s="43">
        <f>DS169/DM169-1</f>
        <v>6.4498037016265108E-3</v>
      </c>
      <c r="DT298" s="43">
        <f>DT169/DN169-1</f>
        <v>8.7299567319928828E-2</v>
      </c>
      <c r="DU298" s="43">
        <f>DU169/DO169-1</f>
        <v>-6.5010689268538702E-3</v>
      </c>
      <c r="DV298" s="43">
        <f>DV169/DP169-1</f>
        <v>1.103747048547965E-2</v>
      </c>
      <c r="DW298" s="395">
        <f>DW169/DQ169-1</f>
        <v>2.3209941933532985E-2</v>
      </c>
      <c r="DX298" s="342"/>
      <c r="DY298" s="43">
        <f>DY169/DS169-1</f>
        <v>4.2351629980496019E-2</v>
      </c>
      <c r="DZ298" s="43">
        <f>DZ169/DT169-1</f>
        <v>-6.0861423220973654E-3</v>
      </c>
      <c r="EA298" s="43">
        <f>EA169/DU169-1</f>
        <v>4.4997606510291943E-2</v>
      </c>
      <c r="EB298" s="43">
        <f>EB169/DV169-1</f>
        <v>3.2836892158621955E-2</v>
      </c>
      <c r="EC298" s="395">
        <f>EC169/DW169-1</f>
        <v>2.8219395866454722E-2</v>
      </c>
      <c r="ED298" s="342"/>
      <c r="EE298" s="43">
        <f>EE169/DY169-1</f>
        <v>2.0850040096231037E-2</v>
      </c>
      <c r="EF298" s="43">
        <f>EF169/DZ169-1</f>
        <v>3.4149788035798379E-2</v>
      </c>
      <c r="EG298" s="43">
        <f>EG169/EA169-1</f>
        <v>-3.6646816307833285E-2</v>
      </c>
      <c r="EH298" s="43">
        <f>EH169/EB169-1</f>
        <v>-0.1351633078526755</v>
      </c>
      <c r="EI298" s="395">
        <f>EI169/EC169-1</f>
        <v>-3.948312993539127E-2</v>
      </c>
      <c r="EJ298" s="342"/>
      <c r="EK298" s="43">
        <f>EK169/EE169-1</f>
        <v>-9.0599633411887925E-2</v>
      </c>
      <c r="EL298" s="43">
        <f>EL169/EF169-1</f>
        <v>-0.15212935549988615</v>
      </c>
      <c r="EM298" s="43">
        <f>EM169/EG169-1</f>
        <v>-9.1060389919163098E-2</v>
      </c>
      <c r="EN298" s="43">
        <f>EN169/EH169-1</f>
        <v>-4.2587384491763802E-2</v>
      </c>
      <c r="EO298" s="395">
        <f>EO169/EI169-1</f>
        <v>-9.2503162009888507E-2</v>
      </c>
      <c r="EP298" s="342"/>
      <c r="EQ298" s="43">
        <f>EQ169/EK169-1</f>
        <v>-2.044342067376903E-2</v>
      </c>
      <c r="ER298" s="43">
        <f>ER169/EL169-1</f>
        <v>2.2503357507386301E-2</v>
      </c>
      <c r="ES298" s="43">
        <f>ES169/EM169-1</f>
        <v>3.1650536228093218E-2</v>
      </c>
      <c r="ET298" s="43">
        <f>ET169/EN169-1</f>
        <v>5.2245069240453246E-2</v>
      </c>
      <c r="EU298" s="395">
        <f>EU169/EO169-1</f>
        <v>2.4249604054481955E-2</v>
      </c>
      <c r="EV298" s="342"/>
      <c r="EW298" s="43">
        <f>EW169/EQ169-1</f>
        <v>0.11228689006466785</v>
      </c>
      <c r="EX298" s="43">
        <f>EX169/ER169-1</f>
        <v>0.10329464797020083</v>
      </c>
      <c r="EY298" s="43">
        <f>EY169/ES169-1</f>
        <v>8.7474645030426013E-2</v>
      </c>
      <c r="EZ298" s="43">
        <f>EZ169/ET169-1</f>
        <v>3.312834785306995E-2</v>
      </c>
      <c r="FA298" s="395">
        <f>FA169/EU169-1</f>
        <v>7.9563097993858412E-2</v>
      </c>
      <c r="FB298" s="342"/>
      <c r="FC298" s="43">
        <f>FC169/EW169-1</f>
        <v>4.642711252449927E-2</v>
      </c>
      <c r="FD298" s="43">
        <f>FD169/EX169-1</f>
        <v>4.2825955215203049E-2</v>
      </c>
      <c r="FE298" s="43">
        <f>FE169/EY169-1</f>
        <v>4.0683145410675525E-2</v>
      </c>
      <c r="FF298" s="43">
        <f>FF169/EZ169-1</f>
        <v>2.2685907952107787E-2</v>
      </c>
      <c r="FG298" s="395">
        <f>FG169/FA169-1</f>
        <v>3.7101690529722564E-2</v>
      </c>
      <c r="FH298" s="342"/>
      <c r="FI298" s="43">
        <f>FI169/FC169-1</f>
        <v>6.6344652866567433E-2</v>
      </c>
      <c r="FJ298" s="43">
        <f>FJ169/FD169-1</f>
        <v>4.7326078295011342E-2</v>
      </c>
      <c r="FK298" s="43">
        <f>FK169/FE169-1</f>
        <v>3.8741827654884764E-2</v>
      </c>
      <c r="FL298" s="43">
        <f>FL169/FF169-1</f>
        <v>1.4793652954650627E-2</v>
      </c>
      <c r="FM298" s="395">
        <f>FM169/FG169-1</f>
        <v>3.9846838827745756E-2</v>
      </c>
      <c r="FN298" s="27"/>
      <c r="FO298" s="27"/>
      <c r="FP298" s="27"/>
      <c r="FQ298" s="27"/>
      <c r="FR298" s="27"/>
      <c r="FS298" s="27"/>
      <c r="FT298" s="27"/>
      <c r="FU298" s="27"/>
      <c r="FV298" s="27"/>
      <c r="FW298" s="27"/>
      <c r="FX298" s="27"/>
      <c r="FY298" s="27"/>
      <c r="FZ298" s="27"/>
      <c r="GA298" s="27"/>
      <c r="GB298" s="27"/>
      <c r="GC298" s="27"/>
      <c r="GD298" s="27"/>
      <c r="GE298" s="27"/>
      <c r="GF298" s="27"/>
      <c r="GH298" s="27"/>
      <c r="GI298"/>
      <c r="GJ298"/>
      <c r="GK298"/>
      <c r="GL298"/>
      <c r="GM298"/>
      <c r="GN298"/>
      <c r="GO298" s="27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</row>
    <row r="299" spans="1:281" s="32" customFormat="1" x14ac:dyDescent="0.2">
      <c r="A299" s="353" t="s">
        <v>45</v>
      </c>
      <c r="B299" s="413"/>
      <c r="C299" s="42" t="s">
        <v>945</v>
      </c>
      <c r="D299" s="22">
        <f t="shared" ref="D299:M299" si="198">D187/C187-1</f>
        <v>0.11918452164062621</v>
      </c>
      <c r="E299" s="22">
        <f t="shared" si="198"/>
        <v>2.7821582769062569</v>
      </c>
      <c r="F299" s="22">
        <f t="shared" si="198"/>
        <v>1.5756325621274425</v>
      </c>
      <c r="G299" s="22">
        <f t="shared" si="198"/>
        <v>1.8380962726835053</v>
      </c>
      <c r="H299" s="22">
        <f t="shared" si="198"/>
        <v>0.90963995895905203</v>
      </c>
      <c r="I299" s="22">
        <f t="shared" si="198"/>
        <v>-1.2430854896023358E-2</v>
      </c>
      <c r="J299" s="22">
        <f t="shared" si="198"/>
        <v>-1.153335394126739</v>
      </c>
      <c r="K299" s="22">
        <f t="shared" si="198"/>
        <v>-6.0007257479235552</v>
      </c>
      <c r="L299" s="22">
        <f t="shared" si="198"/>
        <v>2.7618602251104583</v>
      </c>
      <c r="M299" s="22">
        <f t="shared" si="198"/>
        <v>0.21501748911216989</v>
      </c>
      <c r="N299" s="353"/>
      <c r="O299" s="42" t="s">
        <v>945</v>
      </c>
      <c r="P299" s="42" t="s">
        <v>945</v>
      </c>
      <c r="Q299" s="42" t="s">
        <v>945</v>
      </c>
      <c r="R299" s="42" t="s">
        <v>945</v>
      </c>
      <c r="S299" s="22">
        <f>S187/M187-1</f>
        <v>0.55589894478371837</v>
      </c>
      <c r="T299" s="353"/>
      <c r="U299" s="22">
        <f>U187/O187-1</f>
        <v>0.42773688748507843</v>
      </c>
      <c r="V299" s="22">
        <f>V187/P187-1</f>
        <v>0.45651247523064753</v>
      </c>
      <c r="W299" s="22">
        <f>W187/Q187-1</f>
        <v>0.40289805038503257</v>
      </c>
      <c r="X299" s="22">
        <f>X187/R187-1</f>
        <v>0.46594192926929789</v>
      </c>
      <c r="Y299" s="22">
        <f>Y187/S187-1</f>
        <v>0.44372678102500673</v>
      </c>
      <c r="Z299" s="353"/>
      <c r="AA299" s="22">
        <f>AA187/U187-1</f>
        <v>0.29060688630753617</v>
      </c>
      <c r="AB299" s="22">
        <f>AB187/V187-1</f>
        <v>0.31290183371490099</v>
      </c>
      <c r="AC299" s="22">
        <f>AC187/W187-1</f>
        <v>0.3179719902537903</v>
      </c>
      <c r="AD299" s="22">
        <f>AD187/X187-1</f>
        <v>0.35149535342157234</v>
      </c>
      <c r="AE299" s="22">
        <f>AE187/Y187-1</f>
        <v>0.32715017720547213</v>
      </c>
      <c r="AF299" s="353"/>
      <c r="AG299" s="22">
        <f>AG187/AA187-1</f>
        <v>0.45288569655050037</v>
      </c>
      <c r="AH299" s="22">
        <f>AH187/AB187-1</f>
        <v>4.3610999688014518E-2</v>
      </c>
      <c r="AI299" s="22">
        <f>AI187/AC187-1</f>
        <v>0.11550918229300566</v>
      </c>
      <c r="AJ299" s="22">
        <f>AJ187/AD187-1</f>
        <v>0.11914585052384097</v>
      </c>
      <c r="AK299" s="22">
        <f>AK187/AE187-1</f>
        <v>0.14681000979666026</v>
      </c>
      <c r="AL299" s="353"/>
      <c r="AM299" s="22">
        <f>AM187/AG187-1</f>
        <v>0.1901777029956675</v>
      </c>
      <c r="AN299" s="22">
        <f>AN187/AH187-1</f>
        <v>0.46310670282505484</v>
      </c>
      <c r="AO299" s="22">
        <f>AO187/AI187-1</f>
        <v>0.3635209715590233</v>
      </c>
      <c r="AP299" s="22">
        <f>AP187/AJ187-1</f>
        <v>0.30931279820863877</v>
      </c>
      <c r="AQ299" s="22">
        <f>AQ187/AK187-1</f>
        <v>0.33093043962421098</v>
      </c>
      <c r="AR299" s="353"/>
      <c r="AS299" s="22">
        <f>AS187/AM187-1</f>
        <v>0.21402710755329513</v>
      </c>
      <c r="AT299" s="22">
        <f>AT187/AN187-1</f>
        <v>0.40284502417221302</v>
      </c>
      <c r="AU299" s="22">
        <f>AU187/AO187-1</f>
        <v>1.6023692125130427</v>
      </c>
      <c r="AV299" s="22">
        <f>AV187/AP187-1</f>
        <v>8.3140324598991349</v>
      </c>
      <c r="AW299" s="22">
        <f>AW187/AQ187-1</f>
        <v>3.882159482631625</v>
      </c>
      <c r="AX299" s="353"/>
      <c r="AY299" s="22">
        <f>AY187/AS187-1</f>
        <v>1.1149114521841805</v>
      </c>
      <c r="AZ299" s="22">
        <f>AZ187/AT187-1</f>
        <v>0.62033278302975603</v>
      </c>
      <c r="BA299" s="22">
        <f>BA187/AU187-1</f>
        <v>-0.23646315528790174</v>
      </c>
      <c r="BB299" s="22">
        <f>BB187/AV187-1</f>
        <v>-0.82593861318901318</v>
      </c>
      <c r="BC299" s="22">
        <f>BC187/AW187-1</f>
        <v>-0.59321534411681931</v>
      </c>
      <c r="BD299" s="353"/>
      <c r="BE299" s="22">
        <f>BE187/AY187-1</f>
        <v>1.9913877164673188E-2</v>
      </c>
      <c r="BF299" s="22">
        <f>BF187/AZ187-1</f>
        <v>-0.11802912084544337</v>
      </c>
      <c r="BG299" s="22">
        <f>BG187/BA187-1</f>
        <v>-0.12825867217874609</v>
      </c>
      <c r="BH299" s="22">
        <f>BH187/BB187-1</f>
        <v>-0.23266120243263511</v>
      </c>
      <c r="BI299" s="22">
        <f>BI187/BC187-1</f>
        <v>-0.13165948019111973</v>
      </c>
      <c r="BJ299" s="353"/>
      <c r="BK299" s="22">
        <f>BK187/BE187-1</f>
        <v>-0.32830331080864716</v>
      </c>
      <c r="BL299" s="22">
        <f>BL187/BF187-1</f>
        <v>-2.632011427907921E-2</v>
      </c>
      <c r="BM299" s="22">
        <f>BM187/BG187-1</f>
        <v>0.12407106648949306</v>
      </c>
      <c r="BN299" s="22">
        <f>BN187/BH187-1</f>
        <v>0.30829526870805868</v>
      </c>
      <c r="BO299" s="22">
        <f>BO187/BI187-1</f>
        <v>3.740435262477293E-2</v>
      </c>
      <c r="BP299" s="353"/>
      <c r="BQ299" s="22">
        <f>BQ187/BK187-1</f>
        <v>0.28279883381924198</v>
      </c>
      <c r="BR299" s="22">
        <f>BR187/BL187-1</f>
        <v>0.15327102803738324</v>
      </c>
      <c r="BS299" s="22">
        <f>BS187/BM187-1</f>
        <v>0.11033274956217154</v>
      </c>
      <c r="BT299" s="22">
        <f>BT187/BN187-1</f>
        <v>0.15330848089468763</v>
      </c>
      <c r="BU299" s="22">
        <f>BU187/BO187-1</f>
        <v>0.16191384242003992</v>
      </c>
      <c r="BV299" s="353"/>
      <c r="BW299" s="22">
        <f>BW187/BQ187-1</f>
        <v>0.20149205469327414</v>
      </c>
      <c r="BX299" s="22">
        <f>BX187/BR187-1</f>
        <v>0.34757758933060656</v>
      </c>
      <c r="BY299" s="22">
        <f>BY187/BS187-1</f>
        <v>0.30126182965299675</v>
      </c>
      <c r="BZ299" s="22">
        <f>BZ187/BT187-1</f>
        <v>0.36969696969696964</v>
      </c>
      <c r="CA299" s="22">
        <f>CA187/BU187-1</f>
        <v>0.32081755937412337</v>
      </c>
      <c r="CB299" s="353"/>
      <c r="CC299" s="22">
        <f>CC187/BW187-1</f>
        <v>0.39599152630344614</v>
      </c>
      <c r="CD299" s="22">
        <f>CD187/BX187-1</f>
        <v>0.16843312581194692</v>
      </c>
      <c r="CE299" s="22">
        <f>CE187/BY187-1</f>
        <v>0.21228995774612258</v>
      </c>
      <c r="CF299" s="22">
        <f>CF187/BZ187-1</f>
        <v>0.13381268436578186</v>
      </c>
      <c r="CG299" s="234">
        <f>CG187/CA187-1</f>
        <v>0.19936600792178805</v>
      </c>
      <c r="CH299" s="353"/>
      <c r="CI299" s="22">
        <f>CI187/CC187-1</f>
        <v>0.2615176151761518</v>
      </c>
      <c r="CJ299" s="22">
        <f>CJ187/CD187-1</f>
        <v>0.19969119917653111</v>
      </c>
      <c r="CK299" s="22">
        <f>CK187/CE187-1</f>
        <v>0.30081890631312591</v>
      </c>
      <c r="CL299" s="22">
        <f>CL187/CF187-1</f>
        <v>0.24199160948323506</v>
      </c>
      <c r="CM299" s="234">
        <f>CM187/CG187-1</f>
        <v>0.24956169535618589</v>
      </c>
      <c r="CN299" s="353"/>
      <c r="CO299" s="22">
        <f>CO187/CI187-1</f>
        <v>0.25134264232008596</v>
      </c>
      <c r="CP299" s="22">
        <f>CP187/CJ187-1</f>
        <v>0.38395538395538398</v>
      </c>
      <c r="CQ299" s="22">
        <f>CQ187/CK187-1</f>
        <v>0.2190622598001537</v>
      </c>
      <c r="CR299" s="22">
        <f>CR187/CL187-1</f>
        <v>0.27467923540193762</v>
      </c>
      <c r="CS299" s="234">
        <f>CS187/CM187-1</f>
        <v>0.28094968908988127</v>
      </c>
      <c r="CT299" s="353"/>
      <c r="CU299" s="22">
        <f>CU187/CO187-1</f>
        <v>0.32532188841201726</v>
      </c>
      <c r="CV299" s="22">
        <f>CV187/CP187-1</f>
        <v>8.2455052696838171E-2</v>
      </c>
      <c r="CW299" s="22">
        <f>CW187/CQ187-1</f>
        <v>0.1223203026481714</v>
      </c>
      <c r="CX299" s="22">
        <f>CX187/CR187-1</f>
        <v>-4.5603944124897322E-2</v>
      </c>
      <c r="CY299" s="234">
        <f>CY187/CS187-1</f>
        <v>8.7525742865548706E-2</v>
      </c>
      <c r="CZ299" s="353"/>
      <c r="DA299" s="22">
        <f>DA187/CU187-1</f>
        <v>-2.5906735751295429E-3</v>
      </c>
      <c r="DB299" s="22">
        <f>DB187/CV187-1</f>
        <v>0.12313860252004583</v>
      </c>
      <c r="DC299" s="22">
        <f>DC187/CW187-1</f>
        <v>9.2921348314606522E-2</v>
      </c>
      <c r="DD299" s="22">
        <f>DD187/CX187-1</f>
        <v>0.31196728368489013</v>
      </c>
      <c r="DE299" s="234">
        <f>DE187/CY187-1</f>
        <v>0.14893818476937626</v>
      </c>
      <c r="DF299" s="353"/>
      <c r="DG299" s="22">
        <f>DG187/DA187-1</f>
        <v>0.3824675324675324</v>
      </c>
      <c r="DH299" s="22">
        <f>DH187/DB187-1</f>
        <v>0.36511983681795002</v>
      </c>
      <c r="DI299" s="22">
        <f>DI187/DC187-1</f>
        <v>0.42027346561118573</v>
      </c>
      <c r="DJ299" s="22">
        <f>DJ187/DD187-1</f>
        <v>0.27046625324014828</v>
      </c>
      <c r="DK299" s="394">
        <f>DK187/DE187-1</f>
        <v>0.34693493130525921</v>
      </c>
      <c r="DL299" s="353"/>
      <c r="DM299" s="22">
        <f>DM187/DG187-1</f>
        <v>0.15782057303898545</v>
      </c>
      <c r="DN299" s="22">
        <f>DN187/DH187-1</f>
        <v>3.9970115801269968E-2</v>
      </c>
      <c r="DO299" s="22">
        <f>DO187/DI187-1</f>
        <v>0.13222555193630114</v>
      </c>
      <c r="DP299" s="22">
        <f>DP187/DJ187-1</f>
        <v>7.003091425619834E-2</v>
      </c>
      <c r="DQ299" s="394">
        <f>DQ187/DK187-1</f>
        <v>9.4353544270605827E-2</v>
      </c>
      <c r="DR299" s="353"/>
      <c r="DS299" s="22">
        <f>DS187/DM187-1</f>
        <v>6.0446247464503111E-2</v>
      </c>
      <c r="DT299" s="22">
        <f>DT187/DN187-1</f>
        <v>0.12140804597701149</v>
      </c>
      <c r="DU299" s="22">
        <f>DU187/DO187-1</f>
        <v>-6.5015967577941591E-3</v>
      </c>
      <c r="DV299" s="22">
        <f>DV187/DP187-1</f>
        <v>-7.0380342809378549E-3</v>
      </c>
      <c r="DW299" s="394">
        <f>DW187/DQ187-1</f>
        <v>3.4942784907716407E-2</v>
      </c>
      <c r="DX299" s="353"/>
      <c r="DY299" s="22">
        <f>DY187/DS187-1</f>
        <v>5.6235654169854543E-2</v>
      </c>
      <c r="DZ299" s="22">
        <f>DZ187/DT187-1</f>
        <v>1.05701473414479E-2</v>
      </c>
      <c r="EA299" s="22">
        <f>EA187/DU187-1</f>
        <v>1.608751608751513E-3</v>
      </c>
      <c r="EB299" s="22">
        <f>EB187/DV187-1</f>
        <v>1.7258142926592113E-2</v>
      </c>
      <c r="EC299" s="394">
        <f>EC187/DW187-1</f>
        <v>1.975613520605024E-2</v>
      </c>
      <c r="ED299" s="353"/>
      <c r="EE299" s="22">
        <f>EE187/DY187-1</f>
        <v>1.6298442593263296E-2</v>
      </c>
      <c r="EF299" s="22">
        <f>EF187/DZ187-1</f>
        <v>-1.2044374009508751E-2</v>
      </c>
      <c r="EG299" s="22">
        <f>EG187/EA187-1</f>
        <v>-1.3491808544812134E-2</v>
      </c>
      <c r="EH299" s="22">
        <f>EH187/EB187-1</f>
        <v>-0.16463560334528071</v>
      </c>
      <c r="EI299" s="394">
        <f>EI187/EC187-1</f>
        <v>-5.4790373845921003E-2</v>
      </c>
      <c r="EJ299" s="353"/>
      <c r="EK299" s="22">
        <f>EK187/EE187-1</f>
        <v>-0.1635780470420527</v>
      </c>
      <c r="EL299" s="22">
        <f>EL187/EF187-1</f>
        <v>-0.12255373756817456</v>
      </c>
      <c r="EM299" s="22">
        <f>EM187/EG187-1</f>
        <v>-0.11071312276131551</v>
      </c>
      <c r="EN299" s="22">
        <f>EN187/EH187-1</f>
        <v>-2.0594965675057253E-2</v>
      </c>
      <c r="EO299" s="394">
        <f>EO187/EI187-1</f>
        <v>-0.10032025620496399</v>
      </c>
      <c r="EP299" s="353"/>
      <c r="EQ299" s="22">
        <f>EQ187/EK187-1</f>
        <v>-5.112910097997414E-3</v>
      </c>
      <c r="ER299" s="22">
        <f>ER187/EL187-1</f>
        <v>-5.8946983546618315E-2</v>
      </c>
      <c r="ES299" s="22">
        <f>ES187/EM187-1</f>
        <v>5.7488099597217124E-2</v>
      </c>
      <c r="ET299" s="22">
        <f>ET187/EN187-1</f>
        <v>9.8422897196261738E-2</v>
      </c>
      <c r="EU299" s="394">
        <f>EU187/EO187-1</f>
        <v>2.8546765150840869E-2</v>
      </c>
      <c r="EV299" s="353"/>
      <c r="EW299" s="22">
        <f>EW187/EQ187-1</f>
        <v>0.1396145610278372</v>
      </c>
      <c r="EX299" s="22">
        <f>EX187/ER187-1</f>
        <v>0.16171545353526762</v>
      </c>
      <c r="EY299" s="22">
        <f>EY187/ES187-1</f>
        <v>0.21398891966758993</v>
      </c>
      <c r="EZ299" s="22">
        <f>EZ187/ET187-1</f>
        <v>3.6564991115797918E-2</v>
      </c>
      <c r="FA299" s="394">
        <f>FA187/EU187-1</f>
        <v>0.1295872504569664</v>
      </c>
      <c r="FB299" s="353"/>
      <c r="FC299" s="22">
        <f>FC187/EW187-1</f>
        <v>0.11569552569765884</v>
      </c>
      <c r="FD299" s="22">
        <f>FD187/EX187-1</f>
        <v>0.10674286925200138</v>
      </c>
      <c r="FE299" s="22">
        <f>FE187/EY187-1</f>
        <v>-3.8261989221550996E-2</v>
      </c>
      <c r="FF299" s="22">
        <f>FF187/EZ187-1</f>
        <v>4.3367552750070537E-2</v>
      </c>
      <c r="FG299" s="394">
        <f>FG187/FA187-1</f>
        <v>5.0702668576058763E-2</v>
      </c>
      <c r="FH299" s="353"/>
      <c r="FI299" s="22">
        <f>FI187/FC187-1</f>
        <v>8.1108281561844686E-2</v>
      </c>
      <c r="FJ299" s="22">
        <f>FJ187/FD187-1</f>
        <v>6.95830682635874E-2</v>
      </c>
      <c r="FK299" s="22">
        <f>FK187/FE187-1</f>
        <v>6.106588970498894E-2</v>
      </c>
      <c r="FL299" s="22">
        <f>FL187/FF187-1</f>
        <v>2.6039196602373416E-2</v>
      </c>
      <c r="FM299" s="394">
        <f>FM187/FG187-1</f>
        <v>5.7071979446311261E-2</v>
      </c>
      <c r="GI299"/>
      <c r="GJ299"/>
      <c r="GK299"/>
      <c r="GL299"/>
      <c r="GM299"/>
      <c r="GN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</row>
    <row r="300" spans="1:281" s="24" customFormat="1" x14ac:dyDescent="0.2">
      <c r="A300" s="342" t="s">
        <v>180</v>
      </c>
      <c r="B300" s="413"/>
      <c r="C300" s="94" t="s">
        <v>945</v>
      </c>
      <c r="D300" s="94" t="s">
        <v>945</v>
      </c>
      <c r="E300" s="94" t="s">
        <v>945</v>
      </c>
      <c r="F300" s="94" t="s">
        <v>945</v>
      </c>
      <c r="G300" s="94" t="s">
        <v>945</v>
      </c>
      <c r="H300" s="43">
        <f>H189/G189-1</f>
        <v>1</v>
      </c>
      <c r="I300" s="43">
        <f>I189/H189-1</f>
        <v>0</v>
      </c>
      <c r="J300" s="94" t="s">
        <v>945</v>
      </c>
      <c r="K300" s="94" t="s">
        <v>945</v>
      </c>
      <c r="L300" s="43">
        <f>L189/K189-1</f>
        <v>3</v>
      </c>
      <c r="M300" s="43">
        <f>M189/L189-1</f>
        <v>0.25</v>
      </c>
      <c r="N300" s="342"/>
      <c r="O300" s="94" t="s">
        <v>945</v>
      </c>
      <c r="P300" s="94" t="s">
        <v>945</v>
      </c>
      <c r="Q300" s="94" t="s">
        <v>945</v>
      </c>
      <c r="R300" s="94" t="s">
        <v>945</v>
      </c>
      <c r="S300" s="43">
        <f>S189/M189-1</f>
        <v>0.59999999999999987</v>
      </c>
      <c r="T300" s="342"/>
      <c r="U300" s="43">
        <f>U189/O189-1</f>
        <v>0</v>
      </c>
      <c r="V300" s="43">
        <f>V189/P189-1</f>
        <v>0</v>
      </c>
      <c r="W300" s="43">
        <f>W189/Q189-1</f>
        <v>0</v>
      </c>
      <c r="X300" s="43">
        <f>X189/R189-1</f>
        <v>0.33333333333333348</v>
      </c>
      <c r="Y300" s="43">
        <f>Y189/S189-1</f>
        <v>0.125</v>
      </c>
      <c r="Z300" s="342"/>
      <c r="AA300" s="43">
        <f>AA189/U189-1</f>
        <v>1</v>
      </c>
      <c r="AB300" s="43">
        <f>AB189/V189-1</f>
        <v>0.5</v>
      </c>
      <c r="AC300" s="43">
        <f>AC189/W189-1</f>
        <v>0.5</v>
      </c>
      <c r="AD300" s="43">
        <f>AD189/X189-1</f>
        <v>0.5</v>
      </c>
      <c r="AE300" s="43">
        <f>AE189/Y189-1</f>
        <v>0.5555555555555558</v>
      </c>
      <c r="AF300" s="342"/>
      <c r="AG300" s="43">
        <f>AG189/AA189-1</f>
        <v>0.5</v>
      </c>
      <c r="AH300" s="43">
        <f>AH189/AB189-1</f>
        <v>0</v>
      </c>
      <c r="AI300" s="43">
        <f>AI189/AC189-1</f>
        <v>0.33333333333333348</v>
      </c>
      <c r="AJ300" s="43">
        <f>AJ189/AD189-1</f>
        <v>0.16666666666666674</v>
      </c>
      <c r="AK300" s="43">
        <f>AK189/AE189-1</f>
        <v>0.21428571428571419</v>
      </c>
      <c r="AL300" s="342"/>
      <c r="AM300" s="43">
        <f>AM189/AG189-1</f>
        <v>0</v>
      </c>
      <c r="AN300" s="43">
        <f>AN189/AH189-1</f>
        <v>0.66666666666666674</v>
      </c>
      <c r="AO300" s="43">
        <f>AO189/AI189-1</f>
        <v>0.25</v>
      </c>
      <c r="AP300" s="43">
        <f>AP189/AJ189-1</f>
        <v>0.28571428571428559</v>
      </c>
      <c r="AQ300" s="43">
        <f>AQ189/AK189-1</f>
        <v>0.29411764705882337</v>
      </c>
      <c r="AR300" s="342"/>
      <c r="AS300" s="43">
        <f>AS189/AM189-1</f>
        <v>0.33333333333333348</v>
      </c>
      <c r="AT300" s="43">
        <f>AT189/AN189-1</f>
        <v>0.19999999999999996</v>
      </c>
      <c r="AU300" s="43">
        <f>AU189/AO189-1</f>
        <v>1.6</v>
      </c>
      <c r="AV300" s="43">
        <f>AV189/AP189-1</f>
        <v>8.1111111111111107</v>
      </c>
      <c r="AW300" s="43">
        <f>AW189/AQ189-1</f>
        <v>3.7727272727272725</v>
      </c>
      <c r="AX300" s="342"/>
      <c r="AY300" s="43">
        <f>AY189/AS189-1</f>
        <v>1</v>
      </c>
      <c r="AZ300" s="43">
        <f>AZ189/AT189-1</f>
        <v>0.83333333333333348</v>
      </c>
      <c r="BA300" s="43">
        <f>BA189/AU189-1</f>
        <v>-0.23076923076923073</v>
      </c>
      <c r="BB300" s="43">
        <f>BB189/AV189-1</f>
        <v>-0.81707317073170738</v>
      </c>
      <c r="BC300" s="43">
        <f>BC189/AW189-1</f>
        <v>-0.58095238095238089</v>
      </c>
      <c r="BD300" s="342"/>
      <c r="BE300" s="43">
        <f>BE189/AY189-1</f>
        <v>0.125</v>
      </c>
      <c r="BF300" s="43">
        <f>BF189/AZ189-1</f>
        <v>-9.0909090909090828E-2</v>
      </c>
      <c r="BG300" s="43">
        <f>BG189/BA189-1</f>
        <v>-0.10000000000000009</v>
      </c>
      <c r="BH300" s="43">
        <f>BH189/BB189-1</f>
        <v>-0.19999999999999996</v>
      </c>
      <c r="BI300" s="43">
        <f>BI189/BC189-1</f>
        <v>-9.0909090909090939E-2</v>
      </c>
      <c r="BJ300" s="342"/>
      <c r="BK300" s="43">
        <f>BK189/BE189-1</f>
        <v>-0.33333333333333337</v>
      </c>
      <c r="BL300" s="43">
        <f>BL189/BF189-1</f>
        <v>0</v>
      </c>
      <c r="BM300" s="43">
        <f>BM189/BG189-1</f>
        <v>0.22222222222222232</v>
      </c>
      <c r="BN300" s="43">
        <f>BN189/BH189-1</f>
        <v>0.33333333333333348</v>
      </c>
      <c r="BO300" s="43">
        <f>BO189/BI189-1</f>
        <v>7.4999999999999956E-2</v>
      </c>
      <c r="BP300" s="342"/>
      <c r="BQ300" s="43">
        <f>BQ189/BK189-1</f>
        <v>0.37150000000000016</v>
      </c>
      <c r="BR300" s="43">
        <f>BR189/BL189-1</f>
        <v>0.15609999999999991</v>
      </c>
      <c r="BS300" s="43">
        <f>BS189/BM189-1</f>
        <v>7.990909090909093E-2</v>
      </c>
      <c r="BT300" s="43">
        <f>BT189/BN189-1</f>
        <v>0.17118750000000005</v>
      </c>
      <c r="BU300" s="43">
        <f>BU189/BO189-1</f>
        <v>0.1706511627906977</v>
      </c>
      <c r="BV300" s="342"/>
      <c r="BW300" s="43">
        <f>BW189/BQ189-1</f>
        <v>0.22578685137926846</v>
      </c>
      <c r="BX300" s="43">
        <f>BX189/BR189-1</f>
        <v>0.37825447625637931</v>
      </c>
      <c r="BY300" s="43">
        <f>BY189/BS189-1</f>
        <v>0.32788955299267597</v>
      </c>
      <c r="BZ300" s="43">
        <f>BZ189/BT189-1</f>
        <v>0.38257110838358499</v>
      </c>
      <c r="CA300" s="43">
        <f>CA189/BU189-1</f>
        <v>0.3448686876713416</v>
      </c>
      <c r="CB300" s="342"/>
      <c r="CC300" s="43">
        <f>CC189/BW189-1</f>
        <v>0.39516208981857837</v>
      </c>
      <c r="CD300" s="43">
        <f>CD189/BX189-1</f>
        <v>0.16398895443705275</v>
      </c>
      <c r="CE300" s="43">
        <f>CE189/BY189-1</f>
        <v>0.19538481044757194</v>
      </c>
      <c r="CF300" s="43">
        <f>CF189/BZ189-1</f>
        <v>0.10444650301065317</v>
      </c>
      <c r="CG300" s="395">
        <f>CG189/CA189-1</f>
        <v>0.18598776921031646</v>
      </c>
      <c r="CH300" s="342"/>
      <c r="CI300" s="43">
        <f>CI189/CC189-1</f>
        <v>0.24657144887372984</v>
      </c>
      <c r="CJ300" s="43">
        <f>CJ189/CD189-1</f>
        <v>0.18498948617027011</v>
      </c>
      <c r="CK300" s="43">
        <f>CK189/CE189-1</f>
        <v>0.31120067882901981</v>
      </c>
      <c r="CL300" s="43">
        <f>CL189/CF189-1</f>
        <v>0.27741664919270281</v>
      </c>
      <c r="CM300" s="395">
        <f>CM189/CG189-1</f>
        <v>0.25329746291521871</v>
      </c>
      <c r="CN300" s="342"/>
      <c r="CO300" s="43">
        <f>CO189/CI189-1</f>
        <v>0.27218833722852409</v>
      </c>
      <c r="CP300" s="43">
        <f>CP189/CJ189-1</f>
        <v>0.4024934024934026</v>
      </c>
      <c r="CQ300" s="43">
        <f>CQ189/CK189-1</f>
        <v>0.23669309173272923</v>
      </c>
      <c r="CR300" s="43">
        <f>CR189/CL189-1</f>
        <v>0.27251586780477122</v>
      </c>
      <c r="CS300" s="395">
        <f>CS189/CM189-1</f>
        <v>0.2946355812613044</v>
      </c>
      <c r="CT300" s="342"/>
      <c r="CU300" s="43">
        <f>CU189/CO189-1</f>
        <v>0.32153418765122321</v>
      </c>
      <c r="CV300" s="43">
        <f>CV189/CP189-1</f>
        <v>9.2038671165325825E-2</v>
      </c>
      <c r="CW300" s="43">
        <f>CW189/CQ189-1</f>
        <v>0.15142595499738354</v>
      </c>
      <c r="CX300" s="43">
        <f>CX189/CR189-1</f>
        <v>-9.6532152301507246E-3</v>
      </c>
      <c r="CY300" s="395">
        <f>CY189/CS189-1</f>
        <v>0.10617621321215287</v>
      </c>
      <c r="CZ300" s="342"/>
      <c r="DA300" s="43">
        <f>DA189/CU189-1</f>
        <v>3.1294500576388495E-2</v>
      </c>
      <c r="DB300" s="43">
        <f>DB189/CV189-1</f>
        <v>0.15041145539348189</v>
      </c>
      <c r="DC300" s="43">
        <f>DC189/CW189-1</f>
        <v>8.8592853490882195E-2</v>
      </c>
      <c r="DD300" s="43">
        <f>DD189/CX189-1</f>
        <v>0.2998436957276831</v>
      </c>
      <c r="DE300" s="395">
        <f>DE189/CY189-1</f>
        <v>0.16184614103507133</v>
      </c>
      <c r="DF300" s="342"/>
      <c r="DG300" s="43">
        <f>DG189/DA189-1</f>
        <v>0.37702600519446361</v>
      </c>
      <c r="DH300" s="43">
        <f>DH189/DB189-1</f>
        <v>0.35099679785146165</v>
      </c>
      <c r="DI300" s="43">
        <f>DI189/DC189-1</f>
        <v>0.40015655577299425</v>
      </c>
      <c r="DJ300" s="43">
        <f>DJ189/DD189-1</f>
        <v>0.25227136081234547</v>
      </c>
      <c r="DK300" s="395">
        <f>DK189/DE189-1</f>
        <v>0.33249317621200625</v>
      </c>
      <c r="DL300" s="342"/>
      <c r="DM300" s="43">
        <f>DM189/DG189-1</f>
        <v>0.14274800047749792</v>
      </c>
      <c r="DN300" s="43">
        <f>DN189/DH189-1</f>
        <v>3.8745316920253847E-2</v>
      </c>
      <c r="DO300" s="43">
        <f>DO189/DI189-1</f>
        <v>0.14759322412925568</v>
      </c>
      <c r="DP300" s="43">
        <f>DP189/DJ189-1</f>
        <v>9.9185126898814424E-2</v>
      </c>
      <c r="DQ300" s="395">
        <f>DQ189/DK189-1</f>
        <v>0.10149351406108509</v>
      </c>
      <c r="DR300" s="342"/>
      <c r="DS300" s="43">
        <f>DS189/DM189-1</f>
        <v>0.10575798094601363</v>
      </c>
      <c r="DT300" s="43">
        <f>DT189/DN189-1</f>
        <v>0.18015199749737776</v>
      </c>
      <c r="DU300" s="43">
        <f>DU189/DO189-1</f>
        <v>4.8846235040028496E-2</v>
      </c>
      <c r="DV300" s="43">
        <f>DV189/DP189-1</f>
        <v>4.9540148996578326E-2</v>
      </c>
      <c r="DW300" s="395">
        <f>DW189/DQ189-1</f>
        <v>8.8625829633638631E-2</v>
      </c>
      <c r="DX300" s="342"/>
      <c r="DY300" s="43">
        <f>DY189/DS189-1</f>
        <v>0.11610550580055179</v>
      </c>
      <c r="DZ300" s="43">
        <f>DZ189/DT189-1</f>
        <v>6.9449425412813959E-2</v>
      </c>
      <c r="EA300" s="43">
        <f>EA189/DU189-1</f>
        <v>5.3492080694855337E-2</v>
      </c>
      <c r="EB300" s="43">
        <f>EB189/DV189-1</f>
        <v>5.8901053167015549E-2</v>
      </c>
      <c r="EC300" s="395">
        <f>EC189/DW189-1</f>
        <v>7.2742224880382844E-2</v>
      </c>
      <c r="ED300" s="342"/>
      <c r="EE300" s="43">
        <f>EE189/DY189-1</f>
        <v>4.4454977907941506E-2</v>
      </c>
      <c r="EF300" s="43">
        <f>EF189/DZ189-1</f>
        <v>8.7917535393005064E-3</v>
      </c>
      <c r="EG300" s="43">
        <f>EG189/EA189-1</f>
        <v>4.291340897066398E-3</v>
      </c>
      <c r="EH300" s="43">
        <f>EH189/EB189-1</f>
        <v>-0.1447988995152627</v>
      </c>
      <c r="EI300" s="395">
        <f>EI189/EC189-1</f>
        <v>-3.33786326573281E-2</v>
      </c>
      <c r="EJ300" s="342"/>
      <c r="EK300" s="43">
        <f>EK189/EE189-1</f>
        <v>-0.13778627810104227</v>
      </c>
      <c r="EL300" s="43">
        <f>EL189/EF189-1</f>
        <v>-8.413065471889003E-2</v>
      </c>
      <c r="EM300" s="43">
        <f>EM189/EG189-1</f>
        <v>-6.099274174666347E-2</v>
      </c>
      <c r="EN300" s="43">
        <f>EN189/EH189-1</f>
        <v>3.1404388954846763E-2</v>
      </c>
      <c r="EO300" s="395">
        <f>EO189/EI189-1</f>
        <v>-5.9152634633617196E-2</v>
      </c>
      <c r="EP300" s="342"/>
      <c r="EQ300" s="43">
        <f>EQ189/EK189-1</f>
        <v>3.9909015715467344E-2</v>
      </c>
      <c r="ER300" s="43">
        <f>ER189/EL189-1</f>
        <v>-3.1797882245261921E-2</v>
      </c>
      <c r="ES300" s="43">
        <f>ES189/EM189-1</f>
        <v>7.0564767485350899E-2</v>
      </c>
      <c r="ET300" s="43">
        <f>ET189/EN189-1</f>
        <v>9.5837510675429893E-2</v>
      </c>
      <c r="EU300" s="395">
        <f>EU189/EO189-1</f>
        <v>5.0131804806277547E-2</v>
      </c>
      <c r="EV300" s="342"/>
      <c r="EW300" s="43">
        <f>EW189/EQ189-1</f>
        <v>0.12285109998373067</v>
      </c>
      <c r="EX300" s="43">
        <f>EX189/ER189-1</f>
        <v>0.13783942367245827</v>
      </c>
      <c r="EY300" s="43">
        <f>EY189/ES189-1</f>
        <v>0.20482997554442761</v>
      </c>
      <c r="EZ300" s="43">
        <f>EZ189/ET189-1</f>
        <v>4.9957079606036014E-2</v>
      </c>
      <c r="FA300" s="395">
        <f>FA189/EU189-1</f>
        <v>0.12102847385396753</v>
      </c>
      <c r="FB300" s="342"/>
      <c r="FC300" s="43">
        <f>FC189/EW189-1</f>
        <v>0.15237865249939619</v>
      </c>
      <c r="FD300" s="43">
        <f>FD189/EX189-1</f>
        <v>0.15162366962226592</v>
      </c>
      <c r="FE300" s="43">
        <f>FE189/EY189-1</f>
        <v>-2.8151316345886856E-3</v>
      </c>
      <c r="FF300" s="43">
        <f>FF189/EZ189-1</f>
        <v>7.892726901106939E-2</v>
      </c>
      <c r="FG300" s="395">
        <f>FG189/FA189-1</f>
        <v>8.8629018346802368E-2</v>
      </c>
      <c r="FH300" s="342"/>
      <c r="FI300" s="43">
        <f>FI189/FC189-1</f>
        <v>0.1134255378597373</v>
      </c>
      <c r="FJ300" s="43">
        <f>FJ189/FD189-1</f>
        <v>0.10053982785213189</v>
      </c>
      <c r="FK300" s="43">
        <f>FK189/FE189-1</f>
        <v>9.0774711028182242E-2</v>
      </c>
      <c r="FL300" s="43">
        <f>FL189/FF189-1</f>
        <v>5.3770838318577097E-2</v>
      </c>
      <c r="FM300" s="395">
        <f>FM189/FG189-1</f>
        <v>8.7168662811903941E-2</v>
      </c>
      <c r="FN300" s="27"/>
      <c r="FO300" s="27"/>
      <c r="FP300" s="27"/>
      <c r="FQ300" s="27"/>
      <c r="FR300" s="27"/>
      <c r="FS300" s="27"/>
      <c r="FT300" s="27"/>
      <c r="FU300" s="27"/>
      <c r="FV300" s="27"/>
      <c r="FW300" s="27"/>
      <c r="FX300" s="27"/>
      <c r="FY300" s="27"/>
      <c r="FZ300" s="27"/>
      <c r="GA300" s="27"/>
      <c r="GB300" s="27"/>
      <c r="GC300" s="27"/>
      <c r="GD300" s="27"/>
      <c r="GE300" s="27"/>
      <c r="GF300" s="27"/>
      <c r="GH300" s="27"/>
      <c r="GI300"/>
      <c r="GJ300"/>
      <c r="GK300"/>
      <c r="GL300"/>
      <c r="GM300"/>
      <c r="GN300"/>
      <c r="GO300" s="27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</row>
    <row r="301" spans="1:281" s="28" customFormat="1" ht="5.25" customHeight="1" x14ac:dyDescent="0.2">
      <c r="A301" s="18"/>
      <c r="B301" s="414"/>
      <c r="CG301" s="416"/>
      <c r="CM301" s="416"/>
      <c r="CS301" s="416"/>
      <c r="CY301" s="416"/>
      <c r="DE301" s="416"/>
      <c r="DK301" s="975"/>
      <c r="DQ301" s="975"/>
      <c r="DW301" s="975"/>
      <c r="EC301" s="975"/>
      <c r="EI301" s="975"/>
      <c r="EO301" s="975"/>
      <c r="EU301" s="975"/>
      <c r="FA301" s="975"/>
      <c r="FG301" s="975"/>
      <c r="FM301" s="975"/>
      <c r="GI301"/>
      <c r="GJ301"/>
      <c r="GK301"/>
      <c r="GL301"/>
      <c r="GM301"/>
      <c r="GN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</row>
    <row r="302" spans="1:281" s="1221" customFormat="1" hidden="1" outlineLevel="1" x14ac:dyDescent="0.2">
      <c r="A302" s="1221" t="s">
        <v>442</v>
      </c>
      <c r="B302" s="1373"/>
      <c r="CG302" s="1374"/>
      <c r="CM302" s="1374"/>
      <c r="CS302" s="1374"/>
      <c r="CY302" s="1374"/>
      <c r="DE302" s="1374"/>
      <c r="DK302" s="1374"/>
      <c r="DQ302" s="1374"/>
      <c r="DW302" s="1374"/>
      <c r="EC302" s="1374"/>
      <c r="EI302" s="1374"/>
      <c r="EO302" s="1374"/>
      <c r="EU302" s="1374"/>
      <c r="FA302" s="1374"/>
      <c r="FG302" s="1374"/>
      <c r="FM302" s="1374"/>
      <c r="GI302"/>
      <c r="GJ302"/>
      <c r="GK302"/>
      <c r="GL302"/>
      <c r="GM302"/>
      <c r="GN302"/>
      <c r="GP302" s="1364"/>
      <c r="GQ302" s="1364"/>
      <c r="GR302" s="1364"/>
      <c r="GS302" s="1364"/>
      <c r="GT302" s="1364"/>
      <c r="GU302" s="1364"/>
      <c r="GV302" s="1364"/>
      <c r="GW302" s="1364"/>
      <c r="GX302" s="1364"/>
      <c r="GY302" s="1364"/>
      <c r="GZ302" s="1364"/>
      <c r="HA302" s="1364"/>
      <c r="HB302" s="1364"/>
      <c r="HC302" s="1364"/>
      <c r="HD302" s="1364"/>
      <c r="HE302" s="1364"/>
      <c r="HF302" s="1364"/>
      <c r="HG302" s="1364"/>
      <c r="HH302" s="1364"/>
      <c r="HI302" s="1364"/>
      <c r="HJ302" s="1364"/>
      <c r="HK302" s="1364"/>
      <c r="HL302" s="1364"/>
      <c r="HM302" s="1364"/>
      <c r="HN302" s="1364"/>
      <c r="HO302" s="1364"/>
      <c r="HP302" s="1364"/>
      <c r="HQ302" s="1364"/>
      <c r="HR302" s="1364"/>
      <c r="HS302" s="1364"/>
      <c r="HT302" s="1364"/>
      <c r="HU302" s="1364"/>
      <c r="HV302" s="1364"/>
      <c r="HW302" s="1364"/>
      <c r="HX302" s="1364"/>
      <c r="HY302" s="1364"/>
      <c r="HZ302" s="1364"/>
      <c r="IA302" s="1364"/>
      <c r="IB302" s="1364"/>
      <c r="IC302" s="1364"/>
      <c r="ID302" s="1364"/>
      <c r="IE302" s="1364"/>
      <c r="IF302" s="1364"/>
      <c r="IG302" s="1364"/>
      <c r="IH302" s="1364"/>
      <c r="II302" s="1364"/>
      <c r="IJ302" s="1364"/>
      <c r="IK302" s="1364"/>
      <c r="IL302" s="1364"/>
      <c r="IM302" s="1364"/>
      <c r="IN302" s="1364"/>
      <c r="IO302" s="1364"/>
      <c r="IP302" s="1364"/>
      <c r="IQ302" s="1364"/>
      <c r="IR302" s="1364"/>
      <c r="IS302" s="1364"/>
      <c r="IT302" s="1364"/>
      <c r="IU302" s="1364"/>
      <c r="IV302" s="1364"/>
      <c r="IW302" s="1364"/>
      <c r="IX302" s="1364"/>
      <c r="IY302" s="1364"/>
      <c r="IZ302" s="1364"/>
      <c r="JA302" s="1364"/>
      <c r="JB302" s="1364"/>
      <c r="JC302" s="1364"/>
      <c r="JD302" s="1364"/>
      <c r="JE302" s="1364"/>
      <c r="JF302" s="1364"/>
      <c r="JG302" s="1364"/>
      <c r="JH302" s="1364"/>
      <c r="JI302" s="1364"/>
      <c r="JJ302" s="1364"/>
      <c r="JK302" s="1364"/>
      <c r="JL302" s="1364"/>
      <c r="JM302" s="1364"/>
      <c r="JN302" s="1364"/>
      <c r="JO302" s="1364"/>
      <c r="JP302" s="1364"/>
      <c r="JQ302" s="1364"/>
      <c r="JR302" s="1364"/>
      <c r="JS302" s="1364"/>
      <c r="JT302" s="1364"/>
      <c r="JU302" s="1364"/>
    </row>
    <row r="303" spans="1:281" s="24" customFormat="1" hidden="1" outlineLevel="1" x14ac:dyDescent="0.2">
      <c r="A303" s="353" t="s">
        <v>645</v>
      </c>
      <c r="B303" s="413"/>
      <c r="C303" s="42" t="s">
        <v>945</v>
      </c>
      <c r="D303" s="42" t="s">
        <v>945</v>
      </c>
      <c r="E303" s="42" t="s">
        <v>945</v>
      </c>
      <c r="F303" s="42" t="s">
        <v>945</v>
      </c>
      <c r="G303" s="42" t="s">
        <v>945</v>
      </c>
      <c r="H303" s="42" t="s">
        <v>945</v>
      </c>
      <c r="I303" s="42" t="s">
        <v>945</v>
      </c>
      <c r="J303" s="42" t="s">
        <v>945</v>
      </c>
      <c r="K303" s="42" t="s">
        <v>945</v>
      </c>
      <c r="L303" s="42" t="s">
        <v>945</v>
      </c>
      <c r="M303" s="42" t="s">
        <v>945</v>
      </c>
      <c r="N303" s="342"/>
      <c r="O303" s="42" t="s">
        <v>945</v>
      </c>
      <c r="P303" s="43">
        <f>P14/O14-1</f>
        <v>0.22500000000000009</v>
      </c>
      <c r="Q303" s="43">
        <f>Q14/P14-1</f>
        <v>9.3294460641399457E-2</v>
      </c>
      <c r="R303" s="43">
        <f>R14/Q14-1</f>
        <v>0.62133333333333329</v>
      </c>
      <c r="S303" s="42" t="s">
        <v>945</v>
      </c>
      <c r="T303" s="342"/>
      <c r="U303" s="43">
        <f>U14/R14-1</f>
        <v>-0.42434210526315785</v>
      </c>
      <c r="V303" s="43">
        <f>V14/U14-1</f>
        <v>0.38597142857142841</v>
      </c>
      <c r="W303" s="43">
        <f>W14/V14-1</f>
        <v>6.165866127935038E-2</v>
      </c>
      <c r="X303" s="43">
        <f>X14/W14-1</f>
        <v>0.71456310679611645</v>
      </c>
      <c r="Y303" s="42" t="s">
        <v>945</v>
      </c>
      <c r="Z303" s="342"/>
      <c r="AA303" s="43">
        <f>AA14/X14-1</f>
        <v>-0.49680973952434881</v>
      </c>
      <c r="AB303" s="43">
        <f>AB14/AA14-1</f>
        <v>0.36489713425324721</v>
      </c>
      <c r="AC303" s="43">
        <f>AC14/AB14-1</f>
        <v>9.5325725083972523E-2</v>
      </c>
      <c r="AD303" s="43">
        <f>AD14/AC14-1</f>
        <v>0.66716948410028065</v>
      </c>
      <c r="AE303" s="42" t="s">
        <v>945</v>
      </c>
      <c r="AF303" s="342"/>
      <c r="AG303" s="43">
        <f>AG14/AD14-1</f>
        <v>-0.54364929941332596</v>
      </c>
      <c r="AH303" s="43">
        <f>AH14/AG14-1</f>
        <v>0.22912049642246579</v>
      </c>
      <c r="AI303" s="43">
        <f>AI14/AH14-1</f>
        <v>0.21254314452772838</v>
      </c>
      <c r="AJ303" s="43">
        <f>AJ14/AI14-1</f>
        <v>0.60559511307194813</v>
      </c>
      <c r="AK303" s="42" t="s">
        <v>945</v>
      </c>
      <c r="AL303" s="342"/>
      <c r="AM303" s="43">
        <f>AM14/AJ14-1</f>
        <v>-0.53890482526173722</v>
      </c>
      <c r="AN303" s="43">
        <f>AN14/AM14-1</f>
        <v>0.33649502432690781</v>
      </c>
      <c r="AO303" s="43">
        <f>AO14/AN14-1</f>
        <v>7.9651444420440365E-2</v>
      </c>
      <c r="AP303" s="43">
        <f>AP14/AO14-1</f>
        <v>0.84363422142735511</v>
      </c>
      <c r="AQ303" s="42" t="s">
        <v>945</v>
      </c>
      <c r="AR303" s="342"/>
      <c r="AS303" s="43">
        <f>AS14/AP14-1</f>
        <v>-0.59374033049728292</v>
      </c>
      <c r="AT303" s="43">
        <f>AT14/AS14-1</f>
        <v>0.45553276716347568</v>
      </c>
      <c r="AU303" s="43">
        <f>AU14/AT14-1</f>
        <v>0.18928464347316543</v>
      </c>
      <c r="AV303" s="43">
        <f>AV14/AU14-1</f>
        <v>0.717787282665169</v>
      </c>
      <c r="AW303" s="42" t="s">
        <v>945</v>
      </c>
      <c r="AX303" s="342"/>
      <c r="AY303" s="43">
        <f>AY14/AV14-1</f>
        <v>-0.56961918654290211</v>
      </c>
      <c r="AZ303" s="43">
        <f>AZ14/AY14-1</f>
        <v>0.4174393351010377</v>
      </c>
      <c r="BA303" s="43">
        <f>BA14/AZ14-1</f>
        <v>7.1094491091694412E-3</v>
      </c>
      <c r="BB303" s="43">
        <f>BB14/BA14-1</f>
        <v>0.47005581467167423</v>
      </c>
      <c r="BC303" s="42" t="s">
        <v>945</v>
      </c>
      <c r="BD303" s="342"/>
      <c r="BE303" s="43">
        <f>BE14/BB14-1</f>
        <v>-0.56063219811180853</v>
      </c>
      <c r="BF303" s="43">
        <f>BF14/BE14-1</f>
        <v>0.1297735365092223</v>
      </c>
      <c r="BG303" s="43">
        <f>BG14/BF14-1</f>
        <v>-3.2908011167663176E-2</v>
      </c>
      <c r="BH303" s="43">
        <f>BH14/BG14-1</f>
        <v>0.48011269664960432</v>
      </c>
      <c r="BI303" s="42" t="s">
        <v>945</v>
      </c>
      <c r="BJ303" s="342"/>
      <c r="BK303" s="43">
        <f>BK14/BH14-1</f>
        <v>-0.51042541683406117</v>
      </c>
      <c r="BL303" s="43">
        <f>BL14/BK14-1</f>
        <v>0.3587921847246891</v>
      </c>
      <c r="BM303" s="43">
        <f>BM14/BL14-1</f>
        <v>-1.3071895424836555E-2</v>
      </c>
      <c r="BN303" s="43">
        <f>BN14/BM14-1</f>
        <v>0.57218543046357606</v>
      </c>
      <c r="BO303" s="42" t="s">
        <v>945</v>
      </c>
      <c r="BP303" s="342"/>
      <c r="BQ303" s="43">
        <f>BQ14/BN14-1</f>
        <v>-0.55770850884582979</v>
      </c>
      <c r="BR303" s="43">
        <f>BR14/BQ14-1</f>
        <v>0.62857142857142856</v>
      </c>
      <c r="BS303" s="43">
        <f>BS14/BR14-1</f>
        <v>-9.3567251461987855E-3</v>
      </c>
      <c r="BT303" s="43">
        <f>BT14/BS14-1</f>
        <v>0.55135773317591497</v>
      </c>
      <c r="BU303" s="42" t="s">
        <v>945</v>
      </c>
      <c r="BV303" s="342"/>
      <c r="BW303" s="43">
        <f>BW14/BT14-1</f>
        <v>-0.57153729071537285</v>
      </c>
      <c r="BX303" s="43">
        <f>BX14/BW14-1</f>
        <v>0.72468916518650084</v>
      </c>
      <c r="BY303" s="43">
        <f>BY14/BX14-1</f>
        <v>-2.4716786817713721E-2</v>
      </c>
      <c r="BZ303" s="43">
        <f>BZ14/BY14-1</f>
        <v>0.69904963041182677</v>
      </c>
      <c r="CA303" s="42" t="s">
        <v>945</v>
      </c>
      <c r="CB303" s="342"/>
      <c r="CC303" s="43">
        <f>CC14/BZ14-1</f>
        <v>-0.60907395898073335</v>
      </c>
      <c r="CD303" s="43">
        <f>CD14/CC14-1</f>
        <v>0.68203497615262321</v>
      </c>
      <c r="CE303" s="43">
        <f>CE14/CD14-1</f>
        <v>3.6294896030245827E-2</v>
      </c>
      <c r="CF303" s="43">
        <f>CF14/CE14-1</f>
        <v>0.93451295147756275</v>
      </c>
      <c r="CG303" s="181" t="s">
        <v>945</v>
      </c>
      <c r="CH303" s="342"/>
      <c r="CI303" s="43">
        <f>CI14/CF14-1</f>
        <v>-0.62093352192362095</v>
      </c>
      <c r="CJ303" s="43">
        <f>CJ14/CI14-1</f>
        <v>0.50124378109452739</v>
      </c>
      <c r="CK303" s="43">
        <f>CK14/CJ14-1</f>
        <v>0.15161557580778795</v>
      </c>
      <c r="CL303" s="43">
        <f>CL14/CK14-1</f>
        <v>0.78489208633093521</v>
      </c>
      <c r="CM303" s="181" t="s">
        <v>945</v>
      </c>
      <c r="CN303" s="342"/>
      <c r="CO303" s="43">
        <f>CO14/CL14-1</f>
        <v>-0.56187021362353895</v>
      </c>
      <c r="CP303" s="43">
        <f>CP14/CO14-1</f>
        <v>0.53449862005519777</v>
      </c>
      <c r="CQ303" s="43">
        <f>CQ14/CP14-1</f>
        <v>-3.1175059952038398E-2</v>
      </c>
      <c r="CR303" s="43">
        <f>CR14/CQ14-1</f>
        <v>0.9455445544554455</v>
      </c>
      <c r="CS303" s="181" t="s">
        <v>945</v>
      </c>
      <c r="CT303" s="342"/>
      <c r="CU303" s="43">
        <f>CU14/CR14-1</f>
        <v>-0.60718829516539441</v>
      </c>
      <c r="CV303" s="43">
        <f>CV14/CU14-1</f>
        <v>0.31659919028340089</v>
      </c>
      <c r="CW303" s="43">
        <f>CW14/CV14-1</f>
        <v>-6.765067650676504E-2</v>
      </c>
      <c r="CX303" s="43">
        <f>CX14/CW14-1</f>
        <v>0.81002638522427439</v>
      </c>
      <c r="CY303" s="181" t="s">
        <v>945</v>
      </c>
      <c r="CZ303" s="342"/>
      <c r="DA303" s="43">
        <f>DA14/CX14-1</f>
        <v>-0.62536443148688048</v>
      </c>
      <c r="DB303" s="43">
        <f>DB14/DA14-1</f>
        <v>0.60797665369649811</v>
      </c>
      <c r="DC303" s="43">
        <f>DC14/DB14-1</f>
        <v>3.9564428312159672E-2</v>
      </c>
      <c r="DD303" s="43">
        <f>DD14/DC14-1</f>
        <v>0.82437150837988815</v>
      </c>
      <c r="DE303" s="181" t="s">
        <v>945</v>
      </c>
      <c r="DF303" s="342"/>
      <c r="DG303" s="43">
        <f>DG14/DD14-1</f>
        <v>-0.58979266347687398</v>
      </c>
      <c r="DH303" s="43">
        <f>DH14/DG14-1</f>
        <v>0.55443234836702948</v>
      </c>
      <c r="DI303" s="43">
        <f>DI14/DH14-1</f>
        <v>0.10755377688844425</v>
      </c>
      <c r="DJ303" s="43">
        <f>DJ14/DI14-1</f>
        <v>0.68744354110207762</v>
      </c>
      <c r="DK303" s="396" t="s">
        <v>945</v>
      </c>
      <c r="DL303" s="342"/>
      <c r="DM303" s="43">
        <f>DM14/DJ14-1</f>
        <v>-0.59903640256959312</v>
      </c>
      <c r="DN303" s="43">
        <f>DN14/DM14-1</f>
        <v>0.36715620827770357</v>
      </c>
      <c r="DO303" s="43">
        <f>DO14/DN14-1</f>
        <v>0.1591796875</v>
      </c>
      <c r="DP303" s="43">
        <f>DP14/DO14-1</f>
        <v>0.68786857624262843</v>
      </c>
      <c r="DQ303" s="396" t="s">
        <v>945</v>
      </c>
      <c r="DR303" s="342"/>
      <c r="DS303" s="43">
        <f>DS14/DP14-1</f>
        <v>-0.57274769153980531</v>
      </c>
      <c r="DT303" s="43">
        <f>DT14/DS14-1</f>
        <v>0.46904205607476634</v>
      </c>
      <c r="DU303" s="43">
        <f>DU14/DT14-1</f>
        <v>-2.6640159045725698E-2</v>
      </c>
      <c r="DV303" s="43">
        <f>DV14/DU14-1</f>
        <v>0.69403594771241828</v>
      </c>
      <c r="DW303" s="396" t="s">
        <v>945</v>
      </c>
      <c r="DX303" s="342"/>
      <c r="DY303" s="43">
        <f>DY14/DV14-1</f>
        <v>-0.57439112611526411</v>
      </c>
      <c r="DZ303" s="43">
        <f>DZ14/DY14-1</f>
        <v>0.40509915014164299</v>
      </c>
      <c r="EA303" s="43">
        <f>EA14/DZ14-1</f>
        <v>2.4596774193548443E-2</v>
      </c>
      <c r="EB303" s="43">
        <f>EB14/EA14-1</f>
        <v>0.66233766233766245</v>
      </c>
      <c r="EC303" s="396" t="s">
        <v>945</v>
      </c>
      <c r="ED303" s="342"/>
      <c r="EE303" s="43">
        <f>EE14/EB14-1</f>
        <v>-0.56273674242424243</v>
      </c>
      <c r="EF303" s="43">
        <f>EF14/EE14-1</f>
        <v>0.38819707634001088</v>
      </c>
      <c r="EG303" s="43">
        <f>EG14/EF14-1</f>
        <v>-2.0280811232449292E-2</v>
      </c>
      <c r="EH303" s="43">
        <f>EH14/EG14-1</f>
        <v>0.47969745222929938</v>
      </c>
      <c r="EI303" s="396" t="s">
        <v>945</v>
      </c>
      <c r="EJ303" s="342"/>
      <c r="EK303" s="43">
        <f>EK14/EH14-1</f>
        <v>-0.52569276298089851</v>
      </c>
      <c r="EL303" s="43">
        <f>EL14/EK14-1</f>
        <v>0.32104367555303459</v>
      </c>
      <c r="EM303" s="43">
        <f>EM14/EL14-1</f>
        <v>3.7784456848432901E-2</v>
      </c>
      <c r="EN303" s="43">
        <f>EN14/EM14-1</f>
        <v>0.50020686801820435</v>
      </c>
      <c r="EO303" s="396" t="s">
        <v>945</v>
      </c>
      <c r="EP303" s="342"/>
      <c r="EQ303" s="43">
        <f>EQ14/EN14-1</f>
        <v>-0.44401544401544402</v>
      </c>
      <c r="ER303" s="43">
        <f>ER14/EQ14-1</f>
        <v>0.20734126984126977</v>
      </c>
      <c r="ES303" s="43">
        <f>ES14/ER14-1</f>
        <v>9.7781429745275261E-2</v>
      </c>
      <c r="ET303" s="43">
        <f>ET14/ES14-1</f>
        <v>0.51047904191616778</v>
      </c>
      <c r="EU303" s="396" t="s">
        <v>945</v>
      </c>
      <c r="EV303" s="342"/>
      <c r="EW303" s="43">
        <f>EW14/ET14-1</f>
        <v>-0.3909811694747275</v>
      </c>
      <c r="EX303" s="43">
        <f>EX14/EW14-1</f>
        <v>0.17209113100081375</v>
      </c>
      <c r="EY303" s="43">
        <f>EY14/EX14-1</f>
        <v>2.7073932662269984E-2</v>
      </c>
      <c r="EZ303" s="43">
        <f>EZ14/EY14-1</f>
        <v>0.40179621493747897</v>
      </c>
      <c r="FA303" s="396" t="s">
        <v>945</v>
      </c>
      <c r="FB303" s="342"/>
      <c r="FC303" s="43">
        <f>FC14/EZ14-1</f>
        <v>-0.33401557167878315</v>
      </c>
      <c r="FD303" s="43">
        <f>FD14/FC14-1</f>
        <v>0.15250002280586905</v>
      </c>
      <c r="FE303" s="43">
        <f>FE14/FD14-1</f>
        <v>2.8882879147663632E-2</v>
      </c>
      <c r="FF303" s="43">
        <f>FF14/FE14-1</f>
        <v>0.33708646309539247</v>
      </c>
      <c r="FG303" s="396" t="s">
        <v>945</v>
      </c>
      <c r="FH303" s="342"/>
      <c r="FI303" s="43">
        <f>FI14/FF14-1</f>
        <v>-0.28908291078755077</v>
      </c>
      <c r="FJ303" s="43">
        <f>FJ14/FI14-1</f>
        <v>0.13111258103664625</v>
      </c>
      <c r="FK303" s="43">
        <f>FK14/FJ14-1</f>
        <v>2.6036925291770263E-2</v>
      </c>
      <c r="FL303" s="43">
        <f>FL14/FK14-1</f>
        <v>0.28867678895276039</v>
      </c>
      <c r="FM303" s="396" t="s">
        <v>945</v>
      </c>
      <c r="FN303" s="27"/>
      <c r="FO303" s="27"/>
      <c r="FP303" s="27"/>
      <c r="FQ303" s="27"/>
      <c r="FR303" s="27"/>
      <c r="FS303" s="27"/>
      <c r="FT303" s="27"/>
      <c r="FU303" s="27"/>
      <c r="FV303" s="27"/>
      <c r="FW303" s="27"/>
      <c r="FX303" s="27"/>
      <c r="FY303" s="27"/>
      <c r="FZ303" s="27"/>
      <c r="GA303" s="27"/>
      <c r="GB303" s="27"/>
      <c r="GC303" s="27"/>
      <c r="GD303" s="27"/>
      <c r="GE303" s="27"/>
      <c r="GF303" s="27"/>
      <c r="GH303" s="27"/>
      <c r="GI303"/>
      <c r="GJ303"/>
      <c r="GK303"/>
      <c r="GL303"/>
      <c r="GM303"/>
      <c r="GN303"/>
      <c r="GO303" s="27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</row>
    <row r="304" spans="1:281" s="24" customFormat="1" hidden="1" outlineLevel="2" x14ac:dyDescent="0.2">
      <c r="A304" s="342" t="s">
        <v>30</v>
      </c>
      <c r="B304" s="413"/>
      <c r="C304" s="94" t="s">
        <v>945</v>
      </c>
      <c r="D304" s="94" t="s">
        <v>945</v>
      </c>
      <c r="E304" s="94" t="s">
        <v>945</v>
      </c>
      <c r="F304" s="94" t="s">
        <v>945</v>
      </c>
      <c r="G304" s="94" t="s">
        <v>945</v>
      </c>
      <c r="H304" s="94" t="s">
        <v>945</v>
      </c>
      <c r="I304" s="94" t="s">
        <v>945</v>
      </c>
      <c r="J304" s="94" t="s">
        <v>945</v>
      </c>
      <c r="K304" s="94" t="s">
        <v>945</v>
      </c>
      <c r="L304" s="94" t="s">
        <v>945</v>
      </c>
      <c r="M304" s="94" t="s">
        <v>945</v>
      </c>
      <c r="N304" s="342"/>
      <c r="O304" s="94" t="s">
        <v>945</v>
      </c>
      <c r="P304" s="43">
        <f>P39/O39-1</f>
        <v>0.22957198443579774</v>
      </c>
      <c r="Q304" s="43">
        <f>Q39/P39-1</f>
        <v>8.2278481012658222E-2</v>
      </c>
      <c r="R304" s="43">
        <f>R39/Q39-1</f>
        <v>0.57017543859649122</v>
      </c>
      <c r="S304" s="42" t="s">
        <v>945</v>
      </c>
      <c r="T304" s="342"/>
      <c r="U304" s="43">
        <f>U39/R39-1</f>
        <v>-0.43761638733705777</v>
      </c>
      <c r="V304" s="43">
        <f>V39/U39-1</f>
        <v>0.41751655629139073</v>
      </c>
      <c r="W304" s="43">
        <f>W39/V39-1</f>
        <v>4.6508911677451081E-2</v>
      </c>
      <c r="X304" s="43">
        <f>X39/W39-1</f>
        <v>0.6964285714285714</v>
      </c>
      <c r="Y304" s="42" t="s">
        <v>945</v>
      </c>
      <c r="Z304" s="342"/>
      <c r="AA304" s="43">
        <f>AA39/X39-1</f>
        <v>-0.48170921052631577</v>
      </c>
      <c r="AB304" s="43">
        <f>AB39/AA39-1</f>
        <v>0.28212164985618204</v>
      </c>
      <c r="AC304" s="43">
        <f>AC39/AB39-1</f>
        <v>0.10179019422647007</v>
      </c>
      <c r="AD304" s="43">
        <f>AD39/AC39-1</f>
        <v>0.5973499198470269</v>
      </c>
      <c r="AE304" s="42" t="s">
        <v>945</v>
      </c>
      <c r="AF304" s="342"/>
      <c r="AG304" s="43">
        <f>AG39/AD39-1</f>
        <v>-0.54215068691966795</v>
      </c>
      <c r="AH304" s="43">
        <f>AH39/AG39-1</f>
        <v>0.26018375857298359</v>
      </c>
      <c r="AI304" s="43">
        <f>AI39/AH39-1</f>
        <v>0.19629388410929227</v>
      </c>
      <c r="AJ304" s="43">
        <f>AJ39/AI39-1</f>
        <v>0.61943494057796888</v>
      </c>
      <c r="AK304" s="42" t="s">
        <v>945</v>
      </c>
      <c r="AL304" s="342"/>
      <c r="AM304" s="43">
        <f>AM39/AJ39-1</f>
        <v>-0.53747614523025389</v>
      </c>
      <c r="AN304" s="43">
        <f>AN39/AM39-1</f>
        <v>0.34225272728459721</v>
      </c>
      <c r="AO304" s="43">
        <f>AO39/AN39-1</f>
        <v>6.5597053158580554E-2</v>
      </c>
      <c r="AP304" s="43">
        <f>AP39/AO39-1</f>
        <v>0.83528335990846792</v>
      </c>
      <c r="AQ304" s="42" t="s">
        <v>945</v>
      </c>
      <c r="AR304" s="342"/>
      <c r="AS304" s="43">
        <f>AS39/AP39-1</f>
        <v>-0.59087868113684472</v>
      </c>
      <c r="AT304" s="43">
        <f>AT39/AS39-1</f>
        <v>0.43738335937167561</v>
      </c>
      <c r="AU304" s="43">
        <f>AU39/AT39-1</f>
        <v>0.19034669621471956</v>
      </c>
      <c r="AV304" s="43">
        <f>AV39/AU39-1</f>
        <v>0.59241025325210583</v>
      </c>
      <c r="AW304" s="42" t="s">
        <v>945</v>
      </c>
      <c r="AX304" s="342"/>
      <c r="AY304" s="43">
        <f>AY39/AV39-1</f>
        <v>-0.5420777885947643</v>
      </c>
      <c r="AZ304" s="43">
        <f>AZ39/AY39-1</f>
        <v>0.32190495989241841</v>
      </c>
      <c r="BA304" s="43">
        <f>BA39/AZ39-1</f>
        <v>4.6219416602573782E-2</v>
      </c>
      <c r="BB304" s="43">
        <f>BB39/BA39-1</f>
        <v>0.50372207562524873</v>
      </c>
      <c r="BC304" s="42" t="s">
        <v>945</v>
      </c>
      <c r="BD304" s="342"/>
      <c r="BE304" s="43">
        <f>BE39/BB39-1</f>
        <v>-0.55862133057811869</v>
      </c>
      <c r="BF304" s="43">
        <f>BF39/BE39-1</f>
        <v>0.13284510870046029</v>
      </c>
      <c r="BG304" s="43">
        <f>BG39/BF39-1</f>
        <v>-1.745858700711278E-2</v>
      </c>
      <c r="BH304" s="43">
        <f>BH39/BG39-1</f>
        <v>0.43744833725440313</v>
      </c>
      <c r="BI304" s="42" t="s">
        <v>945</v>
      </c>
      <c r="BJ304" s="342"/>
      <c r="BK304" s="43">
        <f>BK39/BH39-1</f>
        <v>-0.50014929169385247</v>
      </c>
      <c r="BL304" s="43">
        <f>BL39/BK39-1</f>
        <v>0.45353982300884965</v>
      </c>
      <c r="BM304" s="43">
        <f>BM39/BL39-1</f>
        <v>-6.3926940639269403E-2</v>
      </c>
      <c r="BN304" s="43">
        <f>BN39/BM39-1</f>
        <v>0.53008130081300808</v>
      </c>
      <c r="BO304" s="42" t="s">
        <v>945</v>
      </c>
      <c r="BP304" s="342"/>
      <c r="BQ304" s="43">
        <f>BQ39/BN39-1</f>
        <v>-0.55579171094580238</v>
      </c>
      <c r="BR304" s="43">
        <f>BR39/BQ39-1</f>
        <v>0.71770334928229662</v>
      </c>
      <c r="BS304" s="43">
        <f>BS39/BR39-1</f>
        <v>-1.5320334261838431E-2</v>
      </c>
      <c r="BT304" s="43">
        <f>BT39/BS39-1</f>
        <v>0.53182461103253176</v>
      </c>
      <c r="BU304" s="42" t="s">
        <v>945</v>
      </c>
      <c r="BV304" s="342"/>
      <c r="BW304" s="43">
        <f>BW39/BT39-1</f>
        <v>-0.54385964912280704</v>
      </c>
      <c r="BX304" s="43">
        <f>BX39/BW39-1</f>
        <v>0.53036437246963564</v>
      </c>
      <c r="BY304" s="43">
        <f>BY39/BX39-1</f>
        <v>5.1587301587301626E-2</v>
      </c>
      <c r="BZ304" s="43">
        <f>BZ39/BY39-1</f>
        <v>0.58364779874213846</v>
      </c>
      <c r="CA304" s="42" t="s">
        <v>945</v>
      </c>
      <c r="CB304" s="342"/>
      <c r="CC304" s="43">
        <f>CC39/BZ39-1</f>
        <v>-0.60127084988085788</v>
      </c>
      <c r="CD304" s="43">
        <f>CD39/CC39-1</f>
        <v>0.57768924302788838</v>
      </c>
      <c r="CE304" s="43">
        <f>CE39/CD39-1</f>
        <v>4.4696969696969679E-2</v>
      </c>
      <c r="CF304" s="43">
        <f>CF39/CE39-1</f>
        <v>0.78873579888808321</v>
      </c>
      <c r="CG304" s="181" t="s">
        <v>945</v>
      </c>
      <c r="CH304" s="342"/>
      <c r="CI304" s="43">
        <f>CI39/CF39-1</f>
        <v>-0.61081081081081079</v>
      </c>
      <c r="CJ304" s="43">
        <f>CJ39/CI39-1</f>
        <v>0.50520833333333326</v>
      </c>
      <c r="CK304" s="43">
        <f>CK39/CJ39-1</f>
        <v>0.11534025374855816</v>
      </c>
      <c r="CL304" s="43">
        <f>CL39/CK39-1</f>
        <v>0.81489141675284382</v>
      </c>
      <c r="CM304" s="181" t="s">
        <v>945</v>
      </c>
      <c r="CN304" s="342"/>
      <c r="CO304" s="43">
        <f>CO39/CL39-1</f>
        <v>-0.59487179487179487</v>
      </c>
      <c r="CP304" s="43">
        <f>CP39/CO39-1</f>
        <v>0.56821378340365691</v>
      </c>
      <c r="CQ304" s="43">
        <f>CQ39/CP39-1</f>
        <v>4.4843049327354167E-2</v>
      </c>
      <c r="CR304" s="43">
        <f>CR39/CQ39-1</f>
        <v>0.84978540772532196</v>
      </c>
      <c r="CS304" s="181" t="s">
        <v>945</v>
      </c>
      <c r="CT304" s="342"/>
      <c r="CU304" s="43">
        <f>CU39/CR39-1</f>
        <v>-0.58051044083526682</v>
      </c>
      <c r="CV304" s="43">
        <f>CV39/CU39-1</f>
        <v>0.27986725663716805</v>
      </c>
      <c r="CW304" s="43">
        <f>CW39/CV39-1</f>
        <v>-3.1979256698357772E-2</v>
      </c>
      <c r="CX304" s="43">
        <f>CX39/CW39-1</f>
        <v>0.73124999999999996</v>
      </c>
      <c r="CY304" s="181" t="s">
        <v>945</v>
      </c>
      <c r="CZ304" s="342"/>
      <c r="DA304" s="43">
        <f>DA39/CX39-1</f>
        <v>-0.63331614234141309</v>
      </c>
      <c r="DB304" s="43">
        <f>DB39/DA39-1</f>
        <v>0.65260196905766521</v>
      </c>
      <c r="DC304" s="43">
        <f>DC39/DB39-1</f>
        <v>5.617021276595735E-2</v>
      </c>
      <c r="DD304" s="43">
        <f>DD39/DC39-1</f>
        <v>0.8372280419016922</v>
      </c>
      <c r="DE304" s="181" t="s">
        <v>945</v>
      </c>
      <c r="DF304" s="342"/>
      <c r="DG304" s="43">
        <f>DG39/DD39-1</f>
        <v>-0.58903508771929824</v>
      </c>
      <c r="DH304" s="43">
        <f>DH39/DG39-1</f>
        <v>0.51547491995731054</v>
      </c>
      <c r="DI304" s="43">
        <f>DI39/DH39-1</f>
        <v>0.10915492957746475</v>
      </c>
      <c r="DJ304" s="43">
        <f>DJ39/DI39-1</f>
        <v>0.71047619047619048</v>
      </c>
      <c r="DK304" s="396" t="s">
        <v>945</v>
      </c>
      <c r="DL304" s="342"/>
      <c r="DM304" s="43">
        <f>DM39/DJ39-1</f>
        <v>-0.60282108389012623</v>
      </c>
      <c r="DN304" s="43">
        <f>DN39/DM39-1</f>
        <v>0.38224299065420553</v>
      </c>
      <c r="DO304" s="43">
        <f>DO39/DN39-1</f>
        <v>0.16024340770791068</v>
      </c>
      <c r="DP304" s="43">
        <f>DP39/DO39-1</f>
        <v>0.58566433566433562</v>
      </c>
      <c r="DQ304" s="396" t="s">
        <v>945</v>
      </c>
      <c r="DR304" s="342"/>
      <c r="DS304" s="43">
        <f>DS39/DP39-1</f>
        <v>-0.59496508636530687</v>
      </c>
      <c r="DT304" s="43">
        <f>DT39/DS39-1</f>
        <v>0.48960166953996898</v>
      </c>
      <c r="DU304" s="43">
        <f>DU39/DT39-1</f>
        <v>9.7527547831807615E-2</v>
      </c>
      <c r="DV304" s="43">
        <f>DV39/DU39-1</f>
        <v>0.67627372627372639</v>
      </c>
      <c r="DW304" s="396" t="s">
        <v>945</v>
      </c>
      <c r="DX304" s="342"/>
      <c r="DY304" s="43">
        <f>DY39/DV39-1</f>
        <v>-0.59496508636530687</v>
      </c>
      <c r="DZ304" s="43">
        <f>DZ39/DY39-1</f>
        <v>0.36211323836312448</v>
      </c>
      <c r="EA304" s="43">
        <f>EA39/DZ39-1</f>
        <v>0.1569994839212161</v>
      </c>
      <c r="EB304" s="43">
        <f>EB39/EA39-1</f>
        <v>0.56974418105259228</v>
      </c>
      <c r="EC304" s="396" t="s">
        <v>945</v>
      </c>
      <c r="ED304" s="342"/>
      <c r="EE304" s="43">
        <f>EE39/EB39-1</f>
        <v>-0.59981580389386613</v>
      </c>
      <c r="EF304" s="43">
        <f>EF39/EE39-1</f>
        <v>0.38963067752197533</v>
      </c>
      <c r="EG304" s="43">
        <f>EG39/EF39-1</f>
        <v>0.13408860305148917</v>
      </c>
      <c r="EH304" s="43">
        <f>EH39/EG39-1</f>
        <v>0.5538881792237782</v>
      </c>
      <c r="EI304" s="396" t="s">
        <v>945</v>
      </c>
      <c r="EJ304" s="342"/>
      <c r="EK304" s="43">
        <f>EK39/EH39-1</f>
        <v>-0.59777404779128374</v>
      </c>
      <c r="EL304" s="43">
        <f>EL39/EK39-1</f>
        <v>0.38963067752197533</v>
      </c>
      <c r="EM304" s="43">
        <f>EM39/EL39-1</f>
        <v>0.13408860305148917</v>
      </c>
      <c r="EN304" s="43">
        <f>EN39/EM39-1</f>
        <v>0.5538881792237782</v>
      </c>
      <c r="EO304" s="396" t="s">
        <v>945</v>
      </c>
      <c r="EP304" s="342"/>
      <c r="EQ304" s="43">
        <f>EQ39/EN39-1</f>
        <v>-0.59777404779128374</v>
      </c>
      <c r="ER304" s="43">
        <f>ER39/EQ39-1</f>
        <v>0.43900841733240092</v>
      </c>
      <c r="ES304" s="43">
        <f>ES39/ER39-1</f>
        <v>0.13964786090958459</v>
      </c>
      <c r="ET304" s="43">
        <f>ET39/ES39-1</f>
        <v>0.49324864052236261</v>
      </c>
      <c r="EU304" s="396" t="s">
        <v>945</v>
      </c>
      <c r="EV304" s="342"/>
      <c r="EW304" s="43">
        <f>EW39/ET39-1</f>
        <v>-0.59777404779128374</v>
      </c>
      <c r="EX304" s="43">
        <f>EX39/EW39-1</f>
        <v>0.54857758616481744</v>
      </c>
      <c r="EY304" s="43">
        <f>EY39/EX39-1</f>
        <v>0.16115065073806734</v>
      </c>
      <c r="EZ304" s="43">
        <f>EZ39/EY39-1</f>
        <v>0.41720357086613102</v>
      </c>
      <c r="FA304" s="396" t="s">
        <v>945</v>
      </c>
      <c r="FB304" s="342"/>
      <c r="FC304" s="43">
        <f>FC39/EZ39-1</f>
        <v>-0.59777404779128374</v>
      </c>
      <c r="FD304" s="43">
        <f>FD39/FC39-1</f>
        <v>0.54857758616481744</v>
      </c>
      <c r="FE304" s="43">
        <f>FE39/FD39-1</f>
        <v>0.16115065073806734</v>
      </c>
      <c r="FF304" s="43">
        <f>FF39/FE39-1</f>
        <v>0.4172035708661308</v>
      </c>
      <c r="FG304" s="396" t="s">
        <v>945</v>
      </c>
      <c r="FH304" s="342"/>
      <c r="FI304" s="43">
        <f>FI39/FF39-1</f>
        <v>-0.59777404779128374</v>
      </c>
      <c r="FJ304" s="43">
        <f>FJ39/FI39-1</f>
        <v>0.54857758616481744</v>
      </c>
      <c r="FK304" s="43">
        <f>FK39/FJ39-1</f>
        <v>0.16115065073806734</v>
      </c>
      <c r="FL304" s="43">
        <f>FL39/FK39-1</f>
        <v>0.4172035708661308</v>
      </c>
      <c r="FM304" s="396" t="s">
        <v>945</v>
      </c>
      <c r="FN304" s="27"/>
      <c r="FO304" s="27"/>
      <c r="FP304" s="27"/>
      <c r="FQ304" s="27"/>
      <c r="FR304" s="27"/>
      <c r="FS304" s="27"/>
      <c r="FT304" s="27"/>
      <c r="FU304" s="27"/>
      <c r="FV304" s="27"/>
      <c r="FW304" s="27"/>
      <c r="FX304" s="27"/>
      <c r="FY304" s="27"/>
      <c r="FZ304" s="27"/>
      <c r="GA304" s="27"/>
      <c r="GB304" s="27"/>
      <c r="GC304" s="27"/>
      <c r="GD304" s="27"/>
      <c r="GE304" s="27"/>
      <c r="GF304" s="27"/>
      <c r="GH304" s="27"/>
      <c r="GI304"/>
      <c r="GJ304"/>
      <c r="GK304"/>
      <c r="GL304"/>
      <c r="GM304"/>
      <c r="GN304"/>
      <c r="GO304" s="27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</row>
    <row r="305" spans="1:281" s="24" customFormat="1" hidden="1" outlineLevel="2" x14ac:dyDescent="0.2">
      <c r="A305" s="342" t="s">
        <v>31</v>
      </c>
      <c r="B305" s="413"/>
      <c r="C305" s="94" t="s">
        <v>945</v>
      </c>
      <c r="D305" s="94" t="s">
        <v>945</v>
      </c>
      <c r="E305" s="94" t="s">
        <v>945</v>
      </c>
      <c r="F305" s="94" t="s">
        <v>945</v>
      </c>
      <c r="G305" s="94" t="s">
        <v>945</v>
      </c>
      <c r="H305" s="94" t="s">
        <v>945</v>
      </c>
      <c r="I305" s="94" t="s">
        <v>945</v>
      </c>
      <c r="J305" s="94" t="s">
        <v>945</v>
      </c>
      <c r="K305" s="94" t="s">
        <v>945</v>
      </c>
      <c r="L305" s="94" t="s">
        <v>945</v>
      </c>
      <c r="M305" s="94" t="s">
        <v>945</v>
      </c>
      <c r="N305" s="342"/>
      <c r="O305" s="94" t="s">
        <v>945</v>
      </c>
      <c r="P305" s="43">
        <f>P42/O42-1</f>
        <v>0.17391304347826098</v>
      </c>
      <c r="Q305" s="43">
        <f>Q42/P42-1</f>
        <v>0.22222222222222232</v>
      </c>
      <c r="R305" s="43">
        <f>R42/Q42-1</f>
        <v>1.1515151515151514</v>
      </c>
      <c r="S305" s="42" t="s">
        <v>945</v>
      </c>
      <c r="T305" s="342"/>
      <c r="U305" s="43">
        <f>U42/R42-1</f>
        <v>-0.323943661971831</v>
      </c>
      <c r="V305" s="43">
        <f>V42/U42-1</f>
        <v>0.1875</v>
      </c>
      <c r="W305" s="43">
        <f>W42/V42-1</f>
        <v>0.17543859649122817</v>
      </c>
      <c r="X305" s="43">
        <f>X42/W42-1</f>
        <v>0.83582089552238803</v>
      </c>
      <c r="Y305" s="42" t="s">
        <v>945</v>
      </c>
      <c r="Z305" s="342"/>
      <c r="AA305" s="43">
        <f>AA42/X42-1</f>
        <v>-0.59011382113821143</v>
      </c>
      <c r="AB305" s="43">
        <f>AB42/AA42-1</f>
        <v>1.01162329419232</v>
      </c>
      <c r="AC305" s="43">
        <f>AC42/AB42-1</f>
        <v>6.3134749255556066E-2</v>
      </c>
      <c r="AD305" s="43">
        <f>AD42/AC42-1</f>
        <v>1.0274900065849879</v>
      </c>
      <c r="AE305" s="42" t="s">
        <v>945</v>
      </c>
      <c r="AF305" s="342"/>
      <c r="AG305" s="43">
        <f>AG42/AD42-1</f>
        <v>-0.54974245903589103</v>
      </c>
      <c r="AH305" s="43">
        <f>AH42/AG42-1</f>
        <v>0.10069186926617157</v>
      </c>
      <c r="AI305" s="43">
        <f>AI42/AH42-1</f>
        <v>0.28945911020860238</v>
      </c>
      <c r="AJ305" s="43">
        <f>AJ42/AI42-1</f>
        <v>0.54481746599856851</v>
      </c>
      <c r="AK305" s="42" t="s">
        <v>945</v>
      </c>
      <c r="AL305" s="342"/>
      <c r="AM305" s="43">
        <f>AM42/AJ42-1</f>
        <v>-0.54548192631515535</v>
      </c>
      <c r="AN305" s="43">
        <f>AN42/AM42-1</f>
        <v>0.30952186767254553</v>
      </c>
      <c r="AO305" s="43">
        <f>AO42/AN42-1</f>
        <v>0.14713781909054813</v>
      </c>
      <c r="AP305" s="43">
        <f>AP42/AO42-1</f>
        <v>0.88088306153334539</v>
      </c>
      <c r="AQ305" s="42" t="s">
        <v>945</v>
      </c>
      <c r="AR305" s="342"/>
      <c r="AS305" s="43">
        <f>AS42/AP42-1</f>
        <v>-0.60619520115460945</v>
      </c>
      <c r="AT305" s="43">
        <f>AT42/AS42-1</f>
        <v>0.53759746387766527</v>
      </c>
      <c r="AU305" s="43">
        <f>AU42/AT42-1</f>
        <v>0.18479543314781499</v>
      </c>
      <c r="AV305" s="43">
        <f>AV42/AU42-1</f>
        <v>1.2502288387064326</v>
      </c>
      <c r="AW305" s="42" t="s">
        <v>945</v>
      </c>
      <c r="AX305" s="342"/>
      <c r="AY305" s="43">
        <f>AY42/AV42-1</f>
        <v>-0.6523882855437817</v>
      </c>
      <c r="AZ305" s="43">
        <f>AZ42/AY42-1</f>
        <v>0.79565474583027918</v>
      </c>
      <c r="BA305" s="43">
        <f>BA42/AZ42-1</f>
        <v>-0.10687468444629056</v>
      </c>
      <c r="BB305" s="43">
        <f>BB42/BA42-1</f>
        <v>0.35511819231509412</v>
      </c>
      <c r="BC305" s="42" t="s">
        <v>945</v>
      </c>
      <c r="BD305" s="342"/>
      <c r="BE305" s="43">
        <f>BE42/BB42-1</f>
        <v>-0.56825020192367437</v>
      </c>
      <c r="BF305" s="43">
        <f>BF42/BE42-1</f>
        <v>0.11787762709773797</v>
      </c>
      <c r="BG305" s="43">
        <f>BG42/BF42-1</f>
        <v>-9.3543305155915801E-2</v>
      </c>
      <c r="BH305" s="43">
        <f>BH42/BG42-1</f>
        <v>0.66161503452286774</v>
      </c>
      <c r="BI305" s="42" t="s">
        <v>945</v>
      </c>
      <c r="BJ305" s="342"/>
      <c r="BK305" s="43">
        <f>BK42/BH42-1</f>
        <v>-0.54824425741123606</v>
      </c>
      <c r="BL305" s="43">
        <f>BL42/BK42-1</f>
        <v>-2.7027027027026973E-2</v>
      </c>
      <c r="BM305" s="43">
        <f>BM42/BL42-1</f>
        <v>0.29629629629629628</v>
      </c>
      <c r="BN305" s="43">
        <f>BN42/BM42-1</f>
        <v>0.75714285714285712</v>
      </c>
      <c r="BO305" s="42" t="s">
        <v>945</v>
      </c>
      <c r="BP305" s="342"/>
      <c r="BQ305" s="43">
        <f>BQ42/BN42-1</f>
        <v>-0.56504065040650409</v>
      </c>
      <c r="BR305" s="43">
        <f>BR42/BQ42-1</f>
        <v>0.28037383177570097</v>
      </c>
      <c r="BS305" s="43">
        <f>BS42/BR42-1</f>
        <v>2.1897810218978186E-2</v>
      </c>
      <c r="BT305" s="43">
        <f>BT42/BS42-1</f>
        <v>0.64999999999999991</v>
      </c>
      <c r="BU305" s="42" t="s">
        <v>945</v>
      </c>
      <c r="BV305" s="342"/>
      <c r="BW305" s="43">
        <f>BW42/BT42-1</f>
        <v>-0.70129870129870131</v>
      </c>
      <c r="BX305" s="43">
        <f>BX42/BW42-1</f>
        <v>2.1159420289855073</v>
      </c>
      <c r="BY305" s="43">
        <f>BY42/BX42-1</f>
        <v>-0.2930232558139535</v>
      </c>
      <c r="BZ305" s="43">
        <f>BZ42/BY42-1</f>
        <v>1.3026315789473686</v>
      </c>
      <c r="CA305" s="42" t="s">
        <v>945</v>
      </c>
      <c r="CB305" s="342"/>
      <c r="CC305" s="43">
        <f>CC42/BZ42-1</f>
        <v>-0.63714285714285712</v>
      </c>
      <c r="CD305" s="43">
        <f>CD42/CC42-1</f>
        <v>1.0944881889763778</v>
      </c>
      <c r="CE305" s="43">
        <f>CE42/CD42-1</f>
        <v>1.1278195488721776E-2</v>
      </c>
      <c r="CF305" s="43">
        <f>CF42/CE42-1</f>
        <v>1.3828996282527881</v>
      </c>
      <c r="CG305" s="181" t="s">
        <v>945</v>
      </c>
      <c r="CH305" s="342"/>
      <c r="CI305" s="43">
        <f>CI42/CF42-1</f>
        <v>-0.64430577223088925</v>
      </c>
      <c r="CJ305" s="43">
        <f>CJ42/CI42-1</f>
        <v>0.49122807017543857</v>
      </c>
      <c r="CK305" s="43">
        <f>CK42/CJ42-1</f>
        <v>0.24411764705882355</v>
      </c>
      <c r="CL305" s="43">
        <f>CL42/CK42-1</f>
        <v>0.71631205673758869</v>
      </c>
      <c r="CM305" s="181" t="s">
        <v>945</v>
      </c>
      <c r="CN305" s="342"/>
      <c r="CO305" s="43">
        <f>CO42/CL42-1</f>
        <v>-0.48209366391184572</v>
      </c>
      <c r="CP305" s="43">
        <f>CP42/CO42-1</f>
        <v>0.4707446808510638</v>
      </c>
      <c r="CQ305" s="43">
        <f>CQ42/CP42-1</f>
        <v>-0.18444846292947559</v>
      </c>
      <c r="CR305" s="43">
        <f>CR42/CQ42-1</f>
        <v>1.1929046563192904</v>
      </c>
      <c r="CS305" s="181" t="s">
        <v>945</v>
      </c>
      <c r="CT305" s="342"/>
      <c r="CU305" s="43">
        <f>CU42/CR42-1</f>
        <v>-0.66531850353892819</v>
      </c>
      <c r="CV305" s="43">
        <f>CV42/CU42-1</f>
        <v>0.41691842900302123</v>
      </c>
      <c r="CW305" s="43">
        <f>CW42/CV42-1</f>
        <v>-0.15565031982942434</v>
      </c>
      <c r="CX305" s="43">
        <f>CX42/CW42-1</f>
        <v>1.0328282828282829</v>
      </c>
      <c r="CY305" s="181" t="s">
        <v>945</v>
      </c>
      <c r="CZ305" s="342"/>
      <c r="DA305" s="43">
        <f>DA42/CX42-1</f>
        <v>-0.60621118012422359</v>
      </c>
      <c r="DB305" s="43">
        <f>DB42/DA42-1</f>
        <v>0.50788643533123023</v>
      </c>
      <c r="DC305" s="43">
        <f>DC42/DB42-1</f>
        <v>-1.255230125523088E-3</v>
      </c>
      <c r="DD305" s="43">
        <f>DD42/DC42-1</f>
        <v>0.79095098449937162</v>
      </c>
      <c r="DE305" s="181" t="s">
        <v>945</v>
      </c>
      <c r="DF305" s="342"/>
      <c r="DG305" s="43">
        <f>DG42/DD42-1</f>
        <v>-0.59181286549707601</v>
      </c>
      <c r="DH305" s="43">
        <f>DH42/DG42-1</f>
        <v>0.65902578796561606</v>
      </c>
      <c r="DI305" s="43">
        <f>DI42/DH42-1</f>
        <v>0.10362694300518127</v>
      </c>
      <c r="DJ305" s="43">
        <f>DJ42/DI42-1</f>
        <v>0.63067292644757433</v>
      </c>
      <c r="DK305" s="396" t="s">
        <v>945</v>
      </c>
      <c r="DL305" s="342"/>
      <c r="DM305" s="43">
        <f>DM42/DJ42-1</f>
        <v>-0.58925143953934733</v>
      </c>
      <c r="DN305" s="43">
        <f>DN42/DM42-1</f>
        <v>0.32943925233644866</v>
      </c>
      <c r="DO305" s="43">
        <f>DO42/DN42-1</f>
        <v>0.15641476274165211</v>
      </c>
      <c r="DP305" s="43">
        <f>DP42/DO42-1</f>
        <v>0.95440729483282682</v>
      </c>
      <c r="DQ305" s="396" t="s">
        <v>945</v>
      </c>
      <c r="DR305" s="342"/>
      <c r="DS305" s="43">
        <f>DS42/DP42-1</f>
        <v>-0.52573872472783845</v>
      </c>
      <c r="DT305" s="43">
        <f>DT42/DS42-1</f>
        <v>0.43189047384817214</v>
      </c>
      <c r="DU305" s="43">
        <f>DU42/DT42-1</f>
        <v>-0.26005656639681229</v>
      </c>
      <c r="DV305" s="43">
        <f>DV42/DU42-1</f>
        <v>0.74356236459300518</v>
      </c>
      <c r="DW305" s="396" t="s">
        <v>945</v>
      </c>
      <c r="DX305" s="342"/>
      <c r="DY305" s="43">
        <f>DY42/DV42-1</f>
        <v>-0.51923865482075837</v>
      </c>
      <c r="DZ305" s="43">
        <f>DZ42/DY42-1</f>
        <v>0.50218057522213888</v>
      </c>
      <c r="EA305" s="43">
        <f>EA42/DZ42-1</f>
        <v>-0.24654594381250827</v>
      </c>
      <c r="EB305" s="43">
        <f>EB42/EA42-1</f>
        <v>0.95351520371113452</v>
      </c>
      <c r="EC305" s="396" t="s">
        <v>945</v>
      </c>
      <c r="ED305" s="342"/>
      <c r="EE305" s="43">
        <f>EE42/EB42-1</f>
        <v>-0.46904133996211805</v>
      </c>
      <c r="EF305" s="43">
        <f>EF42/EE42-1</f>
        <v>0.3854667338761526</v>
      </c>
      <c r="EG305" s="43">
        <f>EG42/EF42-1</f>
        <v>-0.31516624464111531</v>
      </c>
      <c r="EH305" s="43">
        <f>EH42/EG42-1</f>
        <v>0.24500262483043467</v>
      </c>
      <c r="EI305" s="396" t="s">
        <v>945</v>
      </c>
      <c r="EJ305" s="342"/>
      <c r="EK305" s="43">
        <f>EK42/EH42-1</f>
        <v>-0.24109865390120022</v>
      </c>
      <c r="EL305" s="43">
        <f>EL42/EK42-1</f>
        <v>0.17751787692698895</v>
      </c>
      <c r="EM305" s="43">
        <f>EM42/EL42-1</f>
        <v>-0.20004465909822278</v>
      </c>
      <c r="EN305" s="43">
        <f>EN42/EM42-1</f>
        <v>0.31226462953407075</v>
      </c>
      <c r="EO305" s="396" t="s">
        <v>945</v>
      </c>
      <c r="EP305" s="342"/>
      <c r="EQ305" s="43">
        <f>EQ42/EN42-1</f>
        <v>0.19342416561094145</v>
      </c>
      <c r="ER305" s="43">
        <f>ER42/EQ42-1</f>
        <v>-0.11635622019756009</v>
      </c>
      <c r="ES305" s="43">
        <f>ES42/ER42-1</f>
        <v>2.5178423428511287E-3</v>
      </c>
      <c r="ET305" s="43">
        <f>ET42/ES42-1</f>
        <v>0.55504825373929223</v>
      </c>
      <c r="EU305" s="396" t="s">
        <v>945</v>
      </c>
      <c r="EV305" s="342"/>
      <c r="EW305" s="43">
        <f>EW42/ET42-1</f>
        <v>0.12266422148976885</v>
      </c>
      <c r="EX305" s="43">
        <f>EX42/EW42-1</f>
        <v>-0.16294942431866855</v>
      </c>
      <c r="EY305" s="43">
        <f>EY42/EX42-1</f>
        <v>-0.19366689369616874</v>
      </c>
      <c r="EZ305" s="43">
        <f>EZ42/EY42-1</f>
        <v>0.36526774450862387</v>
      </c>
      <c r="FA305" s="396" t="s">
        <v>945</v>
      </c>
      <c r="FB305" s="342"/>
      <c r="FC305" s="43">
        <f>FC42/EZ42-1</f>
        <v>0.31510325431311537</v>
      </c>
      <c r="FD305" s="43">
        <f>FD42/FC42-1</f>
        <v>-0.14563174653209399</v>
      </c>
      <c r="FE305" s="43">
        <f>FE42/FD42-1</f>
        <v>-0.15157253610015631</v>
      </c>
      <c r="FF305" s="43">
        <f>FF42/FE42-1</f>
        <v>0.18749217996222134</v>
      </c>
      <c r="FG305" s="396" t="s">
        <v>945</v>
      </c>
      <c r="FH305" s="342"/>
      <c r="FI305" s="43">
        <f>FI42/FF42-1</f>
        <v>0.39880135226555358</v>
      </c>
      <c r="FJ305" s="43">
        <f>FJ42/FI42-1</f>
        <v>-0.13638837245435564</v>
      </c>
      <c r="FK305" s="43">
        <f>FK42/FJ42-1</f>
        <v>-0.1292086444660322</v>
      </c>
      <c r="FL305" s="43">
        <f>FL42/FK42-1</f>
        <v>9.1757689374757367E-2</v>
      </c>
      <c r="FM305" s="396" t="s">
        <v>945</v>
      </c>
      <c r="FN305" s="27"/>
      <c r="FO305" s="27"/>
      <c r="FP305" s="27"/>
      <c r="FQ305" s="27"/>
      <c r="FR305" s="27"/>
      <c r="FS305" s="27"/>
      <c r="FT305" s="27"/>
      <c r="FU305" s="27"/>
      <c r="FV305" s="27"/>
      <c r="FW305" s="27"/>
      <c r="FX305" s="27"/>
      <c r="FY305" s="27"/>
      <c r="FZ305" s="27"/>
      <c r="GA305" s="27"/>
      <c r="GB305" s="27"/>
      <c r="GC305" s="27"/>
      <c r="GD305" s="27"/>
      <c r="GE305" s="27"/>
      <c r="GF305" s="27"/>
      <c r="GH305" s="27"/>
      <c r="GI305"/>
      <c r="GJ305"/>
      <c r="GK305"/>
      <c r="GL305"/>
      <c r="GM305"/>
      <c r="GN305"/>
      <c r="GO305" s="27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</row>
    <row r="306" spans="1:281" s="24" customFormat="1" hidden="1" outlineLevel="1" x14ac:dyDescent="0.2">
      <c r="A306" s="258" t="s">
        <v>654</v>
      </c>
      <c r="B306" s="413"/>
      <c r="C306" s="94" t="s">
        <v>945</v>
      </c>
      <c r="D306" s="94" t="s">
        <v>945</v>
      </c>
      <c r="E306" s="94" t="s">
        <v>945</v>
      </c>
      <c r="F306" s="94" t="s">
        <v>945</v>
      </c>
      <c r="G306" s="94" t="s">
        <v>945</v>
      </c>
      <c r="H306" s="94" t="s">
        <v>945</v>
      </c>
      <c r="I306" s="94" t="s">
        <v>945</v>
      </c>
      <c r="J306" s="94" t="s">
        <v>945</v>
      </c>
      <c r="K306" s="94" t="s">
        <v>945</v>
      </c>
      <c r="L306" s="94" t="s">
        <v>945</v>
      </c>
      <c r="M306" s="94" t="s">
        <v>945</v>
      </c>
      <c r="N306" s="342"/>
      <c r="O306" s="94" t="s">
        <v>945</v>
      </c>
      <c r="P306" s="94" t="s">
        <v>945</v>
      </c>
      <c r="Q306" s="94" t="s">
        <v>945</v>
      </c>
      <c r="R306" s="94" t="s">
        <v>945</v>
      </c>
      <c r="S306" s="42" t="s">
        <v>945</v>
      </c>
      <c r="T306" s="342"/>
      <c r="U306" s="94" t="s">
        <v>945</v>
      </c>
      <c r="V306" s="94" t="s">
        <v>945</v>
      </c>
      <c r="W306" s="94" t="s">
        <v>945</v>
      </c>
      <c r="X306" s="94" t="s">
        <v>945</v>
      </c>
      <c r="Y306" s="42" t="s">
        <v>945</v>
      </c>
      <c r="Z306" s="342"/>
      <c r="AA306" s="94" t="s">
        <v>945</v>
      </c>
      <c r="AB306" s="43">
        <f>AB46/AA46-1</f>
        <v>0.1048958351462832</v>
      </c>
      <c r="AC306" s="43">
        <f>AC46/AB46-1</f>
        <v>4.8257828744250553E-2</v>
      </c>
      <c r="AD306" s="43">
        <f>AD46/AC46-1</f>
        <v>0.14957413941299169</v>
      </c>
      <c r="AE306" s="42" t="s">
        <v>945</v>
      </c>
      <c r="AF306" s="342"/>
      <c r="AG306" s="43">
        <f>AG46/AD46-1</f>
        <v>5.9141401333831833E-2</v>
      </c>
      <c r="AH306" s="43">
        <f>AH46/AG46-1</f>
        <v>5.585134611444742E-2</v>
      </c>
      <c r="AI306" s="43">
        <f>AI46/AH46-1</f>
        <v>4.7314356782838907E-2</v>
      </c>
      <c r="AJ306" s="43">
        <f>AJ46/AI46-1</f>
        <v>0.14563108963269666</v>
      </c>
      <c r="AK306" s="42" t="s">
        <v>945</v>
      </c>
      <c r="AL306" s="342"/>
      <c r="AM306" s="43">
        <f>AM46/AJ46-1</f>
        <v>2.2638664009025034E-2</v>
      </c>
      <c r="AN306" s="43">
        <f>AN46/AM46-1</f>
        <v>7.9229350526620834E-2</v>
      </c>
      <c r="AO306" s="43">
        <f>AO46/AN46-1</f>
        <v>3.0287409081279471E-2</v>
      </c>
      <c r="AP306" s="43">
        <f>AP46/AO46-1</f>
        <v>0.14913741698023975</v>
      </c>
      <c r="AQ306" s="42" t="s">
        <v>945</v>
      </c>
      <c r="AR306" s="342"/>
      <c r="AS306" s="43">
        <f>AS46/AP46-1</f>
        <v>-4.7969676364980618E-3</v>
      </c>
      <c r="AT306" s="43">
        <f>AT46/AS46-1</f>
        <v>7.9301484084115526E-2</v>
      </c>
      <c r="AU306" s="43">
        <f>AU46/AT46-1</f>
        <v>4.7298366609193954E-2</v>
      </c>
      <c r="AV306" s="43">
        <f>AV46/AU46-1</f>
        <v>0.10907818396554658</v>
      </c>
      <c r="AW306" s="42" t="s">
        <v>945</v>
      </c>
      <c r="AX306" s="342"/>
      <c r="AY306" s="43">
        <f>AY46/AV46-1</f>
        <v>3.1253622850642149E-3</v>
      </c>
      <c r="AZ306" s="43">
        <f>AZ46/AY46-1</f>
        <v>3.9889529355977116E-2</v>
      </c>
      <c r="BA306" s="43">
        <f>BA46/AZ46-1</f>
        <v>3.8635514746825805E-2</v>
      </c>
      <c r="BB306" s="43">
        <f>BB46/BA46-1</f>
        <v>4.9668015783452812E-2</v>
      </c>
      <c r="BC306" s="42" t="s">
        <v>945</v>
      </c>
      <c r="BD306" s="342"/>
      <c r="BE306" s="43">
        <f>BE46/BB46-1</f>
        <v>-0.1138980436007162</v>
      </c>
      <c r="BF306" s="43">
        <f>BF46/BE46-1</f>
        <v>4.5032704156363179E-2</v>
      </c>
      <c r="BG306" s="43">
        <f>BG46/BF46-1</f>
        <v>-1.6726154335033772E-2</v>
      </c>
      <c r="BH306" s="43">
        <f>BH46/BG46-1</f>
        <v>9.5962936159751155E-2</v>
      </c>
      <c r="BI306" s="42" t="s">
        <v>945</v>
      </c>
      <c r="BJ306" s="342"/>
      <c r="BK306" s="43">
        <f>BK46/BH46-1</f>
        <v>-4.6905919609410485E-2</v>
      </c>
      <c r="BL306" s="43">
        <f>BL46/BK46-1</f>
        <v>5.4143646408839841E-2</v>
      </c>
      <c r="BM306" s="43">
        <f>BM46/BL46-1</f>
        <v>5.3459119496855445E-2</v>
      </c>
      <c r="BN306" s="43">
        <f>BN46/BM46-1</f>
        <v>6.0099502487562351E-2</v>
      </c>
      <c r="BO306" s="42" t="s">
        <v>945</v>
      </c>
      <c r="BP306" s="342"/>
      <c r="BQ306" s="43">
        <f>BQ46/BN46-1</f>
        <v>-2.9472498592078122E-2</v>
      </c>
      <c r="BR306" s="43">
        <f>BR46/BQ46-1</f>
        <v>7.7369439071566681E-2</v>
      </c>
      <c r="BS306" s="43">
        <f>BS46/BR46-1</f>
        <v>5.5655296229802476E-2</v>
      </c>
      <c r="BT306" s="43">
        <f>BT46/BS46-1</f>
        <v>2.4659863945578175E-2</v>
      </c>
      <c r="BU306" s="42" t="s">
        <v>945</v>
      </c>
      <c r="BV306" s="342"/>
      <c r="BW306" s="43">
        <f>BW46/BT46-1</f>
        <v>-2.4066390041493801E-2</v>
      </c>
      <c r="BX306" s="43">
        <f>BX46/BW46-1</f>
        <v>6.4625850340136015E-2</v>
      </c>
      <c r="BY306" s="43">
        <f>BY46/BX46-1</f>
        <v>0.22364217252396168</v>
      </c>
      <c r="BZ306" s="43">
        <f>BZ46/BY46-1</f>
        <v>0.10378590078328975</v>
      </c>
      <c r="CA306" s="42" t="s">
        <v>945</v>
      </c>
      <c r="CB306" s="342"/>
      <c r="CC306" s="43">
        <f>CC46/BZ46-1</f>
        <v>-2.9568302779420463E-2</v>
      </c>
      <c r="CD306" s="43">
        <f>CD46/CC46-1</f>
        <v>1.218769043266299E-2</v>
      </c>
      <c r="CE306" s="43">
        <f>CE46/CD46-1</f>
        <v>6.3816977724262536E-2</v>
      </c>
      <c r="CF306" s="43">
        <f>CF46/CE46-1</f>
        <v>0.10865874363327666</v>
      </c>
      <c r="CG306" s="181" t="s">
        <v>945</v>
      </c>
      <c r="CH306" s="342"/>
      <c r="CI306" s="43">
        <f>CI46/CF46-1</f>
        <v>2.654415518121489E-2</v>
      </c>
      <c r="CJ306" s="43">
        <f>CJ46/CI46-1</f>
        <v>2.4365987071108819E-2</v>
      </c>
      <c r="CK306" s="43">
        <f>CK46/CJ46-1</f>
        <v>4.0291262135922379E-2</v>
      </c>
      <c r="CL306" s="43">
        <f>CL46/CK46-1</f>
        <v>8.5860942603826373E-2</v>
      </c>
      <c r="CM306" s="181" t="s">
        <v>945</v>
      </c>
      <c r="CN306" s="342"/>
      <c r="CO306" s="43">
        <f>CO46/CL46-1</f>
        <v>5.1568543188655003E-2</v>
      </c>
      <c r="CP306" s="43">
        <f>CP46/CO46-1</f>
        <v>3.8823048630976631E-2</v>
      </c>
      <c r="CQ306" s="43">
        <f>CQ46/CP46-1</f>
        <v>4.0912667191188135E-2</v>
      </c>
      <c r="CR306" s="43">
        <f>CR46/CQ46-1</f>
        <v>8.5411942554799669E-2</v>
      </c>
      <c r="CS306" s="181" t="s">
        <v>945</v>
      </c>
      <c r="CT306" s="342"/>
      <c r="CU306" s="43">
        <f>CU46/CR46-1</f>
        <v>5.3969359331476285E-2</v>
      </c>
      <c r="CV306" s="43">
        <f>CV46/CU46-1</f>
        <v>-3.2044928972580156E-2</v>
      </c>
      <c r="CW306" s="43">
        <f>CW46/CV46-1</f>
        <v>1.2969283276450527E-2</v>
      </c>
      <c r="CX306" s="43">
        <f>CX46/CW46-1</f>
        <v>3.5040431266846417E-2</v>
      </c>
      <c r="CY306" s="181" t="s">
        <v>945</v>
      </c>
      <c r="CZ306" s="342"/>
      <c r="DA306" s="43">
        <f>DA46/CX46-1</f>
        <v>1.7578125E-2</v>
      </c>
      <c r="DB306" s="43">
        <f>DB46/DA46-1</f>
        <v>4.3186180422264853E-2</v>
      </c>
      <c r="DC306" s="43">
        <f>DC46/DB46-1</f>
        <v>1.9012572830420016E-2</v>
      </c>
      <c r="DD306" s="43">
        <f>DD46/DC46-1</f>
        <v>4.3334336442973242E-2</v>
      </c>
      <c r="DE306" s="181" t="s">
        <v>945</v>
      </c>
      <c r="DF306" s="342"/>
      <c r="DG306" s="43">
        <f>DG46/DD46-1</f>
        <v>2.3074704355350306E-3</v>
      </c>
      <c r="DH306" s="43">
        <f>DH46/DG46-1</f>
        <v>6.8201438848920937E-2</v>
      </c>
      <c r="DI306" s="43">
        <f>DI46/DH46-1</f>
        <v>1.18534482758621E-2</v>
      </c>
      <c r="DJ306" s="43">
        <f>DJ46/DI46-1</f>
        <v>5.9105431309904199E-2</v>
      </c>
      <c r="DK306" s="396" t="s">
        <v>945</v>
      </c>
      <c r="DL306" s="342"/>
      <c r="DM306" s="43">
        <f>DM46/DJ46-1</f>
        <v>1.4328808446455454E-2</v>
      </c>
      <c r="DN306" s="43">
        <f>DN46/DM46-1</f>
        <v>-9.665427509293667E-3</v>
      </c>
      <c r="DO306" s="43">
        <f>DO46/DN46-1</f>
        <v>1.8018018018018056E-2</v>
      </c>
      <c r="DP306" s="43">
        <f>DP46/DO46-1</f>
        <v>2.2615535889872085E-2</v>
      </c>
      <c r="DQ306" s="396" t="s">
        <v>945</v>
      </c>
      <c r="DR306" s="342"/>
      <c r="DS306" s="43">
        <f>DS46/DP46-1</f>
        <v>-3.6057692307692735E-3</v>
      </c>
      <c r="DT306" s="43">
        <f>DT46/DS46-1</f>
        <v>2.8709288299155533E-2</v>
      </c>
      <c r="DU306" s="43">
        <f>DU46/DT46-1</f>
        <v>1.8761726078799335E-2</v>
      </c>
      <c r="DV306" s="43">
        <f>DV46/DU46-1</f>
        <v>1.3812154696132506E-2</v>
      </c>
      <c r="DW306" s="396" t="s">
        <v>945</v>
      </c>
      <c r="DX306" s="342"/>
      <c r="DY306" s="43">
        <f>DY46/DV46-1</f>
        <v>6.357856494096259E-3</v>
      </c>
      <c r="DZ306" s="43">
        <f>DZ46/DY46-1</f>
        <v>1.9178700361010881E-2</v>
      </c>
      <c r="EA306" s="43">
        <f>EA46/DZ46-1</f>
        <v>1.0626522027894714E-2</v>
      </c>
      <c r="EB306" s="43">
        <f>EB46/EA46-1</f>
        <v>2.8477546549835697E-2</v>
      </c>
      <c r="EC306" s="396" t="s">
        <v>945</v>
      </c>
      <c r="ED306" s="342"/>
      <c r="EE306" s="43">
        <f>EE46/EB46-1</f>
        <v>7.6677316293929376E-3</v>
      </c>
      <c r="EF306" s="43">
        <f>EF46/EE46-1</f>
        <v>8.8776157260621602E-3</v>
      </c>
      <c r="EG306" s="43">
        <f>EG46/EF46-1</f>
        <v>-2.2836790278650709E-2</v>
      </c>
      <c r="EH306" s="43">
        <f>EH46/EG46-1</f>
        <v>5.145797598627766E-3</v>
      </c>
      <c r="EI306" s="396" t="s">
        <v>945</v>
      </c>
      <c r="EJ306" s="342"/>
      <c r="EK306" s="43">
        <f>EK46/EH46-1</f>
        <v>1.9197952218430459E-3</v>
      </c>
      <c r="EL306" s="43">
        <f>EL46/EK46-1</f>
        <v>-2.9806259314456574E-3</v>
      </c>
      <c r="EM306" s="43">
        <f>EM46/EL46-1</f>
        <v>-2.989536621823663E-3</v>
      </c>
      <c r="EN306" s="43">
        <f>EN46/EM46-1</f>
        <v>3.1270079246091154E-2</v>
      </c>
      <c r="EO306" s="396" t="s">
        <v>945</v>
      </c>
      <c r="EP306" s="342"/>
      <c r="EQ306" s="43">
        <f>EQ46/EN46-1</f>
        <v>-4.5690550363447491E-3</v>
      </c>
      <c r="ER306" s="43">
        <f>ER46/EQ46-1</f>
        <v>-3.1295639474233639E-3</v>
      </c>
      <c r="ES306" s="43">
        <f>ES46/ER46-1</f>
        <v>-3.3486814566764389E-3</v>
      </c>
      <c r="ET306" s="43">
        <f>ET46/ES46-1</f>
        <v>2.8349433011339853E-2</v>
      </c>
      <c r="EU306" s="396" t="s">
        <v>945</v>
      </c>
      <c r="EV306" s="342"/>
      <c r="EW306" s="43">
        <f>EW46/ET46-1</f>
        <v>1.1027159485399229E-2</v>
      </c>
      <c r="EX306" s="43">
        <f>EX46/EW46-1</f>
        <v>4.0395879620280795E-4</v>
      </c>
      <c r="EY306" s="43">
        <f>EY46/EX46-1</f>
        <v>1.4940440137290567E-2</v>
      </c>
      <c r="EZ306" s="43">
        <f>EZ46/EY46-1</f>
        <v>1.469635291380933E-2</v>
      </c>
      <c r="FA306" s="396" t="s">
        <v>945</v>
      </c>
      <c r="FB306" s="342"/>
      <c r="FC306" s="43">
        <f>FC46/EZ46-1</f>
        <v>5.7179943502738695E-3</v>
      </c>
      <c r="FD306" s="43">
        <f>FD46/FC46-1</f>
        <v>-3.0675919187150846E-5</v>
      </c>
      <c r="FE306" s="43">
        <f>FE46/FD46-1</f>
        <v>1.1178228371762966E-2</v>
      </c>
      <c r="FF306" s="43">
        <f>FF46/FE46-1</f>
        <v>1.0833378758364098E-2</v>
      </c>
      <c r="FG306" s="396" t="s">
        <v>945</v>
      </c>
      <c r="FH306" s="342"/>
      <c r="FI306" s="43">
        <f>FI46/FF46-1</f>
        <v>3.1973949608288255E-3</v>
      </c>
      <c r="FJ306" s="43">
        <f>FJ46/FI46-1</f>
        <v>-9.8852110040836827E-4</v>
      </c>
      <c r="FK306" s="43">
        <f>FK46/FJ46-1</f>
        <v>9.9150315791374233E-3</v>
      </c>
      <c r="FL306" s="43">
        <f>FL46/FK46-1</f>
        <v>9.5794410535796626E-3</v>
      </c>
      <c r="FM306" s="396" t="s">
        <v>945</v>
      </c>
      <c r="FN306" s="27"/>
      <c r="FO306" s="27"/>
      <c r="FP306" s="27"/>
      <c r="FQ306" s="27"/>
      <c r="FR306" s="27"/>
      <c r="FS306" s="27"/>
      <c r="FT306" s="27"/>
      <c r="FU306" s="27"/>
      <c r="FV306" s="27"/>
      <c r="FW306" s="27"/>
      <c r="FX306" s="27"/>
      <c r="FY306" s="27"/>
      <c r="FZ306" s="27"/>
      <c r="GA306" s="27"/>
      <c r="GB306" s="27"/>
      <c r="GC306" s="27"/>
      <c r="GD306" s="27"/>
      <c r="GE306" s="27"/>
      <c r="GF306" s="27"/>
      <c r="GH306" s="27"/>
      <c r="GI306"/>
      <c r="GJ306"/>
      <c r="GK306"/>
      <c r="GL306"/>
      <c r="GM306"/>
      <c r="GN306"/>
      <c r="GO306" s="27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</row>
    <row r="307" spans="1:281" s="24" customFormat="1" ht="3.95" hidden="1" customHeight="1" outlineLevel="1" x14ac:dyDescent="0.2">
      <c r="A307" s="258"/>
      <c r="B307" s="413"/>
      <c r="C307" s="94"/>
      <c r="D307" s="94"/>
      <c r="E307" s="94"/>
      <c r="F307" s="94"/>
      <c r="G307" s="94"/>
      <c r="H307" s="94"/>
      <c r="I307" s="94"/>
      <c r="J307" s="94"/>
      <c r="K307" s="94"/>
      <c r="L307" s="94"/>
      <c r="M307" s="94"/>
      <c r="N307" s="342"/>
      <c r="O307" s="94"/>
      <c r="P307" s="94"/>
      <c r="Q307" s="94"/>
      <c r="R307" s="94"/>
      <c r="S307" s="42"/>
      <c r="T307" s="342"/>
      <c r="U307" s="94"/>
      <c r="V307" s="94"/>
      <c r="W307" s="94"/>
      <c r="X307" s="94"/>
      <c r="Y307" s="42"/>
      <c r="Z307" s="342"/>
      <c r="AA307" s="94"/>
      <c r="AB307" s="43"/>
      <c r="AC307" s="43"/>
      <c r="AD307" s="43"/>
      <c r="AE307" s="42"/>
      <c r="AF307" s="342"/>
      <c r="AG307" s="43"/>
      <c r="AH307" s="43"/>
      <c r="AI307" s="43"/>
      <c r="AJ307" s="43"/>
      <c r="AK307" s="42"/>
      <c r="AL307" s="342"/>
      <c r="AM307" s="43"/>
      <c r="AN307" s="43"/>
      <c r="AO307" s="43"/>
      <c r="AP307" s="43"/>
      <c r="AQ307" s="42"/>
      <c r="AR307" s="342"/>
      <c r="AS307" s="43"/>
      <c r="AT307" s="43"/>
      <c r="AU307" s="43"/>
      <c r="AV307" s="43"/>
      <c r="AW307" s="42"/>
      <c r="AX307" s="342"/>
      <c r="AY307" s="43"/>
      <c r="AZ307" s="43"/>
      <c r="BA307" s="43"/>
      <c r="BB307" s="43"/>
      <c r="BC307" s="42"/>
      <c r="BD307" s="342"/>
      <c r="BE307" s="43"/>
      <c r="BF307" s="43"/>
      <c r="BG307" s="43"/>
      <c r="BH307" s="43"/>
      <c r="BI307" s="42"/>
      <c r="BJ307" s="342"/>
      <c r="BK307" s="43"/>
      <c r="BL307" s="43"/>
      <c r="BM307" s="43"/>
      <c r="BN307" s="43"/>
      <c r="BO307" s="42"/>
      <c r="BP307" s="342"/>
      <c r="BQ307" s="43"/>
      <c r="BR307" s="43"/>
      <c r="BS307" s="43"/>
      <c r="BT307" s="43"/>
      <c r="BU307" s="42"/>
      <c r="BV307" s="342"/>
      <c r="BW307" s="43"/>
      <c r="BX307" s="43"/>
      <c r="BY307" s="43"/>
      <c r="BZ307" s="43"/>
      <c r="CA307" s="42"/>
      <c r="CB307" s="342"/>
      <c r="CC307" s="43"/>
      <c r="CD307" s="43"/>
      <c r="CE307" s="43"/>
      <c r="CF307" s="43"/>
      <c r="CG307" s="181"/>
      <c r="CH307" s="342"/>
      <c r="CI307" s="43"/>
      <c r="CJ307" s="43"/>
      <c r="CK307" s="43"/>
      <c r="CL307" s="43"/>
      <c r="CM307" s="181"/>
      <c r="CN307" s="342"/>
      <c r="CO307" s="43"/>
      <c r="CP307" s="43"/>
      <c r="CQ307" s="43"/>
      <c r="CR307" s="43"/>
      <c r="CS307" s="181"/>
      <c r="CT307" s="342"/>
      <c r="CU307" s="43"/>
      <c r="CV307" s="43"/>
      <c r="CW307" s="43"/>
      <c r="CX307" s="43"/>
      <c r="CY307" s="181"/>
      <c r="CZ307" s="342"/>
      <c r="DA307" s="43"/>
      <c r="DB307" s="43"/>
      <c r="DC307" s="43"/>
      <c r="DD307" s="43"/>
      <c r="DE307" s="181"/>
      <c r="DF307" s="342"/>
      <c r="DG307" s="43"/>
      <c r="DH307" s="43"/>
      <c r="DI307" s="43"/>
      <c r="DJ307" s="43"/>
      <c r="DK307" s="396"/>
      <c r="DL307" s="342"/>
      <c r="DM307" s="43"/>
      <c r="DN307" s="43"/>
      <c r="DO307" s="43"/>
      <c r="DP307" s="43"/>
      <c r="DQ307" s="396"/>
      <c r="DR307" s="342"/>
      <c r="DS307" s="43"/>
      <c r="DT307" s="43"/>
      <c r="DU307" s="43"/>
      <c r="DV307" s="43"/>
      <c r="DW307" s="396"/>
      <c r="DX307" s="342"/>
      <c r="DY307" s="43"/>
      <c r="DZ307" s="43"/>
      <c r="EA307" s="43"/>
      <c r="EB307" s="43"/>
      <c r="EC307" s="396"/>
      <c r="ED307" s="342"/>
      <c r="EE307" s="43"/>
      <c r="EF307" s="43"/>
      <c r="EG307" s="43"/>
      <c r="EH307" s="43"/>
      <c r="EI307" s="396"/>
      <c r="EJ307" s="342"/>
      <c r="EK307" s="43"/>
      <c r="EL307" s="43"/>
      <c r="EM307" s="43"/>
      <c r="EN307" s="43"/>
      <c r="EO307" s="396"/>
      <c r="EP307" s="342"/>
      <c r="EQ307" s="43"/>
      <c r="ER307" s="43"/>
      <c r="ES307" s="43"/>
      <c r="ET307" s="43"/>
      <c r="EU307" s="396"/>
      <c r="EV307" s="342"/>
      <c r="EW307" s="43"/>
      <c r="EX307" s="43"/>
      <c r="EY307" s="43"/>
      <c r="EZ307" s="43"/>
      <c r="FA307" s="396"/>
      <c r="FB307" s="342"/>
      <c r="FC307" s="43"/>
      <c r="FD307" s="43"/>
      <c r="FE307" s="43"/>
      <c r="FF307" s="43"/>
      <c r="FG307" s="396"/>
      <c r="FH307" s="342"/>
      <c r="FI307" s="43"/>
      <c r="FJ307" s="43"/>
      <c r="FK307" s="43"/>
      <c r="FL307" s="43"/>
      <c r="FM307" s="396"/>
      <c r="FN307" s="27"/>
      <c r="FO307" s="27"/>
      <c r="FP307" s="27"/>
      <c r="FQ307" s="27"/>
      <c r="FR307" s="27"/>
      <c r="FS307" s="27"/>
      <c r="FT307" s="27"/>
      <c r="FU307" s="27"/>
      <c r="FV307" s="27"/>
      <c r="FW307" s="27"/>
      <c r="FX307" s="27"/>
      <c r="FY307" s="27"/>
      <c r="FZ307" s="27"/>
      <c r="GA307" s="27"/>
      <c r="GB307" s="27"/>
      <c r="GC307" s="27"/>
      <c r="GD307" s="27"/>
      <c r="GE307" s="27"/>
      <c r="GF307" s="27"/>
      <c r="GH307" s="27"/>
      <c r="GI307"/>
      <c r="GJ307"/>
      <c r="GK307"/>
      <c r="GL307"/>
      <c r="GM307"/>
      <c r="GN307"/>
      <c r="GO307" s="2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</row>
    <row r="308" spans="1:281" s="24" customFormat="1" hidden="1" outlineLevel="1" x14ac:dyDescent="0.2">
      <c r="A308" s="342" t="s">
        <v>643</v>
      </c>
      <c r="B308" s="413"/>
      <c r="C308" s="94" t="s">
        <v>945</v>
      </c>
      <c r="D308" s="94" t="s">
        <v>945</v>
      </c>
      <c r="E308" s="94" t="s">
        <v>945</v>
      </c>
      <c r="F308" s="94" t="s">
        <v>945</v>
      </c>
      <c r="G308" s="94" t="s">
        <v>945</v>
      </c>
      <c r="H308" s="94" t="s">
        <v>945</v>
      </c>
      <c r="I308" s="94" t="s">
        <v>945</v>
      </c>
      <c r="J308" s="94" t="s">
        <v>945</v>
      </c>
      <c r="K308" s="94" t="s">
        <v>945</v>
      </c>
      <c r="L308" s="94" t="s">
        <v>945</v>
      </c>
      <c r="M308" s="94" t="s">
        <v>945</v>
      </c>
      <c r="N308" s="342"/>
      <c r="O308" s="94" t="s">
        <v>945</v>
      </c>
      <c r="P308" s="43" t="e">
        <f>P60/O60-1</f>
        <v>#DIV/0!</v>
      </c>
      <c r="Q308" s="43" t="e">
        <f>Q60/P60-1</f>
        <v>#DIV/0!</v>
      </c>
      <c r="R308" s="43" t="e">
        <f>R60/Q60-1</f>
        <v>#DIV/0!</v>
      </c>
      <c r="S308" s="42" t="s">
        <v>945</v>
      </c>
      <c r="T308" s="342"/>
      <c r="U308" s="43" t="e">
        <f>U60/R60-1</f>
        <v>#DIV/0!</v>
      </c>
      <c r="V308" s="43" t="e">
        <f>V60/U60-1</f>
        <v>#DIV/0!</v>
      </c>
      <c r="W308" s="43" t="e">
        <f>W60/V60-1</f>
        <v>#DIV/0!</v>
      </c>
      <c r="X308" s="43" t="e">
        <f>X60/W60-1</f>
        <v>#DIV/0!</v>
      </c>
      <c r="Y308" s="42" t="s">
        <v>945</v>
      </c>
      <c r="Z308" s="342"/>
      <c r="AA308" s="43" t="e">
        <f>AA60/X60-1</f>
        <v>#DIV/0!</v>
      </c>
      <c r="AB308" s="43" t="e">
        <f>AB60/AA60-1</f>
        <v>#DIV/0!</v>
      </c>
      <c r="AC308" s="43" t="e">
        <f>AC60/AB60-1</f>
        <v>#DIV/0!</v>
      </c>
      <c r="AD308" s="43" t="e">
        <f>AD60/AC60-1</f>
        <v>#DIV/0!</v>
      </c>
      <c r="AE308" s="42" t="s">
        <v>945</v>
      </c>
      <c r="AF308" s="342"/>
      <c r="AG308" s="43" t="e">
        <f>AG60/AD60-1</f>
        <v>#DIV/0!</v>
      </c>
      <c r="AH308" s="43" t="e">
        <f>AH60/AG60-1</f>
        <v>#DIV/0!</v>
      </c>
      <c r="AI308" s="43" t="e">
        <f>AI60/AH60-1</f>
        <v>#DIV/0!</v>
      </c>
      <c r="AJ308" s="43" t="e">
        <f>AJ60/AI60-1</f>
        <v>#DIV/0!</v>
      </c>
      <c r="AK308" s="42" t="s">
        <v>945</v>
      </c>
      <c r="AL308" s="342"/>
      <c r="AM308" s="43" t="e">
        <f>AM60/AJ60-1</f>
        <v>#DIV/0!</v>
      </c>
      <c r="AN308" s="43" t="e">
        <f>AN60/AM60-1</f>
        <v>#DIV/0!</v>
      </c>
      <c r="AO308" s="43" t="e">
        <f>AO60/AN60-1</f>
        <v>#DIV/0!</v>
      </c>
      <c r="AP308" s="43" t="e">
        <f>AP60/AO60-1</f>
        <v>#DIV/0!</v>
      </c>
      <c r="AQ308" s="42" t="s">
        <v>945</v>
      </c>
      <c r="AR308" s="342"/>
      <c r="AS308" s="43" t="e">
        <f>AS60/AP60-1</f>
        <v>#DIV/0!</v>
      </c>
      <c r="AT308" s="43" t="e">
        <f>AT60/AS60-1</f>
        <v>#DIV/0!</v>
      </c>
      <c r="AU308" s="43" t="e">
        <f>AU60/AT60-1</f>
        <v>#DIV/0!</v>
      </c>
      <c r="AV308" s="43" t="e">
        <f>AV60/AU60-1</f>
        <v>#DIV/0!</v>
      </c>
      <c r="AW308" s="42" t="s">
        <v>945</v>
      </c>
      <c r="AX308" s="342"/>
      <c r="AY308" s="43" t="e">
        <f>AY60/AV60-1</f>
        <v>#DIV/0!</v>
      </c>
      <c r="AZ308" s="43" t="e">
        <f>AZ60/AY60-1</f>
        <v>#DIV/0!</v>
      </c>
      <c r="BA308" s="43" t="e">
        <f>BA60/AZ60-1</f>
        <v>#DIV/0!</v>
      </c>
      <c r="BB308" s="43" t="e">
        <f>BB60/BA60-1</f>
        <v>#DIV/0!</v>
      </c>
      <c r="BC308" s="42" t="s">
        <v>945</v>
      </c>
      <c r="BD308" s="342"/>
      <c r="BE308" s="43" t="e">
        <f>BE60/BB60-1</f>
        <v>#DIV/0!</v>
      </c>
      <c r="BF308" s="43" t="e">
        <f>BF60/BE60-1</f>
        <v>#DIV/0!</v>
      </c>
      <c r="BG308" s="43" t="e">
        <f>BG60/BF60-1</f>
        <v>#DIV/0!</v>
      </c>
      <c r="BH308" s="43" t="e">
        <f>BH60/BG60-1</f>
        <v>#DIV/0!</v>
      </c>
      <c r="BI308" s="42" t="s">
        <v>945</v>
      </c>
      <c r="BJ308" s="342"/>
      <c r="BK308" s="43" t="e">
        <f>BK60/BH60-1</f>
        <v>#DIV/0!</v>
      </c>
      <c r="BL308" s="43" t="e">
        <f>BL60/BK60-1</f>
        <v>#DIV/0!</v>
      </c>
      <c r="BM308" s="43" t="e">
        <f>BM60/BL60-1</f>
        <v>#DIV/0!</v>
      </c>
      <c r="BN308" s="43" t="e">
        <f>BN60/BM60-1</f>
        <v>#DIV/0!</v>
      </c>
      <c r="BO308" s="42" t="s">
        <v>945</v>
      </c>
      <c r="BP308" s="342"/>
      <c r="BQ308" s="43" t="e">
        <f>BQ60/BN60-1</f>
        <v>#DIV/0!</v>
      </c>
      <c r="BR308" s="43" t="e">
        <f>BR60/BQ60-1</f>
        <v>#DIV/0!</v>
      </c>
      <c r="BS308" s="43" t="e">
        <f>BS60/BR60-1</f>
        <v>#DIV/0!</v>
      </c>
      <c r="BT308" s="43" t="e">
        <f>BT60/BS60-1</f>
        <v>#DIV/0!</v>
      </c>
      <c r="BU308" s="42" t="s">
        <v>945</v>
      </c>
      <c r="BV308" s="342"/>
      <c r="BW308" s="43" t="e">
        <f>BW60/BT60-1</f>
        <v>#DIV/0!</v>
      </c>
      <c r="BX308" s="43" t="e">
        <f>BX60/BW60-1</f>
        <v>#DIV/0!</v>
      </c>
      <c r="BY308" s="43" t="e">
        <f>BY60/BX60-1</f>
        <v>#DIV/0!</v>
      </c>
      <c r="BZ308" s="43" t="e">
        <f>BZ60/BY60-1</f>
        <v>#DIV/0!</v>
      </c>
      <c r="CA308" s="42" t="s">
        <v>945</v>
      </c>
      <c r="CB308" s="342"/>
      <c r="CC308" s="43" t="e">
        <f>CC60/BZ60-1</f>
        <v>#DIV/0!</v>
      </c>
      <c r="CD308" s="43" t="e">
        <f>CD60/CC60-1</f>
        <v>#DIV/0!</v>
      </c>
      <c r="CE308" s="43" t="e">
        <f>CE60/CD60-1</f>
        <v>#DIV/0!</v>
      </c>
      <c r="CF308" s="43" t="e">
        <f>CF60/CE60-1</f>
        <v>#DIV/0!</v>
      </c>
      <c r="CG308" s="181" t="s">
        <v>945</v>
      </c>
      <c r="CH308" s="342"/>
      <c r="CI308" s="43" t="e">
        <f>CI60/CF60-1</f>
        <v>#DIV/0!</v>
      </c>
      <c r="CJ308" s="43">
        <f>CJ60/CI60-1</f>
        <v>0.15336918838320668</v>
      </c>
      <c r="CK308" s="43">
        <f>CK60/CJ60-1</f>
        <v>-8.8612861343763338E-2</v>
      </c>
      <c r="CL308" s="43">
        <f>CL60/CK60-1</f>
        <v>0.21000594688893148</v>
      </c>
      <c r="CM308" s="181" t="s">
        <v>945</v>
      </c>
      <c r="CN308" s="342"/>
      <c r="CO308" s="43">
        <f>CO60/CL60-1</f>
        <v>-0.2054914257255408</v>
      </c>
      <c r="CP308" s="43">
        <f>CP60/CO60-1</f>
        <v>0.13583553107050284</v>
      </c>
      <c r="CQ308" s="43">
        <f>CQ60/CP60-1</f>
        <v>-0.10925647940106742</v>
      </c>
      <c r="CR308" s="43">
        <f>CR60/CQ60-1</f>
        <v>0.19083137639822723</v>
      </c>
      <c r="CS308" s="181" t="s">
        <v>945</v>
      </c>
      <c r="CT308" s="342"/>
      <c r="CU308" s="43">
        <f>CU60/CR60-1</f>
        <v>-0.26073383426081675</v>
      </c>
      <c r="CV308" s="43">
        <f>CV60/CU60-1</f>
        <v>9.9624625794311195E-2</v>
      </c>
      <c r="CW308" s="43">
        <f>CW60/CV60-1</f>
        <v>-0.21650588297619089</v>
      </c>
      <c r="CX308" s="43">
        <f>CX60/CW60-1</f>
        <v>-2.458662422808533E-2</v>
      </c>
      <c r="CY308" s="181" t="s">
        <v>945</v>
      </c>
      <c r="CZ308" s="342"/>
      <c r="DA308" s="43">
        <f>DA60/CX60-1</f>
        <v>-0.19912520569949266</v>
      </c>
      <c r="DB308" s="43">
        <f>DB60/DA60-1</f>
        <v>0.23631002527379952</v>
      </c>
      <c r="DC308" s="43">
        <f>DC60/DB60-1</f>
        <v>-0.81396933560477003</v>
      </c>
      <c r="DD308" s="43">
        <f>DD60/DC60-1</f>
        <v>3.5164835164835164</v>
      </c>
      <c r="DE308" s="181" t="s">
        <v>945</v>
      </c>
      <c r="DF308" s="342"/>
      <c r="DG308" s="43">
        <f>DG60/DD60-1</f>
        <v>-0.12489862124898621</v>
      </c>
      <c r="DH308" s="43">
        <f>DH60/DG60-1</f>
        <v>3.0583873957367835E-2</v>
      </c>
      <c r="DI308" s="43">
        <f>DI60/DH60-1</f>
        <v>-6.9244604316546776E-2</v>
      </c>
      <c r="DJ308" s="43">
        <f>DJ60/DI60-1</f>
        <v>0.11787439613526574</v>
      </c>
      <c r="DK308" s="396" t="s">
        <v>945</v>
      </c>
      <c r="DL308" s="342"/>
      <c r="DM308" s="43">
        <f>DM60/DJ60-1</f>
        <v>-0.11063094209161628</v>
      </c>
      <c r="DN308" s="43">
        <f>DN60/DM60-1</f>
        <v>-7.3858114674441255E-2</v>
      </c>
      <c r="DO308" s="43">
        <f>DO60/DN60-1</f>
        <v>-8.8142707240293827E-2</v>
      </c>
      <c r="DP308" s="43">
        <f>DP60/DO60-1</f>
        <v>0.12428078250863051</v>
      </c>
      <c r="DQ308" s="396" t="s">
        <v>945</v>
      </c>
      <c r="DR308" s="342"/>
      <c r="DS308" s="43">
        <f>DS60/DP60-1</f>
        <v>-0.20266120777891505</v>
      </c>
      <c r="DT308" s="43">
        <f>DT60/DS60-1</f>
        <v>-5.7766367137355612E-2</v>
      </c>
      <c r="DU308" s="43">
        <f>DU60/DT60-1</f>
        <v>-8.5831062670299718E-2</v>
      </c>
      <c r="DV308" s="43">
        <f>DV60/DU60-1</f>
        <v>0.26527570789865873</v>
      </c>
      <c r="DW308" s="396" t="s">
        <v>945</v>
      </c>
      <c r="DX308" s="342"/>
      <c r="DY308" s="43">
        <f>DY60/DV60-1</f>
        <v>-0.21201413427561833</v>
      </c>
      <c r="DZ308" s="43">
        <f>DZ60/DY60-1</f>
        <v>6.7264573991031362E-2</v>
      </c>
      <c r="EA308" s="43">
        <f>EA60/DZ60-1</f>
        <v>1.540616246498594E-2</v>
      </c>
      <c r="EB308" s="43">
        <f>EB60/EA60-1</f>
        <v>0.19999999999999996</v>
      </c>
      <c r="EC308" s="396" t="s">
        <v>945</v>
      </c>
      <c r="ED308" s="342"/>
      <c r="EE308" s="43">
        <f>EE60/EB60-1</f>
        <v>-0.33563218390804594</v>
      </c>
      <c r="EF308" s="43">
        <f>EF60/EE60-1</f>
        <v>0.24048442906574397</v>
      </c>
      <c r="EG308" s="43">
        <f>EG60/EF60-1</f>
        <v>-6.9735006973500324E-3</v>
      </c>
      <c r="EH308" s="43">
        <f>EH60/EG60-1</f>
        <v>0.148876404494382</v>
      </c>
      <c r="EI308" s="396" t="s">
        <v>945</v>
      </c>
      <c r="EJ308" s="342"/>
      <c r="EK308" s="43">
        <f>EK60/EH60-1</f>
        <v>-0.30317848410757942</v>
      </c>
      <c r="EL308" s="43">
        <f>EL60/EK60-1</f>
        <v>5.2631578947368585E-3</v>
      </c>
      <c r="EM308" s="43">
        <f>EM60/EL60-1</f>
        <v>5.4101221640488584E-2</v>
      </c>
      <c r="EN308" s="43">
        <f>EN60/EM60-1</f>
        <v>0.20033112582781465</v>
      </c>
      <c r="EO308" s="396"/>
      <c r="EP308" s="342"/>
      <c r="EQ308" s="43">
        <f>EQ60/EN60-1</f>
        <v>-0.36275862068965514</v>
      </c>
      <c r="ER308" s="43">
        <f>ER60/EQ60-1</f>
        <v>7.575757575757569E-2</v>
      </c>
      <c r="ES308" s="43">
        <f>ES60/ER60-1</f>
        <v>4.6277665995975825E-2</v>
      </c>
      <c r="ET308" s="43">
        <f>ET60/ES60-1</f>
        <v>0.14807692307692299</v>
      </c>
      <c r="EU308" s="396"/>
      <c r="EV308" s="342"/>
      <c r="EW308" s="43"/>
      <c r="EX308" s="43">
        <f>EX60/EW60-1</f>
        <v>7.575757575757569E-2</v>
      </c>
      <c r="EY308" s="43">
        <f>EY60/EX60-1</f>
        <v>9.6100411995784452E-2</v>
      </c>
      <c r="EZ308" s="43"/>
      <c r="FA308" s="396"/>
      <c r="FB308" s="342"/>
      <c r="FC308" s="43"/>
      <c r="FD308" s="43"/>
      <c r="FE308" s="43"/>
      <c r="FF308" s="43"/>
      <c r="FG308" s="396"/>
      <c r="FH308" s="342"/>
      <c r="FI308" s="43"/>
      <c r="FJ308" s="43"/>
      <c r="FK308" s="43"/>
      <c r="FL308" s="43"/>
      <c r="FM308" s="396"/>
      <c r="FN308" s="27"/>
      <c r="FO308" s="27"/>
      <c r="FP308" s="27"/>
      <c r="FQ308" s="27"/>
      <c r="FR308" s="27"/>
      <c r="FS308" s="27"/>
      <c r="FT308" s="27"/>
      <c r="FU308" s="27"/>
      <c r="FV308" s="27"/>
      <c r="FW308" s="27"/>
      <c r="FX308" s="27"/>
      <c r="FY308" s="27"/>
      <c r="FZ308" s="27"/>
      <c r="GA308" s="27"/>
      <c r="GB308" s="27"/>
      <c r="GC308" s="27"/>
      <c r="GD308" s="27"/>
      <c r="GE308" s="27"/>
      <c r="GF308" s="27"/>
      <c r="GH308" s="27"/>
      <c r="GI308"/>
      <c r="GJ308"/>
      <c r="GK308"/>
      <c r="GL308"/>
      <c r="GM308"/>
      <c r="GN308"/>
      <c r="GO308" s="27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</row>
    <row r="309" spans="1:281" s="24" customFormat="1" hidden="1" outlineLevel="1" x14ac:dyDescent="0.2">
      <c r="A309" s="342" t="s">
        <v>513</v>
      </c>
      <c r="B309" s="413"/>
      <c r="C309" s="94" t="s">
        <v>945</v>
      </c>
      <c r="D309" s="94" t="s">
        <v>945</v>
      </c>
      <c r="E309" s="94" t="s">
        <v>945</v>
      </c>
      <c r="F309" s="94" t="s">
        <v>945</v>
      </c>
      <c r="G309" s="94" t="s">
        <v>945</v>
      </c>
      <c r="H309" s="94" t="s">
        <v>945</v>
      </c>
      <c r="I309" s="94" t="s">
        <v>945</v>
      </c>
      <c r="J309" s="94" t="s">
        <v>945</v>
      </c>
      <c r="K309" s="94" t="s">
        <v>945</v>
      </c>
      <c r="L309" s="94" t="s">
        <v>945</v>
      </c>
      <c r="M309" s="94" t="s">
        <v>945</v>
      </c>
      <c r="N309" s="342"/>
      <c r="O309" s="94" t="s">
        <v>945</v>
      </c>
      <c r="P309" s="43" t="e">
        <f>P66/O66-1</f>
        <v>#DIV/0!</v>
      </c>
      <c r="Q309" s="43" t="e">
        <f>Q66/P66-1</f>
        <v>#DIV/0!</v>
      </c>
      <c r="R309" s="43" t="e">
        <f>R66/Q66-1</f>
        <v>#DIV/0!</v>
      </c>
      <c r="S309" s="42" t="s">
        <v>945</v>
      </c>
      <c r="T309" s="342"/>
      <c r="U309" s="43" t="e">
        <f>U66/R66-1</f>
        <v>#DIV/0!</v>
      </c>
      <c r="V309" s="43" t="e">
        <f>V66/U66-1</f>
        <v>#DIV/0!</v>
      </c>
      <c r="W309" s="43" t="e">
        <f>W66/V66-1</f>
        <v>#DIV/0!</v>
      </c>
      <c r="X309" s="43" t="e">
        <f>X66/W66-1</f>
        <v>#DIV/0!</v>
      </c>
      <c r="Y309" s="42" t="s">
        <v>945</v>
      </c>
      <c r="Z309" s="342"/>
      <c r="AA309" s="43" t="e">
        <f>AA66/X66-1</f>
        <v>#DIV/0!</v>
      </c>
      <c r="AB309" s="43" t="e">
        <f>AB66/AA66-1</f>
        <v>#DIV/0!</v>
      </c>
      <c r="AC309" s="43" t="e">
        <f>AC66/AB66-1</f>
        <v>#DIV/0!</v>
      </c>
      <c r="AD309" s="43" t="e">
        <f>AD66/AC66-1</f>
        <v>#DIV/0!</v>
      </c>
      <c r="AE309" s="42" t="s">
        <v>945</v>
      </c>
      <c r="AF309" s="342"/>
      <c r="AG309" s="43" t="e">
        <f>AG66/AD66-1</f>
        <v>#DIV/0!</v>
      </c>
      <c r="AH309" s="43" t="e">
        <f>AH66/AG66-1</f>
        <v>#DIV/0!</v>
      </c>
      <c r="AI309" s="43" t="e">
        <f>AI66/AH66-1</f>
        <v>#DIV/0!</v>
      </c>
      <c r="AJ309" s="43" t="e">
        <f>AJ66/AI66-1</f>
        <v>#DIV/0!</v>
      </c>
      <c r="AK309" s="42" t="s">
        <v>945</v>
      </c>
      <c r="AL309" s="342"/>
      <c r="AM309" s="43" t="e">
        <f>AM66/AJ66-1</f>
        <v>#DIV/0!</v>
      </c>
      <c r="AN309" s="43" t="e">
        <f>AN66/AM66-1</f>
        <v>#DIV/0!</v>
      </c>
      <c r="AO309" s="43" t="e">
        <f>AO66/AN66-1</f>
        <v>#DIV/0!</v>
      </c>
      <c r="AP309" s="43" t="e">
        <f>AP66/AO66-1</f>
        <v>#DIV/0!</v>
      </c>
      <c r="AQ309" s="42" t="s">
        <v>945</v>
      </c>
      <c r="AR309" s="342"/>
      <c r="AS309" s="43" t="e">
        <f>AS66/AP66-1</f>
        <v>#DIV/0!</v>
      </c>
      <c r="AT309" s="43" t="e">
        <f>AT66/AS66-1</f>
        <v>#DIV/0!</v>
      </c>
      <c r="AU309" s="43" t="e">
        <f>AU66/AT66-1</f>
        <v>#DIV/0!</v>
      </c>
      <c r="AV309" s="43" t="e">
        <f>AV66/AU66-1</f>
        <v>#DIV/0!</v>
      </c>
      <c r="AW309" s="42" t="s">
        <v>945</v>
      </c>
      <c r="AX309" s="342"/>
      <c r="AY309" s="43" t="e">
        <f>AY66/AV66-1</f>
        <v>#DIV/0!</v>
      </c>
      <c r="AZ309" s="43" t="e">
        <f>AZ66/AY66-1</f>
        <v>#DIV/0!</v>
      </c>
      <c r="BA309" s="43" t="e">
        <f>BA66/AZ66-1</f>
        <v>#DIV/0!</v>
      </c>
      <c r="BB309" s="43" t="e">
        <f>BB66/BA66-1</f>
        <v>#DIV/0!</v>
      </c>
      <c r="BC309" s="42" t="s">
        <v>945</v>
      </c>
      <c r="BD309" s="342"/>
      <c r="BE309" s="43" t="e">
        <f>BE66/BB66-1</f>
        <v>#DIV/0!</v>
      </c>
      <c r="BF309" s="43" t="e">
        <f>BF66/BE66-1</f>
        <v>#DIV/0!</v>
      </c>
      <c r="BG309" s="43" t="e">
        <f>BG66/BF66-1</f>
        <v>#DIV/0!</v>
      </c>
      <c r="BH309" s="43" t="e">
        <f>BH66/BG66-1</f>
        <v>#DIV/0!</v>
      </c>
      <c r="BI309" s="42" t="s">
        <v>945</v>
      </c>
      <c r="BJ309" s="342"/>
      <c r="BK309" s="43" t="e">
        <f>BK66/BH66-1</f>
        <v>#DIV/0!</v>
      </c>
      <c r="BL309" s="43" t="e">
        <f>BL66/BK66-1</f>
        <v>#DIV/0!</v>
      </c>
      <c r="BM309" s="43" t="e">
        <f>BM66/BL66-1</f>
        <v>#DIV/0!</v>
      </c>
      <c r="BN309" s="43" t="e">
        <f>BN66/BM66-1</f>
        <v>#DIV/0!</v>
      </c>
      <c r="BO309" s="42" t="s">
        <v>945</v>
      </c>
      <c r="BP309" s="342"/>
      <c r="BQ309" s="43" t="e">
        <f>BQ66/BN66-1</f>
        <v>#DIV/0!</v>
      </c>
      <c r="BR309" s="43" t="e">
        <f>BR66/BQ66-1</f>
        <v>#DIV/0!</v>
      </c>
      <c r="BS309" s="43" t="e">
        <f>BS66/BR66-1</f>
        <v>#DIV/0!</v>
      </c>
      <c r="BT309" s="43" t="e">
        <f>BT66/BS66-1</f>
        <v>#DIV/0!</v>
      </c>
      <c r="BU309" s="42" t="s">
        <v>945</v>
      </c>
      <c r="BV309" s="342"/>
      <c r="BW309" s="43" t="e">
        <f>BW66/BT66-1</f>
        <v>#DIV/0!</v>
      </c>
      <c r="BX309" s="43" t="e">
        <f>BX66/BW66-1</f>
        <v>#DIV/0!</v>
      </c>
      <c r="BY309" s="43" t="e">
        <f>BY66/BX66-1</f>
        <v>#DIV/0!</v>
      </c>
      <c r="BZ309" s="43" t="e">
        <f>BZ66/BY66-1</f>
        <v>#DIV/0!</v>
      </c>
      <c r="CA309" s="42" t="s">
        <v>945</v>
      </c>
      <c r="CB309" s="342"/>
      <c r="CC309" s="43" t="e">
        <f>CC66/BZ66-1</f>
        <v>#DIV/0!</v>
      </c>
      <c r="CD309" s="43" t="e">
        <f>CD66/CC66-1</f>
        <v>#DIV/0!</v>
      </c>
      <c r="CE309" s="43" t="e">
        <f>CE66/CD66-1</f>
        <v>#DIV/0!</v>
      </c>
      <c r="CF309" s="43" t="e">
        <f>CF66/CE66-1</f>
        <v>#DIV/0!</v>
      </c>
      <c r="CG309" s="181" t="s">
        <v>945</v>
      </c>
      <c r="CH309" s="342"/>
      <c r="CI309" s="43" t="e">
        <f>CI66/CF66-1</f>
        <v>#DIV/0!</v>
      </c>
      <c r="CJ309" s="43" t="e">
        <f>CJ66/CI66-1</f>
        <v>#DIV/0!</v>
      </c>
      <c r="CK309" s="43" t="e">
        <f>CK66/CJ66-1</f>
        <v>#DIV/0!</v>
      </c>
      <c r="CL309" s="43" t="e">
        <f>CL66/CK66-1</f>
        <v>#DIV/0!</v>
      </c>
      <c r="CM309" s="181" t="s">
        <v>945</v>
      </c>
      <c r="CN309" s="342"/>
      <c r="CO309" s="43" t="e">
        <f>CO66/CL66-1</f>
        <v>#DIV/0!</v>
      </c>
      <c r="CP309" s="43" t="e">
        <f>CP66/CO66-1</f>
        <v>#DIV/0!</v>
      </c>
      <c r="CQ309" s="43" t="e">
        <f>CQ66/CP66-1</f>
        <v>#DIV/0!</v>
      </c>
      <c r="CR309" s="43" t="e">
        <f>CR66/CQ66-1</f>
        <v>#DIV/0!</v>
      </c>
      <c r="CS309" s="181" t="s">
        <v>945</v>
      </c>
      <c r="CT309" s="342"/>
      <c r="CU309" s="43" t="e">
        <f>CU66/CR66-1</f>
        <v>#DIV/0!</v>
      </c>
      <c r="CV309" s="43" t="e">
        <f>CV66/CU66-1</f>
        <v>#DIV/0!</v>
      </c>
      <c r="CW309" s="43" t="e">
        <f>CW66/CV66-1</f>
        <v>#DIV/0!</v>
      </c>
      <c r="CX309" s="43" t="e">
        <f>CX66/CW66-1</f>
        <v>#DIV/0!</v>
      </c>
      <c r="CY309" s="181" t="s">
        <v>945</v>
      </c>
      <c r="CZ309" s="342"/>
      <c r="DA309" s="43" t="e">
        <f>DA67/CX67-1</f>
        <v>#DIV/0!</v>
      </c>
      <c r="DB309" s="43" t="e">
        <f>DB67/DA67-1</f>
        <v>#DIV/0!</v>
      </c>
      <c r="DC309" s="43" t="e">
        <f>DC67/DB67-1</f>
        <v>#DIV/0!</v>
      </c>
      <c r="DD309" s="43">
        <f>DD67/DC67-1</f>
        <v>2.0714285714285716</v>
      </c>
      <c r="DE309" s="181" t="s">
        <v>945</v>
      </c>
      <c r="DF309" s="342"/>
      <c r="DG309" s="43">
        <f>DG67/DD67-1</f>
        <v>-1.1627906976744207E-2</v>
      </c>
      <c r="DH309" s="43">
        <f>DH67/DG67-1</f>
        <v>8.8235294117646745E-3</v>
      </c>
      <c r="DI309" s="43">
        <f>DI67/DH67-1</f>
        <v>-4.3731778425656009E-2</v>
      </c>
      <c r="DJ309" s="43">
        <f>DJ67/DI67-1</f>
        <v>4.7256097560975707E-2</v>
      </c>
      <c r="DK309" s="396" t="s">
        <v>945</v>
      </c>
      <c r="DL309" s="342"/>
      <c r="DM309" s="43">
        <f>DM67/DJ67-1</f>
        <v>-4.5123726346433801E-2</v>
      </c>
      <c r="DN309" s="43">
        <f>DN67/DM67-1</f>
        <v>-3.3536585365853688E-2</v>
      </c>
      <c r="DO309" s="43">
        <f>DO67/DN67-1</f>
        <v>-3.7854889589905349E-2</v>
      </c>
      <c r="DP309" s="43">
        <f>DP67/DO67-1</f>
        <v>-9.8360655737704805E-3</v>
      </c>
      <c r="DQ309" s="396" t="s">
        <v>945</v>
      </c>
      <c r="DR309" s="342"/>
      <c r="DS309" s="43">
        <f>DS67/DP67-1</f>
        <v>-4.3046357615894038E-2</v>
      </c>
      <c r="DT309" s="43">
        <f>DT67/DS67-1</f>
        <v>2.076124567474058E-2</v>
      </c>
      <c r="DU309" s="43">
        <f>DU67/DT67-1</f>
        <v>-3.050847457627115E-2</v>
      </c>
      <c r="DV309" s="43">
        <f>DV67/DU67-1</f>
        <v>2.4475524475524368E-2</v>
      </c>
      <c r="DW309" s="396" t="s">
        <v>945</v>
      </c>
      <c r="DX309" s="342"/>
      <c r="DY309" s="43">
        <f>DY67/DV67-1</f>
        <v>1.8771331058020424E-2</v>
      </c>
      <c r="DZ309" s="43">
        <f>DZ67/DY67-1</f>
        <v>2.6800670016750461E-2</v>
      </c>
      <c r="EA309" s="43">
        <f>EA67/DZ67-1</f>
        <v>-2.1207177814029365E-2</v>
      </c>
      <c r="EB309" s="43">
        <f>EB67/EA67-1</f>
        <v>-5.0000000000000044E-3</v>
      </c>
      <c r="EC309" s="396" t="s">
        <v>945</v>
      </c>
      <c r="ED309" s="342"/>
      <c r="EE309" s="43">
        <f>EE67/EB67-1</f>
        <v>-1.5075376884422065E-2</v>
      </c>
      <c r="EF309" s="43">
        <f>EF67/EE67-1</f>
        <v>5.2721088435374153E-2</v>
      </c>
      <c r="EG309" s="43">
        <f>EG67/EF67-1</f>
        <v>-5.0080775444264924E-2</v>
      </c>
      <c r="EH309" s="43">
        <f>EH67/EG67-1</f>
        <v>3.4013605442175798E-3</v>
      </c>
      <c r="EI309" s="396" t="s">
        <v>945</v>
      </c>
      <c r="EJ309" s="342"/>
      <c r="EK309" s="43">
        <f>EK67/EH67-1</f>
        <v>-5.2542372881355881E-2</v>
      </c>
      <c r="EL309" s="43">
        <f>EL67/EK67-1</f>
        <v>-1.610017889087656E-2</v>
      </c>
      <c r="EM309" s="43">
        <f>EM67/EL67-1</f>
        <v>-3.4545454545454546E-2</v>
      </c>
      <c r="EN309" s="43">
        <f>EN67/EM67-1</f>
        <v>5.0847457627118731E-2</v>
      </c>
      <c r="EO309" s="396"/>
      <c r="EP309" s="342"/>
      <c r="EQ309" s="43">
        <f>EQ67/EN67-1</f>
        <v>-4.3010752688172005E-2</v>
      </c>
      <c r="ER309" s="43">
        <f>ER67/EQ67-1</f>
        <v>-3.183520599250933E-2</v>
      </c>
      <c r="ES309" s="43">
        <f>ES67/ER67-1</f>
        <v>-1.740812379110257E-2</v>
      </c>
      <c r="ET309" s="43">
        <f>ET67/ES67-1</f>
        <v>1.7716535433070835E-2</v>
      </c>
      <c r="EU309" s="396"/>
      <c r="EV309" s="342"/>
      <c r="EW309" s="43"/>
      <c r="EX309" s="43">
        <f>EX67/EW67-1</f>
        <v>-5.8386794492900074E-2</v>
      </c>
      <c r="EY309" s="43">
        <f>EY67/EX67-1</f>
        <v>2.6563576513817688E-2</v>
      </c>
      <c r="EZ309" s="43"/>
      <c r="FA309" s="396"/>
      <c r="FB309" s="342"/>
      <c r="FC309" s="43"/>
      <c r="FD309" s="43"/>
      <c r="FE309" s="43"/>
      <c r="FF309" s="43"/>
      <c r="FG309" s="396"/>
      <c r="FH309" s="342"/>
      <c r="FI309" s="43"/>
      <c r="FJ309" s="43"/>
      <c r="FK309" s="43"/>
      <c r="FL309" s="43"/>
      <c r="FM309" s="396"/>
      <c r="FN309" s="27"/>
      <c r="FO309" s="27"/>
      <c r="FP309" s="27"/>
      <c r="FQ309" s="27"/>
      <c r="FR309" s="27"/>
      <c r="FS309" s="27"/>
      <c r="FT309" s="27"/>
      <c r="FU309" s="27"/>
      <c r="FV309" s="27"/>
      <c r="FW309" s="27"/>
      <c r="FX309" s="27"/>
      <c r="FY309" s="27"/>
      <c r="FZ309" s="27"/>
      <c r="GA309" s="27"/>
      <c r="GB309" s="27"/>
      <c r="GC309" s="27"/>
      <c r="GD309" s="27"/>
      <c r="GE309" s="27"/>
      <c r="GF309" s="27"/>
      <c r="GH309" s="27"/>
      <c r="GI309"/>
      <c r="GJ309"/>
      <c r="GK309"/>
      <c r="GL309"/>
      <c r="GM309"/>
      <c r="GN309"/>
      <c r="GO309" s="27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</row>
    <row r="310" spans="1:281" s="24" customFormat="1" ht="3.95" hidden="1" customHeight="1" outlineLevel="1" x14ac:dyDescent="0.2">
      <c r="A310" s="342"/>
      <c r="B310" s="413"/>
      <c r="C310" s="94"/>
      <c r="D310" s="94"/>
      <c r="E310" s="94"/>
      <c r="F310" s="94"/>
      <c r="G310" s="94"/>
      <c r="H310" s="94"/>
      <c r="I310" s="94"/>
      <c r="J310" s="94"/>
      <c r="K310" s="94"/>
      <c r="L310" s="94"/>
      <c r="M310" s="94"/>
      <c r="N310" s="342"/>
      <c r="O310" s="94"/>
      <c r="P310" s="43"/>
      <c r="Q310" s="43"/>
      <c r="R310" s="43"/>
      <c r="S310" s="42"/>
      <c r="T310" s="342"/>
      <c r="U310" s="43"/>
      <c r="V310" s="43"/>
      <c r="W310" s="43"/>
      <c r="X310" s="43"/>
      <c r="Y310" s="42"/>
      <c r="Z310" s="342"/>
      <c r="AA310" s="43"/>
      <c r="AB310" s="43"/>
      <c r="AC310" s="43"/>
      <c r="AD310" s="43"/>
      <c r="AE310" s="42"/>
      <c r="AF310" s="342"/>
      <c r="AG310" s="43"/>
      <c r="AH310" s="43"/>
      <c r="AI310" s="43"/>
      <c r="AJ310" s="43"/>
      <c r="AK310" s="42"/>
      <c r="AL310" s="342"/>
      <c r="AM310" s="43"/>
      <c r="AN310" s="43"/>
      <c r="AO310" s="43"/>
      <c r="AP310" s="43"/>
      <c r="AQ310" s="42"/>
      <c r="AR310" s="342"/>
      <c r="AS310" s="43"/>
      <c r="AT310" s="43"/>
      <c r="AU310" s="43"/>
      <c r="AV310" s="43"/>
      <c r="AW310" s="42"/>
      <c r="AX310" s="342"/>
      <c r="AY310" s="43"/>
      <c r="AZ310" s="43"/>
      <c r="BA310" s="43"/>
      <c r="BB310" s="43"/>
      <c r="BC310" s="42"/>
      <c r="BD310" s="342"/>
      <c r="BE310" s="43"/>
      <c r="BF310" s="43"/>
      <c r="BG310" s="43"/>
      <c r="BH310" s="43"/>
      <c r="BI310" s="42"/>
      <c r="BJ310" s="342"/>
      <c r="BK310" s="43"/>
      <c r="BL310" s="43"/>
      <c r="BM310" s="43"/>
      <c r="BN310" s="43"/>
      <c r="BO310" s="42"/>
      <c r="BP310" s="342"/>
      <c r="BQ310" s="43"/>
      <c r="BR310" s="43"/>
      <c r="BS310" s="43"/>
      <c r="BT310" s="43"/>
      <c r="BU310" s="42"/>
      <c r="BV310" s="342"/>
      <c r="BW310" s="43"/>
      <c r="BX310" s="43"/>
      <c r="BY310" s="43"/>
      <c r="BZ310" s="43"/>
      <c r="CA310" s="42"/>
      <c r="CB310" s="342"/>
      <c r="CC310" s="43"/>
      <c r="CD310" s="43"/>
      <c r="CE310" s="43"/>
      <c r="CF310" s="43"/>
      <c r="CG310" s="181"/>
      <c r="CH310" s="342"/>
      <c r="CI310" s="43"/>
      <c r="CJ310" s="43"/>
      <c r="CK310" s="43"/>
      <c r="CL310" s="43"/>
      <c r="CM310" s="181"/>
      <c r="CN310" s="342"/>
      <c r="CO310" s="43"/>
      <c r="CP310" s="43"/>
      <c r="CQ310" s="43"/>
      <c r="CR310" s="43"/>
      <c r="CS310" s="181"/>
      <c r="CT310" s="342"/>
      <c r="CU310" s="43"/>
      <c r="CV310" s="43"/>
      <c r="CW310" s="43"/>
      <c r="CX310" s="43"/>
      <c r="CY310" s="181"/>
      <c r="CZ310" s="342"/>
      <c r="DA310" s="43"/>
      <c r="DB310" s="43"/>
      <c r="DC310" s="43"/>
      <c r="DD310" s="43"/>
      <c r="DE310" s="181"/>
      <c r="DF310" s="342"/>
      <c r="DG310" s="43"/>
      <c r="DH310" s="43"/>
      <c r="DI310" s="43"/>
      <c r="DJ310" s="43"/>
      <c r="DK310" s="396"/>
      <c r="DL310" s="342"/>
      <c r="DM310" s="43"/>
      <c r="DN310" s="43"/>
      <c r="DO310" s="43"/>
      <c r="DP310" s="43"/>
      <c r="DQ310" s="396"/>
      <c r="DR310" s="342"/>
      <c r="DS310" s="43"/>
      <c r="DT310" s="43"/>
      <c r="DU310" s="43"/>
      <c r="DV310" s="43"/>
      <c r="DW310" s="396"/>
      <c r="DX310" s="342"/>
      <c r="DY310" s="43"/>
      <c r="DZ310" s="43"/>
      <c r="EA310" s="43"/>
      <c r="EB310" s="43"/>
      <c r="EC310" s="396"/>
      <c r="ED310" s="342"/>
      <c r="EE310" s="43"/>
      <c r="EF310" s="43"/>
      <c r="EG310" s="43"/>
      <c r="EH310" s="43"/>
      <c r="EI310" s="396"/>
      <c r="EJ310" s="342"/>
      <c r="EK310" s="43"/>
      <c r="EL310" s="43"/>
      <c r="EM310" s="43"/>
      <c r="EN310" s="43"/>
      <c r="EO310" s="396"/>
      <c r="EP310" s="342"/>
      <c r="EQ310" s="43"/>
      <c r="ER310" s="43"/>
      <c r="ES310" s="43"/>
      <c r="ET310" s="43"/>
      <c r="EU310" s="396"/>
      <c r="EV310" s="342"/>
      <c r="EW310" s="43"/>
      <c r="EX310" s="43"/>
      <c r="EY310" s="43"/>
      <c r="EZ310" s="43"/>
      <c r="FA310" s="396"/>
      <c r="FB310" s="342"/>
      <c r="FC310" s="43"/>
      <c r="FD310" s="43"/>
      <c r="FE310" s="43"/>
      <c r="FF310" s="43"/>
      <c r="FG310" s="396"/>
      <c r="FH310" s="342"/>
      <c r="FI310" s="43"/>
      <c r="FJ310" s="43"/>
      <c r="FK310" s="43"/>
      <c r="FL310" s="43"/>
      <c r="FM310" s="396"/>
      <c r="FN310" s="27"/>
      <c r="FO310" s="27"/>
      <c r="FP310" s="27"/>
      <c r="FQ310" s="27"/>
      <c r="FR310" s="27"/>
      <c r="FS310" s="27"/>
      <c r="FT310" s="27"/>
      <c r="FU310" s="27"/>
      <c r="FV310" s="27"/>
      <c r="FW310" s="27"/>
      <c r="FX310" s="27"/>
      <c r="FY310" s="27"/>
      <c r="FZ310" s="27"/>
      <c r="GA310" s="27"/>
      <c r="GB310" s="27"/>
      <c r="GC310" s="27"/>
      <c r="GD310" s="27"/>
      <c r="GE310" s="27"/>
      <c r="GF310" s="27"/>
      <c r="GH310" s="27"/>
      <c r="GI310"/>
      <c r="GJ310"/>
      <c r="GK310"/>
      <c r="GL310"/>
      <c r="GM310"/>
      <c r="GN310"/>
      <c r="GO310" s="27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</row>
    <row r="311" spans="1:281" s="24" customFormat="1" hidden="1" outlineLevel="1" x14ac:dyDescent="0.2">
      <c r="A311" s="342" t="s">
        <v>32</v>
      </c>
      <c r="B311" s="413"/>
      <c r="C311" s="94" t="s">
        <v>945</v>
      </c>
      <c r="D311" s="94" t="s">
        <v>945</v>
      </c>
      <c r="E311" s="94" t="s">
        <v>945</v>
      </c>
      <c r="F311" s="94" t="s">
        <v>945</v>
      </c>
      <c r="G311" s="94" t="s">
        <v>945</v>
      </c>
      <c r="H311" s="94" t="s">
        <v>945</v>
      </c>
      <c r="I311" s="94" t="s">
        <v>945</v>
      </c>
      <c r="J311" s="94" t="s">
        <v>945</v>
      </c>
      <c r="K311" s="94" t="s">
        <v>945</v>
      </c>
      <c r="L311" s="94" t="s">
        <v>945</v>
      </c>
      <c r="M311" s="94" t="s">
        <v>945</v>
      </c>
      <c r="N311" s="342"/>
      <c r="O311" s="94" t="s">
        <v>945</v>
      </c>
      <c r="P311" s="43">
        <f>P87/O87-1</f>
        <v>0.1837641152513434</v>
      </c>
      <c r="Q311" s="43">
        <f>Q87/P87-1</f>
        <v>6.1002811048643357E-2</v>
      </c>
      <c r="R311" s="43">
        <f>R87/Q87-1</f>
        <v>0.18037408745986272</v>
      </c>
      <c r="S311" s="42" t="s">
        <v>945</v>
      </c>
      <c r="T311" s="342"/>
      <c r="U311" s="43">
        <f>U87/R87-1</f>
        <v>2.9091512373163653E-2</v>
      </c>
      <c r="V311" s="43">
        <f>V87/U87-1</f>
        <v>0.14250017188118624</v>
      </c>
      <c r="W311" s="43">
        <f>W87/V87-1</f>
        <v>4.840945404743624E-2</v>
      </c>
      <c r="X311" s="43">
        <f>X87/W87-1</f>
        <v>0.15009728069289952</v>
      </c>
      <c r="Y311" s="42" t="s">
        <v>945</v>
      </c>
      <c r="Z311" s="342"/>
      <c r="AA311" s="43">
        <f>AA87/X87-1</f>
        <v>4.6341774025339566E-2</v>
      </c>
      <c r="AB311" s="43">
        <f>AB87/AA87-1</f>
        <v>0.15941394929621966</v>
      </c>
      <c r="AC311" s="43">
        <f>AC87/AB87-1</f>
        <v>4.8657589590963557E-3</v>
      </c>
      <c r="AD311" s="43">
        <f>AD87/AC87-1</f>
        <v>0.1866942610777631</v>
      </c>
      <c r="AE311" s="42" t="s">
        <v>945</v>
      </c>
      <c r="AF311" s="342"/>
      <c r="AG311" s="43">
        <f>AG87/AD87-1</f>
        <v>2.7182899874137911E-2</v>
      </c>
      <c r="AH311" s="43">
        <f>AH87/AG87-1</f>
        <v>0.1495242352788575</v>
      </c>
      <c r="AI311" s="43">
        <f>AI87/AH87-1</f>
        <v>3.0275278346174606E-3</v>
      </c>
      <c r="AJ311" s="43">
        <f>AJ87/AI87-1</f>
        <v>0.2085913110558435</v>
      </c>
      <c r="AK311" s="42" t="s">
        <v>945</v>
      </c>
      <c r="AL311" s="342"/>
      <c r="AM311" s="43">
        <f>AM87/AJ87-1</f>
        <v>-9.7512528776708685E-3</v>
      </c>
      <c r="AN311" s="43">
        <f>AN87/AM87-1</f>
        <v>0.10004221580079542</v>
      </c>
      <c r="AO311" s="43">
        <f>AO87/AN87-1</f>
        <v>-2.7759276171380631E-2</v>
      </c>
      <c r="AP311" s="43">
        <f>AP87/AO87-1</f>
        <v>0.14561885502227456</v>
      </c>
      <c r="AQ311" s="42" t="s">
        <v>945</v>
      </c>
      <c r="AR311" s="342"/>
      <c r="AS311" s="43">
        <f>AS87/AP87-1</f>
        <v>-5.3433268693184321E-2</v>
      </c>
      <c r="AT311" s="43">
        <f>AT87/AS87-1</f>
        <v>4.5475301240130106E-2</v>
      </c>
      <c r="AU311" s="43">
        <f>AU87/AT87-1</f>
        <v>-2.6648909955756084E-2</v>
      </c>
      <c r="AV311" s="43">
        <f>AV87/AU87-1</f>
        <v>0.1252243616183053</v>
      </c>
      <c r="AW311" s="42" t="s">
        <v>945</v>
      </c>
      <c r="AX311" s="342"/>
      <c r="AY311" s="43">
        <f>AY87/AV87-1</f>
        <v>-4.1431355795093938E-2</v>
      </c>
      <c r="AZ311" s="43">
        <f>AZ87/AY87-1</f>
        <v>5.0415791163588963E-2</v>
      </c>
      <c r="BA311" s="43">
        <f>BA87/AZ87-1</f>
        <v>1.181259277624136E-3</v>
      </c>
      <c r="BB311" s="43">
        <f>BB87/BA87-1</f>
        <v>4.8055384719549954E-2</v>
      </c>
      <c r="BC311" s="42" t="s">
        <v>945</v>
      </c>
      <c r="BD311" s="342"/>
      <c r="BE311" s="43">
        <f>BE87/BB87-1</f>
        <v>-7.04668760281143E-2</v>
      </c>
      <c r="BF311" s="43">
        <f>BF87/BE87-1</f>
        <v>1.4864728333720656E-2</v>
      </c>
      <c r="BG311" s="43">
        <f>BG87/BF87-1</f>
        <v>-6.3840243087392556E-2</v>
      </c>
      <c r="BH311" s="43">
        <f>BH87/BG87-1</f>
        <v>9.9999525863149419E-2</v>
      </c>
      <c r="BI311" s="42" t="s">
        <v>945</v>
      </c>
      <c r="BJ311" s="342"/>
      <c r="BK311" s="43">
        <f>BK87/BH87-1</f>
        <v>-9.7908070366865219E-2</v>
      </c>
      <c r="BL311" s="43">
        <f>BL87/BK87-1</f>
        <v>5.3924914675767877E-2</v>
      </c>
      <c r="BM311" s="43">
        <f>BM87/BL87-1</f>
        <v>5.1813471502590858E-3</v>
      </c>
      <c r="BN311" s="43">
        <f>BN87/BM87-1</f>
        <v>5.9536082474226815E-2</v>
      </c>
      <c r="BO311" s="42" t="s">
        <v>945</v>
      </c>
      <c r="BP311" s="342"/>
      <c r="BQ311" s="43">
        <f>BQ87/BN87-1</f>
        <v>-5.9231330576502095E-2</v>
      </c>
      <c r="BR311" s="43">
        <f>BR87/BQ87-1</f>
        <v>6.2055591467356175E-2</v>
      </c>
      <c r="BS311" s="43">
        <f>BS87/BR87-1</f>
        <v>1.1564211807668867E-2</v>
      </c>
      <c r="BT311" s="43">
        <f>BT87/BS87-1</f>
        <v>6.0770156438026524E-2</v>
      </c>
      <c r="BU311" s="42" t="s">
        <v>945</v>
      </c>
      <c r="BV311" s="342"/>
      <c r="BW311" s="43">
        <f>BW87/BT87-1</f>
        <v>-6.2960862166761222E-2</v>
      </c>
      <c r="BX311" s="43">
        <f>BX87/BW87-1</f>
        <v>8.0508474576271194E-2</v>
      </c>
      <c r="BY311" s="43">
        <f>BY87/BX87-1</f>
        <v>0.20224089635854336</v>
      </c>
      <c r="BZ311" s="43">
        <f>BZ87/BY87-1</f>
        <v>0.13979496738117425</v>
      </c>
      <c r="CA311" s="42" t="s">
        <v>945</v>
      </c>
      <c r="CB311" s="342"/>
      <c r="CC311" s="43">
        <f>CC87/BZ87-1</f>
        <v>-6.8683565004088343E-2</v>
      </c>
      <c r="CD311" s="43">
        <f>CD87/CC87-1</f>
        <v>2.5460930640913038E-2</v>
      </c>
      <c r="CE311" s="43">
        <f>CE87/CD87-1</f>
        <v>4.3664383561643927E-2</v>
      </c>
      <c r="CF311" s="43">
        <f>CF87/CE87-1</f>
        <v>0.15504511894995909</v>
      </c>
      <c r="CG311" s="181" t="s">
        <v>945</v>
      </c>
      <c r="CH311" s="342"/>
      <c r="CI311" s="43">
        <f>CI87/CF87-1</f>
        <v>1.4559659090909172E-2</v>
      </c>
      <c r="CJ311" s="43">
        <f>CJ87/CI87-1</f>
        <v>5.3202660133006674E-2</v>
      </c>
      <c r="CK311" s="43">
        <f>CK87/CJ87-1</f>
        <v>1.6616816218012698E-2</v>
      </c>
      <c r="CL311" s="43">
        <f>CL87/CK87-1</f>
        <v>0.11212814645308922</v>
      </c>
      <c r="CM311" s="181" t="s">
        <v>945</v>
      </c>
      <c r="CN311" s="342"/>
      <c r="CO311" s="43">
        <f>CO87/CL87-1</f>
        <v>3.0570252792474939E-2</v>
      </c>
      <c r="CP311" s="43">
        <f>CP87/CO87-1</f>
        <v>5.4192812321734118E-2</v>
      </c>
      <c r="CQ311" s="43">
        <f>CQ87/CP87-1</f>
        <v>1.5963203463203568E-2</v>
      </c>
      <c r="CR311" s="43">
        <f>CR87/CQ87-1</f>
        <v>0.10173102529960043</v>
      </c>
      <c r="CS311" s="181" t="s">
        <v>945</v>
      </c>
      <c r="CT311" s="342"/>
      <c r="CU311" s="43">
        <f>CU75/CR75-1</f>
        <v>-8.3794466403162016E-2</v>
      </c>
      <c r="CV311" s="43">
        <f>CV75/CU75-1</f>
        <v>-2.415875754961172E-2</v>
      </c>
      <c r="CW311" s="43">
        <f>CW75/CV75-1</f>
        <v>-9.8143236074270557E-2</v>
      </c>
      <c r="CX311" s="43">
        <f>CX75/CW75-1</f>
        <v>4.4117647058823595E-2</v>
      </c>
      <c r="CY311" s="181" t="s">
        <v>945</v>
      </c>
      <c r="CZ311" s="342"/>
      <c r="DA311" s="43">
        <f>DA75/CX75-1</f>
        <v>-0.14647887323943665</v>
      </c>
      <c r="DB311" s="43">
        <f>DB75/DA75-1</f>
        <v>5.3905390539053855E-2</v>
      </c>
      <c r="DC311" s="43">
        <f>DC75/DB75-1</f>
        <v>-2.8183716075156573E-2</v>
      </c>
      <c r="DD311" s="43">
        <f>DD75/DC75-1</f>
        <v>0.19011815252416753</v>
      </c>
      <c r="DE311" s="181" t="s">
        <v>945</v>
      </c>
      <c r="DF311" s="342"/>
      <c r="DG311" s="43">
        <f>DG75/DD75-1</f>
        <v>-3.6101083032490933E-2</v>
      </c>
      <c r="DH311" s="43">
        <f>DH75/DG75-1</f>
        <v>0.1095505617977528</v>
      </c>
      <c r="DI311" s="43">
        <f>DI75/DH75-1</f>
        <v>-3.2911392405063244E-2</v>
      </c>
      <c r="DJ311" s="43">
        <f>DJ75/DI75-1</f>
        <v>8.9005235602094279E-2</v>
      </c>
      <c r="DK311" s="396" t="s">
        <v>945</v>
      </c>
      <c r="DL311" s="342"/>
      <c r="DM311" s="43">
        <f>DM75/DJ75-1</f>
        <v>-5.4487179487179516E-2</v>
      </c>
      <c r="DN311" s="43">
        <f>DN75/DM75-1</f>
        <v>0</v>
      </c>
      <c r="DO311" s="43">
        <f>DO75/DN75-1</f>
        <v>-3.2763389830508527E-2</v>
      </c>
      <c r="DP311" s="43">
        <f>DP75/DO75-1</f>
        <v>5.3288715572022749E-2</v>
      </c>
      <c r="DQ311" s="396" t="s">
        <v>945</v>
      </c>
      <c r="DR311" s="342"/>
      <c r="DS311" s="43">
        <f>DS75/DP75-1</f>
        <v>-0.17232294511286639</v>
      </c>
      <c r="DT311" s="43">
        <f>DT75/DS75-1</f>
        <v>1.5075376884422065E-2</v>
      </c>
      <c r="DU311" s="43">
        <f>DU75/DT75-1</f>
        <v>-7.4257425742574212E-2</v>
      </c>
      <c r="DV311" s="43">
        <f>DV75/DU75-1</f>
        <v>4.2780748663101553E-2</v>
      </c>
      <c r="DW311" s="396" t="s">
        <v>945</v>
      </c>
      <c r="DX311" s="342"/>
      <c r="DY311" s="43">
        <f>DY75/DV75-1</f>
        <v>-5.8461538461538454E-2</v>
      </c>
      <c r="DZ311" s="43">
        <f>DZ75/DY75-1</f>
        <v>4.466230936819171E-2</v>
      </c>
      <c r="EA311" s="43">
        <f>EA75/DZ75-1</f>
        <v>-7.8206465067778952E-2</v>
      </c>
      <c r="EB311" s="43">
        <f>EB75/EA75-1</f>
        <v>6.3348416289592757E-2</v>
      </c>
      <c r="EC311" s="396" t="s">
        <v>945</v>
      </c>
      <c r="ED311" s="342"/>
      <c r="EE311" s="43">
        <f>EE75/EB75-1</f>
        <v>-9.0425531914893664E-2</v>
      </c>
      <c r="EF311" s="43">
        <f>EF75/EE75-1</f>
        <v>9.3567251461988299E-2</v>
      </c>
      <c r="EG311" s="43">
        <f>EG75/EF75-1</f>
        <v>-8.2352941176470629E-2</v>
      </c>
      <c r="EH311" s="43">
        <f>EH75/EG75-1</f>
        <v>4.7785547785547777E-2</v>
      </c>
      <c r="EI311" s="396" t="s">
        <v>945</v>
      </c>
      <c r="EJ311" s="342"/>
      <c r="EK311" s="43">
        <f>EK75/EH75-1</f>
        <v>-4.1156840934371552E-2</v>
      </c>
      <c r="EL311" s="43">
        <f>EL75/EK75-1</f>
        <v>-1.1600928074245731E-3</v>
      </c>
      <c r="EM311" s="43">
        <f>EM87/EL87-1</f>
        <v>-1.6573679028552668E-2</v>
      </c>
      <c r="EN311" s="43">
        <f>EN87/EM87-1</f>
        <v>4.2049057233439102E-2</v>
      </c>
      <c r="EO311" s="396" t="s">
        <v>945</v>
      </c>
      <c r="EP311" s="342"/>
      <c r="EQ311" s="43">
        <f>EQ75/EN75-1</f>
        <v>-7.3394495412844041E-2</v>
      </c>
      <c r="ER311" s="43">
        <f>ER75/EQ75-1</f>
        <v>4.4282178217821766E-2</v>
      </c>
      <c r="ES311" s="43">
        <f>ES87/ER87-1</f>
        <v>-9.2493948308947083E-3</v>
      </c>
      <c r="ET311" s="43">
        <f>ET87/ES87-1</f>
        <v>3.7158829332456511E-2</v>
      </c>
      <c r="EU311" s="396" t="s">
        <v>945</v>
      </c>
      <c r="EV311" s="342"/>
      <c r="EW311" s="43">
        <f>EW87/ET87-1</f>
        <v>9.1819911223842698E-3</v>
      </c>
      <c r="EX311" s="43">
        <f>EX75/EW75-1</f>
        <v>-4.6511627906976605E-3</v>
      </c>
      <c r="EY311" s="43">
        <f>EY87/EX87-1</f>
        <v>4.4033660163751431E-3</v>
      </c>
      <c r="EZ311" s="43">
        <f>EZ87/EY87-1</f>
        <v>2.5626264442827784E-2</v>
      </c>
      <c r="FA311" s="396" t="s">
        <v>945</v>
      </c>
      <c r="FB311" s="342"/>
      <c r="FC311" s="43">
        <f>FC87/EZ87-1</f>
        <v>-1.0009832368037985E-2</v>
      </c>
      <c r="FD311" s="43">
        <f>FD87/FC87-1</f>
        <v>-2.1342197022281573E-3</v>
      </c>
      <c r="FE311" s="43">
        <f>FE87/FD87-1</f>
        <v>-2.4984934616636423E-3</v>
      </c>
      <c r="FF311" s="43">
        <f>FF87/FE87-1</f>
        <v>2.4106062801705352E-2</v>
      </c>
      <c r="FG311" s="396" t="s">
        <v>945</v>
      </c>
      <c r="FH311" s="342"/>
      <c r="FI311" s="43">
        <f>FI87/FF87-1</f>
        <v>-5.5675062812251541E-3</v>
      </c>
      <c r="FJ311" s="43">
        <f>FJ87/FI87-1</f>
        <v>-4.0073414583924327E-3</v>
      </c>
      <c r="FK311" s="43">
        <f>FK87/FJ87-1</f>
        <v>-3.6098174433879526E-3</v>
      </c>
      <c r="FL311" s="43">
        <f>FL87/FK87-1</f>
        <v>2.2871445888624109E-2</v>
      </c>
      <c r="FM311" s="396" t="s">
        <v>945</v>
      </c>
      <c r="FN311" s="27"/>
      <c r="FO311" s="27"/>
      <c r="FP311" s="27"/>
      <c r="FQ311" s="27"/>
      <c r="FR311" s="27"/>
      <c r="FS311" s="27"/>
      <c r="FT311" s="27"/>
      <c r="FU311" s="27"/>
      <c r="FV311" s="27"/>
      <c r="FW311" s="27"/>
      <c r="FX311" s="27"/>
      <c r="FY311" s="27"/>
      <c r="FZ311" s="27"/>
      <c r="GA311" s="27"/>
      <c r="GB311" s="27"/>
      <c r="GC311" s="27"/>
      <c r="GD311" s="27"/>
      <c r="GE311" s="27"/>
      <c r="GF311" s="27"/>
      <c r="GH311" s="27"/>
      <c r="GI311"/>
      <c r="GJ311"/>
      <c r="GK311"/>
      <c r="GL311"/>
      <c r="GM311"/>
      <c r="GN311"/>
      <c r="GO311" s="27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</row>
    <row r="312" spans="1:281" s="24" customFormat="1" hidden="1" outlineLevel="2" x14ac:dyDescent="0.2">
      <c r="A312" s="258" t="s">
        <v>394</v>
      </c>
      <c r="B312" s="413"/>
      <c r="C312" s="94" t="s">
        <v>945</v>
      </c>
      <c r="D312" s="94" t="s">
        <v>945</v>
      </c>
      <c r="E312" s="94" t="s">
        <v>945</v>
      </c>
      <c r="F312" s="94" t="s">
        <v>945</v>
      </c>
      <c r="G312" s="94" t="s">
        <v>945</v>
      </c>
      <c r="H312" s="94" t="s">
        <v>945</v>
      </c>
      <c r="I312" s="94" t="s">
        <v>945</v>
      </c>
      <c r="J312" s="94" t="s">
        <v>945</v>
      </c>
      <c r="K312" s="94" t="s">
        <v>945</v>
      </c>
      <c r="L312" s="94" t="s">
        <v>945</v>
      </c>
      <c r="M312" s="94" t="s">
        <v>945</v>
      </c>
      <c r="N312" s="342"/>
      <c r="O312" s="94" t="s">
        <v>945</v>
      </c>
      <c r="P312" s="94" t="s">
        <v>945</v>
      </c>
      <c r="Q312" s="94" t="s">
        <v>945</v>
      </c>
      <c r="R312" s="94" t="s">
        <v>945</v>
      </c>
      <c r="S312" s="42" t="s">
        <v>945</v>
      </c>
      <c r="T312" s="342"/>
      <c r="U312" s="94" t="s">
        <v>945</v>
      </c>
      <c r="V312" s="94" t="s">
        <v>945</v>
      </c>
      <c r="W312" s="94" t="s">
        <v>945</v>
      </c>
      <c r="X312" s="94" t="s">
        <v>945</v>
      </c>
      <c r="Y312" s="42" t="s">
        <v>945</v>
      </c>
      <c r="Z312" s="342"/>
      <c r="AA312" s="94" t="s">
        <v>945</v>
      </c>
      <c r="AB312" s="94" t="s">
        <v>945</v>
      </c>
      <c r="AC312" s="94" t="s">
        <v>945</v>
      </c>
      <c r="AD312" s="94" t="s">
        <v>945</v>
      </c>
      <c r="AE312" s="42" t="s">
        <v>945</v>
      </c>
      <c r="AF312" s="342"/>
      <c r="AG312" s="94" t="s">
        <v>945</v>
      </c>
      <c r="AH312" s="94" t="s">
        <v>945</v>
      </c>
      <c r="AI312" s="94" t="s">
        <v>945</v>
      </c>
      <c r="AJ312" s="94" t="s">
        <v>945</v>
      </c>
      <c r="AK312" s="42" t="s">
        <v>945</v>
      </c>
      <c r="AL312" s="342"/>
      <c r="AM312" s="94" t="s">
        <v>945</v>
      </c>
      <c r="AN312" s="94" t="s">
        <v>945</v>
      </c>
      <c r="AO312" s="94" t="s">
        <v>945</v>
      </c>
      <c r="AP312" s="94" t="s">
        <v>945</v>
      </c>
      <c r="AQ312" s="42" t="s">
        <v>945</v>
      </c>
      <c r="AR312" s="342"/>
      <c r="AS312" s="94" t="s">
        <v>945</v>
      </c>
      <c r="AT312" s="43">
        <f>AT72/AS72-1</f>
        <v>1.4971890340040872E-2</v>
      </c>
      <c r="AU312" s="43">
        <f>AU72/AT72-1</f>
        <v>-0.12296607752936395</v>
      </c>
      <c r="AV312" s="43">
        <f>AV72/AU72-1</f>
        <v>0.11864997339246508</v>
      </c>
      <c r="AW312" s="42" t="s">
        <v>945</v>
      </c>
      <c r="AX312" s="342"/>
      <c r="AY312" s="43">
        <f>AY72/AV72-1</f>
        <v>-4.328371390435215E-2</v>
      </c>
      <c r="AZ312" s="43">
        <f>AZ72/AY72-1</f>
        <v>5.6560814204905219E-2</v>
      </c>
      <c r="BA312" s="43">
        <f>BA72/AZ72-1</f>
        <v>-3.079130642991379E-2</v>
      </c>
      <c r="BB312" s="43">
        <f>BB72/BA72-1</f>
        <v>3.5066453862642177E-3</v>
      </c>
      <c r="BC312" s="42" t="s">
        <v>945</v>
      </c>
      <c r="BD312" s="342"/>
      <c r="BE312" s="43">
        <f>BE72/BB72-1</f>
        <v>-7.0745051087547695E-2</v>
      </c>
      <c r="BF312" s="43">
        <f t="shared" ref="BF312:BH314" si="199">BF72/BE72-1</f>
        <v>-2.6183828084051952E-2</v>
      </c>
      <c r="BG312" s="43">
        <f t="shared" si="199"/>
        <v>-0.10201649126996093</v>
      </c>
      <c r="BH312" s="43">
        <f t="shared" si="199"/>
        <v>6.2245402811167194E-2</v>
      </c>
      <c r="BI312" s="42" t="s">
        <v>945</v>
      </c>
      <c r="BJ312" s="342"/>
      <c r="BK312" s="43">
        <f>BK72/BH72-1</f>
        <v>-0.11361342054939561</v>
      </c>
      <c r="BL312" s="43">
        <f t="shared" ref="BL312:BN314" si="200">BL72/BK72-1</f>
        <v>5.32407407407407E-2</v>
      </c>
      <c r="BM312" s="43">
        <f t="shared" si="200"/>
        <v>-5.4945054945054972E-2</v>
      </c>
      <c r="BN312" s="43">
        <f t="shared" si="200"/>
        <v>3.2558139534883734E-2</v>
      </c>
      <c r="BO312" s="42" t="s">
        <v>945</v>
      </c>
      <c r="BP312" s="342"/>
      <c r="BQ312" s="43">
        <f>BQ72/BN72-1</f>
        <v>-0.10585585585585588</v>
      </c>
      <c r="BR312" s="43">
        <f t="shared" ref="BR312:BT314" si="201">BR72/BQ72-1</f>
        <v>-2.5188916876573986E-3</v>
      </c>
      <c r="BS312" s="43">
        <f t="shared" si="201"/>
        <v>-5.555555555555558E-2</v>
      </c>
      <c r="BT312" s="43">
        <f t="shared" si="201"/>
        <v>0.12834224598930488</v>
      </c>
      <c r="BU312" s="42" t="s">
        <v>945</v>
      </c>
      <c r="BV312" s="342"/>
      <c r="BW312" s="43">
        <f>BW72/BT72-1</f>
        <v>-0.15876777251184837</v>
      </c>
      <c r="BX312" s="43">
        <f t="shared" ref="BX312:BZ314" si="202">BX72/BW72-1</f>
        <v>0.11267605633802824</v>
      </c>
      <c r="BY312" s="43">
        <f t="shared" si="202"/>
        <v>0.18987341772151889</v>
      </c>
      <c r="BZ312" s="43">
        <f t="shared" si="202"/>
        <v>0.25319148936170222</v>
      </c>
      <c r="CA312" s="42" t="s">
        <v>945</v>
      </c>
      <c r="CB312" s="342"/>
      <c r="CC312" s="43">
        <f>CC72/BZ72-1</f>
        <v>-0.18336162988115445</v>
      </c>
      <c r="CD312" s="43">
        <f t="shared" ref="CD312:CF314" si="203">CD72/CC72-1</f>
        <v>5.1975051975051922E-2</v>
      </c>
      <c r="CE312" s="43">
        <f t="shared" si="203"/>
        <v>-9.8814229249012397E-3</v>
      </c>
      <c r="CF312" s="43">
        <f t="shared" si="203"/>
        <v>0.26147704590818366</v>
      </c>
      <c r="CG312" s="181" t="s">
        <v>945</v>
      </c>
      <c r="CH312" s="342"/>
      <c r="CI312" s="43">
        <f>CI72/CF72-1</f>
        <v>1.2658227848101333E-2</v>
      </c>
      <c r="CJ312" s="43">
        <f t="shared" ref="CJ312:CL314" si="204">CJ72/CI72-1</f>
        <v>0.11874999999999991</v>
      </c>
      <c r="CK312" s="43">
        <f t="shared" si="204"/>
        <v>-3.0726256983240274E-2</v>
      </c>
      <c r="CL312" s="43">
        <f t="shared" si="204"/>
        <v>0.18011527377521608</v>
      </c>
      <c r="CM312" s="181" t="s">
        <v>945</v>
      </c>
      <c r="CN312" s="342"/>
      <c r="CO312" s="43">
        <f>CO72/CL72-1</f>
        <v>-2.1978021978022011E-2</v>
      </c>
      <c r="CP312" s="43">
        <f t="shared" ref="CP312:CR314" si="205">CP72/CO72-1</f>
        <v>9.4881398252184779E-2</v>
      </c>
      <c r="CQ312" s="43">
        <f t="shared" si="205"/>
        <v>-3.8768529076396829E-2</v>
      </c>
      <c r="CR312" s="43">
        <f t="shared" si="205"/>
        <v>0.13523131672597866</v>
      </c>
      <c r="CS312" s="181" t="s">
        <v>945</v>
      </c>
      <c r="CT312" s="342"/>
      <c r="CU312" s="43">
        <f>CU72/CR72-1</f>
        <v>-9.6133751306165083E-2</v>
      </c>
      <c r="CV312" s="43">
        <f t="shared" ref="CV312:CX314" si="206">CV72/CU72-1</f>
        <v>-2.6589595375722586E-2</v>
      </c>
      <c r="CW312" s="43">
        <f t="shared" si="206"/>
        <v>-9.9762470308788598E-2</v>
      </c>
      <c r="CX312" s="43">
        <f t="shared" si="206"/>
        <v>3.1662269129287601E-2</v>
      </c>
      <c r="CY312" s="181" t="s">
        <v>945</v>
      </c>
      <c r="CZ312" s="342"/>
      <c r="DA312" s="43">
        <f>DA72/CX72-1</f>
        <v>-0.15217391304347827</v>
      </c>
      <c r="DB312" s="43">
        <f t="shared" ref="DB312:DD314" si="207">DB72/DA72-1</f>
        <v>4.3740573152337925E-2</v>
      </c>
      <c r="DC312" s="43">
        <f t="shared" si="207"/>
        <v>-5.9248554913294837E-2</v>
      </c>
      <c r="DD312" s="43">
        <f t="shared" si="207"/>
        <v>9.5238095238095344E-2</v>
      </c>
      <c r="DE312" s="181" t="s">
        <v>945</v>
      </c>
      <c r="DF312" s="342"/>
      <c r="DG312" s="43">
        <f>DG72/DD72-1</f>
        <v>-6.5918653576437558E-2</v>
      </c>
      <c r="DH312" s="43">
        <f t="shared" ref="DH312:DJ314" si="208">DH72/DG72-1</f>
        <v>0.10810810810810811</v>
      </c>
      <c r="DI312" s="43">
        <f t="shared" si="208"/>
        <v>-2.1680216802168029E-2</v>
      </c>
      <c r="DJ312" s="43">
        <f t="shared" si="208"/>
        <v>9.0027700831024848E-2</v>
      </c>
      <c r="DK312" s="396" t="s">
        <v>945</v>
      </c>
      <c r="DL312" s="342"/>
      <c r="DM312" s="43">
        <f>DM72/DJ72-1</f>
        <v>-7.5706480304955526E-2</v>
      </c>
      <c r="DN312" s="43">
        <f t="shared" ref="DN312:DP314" si="209">DN72/DM72-1</f>
        <v>1.8241206237395557E-2</v>
      </c>
      <c r="DO312" s="43">
        <f t="shared" si="209"/>
        <v>-4.5726135700861814E-2</v>
      </c>
      <c r="DP312" s="43">
        <f t="shared" si="209"/>
        <v>4.0705600526980579E-2</v>
      </c>
      <c r="DQ312" s="396" t="s">
        <v>945</v>
      </c>
      <c r="DR312" s="342"/>
      <c r="DS312" s="43">
        <f>DS72/DP72-1</f>
        <v>-6.4751634298802263E-2</v>
      </c>
      <c r="DT312" s="43">
        <f t="shared" ref="DT312:DV314" si="210">DT72/DS72-1</f>
        <v>-1.6296587010872776E-2</v>
      </c>
      <c r="DU312" s="43">
        <f t="shared" si="210"/>
        <v>-7.3141784113036956E-2</v>
      </c>
      <c r="DV312" s="43">
        <f t="shared" si="210"/>
        <v>-9.6580310880829412E-3</v>
      </c>
      <c r="DW312" s="396" t="s">
        <v>945</v>
      </c>
      <c r="DX312" s="342"/>
      <c r="DY312" s="43">
        <f>DY72/DV72-1</f>
        <v>-5.0213138610928687E-2</v>
      </c>
      <c r="DZ312" s="43">
        <f t="shared" ref="DZ312:EB314" si="211">DZ72/DY72-1</f>
        <v>1.0618644067796668E-2</v>
      </c>
      <c r="EA312" s="43">
        <f t="shared" si="211"/>
        <v>-2.0814570702623714E-2</v>
      </c>
      <c r="EB312" s="43">
        <f t="shared" si="211"/>
        <v>0</v>
      </c>
      <c r="EC312" s="396" t="s">
        <v>945</v>
      </c>
      <c r="ED312" s="342"/>
      <c r="EE312" s="43">
        <f>EE72/EB72-1</f>
        <v>-2.7198580467034716E-2</v>
      </c>
      <c r="EF312" s="43">
        <f t="shared" ref="EF312:EH314" si="212">EF72/EE72-1</f>
        <v>8.2996756893802814E-3</v>
      </c>
      <c r="EG312" s="43">
        <f t="shared" si="212"/>
        <v>-3.9686530885927329E-2</v>
      </c>
      <c r="EH312" s="43">
        <f t="shared" si="212"/>
        <v>-6.8841370281475078E-2</v>
      </c>
      <c r="EI312" s="396" t="s">
        <v>945</v>
      </c>
      <c r="EJ312" s="342"/>
      <c r="EK312" s="43">
        <f>EK72/EH72-1</f>
        <v>-5.0017574692442945E-2</v>
      </c>
      <c r="EL312" s="43">
        <f t="shared" ref="EL312:EN314" si="213">EL72/EK72-1</f>
        <v>-2.7914472358916753E-2</v>
      </c>
      <c r="EM312" s="43">
        <f t="shared" si="213"/>
        <v>-6.2249157337821992E-2</v>
      </c>
      <c r="EN312" s="43">
        <f t="shared" si="213"/>
        <v>-4.8652890400209148E-2</v>
      </c>
      <c r="EO312" s="396" t="s">
        <v>945</v>
      </c>
      <c r="EP312" s="342"/>
      <c r="EQ312" s="43">
        <f>EQ72/EN72-1</f>
        <v>-4.2066453025893069E-2</v>
      </c>
      <c r="ER312" s="43">
        <f t="shared" ref="ER312:ET314" si="214">ER72/EQ72-1</f>
        <v>-2.925191361010715E-2</v>
      </c>
      <c r="ES312" s="43">
        <f t="shared" si="214"/>
        <v>-6.4055719465490824E-2</v>
      </c>
      <c r="ET312" s="43">
        <f t="shared" si="214"/>
        <v>-2.135122769559239E-2</v>
      </c>
      <c r="EU312" s="396" t="s">
        <v>945</v>
      </c>
      <c r="EV312" s="342"/>
      <c r="EW312" s="43">
        <f>EW72/ET72-1</f>
        <v>-3.6492074623210802E-2</v>
      </c>
      <c r="EX312" s="43">
        <f t="shared" ref="EX312:EY314" si="215">EX72/EW72-1</f>
        <v>1.9310388648287269E-2</v>
      </c>
      <c r="EY312" s="43">
        <f t="shared" si="215"/>
        <v>-3.1005214996408625E-2</v>
      </c>
      <c r="EZ312" s="43">
        <f t="shared" ref="EZ312:EZ314" si="216">EZ72/EY72-1</f>
        <v>-2.7989104689720601E-2</v>
      </c>
      <c r="FA312" s="396" t="s">
        <v>945</v>
      </c>
      <c r="FB312" s="342"/>
      <c r="FC312" s="43">
        <f>FC72/EZ72-1</f>
        <v>-2.9303452844998246E-2</v>
      </c>
      <c r="FD312" s="43">
        <f t="shared" ref="FD312:FF314" si="217">FD72/FC72-1</f>
        <v>5.5876220390704834E-3</v>
      </c>
      <c r="FE312" s="43">
        <f t="shared" si="217"/>
        <v>-4.3608259860793863E-2</v>
      </c>
      <c r="FF312" s="43">
        <f t="shared" si="217"/>
        <v>-3.2826402602658122E-2</v>
      </c>
      <c r="FG312" s="396" t="s">
        <v>945</v>
      </c>
      <c r="FH312" s="342"/>
      <c r="FI312" s="43">
        <f>FI72/FF72-1</f>
        <v>-4.1719031823526875E-2</v>
      </c>
      <c r="FJ312" s="43">
        <f t="shared" ref="FJ312:FL314" si="218">FJ72/FI72-1</f>
        <v>1.5835073500971575E-3</v>
      </c>
      <c r="FK312" s="43">
        <f t="shared" si="218"/>
        <v>-4.7050189227449746E-2</v>
      </c>
      <c r="FL312" s="43">
        <f t="shared" si="218"/>
        <v>-3.2826402602658122E-2</v>
      </c>
      <c r="FM312" s="396" t="s">
        <v>945</v>
      </c>
      <c r="FN312" s="27"/>
      <c r="FO312" s="27"/>
      <c r="FP312" s="27"/>
      <c r="FQ312" s="27"/>
      <c r="FR312" s="27"/>
      <c r="FS312" s="27"/>
      <c r="FT312" s="27"/>
      <c r="FU312" s="27"/>
      <c r="FV312" s="27"/>
      <c r="FW312" s="27"/>
      <c r="FX312" s="27"/>
      <c r="FY312" s="27"/>
      <c r="FZ312" s="27"/>
      <c r="GA312" s="27"/>
      <c r="GB312" s="27"/>
      <c r="GC312" s="27"/>
      <c r="GD312" s="27"/>
      <c r="GE312" s="27"/>
      <c r="GF312" s="27"/>
      <c r="GH312" s="27"/>
      <c r="GI312"/>
      <c r="GJ312"/>
      <c r="GK312"/>
      <c r="GL312"/>
      <c r="GM312"/>
      <c r="GN312"/>
      <c r="GO312" s="27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</row>
    <row r="313" spans="1:281" s="24" customFormat="1" hidden="1" outlineLevel="2" x14ac:dyDescent="0.2">
      <c r="A313" s="258" t="s">
        <v>440</v>
      </c>
      <c r="B313" s="413"/>
      <c r="C313" s="94" t="s">
        <v>945</v>
      </c>
      <c r="D313" s="94" t="s">
        <v>945</v>
      </c>
      <c r="E313" s="94" t="s">
        <v>945</v>
      </c>
      <c r="F313" s="94" t="s">
        <v>945</v>
      </c>
      <c r="G313" s="94" t="s">
        <v>945</v>
      </c>
      <c r="H313" s="94" t="s">
        <v>945</v>
      </c>
      <c r="I313" s="94" t="s">
        <v>945</v>
      </c>
      <c r="J313" s="94" t="s">
        <v>945</v>
      </c>
      <c r="K313" s="94" t="s">
        <v>945</v>
      </c>
      <c r="L313" s="94" t="s">
        <v>945</v>
      </c>
      <c r="M313" s="94" t="s">
        <v>945</v>
      </c>
      <c r="N313" s="342"/>
      <c r="O313" s="94" t="s">
        <v>945</v>
      </c>
      <c r="P313" s="94" t="s">
        <v>945</v>
      </c>
      <c r="Q313" s="94" t="s">
        <v>945</v>
      </c>
      <c r="R313" s="94" t="s">
        <v>945</v>
      </c>
      <c r="S313" s="42" t="s">
        <v>945</v>
      </c>
      <c r="T313" s="342"/>
      <c r="U313" s="94" t="s">
        <v>945</v>
      </c>
      <c r="V313" s="94" t="s">
        <v>945</v>
      </c>
      <c r="W313" s="94" t="s">
        <v>945</v>
      </c>
      <c r="X313" s="94" t="s">
        <v>945</v>
      </c>
      <c r="Y313" s="42" t="s">
        <v>945</v>
      </c>
      <c r="Z313" s="342"/>
      <c r="AA313" s="94" t="s">
        <v>945</v>
      </c>
      <c r="AB313" s="94" t="s">
        <v>945</v>
      </c>
      <c r="AC313" s="94" t="s">
        <v>945</v>
      </c>
      <c r="AD313" s="94" t="s">
        <v>945</v>
      </c>
      <c r="AE313" s="42" t="s">
        <v>945</v>
      </c>
      <c r="AF313" s="342"/>
      <c r="AG313" s="94" t="s">
        <v>945</v>
      </c>
      <c r="AH313" s="94" t="s">
        <v>945</v>
      </c>
      <c r="AI313" s="94" t="s">
        <v>945</v>
      </c>
      <c r="AJ313" s="94" t="s">
        <v>945</v>
      </c>
      <c r="AK313" s="42" t="s">
        <v>945</v>
      </c>
      <c r="AL313" s="342"/>
      <c r="AM313" s="94" t="s">
        <v>945</v>
      </c>
      <c r="AN313" s="94" t="s">
        <v>945</v>
      </c>
      <c r="AO313" s="94" t="s">
        <v>945</v>
      </c>
      <c r="AP313" s="94" t="s">
        <v>945</v>
      </c>
      <c r="AQ313" s="42" t="s">
        <v>945</v>
      </c>
      <c r="AR313" s="342"/>
      <c r="AS313" s="94" t="s">
        <v>945</v>
      </c>
      <c r="AT313" s="94" t="s">
        <v>945</v>
      </c>
      <c r="AU313" s="94" t="s">
        <v>945</v>
      </c>
      <c r="AV313" s="94" t="s">
        <v>945</v>
      </c>
      <c r="AW313" s="42" t="s">
        <v>945</v>
      </c>
      <c r="AX313" s="342"/>
      <c r="AY313" s="94" t="s">
        <v>945</v>
      </c>
      <c r="AZ313" s="94" t="s">
        <v>945</v>
      </c>
      <c r="BA313" s="94" t="s">
        <v>945</v>
      </c>
      <c r="BB313" s="94" t="s">
        <v>945</v>
      </c>
      <c r="BC313" s="42" t="s">
        <v>945</v>
      </c>
      <c r="BD313" s="342"/>
      <c r="BE313" s="94" t="s">
        <v>945</v>
      </c>
      <c r="BF313" s="43">
        <f t="shared" si="199"/>
        <v>7.1294293366295669E-2</v>
      </c>
      <c r="BG313" s="43">
        <f t="shared" si="199"/>
        <v>-0.10016706529969577</v>
      </c>
      <c r="BH313" s="43">
        <f t="shared" si="199"/>
        <v>0.13363698291637172</v>
      </c>
      <c r="BI313" s="42" t="s">
        <v>945</v>
      </c>
      <c r="BJ313" s="342"/>
      <c r="BK313" s="43">
        <f>BK73/BH73-1</f>
        <v>-0.24592327269299652</v>
      </c>
      <c r="BL313" s="43">
        <f t="shared" si="200"/>
        <v>0</v>
      </c>
      <c r="BM313" s="43">
        <f t="shared" si="200"/>
        <v>-1.5625E-2</v>
      </c>
      <c r="BN313" s="43">
        <f t="shared" si="200"/>
        <v>4.7619047619047672E-2</v>
      </c>
      <c r="BO313" s="42" t="s">
        <v>945</v>
      </c>
      <c r="BP313" s="342"/>
      <c r="BQ313" s="43">
        <f>BQ73/BN73-1</f>
        <v>-9.0909090909090939E-2</v>
      </c>
      <c r="BR313" s="43">
        <f t="shared" si="201"/>
        <v>8.3333333333333259E-2</v>
      </c>
      <c r="BS313" s="43">
        <f t="shared" si="201"/>
        <v>-4.6153846153846101E-2</v>
      </c>
      <c r="BT313" s="43">
        <f t="shared" si="201"/>
        <v>0.14516129032258074</v>
      </c>
      <c r="BU313" s="42" t="s">
        <v>945</v>
      </c>
      <c r="BV313" s="342"/>
      <c r="BW313" s="43">
        <f>BW73/BT73-1</f>
        <v>0</v>
      </c>
      <c r="BX313" s="43">
        <f t="shared" si="202"/>
        <v>1.4084507042253502E-2</v>
      </c>
      <c r="BY313" s="43">
        <f t="shared" si="202"/>
        <v>5.555555555555558E-2</v>
      </c>
      <c r="BZ313" s="43">
        <f t="shared" si="202"/>
        <v>5.2631578947368363E-2</v>
      </c>
      <c r="CA313" s="42" t="s">
        <v>945</v>
      </c>
      <c r="CB313" s="342"/>
      <c r="CC313" s="43">
        <f>CC73/BZ73-1</f>
        <v>5.0000000000000044E-2</v>
      </c>
      <c r="CD313" s="43">
        <f t="shared" si="203"/>
        <v>3.5714285714285809E-2</v>
      </c>
      <c r="CE313" s="43">
        <f t="shared" si="203"/>
        <v>0.10344827586206895</v>
      </c>
      <c r="CF313" s="43">
        <f t="shared" si="203"/>
        <v>0.35416666666666674</v>
      </c>
      <c r="CG313" s="181" t="s">
        <v>945</v>
      </c>
      <c r="CH313" s="342"/>
      <c r="CI313" s="43">
        <f>CI73/CF73-1</f>
        <v>-3.8461538461538436E-2</v>
      </c>
      <c r="CJ313" s="43">
        <f t="shared" si="204"/>
        <v>0.12000000000000011</v>
      </c>
      <c r="CK313" s="43">
        <f t="shared" si="204"/>
        <v>1.4285714285714235E-2</v>
      </c>
      <c r="CL313" s="43">
        <f t="shared" si="204"/>
        <v>6.3380281690140761E-2</v>
      </c>
      <c r="CM313" s="181" t="s">
        <v>945</v>
      </c>
      <c r="CN313" s="342"/>
      <c r="CO313" s="43">
        <f>CO73/CL73-1</f>
        <v>4.635761589403975E-2</v>
      </c>
      <c r="CP313" s="43">
        <f t="shared" si="205"/>
        <v>5.6962025316455778E-2</v>
      </c>
      <c r="CQ313" s="43">
        <f t="shared" si="205"/>
        <v>4.1916167664670656E-2</v>
      </c>
      <c r="CR313" s="43">
        <f t="shared" si="205"/>
        <v>0.11494252873563227</v>
      </c>
      <c r="CS313" s="181" t="s">
        <v>945</v>
      </c>
      <c r="CT313" s="342"/>
      <c r="CU313" s="43">
        <f>CU73/CR73-1</f>
        <v>5.1546391752577136E-3</v>
      </c>
      <c r="CV313" s="43">
        <f t="shared" si="206"/>
        <v>-3.0769230769230771E-2</v>
      </c>
      <c r="CW313" s="43">
        <f t="shared" si="206"/>
        <v>1.0582010582010692E-2</v>
      </c>
      <c r="CX313" s="43">
        <f t="shared" si="206"/>
        <v>6.8062827225130906E-2</v>
      </c>
      <c r="CY313" s="181" t="s">
        <v>945</v>
      </c>
      <c r="CZ313" s="342"/>
      <c r="DA313" s="43">
        <f>DA73/CX73-1</f>
        <v>-0.11764705882352944</v>
      </c>
      <c r="DB313" s="43">
        <f t="shared" si="207"/>
        <v>4.4444444444444509E-2</v>
      </c>
      <c r="DC313" s="43">
        <f t="shared" si="207"/>
        <v>0.12234042553191493</v>
      </c>
      <c r="DD313" s="43">
        <f t="shared" si="207"/>
        <v>0.39810426540284349</v>
      </c>
      <c r="DE313" s="181" t="s">
        <v>945</v>
      </c>
      <c r="DF313" s="342"/>
      <c r="DG313" s="43">
        <f>DG73/DD73-1</f>
        <v>8.8135593220338926E-2</v>
      </c>
      <c r="DH313" s="43">
        <f t="shared" si="208"/>
        <v>9.0342679127725756E-2</v>
      </c>
      <c r="DI313" s="43">
        <f t="shared" si="208"/>
        <v>-2.571428571428569E-2</v>
      </c>
      <c r="DJ313" s="43">
        <f t="shared" si="208"/>
        <v>7.6246334310850372E-2</v>
      </c>
      <c r="DK313" s="396" t="s">
        <v>945</v>
      </c>
      <c r="DL313" s="342"/>
      <c r="DM313" s="43">
        <f>DM73/DJ73-1</f>
        <v>5.5386920980926346E-2</v>
      </c>
      <c r="DN313" s="43">
        <f t="shared" si="209"/>
        <v>-3.1588296194171916E-2</v>
      </c>
      <c r="DO313" s="43">
        <f t="shared" si="209"/>
        <v>-7.3251362332441117E-2</v>
      </c>
      <c r="DP313" s="43">
        <f t="shared" si="209"/>
        <v>8.518019884009953E-2</v>
      </c>
      <c r="DQ313" s="396" t="s">
        <v>945</v>
      </c>
      <c r="DR313" s="342"/>
      <c r="DS313" s="43">
        <f>DS73/DP73-1</f>
        <v>-0.43062711951042432</v>
      </c>
      <c r="DT313" s="43">
        <f t="shared" si="210"/>
        <v>-2.9278488528094782E-2</v>
      </c>
      <c r="DU313" s="43">
        <f t="shared" si="210"/>
        <v>-0.2348998568004238</v>
      </c>
      <c r="DV313" s="43">
        <f t="shared" si="210"/>
        <v>8.6040289338147335E-3</v>
      </c>
      <c r="DW313" s="396" t="s">
        <v>945</v>
      </c>
      <c r="DX313" s="342"/>
      <c r="DY313" s="43">
        <f>DY73/DV73-1</f>
        <v>-7.6132061993872124E-3</v>
      </c>
      <c r="DZ313" s="43">
        <f t="shared" si="211"/>
        <v>0.17435920442628494</v>
      </c>
      <c r="EA313" s="43">
        <f t="shared" si="211"/>
        <v>-0.3041103826225684</v>
      </c>
      <c r="EB313" s="43">
        <f t="shared" si="211"/>
        <v>0.32626775795671192</v>
      </c>
      <c r="EC313" s="396" t="s">
        <v>945</v>
      </c>
      <c r="ED313" s="342"/>
      <c r="EE313" s="43">
        <f>EE73/EB73-1</f>
        <v>-0.13670096508129692</v>
      </c>
      <c r="EF313" s="43">
        <f t="shared" si="212"/>
        <v>0.18231241925184216</v>
      </c>
      <c r="EG313" s="43">
        <f t="shared" si="212"/>
        <v>-0.33286941097265677</v>
      </c>
      <c r="EH313" s="43">
        <f t="shared" si="212"/>
        <v>0.25859697773108881</v>
      </c>
      <c r="EI313" s="396" t="s">
        <v>945</v>
      </c>
      <c r="EJ313" s="342"/>
      <c r="EK313" s="43">
        <f>EK73/EH73-1</f>
        <v>-0.16376947637269024</v>
      </c>
      <c r="EL313" s="43">
        <f t="shared" si="213"/>
        <v>-3.8727489594541198E-2</v>
      </c>
      <c r="EM313" s="43">
        <f t="shared" si="213"/>
        <v>-0.23962488238552548</v>
      </c>
      <c r="EN313" s="43">
        <f t="shared" si="213"/>
        <v>0.31410109441048428</v>
      </c>
      <c r="EO313" s="396" t="s">
        <v>945</v>
      </c>
      <c r="EP313" s="342"/>
      <c r="EQ313" s="43">
        <f>EQ73/EN73-1</f>
        <v>-0.16453554961997818</v>
      </c>
      <c r="ER313" s="43">
        <f t="shared" si="214"/>
        <v>-4.0224541621776466E-2</v>
      </c>
      <c r="ES313" s="43">
        <f t="shared" si="214"/>
        <v>-0.25479363022397383</v>
      </c>
      <c r="ET313" s="43">
        <f t="shared" si="214"/>
        <v>0.38618665341679259</v>
      </c>
      <c r="EU313" s="396" t="s">
        <v>945</v>
      </c>
      <c r="EV313" s="342"/>
      <c r="EW313" s="43">
        <f>EW73/ET73-1</f>
        <v>-0.16855983389133533</v>
      </c>
      <c r="EX313" s="43">
        <f t="shared" si="215"/>
        <v>7.6263077670908341E-3</v>
      </c>
      <c r="EY313" s="43">
        <f t="shared" si="215"/>
        <v>-0.24493653872296262</v>
      </c>
      <c r="EZ313" s="43">
        <f t="shared" si="216"/>
        <v>0.4178528133079038</v>
      </c>
      <c r="FA313" s="396" t="s">
        <v>945</v>
      </c>
      <c r="FB313" s="342"/>
      <c r="FC313" s="43">
        <f>FC73/EZ73-1</f>
        <v>-0.17262606530205271</v>
      </c>
      <c r="FD313" s="43">
        <f t="shared" si="217"/>
        <v>-6.0680928545207014E-3</v>
      </c>
      <c r="FE313" s="43">
        <f t="shared" si="217"/>
        <v>-0.27381264689893492</v>
      </c>
      <c r="FF313" s="43">
        <f t="shared" si="217"/>
        <v>0.46088899218848312</v>
      </c>
      <c r="FG313" s="396" t="s">
        <v>945</v>
      </c>
      <c r="FH313" s="342"/>
      <c r="FI313" s="43">
        <f>FI73/FF73-1</f>
        <v>-0.19494771237931263</v>
      </c>
      <c r="FJ313" s="43">
        <f t="shared" si="218"/>
        <v>-1.0106933440304111E-2</v>
      </c>
      <c r="FK313" s="43">
        <f t="shared" si="218"/>
        <v>-0.29899215417063341</v>
      </c>
      <c r="FL313" s="43">
        <f t="shared" si="218"/>
        <v>0.52373364891912444</v>
      </c>
      <c r="FM313" s="396" t="s">
        <v>945</v>
      </c>
      <c r="FN313" s="27"/>
      <c r="FO313" s="27"/>
      <c r="FP313" s="27"/>
      <c r="FQ313" s="27"/>
      <c r="FR313" s="27"/>
      <c r="FS313" s="27"/>
      <c r="FT313" s="27"/>
      <c r="FU313" s="27"/>
      <c r="FV313" s="27"/>
      <c r="FW313" s="27"/>
      <c r="FX313" s="27"/>
      <c r="FY313" s="27"/>
      <c r="FZ313" s="27"/>
      <c r="GA313" s="27"/>
      <c r="GB313" s="27"/>
      <c r="GC313" s="27"/>
      <c r="GD313" s="27"/>
      <c r="GE313" s="27"/>
      <c r="GF313" s="27"/>
      <c r="GH313" s="27"/>
      <c r="GI313"/>
      <c r="GJ313"/>
      <c r="GK313"/>
      <c r="GL313"/>
      <c r="GM313"/>
      <c r="GN313"/>
      <c r="GO313" s="27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</row>
    <row r="314" spans="1:281" s="24" customFormat="1" hidden="1" outlineLevel="2" x14ac:dyDescent="0.2">
      <c r="A314" s="258" t="s">
        <v>441</v>
      </c>
      <c r="B314" s="413"/>
      <c r="C314" s="94" t="s">
        <v>945</v>
      </c>
      <c r="D314" s="94" t="s">
        <v>945</v>
      </c>
      <c r="E314" s="94" t="s">
        <v>945</v>
      </c>
      <c r="F314" s="94" t="s">
        <v>945</v>
      </c>
      <c r="G314" s="94" t="s">
        <v>945</v>
      </c>
      <c r="H314" s="94" t="s">
        <v>945</v>
      </c>
      <c r="I314" s="94" t="s">
        <v>945</v>
      </c>
      <c r="J314" s="94" t="s">
        <v>945</v>
      </c>
      <c r="K314" s="94" t="s">
        <v>945</v>
      </c>
      <c r="L314" s="94" t="s">
        <v>945</v>
      </c>
      <c r="M314" s="94" t="s">
        <v>945</v>
      </c>
      <c r="N314" s="342"/>
      <c r="O314" s="94" t="s">
        <v>945</v>
      </c>
      <c r="P314" s="94" t="s">
        <v>945</v>
      </c>
      <c r="Q314" s="94" t="s">
        <v>945</v>
      </c>
      <c r="R314" s="94" t="s">
        <v>945</v>
      </c>
      <c r="S314" s="42" t="s">
        <v>945</v>
      </c>
      <c r="T314" s="342"/>
      <c r="U314" s="94" t="s">
        <v>945</v>
      </c>
      <c r="V314" s="94" t="s">
        <v>945</v>
      </c>
      <c r="W314" s="94" t="s">
        <v>945</v>
      </c>
      <c r="X314" s="94" t="s">
        <v>945</v>
      </c>
      <c r="Y314" s="42" t="s">
        <v>945</v>
      </c>
      <c r="Z314" s="342"/>
      <c r="AA314" s="94" t="s">
        <v>945</v>
      </c>
      <c r="AB314" s="94" t="s">
        <v>945</v>
      </c>
      <c r="AC314" s="94" t="s">
        <v>945</v>
      </c>
      <c r="AD314" s="94" t="s">
        <v>945</v>
      </c>
      <c r="AE314" s="42" t="s">
        <v>945</v>
      </c>
      <c r="AF314" s="342"/>
      <c r="AG314" s="94" t="s">
        <v>945</v>
      </c>
      <c r="AH314" s="94" t="s">
        <v>945</v>
      </c>
      <c r="AI314" s="94" t="s">
        <v>945</v>
      </c>
      <c r="AJ314" s="94" t="s">
        <v>945</v>
      </c>
      <c r="AK314" s="42" t="s">
        <v>945</v>
      </c>
      <c r="AL314" s="342"/>
      <c r="AM314" s="94" t="s">
        <v>945</v>
      </c>
      <c r="AN314" s="94" t="s">
        <v>945</v>
      </c>
      <c r="AO314" s="94" t="s">
        <v>945</v>
      </c>
      <c r="AP314" s="94" t="s">
        <v>945</v>
      </c>
      <c r="AQ314" s="42" t="s">
        <v>945</v>
      </c>
      <c r="AR314" s="342"/>
      <c r="AS314" s="94" t="s">
        <v>945</v>
      </c>
      <c r="AT314" s="43">
        <f>AT74/AS74-1</f>
        <v>4.948104613054749E-2</v>
      </c>
      <c r="AU314" s="43">
        <f>AU74/AT74-1</f>
        <v>-2.903362407354293E-2</v>
      </c>
      <c r="AV314" s="43">
        <f>AV74/AU74-1</f>
        <v>0.11295422137883704</v>
      </c>
      <c r="AW314" s="42" t="s">
        <v>945</v>
      </c>
      <c r="AX314" s="342"/>
      <c r="AY314" s="43">
        <f>AY74/AV74-1</f>
        <v>-0.27541287382612367</v>
      </c>
      <c r="AZ314" s="43">
        <f>AZ74/AY74-1</f>
        <v>0.26107936650769359</v>
      </c>
      <c r="BA314" s="43">
        <f>BA74/AZ74-1</f>
        <v>-0.14718815501939964</v>
      </c>
      <c r="BB314" s="43">
        <f>BB74/BA74-1</f>
        <v>0.20363339713218909</v>
      </c>
      <c r="BC314" s="42" t="s">
        <v>945</v>
      </c>
      <c r="BD314" s="342"/>
      <c r="BE314" s="43">
        <f>BE74/BB74-1</f>
        <v>-0.2343004614061156</v>
      </c>
      <c r="BF314" s="43">
        <f t="shared" si="199"/>
        <v>-2.5862753776143554E-2</v>
      </c>
      <c r="BG314" s="43">
        <f t="shared" si="199"/>
        <v>-0.25832945013979502</v>
      </c>
      <c r="BH314" s="43">
        <f t="shared" si="199"/>
        <v>0.24994895154323427</v>
      </c>
      <c r="BI314" s="42" t="s">
        <v>945</v>
      </c>
      <c r="BJ314" s="342"/>
      <c r="BK314" s="43">
        <f>BK74/BH74-1</f>
        <v>-0.19575762145316544</v>
      </c>
      <c r="BL314" s="43">
        <f t="shared" si="200"/>
        <v>0.109375</v>
      </c>
      <c r="BM314" s="43">
        <f t="shared" si="200"/>
        <v>-0.23943661971830987</v>
      </c>
      <c r="BN314" s="43">
        <f t="shared" si="200"/>
        <v>0.27777777777777768</v>
      </c>
      <c r="BO314" s="42" t="s">
        <v>945</v>
      </c>
      <c r="BP314" s="342"/>
      <c r="BQ314" s="43">
        <f>BQ74/BN74-1</f>
        <v>-0.18840579710144922</v>
      </c>
      <c r="BR314" s="43">
        <f t="shared" si="201"/>
        <v>0.21428571428571419</v>
      </c>
      <c r="BS314" s="43">
        <f t="shared" si="201"/>
        <v>-0.26470588235294112</v>
      </c>
      <c r="BT314" s="43">
        <f t="shared" si="201"/>
        <v>0.30000000000000004</v>
      </c>
      <c r="BU314" s="42" t="s">
        <v>945</v>
      </c>
      <c r="BV314" s="342"/>
      <c r="BW314" s="43">
        <f>BW74/BT74-1</f>
        <v>-0.23076923076923073</v>
      </c>
      <c r="BX314" s="43">
        <f t="shared" si="202"/>
        <v>0.32000000000000006</v>
      </c>
      <c r="BY314" s="43">
        <f t="shared" si="202"/>
        <v>3.0303030303030276E-2</v>
      </c>
      <c r="BZ314" s="43">
        <f t="shared" si="202"/>
        <v>0.26470588235294112</v>
      </c>
      <c r="CA314" s="42" t="s">
        <v>945</v>
      </c>
      <c r="CB314" s="342"/>
      <c r="CC314" s="43">
        <f>CC74/BZ74-1</f>
        <v>-0.16279069767441856</v>
      </c>
      <c r="CD314" s="43">
        <f t="shared" si="203"/>
        <v>0.13888888888888884</v>
      </c>
      <c r="CE314" s="43">
        <f t="shared" si="203"/>
        <v>-9.7560975609756073E-2</v>
      </c>
      <c r="CF314" s="43">
        <f t="shared" si="203"/>
        <v>0.28378378378378377</v>
      </c>
      <c r="CG314" s="181" t="s">
        <v>945</v>
      </c>
      <c r="CH314" s="342"/>
      <c r="CI314" s="43">
        <f>CI74/CF74-1</f>
        <v>-0.14736842105263159</v>
      </c>
      <c r="CJ314" s="43">
        <f t="shared" si="204"/>
        <v>0.14814814814814814</v>
      </c>
      <c r="CK314" s="43">
        <f t="shared" si="204"/>
        <v>-0.13978494623655913</v>
      </c>
      <c r="CL314" s="43">
        <f t="shared" si="204"/>
        <v>0.3125</v>
      </c>
      <c r="CM314" s="181" t="s">
        <v>945</v>
      </c>
      <c r="CN314" s="342"/>
      <c r="CO314" s="43">
        <f>CO74/CL74-1</f>
        <v>-4.7619047619047672E-2</v>
      </c>
      <c r="CP314" s="43">
        <f t="shared" si="205"/>
        <v>0.10000000000000009</v>
      </c>
      <c r="CQ314" s="43">
        <f t="shared" si="205"/>
        <v>-0.16363636363636369</v>
      </c>
      <c r="CR314" s="43">
        <f t="shared" si="205"/>
        <v>0.23913043478260865</v>
      </c>
      <c r="CS314" s="181" t="s">
        <v>945</v>
      </c>
      <c r="CT314" s="342"/>
      <c r="CU314" s="43">
        <f>CU74/CR74-1</f>
        <v>-0.13157894736842102</v>
      </c>
      <c r="CV314" s="43">
        <f t="shared" si="206"/>
        <v>1.0101010101010166E-2</v>
      </c>
      <c r="CW314" s="43">
        <f t="shared" si="206"/>
        <v>-0.29000000000000004</v>
      </c>
      <c r="CX314" s="43">
        <f t="shared" si="206"/>
        <v>0.11267605633802824</v>
      </c>
      <c r="CY314" s="181" t="s">
        <v>945</v>
      </c>
      <c r="CZ314" s="342"/>
      <c r="DA314" s="43">
        <f>DA74/CX74-1</f>
        <v>-0.16455696202531644</v>
      </c>
      <c r="DB314" s="43">
        <f t="shared" si="207"/>
        <v>0.18181818181818188</v>
      </c>
      <c r="DC314" s="43">
        <f t="shared" si="207"/>
        <v>-0.11538461538461542</v>
      </c>
      <c r="DD314" s="43">
        <f t="shared" si="207"/>
        <v>0.44927536231884058</v>
      </c>
      <c r="DE314" s="181" t="s">
        <v>945</v>
      </c>
      <c r="DF314" s="342"/>
      <c r="DG314" s="43">
        <f>DG74/DD74-1</f>
        <v>-0.18999999999999995</v>
      </c>
      <c r="DH314" s="43">
        <f t="shared" si="208"/>
        <v>0.19753086419753085</v>
      </c>
      <c r="DI314" s="43">
        <f t="shared" si="208"/>
        <v>-0.14432989690721654</v>
      </c>
      <c r="DJ314" s="43">
        <f t="shared" si="208"/>
        <v>0.1325301204819278</v>
      </c>
      <c r="DK314" s="396" t="s">
        <v>945</v>
      </c>
      <c r="DL314" s="342"/>
      <c r="DM314" s="43">
        <f>DM74/DJ74-1</f>
        <v>-0.30580851063829761</v>
      </c>
      <c r="DN314" s="43">
        <f t="shared" si="209"/>
        <v>-1.5845771906702888E-2</v>
      </c>
      <c r="DO314" s="43">
        <f t="shared" si="209"/>
        <v>0.35322329492369908</v>
      </c>
      <c r="DP314" s="43">
        <f t="shared" si="209"/>
        <v>2.806545153272566E-2</v>
      </c>
      <c r="DQ314" s="396" t="s">
        <v>945</v>
      </c>
      <c r="DR314" s="342"/>
      <c r="DS314" s="43">
        <f>DS74/DP74-1</f>
        <v>-0.34186226117323115</v>
      </c>
      <c r="DT314" s="43">
        <f t="shared" si="210"/>
        <v>1.255102040816336E-2</v>
      </c>
      <c r="DU314" s="43">
        <f t="shared" si="210"/>
        <v>-2.7511841177063512E-2</v>
      </c>
      <c r="DV314" s="43">
        <f t="shared" si="210"/>
        <v>0.13789291882556132</v>
      </c>
      <c r="DW314" s="396" t="s">
        <v>945</v>
      </c>
      <c r="DX314" s="342"/>
      <c r="DY314" s="43">
        <f>DY74/DV74-1</f>
        <v>-0.28358933883795756</v>
      </c>
      <c r="DZ314" s="43">
        <f t="shared" si="211"/>
        <v>-5.2966101694915668E-3</v>
      </c>
      <c r="EA314" s="43">
        <f t="shared" si="211"/>
        <v>2.8753993610222128E-3</v>
      </c>
      <c r="EB314" s="43">
        <f t="shared" si="211"/>
        <v>0</v>
      </c>
      <c r="EC314" s="396" t="s">
        <v>945</v>
      </c>
      <c r="ED314" s="342"/>
      <c r="EE314" s="43">
        <f>EE74/EB74-1</f>
        <v>-4.2956355527237866E-2</v>
      </c>
      <c r="EF314" s="43">
        <f t="shared" si="212"/>
        <v>-8.0954409884960166E-3</v>
      </c>
      <c r="EG314" s="43">
        <f t="shared" si="212"/>
        <v>-1.5678694158075435E-2</v>
      </c>
      <c r="EH314" s="43">
        <f t="shared" si="212"/>
        <v>-6.8841370281475078E-2</v>
      </c>
      <c r="EI314" s="396" t="s">
        <v>945</v>
      </c>
      <c r="EJ314" s="342"/>
      <c r="EK314" s="43">
        <f>EK74/EH74-1</f>
        <v>-6.6256590509666036E-2</v>
      </c>
      <c r="EL314" s="43">
        <f t="shared" si="213"/>
        <v>-4.4252044252044209E-2</v>
      </c>
      <c r="EM314" s="43">
        <f t="shared" si="213"/>
        <v>-3.799698037242083E-2</v>
      </c>
      <c r="EN314" s="43">
        <f t="shared" si="213"/>
        <v>-4.8652890400209148E-2</v>
      </c>
      <c r="EO314" s="396" t="s">
        <v>945</v>
      </c>
      <c r="EP314" s="342"/>
      <c r="EQ314" s="43">
        <f>EQ74/EN74-1</f>
        <v>-5.9389606818806673E-2</v>
      </c>
      <c r="ER314" s="43">
        <f t="shared" si="214"/>
        <v>-4.6134489025583703E-2</v>
      </c>
      <c r="ES314" s="43">
        <f t="shared" si="214"/>
        <v>-3.8985783379745009E-2</v>
      </c>
      <c r="ET314" s="43">
        <f t="shared" si="214"/>
        <v>-2.1351227695592501E-2</v>
      </c>
      <c r="EU314" s="396" t="s">
        <v>945</v>
      </c>
      <c r="EV314" s="342"/>
      <c r="EW314" s="43">
        <f>EW74/ET74-1</f>
        <v>-5.4974712057460962E-2</v>
      </c>
      <c r="EX314" s="43">
        <f t="shared" si="215"/>
        <v>9.4443569966951024E-4</v>
      </c>
      <c r="EY314" s="43">
        <f t="shared" si="215"/>
        <v>-4.0886931907533342E-3</v>
      </c>
      <c r="EZ314" s="43">
        <f t="shared" si="216"/>
        <v>-2.798910468972049E-2</v>
      </c>
      <c r="FA314" s="396" t="s">
        <v>945</v>
      </c>
      <c r="FB314" s="342"/>
      <c r="FC314" s="43">
        <f>FC74/EZ74-1</f>
        <v>-4.91135864604062E-2</v>
      </c>
      <c r="FD314" s="43">
        <f t="shared" si="217"/>
        <v>-1.320840827941705E-2</v>
      </c>
      <c r="FE314" s="43">
        <f t="shared" si="217"/>
        <v>-1.602003658754747E-2</v>
      </c>
      <c r="FF314" s="43">
        <f t="shared" si="217"/>
        <v>-3.2826402602658011E-2</v>
      </c>
      <c r="FG314" s="396" t="s">
        <v>945</v>
      </c>
      <c r="FH314" s="342"/>
      <c r="FI314" s="43">
        <f>FI74/FF74-1</f>
        <v>-6.2592478655093542E-2</v>
      </c>
      <c r="FJ314" s="43">
        <f t="shared" si="218"/>
        <v>-1.7864716093593969E-2</v>
      </c>
      <c r="FK314" s="43">
        <f t="shared" si="218"/>
        <v>-1.8461694904273185E-2</v>
      </c>
      <c r="FL314" s="43">
        <f t="shared" si="218"/>
        <v>-3.2826402602658011E-2</v>
      </c>
      <c r="FM314" s="396" t="s">
        <v>945</v>
      </c>
      <c r="FN314" s="27"/>
      <c r="FO314" s="27"/>
      <c r="FP314" s="27"/>
      <c r="FQ314" s="27"/>
      <c r="FR314" s="27"/>
      <c r="FS314" s="27"/>
      <c r="FT314" s="27"/>
      <c r="FU314" s="27"/>
      <c r="FV314" s="27"/>
      <c r="FW314" s="27"/>
      <c r="FX314" s="27"/>
      <c r="FY314" s="27"/>
      <c r="FZ314" s="27"/>
      <c r="GA314" s="27"/>
      <c r="GB314" s="27"/>
      <c r="GC314" s="27"/>
      <c r="GD314" s="27"/>
      <c r="GE314" s="27"/>
      <c r="GF314" s="27"/>
      <c r="GH314" s="27"/>
      <c r="GI314"/>
      <c r="GJ314"/>
      <c r="GK314"/>
      <c r="GL314"/>
      <c r="GM314"/>
      <c r="GN314"/>
      <c r="GO314" s="27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</row>
    <row r="315" spans="1:281" s="24" customFormat="1" hidden="1" outlineLevel="1" x14ac:dyDescent="0.2">
      <c r="A315" s="353" t="s">
        <v>176</v>
      </c>
      <c r="B315" s="413"/>
      <c r="C315" s="42" t="s">
        <v>945</v>
      </c>
      <c r="D315" s="42" t="s">
        <v>945</v>
      </c>
      <c r="E315" s="42" t="s">
        <v>945</v>
      </c>
      <c r="F315" s="42" t="s">
        <v>945</v>
      </c>
      <c r="G315" s="42" t="s">
        <v>945</v>
      </c>
      <c r="H315" s="42" t="s">
        <v>945</v>
      </c>
      <c r="I315" s="42" t="s">
        <v>945</v>
      </c>
      <c r="J315" s="42" t="s">
        <v>945</v>
      </c>
      <c r="K315" s="42" t="s">
        <v>945</v>
      </c>
      <c r="L315" s="42" t="s">
        <v>945</v>
      </c>
      <c r="M315" s="42" t="s">
        <v>945</v>
      </c>
      <c r="N315" s="342"/>
      <c r="O315" s="42" t="s">
        <v>945</v>
      </c>
      <c r="P315" s="43">
        <f>P91/O91-1</f>
        <v>0.20451269960501284</v>
      </c>
      <c r="Q315" s="43">
        <f>Q91/P91-1</f>
        <v>7.752730202303515E-2</v>
      </c>
      <c r="R315" s="43">
        <f>R91/Q91-1</f>
        <v>0.40932647508809339</v>
      </c>
      <c r="S315" s="42" t="s">
        <v>945</v>
      </c>
      <c r="T315" s="342"/>
      <c r="U315" s="43">
        <f>U91/R91-1</f>
        <v>-0.2417536858506758</v>
      </c>
      <c r="V315" s="43">
        <f>V91/U91-1</f>
        <v>0.25291039293705775</v>
      </c>
      <c r="W315" s="43">
        <f>W91/V91-1</f>
        <v>5.5055842812823164E-2</v>
      </c>
      <c r="X315" s="43">
        <f>X91/W91-1</f>
        <v>0.43503041934291842</v>
      </c>
      <c r="Y315" s="42" t="s">
        <v>945</v>
      </c>
      <c r="Z315" s="342"/>
      <c r="AA315" s="43">
        <f>AA91/X91-1</f>
        <v>-0.28123919965794075</v>
      </c>
      <c r="AB315" s="43">
        <f>AB91/AA91-1</f>
        <v>0.2461744014885221</v>
      </c>
      <c r="AC315" s="43">
        <f>AC91/AB91-1</f>
        <v>4.6699146619611387E-2</v>
      </c>
      <c r="AD315" s="43">
        <f>AD91/AC91-1</f>
        <v>0.41921357294444994</v>
      </c>
      <c r="AE315" s="42" t="s">
        <v>945</v>
      </c>
      <c r="AF315" s="342"/>
      <c r="AG315" s="43">
        <f>AG91/AD91-1</f>
        <v>-0.29732740392735024</v>
      </c>
      <c r="AH315" s="43">
        <f>AH91/AG91-1</f>
        <v>0.17891144833390316</v>
      </c>
      <c r="AI315" s="43">
        <f>AI91/AH91-1</f>
        <v>8.3675863389532479E-2</v>
      </c>
      <c r="AJ315" s="43">
        <f>AJ91/AI91-1</f>
        <v>0.37958161139598001</v>
      </c>
      <c r="AK315" s="42" t="s">
        <v>945</v>
      </c>
      <c r="AL315" s="342"/>
      <c r="AM315" s="43">
        <f>AM91/AJ91-1</f>
        <v>-0.27499623842460663</v>
      </c>
      <c r="AN315" s="43">
        <f>AN91/AM91-1</f>
        <v>0.17542292937551118</v>
      </c>
      <c r="AO315" s="43">
        <f>AO91/AN91-1</f>
        <v>1.1175401664636597E-2</v>
      </c>
      <c r="AP315" s="43">
        <f>AP91/AO91-1</f>
        <v>0.41577261270274946</v>
      </c>
      <c r="AQ315" s="42" t="s">
        <v>945</v>
      </c>
      <c r="AR315" s="342"/>
      <c r="AS315" s="43">
        <f>AS91/AP91-1</f>
        <v>-0.32574598797667087</v>
      </c>
      <c r="AT315" s="43">
        <f>AT91/AS91-1</f>
        <v>0.16999904762720597</v>
      </c>
      <c r="AU315" s="43">
        <f>AU91/AT91-1</f>
        <v>5.4927401596032155E-2</v>
      </c>
      <c r="AV315" s="43">
        <f>AV91/AU91-1</f>
        <v>0.37759663724199011</v>
      </c>
      <c r="AW315" s="42" t="s">
        <v>945</v>
      </c>
      <c r="AX315" s="342"/>
      <c r="AY315" s="43">
        <f>AY91/AV91-1</f>
        <v>-0.32193781839842817</v>
      </c>
      <c r="AZ315" s="43">
        <f>AZ91/AY91-1</f>
        <v>0.17413347599117457</v>
      </c>
      <c r="BA315" s="43">
        <f>BA91/AZ91-1</f>
        <v>3.5936462369081656E-3</v>
      </c>
      <c r="BB315" s="43">
        <f>BB91/BA91-1</f>
        <v>0.22038365586548081</v>
      </c>
      <c r="BC315" s="42" t="s">
        <v>945</v>
      </c>
      <c r="BD315" s="342"/>
      <c r="BE315" s="43">
        <f>BE91/BB91-1</f>
        <v>-0.31158156116745639</v>
      </c>
      <c r="BF315" s="43">
        <f>BF91/BE91-1</f>
        <v>5.0940043398504775E-2</v>
      </c>
      <c r="BG315" s="43">
        <f>BG91/BF91-1</f>
        <v>-5.340069911533063E-2</v>
      </c>
      <c r="BH315" s="43">
        <f>BH91/BG91-1</f>
        <v>0.231063941206753</v>
      </c>
      <c r="BI315" s="42" t="s">
        <v>945</v>
      </c>
      <c r="BJ315" s="342"/>
      <c r="BK315" s="43">
        <f>BK91/BH91-1</f>
        <v>-0.26892073161279773</v>
      </c>
      <c r="BL315" s="43">
        <f>BL91/BK91-1</f>
        <v>0.13856015779092701</v>
      </c>
      <c r="BM315" s="43">
        <f>BM91/BL91-1</f>
        <v>-8.6617583369419382E-4</v>
      </c>
      <c r="BN315" s="43">
        <f>BN91/BM91-1</f>
        <v>0.22730819245773737</v>
      </c>
      <c r="BO315" s="42" t="s">
        <v>945</v>
      </c>
      <c r="BP315" s="342"/>
      <c r="BQ315" s="43">
        <f>BQ91/BN91-1</f>
        <v>-0.26820654093381369</v>
      </c>
      <c r="BR315" s="43">
        <f>BR91/BQ91-1</f>
        <v>0.20559845559845558</v>
      </c>
      <c r="BS315" s="43">
        <f>BS91/BR91-1</f>
        <v>4.4035228182546238E-3</v>
      </c>
      <c r="BT315" s="43">
        <f>BT91/BS91-1</f>
        <v>0.22638501394978072</v>
      </c>
      <c r="BU315" s="42" t="s">
        <v>945</v>
      </c>
      <c r="BV315" s="342"/>
      <c r="BW315" s="43">
        <f>BW91/BT91-1</f>
        <v>-0.28014299642508933</v>
      </c>
      <c r="BX315" s="43">
        <f>BX91/BW91-1</f>
        <v>0.24424379232505644</v>
      </c>
      <c r="BY315" s="43">
        <f>BY91/BX91-1</f>
        <v>0.12227866473149485</v>
      </c>
      <c r="BZ315" s="43">
        <f>BZ91/BY91-1</f>
        <v>0.31102489492402197</v>
      </c>
      <c r="CA315" s="42" t="s">
        <v>945</v>
      </c>
      <c r="CB315" s="342"/>
      <c r="CC315" s="43">
        <f>CC91/BZ91-1</f>
        <v>-0.28310727496917387</v>
      </c>
      <c r="CD315" s="43">
        <f>CD91/CC91-1</f>
        <v>0.16752665978672177</v>
      </c>
      <c r="CE315" s="43">
        <f>CE91/CD91-1</f>
        <v>4.1367118444313622E-2</v>
      </c>
      <c r="CF315" s="43">
        <f>CF91/CE91-1</f>
        <v>0.396842462652784</v>
      </c>
      <c r="CG315" s="181" t="s">
        <v>945</v>
      </c>
      <c r="CH315" s="342"/>
      <c r="CI315" s="43">
        <f>CI91/CF91-1</f>
        <v>-0.25845655256228484</v>
      </c>
      <c r="CJ315" s="43">
        <f>CJ91/CI91-1</f>
        <v>0.15159792406446315</v>
      </c>
      <c r="CK315" s="43">
        <f>CK91/CJ91-1</f>
        <v>5.5265654648956275E-2</v>
      </c>
      <c r="CL315" s="43">
        <f>CL91/CK91-1</f>
        <v>0.32231962238705325</v>
      </c>
      <c r="CM315" s="181" t="s">
        <v>945</v>
      </c>
      <c r="CN315" s="342"/>
      <c r="CO315" s="43">
        <f>CO91/CL91-1</f>
        <v>-0.21927587965323814</v>
      </c>
      <c r="CP315" s="43">
        <f>CP91/CO91-1</f>
        <v>0.16786414108425873</v>
      </c>
      <c r="CQ315" s="43">
        <f>CQ91/CP91-1</f>
        <v>1.3049962714393182E-3</v>
      </c>
      <c r="CR315" s="43">
        <f>CR91/CQ91-1</f>
        <v>0.35561347979892011</v>
      </c>
      <c r="CS315" s="181" t="s">
        <v>945</v>
      </c>
      <c r="CT315" s="342"/>
      <c r="CU315" s="43">
        <f>CU91/CR91-1</f>
        <v>-0.25532207114407357</v>
      </c>
      <c r="CV315" s="43">
        <f>CV91/CU91-1</f>
        <v>4.8874953891552941E-2</v>
      </c>
      <c r="CW315" s="43">
        <f>CW91/CV91-1</f>
        <v>-3.2178653068401619E-2</v>
      </c>
      <c r="CX315" s="43">
        <f>CX91/CW91-1</f>
        <v>0.25018168604651159</v>
      </c>
      <c r="CY315" s="181" t="s">
        <v>945</v>
      </c>
      <c r="CZ315" s="342"/>
      <c r="DA315" s="43">
        <f>DA91/CX91-1</f>
        <v>-0.26420578404301698</v>
      </c>
      <c r="DB315" s="43">
        <f>DB91/DA91-1</f>
        <v>0.15978668773454463</v>
      </c>
      <c r="DC315" s="43">
        <f>DC91/DB91-1</f>
        <v>0.10173705722070836</v>
      </c>
      <c r="DD315" s="43">
        <f>DD91/DC91-1</f>
        <v>0.48870065230160464</v>
      </c>
      <c r="DE315" s="181" t="s">
        <v>945</v>
      </c>
      <c r="DF315" s="342"/>
      <c r="DG315" s="43">
        <f>DG91/DD91-1</f>
        <v>-0.2121275049319904</v>
      </c>
      <c r="DH315" s="43">
        <f>DH91/DG91-1</f>
        <v>0.14575645756457556</v>
      </c>
      <c r="DI315" s="43">
        <f>DI91/DH91-1</f>
        <v>1.2997469519208549E-2</v>
      </c>
      <c r="DJ315" s="43">
        <f>DJ91/DI91-1</f>
        <v>0.22697853979788807</v>
      </c>
      <c r="DK315" s="396" t="s">
        <v>945</v>
      </c>
      <c r="DL315" s="342"/>
      <c r="DM315" s="43">
        <f>DM91/DJ91-1</f>
        <v>-0.22283916342772536</v>
      </c>
      <c r="DN315" s="43">
        <f>DN91/DM91-1</f>
        <v>4.9178375803762719E-2</v>
      </c>
      <c r="DO315" s="43">
        <f>DO91/DN91-1</f>
        <v>2.8525615707638119E-2</v>
      </c>
      <c r="DP315" s="43">
        <f>DP91/DO91-1</f>
        <v>0.20831492381128269</v>
      </c>
      <c r="DQ315" s="396" t="s">
        <v>945</v>
      </c>
      <c r="DR315" s="342"/>
      <c r="DS315" s="43">
        <f>DS91/DP91-1</f>
        <v>-0.25033056823819655</v>
      </c>
      <c r="DT315" s="43">
        <f>DT91/DS91-1</f>
        <v>0.11012303569253268</v>
      </c>
      <c r="DU315" s="43">
        <f>DU91/DT91-1</f>
        <v>-1.5691868758915817E-2</v>
      </c>
      <c r="DV315" s="43">
        <f>DV91/DU91-1</f>
        <v>0.22196209587513938</v>
      </c>
      <c r="DW315" s="396" t="s">
        <v>945</v>
      </c>
      <c r="DX315" s="342"/>
      <c r="DY315" s="43">
        <f>DY91/DV91-1</f>
        <v>-0.23537998357814072</v>
      </c>
      <c r="DZ315" s="43">
        <f>DZ91/DY91-1</f>
        <v>0.10762438849779254</v>
      </c>
      <c r="EA315" s="43">
        <f>EA91/DZ91-1</f>
        <v>3.4471614779705284E-3</v>
      </c>
      <c r="EB315" s="43">
        <f>EB91/EA91-1</f>
        <v>0.21588835212023616</v>
      </c>
      <c r="EC315" s="396" t="s">
        <v>945</v>
      </c>
      <c r="ED315" s="342"/>
      <c r="EE315" s="43">
        <f>EE91/EB91-1</f>
        <v>-0.2407734416387074</v>
      </c>
      <c r="EF315" s="43">
        <f>EF91/EE91-1</f>
        <v>0.11733922549133613</v>
      </c>
      <c r="EG315" s="43">
        <f>EG91/EF91-1</f>
        <v>-2.8517901748542851E-2</v>
      </c>
      <c r="EH315" s="43">
        <f>EH91/EG91-1</f>
        <v>0.14763231197771587</v>
      </c>
      <c r="EI315" s="396" t="s">
        <v>945</v>
      </c>
      <c r="EJ315" s="342"/>
      <c r="EK315" s="43">
        <f>EK91/EH91-1</f>
        <v>-0.21107169529499625</v>
      </c>
      <c r="EL315" s="43">
        <f>EL91/EK91-1</f>
        <v>6.4489409537332953E-2</v>
      </c>
      <c r="EM315" s="43">
        <f>EM91/EL91-1</f>
        <v>2.0008892841263393E-3</v>
      </c>
      <c r="EN315" s="43">
        <f>EN91/EM91-1</f>
        <v>0.17550477035722212</v>
      </c>
      <c r="EO315" s="396" t="s">
        <v>945</v>
      </c>
      <c r="EP315" s="342"/>
      <c r="EQ315" s="43">
        <f>EQ91/EN91-1</f>
        <v>-0.18714609286523221</v>
      </c>
      <c r="ER315" s="43">
        <f>ER91/EQ91-1</f>
        <v>5.3033786137234307E-2</v>
      </c>
      <c r="ES315" s="43">
        <f>ES91/ER91-1</f>
        <v>2.2516532925826338E-2</v>
      </c>
      <c r="ET315" s="43">
        <f>ET91/ES91-1</f>
        <v>0.17974983825749402</v>
      </c>
      <c r="EU315" s="396" t="s">
        <v>945</v>
      </c>
      <c r="EV315" s="342"/>
      <c r="EW315" s="43">
        <f>EW91/ET91-1</f>
        <v>-0.15802943058221364</v>
      </c>
      <c r="EX315" s="43">
        <f>EX91/EW91-1</f>
        <v>4.5375597047329519E-2</v>
      </c>
      <c r="EY315" s="43">
        <f>EY91/EX91-1</f>
        <v>1.5160955347871319E-2</v>
      </c>
      <c r="EZ315" s="43">
        <f>EZ91/EY91-1</f>
        <v>0.14460645111474202</v>
      </c>
      <c r="FA315" s="396" t="s">
        <v>945</v>
      </c>
      <c r="FB315" s="342"/>
      <c r="FC315" s="43">
        <f>FC91/EZ91-1</f>
        <v>-0.14658856035619661</v>
      </c>
      <c r="FD315" s="43">
        <f>FD91/FC91-1</f>
        <v>4.5288983059559085E-2</v>
      </c>
      <c r="FE315" s="43">
        <f>FE91/FD91-1</f>
        <v>1.1015809866585791E-2</v>
      </c>
      <c r="FF315" s="43">
        <f>FF91/FE91-1</f>
        <v>0.12997057867081208</v>
      </c>
      <c r="FG315" s="396" t="s">
        <v>945</v>
      </c>
      <c r="FH315" s="342"/>
      <c r="FI315" s="43">
        <f>FI91/FF91-1</f>
        <v>-0.1283716039835523</v>
      </c>
      <c r="FJ315" s="43">
        <f>FJ91/FI91-1</f>
        <v>4.0570977981422729E-2</v>
      </c>
      <c r="FK315" s="43">
        <f>FK91/FJ91-1</f>
        <v>9.3933955965876947E-3</v>
      </c>
      <c r="FL315" s="43">
        <f>FL91/FK91-1</f>
        <v>0.1184282189045367</v>
      </c>
      <c r="FM315" s="396" t="s">
        <v>945</v>
      </c>
      <c r="FN315" s="27"/>
      <c r="FO315" s="27"/>
      <c r="FP315" s="27"/>
      <c r="FQ315" s="27"/>
      <c r="FR315" s="27"/>
      <c r="FS315" s="27"/>
      <c r="FT315" s="27"/>
      <c r="FU315" s="27"/>
      <c r="FV315" s="27"/>
      <c r="FW315" s="27"/>
      <c r="FX315" s="27"/>
      <c r="FY315" s="27"/>
      <c r="FZ315" s="27"/>
      <c r="GA315" s="27"/>
      <c r="GB315" s="27"/>
      <c r="GC315" s="27"/>
      <c r="GD315" s="27"/>
      <c r="GE315" s="27"/>
      <c r="GF315" s="27"/>
      <c r="GH315" s="27"/>
      <c r="GI315"/>
      <c r="GJ315"/>
      <c r="GK315"/>
      <c r="GL315"/>
      <c r="GM315"/>
      <c r="GN315"/>
      <c r="GO315" s="27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</row>
    <row r="316" spans="1:281" s="28" customFormat="1" ht="5.25" hidden="1" customHeight="1" outlineLevel="1" x14ac:dyDescent="0.2">
      <c r="A316" s="18"/>
      <c r="B316" s="414"/>
      <c r="CG316" s="416"/>
      <c r="CM316" s="416"/>
      <c r="CS316" s="416"/>
      <c r="CY316" s="416"/>
      <c r="DE316" s="416"/>
      <c r="DK316" s="975"/>
      <c r="DQ316" s="975"/>
      <c r="DW316" s="975"/>
      <c r="EC316" s="975"/>
      <c r="EI316" s="975"/>
      <c r="EO316" s="975"/>
      <c r="EU316" s="975"/>
      <c r="FA316" s="975"/>
      <c r="FG316" s="975"/>
      <c r="FM316" s="975"/>
      <c r="GI316"/>
      <c r="GJ316"/>
      <c r="GK316"/>
      <c r="GL316"/>
      <c r="GM316"/>
      <c r="GN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</row>
    <row r="317" spans="1:281" s="24" customFormat="1" hidden="1" outlineLevel="1" x14ac:dyDescent="0.2">
      <c r="A317" s="342" t="s">
        <v>991</v>
      </c>
      <c r="B317" s="413"/>
      <c r="C317" s="94" t="s">
        <v>945</v>
      </c>
      <c r="D317" s="94" t="s">
        <v>945</v>
      </c>
      <c r="E317" s="94" t="s">
        <v>945</v>
      </c>
      <c r="F317" s="94" t="s">
        <v>945</v>
      </c>
      <c r="G317" s="94" t="s">
        <v>945</v>
      </c>
      <c r="H317" s="94" t="s">
        <v>945</v>
      </c>
      <c r="I317" s="94" t="s">
        <v>945</v>
      </c>
      <c r="J317" s="94" t="s">
        <v>945</v>
      </c>
      <c r="K317" s="94" t="s">
        <v>945</v>
      </c>
      <c r="L317" s="94" t="s">
        <v>945</v>
      </c>
      <c r="M317" s="94" t="s">
        <v>945</v>
      </c>
      <c r="N317" s="342"/>
      <c r="O317" s="94" t="s">
        <v>945</v>
      </c>
      <c r="P317" s="43">
        <f>P141/O141-1</f>
        <v>0.19840534617915573</v>
      </c>
      <c r="Q317" s="43">
        <f>Q141/P141-1</f>
        <v>4.8539807440104887E-2</v>
      </c>
      <c r="R317" s="43">
        <f>R141/Q141-1</f>
        <v>0.21122822002918418</v>
      </c>
      <c r="S317" s="42" t="s">
        <v>945</v>
      </c>
      <c r="T317" s="342"/>
      <c r="U317" s="43">
        <f>U141/R141-1</f>
        <v>-2.8204073408667374E-2</v>
      </c>
      <c r="V317" s="43">
        <f>V141/U141-1</f>
        <v>0.10329188066122708</v>
      </c>
      <c r="W317" s="43">
        <f>W141/V141-1</f>
        <v>0.12301602837656911</v>
      </c>
      <c r="X317" s="43">
        <f>X141/W141-1</f>
        <v>0.12339851416977221</v>
      </c>
      <c r="Y317" s="42" t="s">
        <v>945</v>
      </c>
      <c r="Z317" s="342"/>
      <c r="AA317" s="43">
        <f>AA141/X141-1</f>
        <v>4.3036379829878069E-2</v>
      </c>
      <c r="AB317" s="43">
        <f>AB141/AA141-1</f>
        <v>0.12310365449098049</v>
      </c>
      <c r="AC317" s="43">
        <f>AC141/AB141-1</f>
        <v>6.3467758812979502E-2</v>
      </c>
      <c r="AD317" s="43">
        <f>AD141/AC141-1</f>
        <v>8.4679940514297281E-2</v>
      </c>
      <c r="AE317" s="42" t="s">
        <v>945</v>
      </c>
      <c r="AF317" s="342"/>
      <c r="AG317" s="43">
        <f>AG141/AD141-1</f>
        <v>7.5170806205288931E-2</v>
      </c>
      <c r="AH317" s="43">
        <f>AH141/AG141-1</f>
        <v>0.17187029414717392</v>
      </c>
      <c r="AI317" s="43">
        <f>AI141/AH141-1</f>
        <v>6.8838618306293453E-2</v>
      </c>
      <c r="AJ317" s="43">
        <f>AJ141/AI141-1</f>
        <v>0.14327129355830004</v>
      </c>
      <c r="AK317" s="42" t="s">
        <v>945</v>
      </c>
      <c r="AL317" s="342"/>
      <c r="AM317" s="43">
        <f>AM141/AJ141-1</f>
        <v>1.3242603056031088E-2</v>
      </c>
      <c r="AN317" s="43">
        <f>AN141/AM141-1</f>
        <v>0.1480325045267854</v>
      </c>
      <c r="AO317" s="43">
        <f>AO141/AN141-1</f>
        <v>1.5613319022834027E-2</v>
      </c>
      <c r="AP317" s="43">
        <f>AP141/AO141-1</f>
        <v>2.6470190890921064E-2</v>
      </c>
      <c r="AQ317" s="42" t="s">
        <v>945</v>
      </c>
      <c r="AR317" s="342"/>
      <c r="AS317" s="43">
        <f>AS141/AP141-1</f>
        <v>-6.9174452759450333E-2</v>
      </c>
      <c r="AT317" s="43">
        <f>AT141/AS141-1</f>
        <v>-4.7307565246118566E-3</v>
      </c>
      <c r="AU317" s="43">
        <f>AU141/AT141-1</f>
        <v>-6.095436621214334E-2</v>
      </c>
      <c r="AV317" s="43">
        <f>AV141/AU141-1</f>
        <v>2.5785388986526936E-2</v>
      </c>
      <c r="AW317" s="42" t="s">
        <v>945</v>
      </c>
      <c r="AX317" s="342"/>
      <c r="AY317" s="43">
        <f>AY141/AV141-1</f>
        <v>-3.5152405657906782E-2</v>
      </c>
      <c r="AZ317" s="43">
        <f>AZ141/AY141-1</f>
        <v>3.1235937399552771E-2</v>
      </c>
      <c r="BA317" s="43">
        <f>BA141/AZ141-1</f>
        <v>1.1704485634333572E-2</v>
      </c>
      <c r="BB317" s="43">
        <f>BB141/BA141-1</f>
        <v>1.9973737144140413E-2</v>
      </c>
      <c r="BC317" s="42" t="s">
        <v>945</v>
      </c>
      <c r="BD317" s="342"/>
      <c r="BE317" s="43">
        <f>BE141/BB141-1</f>
        <v>-0.15037535441189087</v>
      </c>
      <c r="BF317" s="43">
        <f>BF141/BE141-1</f>
        <v>9.3224329337671108E-5</v>
      </c>
      <c r="BG317" s="43">
        <f>BG141/BF141-1</f>
        <v>-9.7160714821760585E-2</v>
      </c>
      <c r="BH317" s="43">
        <f>BH141/BG141-1</f>
        <v>-5.5998488040821526E-3</v>
      </c>
      <c r="BI317" s="42" t="s">
        <v>945</v>
      </c>
      <c r="BJ317" s="342"/>
      <c r="BK317" s="43">
        <f>BK141/BH141-1</f>
        <v>3.6526562532996243E-2</v>
      </c>
      <c r="BL317" s="43">
        <f>BL141/BK141-1</f>
        <v>1.6977928692699429E-2</v>
      </c>
      <c r="BM317" s="43">
        <f>BM141/BL141-1</f>
        <v>-4.173622704507518E-2</v>
      </c>
      <c r="BN317" s="43">
        <f>BN141/BM141-1</f>
        <v>1.0452961672473782E-2</v>
      </c>
      <c r="BO317" s="42" t="s">
        <v>945</v>
      </c>
      <c r="BP317" s="342"/>
      <c r="BQ317" s="43">
        <f>BQ141/BN141-1</f>
        <v>-2.931034482758621E-2</v>
      </c>
      <c r="BR317" s="43">
        <f>BR141/BQ141-1</f>
        <v>6.216696269982247E-2</v>
      </c>
      <c r="BS317" s="43">
        <f>BS141/BR141-1</f>
        <v>-2.6755852842809347E-2</v>
      </c>
      <c r="BT317" s="43">
        <f>BT141/BS141-1</f>
        <v>-1.3745704467353903E-2</v>
      </c>
      <c r="BU317" s="42" t="s">
        <v>945</v>
      </c>
      <c r="BV317" s="342"/>
      <c r="BW317" s="43">
        <f>BW141/BT141-1</f>
        <v>-3.3101045296167197E-2</v>
      </c>
      <c r="BX317" s="43">
        <f>BX141/BW141-1</f>
        <v>6.3063063063063085E-2</v>
      </c>
      <c r="BY317" s="43">
        <f>BY141/BX141-1</f>
        <v>0.20508474576271185</v>
      </c>
      <c r="BZ317" s="43">
        <f>BZ141/BY141-1</f>
        <v>0.10548523206751059</v>
      </c>
      <c r="CA317" s="42" t="s">
        <v>945</v>
      </c>
      <c r="CB317" s="342"/>
      <c r="CC317" s="43">
        <f>CC141/BZ141-1</f>
        <v>-8.3969465648854991E-2</v>
      </c>
      <c r="CD317" s="43">
        <f>CD141/CC141-1</f>
        <v>4.861111111111116E-2</v>
      </c>
      <c r="CE317" s="43">
        <f>CE141/CD141-1</f>
        <v>4.2384105960264984E-2</v>
      </c>
      <c r="CF317" s="43">
        <f>CF141/CE141-1</f>
        <v>0.22109275730622624</v>
      </c>
      <c r="CG317" s="181" t="s">
        <v>945</v>
      </c>
      <c r="CH317" s="342"/>
      <c r="CI317" s="43">
        <f>CI141/CF141-1</f>
        <v>1.3527575442247697E-2</v>
      </c>
      <c r="CJ317" s="43">
        <f>CJ141/CI141-1</f>
        <v>4.62012320328542E-2</v>
      </c>
      <c r="CK317" s="43">
        <f>CK141/CJ141-1</f>
        <v>4.9067713444552741E-3</v>
      </c>
      <c r="CL317" s="43">
        <f>CL141/CK141-1</f>
        <v>0.123046875</v>
      </c>
      <c r="CM317" s="181" t="s">
        <v>945</v>
      </c>
      <c r="CN317" s="342"/>
      <c r="CO317" s="43">
        <f>CO141/CL141-1</f>
        <v>8.6956521739134374E-4</v>
      </c>
      <c r="CP317" s="43">
        <f>CP141/CO141-1</f>
        <v>7.0373588184187597E-2</v>
      </c>
      <c r="CQ317" s="43">
        <f>CQ141/CP141-1</f>
        <v>6.4935064935065512E-3</v>
      </c>
      <c r="CR317" s="43">
        <f>CR141/CQ141-1</f>
        <v>7.6612903225806495E-2</v>
      </c>
      <c r="CS317" s="181" t="s">
        <v>945</v>
      </c>
      <c r="CT317" s="342"/>
      <c r="CU317" s="43">
        <f>CU141/CR141-1</f>
        <v>-2.4719101123595544E-2</v>
      </c>
      <c r="CV317" s="43">
        <f>CV141/CU141-1</f>
        <v>-8.6021505376344121E-2</v>
      </c>
      <c r="CW317" s="43">
        <f>CW141/CV141-1</f>
        <v>-7.1428571428571397E-2</v>
      </c>
      <c r="CX317" s="43">
        <f>CX141/CW141-1</f>
        <v>6.0633484162895934E-2</v>
      </c>
      <c r="CY317" s="181" t="s">
        <v>945</v>
      </c>
      <c r="CZ317" s="342"/>
      <c r="DA317" s="43">
        <f>DA141/CX141-1</f>
        <v>-0.14590443686006827</v>
      </c>
      <c r="DB317" s="43">
        <f>DB141/DA141-1</f>
        <v>8.7912087912087822E-2</v>
      </c>
      <c r="DC317" s="43">
        <f>DC141/DB141-1</f>
        <v>0.27089072543618009</v>
      </c>
      <c r="DD317" s="43">
        <f>DD141/DC141-1</f>
        <v>0.60787572254335265</v>
      </c>
      <c r="DE317" s="181" t="s">
        <v>945</v>
      </c>
      <c r="DF317" s="342"/>
      <c r="DG317" s="43">
        <f>DG141/DD141-1</f>
        <v>-7.8326517772884685E-2</v>
      </c>
      <c r="DH317" s="43">
        <f>DH141/DG141-1</f>
        <v>4.7294002925402312E-2</v>
      </c>
      <c r="DI317" s="43">
        <f>DI141/DH141-1</f>
        <v>-6.8435754189944187E-2</v>
      </c>
      <c r="DJ317" s="43">
        <f>DJ141/DI141-1</f>
        <v>8.0959520239880067E-2</v>
      </c>
      <c r="DK317" s="396" t="s">
        <v>945</v>
      </c>
      <c r="DL317" s="342"/>
      <c r="DM317" s="43">
        <f>DM141/DJ141-1</f>
        <v>-8.5529357374017567E-2</v>
      </c>
      <c r="DN317" s="43">
        <f>DN141/DM141-1</f>
        <v>-1.7694641051567261E-2</v>
      </c>
      <c r="DO317" s="43">
        <f>DO141/DN141-1</f>
        <v>-2.4189397838394244E-2</v>
      </c>
      <c r="DP317" s="43">
        <f>DP141/DO141-1</f>
        <v>5.1160337552742519E-2</v>
      </c>
      <c r="DQ317" s="396" t="s">
        <v>945</v>
      </c>
      <c r="DR317" s="342"/>
      <c r="DS317" s="43">
        <f>DS141/DP141-1</f>
        <v>-0.11690918213748114</v>
      </c>
      <c r="DT317" s="43">
        <f>DT141/DS141-1</f>
        <v>1.0795454545454497E-2</v>
      </c>
      <c r="DU317" s="43">
        <f>DU141/DT141-1</f>
        <v>-4.3282743114109068E-2</v>
      </c>
      <c r="DV317" s="43">
        <f>DV141/DU141-1</f>
        <v>0.11280846063454764</v>
      </c>
      <c r="DW317" s="396" t="s">
        <v>945</v>
      </c>
      <c r="DX317" s="342"/>
      <c r="DY317" s="43">
        <f>DY141/DV141-1</f>
        <v>-0.10190073917634634</v>
      </c>
      <c r="DZ317" s="43">
        <f>DZ141/DY141-1</f>
        <v>5.2910052910053018E-2</v>
      </c>
      <c r="EA317" s="43">
        <f>EA141/DZ141-1</f>
        <v>-1.8425460636515956E-2</v>
      </c>
      <c r="EB317" s="43">
        <f>EB141/EA141-1</f>
        <v>8.475540386803182E-2</v>
      </c>
      <c r="EC317" s="396" t="s">
        <v>945</v>
      </c>
      <c r="ED317" s="342"/>
      <c r="EE317" s="43">
        <f>EE141/EB141-1</f>
        <v>-0.12690089145254324</v>
      </c>
      <c r="EF317" s="43">
        <f>EF141/EE141-1</f>
        <v>0.12852852852852847</v>
      </c>
      <c r="EG317" s="43">
        <f>EG141/EF141-1</f>
        <v>0</v>
      </c>
      <c r="EH317" s="43">
        <f>EH141/EG141-1</f>
        <v>8.0894092602448175E-2</v>
      </c>
      <c r="EI317" s="396" t="s">
        <v>945</v>
      </c>
      <c r="EJ317" s="342"/>
      <c r="EK317" s="43">
        <f>EK141/EH141-1</f>
        <v>-9.9950763170851831E-2</v>
      </c>
      <c r="EL317" s="43">
        <f>EL141/EK141-1</f>
        <v>2.1881838074397919E-3</v>
      </c>
      <c r="EM317" s="43">
        <f>EM141/EL141-1</f>
        <v>-7.0960698689955803E-3</v>
      </c>
      <c r="EN317" s="43">
        <f>EN141/EM141-1</f>
        <v>5.2776250687190718E-2</v>
      </c>
      <c r="EO317" s="396" t="s">
        <v>945</v>
      </c>
      <c r="EP317" s="342"/>
      <c r="EQ317" s="43">
        <f>EQ141/EN141-1</f>
        <v>-8.4595300261096629E-2</v>
      </c>
      <c r="ER317" s="43">
        <f>ER141/EQ141-1</f>
        <v>1.0838562464346779E-2</v>
      </c>
      <c r="ES317" s="43">
        <f>ES141/ER141-1</f>
        <v>5.0790067720090315E-2</v>
      </c>
      <c r="ET317" s="43">
        <f>ET141/ES141-1</f>
        <v>5.9076262083780806E-2</v>
      </c>
      <c r="EU317" s="396" t="s">
        <v>945</v>
      </c>
      <c r="EV317" s="342"/>
      <c r="EW317" s="43">
        <f>EW141/ET141-1</f>
        <v>-3.7525354969573987E-2</v>
      </c>
      <c r="EX317" s="43">
        <f>EX141/EW141-1</f>
        <v>1.5806111696522684E-2</v>
      </c>
      <c r="EY317" s="43">
        <f>EY141/EX141-1</f>
        <v>1.970954356846466E-2</v>
      </c>
      <c r="EZ317" s="43">
        <f>EZ141/EY141-1</f>
        <v>6.7010887494110216E-2</v>
      </c>
      <c r="FA317" s="396" t="s">
        <v>945</v>
      </c>
      <c r="FB317" s="342"/>
      <c r="FC317" s="43">
        <f>FC141/EZ141-1</f>
        <v>-6.2936302085783491E-2</v>
      </c>
      <c r="FD317" s="43">
        <f>FD141/FC141-1</f>
        <v>1.1623909688434297E-2</v>
      </c>
      <c r="FE317" s="43">
        <f>FE141/FD141-1</f>
        <v>3.3243414705186325E-4</v>
      </c>
      <c r="FF317" s="43">
        <f>FF141/FE141-1</f>
        <v>5.6780571921850598E-2</v>
      </c>
      <c r="FG317" s="396" t="s">
        <v>945</v>
      </c>
      <c r="FH317" s="342"/>
      <c r="FI317" s="43">
        <f>FI141/FF141-1</f>
        <v>-4.6336213624267431E-2</v>
      </c>
      <c r="FJ317" s="43">
        <f>FJ141/FI141-1</f>
        <v>1.1139256172701284E-2</v>
      </c>
      <c r="FK317" s="43">
        <f>FK141/FJ141-1</f>
        <v>-1.8925700625216368E-3</v>
      </c>
      <c r="FL317" s="43">
        <f>FL141/FK141-1</f>
        <v>5.6063520992930549E-2</v>
      </c>
      <c r="FM317" s="396" t="s">
        <v>945</v>
      </c>
      <c r="FN317" s="27"/>
      <c r="FO317" s="27"/>
      <c r="FP317" s="27"/>
      <c r="FQ317" s="27"/>
      <c r="FR317" s="27"/>
      <c r="FS317" s="27"/>
      <c r="FT317" s="27"/>
      <c r="FU317" s="27"/>
      <c r="FV317" s="27"/>
      <c r="FW317" s="27"/>
      <c r="FX317" s="27"/>
      <c r="FY317" s="27"/>
      <c r="FZ317" s="27"/>
      <c r="GA317" s="27"/>
      <c r="GB317" s="27"/>
      <c r="GC317" s="27"/>
      <c r="GD317" s="27"/>
      <c r="GE317" s="27"/>
      <c r="GF317" s="27"/>
      <c r="GH317" s="27"/>
      <c r="GI317"/>
      <c r="GJ317"/>
      <c r="GK317"/>
      <c r="GL317"/>
      <c r="GM317"/>
      <c r="GN317"/>
      <c r="GO317" s="2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</row>
    <row r="318" spans="1:281" s="24" customFormat="1" hidden="1" outlineLevel="1" x14ac:dyDescent="0.2">
      <c r="A318" s="342" t="s">
        <v>177</v>
      </c>
      <c r="B318" s="413"/>
      <c r="C318" s="94" t="s">
        <v>945</v>
      </c>
      <c r="D318" s="94" t="s">
        <v>945</v>
      </c>
      <c r="E318" s="94" t="s">
        <v>945</v>
      </c>
      <c r="F318" s="94" t="s">
        <v>945</v>
      </c>
      <c r="G318" s="94" t="s">
        <v>945</v>
      </c>
      <c r="H318" s="94" t="s">
        <v>945</v>
      </c>
      <c r="I318" s="94" t="s">
        <v>945</v>
      </c>
      <c r="J318" s="94" t="s">
        <v>945</v>
      </c>
      <c r="K318" s="94" t="s">
        <v>945</v>
      </c>
      <c r="L318" s="94" t="s">
        <v>945</v>
      </c>
      <c r="M318" s="94" t="s">
        <v>945</v>
      </c>
      <c r="N318" s="342"/>
      <c r="O318" s="94" t="s">
        <v>945</v>
      </c>
      <c r="P318" s="43">
        <f>P147/O147-1</f>
        <v>0.11997411918025724</v>
      </c>
      <c r="Q318" s="43">
        <f>Q147/P147-1</f>
        <v>7.0665022309447822E-2</v>
      </c>
      <c r="R318" s="43">
        <f>R147/Q147-1</f>
        <v>0.45434993915366162</v>
      </c>
      <c r="S318" s="42" t="s">
        <v>945</v>
      </c>
      <c r="T318" s="342"/>
      <c r="U318" s="43">
        <f>U147/R147-1</f>
        <v>-0.2658100946737465</v>
      </c>
      <c r="V318" s="43">
        <f>V147/U147-1</f>
        <v>0.27821004003254202</v>
      </c>
      <c r="W318" s="43">
        <f>W147/V147-1</f>
        <v>2.4203000140193387E-2</v>
      </c>
      <c r="X318" s="43">
        <f>X147/W147-1</f>
        <v>0.50096637666241417</v>
      </c>
      <c r="Y318" s="42" t="s">
        <v>945</v>
      </c>
      <c r="Z318" s="342"/>
      <c r="AA318" s="43">
        <f>AA147/X147-1</f>
        <v>-0.34366997643522601</v>
      </c>
      <c r="AB318" s="43">
        <f>AB147/AA147-1</f>
        <v>0.2635487008475752</v>
      </c>
      <c r="AC318" s="43">
        <f>AC147/AB147-1</f>
        <v>1.2476687310859269E-2</v>
      </c>
      <c r="AD318" s="43">
        <f>AD147/AC147-1</f>
        <v>0.51076003397333847</v>
      </c>
      <c r="AE318" s="42" t="s">
        <v>945</v>
      </c>
      <c r="AF318" s="342"/>
      <c r="AG318" s="43">
        <f>AG147/AD147-1</f>
        <v>-0.35376817949805528</v>
      </c>
      <c r="AH318" s="43">
        <f>AH147/AG147-1</f>
        <v>0.17585676747854606</v>
      </c>
      <c r="AI318" s="43">
        <f>AI147/AH147-1</f>
        <v>7.4039243883517125E-2</v>
      </c>
      <c r="AJ318" s="43">
        <f>AJ147/AI147-1</f>
        <v>0.45475398110352172</v>
      </c>
      <c r="AK318" s="42" t="s">
        <v>945</v>
      </c>
      <c r="AL318" s="342"/>
      <c r="AM318" s="43">
        <f>AM147/AJ147-1</f>
        <v>-0.38228462505419336</v>
      </c>
      <c r="AN318" s="43">
        <f>AN147/AM147-1</f>
        <v>0.16013103929610484</v>
      </c>
      <c r="AO318" s="43">
        <f>AO147/AN147-1</f>
        <v>-4.2245523907698312E-2</v>
      </c>
      <c r="AP318" s="43">
        <f>AP147/AO147-1</f>
        <v>0.68289704917107197</v>
      </c>
      <c r="AQ318" s="42" t="s">
        <v>945</v>
      </c>
      <c r="AR318" s="342"/>
      <c r="AS318" s="43">
        <f>AS147/AP147-1</f>
        <v>-0.4354890793799906</v>
      </c>
      <c r="AT318" s="43">
        <f>AT147/AS147-1</f>
        <v>0.17273868646759238</v>
      </c>
      <c r="AU318" s="43">
        <f>AU147/AT147-1</f>
        <v>-5.8180361178462259E-2</v>
      </c>
      <c r="AV318" s="43">
        <f>AV147/AU147-1</f>
        <v>0.43299097353942173</v>
      </c>
      <c r="AW318" s="42" t="s">
        <v>945</v>
      </c>
      <c r="AX318" s="342"/>
      <c r="AY318" s="43">
        <f>AY147/AV147-1</f>
        <v>-0.32766013372541924</v>
      </c>
      <c r="AZ318" s="43">
        <f>AZ147/AY147-1</f>
        <v>0.1185083181491331</v>
      </c>
      <c r="BA318" s="43">
        <f>BA147/AZ147-1</f>
        <v>3.8604074180989878E-2</v>
      </c>
      <c r="BB318" s="43">
        <f>BB147/BA147-1</f>
        <v>0.21977449087672118</v>
      </c>
      <c r="BC318" s="42" t="s">
        <v>945</v>
      </c>
      <c r="BD318" s="342"/>
      <c r="BE318" s="43">
        <f>BE147/BB147-1</f>
        <v>-0.34044966793449349</v>
      </c>
      <c r="BF318" s="43">
        <f>BF147/BE147-1</f>
        <v>6.6614875224331183E-2</v>
      </c>
      <c r="BG318" s="43">
        <f>BG147/BF147-1</f>
        <v>-9.8635739698013869E-2</v>
      </c>
      <c r="BH318" s="43">
        <f>BH147/BG147-1</f>
        <v>0.14124658130283452</v>
      </c>
      <c r="BI318" s="42" t="s">
        <v>945</v>
      </c>
      <c r="BJ318" s="342"/>
      <c r="BK318" s="43">
        <f>BK147/BH147-1</f>
        <v>-0.1983415371418068</v>
      </c>
      <c r="BL318" s="43">
        <f>BL147/BK147-1</f>
        <v>8.7048832271762189E-2</v>
      </c>
      <c r="BM318" s="43">
        <f>BM147/BL147-1</f>
        <v>1.7578125E-2</v>
      </c>
      <c r="BN318" s="43">
        <f>BN147/BM147-1</f>
        <v>9.0211132437620023E-2</v>
      </c>
      <c r="BO318" s="42" t="s">
        <v>945</v>
      </c>
      <c r="BP318" s="342"/>
      <c r="BQ318" s="43">
        <f>BQ147/BN147-1</f>
        <v>-0.18309859154929575</v>
      </c>
      <c r="BR318" s="43">
        <f>BR147/BQ147-1</f>
        <v>0.13146551724137923</v>
      </c>
      <c r="BS318" s="43">
        <f>BS147/BR147-1</f>
        <v>3.8095238095237072E-3</v>
      </c>
      <c r="BT318" s="43">
        <f>BT147/BS147-1</f>
        <v>0.17647058823529416</v>
      </c>
      <c r="BU318" s="42" t="s">
        <v>945</v>
      </c>
      <c r="BV318" s="342"/>
      <c r="BW318" s="43">
        <f>BW147/BT147-1</f>
        <v>-0.22580645161290325</v>
      </c>
      <c r="BX318" s="43">
        <f>BX147/BW147-1</f>
        <v>0.15625</v>
      </c>
      <c r="BY318" s="43">
        <f>BY147/BX147-1</f>
        <v>0.20180180180180174</v>
      </c>
      <c r="BZ318" s="43">
        <f>BZ147/BY147-1</f>
        <v>0.20389805097451275</v>
      </c>
      <c r="CA318" s="42" t="s">
        <v>945</v>
      </c>
      <c r="CB318" s="342"/>
      <c r="CC318" s="43">
        <f>CC147/BZ147-1</f>
        <v>-0.23661270236612697</v>
      </c>
      <c r="CD318" s="43">
        <f>CD147/CC147-1</f>
        <v>0.15008156606851553</v>
      </c>
      <c r="CE318" s="43">
        <f>CE147/CD147-1</f>
        <v>6.9503546099290769E-2</v>
      </c>
      <c r="CF318" s="43">
        <f>CF147/CE147-1</f>
        <v>0.45623342175066317</v>
      </c>
      <c r="CG318" s="181" t="s">
        <v>945</v>
      </c>
      <c r="CH318" s="342"/>
      <c r="CI318" s="43">
        <f>CI147/CF147-1</f>
        <v>-0.32604735883424407</v>
      </c>
      <c r="CJ318" s="43">
        <f>CJ147/CI147-1</f>
        <v>0.2256756756756757</v>
      </c>
      <c r="CK318" s="43">
        <f>CK147/CJ147-1</f>
        <v>5.6229327453142242E-2</v>
      </c>
      <c r="CL318" s="43">
        <f>CL147/CK147-1</f>
        <v>0.31941544885177442</v>
      </c>
      <c r="CM318" s="181" t="s">
        <v>945</v>
      </c>
      <c r="CN318" s="342"/>
      <c r="CO318" s="43">
        <f>CO147/CL147-1</f>
        <v>-0.23971518987341767</v>
      </c>
      <c r="CP318" s="43">
        <f>CP147/CO147-1</f>
        <v>0.12591050988553598</v>
      </c>
      <c r="CQ318" s="43">
        <f>CQ147/CP147-1</f>
        <v>-1.0166358595194103E-2</v>
      </c>
      <c r="CR318" s="43">
        <f>CR147/CQ147-1</f>
        <v>0.41269841269841279</v>
      </c>
      <c r="CS318" s="181" t="s">
        <v>945</v>
      </c>
      <c r="CT318" s="342"/>
      <c r="CU318" s="43">
        <f>CU147/CR147-1</f>
        <v>-0.27759418374091205</v>
      </c>
      <c r="CV318" s="43">
        <f>CV147/CU147-1</f>
        <v>3.385178408051237E-2</v>
      </c>
      <c r="CW318" s="43">
        <f>CW147/CV147-1</f>
        <v>-8.1415929203539794E-2</v>
      </c>
      <c r="CX318" s="43">
        <f>CX147/CW147-1</f>
        <v>0.26204238921001921</v>
      </c>
      <c r="CY318" s="181" t="s">
        <v>945</v>
      </c>
      <c r="CZ318" s="342"/>
      <c r="DA318" s="43">
        <f>DA147/CX147-1</f>
        <v>-0.27938931297709924</v>
      </c>
      <c r="DB318" s="43">
        <f>DB147/DA147-1</f>
        <v>0.17902542372881358</v>
      </c>
      <c r="DC318" s="43">
        <f>DC147/DB147-1</f>
        <v>9.6136567834681053E-2</v>
      </c>
      <c r="DD318" s="43">
        <f>DD147/DC147-1</f>
        <v>0.41065573770491803</v>
      </c>
      <c r="DE318" s="181" t="s">
        <v>945</v>
      </c>
      <c r="DF318" s="342"/>
      <c r="DG318" s="43">
        <f>DG147/DD147-1</f>
        <v>-0.23881464264962227</v>
      </c>
      <c r="DH318" s="43">
        <f>DH147/DG147-1</f>
        <v>0.15343511450381686</v>
      </c>
      <c r="DI318" s="43">
        <f>DI147/DH147-1</f>
        <v>5.6254136333554028E-2</v>
      </c>
      <c r="DJ318" s="43">
        <f>DJ147/DI147-1</f>
        <v>0.30012531328320802</v>
      </c>
      <c r="DK318" s="396" t="s">
        <v>945</v>
      </c>
      <c r="DL318" s="342"/>
      <c r="DM318" s="43">
        <f>DM147/DJ147-1</f>
        <v>-0.22698795180722886</v>
      </c>
      <c r="DN318" s="43">
        <f>DN147/DM147-1</f>
        <v>3.9900249376558561E-2</v>
      </c>
      <c r="DO318" s="43">
        <f>DO147/DN147-1</f>
        <v>1.1990407673860837E-3</v>
      </c>
      <c r="DP318" s="43">
        <f>DP147/DO147-1</f>
        <v>0.23652694610778435</v>
      </c>
      <c r="DQ318" s="396" t="s">
        <v>945</v>
      </c>
      <c r="DR318" s="342"/>
      <c r="DS318" s="43">
        <f>DS147/DP147-1</f>
        <v>-0.26973365617433409</v>
      </c>
      <c r="DT318" s="43">
        <f>DT147/DS147-1</f>
        <v>0.14721485411140578</v>
      </c>
      <c r="DU318" s="43">
        <f>DU147/DT147-1</f>
        <v>2.3121387283236983E-2</v>
      </c>
      <c r="DV318" s="43">
        <f>DV147/DU147-1</f>
        <v>0.1819209039548022</v>
      </c>
      <c r="DW318" s="396" t="s">
        <v>945</v>
      </c>
      <c r="DX318" s="342"/>
      <c r="DY318" s="43">
        <f>DY147/DV147-1</f>
        <v>-0.24426386233269604</v>
      </c>
      <c r="DZ318" s="43">
        <f>DZ147/DY147-1</f>
        <v>0.16382036685641999</v>
      </c>
      <c r="EA318" s="43">
        <f>EA147/DZ147-1</f>
        <v>-2.7717391304347805E-2</v>
      </c>
      <c r="EB318" s="43">
        <f>EB147/EA147-1</f>
        <v>0.22694242593627734</v>
      </c>
      <c r="EC318" s="396" t="s">
        <v>945</v>
      </c>
      <c r="ED318" s="342"/>
      <c r="EE318" s="43">
        <f>EE147/EB147-1</f>
        <v>-0.24236902050113895</v>
      </c>
      <c r="EF318" s="43">
        <f>EF147/EE147-1</f>
        <v>0.11485267588695125</v>
      </c>
      <c r="EG318" s="43">
        <f>EG147/EF147-1</f>
        <v>-3.2362459546925515E-2</v>
      </c>
      <c r="EH318" s="43">
        <f>EH147/EG147-1</f>
        <v>0.20568561872909696</v>
      </c>
      <c r="EI318" s="396" t="s">
        <v>945</v>
      </c>
      <c r="EJ318" s="342"/>
      <c r="EK318" s="43">
        <f>EK147/EH147-1</f>
        <v>-0.22330097087378642</v>
      </c>
      <c r="EL318" s="43">
        <f>EL147/EK147-1</f>
        <v>0.125</v>
      </c>
      <c r="EM318" s="43">
        <f>EM147/EL147-1</f>
        <v>-2.3280423280423235E-2</v>
      </c>
      <c r="EN318" s="43">
        <f>EN147/EM147-1</f>
        <v>0.21830985915492951</v>
      </c>
      <c r="EO318" s="396" t="s">
        <v>945</v>
      </c>
      <c r="EP318" s="342"/>
      <c r="EQ318" s="43">
        <f>EQ147/EN147-1</f>
        <v>-0.174744330813695</v>
      </c>
      <c r="ER318" s="43">
        <f>ER147/EQ147-1</f>
        <v>2.4245689655172376E-2</v>
      </c>
      <c r="ES318" s="43">
        <f>ES147/ER147-1</f>
        <v>1.4729089952656427E-2</v>
      </c>
      <c r="ET318" s="43">
        <f>ET147/ES147-1</f>
        <v>0.16692586832555723</v>
      </c>
      <c r="EU318" s="396" t="s">
        <v>945</v>
      </c>
      <c r="EV318" s="342"/>
      <c r="EW318" s="43">
        <f>EW147/ET147-1</f>
        <v>-0.14971123944913367</v>
      </c>
      <c r="EX318" s="43">
        <f>EX147/EW147-1</f>
        <v>3.9184952978056353E-2</v>
      </c>
      <c r="EY318" s="43">
        <f>EY147/EX147-1</f>
        <v>-2.0110608345902503E-2</v>
      </c>
      <c r="EZ318" s="43">
        <f>EZ147/EY147-1</f>
        <v>0.16547129359560642</v>
      </c>
      <c r="FA318" s="396" t="s">
        <v>945</v>
      </c>
      <c r="FB318" s="342"/>
      <c r="FC318" s="43">
        <f>FC147/EZ147-1</f>
        <v>-0.13187457001751035</v>
      </c>
      <c r="FD318" s="43">
        <f>FD147/FC147-1</f>
        <v>1.7448356392113284E-2</v>
      </c>
      <c r="FE318" s="43">
        <f>FE147/FD147-1</f>
        <v>1.1015809866585791E-2</v>
      </c>
      <c r="FF318" s="43">
        <f>FF147/FE147-1</f>
        <v>0.14121406701579531</v>
      </c>
      <c r="FG318" s="396" t="s">
        <v>945</v>
      </c>
      <c r="FH318" s="342"/>
      <c r="FI318" s="43">
        <f>FI147/FF147-1</f>
        <v>-0.14125281180645544</v>
      </c>
      <c r="FJ318" s="43">
        <f>FJ147/FI147-1</f>
        <v>3.5368123091515491E-2</v>
      </c>
      <c r="FK318" s="43">
        <f>FK147/FJ147-1</f>
        <v>2.4610381459852837E-2</v>
      </c>
      <c r="FL318" s="43">
        <f>FL147/FK147-1</f>
        <v>0.1461120857091045</v>
      </c>
      <c r="FM318" s="396" t="s">
        <v>945</v>
      </c>
      <c r="FN318" s="27"/>
      <c r="FO318" s="27"/>
      <c r="FP318" s="27"/>
      <c r="FQ318" s="27"/>
      <c r="FR318" s="27"/>
      <c r="FS318" s="27"/>
      <c r="FT318" s="27"/>
      <c r="FU318" s="27"/>
      <c r="FV318" s="27"/>
      <c r="FW318" s="27"/>
      <c r="FX318" s="27"/>
      <c r="FY318" s="27"/>
      <c r="FZ318" s="27"/>
      <c r="GA318" s="27"/>
      <c r="GB318" s="27"/>
      <c r="GC318" s="27"/>
      <c r="GD318" s="27"/>
      <c r="GE318" s="27"/>
      <c r="GF318" s="27"/>
      <c r="GH318" s="27"/>
      <c r="GI318"/>
      <c r="GJ318"/>
      <c r="GK318"/>
      <c r="GL318"/>
      <c r="GM318"/>
      <c r="GN318"/>
      <c r="GO318" s="27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</row>
    <row r="319" spans="1:281" s="24" customFormat="1" hidden="1" outlineLevel="1" x14ac:dyDescent="0.2">
      <c r="A319" s="342" t="s">
        <v>178</v>
      </c>
      <c r="B319" s="413"/>
      <c r="C319" s="94" t="s">
        <v>945</v>
      </c>
      <c r="D319" s="94" t="s">
        <v>945</v>
      </c>
      <c r="E319" s="94" t="s">
        <v>945</v>
      </c>
      <c r="F319" s="94" t="s">
        <v>945</v>
      </c>
      <c r="G319" s="94" t="s">
        <v>945</v>
      </c>
      <c r="H319" s="94" t="s">
        <v>945</v>
      </c>
      <c r="I319" s="94" t="s">
        <v>945</v>
      </c>
      <c r="J319" s="94" t="s">
        <v>945</v>
      </c>
      <c r="K319" s="94" t="s">
        <v>945</v>
      </c>
      <c r="L319" s="94" t="s">
        <v>945</v>
      </c>
      <c r="M319" s="94" t="s">
        <v>945</v>
      </c>
      <c r="N319" s="342"/>
      <c r="O319" s="94" t="s">
        <v>945</v>
      </c>
      <c r="P319" s="43">
        <f>P150/O150-1</f>
        <v>3.7511104664865735E-2</v>
      </c>
      <c r="Q319" s="43">
        <f>Q150/P150-1</f>
        <v>0.18587704889385948</v>
      </c>
      <c r="R319" s="43">
        <f>R150/Q150-1</f>
        <v>0.19138558566523733</v>
      </c>
      <c r="S319" s="42" t="s">
        <v>945</v>
      </c>
      <c r="T319" s="342"/>
      <c r="U319" s="43">
        <f>U150/R150-1</f>
        <v>4.4402666633684307E-2</v>
      </c>
      <c r="V319" s="43">
        <f>V150/U150-1</f>
        <v>0.10458189741950008</v>
      </c>
      <c r="W319" s="43">
        <f>W150/V150-1</f>
        <v>-5.0068616519426401E-3</v>
      </c>
      <c r="X319" s="43">
        <f>X150/W150-1</f>
        <v>0.27767900436398896</v>
      </c>
      <c r="Y319" s="42" t="s">
        <v>945</v>
      </c>
      <c r="Z319" s="342"/>
      <c r="AA319" s="43">
        <f>AA150/X150-1</f>
        <v>-1.1520134935694704E-2</v>
      </c>
      <c r="AB319" s="43">
        <f>AB150/AA150-1</f>
        <v>0.15434821558071476</v>
      </c>
      <c r="AC319" s="43">
        <f>AC150/AB150-1</f>
        <v>2.3850702143384916E-2</v>
      </c>
      <c r="AD319" s="43">
        <f>AD150/AC150-1</f>
        <v>0.18706100615764454</v>
      </c>
      <c r="AE319" s="42" t="s">
        <v>945</v>
      </c>
      <c r="AF319" s="342"/>
      <c r="AG319" s="43">
        <f>AG150/AD150-1</f>
        <v>-2.9025784480661621E-2</v>
      </c>
      <c r="AH319" s="43">
        <f>AH150/AG150-1</f>
        <v>0.14749447287166428</v>
      </c>
      <c r="AI319" s="43">
        <f>AI150/AH150-1</f>
        <v>4.8521698314019091E-3</v>
      </c>
      <c r="AJ319" s="43">
        <f>AJ150/AI150-1</f>
        <v>4.3708515746363474E-2</v>
      </c>
      <c r="AK319" s="42" t="s">
        <v>945</v>
      </c>
      <c r="AL319" s="342"/>
      <c r="AM319" s="43">
        <f>AM150/AJ150-1</f>
        <v>-2.3574963700800922E-2</v>
      </c>
      <c r="AN319" s="43">
        <f>AN150/AM150-1</f>
        <v>6.9581021516551766E-2</v>
      </c>
      <c r="AO319" s="43">
        <f>AO150/AN150-1</f>
        <v>4.5445938269267128E-2</v>
      </c>
      <c r="AP319" s="43">
        <f>AP150/AO150-1</f>
        <v>0.15972030238610468</v>
      </c>
      <c r="AQ319" s="42" t="s">
        <v>945</v>
      </c>
      <c r="AR319" s="342"/>
      <c r="AS319" s="43">
        <f>AS150/AP150-1</f>
        <v>-3.0274509159210372E-2</v>
      </c>
      <c r="AT319" s="43">
        <f>AT150/AS150-1</f>
        <v>5.1788370821518992E-2</v>
      </c>
      <c r="AU319" s="43">
        <f>AU150/AT150-1</f>
        <v>2.9787234042553123E-2</v>
      </c>
      <c r="AV319" s="43">
        <f>AV150/AU150-1</f>
        <v>5.7432538191835691E-2</v>
      </c>
      <c r="AW319" s="42" t="s">
        <v>945</v>
      </c>
      <c r="AX319" s="342"/>
      <c r="AY319" s="43">
        <f>AY150/AV150-1</f>
        <v>-7.1058250594865813E-2</v>
      </c>
      <c r="AZ319" s="43">
        <f>AZ150/AY150-1</f>
        <v>6.0762388109645515E-2</v>
      </c>
      <c r="BA319" s="43">
        <f>BA150/AZ150-1</f>
        <v>0.13209779179810721</v>
      </c>
      <c r="BB319" s="43">
        <f>BB150/BA150-1</f>
        <v>6.0951054054502407E-2</v>
      </c>
      <c r="BC319" s="42" t="s">
        <v>945</v>
      </c>
      <c r="BD319" s="342"/>
      <c r="BE319" s="43">
        <f>BE150/BB150-1</f>
        <v>-0.20801428263228161</v>
      </c>
      <c r="BF319" s="43">
        <f>BF150/BE150-1</f>
        <v>1.6514015001974025E-2</v>
      </c>
      <c r="BG319" s="43">
        <f>BG150/BF150-1</f>
        <v>9.9998834874535314E-2</v>
      </c>
      <c r="BH319" s="43">
        <f>BH150/BG150-1</f>
        <v>-3.8449181057158555E-3</v>
      </c>
      <c r="BI319" s="42" t="s">
        <v>945</v>
      </c>
      <c r="BJ319" s="342"/>
      <c r="BK319" s="43">
        <f>BK150/BH150-1</f>
        <v>1.3673965591794124E-2</v>
      </c>
      <c r="BL319" s="43">
        <f>BL150/BK150-1</f>
        <v>3.1468531468531458E-2</v>
      </c>
      <c r="BM319" s="43">
        <f>BM150/BL150-1</f>
        <v>2.0338983050847359E-2</v>
      </c>
      <c r="BN319" s="43">
        <f>BN150/BM150-1</f>
        <v>-9.966777408637828E-3</v>
      </c>
      <c r="BO319" s="42" t="s">
        <v>945</v>
      </c>
      <c r="BP319" s="342"/>
      <c r="BQ319" s="43">
        <f>BQ150/BN150-1</f>
        <v>0</v>
      </c>
      <c r="BR319" s="43">
        <f>BR150/BQ150-1</f>
        <v>8.3892617449664364E-2</v>
      </c>
      <c r="BS319" s="43">
        <f>BS150/BR150-1</f>
        <v>1.5479876160990669E-2</v>
      </c>
      <c r="BT319" s="43">
        <f>BT150/BS150-1</f>
        <v>3.0487804878047697E-3</v>
      </c>
      <c r="BU319" s="42" t="s">
        <v>945</v>
      </c>
      <c r="BV319" s="342"/>
      <c r="BW319" s="43">
        <f>BW150/BT150-1</f>
        <v>-5.1671732522796332E-2</v>
      </c>
      <c r="BX319" s="43">
        <f>BX150/BW150-1</f>
        <v>4.8076923076923128E-2</v>
      </c>
      <c r="BY319" s="43">
        <f>BY150/BX150-1</f>
        <v>0.19571865443425085</v>
      </c>
      <c r="BZ319" s="43">
        <f>BZ150/BY150-1</f>
        <v>0.15345268542199486</v>
      </c>
      <c r="CA319" s="42" t="s">
        <v>945</v>
      </c>
      <c r="CB319" s="342"/>
      <c r="CC319" s="43">
        <f>CC150/BZ150-1</f>
        <v>-0.12195121951219512</v>
      </c>
      <c r="CD319" s="43">
        <f>CD150/CC150-1</f>
        <v>0.17171717171717171</v>
      </c>
      <c r="CE319" s="43">
        <f>CE150/CD150-1</f>
        <v>0</v>
      </c>
      <c r="CF319" s="43">
        <f>CF150/CE150-1</f>
        <v>0.14784482758620698</v>
      </c>
      <c r="CG319" s="181" t="s">
        <v>945</v>
      </c>
      <c r="CH319" s="342"/>
      <c r="CI319" s="43">
        <f>CI150/CF150-1</f>
        <v>-9.1250469395418699E-2</v>
      </c>
      <c r="CJ319" s="43">
        <f>CJ150/CI150-1</f>
        <v>2.8925619834710758E-2</v>
      </c>
      <c r="CK319" s="43">
        <f>CK150/CJ150-1</f>
        <v>0.10240963855421681</v>
      </c>
      <c r="CL319" s="43">
        <f>CL150/CK150-1</f>
        <v>5.464480874316946E-2</v>
      </c>
      <c r="CM319" s="181" t="s">
        <v>945</v>
      </c>
      <c r="CN319" s="342"/>
      <c r="CO319" s="43">
        <f>CO150/CL150-1</f>
        <v>7.7720207253886064E-2</v>
      </c>
      <c r="CP319" s="43">
        <f>CP150/CO150-1</f>
        <v>4.0064102564102644E-2</v>
      </c>
      <c r="CQ319" s="43">
        <f>CQ150/CP150-1</f>
        <v>3.0816640986133237E-3</v>
      </c>
      <c r="CR319" s="43">
        <f>CR150/CQ150-1</f>
        <v>7.9877112135176676E-2</v>
      </c>
      <c r="CS319" s="181" t="s">
        <v>945</v>
      </c>
      <c r="CT319" s="342"/>
      <c r="CU319" s="43">
        <f>CU150/CR150-1</f>
        <v>-4.5519203413940224E-2</v>
      </c>
      <c r="CV319" s="43">
        <f>CV150/CU150-1</f>
        <v>-9.6870342771982143E-2</v>
      </c>
      <c r="CW319" s="43">
        <f>CW150/CV150-1</f>
        <v>5.2805280528052778E-2</v>
      </c>
      <c r="CX319" s="43">
        <f>CX150/CW150-1</f>
        <v>9.247648902821326E-2</v>
      </c>
      <c r="CY319" s="181" t="s">
        <v>945</v>
      </c>
      <c r="CZ319" s="342"/>
      <c r="DA319" s="43">
        <f>DA150/CX150-1</f>
        <v>-9.8995695839311337E-2</v>
      </c>
      <c r="DB319" s="43">
        <f>DB150/DA150-1</f>
        <v>5.7324840764331197E-2</v>
      </c>
      <c r="DC319" s="43">
        <f>DC150/DB150-1</f>
        <v>0.17018072289156616</v>
      </c>
      <c r="DD319" s="43">
        <f>DD150/DC150-1</f>
        <v>0.30373230373230364</v>
      </c>
      <c r="DE319" s="181" t="s">
        <v>945</v>
      </c>
      <c r="DF319" s="342"/>
      <c r="DG319" s="43">
        <f>DG150/DD150-1</f>
        <v>3.0602171767028619E-2</v>
      </c>
      <c r="DH319" s="43">
        <f>DH150/DG150-1</f>
        <v>1.9157088122605304E-2</v>
      </c>
      <c r="DI319" s="43">
        <f>DI150/DH150-1</f>
        <v>4.6992481203007586E-3</v>
      </c>
      <c r="DJ319" s="43">
        <f>DJ150/DI150-1</f>
        <v>3.8353601496725842E-2</v>
      </c>
      <c r="DK319" s="396" t="s">
        <v>945</v>
      </c>
      <c r="DL319" s="342"/>
      <c r="DM319" s="43">
        <f>DM150/DJ150-1</f>
        <v>-0.11801801801801803</v>
      </c>
      <c r="DN319" s="43">
        <f>DN150/DM150-1</f>
        <v>5.6179775280898792E-2</v>
      </c>
      <c r="DO319" s="43">
        <f>DO150/DN150-1</f>
        <v>3.578336557059969E-2</v>
      </c>
      <c r="DP319" s="43">
        <f>DP150/DO150-1</f>
        <v>6.8160597572362258E-2</v>
      </c>
      <c r="DQ319" s="396" t="s">
        <v>945</v>
      </c>
      <c r="DR319" s="342"/>
      <c r="DS319" s="43">
        <f>DS150/DP150-1</f>
        <v>-2.2727272727272707E-2</v>
      </c>
      <c r="DT319" s="43">
        <f>DT150/DS150-1</f>
        <v>-7.1556350626118537E-3</v>
      </c>
      <c r="DU319" s="43">
        <f>DU150/DT150-1</f>
        <v>-9.009009009009028E-3</v>
      </c>
      <c r="DV319" s="43">
        <f>DV150/DU150-1</f>
        <v>6.4545454545454461E-2</v>
      </c>
      <c r="DW319" s="396" t="s">
        <v>945</v>
      </c>
      <c r="DX319" s="342"/>
      <c r="DY319" s="43">
        <f>DY150/DV150-1</f>
        <v>-2.6473099914602893E-2</v>
      </c>
      <c r="DZ319" s="43">
        <f>DZ150/DY150-1</f>
        <v>4.035087719298236E-2</v>
      </c>
      <c r="EA319" s="43">
        <f>EA150/DZ150-1</f>
        <v>5.9021922428330598E-3</v>
      </c>
      <c r="EB319" s="43">
        <f>EB150/EA150-1</f>
        <v>4.6102263202011828E-2</v>
      </c>
      <c r="EC319" s="396" t="s">
        <v>945</v>
      </c>
      <c r="ED319" s="342"/>
      <c r="EE319" s="43">
        <f>EE150/EB150-1</f>
        <v>-2.1634615384615419E-2</v>
      </c>
      <c r="EF319" s="43">
        <f>EF150/EE150-1</f>
        <v>2.7846027846027743E-2</v>
      </c>
      <c r="EG319" s="43">
        <f>EG150/EF150-1</f>
        <v>-1.8326693227091684E-2</v>
      </c>
      <c r="EH319" s="43">
        <f>EH150/EG150-1</f>
        <v>4.951298701298712E-2</v>
      </c>
      <c r="EI319" s="396" t="s">
        <v>945</v>
      </c>
      <c r="EJ319" s="342"/>
      <c r="EK319" s="43">
        <f>EK150/EH150-1</f>
        <v>-3.9443155452436152E-2</v>
      </c>
      <c r="EL319" s="43">
        <f>EL150/EK150-1</f>
        <v>4.106280193236711E-2</v>
      </c>
      <c r="EM319" s="43">
        <f>EM150/EL150-1</f>
        <v>-2.1655065738592438E-2</v>
      </c>
      <c r="EN319" s="43">
        <f>EN150/EM150-1</f>
        <v>8.8537549407114557E-2</v>
      </c>
      <c r="EO319" s="396" t="s">
        <v>945</v>
      </c>
      <c r="EP319" s="342"/>
      <c r="EQ319" s="43">
        <f>EQ150/EN150-1</f>
        <v>-3.7763253449527912E-2</v>
      </c>
      <c r="ER319" s="43">
        <f>ER150/EQ150-1</f>
        <v>-2.2641509433962703E-3</v>
      </c>
      <c r="ES319" s="43">
        <f>ES150/ER150-1</f>
        <v>6.0514372163389396E-3</v>
      </c>
      <c r="ET319" s="43">
        <f>ET150/ES150-1</f>
        <v>6.1654135338345961E-2</v>
      </c>
      <c r="EU319" s="396" t="s">
        <v>945</v>
      </c>
      <c r="EV319" s="342"/>
      <c r="EW319" s="43">
        <f>EW150/ET150-1</f>
        <v>-5.0991501416430607E-2</v>
      </c>
      <c r="EX319" s="43">
        <f>EX150/EW150-1</f>
        <v>-7.611940298507458E-2</v>
      </c>
      <c r="EY319" s="43">
        <f>EY150/EX150-1</f>
        <v>3.1502423263327861E-2</v>
      </c>
      <c r="EZ319" s="43">
        <f>EZ150/EY150-1</f>
        <v>5.1496256798532425E-2</v>
      </c>
      <c r="FA319" s="396" t="s">
        <v>945</v>
      </c>
      <c r="FB319" s="342"/>
      <c r="FC319" s="43">
        <f>FC150/EZ150-1</f>
        <v>2.0537846574048224E-2</v>
      </c>
      <c r="FD319" s="43">
        <f>FD150/FC150-1</f>
        <v>-3.1195576676505965E-2</v>
      </c>
      <c r="FE319" s="43">
        <f>FE150/FD150-1</f>
        <v>3.7353818377949821E-4</v>
      </c>
      <c r="FF319" s="43">
        <f>FF150/FE150-1</f>
        <v>4.7541113965342552E-2</v>
      </c>
      <c r="FG319" s="396" t="s">
        <v>945</v>
      </c>
      <c r="FH319" s="342"/>
      <c r="FI319" s="43">
        <f>FI150/FF150-1</f>
        <v>3.2379534626038486E-2</v>
      </c>
      <c r="FJ319" s="43">
        <f>FJ150/FI150-1</f>
        <v>-3.5041446024147715E-2</v>
      </c>
      <c r="FK319" s="43">
        <f>FK150/FJ150-1</f>
        <v>-1.1525055514365334E-3</v>
      </c>
      <c r="FL319" s="43">
        <f>FL150/FK150-1</f>
        <v>4.5890642112839775E-2</v>
      </c>
      <c r="FM319" s="396" t="s">
        <v>945</v>
      </c>
      <c r="FN319" s="27"/>
      <c r="FO319" s="27"/>
      <c r="FP319" s="27"/>
      <c r="FQ319" s="27"/>
      <c r="FR319" s="27"/>
      <c r="FS319" s="27"/>
      <c r="FT319" s="27"/>
      <c r="FU319" s="27"/>
      <c r="FV319" s="27"/>
      <c r="FW319" s="27"/>
      <c r="FX319" s="27"/>
      <c r="FY319" s="27"/>
      <c r="FZ319" s="27"/>
      <c r="GA319" s="27"/>
      <c r="GB319" s="27"/>
      <c r="GC319" s="27"/>
      <c r="GD319" s="27"/>
      <c r="GE319" s="27"/>
      <c r="GF319" s="27"/>
      <c r="GH319" s="27"/>
      <c r="GI319"/>
      <c r="GJ319"/>
      <c r="GK319"/>
      <c r="GL319"/>
      <c r="GM319"/>
      <c r="GN319"/>
      <c r="GO319" s="27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</row>
    <row r="320" spans="1:281" s="24" customFormat="1" hidden="1" outlineLevel="1" x14ac:dyDescent="0.2">
      <c r="A320" s="342" t="s">
        <v>179</v>
      </c>
      <c r="B320" s="413"/>
      <c r="C320" s="94" t="s">
        <v>945</v>
      </c>
      <c r="D320" s="94" t="s">
        <v>945</v>
      </c>
      <c r="E320" s="94" t="s">
        <v>945</v>
      </c>
      <c r="F320" s="94" t="s">
        <v>945</v>
      </c>
      <c r="G320" s="94" t="s">
        <v>945</v>
      </c>
      <c r="H320" s="94" t="s">
        <v>945</v>
      </c>
      <c r="I320" s="94" t="s">
        <v>945</v>
      </c>
      <c r="J320" s="94" t="s">
        <v>945</v>
      </c>
      <c r="K320" s="94" t="s">
        <v>945</v>
      </c>
      <c r="L320" s="94" t="s">
        <v>945</v>
      </c>
      <c r="M320" s="94" t="s">
        <v>945</v>
      </c>
      <c r="N320" s="342"/>
      <c r="O320" s="94" t="s">
        <v>945</v>
      </c>
      <c r="P320" s="43">
        <f>P153/O153-1</f>
        <v>0.1054692466119147</v>
      </c>
      <c r="Q320" s="43">
        <f>Q153/P153-1</f>
        <v>-3.3189962508912707E-2</v>
      </c>
      <c r="R320" s="43">
        <f>R153/Q153-1</f>
        <v>0.17435885235761539</v>
      </c>
      <c r="S320" s="42" t="s">
        <v>945</v>
      </c>
      <c r="T320" s="342"/>
      <c r="U320" s="43">
        <f>U153/R153-1</f>
        <v>4.7505216457670807E-2</v>
      </c>
      <c r="V320" s="43">
        <f>V153/U153-1</f>
        <v>0.10675330703179409</v>
      </c>
      <c r="W320" s="43">
        <f>W153/V153-1</f>
        <v>-3.2519046620535508E-2</v>
      </c>
      <c r="X320" s="43">
        <f>X153/W153-1</f>
        <v>0.24330377300558093</v>
      </c>
      <c r="Y320" s="42" t="s">
        <v>945</v>
      </c>
      <c r="Z320" s="342"/>
      <c r="AA320" s="43">
        <f>AA153/X153-1</f>
        <v>2.093320549696398E-2</v>
      </c>
      <c r="AB320" s="43">
        <f>AB153/AA153-1</f>
        <v>-8.0393858762930481E-3</v>
      </c>
      <c r="AC320" s="43">
        <f>AC153/AB153-1</f>
        <v>8.0930659551883277E-2</v>
      </c>
      <c r="AD320" s="43">
        <f>AD153/AC153-1</f>
        <v>0.2323637135729073</v>
      </c>
      <c r="AE320" s="42" t="s">
        <v>945</v>
      </c>
      <c r="AF320" s="342"/>
      <c r="AG320" s="43">
        <f>AG153/AD153-1</f>
        <v>-0.18684986970473594</v>
      </c>
      <c r="AH320" s="43">
        <f>AH153/AG153-1</f>
        <v>7.7720687554625689E-2</v>
      </c>
      <c r="AI320" s="43">
        <f>AI153/AH153-1</f>
        <v>0.13489303662927155</v>
      </c>
      <c r="AJ320" s="43">
        <f>AJ153/AI153-1</f>
        <v>0.29164907266053852</v>
      </c>
      <c r="AK320" s="42" t="s">
        <v>945</v>
      </c>
      <c r="AL320" s="342"/>
      <c r="AM320" s="43">
        <f>AM153/AJ153-1</f>
        <v>-0.20966822578752375</v>
      </c>
      <c r="AN320" s="43">
        <f>AN153/AM153-1</f>
        <v>7.7562708808400105E-2</v>
      </c>
      <c r="AO320" s="43">
        <f>AO153/AN153-1</f>
        <v>2.0325203252032464E-2</v>
      </c>
      <c r="AP320" s="43">
        <f>AP153/AO153-1</f>
        <v>0.224081880709607</v>
      </c>
      <c r="AQ320" s="42" t="s">
        <v>945</v>
      </c>
      <c r="AR320" s="342"/>
      <c r="AS320" s="43">
        <f>AS153/AP153-1</f>
        <v>-0.15253128644831815</v>
      </c>
      <c r="AT320" s="43">
        <f>AT153/AS153-1</f>
        <v>5.1312571487023062E-2</v>
      </c>
      <c r="AU320" s="43">
        <f>AU153/AT153-1</f>
        <v>8.0783689354738897E-2</v>
      </c>
      <c r="AV320" s="43">
        <f>AV153/AU153-1</f>
        <v>0.12840868170360409</v>
      </c>
      <c r="AW320" s="42" t="s">
        <v>945</v>
      </c>
      <c r="AX320" s="342"/>
      <c r="AY320" s="43">
        <f>AY153/AV153-1</f>
        <v>-0.2314582456954698</v>
      </c>
      <c r="AZ320" s="43">
        <f>AZ153/AY153-1</f>
        <v>5.130939461142825E-2</v>
      </c>
      <c r="BA320" s="43">
        <f>BA153/AZ153-1</f>
        <v>8.2296547638282869E-2</v>
      </c>
      <c r="BB320" s="43">
        <f>BB153/BA153-1</f>
        <v>-1.5584307870946223E-2</v>
      </c>
      <c r="BC320" s="42" t="s">
        <v>945</v>
      </c>
      <c r="BD320" s="342"/>
      <c r="BE320" s="43">
        <f>BE153/BB153-1</f>
        <v>-0.17757875491823305</v>
      </c>
      <c r="BF320" s="43">
        <f>BF153/BE153-1</f>
        <v>1.3348495092917023E-2</v>
      </c>
      <c r="BG320" s="43">
        <f>BG153/BF153-1</f>
        <v>6.2405855414135125E-2</v>
      </c>
      <c r="BH320" s="43">
        <f>BH153/BG153-1</f>
        <v>4.2839470929679324E-2</v>
      </c>
      <c r="BI320" s="42" t="s">
        <v>945</v>
      </c>
      <c r="BJ320" s="342"/>
      <c r="BK320" s="43">
        <f>BK153/BH153-1</f>
        <v>-6.9275129571501504E-2</v>
      </c>
      <c r="BL320" s="43">
        <f>BL153/BK153-1</f>
        <v>6.8627450980392135E-2</v>
      </c>
      <c r="BM320" s="43">
        <f>BM153/BL153-1</f>
        <v>5.504587155963292E-2</v>
      </c>
      <c r="BN320" s="43">
        <f>BN153/BM153-1</f>
        <v>0</v>
      </c>
      <c r="BO320" s="42" t="s">
        <v>945</v>
      </c>
      <c r="BP320" s="342"/>
      <c r="BQ320" s="43">
        <f>BQ153/BN153-1</f>
        <v>0.13913043478260878</v>
      </c>
      <c r="BR320" s="43">
        <f>BR153/BQ153-1</f>
        <v>4.5801526717557328E-2</v>
      </c>
      <c r="BS320" s="43">
        <f>BS153/BR153-1</f>
        <v>5.8394160583941535E-2</v>
      </c>
      <c r="BT320" s="43">
        <f>BT153/BS153-1</f>
        <v>2.0689655172413834E-2</v>
      </c>
      <c r="BU320" s="42" t="s">
        <v>945</v>
      </c>
      <c r="BV320" s="342"/>
      <c r="BW320" s="43">
        <f>BW153/BT153-1</f>
        <v>-0.15878378378378377</v>
      </c>
      <c r="BX320" s="43">
        <f>BX153/BW153-1</f>
        <v>4.1767068273092178E-2</v>
      </c>
      <c r="BY320" s="43">
        <f>BY153/BX153-1</f>
        <v>0.12567463377023902</v>
      </c>
      <c r="BZ320" s="43">
        <f>BZ153/BY153-1</f>
        <v>2.7397260273972712E-2</v>
      </c>
      <c r="CA320" s="42" t="s">
        <v>945</v>
      </c>
      <c r="CB320" s="342"/>
      <c r="CC320" s="43">
        <f>CC153/BZ153-1</f>
        <v>4.0000000000000036E-2</v>
      </c>
      <c r="CD320" s="43">
        <f>CD153/CC153-1</f>
        <v>-0.30128205128205132</v>
      </c>
      <c r="CE320" s="43">
        <f>CE153/CD153-1</f>
        <v>0.33944954128440363</v>
      </c>
      <c r="CF320" s="43">
        <f>CF153/CE153-1</f>
        <v>-9.9315068493149861E-3</v>
      </c>
      <c r="CG320" s="181" t="s">
        <v>945</v>
      </c>
      <c r="CH320" s="342"/>
      <c r="CI320" s="43">
        <f>CI153/CF153-1</f>
        <v>3.1131096506398226E-3</v>
      </c>
      <c r="CJ320" s="43">
        <f>CJ153/CI153-1</f>
        <v>8.9655172413793061E-2</v>
      </c>
      <c r="CK320" s="43">
        <f>CK153/CJ153-1</f>
        <v>3.1645569620253111E-2</v>
      </c>
      <c r="CL320" s="43">
        <f>CL153/CK153-1</f>
        <v>7.9754601226993849E-2</v>
      </c>
      <c r="CM320" s="181" t="s">
        <v>945</v>
      </c>
      <c r="CN320" s="342"/>
      <c r="CO320" s="43">
        <f>CO153/CL153-1</f>
        <v>-5.6818181818182323E-3</v>
      </c>
      <c r="CP320" s="43">
        <f>CP153/CO153-1</f>
        <v>6.8571428571428505E-2</v>
      </c>
      <c r="CQ320" s="43">
        <f>CQ153/CP153-1</f>
        <v>1.6042780748663166E-2</v>
      </c>
      <c r="CR320" s="43">
        <f>CR153/CQ153-1</f>
        <v>-2.1052631578947323E-2</v>
      </c>
      <c r="CS320" s="181" t="s">
        <v>945</v>
      </c>
      <c r="CT320" s="342"/>
      <c r="CU320" s="43">
        <f>CU153/CR153-1</f>
        <v>-2.1505376344086002E-2</v>
      </c>
      <c r="CV320" s="43">
        <f>CV153/CU153-1</f>
        <v>-0.1648351648351648</v>
      </c>
      <c r="CW320" s="43">
        <f>CW153/CV153-1</f>
        <v>0.10526315789473695</v>
      </c>
      <c r="CX320" s="43">
        <f>CX153/CW153-1</f>
        <v>0.125</v>
      </c>
      <c r="CY320" s="181" t="s">
        <v>945</v>
      </c>
      <c r="CZ320" s="342"/>
      <c r="DA320" s="43">
        <f>DA153/CX153-1</f>
        <v>-8.9947089947089998E-2</v>
      </c>
      <c r="DB320" s="43">
        <f>DB153/DA153-1</f>
        <v>-0.12790697674418605</v>
      </c>
      <c r="DC320" s="43">
        <f>DC153/DB153-1</f>
        <v>0.34666666666666668</v>
      </c>
      <c r="DD320" s="43">
        <f>DD153/DC153-1</f>
        <v>0.2722772277227723</v>
      </c>
      <c r="DE320" s="181" t="s">
        <v>945</v>
      </c>
      <c r="DF320" s="342"/>
      <c r="DG320" s="43">
        <f>DG153/DD153-1</f>
        <v>-8.1712062256809381E-2</v>
      </c>
      <c r="DH320" s="43">
        <f>DH153/DG153-1</f>
        <v>-0.49152542372881358</v>
      </c>
      <c r="DI320" s="43">
        <f>DI153/DH153-1</f>
        <v>1.0750000000000002</v>
      </c>
      <c r="DJ320" s="43">
        <f>DJ153/DI153-1</f>
        <v>-0.11646586345381527</v>
      </c>
      <c r="DK320" s="396" t="s">
        <v>945</v>
      </c>
      <c r="DL320" s="342"/>
      <c r="DM320" s="43">
        <f>DM153/DJ153-1</f>
        <v>0.23181818181818192</v>
      </c>
      <c r="DN320" s="43">
        <f>DN153/DM153-1</f>
        <v>-0.12546125461254609</v>
      </c>
      <c r="DO320" s="43">
        <f>DO153/DN153-1</f>
        <v>-7.1729957805907185E-2</v>
      </c>
      <c r="DP320" s="43">
        <f>DP153/DO153-1</f>
        <v>7.2727272727272751E-2</v>
      </c>
      <c r="DQ320" s="396" t="s">
        <v>945</v>
      </c>
      <c r="DR320" s="342"/>
      <c r="DS320" s="43">
        <f>DS153/DP153-1</f>
        <v>-8.4745762711864181E-3</v>
      </c>
      <c r="DT320" s="43">
        <f>DT153/DS153-1</f>
        <v>-5.1282051282051322E-2</v>
      </c>
      <c r="DU320" s="43">
        <f>DU153/DT153-1</f>
        <v>-9.009009009009028E-3</v>
      </c>
      <c r="DV320" s="43">
        <f>DV153/DU153-1</f>
        <v>5.0000000000000044E-2</v>
      </c>
      <c r="DW320" s="396" t="s">
        <v>945</v>
      </c>
      <c r="DX320" s="342"/>
      <c r="DY320" s="43">
        <f>DY153/DV153-1</f>
        <v>-5.6277056277056259E-2</v>
      </c>
      <c r="DZ320" s="43">
        <f>DZ153/DY153-1</f>
        <v>9.1743119266054496E-3</v>
      </c>
      <c r="EA320" s="43">
        <f>EA153/DZ153-1</f>
        <v>-5.0000000000000044E-2</v>
      </c>
      <c r="EB320" s="43">
        <f>EB153/EA153-1</f>
        <v>5.2631578947368363E-2</v>
      </c>
      <c r="EC320" s="396" t="s">
        <v>945</v>
      </c>
      <c r="ED320" s="342"/>
      <c r="EE320" s="43">
        <f>EE153/EB153-1</f>
        <v>5.0000000000000044E-2</v>
      </c>
      <c r="EF320" s="43">
        <f>EF153/EE153-1</f>
        <v>-8.6580086580086979E-3</v>
      </c>
      <c r="EG320" s="43">
        <f>EG153/EF153-1</f>
        <v>-2.6200873362445365E-2</v>
      </c>
      <c r="EH320" s="43">
        <f>EH153/EG153-1</f>
        <v>0.10762331838565031</v>
      </c>
      <c r="EI320" s="396" t="s">
        <v>945</v>
      </c>
      <c r="EJ320" s="342"/>
      <c r="EK320" s="43">
        <f>EK153/EH153-1</f>
        <v>-7.6923076923076872E-2</v>
      </c>
      <c r="EL320" s="43">
        <f>EL153/EK153-1</f>
        <v>0.13157894736842102</v>
      </c>
      <c r="EM320" s="43">
        <f>EM153/EL153-1</f>
        <v>1.1627906976744207E-2</v>
      </c>
      <c r="EN320" s="43">
        <f>EN153/EM153-1</f>
        <v>0.10727969348659006</v>
      </c>
      <c r="EO320" s="396" t="s">
        <v>945</v>
      </c>
      <c r="EP320" s="342"/>
      <c r="EQ320" s="43">
        <f>EQ153/EN153-1</f>
        <v>-4.1522491349480939E-2</v>
      </c>
      <c r="ER320" s="43">
        <f>ER153/EQ153-1</f>
        <v>-3.2490974729241895E-2</v>
      </c>
      <c r="ES320" s="43">
        <f>ES153/ER153-1</f>
        <v>-0.22014925373134331</v>
      </c>
      <c r="ET320" s="43">
        <f>ET153/ES153-1</f>
        <v>0.39234449760765555</v>
      </c>
      <c r="EU320" s="396" t="s">
        <v>945</v>
      </c>
      <c r="EV320" s="342"/>
      <c r="EW320" s="43">
        <f>EW153/ET153-1</f>
        <v>-5.1546391752577359E-2</v>
      </c>
      <c r="EX320" s="43">
        <f>EX153/EW153-1</f>
        <v>-3.6231884057971175E-3</v>
      </c>
      <c r="EY320" s="43">
        <f>EY153/EX153-1</f>
        <v>7.2727272727272751E-2</v>
      </c>
      <c r="EZ320" s="43">
        <f>EZ153/EY153-1</f>
        <v>5.1739852596255353E-3</v>
      </c>
      <c r="FA320" s="396" t="s">
        <v>945</v>
      </c>
      <c r="FB320" s="342"/>
      <c r="FC320" s="43">
        <f>FC153/EZ153-1</f>
        <v>-4.9975944547464124E-2</v>
      </c>
      <c r="FD320" s="43">
        <f>FD153/FC153-1</f>
        <v>-7.8613042146555845E-3</v>
      </c>
      <c r="FE320" s="43">
        <f>FE153/FD153-1</f>
        <v>1.1015809866585791E-2</v>
      </c>
      <c r="FF320" s="43">
        <f>FF153/FE153-1</f>
        <v>4.9258394480039547E-2</v>
      </c>
      <c r="FG320" s="396" t="s">
        <v>945</v>
      </c>
      <c r="FH320" s="342"/>
      <c r="FI320" s="43">
        <f>FI153/FF153-1</f>
        <v>-2.7799096750885099E-2</v>
      </c>
      <c r="FJ320" s="43">
        <f>FJ153/FI153-1</f>
        <v>-1.3251658810719769E-2</v>
      </c>
      <c r="FK320" s="43">
        <f>FK153/FJ153-1</f>
        <v>9.3933955965874727E-3</v>
      </c>
      <c r="FL320" s="43">
        <f>FL153/FK153-1</f>
        <v>3.7087984802388618E-2</v>
      </c>
      <c r="FM320" s="396" t="s">
        <v>945</v>
      </c>
      <c r="FN320" s="27"/>
      <c r="FO320" s="27"/>
      <c r="FP320" s="27"/>
      <c r="FQ320" s="27"/>
      <c r="FR320" s="27"/>
      <c r="FS320" s="27"/>
      <c r="FT320" s="27"/>
      <c r="FU320" s="27"/>
      <c r="FV320" s="27"/>
      <c r="FW320" s="27"/>
      <c r="FX320" s="27"/>
      <c r="FY320" s="27"/>
      <c r="FZ320" s="27"/>
      <c r="GA320" s="27"/>
      <c r="GB320" s="27"/>
      <c r="GC320" s="27"/>
      <c r="GD320" s="27"/>
      <c r="GE320" s="27"/>
      <c r="GF320" s="27"/>
      <c r="GH320" s="27"/>
      <c r="GI320"/>
      <c r="GJ320"/>
      <c r="GK320"/>
      <c r="GL320"/>
      <c r="GM320"/>
      <c r="GN320"/>
      <c r="GO320" s="27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</row>
    <row r="321" spans="1:281" s="24" customFormat="1" hidden="1" outlineLevel="1" x14ac:dyDescent="0.2">
      <c r="A321" s="342" t="s">
        <v>410</v>
      </c>
      <c r="B321" s="413"/>
      <c r="C321" s="94" t="s">
        <v>945</v>
      </c>
      <c r="D321" s="94" t="s">
        <v>945</v>
      </c>
      <c r="E321" s="94" t="s">
        <v>945</v>
      </c>
      <c r="F321" s="94" t="s">
        <v>945</v>
      </c>
      <c r="G321" s="94" t="s">
        <v>945</v>
      </c>
      <c r="H321" s="94" t="s">
        <v>945</v>
      </c>
      <c r="I321" s="94" t="s">
        <v>945</v>
      </c>
      <c r="J321" s="94" t="s">
        <v>945</v>
      </c>
      <c r="K321" s="94" t="s">
        <v>945</v>
      </c>
      <c r="L321" s="94" t="s">
        <v>945</v>
      </c>
      <c r="M321" s="94" t="s">
        <v>945</v>
      </c>
      <c r="N321" s="342"/>
      <c r="O321" s="94" t="s">
        <v>945</v>
      </c>
      <c r="P321" s="43">
        <f>P167/O167-1</f>
        <v>0.10358889657115045</v>
      </c>
      <c r="Q321" s="43">
        <f>Q167/P167-1</f>
        <v>7.6691707515155194E-2</v>
      </c>
      <c r="R321" s="43">
        <f>R167/Q167-1</f>
        <v>0.3745713354399518</v>
      </c>
      <c r="S321" s="42" t="s">
        <v>945</v>
      </c>
      <c r="T321" s="342"/>
      <c r="U321" s="43">
        <f>U167/R167-1</f>
        <v>-0.18634567746386121</v>
      </c>
      <c r="V321" s="43">
        <f>V167/U167-1</f>
        <v>0.22154191515805488</v>
      </c>
      <c r="W321" s="43">
        <f>W167/V167-1</f>
        <v>1.243024746130339E-2</v>
      </c>
      <c r="X321" s="43">
        <f>X167/W167-1</f>
        <v>0.43282358302788571</v>
      </c>
      <c r="Y321" s="42" t="s">
        <v>945</v>
      </c>
      <c r="Z321" s="342"/>
      <c r="AA321" s="43">
        <f>AA167/X167-1</f>
        <v>-0.25601986709057767</v>
      </c>
      <c r="AB321" s="43">
        <f>AB167/AA167-1</f>
        <v>0.2052917941016339</v>
      </c>
      <c r="AC321" s="43">
        <f>AC167/AB167-1</f>
        <v>2.2043286211046675E-2</v>
      </c>
      <c r="AD321" s="43">
        <f>AD167/AC167-1</f>
        <v>0.4131397535610255</v>
      </c>
      <c r="AE321" s="42" t="s">
        <v>945</v>
      </c>
      <c r="AF321" s="342"/>
      <c r="AG321" s="43">
        <f>AG167/AD167-1</f>
        <v>-0.28145331501541238</v>
      </c>
      <c r="AH321" s="43">
        <f>AH167/AG167-1</f>
        <v>0.15841795300248895</v>
      </c>
      <c r="AI321" s="43">
        <f>AI167/AH167-1</f>
        <v>6.4300394658865834E-2</v>
      </c>
      <c r="AJ321" s="43">
        <f>AJ167/AI167-1</f>
        <v>0.34725253114019194</v>
      </c>
      <c r="AK321" s="42" t="s">
        <v>945</v>
      </c>
      <c r="AL321" s="342"/>
      <c r="AM321" s="43">
        <f>AM167/AJ167-1</f>
        <v>-0.30356481770528765</v>
      </c>
      <c r="AN321" s="43">
        <f>AN167/AM167-1</f>
        <v>0.12884982524899491</v>
      </c>
      <c r="AO321" s="43">
        <f>AO167/AN167-1</f>
        <v>-1.5451365780381199E-2</v>
      </c>
      <c r="AP321" s="43">
        <f>AP167/AO167-1</f>
        <v>0.50416431402710926</v>
      </c>
      <c r="AQ321" s="42" t="s">
        <v>945</v>
      </c>
      <c r="AR321" s="342"/>
      <c r="AS321" s="43">
        <f>AS167/AP167-1</f>
        <v>-0.33390483772170643</v>
      </c>
      <c r="AT321" s="43">
        <f>AT167/AS167-1</f>
        <v>0.12557375859503961</v>
      </c>
      <c r="AU321" s="43">
        <f>AU167/AT167-1</f>
        <v>-2.0361699212610995E-2</v>
      </c>
      <c r="AV321" s="43">
        <f>AV167/AU167-1</f>
        <v>0.29602462270010554</v>
      </c>
      <c r="AW321" s="42" t="s">
        <v>945</v>
      </c>
      <c r="AX321" s="342"/>
      <c r="AY321" s="43">
        <f>AY167/AV167-1</f>
        <v>-0.26211595483935979</v>
      </c>
      <c r="AZ321" s="43">
        <f>AZ167/AY167-1</f>
        <v>9.5263646882218112E-2</v>
      </c>
      <c r="BA321" s="43">
        <f>BA167/AZ167-1</f>
        <v>6.7825048819543765E-2</v>
      </c>
      <c r="BB321" s="43">
        <f>BB167/BA167-1</f>
        <v>0.14966302878736348</v>
      </c>
      <c r="BC321" s="42" t="s">
        <v>945</v>
      </c>
      <c r="BD321" s="342"/>
      <c r="BE321" s="43">
        <f>BE167/BB167-1</f>
        <v>-0.29111537993998771</v>
      </c>
      <c r="BF321" s="43">
        <f>BF167/BE167-1</f>
        <v>4.6431895486775066E-2</v>
      </c>
      <c r="BG321" s="43">
        <f>BG167/BF167-1</f>
        <v>-2.6321974401435133E-2</v>
      </c>
      <c r="BH321" s="43">
        <f>BH167/BG167-1</f>
        <v>8.4293966474632276E-2</v>
      </c>
      <c r="BI321" s="42" t="s">
        <v>945</v>
      </c>
      <c r="BJ321" s="342"/>
      <c r="BK321" s="43">
        <f>BK167/BH167-1</f>
        <v>-0.12281239213860173</v>
      </c>
      <c r="BL321" s="43">
        <f>BL167/BK167-1</f>
        <v>6.6356228172293363E-2</v>
      </c>
      <c r="BM321" s="43">
        <f>BM167/BL167-1</f>
        <v>2.2925764192139653E-2</v>
      </c>
      <c r="BN321" s="43">
        <f>BN167/BM167-1</f>
        <v>4.6958377801494144E-2</v>
      </c>
      <c r="BO321" s="42" t="s">
        <v>945</v>
      </c>
      <c r="BP321" s="342"/>
      <c r="BQ321" s="43">
        <f>BQ167/BN167-1</f>
        <v>-8.9704383282364963E-2</v>
      </c>
      <c r="BR321" s="43">
        <f>BR167/BQ167-1</f>
        <v>0.10302351623740202</v>
      </c>
      <c r="BS321" s="43">
        <f>BS167/BR167-1</f>
        <v>1.5228426395939021E-2</v>
      </c>
      <c r="BT321" s="43">
        <f>BT167/BS167-1</f>
        <v>9.6999999999999975E-2</v>
      </c>
      <c r="BU321" s="42" t="s">
        <v>945</v>
      </c>
      <c r="BV321" s="342"/>
      <c r="BW321" s="43">
        <f>BW167/BT167-1</f>
        <v>-0.16453965360072931</v>
      </c>
      <c r="BX321" s="43">
        <f>BX167/BW167-1</f>
        <v>0.1038734315330061</v>
      </c>
      <c r="BY321" s="43">
        <f>BY167/BX167-1</f>
        <v>0.19007610951863185</v>
      </c>
      <c r="BZ321" s="43">
        <f>BZ167/BY167-1</f>
        <v>0.16611295681063121</v>
      </c>
      <c r="CA321" s="42" t="s">
        <v>945</v>
      </c>
      <c r="CB321" s="342"/>
      <c r="CC321" s="43">
        <f>CC167/BZ167-1</f>
        <v>-0.17022792022792022</v>
      </c>
      <c r="CD321" s="43">
        <f>CD167/CC167-1</f>
        <v>9.6995708154506532E-2</v>
      </c>
      <c r="CE321" s="43">
        <f>CE167/CD167-1</f>
        <v>6.7292644757433573E-2</v>
      </c>
      <c r="CF321" s="43">
        <f>CF167/CE167-1</f>
        <v>0.3014296187683283</v>
      </c>
      <c r="CG321" s="181" t="s">
        <v>945</v>
      </c>
      <c r="CH321" s="342"/>
      <c r="CI321" s="43">
        <f>CI167/CF167-1</f>
        <v>-0.2287975664028391</v>
      </c>
      <c r="CJ321" s="43">
        <f>CJ167/CI167-1</f>
        <v>0.14170927684441192</v>
      </c>
      <c r="CK321" s="43">
        <f>CK167/CJ167-1</f>
        <v>6.8458093410108667E-2</v>
      </c>
      <c r="CL321" s="43">
        <f>CL167/CK167-1</f>
        <v>0.20898203592814379</v>
      </c>
      <c r="CM321" s="181" t="s">
        <v>945</v>
      </c>
      <c r="CN321" s="342"/>
      <c r="CO321" s="43">
        <f>CO167/CL167-1</f>
        <v>-0.12828132738979692</v>
      </c>
      <c r="CP321" s="43">
        <f>CP167/CO167-1</f>
        <v>8.9772727272727337E-2</v>
      </c>
      <c r="CQ321" s="43">
        <f>CQ167/CP167-1</f>
        <v>-3.1282586027111536E-3</v>
      </c>
      <c r="CR321" s="43">
        <f>CR167/CQ167-1</f>
        <v>0.256276150627615</v>
      </c>
      <c r="CS321" s="181" t="s">
        <v>945</v>
      </c>
      <c r="CT321" s="342"/>
      <c r="CU321" s="43">
        <f>CU167/CR167-1</f>
        <v>-0.18984179850124894</v>
      </c>
      <c r="CV321" s="43">
        <f>CV167/CU167-1</f>
        <v>-2.9804727646454254E-2</v>
      </c>
      <c r="CW321" s="43">
        <f>CW167/CV167-1</f>
        <v>-2.3305084745762761E-2</v>
      </c>
      <c r="CX321" s="43">
        <f>CX167/CW167-1</f>
        <v>0.19088937093275482</v>
      </c>
      <c r="CY321" s="181" t="s">
        <v>945</v>
      </c>
      <c r="CZ321" s="342"/>
      <c r="DA321" s="43">
        <f>DA167/CX167-1</f>
        <v>-0.20582877959927137</v>
      </c>
      <c r="DB321" s="43">
        <f>DB167/DA167-1</f>
        <v>0.10493119266055051</v>
      </c>
      <c r="DC321" s="43">
        <f>DC167/DB167-1</f>
        <v>0.14115204981837048</v>
      </c>
      <c r="DD321" s="43">
        <f>DD167/DC167-1</f>
        <v>0.3601637107776261</v>
      </c>
      <c r="DE321" s="181" t="s">
        <v>945</v>
      </c>
      <c r="DF321" s="342"/>
      <c r="DG321" s="43">
        <f>DG167/DD167-1</f>
        <v>-0.13406887328652628</v>
      </c>
      <c r="DH321" s="43">
        <f>DH167/DG167-1</f>
        <v>4.0540540540540571E-2</v>
      </c>
      <c r="DI321" s="43">
        <f>DI167/DH167-1</f>
        <v>8.1261595547309939E-2</v>
      </c>
      <c r="DJ321" s="43">
        <f>DJ167/DI167-1</f>
        <v>0.16849691146190793</v>
      </c>
      <c r="DK321" s="396" t="s">
        <v>945</v>
      </c>
      <c r="DL321" s="342"/>
      <c r="DM321" s="43">
        <f>DM167/DJ167-1</f>
        <v>-0.16182085168869309</v>
      </c>
      <c r="DN321" s="43">
        <f>DN167/DM167-1</f>
        <v>2.9782761037140837E-2</v>
      </c>
      <c r="DO321" s="43">
        <f>DO167/DN167-1</f>
        <v>7.4855392990813563E-3</v>
      </c>
      <c r="DP321" s="43">
        <f>DP167/DO167-1</f>
        <v>0.16345829111786569</v>
      </c>
      <c r="DQ321" s="396" t="s">
        <v>945</v>
      </c>
      <c r="DR321" s="342"/>
      <c r="DS321" s="43">
        <f>DS167/DP167-1</f>
        <v>-0.16981132075471694</v>
      </c>
      <c r="DT321" s="43">
        <f>DT167/DS167-1</f>
        <v>7.062937062937058E-2</v>
      </c>
      <c r="DU321" s="43">
        <f>DU167/DT167-1</f>
        <v>9.1443500979750958E-3</v>
      </c>
      <c r="DV321" s="43">
        <f>DV167/DU167-1</f>
        <v>0.13074433656957929</v>
      </c>
      <c r="DW321" s="396" t="s">
        <v>945</v>
      </c>
      <c r="DX321" s="342"/>
      <c r="DY321" s="43">
        <f>DY167/DV167-1</f>
        <v>-0.15884373211219238</v>
      </c>
      <c r="DZ321" s="43">
        <f>DZ167/DY167-1</f>
        <v>0.10445729840081652</v>
      </c>
      <c r="EA321" s="43">
        <f>EA167/DZ167-1</f>
        <v>-1.6943930991990097E-2</v>
      </c>
      <c r="EB321" s="43">
        <f>EB167/EA167-1</f>
        <v>0.14791601378878094</v>
      </c>
      <c r="EC321" s="396" t="s">
        <v>945</v>
      </c>
      <c r="ED321" s="342"/>
      <c r="EE321" s="43">
        <f>EE167/EB167-1</f>
        <v>-0.14960414960414958</v>
      </c>
      <c r="EF321" s="43">
        <f>EF167/EE167-1</f>
        <v>7.1589085072231162E-2</v>
      </c>
      <c r="EG321" s="43">
        <f>EG167/EF167-1</f>
        <v>-2.6662672258837672E-2</v>
      </c>
      <c r="EH321" s="43">
        <f>EH167/EG167-1</f>
        <v>0.13973530317020622</v>
      </c>
      <c r="EI321" s="396" t="s">
        <v>945</v>
      </c>
      <c r="EJ321" s="342"/>
      <c r="EK321" s="43">
        <f>EK167/EH167-1</f>
        <v>-0.14933837429111529</v>
      </c>
      <c r="EL321" s="43">
        <f>EL167/EK167-1</f>
        <v>9.2380952380952452E-2</v>
      </c>
      <c r="EM321" s="43">
        <f>EM167/EL167-1</f>
        <v>-2.0052310374890969E-2</v>
      </c>
      <c r="EN321" s="43">
        <f>EN167/EM167-1</f>
        <v>0.16103202846975084</v>
      </c>
      <c r="EO321" s="396" t="s">
        <v>945</v>
      </c>
      <c r="EP321" s="342"/>
      <c r="EQ321" s="43">
        <f>EQ167/EN167-1</f>
        <v>-0.11673052362707537</v>
      </c>
      <c r="ER321" s="43">
        <f>ER167/EQ167-1</f>
        <v>9.5430884904568192E-3</v>
      </c>
      <c r="ES321" s="43">
        <f>ES167/ER167-1</f>
        <v>-6.5883700945288393E-3</v>
      </c>
      <c r="ET321" s="43">
        <f>ET167/ES167-1</f>
        <v>0.14013840830449831</v>
      </c>
      <c r="EU321" s="396" t="s">
        <v>945</v>
      </c>
      <c r="EV321" s="342"/>
      <c r="EW321" s="43">
        <f>EW167/ET167-1</f>
        <v>-0.107233181588265</v>
      </c>
      <c r="EX321" s="43">
        <f>EX167/EW167-1</f>
        <v>-7.9320113314447216E-3</v>
      </c>
      <c r="EY321" s="43">
        <f>EY167/EX167-1</f>
        <v>5.4254711593375582E-3</v>
      </c>
      <c r="EZ321" s="43">
        <f>EZ167/EY167-1</f>
        <v>0.11070451485406196</v>
      </c>
      <c r="FA321" s="396" t="s">
        <v>945</v>
      </c>
      <c r="FB321" s="342"/>
      <c r="FC321" s="43">
        <f>FC167/EZ167-1</f>
        <v>-7.3334359528402282E-2</v>
      </c>
      <c r="FD321" s="43">
        <f>FD167/FC167-1</f>
        <v>-2.9127487020805809E-3</v>
      </c>
      <c r="FE321" s="43">
        <f>FE167/FD167-1</f>
        <v>7.105803972074165E-3</v>
      </c>
      <c r="FF321" s="43">
        <f>FF167/FE167-1</f>
        <v>9.9888167258610716E-2</v>
      </c>
      <c r="FG321" s="396" t="s">
        <v>945</v>
      </c>
      <c r="FH321" s="342"/>
      <c r="FI321" s="43">
        <f>FI167/FF167-1</f>
        <v>-7.2497988854292816E-2</v>
      </c>
      <c r="FJ321" s="43">
        <f>FJ167/FI167-1</f>
        <v>4.3529787477989412E-3</v>
      </c>
      <c r="FK321" s="43">
        <f>FK167/FJ167-1</f>
        <v>1.3873366284395061E-2</v>
      </c>
      <c r="FL321" s="43">
        <f>FL167/FK167-1</f>
        <v>0.10113134504133492</v>
      </c>
      <c r="FM321" s="396" t="s">
        <v>945</v>
      </c>
      <c r="FN321" s="27"/>
      <c r="FO321" s="27"/>
      <c r="FP321" s="27"/>
      <c r="FQ321" s="27"/>
      <c r="FR321" s="27"/>
      <c r="FS321" s="27"/>
      <c r="FT321" s="27"/>
      <c r="FU321" s="27"/>
      <c r="FV321" s="27"/>
      <c r="FW321" s="27"/>
      <c r="FX321" s="27"/>
      <c r="FY321" s="27"/>
      <c r="FZ321" s="27"/>
      <c r="GA321" s="27"/>
      <c r="GB321" s="27"/>
      <c r="GC321" s="27"/>
      <c r="GD321" s="27"/>
      <c r="GE321" s="27"/>
      <c r="GF321" s="27"/>
      <c r="GH321" s="27"/>
      <c r="GI321"/>
      <c r="GJ321"/>
      <c r="GK321"/>
      <c r="GL321"/>
      <c r="GM321"/>
      <c r="GN321"/>
      <c r="GO321" s="27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</row>
    <row r="322" spans="1:281" s="28" customFormat="1" ht="5.25" hidden="1" customHeight="1" outlineLevel="1" x14ac:dyDescent="0.2">
      <c r="A322" s="18"/>
      <c r="B322" s="414"/>
      <c r="CG322" s="416"/>
      <c r="CM322" s="416"/>
      <c r="CS322" s="416"/>
      <c r="CY322" s="416"/>
      <c r="DE322" s="416"/>
      <c r="DK322" s="975"/>
      <c r="DQ322" s="975"/>
      <c r="DW322" s="975"/>
      <c r="EC322" s="975"/>
      <c r="EI322" s="975"/>
      <c r="EO322" s="975"/>
      <c r="EU322" s="975"/>
      <c r="FA322" s="975"/>
      <c r="FG322" s="975"/>
      <c r="FM322" s="975"/>
      <c r="GI322"/>
      <c r="GJ322"/>
      <c r="GK322"/>
      <c r="GL322"/>
      <c r="GM322"/>
      <c r="GN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</row>
    <row r="323" spans="1:281" s="24" customFormat="1" hidden="1" outlineLevel="1" x14ac:dyDescent="0.2">
      <c r="A323" s="342" t="s">
        <v>22</v>
      </c>
      <c r="B323" s="413"/>
      <c r="C323" s="94" t="s">
        <v>945</v>
      </c>
      <c r="D323" s="94" t="s">
        <v>945</v>
      </c>
      <c r="E323" s="94" t="s">
        <v>945</v>
      </c>
      <c r="F323" s="94" t="s">
        <v>945</v>
      </c>
      <c r="G323" s="94" t="s">
        <v>945</v>
      </c>
      <c r="H323" s="94" t="s">
        <v>945</v>
      </c>
      <c r="I323" s="94" t="s">
        <v>945</v>
      </c>
      <c r="J323" s="94" t="s">
        <v>945</v>
      </c>
      <c r="K323" s="94" t="s">
        <v>945</v>
      </c>
      <c r="L323" s="94" t="s">
        <v>945</v>
      </c>
      <c r="M323" s="94" t="s">
        <v>945</v>
      </c>
      <c r="N323" s="342"/>
      <c r="O323" s="94" t="s">
        <v>945</v>
      </c>
      <c r="P323" s="43">
        <f>P169/O169-1</f>
        <v>0.57559142364323823</v>
      </c>
      <c r="Q323" s="43">
        <f>Q169/P169-1</f>
        <v>0.11903691674158257</v>
      </c>
      <c r="R323" s="43">
        <f>R169/Q169-1</f>
        <v>0.74534016624446942</v>
      </c>
      <c r="S323" s="42" t="s">
        <v>945</v>
      </c>
      <c r="T323" s="342"/>
      <c r="U323" s="43">
        <f>U169/R169-1</f>
        <v>-0.53554446073609419</v>
      </c>
      <c r="V323" s="43">
        <f>V169/U169-1</f>
        <v>0.63382938252265841</v>
      </c>
      <c r="W323" s="43">
        <f>W169/V169-1</f>
        <v>7.5889799831725613E-2</v>
      </c>
      <c r="X323" s="43">
        <f>X169/W169-1</f>
        <v>0.84660501404915767</v>
      </c>
      <c r="Y323" s="42" t="s">
        <v>945</v>
      </c>
      <c r="Z323" s="342"/>
      <c r="AA323" s="43">
        <f>AA169/X169-1</f>
        <v>-0.58420370999591253</v>
      </c>
      <c r="AB323" s="43">
        <f>AB169/AA169-1</f>
        <v>0.62362471428402277</v>
      </c>
      <c r="AC323" s="43">
        <f>AC169/AB169-1</f>
        <v>8.2935795877280505E-2</v>
      </c>
      <c r="AD323" s="43">
        <f>AD169/AC169-1</f>
        <v>0.88528868951395734</v>
      </c>
      <c r="AE323" s="42" t="s">
        <v>945</v>
      </c>
      <c r="AF323" s="342"/>
      <c r="AG323" s="43">
        <f>AG169/AD169-1</f>
        <v>-0.61409265891978326</v>
      </c>
      <c r="AH323" s="43">
        <f>AH169/AG169-1</f>
        <v>0.2591179887885422</v>
      </c>
      <c r="AI323" s="43">
        <f>AI169/AH169-1</f>
        <v>0.17009551259898648</v>
      </c>
      <c r="AJ323" s="43">
        <f>AJ169/AI169-1</f>
        <v>0.90070788285528436</v>
      </c>
      <c r="AK323" s="42" t="s">
        <v>945</v>
      </c>
      <c r="AL323" s="342"/>
      <c r="AM323" s="43">
        <f>AM169/AJ169-1</f>
        <v>-0.54072443069110521</v>
      </c>
      <c r="AN323" s="43">
        <f>AN169/AM169-1</f>
        <v>0.3751493686923244</v>
      </c>
      <c r="AO323" s="43">
        <f>AO169/AN169-1</f>
        <v>6.4423424225132475E-2</v>
      </c>
      <c r="AP323" s="43">
        <f>AP169/AO169-1</f>
        <v>0.98263745450968831</v>
      </c>
      <c r="AQ323" s="42" t="s">
        <v>945</v>
      </c>
      <c r="AR323" s="342"/>
      <c r="AS323" s="43">
        <f>AS169/AP169-1</f>
        <v>-0.57104870525698281</v>
      </c>
      <c r="AT323" s="43">
        <f>AT169/AS169-1</f>
        <v>0.66558724119087587</v>
      </c>
      <c r="AU323" s="43">
        <f>AU169/AT169-1</f>
        <v>0.33617039743778898</v>
      </c>
      <c r="AV323" s="43">
        <f>AV169/AU169-1</f>
        <v>0.80391466518387955</v>
      </c>
      <c r="AW323" s="42" t="s">
        <v>945</v>
      </c>
      <c r="AX323" s="342"/>
      <c r="AY323" s="43">
        <f>AY169/AV169-1</f>
        <v>-0.5260815362643867</v>
      </c>
      <c r="AZ323" s="43">
        <f>AZ169/AY169-1</f>
        <v>0.43760191234284695</v>
      </c>
      <c r="BA323" s="43">
        <f>BA169/AZ169-1</f>
        <v>-7.1752566857751443E-2</v>
      </c>
      <c r="BB323" s="43">
        <f>BB169/BA169-1</f>
        <v>0.47465218426120215</v>
      </c>
      <c r="BC323" s="42" t="s">
        <v>945</v>
      </c>
      <c r="BD323" s="342"/>
      <c r="BE323" s="43">
        <f>BE169/BB169-1</f>
        <v>-0.42407674260923023</v>
      </c>
      <c r="BF323" s="43">
        <f>BF169/BE169-1</f>
        <v>9.9447824955952502E-2</v>
      </c>
      <c r="BG323" s="43">
        <f>BG169/BF169-1</f>
        <v>-5.0253431941694071E-2</v>
      </c>
      <c r="BH323" s="43">
        <f>BH169/BG169-1</f>
        <v>0.5749448788361704</v>
      </c>
      <c r="BI323" s="42" t="s">
        <v>945</v>
      </c>
      <c r="BJ323" s="342"/>
      <c r="BK323" s="43">
        <f>BK169/BH169-1</f>
        <v>-0.52709848011082205</v>
      </c>
      <c r="BL323" s="43">
        <f>BL169/BK169-1</f>
        <v>0.36896551724137927</v>
      </c>
      <c r="BM323" s="43">
        <f>BM169/BL169-1</f>
        <v>2.5188916876575096E-3</v>
      </c>
      <c r="BN323" s="43">
        <f>BN169/BM169-1</f>
        <v>0.59597989949748764</v>
      </c>
      <c r="BO323" s="42" t="s">
        <v>945</v>
      </c>
      <c r="BP323" s="342"/>
      <c r="BQ323" s="43">
        <f>BQ169/BN169-1</f>
        <v>-0.51511335012594461</v>
      </c>
      <c r="BR323" s="43">
        <f>BR169/BQ169-1</f>
        <v>0.48538961038961048</v>
      </c>
      <c r="BS323" s="43">
        <f>BS169/BR169-1</f>
        <v>1.3114754098360715E-2</v>
      </c>
      <c r="BT323" s="43">
        <f>BT169/BS169-1</f>
        <v>0.51672060409924492</v>
      </c>
      <c r="BU323" s="42" t="s">
        <v>945</v>
      </c>
      <c r="BV323" s="342"/>
      <c r="BW323" s="43">
        <f>BW169/BT169-1</f>
        <v>-0.47119487908961588</v>
      </c>
      <c r="BX323" s="43">
        <f>BX169/BW169-1</f>
        <v>0.5525218560860794</v>
      </c>
      <c r="BY323" s="43">
        <f>BY169/BX169-1</f>
        <v>2.0531924109850275E-2</v>
      </c>
      <c r="BZ323" s="43">
        <f>BZ169/BY169-1</f>
        <v>0.58319185059422751</v>
      </c>
      <c r="CA323" s="42" t="s">
        <v>945</v>
      </c>
      <c r="CB323" s="342"/>
      <c r="CC323" s="43">
        <f>CC169/BZ169-1</f>
        <v>-0.45201072386058982</v>
      </c>
      <c r="CD323" s="43">
        <f>CD169/CC169-1</f>
        <v>0.33170254403131105</v>
      </c>
      <c r="CE323" s="43">
        <f>CE169/CD169-1</f>
        <v>1.6458486407053607E-2</v>
      </c>
      <c r="CF323" s="43">
        <f>CF169/CE169-1</f>
        <v>0.59089923377186659</v>
      </c>
      <c r="CG323" s="181" t="s">
        <v>945</v>
      </c>
      <c r="CH323" s="342"/>
      <c r="CI323" s="43">
        <f>CI169/CF169-1</f>
        <v>-0.40114046845536966</v>
      </c>
      <c r="CJ323" s="43">
        <f>CJ169/CI169-1</f>
        <v>0.23975720789074351</v>
      </c>
      <c r="CK323" s="43">
        <f>CK169/CJ169-1</f>
        <v>7.4051407588739293E-2</v>
      </c>
      <c r="CL323" s="43">
        <f>CL169/CK169-1</f>
        <v>0.54643874643874635</v>
      </c>
      <c r="CM323" s="181" t="s">
        <v>945</v>
      </c>
      <c r="CN323" s="342"/>
      <c r="CO323" s="43">
        <f>CO169/CL169-1</f>
        <v>-0.38025055268975683</v>
      </c>
      <c r="CP323" s="43">
        <f>CP169/CO169-1</f>
        <v>0.31629013079667057</v>
      </c>
      <c r="CQ323" s="43">
        <f>CQ169/CP169-1</f>
        <v>2.258355916892496E-3</v>
      </c>
      <c r="CR323" s="43">
        <f>CR169/CQ169-1</f>
        <v>0.59711581793600721</v>
      </c>
      <c r="CS323" s="181" t="s">
        <v>945</v>
      </c>
      <c r="CT323" s="342"/>
      <c r="CU323" s="43">
        <f>CU169/CR169-1</f>
        <v>-0.38656884875846498</v>
      </c>
      <c r="CV323" s="43">
        <f>CV169/CU169-1</f>
        <v>0.20009199632014729</v>
      </c>
      <c r="CW323" s="43">
        <f>CW169/CV169-1</f>
        <v>-2.0697585281717168E-2</v>
      </c>
      <c r="CX323" s="43">
        <f>CX169/CW169-1</f>
        <v>0.37495107632093938</v>
      </c>
      <c r="CY323" s="181" t="s">
        <v>945</v>
      </c>
      <c r="CZ323" s="342"/>
      <c r="DA323" s="43">
        <f>DA169/CX169-1</f>
        <v>-0.34016510105323083</v>
      </c>
      <c r="DB323" s="43">
        <f>DB169/DA169-1</f>
        <v>0.23209663503019851</v>
      </c>
      <c r="DC323" s="43">
        <f>DC169/DB169-1</f>
        <v>1.0644257703081195E-2</v>
      </c>
      <c r="DD323" s="43">
        <f>DD169/DC169-1</f>
        <v>0.52948309312638586</v>
      </c>
      <c r="DE323" s="181" t="s">
        <v>945</v>
      </c>
      <c r="DF323" s="342"/>
      <c r="DG323" s="43">
        <f>DG169/DD169-1</f>
        <v>-0.33245747162887618</v>
      </c>
      <c r="DH323" s="43">
        <f>DH169/DG169-1</f>
        <v>0.30675262979300988</v>
      </c>
      <c r="DI323" s="43">
        <f>DI169/DH169-1</f>
        <v>1.064658530251883E-2</v>
      </c>
      <c r="DJ323" s="43">
        <f>DJ169/DI169-1</f>
        <v>0.34583761562178839</v>
      </c>
      <c r="DK323" s="396" t="s">
        <v>945</v>
      </c>
      <c r="DL323" s="342"/>
      <c r="DM323" s="43">
        <f>DM169/DJ169-1</f>
        <v>-0.31920580374188623</v>
      </c>
      <c r="DN323" s="43">
        <f>DN169/DM169-1</f>
        <v>0.10179472798653943</v>
      </c>
      <c r="DO323" s="43">
        <f>DO169/DN169-1</f>
        <v>7.0333214558411905E-2</v>
      </c>
      <c r="DP323" s="43">
        <f>DP169/DO169-1</f>
        <v>0.31075269742806944</v>
      </c>
      <c r="DQ323" s="396" t="s">
        <v>945</v>
      </c>
      <c r="DR323" s="342"/>
      <c r="DS323" s="43">
        <f>DS169/DP169-1</f>
        <v>-0.3488940460124913</v>
      </c>
      <c r="DT323" s="43">
        <f>DT169/DS169-1</f>
        <v>0.19030370576762334</v>
      </c>
      <c r="DU323" s="43">
        <f>DU169/DT169-1</f>
        <v>-2.200374531835203E-2</v>
      </c>
      <c r="DV323" s="43">
        <f>DV169/DU169-1</f>
        <v>0.33389181426519876</v>
      </c>
      <c r="DW323" s="396" t="s">
        <v>945</v>
      </c>
      <c r="DX323" s="342"/>
      <c r="DY323" s="43">
        <f>DY169/DV169-1</f>
        <v>-0.32872779472456481</v>
      </c>
      <c r="DZ323" s="43">
        <f>DZ169/DY169-1</f>
        <v>0.13499064421277729</v>
      </c>
      <c r="EA323" s="43">
        <f>EA169/DZ169-1</f>
        <v>2.82618935468677E-2</v>
      </c>
      <c r="EB323" s="43">
        <f>EB169/EA169-1</f>
        <v>0.31836921667430151</v>
      </c>
      <c r="EC323" s="396" t="s">
        <v>945</v>
      </c>
      <c r="ED323" s="342"/>
      <c r="EE323" s="43">
        <f>EE169/EB169-1</f>
        <v>-0.33651841556636553</v>
      </c>
      <c r="EF323" s="43">
        <f>EF169/EE169-1</f>
        <v>0.14977742864624255</v>
      </c>
      <c r="EG323" s="43">
        <f>EG169/EF169-1</f>
        <v>-4.2131632885447523E-2</v>
      </c>
      <c r="EH323" s="43">
        <f>EH169/EG169-1</f>
        <v>0.18354731336186392</v>
      </c>
      <c r="EI323" s="396" t="s">
        <v>945</v>
      </c>
      <c r="EJ323" s="342"/>
      <c r="EK323" s="43">
        <f>EK169/EH169-1</f>
        <v>-0.30233025311370032</v>
      </c>
      <c r="EL323" s="43">
        <f>EL169/EK169-1</f>
        <v>7.1983875611862924E-2</v>
      </c>
      <c r="EM323" s="43">
        <f>EM169/EL169-1</f>
        <v>2.6860059092129962E-2</v>
      </c>
      <c r="EN323" s="43">
        <f>EN169/EM169-1</f>
        <v>0.24666492283546959</v>
      </c>
      <c r="EO323" s="396" t="s">
        <v>945</v>
      </c>
      <c r="EP323" s="342"/>
      <c r="EQ323" s="43">
        <f>EQ169/EN169-1</f>
        <v>-0.28619387326898871</v>
      </c>
      <c r="ER323" s="43">
        <f>ER169/EQ169-1</f>
        <v>0.11898295120517299</v>
      </c>
      <c r="ES323" s="43">
        <f>ES169/ER169-1</f>
        <v>3.6046212284398083E-2</v>
      </c>
      <c r="ET323" s="43">
        <f>ET169/ES169-1</f>
        <v>0.27155172413793105</v>
      </c>
      <c r="EU323" s="396" t="s">
        <v>945</v>
      </c>
      <c r="EV323" s="342"/>
      <c r="EW323" s="43">
        <f>EW169/ET169-1</f>
        <v>-0.24546360917248256</v>
      </c>
      <c r="EX323" s="43">
        <f>EX169/EW169-1</f>
        <v>0.10993657505285404</v>
      </c>
      <c r="EY323" s="43">
        <f>EY169/EX169-1</f>
        <v>2.1190476190476204E-2</v>
      </c>
      <c r="EZ323" s="43">
        <f>EZ169/EY169-1</f>
        <v>0.20800621694640831</v>
      </c>
      <c r="FA323" s="396" t="s">
        <v>945</v>
      </c>
      <c r="FB323" s="342"/>
      <c r="FC323" s="43">
        <f>FC169/EZ169-1</f>
        <v>-0.23575097093300612</v>
      </c>
      <c r="FD323" s="43">
        <f>FD169/FC169-1</f>
        <v>0.10611685730828624</v>
      </c>
      <c r="FE323" s="43">
        <f>FE169/FD169-1</f>
        <v>1.9092123197123945E-2</v>
      </c>
      <c r="FF323" s="43">
        <f>FF169/FE169-1</f>
        <v>0.18711534844941613</v>
      </c>
      <c r="FG323" s="396" t="s">
        <v>945</v>
      </c>
      <c r="FH323" s="342"/>
      <c r="FI323" s="43">
        <f>FI169/FF169-1</f>
        <v>-0.20312496802075919</v>
      </c>
      <c r="FJ323" s="43">
        <f>FJ169/FI169-1</f>
        <v>8.6388933621491804E-2</v>
      </c>
      <c r="FK323" s="43">
        <f>FK169/FJ169-1</f>
        <v>1.0739287922417295E-2</v>
      </c>
      <c r="FL323" s="43">
        <f>FL169/FK169-1</f>
        <v>0.15974642481785395</v>
      </c>
      <c r="FM323" s="396" t="s">
        <v>945</v>
      </c>
      <c r="FN323" s="27"/>
      <c r="FO323" s="27"/>
      <c r="FP323" s="27"/>
      <c r="FQ323" s="27"/>
      <c r="FR323" s="27"/>
      <c r="FS323" s="27"/>
      <c r="FT323" s="27"/>
      <c r="FU323" s="27"/>
      <c r="FV323" s="27"/>
      <c r="FW323" s="27"/>
      <c r="FX323" s="27"/>
      <c r="FY323" s="27"/>
      <c r="FZ323" s="27"/>
      <c r="GA323" s="27"/>
      <c r="GB323" s="27"/>
      <c r="GC323" s="27"/>
      <c r="GD323" s="27"/>
      <c r="GE323" s="27"/>
      <c r="GF323" s="27"/>
      <c r="GH323" s="27"/>
      <c r="GI323"/>
      <c r="GJ323"/>
      <c r="GK323"/>
      <c r="GL323"/>
      <c r="GM323"/>
      <c r="GN323"/>
      <c r="GO323" s="27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</row>
    <row r="324" spans="1:281" s="24" customFormat="1" hidden="1" outlineLevel="1" x14ac:dyDescent="0.2">
      <c r="A324" s="342" t="s">
        <v>45</v>
      </c>
      <c r="B324" s="976"/>
      <c r="C324" s="42" t="s">
        <v>945</v>
      </c>
      <c r="D324" s="42" t="s">
        <v>945</v>
      </c>
      <c r="E324" s="42" t="s">
        <v>945</v>
      </c>
      <c r="F324" s="42" t="s">
        <v>945</v>
      </c>
      <c r="G324" s="42" t="s">
        <v>945</v>
      </c>
      <c r="H324" s="42" t="s">
        <v>945</v>
      </c>
      <c r="I324" s="42" t="s">
        <v>945</v>
      </c>
      <c r="J324" s="42" t="s">
        <v>945</v>
      </c>
      <c r="K324" s="42" t="s">
        <v>945</v>
      </c>
      <c r="L324" s="42" t="s">
        <v>945</v>
      </c>
      <c r="M324" s="42" t="s">
        <v>945</v>
      </c>
      <c r="N324" s="342"/>
      <c r="O324" s="42" t="s">
        <v>945</v>
      </c>
      <c r="P324" s="43">
        <f>P187/O187-1</f>
        <v>0.53375816993464076</v>
      </c>
      <c r="Q324" s="43">
        <f>Q187/P187-1</f>
        <v>0.11091342978288177</v>
      </c>
      <c r="R324" s="43">
        <f>R187/Q187-1</f>
        <v>0.74223462508511107</v>
      </c>
      <c r="S324" s="42" t="s">
        <v>945</v>
      </c>
      <c r="T324" s="342"/>
      <c r="U324" s="43">
        <f>U187/R187-1</f>
        <v>-0.51904501161917294</v>
      </c>
      <c r="V324" s="43">
        <f>V187/U187-1</f>
        <v>0.56467058326955155</v>
      </c>
      <c r="W324" s="43">
        <f>W187/V187-1</f>
        <v>7.0020553405941044E-2</v>
      </c>
      <c r="X324" s="43">
        <f>X187/W187-1</f>
        <v>0.82052771891448351</v>
      </c>
      <c r="Y324" s="42" t="s">
        <v>945</v>
      </c>
      <c r="Z324" s="342"/>
      <c r="AA324" s="43">
        <f>AA187/X187-1</f>
        <v>-0.5765699802872426</v>
      </c>
      <c r="AB324" s="43">
        <f>AB187/AA187-1</f>
        <v>0.5916999201915405</v>
      </c>
      <c r="AC324" s="43">
        <f>AC187/AB187-1</f>
        <v>7.4152752452572246E-2</v>
      </c>
      <c r="AD324" s="43">
        <f>AD187/AC187-1</f>
        <v>0.8668338713437409</v>
      </c>
      <c r="AE324" s="42" t="s">
        <v>945</v>
      </c>
      <c r="AF324" s="342"/>
      <c r="AG324" s="43">
        <f>AG187/AD187-1</f>
        <v>-0.54480389623739711</v>
      </c>
      <c r="AH324" s="43">
        <f>AH187/AG187-1</f>
        <v>0.14332156263793761</v>
      </c>
      <c r="AI324" s="43">
        <f>AI187/AH187-1</f>
        <v>0.14815506822403934</v>
      </c>
      <c r="AJ324" s="43">
        <f>AJ187/AI187-1</f>
        <v>0.87291993100145504</v>
      </c>
      <c r="AK324" s="42" t="s">
        <v>945</v>
      </c>
      <c r="AL324" s="342"/>
      <c r="AM324" s="43">
        <f>AM187/AJ187-1</f>
        <v>-0.5159127356499893</v>
      </c>
      <c r="AN324" s="43">
        <f>AN187/AM187-1</f>
        <v>0.40550561279173269</v>
      </c>
      <c r="AO324" s="43">
        <f>AO187/AN187-1</f>
        <v>7.000638511356172E-2</v>
      </c>
      <c r="AP324" s="43">
        <f>AP187/AO187-1</f>
        <v>0.79846008006492508</v>
      </c>
      <c r="AQ324" s="42" t="s">
        <v>945</v>
      </c>
      <c r="AR324" s="342"/>
      <c r="AS324" s="43">
        <f>AS187/AP187-1</f>
        <v>-0.55114235334268713</v>
      </c>
      <c r="AT324" s="43">
        <f>AT187/AS187-1</f>
        <v>0.62410422558414091</v>
      </c>
      <c r="AU324" s="43">
        <f>AU187/AT187-1</f>
        <v>0.98493178207978271</v>
      </c>
      <c r="AV324" s="43">
        <f>AV187/AU187-1</f>
        <v>5.4367943960501943</v>
      </c>
      <c r="AW324" s="42" t="s">
        <v>945</v>
      </c>
      <c r="AX324" s="342"/>
      <c r="AY324" s="43">
        <f>AY187/AV187-1</f>
        <v>-0.89807914226162444</v>
      </c>
      <c r="AZ324" s="43">
        <f>AZ187/AY187-1</f>
        <v>0.24430236407928896</v>
      </c>
      <c r="BA324" s="43">
        <f>BA187/AZ187-1</f>
        <v>-6.4655997995611947E-2</v>
      </c>
      <c r="BB324" s="43">
        <f>BB187/BA187-1</f>
        <v>0.46737825024821977</v>
      </c>
      <c r="BC324" s="42" t="s">
        <v>945</v>
      </c>
      <c r="BD324" s="342"/>
      <c r="BE324" s="43">
        <f>BE187/BB187-1</f>
        <v>-0.40279404246746908</v>
      </c>
      <c r="BF324" s="43">
        <f>BF187/BE187-1</f>
        <v>7.6010901069359038E-2</v>
      </c>
      <c r="BG324" s="43">
        <f>BG187/BF187-1</f>
        <v>-7.5504598226010189E-2</v>
      </c>
      <c r="BH324" s="43">
        <f>BH187/BG187-1</f>
        <v>0.29164033663074029</v>
      </c>
      <c r="BI324" s="42" t="s">
        <v>945</v>
      </c>
      <c r="BJ324" s="342"/>
      <c r="BK324" s="43">
        <f>BK187/BH187-1</f>
        <v>-0.4772305718000186</v>
      </c>
      <c r="BL324" s="43">
        <f>BL187/BK187-1</f>
        <v>0.55976676384839652</v>
      </c>
      <c r="BM324" s="43">
        <f>BM187/BL187-1</f>
        <v>6.7289719626168143E-2</v>
      </c>
      <c r="BN324" s="43">
        <f>BN187/BM187-1</f>
        <v>0.50332749562171641</v>
      </c>
      <c r="BO324" s="42" t="s">
        <v>945</v>
      </c>
      <c r="BP324" s="342"/>
      <c r="BQ324" s="43">
        <f>BQ187/BN187-1</f>
        <v>-0.48741845293569441</v>
      </c>
      <c r="BR324" s="43">
        <f>BR187/BQ187-1</f>
        <v>0.40227272727272734</v>
      </c>
      <c r="BS324" s="43">
        <f>BS187/BR187-1</f>
        <v>2.7552674230145957E-2</v>
      </c>
      <c r="BT324" s="43">
        <f>BT187/BS187-1</f>
        <v>0.56151419558359628</v>
      </c>
      <c r="BU324" s="42" t="s">
        <v>945</v>
      </c>
      <c r="BV324" s="342"/>
      <c r="BW324" s="43">
        <f>BW187/BT187-1</f>
        <v>-0.46600353124743377</v>
      </c>
      <c r="BX324" s="43">
        <f>BX187/BW187-1</f>
        <v>0.57277053478697071</v>
      </c>
      <c r="BY324" s="43">
        <f>BY187/BX187-1</f>
        <v>-7.763943597677625E-3</v>
      </c>
      <c r="BZ324" s="43">
        <f>BZ187/BY187-1</f>
        <v>0.64363636363636356</v>
      </c>
      <c r="CA324" s="42" t="s">
        <v>945</v>
      </c>
      <c r="CB324" s="342"/>
      <c r="CC324" s="43">
        <f>CC187/BZ187-1</f>
        <v>-0.45575221238938057</v>
      </c>
      <c r="CD324" s="43">
        <f>CD187/CC187-1</f>
        <v>0.31639566395663965</v>
      </c>
      <c r="CE324" s="43">
        <f>CE187/CD187-1</f>
        <v>2.9479377396347095E-2</v>
      </c>
      <c r="CF324" s="43">
        <f>CF187/CE187-1</f>
        <v>0.53723599347510831</v>
      </c>
      <c r="CG324" s="181" t="s">
        <v>945</v>
      </c>
      <c r="CH324" s="342"/>
      <c r="CI324" s="43">
        <f>CI187/CF187-1</f>
        <v>-0.39445185209275113</v>
      </c>
      <c r="CJ324" s="43">
        <f>CJ187/CI187-1</f>
        <v>0.25187969924812026</v>
      </c>
      <c r="CK324" s="43">
        <f>CK187/CJ187-1</f>
        <v>0.11625911625911622</v>
      </c>
      <c r="CL324" s="43">
        <f>CL187/CK187-1</f>
        <v>0.46771714066102987</v>
      </c>
      <c r="CM324" s="181" t="s">
        <v>945</v>
      </c>
      <c r="CN324" s="342"/>
      <c r="CO324" s="43">
        <f>CO187/CL187-1</f>
        <v>-0.38989264205289342</v>
      </c>
      <c r="CP324" s="43">
        <f>CP187/CO187-1</f>
        <v>0.38454935622317588</v>
      </c>
      <c r="CQ324" s="43">
        <f>CQ187/CP187-1</f>
        <v>-1.6738995660260381E-2</v>
      </c>
      <c r="CR324" s="43">
        <f>CR187/CQ187-1</f>
        <v>0.53467843631778056</v>
      </c>
      <c r="CS324" s="181" t="s">
        <v>945</v>
      </c>
      <c r="CT324" s="342"/>
      <c r="CU324" s="43">
        <f>CU187/CR187-1</f>
        <v>-0.36565324568611335</v>
      </c>
      <c r="CV324" s="43">
        <f>CV187/CU187-1</f>
        <v>0.13082901554404147</v>
      </c>
      <c r="CW324" s="43">
        <f>CW187/CV187-1</f>
        <v>1.9473081328751363E-2</v>
      </c>
      <c r="CX324" s="43">
        <f>CX187/CW187-1</f>
        <v>0.30505617977528088</v>
      </c>
      <c r="CY324" s="181" t="s">
        <v>945</v>
      </c>
      <c r="CZ324" s="342"/>
      <c r="DA324" s="43">
        <f>DA187/CX187-1</f>
        <v>-0.33706414119672834</v>
      </c>
      <c r="DB324" s="43">
        <f>DB187/DA187-1</f>
        <v>0.27337662337662327</v>
      </c>
      <c r="DC324" s="43">
        <f>DC187/DB187-1</f>
        <v>-7.955124936257163E-3</v>
      </c>
      <c r="DD324" s="43">
        <f>DD187/DC187-1</f>
        <v>0.56661869024365186</v>
      </c>
      <c r="DE324" s="181" t="s">
        <v>945</v>
      </c>
      <c r="DF324" s="342"/>
      <c r="DG324" s="43">
        <f>DG187/DD187-1</f>
        <v>-0.30144043048856506</v>
      </c>
      <c r="DH324" s="43">
        <f>DH187/DG187-1</f>
        <v>0.25739783936120242</v>
      </c>
      <c r="DI324" s="43">
        <f>DI187/DH187-1</f>
        <v>3.2125513634665648E-2</v>
      </c>
      <c r="DJ324" s="43">
        <f>DJ187/DI187-1</f>
        <v>0.4013753166847629</v>
      </c>
      <c r="DK324" s="396" t="s">
        <v>945</v>
      </c>
      <c r="DL324" s="342"/>
      <c r="DM324" s="43">
        <f>DM187/DJ187-1</f>
        <v>-0.36337809917355368</v>
      </c>
      <c r="DN324" s="43">
        <f>DN187/DM187-1</f>
        <v>0.12941176470588234</v>
      </c>
      <c r="DO324" s="43">
        <f>DO187/DN187-1</f>
        <v>0.12368505747126446</v>
      </c>
      <c r="DP324" s="43">
        <f>DP187/DO187-1</f>
        <v>0.3243959286767879</v>
      </c>
      <c r="DQ324" s="396" t="s">
        <v>945</v>
      </c>
      <c r="DR324" s="342"/>
      <c r="DS324" s="43">
        <f>DS187/DP187-1</f>
        <v>-0.36908055945803875</v>
      </c>
      <c r="DT324" s="43">
        <f>DT187/DS187-1</f>
        <v>0.19433817903596018</v>
      </c>
      <c r="DU324" s="43">
        <f>DU187/DT187-1</f>
        <v>-4.484304932735439E-3</v>
      </c>
      <c r="DV324" s="43">
        <f>DV187/DU187-1</f>
        <v>0.32368082368082374</v>
      </c>
      <c r="DW324" s="396" t="s">
        <v>945</v>
      </c>
      <c r="DX324" s="342"/>
      <c r="DY324" s="43">
        <f>DY187/DV187-1</f>
        <v>-0.32887700534759357</v>
      </c>
      <c r="DZ324" s="43">
        <f>DZ187/DY187-1</f>
        <v>0.14270191959434997</v>
      </c>
      <c r="EA324" s="43">
        <f>EA187/DZ187-1</f>
        <v>-1.3312202852614918E-2</v>
      </c>
      <c r="EB324" s="43">
        <f>EB187/EA187-1</f>
        <v>0.34436235142948934</v>
      </c>
      <c r="EC324" s="396" t="s">
        <v>945</v>
      </c>
      <c r="ED324" s="342"/>
      <c r="EE324" s="43">
        <f>EE187/EB187-1</f>
        <v>-0.32951015531660688</v>
      </c>
      <c r="EF324" s="43">
        <f>EF187/EE187-1</f>
        <v>0.11083392729864583</v>
      </c>
      <c r="EG324" s="43">
        <f>EG187/EF187-1</f>
        <v>-1.4757779916586444E-2</v>
      </c>
      <c r="EH324" s="43">
        <f>EH187/EG187-1</f>
        <v>0.13839140345164447</v>
      </c>
      <c r="EI324" s="396" t="s">
        <v>945</v>
      </c>
      <c r="EJ324" s="342"/>
      <c r="EK324" s="43">
        <f>EK187/EH187-1</f>
        <v>-0.32866132723112129</v>
      </c>
      <c r="EL324" s="43">
        <f>EL187/EK187-1</f>
        <v>0.16531742650191728</v>
      </c>
      <c r="EM324" s="43">
        <f>EM187/EL187-1</f>
        <v>-1.4625228519196121E-3</v>
      </c>
      <c r="EN324" s="43">
        <f>EN187/EM187-1</f>
        <v>0.25375320395459533</v>
      </c>
      <c r="EO324" s="396" t="s">
        <v>945</v>
      </c>
      <c r="EP324" s="342"/>
      <c r="EQ324" s="43">
        <f>EQ187/EN187-1</f>
        <v>-0.31804906542056077</v>
      </c>
      <c r="ER324" s="43">
        <f>ER187/EQ187-1</f>
        <v>0.10226124197002084</v>
      </c>
      <c r="ES324" s="43">
        <f>ES187/ER187-1</f>
        <v>0.12208502669225862</v>
      </c>
      <c r="ET324" s="43">
        <f>ET187/ES187-1</f>
        <v>0.30228531855955687</v>
      </c>
      <c r="EU324" s="396" t="s">
        <v>945</v>
      </c>
      <c r="EV324" s="342"/>
      <c r="EW324" s="43">
        <f>EW187/ET187-1</f>
        <v>-0.29247540547726669</v>
      </c>
      <c r="EX324" s="43">
        <f>EX187/EW187-1</f>
        <v>0.12363773017662538</v>
      </c>
      <c r="EY324" s="43">
        <f>EY187/EX187-1</f>
        <v>0.17257525083612046</v>
      </c>
      <c r="EZ324" s="43">
        <f>EZ187/EY187-1</f>
        <v>0.11195691146221232</v>
      </c>
      <c r="FA324" s="396" t="s">
        <v>945</v>
      </c>
      <c r="FB324" s="342"/>
      <c r="FC324" s="43">
        <f>FC187/EZ187-1</f>
        <v>-0.23846354913034162</v>
      </c>
      <c r="FD324" s="43">
        <f>FD187/FC187-1</f>
        <v>0.1146213432359684</v>
      </c>
      <c r="FE324" s="43">
        <f>FE187/FD187-1</f>
        <v>1.8945068956568889E-2</v>
      </c>
      <c r="FF324" s="43">
        <f>FF187/FE187-1</f>
        <v>0.20633659944123828</v>
      </c>
      <c r="FG324" s="396" t="s">
        <v>945</v>
      </c>
      <c r="FH324" s="342"/>
      <c r="FI324" s="43">
        <f>FI187/FF187-1</f>
        <v>-0.21091722511748678</v>
      </c>
      <c r="FJ324" s="43">
        <f>FJ187/FI187-1</f>
        <v>0.10273886213146155</v>
      </c>
      <c r="FK324" s="43">
        <f>FK187/FJ187-1</f>
        <v>1.0831124980440254E-2</v>
      </c>
      <c r="FL324" s="43">
        <f>FL187/FK187-1</f>
        <v>0.16651439588437045</v>
      </c>
      <c r="FM324" s="396" t="s">
        <v>945</v>
      </c>
      <c r="FN324" s="27"/>
      <c r="FO324" s="27"/>
      <c r="FP324" s="27"/>
      <c r="FQ324" s="27"/>
      <c r="FR324" s="27"/>
      <c r="FS324" s="27"/>
      <c r="FT324" s="27"/>
      <c r="FU324" s="27"/>
      <c r="FV324" s="27"/>
      <c r="FW324" s="27"/>
      <c r="FX324" s="27"/>
      <c r="FY324" s="27"/>
      <c r="FZ324" s="27"/>
      <c r="GA324" s="27"/>
      <c r="GB324" s="27"/>
      <c r="GC324" s="27"/>
      <c r="GD324" s="27"/>
      <c r="GE324" s="27"/>
      <c r="GF324" s="27"/>
      <c r="GH324" s="27"/>
      <c r="GI324"/>
      <c r="GJ324"/>
      <c r="GK324"/>
      <c r="GL324"/>
      <c r="GM324"/>
      <c r="GN324"/>
      <c r="GO324" s="27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</row>
    <row r="325" spans="1:281" s="24" customFormat="1" hidden="1" outlineLevel="1" x14ac:dyDescent="0.2">
      <c r="A325" s="342" t="s">
        <v>180</v>
      </c>
      <c r="B325" s="413"/>
      <c r="C325" s="94" t="s">
        <v>945</v>
      </c>
      <c r="D325" s="94" t="s">
        <v>945</v>
      </c>
      <c r="E325" s="94" t="s">
        <v>945</v>
      </c>
      <c r="F325" s="94" t="s">
        <v>945</v>
      </c>
      <c r="G325" s="94" t="s">
        <v>945</v>
      </c>
      <c r="H325" s="94" t="s">
        <v>945</v>
      </c>
      <c r="I325" s="94" t="s">
        <v>945</v>
      </c>
      <c r="J325" s="94" t="s">
        <v>945</v>
      </c>
      <c r="K325" s="94" t="s">
        <v>945</v>
      </c>
      <c r="L325" s="94" t="s">
        <v>945</v>
      </c>
      <c r="M325" s="94" t="s">
        <v>945</v>
      </c>
      <c r="N325" s="342"/>
      <c r="O325" s="94" t="s">
        <v>945</v>
      </c>
      <c r="P325" s="43">
        <f>P189/O189-1</f>
        <v>1</v>
      </c>
      <c r="Q325" s="43">
        <f>Q189/P189-1</f>
        <v>0</v>
      </c>
      <c r="R325" s="43">
        <f>R189/Q189-1</f>
        <v>0.5</v>
      </c>
      <c r="S325" s="42" t="s">
        <v>945</v>
      </c>
      <c r="T325" s="342"/>
      <c r="U325" s="43">
        <f>U189/R189-1</f>
        <v>-0.66666666666666663</v>
      </c>
      <c r="V325" s="43">
        <f>V189/U189-1</f>
        <v>1</v>
      </c>
      <c r="W325" s="43">
        <f>W189/V189-1</f>
        <v>0</v>
      </c>
      <c r="X325" s="43">
        <f>X189/W189-1</f>
        <v>1</v>
      </c>
      <c r="Y325" s="42" t="s">
        <v>945</v>
      </c>
      <c r="Z325" s="342"/>
      <c r="AA325" s="43">
        <f>AA189/X189-1</f>
        <v>-0.5</v>
      </c>
      <c r="AB325" s="43">
        <f>AB189/AA189-1</f>
        <v>0.5</v>
      </c>
      <c r="AC325" s="43">
        <f>AC189/AB189-1</f>
        <v>0</v>
      </c>
      <c r="AD325" s="43">
        <f>AD189/AC189-1</f>
        <v>1</v>
      </c>
      <c r="AE325" s="42" t="s">
        <v>945</v>
      </c>
      <c r="AF325" s="342"/>
      <c r="AG325" s="43">
        <f>AG189/AD189-1</f>
        <v>-0.5</v>
      </c>
      <c r="AH325" s="43">
        <f>AH189/AG189-1</f>
        <v>0</v>
      </c>
      <c r="AI325" s="43">
        <f>AI189/AH189-1</f>
        <v>0.33333333333333348</v>
      </c>
      <c r="AJ325" s="43">
        <f>AJ189/AI189-1</f>
        <v>0.75000000000000022</v>
      </c>
      <c r="AK325" s="42" t="s">
        <v>945</v>
      </c>
      <c r="AL325" s="342"/>
      <c r="AM325" s="43">
        <f>AM189/AJ189-1</f>
        <v>-0.57142857142857151</v>
      </c>
      <c r="AN325" s="43">
        <f>AN189/AM189-1</f>
        <v>0.66666666666666674</v>
      </c>
      <c r="AO325" s="43">
        <f>AO189/AN189-1</f>
        <v>0</v>
      </c>
      <c r="AP325" s="43">
        <f>AP189/AO189-1</f>
        <v>0.79999999999999982</v>
      </c>
      <c r="AQ325" s="42" t="s">
        <v>945</v>
      </c>
      <c r="AR325" s="342"/>
      <c r="AS325" s="43">
        <f>AS189/AP189-1</f>
        <v>-0.55555555555555558</v>
      </c>
      <c r="AT325" s="43">
        <f>AT189/AS189-1</f>
        <v>0.5</v>
      </c>
      <c r="AU325" s="43">
        <f>AU189/AT189-1</f>
        <v>1.166666666666667</v>
      </c>
      <c r="AV325" s="43">
        <f>AV189/AU189-1</f>
        <v>5.3076923076923075</v>
      </c>
      <c r="AW325" s="42" t="s">
        <v>945</v>
      </c>
      <c r="AX325" s="342"/>
      <c r="AY325" s="43">
        <f>AY189/AV189-1</f>
        <v>-0.90243902439024393</v>
      </c>
      <c r="AZ325" s="43">
        <f>AZ189/AY189-1</f>
        <v>0.375</v>
      </c>
      <c r="BA325" s="43">
        <f>BA189/AZ189-1</f>
        <v>-9.0909090909090828E-2</v>
      </c>
      <c r="BB325" s="43">
        <f>BB189/BA189-1</f>
        <v>0.49999999999999978</v>
      </c>
      <c r="BC325" s="42" t="s">
        <v>945</v>
      </c>
      <c r="BD325" s="342"/>
      <c r="BE325" s="43">
        <f>BE189/BB189-1</f>
        <v>-0.4</v>
      </c>
      <c r="BF325" s="43">
        <f>BF189/BE189-1</f>
        <v>0.11111111111111116</v>
      </c>
      <c r="BG325" s="43">
        <f>BG189/BF189-1</f>
        <v>-0.10000000000000009</v>
      </c>
      <c r="BH325" s="43">
        <f>BH189/BG189-1</f>
        <v>0.33333333333333326</v>
      </c>
      <c r="BI325" s="42" t="s">
        <v>945</v>
      </c>
      <c r="BJ325" s="342"/>
      <c r="BK325" s="43">
        <f>BK189/BH189-1</f>
        <v>-0.5</v>
      </c>
      <c r="BL325" s="43">
        <f>BL189/BK189-1</f>
        <v>0.66666666666666674</v>
      </c>
      <c r="BM325" s="43">
        <f>BM189/BL189-1</f>
        <v>9.9999999999999867E-2</v>
      </c>
      <c r="BN325" s="43">
        <f>BN189/BM189-1</f>
        <v>0.45454545454545459</v>
      </c>
      <c r="BO325" s="42" t="s">
        <v>945</v>
      </c>
      <c r="BP325" s="342"/>
      <c r="BQ325" s="43">
        <f>BQ189/BN189-1</f>
        <v>-0.48568750000000005</v>
      </c>
      <c r="BR325" s="43">
        <f>BR189/BQ189-1</f>
        <v>0.40490946652084103</v>
      </c>
      <c r="BS325" s="43">
        <f>BS189/BR189-1</f>
        <v>2.7506271083816314E-2</v>
      </c>
      <c r="BT325" s="43">
        <f>BT189/BS189-1</f>
        <v>0.57748968768414843</v>
      </c>
      <c r="BU325" s="42" t="s">
        <v>945</v>
      </c>
      <c r="BV325" s="342"/>
      <c r="BW325" s="43">
        <f>BW189/BT189-1</f>
        <v>-0.46171087037728797</v>
      </c>
      <c r="BX325" s="43">
        <f>BX189/BW189-1</f>
        <v>0.57965698423713707</v>
      </c>
      <c r="BY325" s="43">
        <f>BY189/BX189-1</f>
        <v>-1.0041420861051975E-2</v>
      </c>
      <c r="BZ325" s="43">
        <f>BZ189/BY189-1</f>
        <v>0.64244960060859646</v>
      </c>
      <c r="CA325" s="42" t="s">
        <v>945</v>
      </c>
      <c r="CB325" s="342"/>
      <c r="CC325" s="43">
        <f>CC189/BZ189-1</f>
        <v>-0.45680870773506255</v>
      </c>
      <c r="CD325" s="43">
        <f>CD189/CC189-1</f>
        <v>0.31791373552192148</v>
      </c>
      <c r="CE325" s="43">
        <f>CE189/CD189-1</f>
        <v>1.6660376341187222E-2</v>
      </c>
      <c r="CF325" s="43">
        <f>CF189/CE189-1</f>
        <v>0.51750106067034363</v>
      </c>
      <c r="CG325" s="181" t="s">
        <v>945</v>
      </c>
      <c r="CH325" s="342"/>
      <c r="CI325" s="43">
        <f>CI189/CF189-1</f>
        <v>-0.38690850632557494</v>
      </c>
      <c r="CJ325" s="43">
        <f>CJ189/CI189-1</f>
        <v>0.2528073875619905</v>
      </c>
      <c r="CK325" s="43">
        <f>CK189/CJ189-1</f>
        <v>0.12494312494312476</v>
      </c>
      <c r="CL325" s="43">
        <f>CL189/CK189-1</f>
        <v>0.47840155314674004</v>
      </c>
      <c r="CM325" s="181" t="s">
        <v>945</v>
      </c>
      <c r="CN325" s="342"/>
      <c r="CO325" s="43">
        <f>CO189/CL189-1</f>
        <v>-0.38941781571459844</v>
      </c>
      <c r="CP325" s="43">
        <f>CP189/CO189-1</f>
        <v>0.38112734115960234</v>
      </c>
      <c r="CQ325" s="43">
        <f>CQ189/CP189-1</f>
        <v>-8.045678691928515E-3</v>
      </c>
      <c r="CR325" s="43">
        <f>CR189/CQ189-1</f>
        <v>0.52122579801151248</v>
      </c>
      <c r="CS325" s="181" t="s">
        <v>945</v>
      </c>
      <c r="CT325" s="342"/>
      <c r="CU325" s="43">
        <f>CU189/CR189-1</f>
        <v>-0.36589770601767246</v>
      </c>
      <c r="CV325" s="43">
        <f>CV189/CU189-1</f>
        <v>0.14128297280802893</v>
      </c>
      <c r="CW325" s="43">
        <f>CW189/CV189-1</f>
        <v>4.5898814651970987E-2</v>
      </c>
      <c r="CX325" s="43">
        <f>CX189/CW189-1</f>
        <v>0.30841333863545994</v>
      </c>
      <c r="CY325" s="181" t="s">
        <v>945</v>
      </c>
      <c r="CZ325" s="342"/>
      <c r="DA325" s="43">
        <f>DA189/CX189-1</f>
        <v>-0.3396795762417506</v>
      </c>
      <c r="DB325" s="43">
        <f>DB189/DA189-1</f>
        <v>0.27310385639609414</v>
      </c>
      <c r="DC325" s="43">
        <f>DC189/DB189-1</f>
        <v>-1.0303687635574876E-2</v>
      </c>
      <c r="DD325" s="43">
        <f>DD189/DC189-1</f>
        <v>0.56232224396607955</v>
      </c>
      <c r="DE325" s="181" t="s">
        <v>945</v>
      </c>
      <c r="DF325" s="342"/>
      <c r="DG325" s="43">
        <f>DG189/DD189-1</f>
        <v>-0.3004709733449128</v>
      </c>
      <c r="DH325" s="43">
        <f>DH189/DG189-1</f>
        <v>0.24903903545421979</v>
      </c>
      <c r="DI325" s="43">
        <f>DI189/DH189-1</f>
        <v>2.5709152075847008E-2</v>
      </c>
      <c r="DJ325" s="43">
        <f>DJ189/DI189-1</f>
        <v>0.39730903263077466</v>
      </c>
      <c r="DK325" s="396" t="s">
        <v>945</v>
      </c>
      <c r="DL325" s="342"/>
      <c r="DM325" s="43">
        <f>DM189/DJ189-1</f>
        <v>-0.36165161840999716</v>
      </c>
      <c r="DN325" s="43">
        <f>DN189/DM189-1</f>
        <v>0.13536269430051795</v>
      </c>
      <c r="DO325" s="43">
        <f>DO189/DN189-1</f>
        <v>0.13319102736322996</v>
      </c>
      <c r="DP325" s="43">
        <f>DP189/DO189-1</f>
        <v>0.338367353566847</v>
      </c>
      <c r="DQ325" s="396" t="s">
        <v>945</v>
      </c>
      <c r="DR325" s="342"/>
      <c r="DS325" s="43">
        <f>DS189/DP189-1</f>
        <v>-0.35783445363876831</v>
      </c>
      <c r="DT325" s="43">
        <f>DT189/DS189-1</f>
        <v>0.21174847900842697</v>
      </c>
      <c r="DU325" s="43">
        <f>DU189/DT189-1</f>
        <v>7.1102240656135685E-3</v>
      </c>
      <c r="DV325" s="43">
        <f>DV189/DU189-1</f>
        <v>0.3392528139466473</v>
      </c>
      <c r="DW325" s="396" t="s">
        <v>945</v>
      </c>
      <c r="DX325" s="342"/>
      <c r="DY325" s="43">
        <f>DY189/DV189-1</f>
        <v>-0.31710616062242059</v>
      </c>
      <c r="DZ325" s="43">
        <f>DZ189/DY189-1</f>
        <v>0.16109427637927243</v>
      </c>
      <c r="EA325" s="43">
        <f>EA189/DZ189-1</f>
        <v>-7.916952192106308E-3</v>
      </c>
      <c r="EB325" s="43">
        <f>EB189/EA189-1</f>
        <v>0.34612897536887877</v>
      </c>
      <c r="EC325" s="396" t="s">
        <v>945</v>
      </c>
      <c r="ED325" s="342"/>
      <c r="EE325" s="43">
        <f>EE189/EB189-1</f>
        <v>-0.32642255120310926</v>
      </c>
      <c r="EF325" s="43">
        <f>EF189/EE189-1</f>
        <v>0.12144836864029029</v>
      </c>
      <c r="EG325" s="43">
        <f>EG189/EF189-1</f>
        <v>-1.2342824107529959E-2</v>
      </c>
      <c r="EH325" s="43">
        <f>EH189/EG189-1</f>
        <v>0.14629185202528694</v>
      </c>
      <c r="EI325" s="396" t="s">
        <v>945</v>
      </c>
      <c r="EJ325" s="342"/>
      <c r="EK325" s="43">
        <f>EK189/EH189-1</f>
        <v>-0.32089923786909735</v>
      </c>
      <c r="EL325" s="43">
        <f>EL189/EK189-1</f>
        <v>0.19123618317166713</v>
      </c>
      <c r="EM325" s="43">
        <f>EM189/EL189-1</f>
        <v>1.2608688791049261E-2</v>
      </c>
      <c r="EN325" s="43">
        <f>EN189/EM189-1</f>
        <v>0.25908552549557418</v>
      </c>
      <c r="EO325" s="396" t="s">
        <v>945</v>
      </c>
      <c r="EP325" s="342"/>
      <c r="EQ325" s="43">
        <f>EQ189/EN189-1</f>
        <v>-0.31529959278650388</v>
      </c>
      <c r="ER325" s="43">
        <f>ER189/EQ189-1</f>
        <v>0.10909452448525836</v>
      </c>
      <c r="ES325" s="43">
        <f>ES189/ER189-1</f>
        <v>0.11966619943279988</v>
      </c>
      <c r="ET325" s="43">
        <f>ET189/ES189-1</f>
        <v>0.28880866425992791</v>
      </c>
      <c r="EU325" s="396" t="s">
        <v>945</v>
      </c>
      <c r="EV325" s="342"/>
      <c r="EW325" s="43">
        <f>EW189/ET189-1</f>
        <v>-0.29842098129574413</v>
      </c>
      <c r="EX325" s="43">
        <f>EX189/EW189-1</f>
        <v>0.12389921919021174</v>
      </c>
      <c r="EY325" s="43">
        <f>EY189/EX189-1</f>
        <v>0.18558679864204786</v>
      </c>
      <c r="EZ325" s="43">
        <f>EZ189/EY189-1</f>
        <v>0.12314086532071955</v>
      </c>
      <c r="FA325" s="396" t="s">
        <v>945</v>
      </c>
      <c r="FB325" s="342"/>
      <c r="FC325" s="43">
        <f>FC189/EZ189-1</f>
        <v>-0.22998311083380851</v>
      </c>
      <c r="FD325" s="43">
        <f>FD189/FC189-1</f>
        <v>0.12316289466331387</v>
      </c>
      <c r="FE325" s="43">
        <f>FE189/FD189-1</f>
        <v>2.6593362853873259E-2</v>
      </c>
      <c r="FF325" s="43">
        <f>FF189/FE189-1</f>
        <v>0.21520827780066409</v>
      </c>
      <c r="FG325" s="396" t="s">
        <v>945</v>
      </c>
      <c r="FH325" s="342"/>
      <c r="FI325" s="43">
        <f>FI189/FF189-1</f>
        <v>-0.20536212810082166</v>
      </c>
      <c r="FJ325" s="43">
        <f>FJ189/FI189-1</f>
        <v>0.11016449390833016</v>
      </c>
      <c r="FK325" s="43">
        <f>FK189/FJ189-1</f>
        <v>1.7484374823404369E-2</v>
      </c>
      <c r="FL325" s="43">
        <f>FL189/FK189-1</f>
        <v>0.17398307155710602</v>
      </c>
      <c r="FM325" s="396" t="s">
        <v>945</v>
      </c>
      <c r="FN325" s="27"/>
      <c r="FO325" s="27"/>
      <c r="FP325" s="27"/>
      <c r="FQ325" s="27"/>
      <c r="FR325" s="27"/>
      <c r="FS325" s="27"/>
      <c r="FT325" s="27"/>
      <c r="FU325" s="27"/>
      <c r="FV325" s="27"/>
      <c r="FW325" s="27"/>
      <c r="FX325" s="27"/>
      <c r="FY325" s="27"/>
      <c r="FZ325" s="27"/>
      <c r="GA325" s="27"/>
      <c r="GB325" s="27"/>
      <c r="GC325" s="27"/>
      <c r="GD325" s="27"/>
      <c r="GE325" s="27"/>
      <c r="GF325" s="27"/>
      <c r="GH325" s="27"/>
      <c r="GI325"/>
      <c r="GJ325"/>
      <c r="GK325"/>
      <c r="GL325"/>
      <c r="GM325"/>
      <c r="GN325"/>
      <c r="GO325" s="27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</row>
    <row r="326" spans="1:281" s="28" customFormat="1" ht="5.25" hidden="1" customHeight="1" outlineLevel="1" x14ac:dyDescent="0.2">
      <c r="A326" s="18"/>
      <c r="B326" s="414"/>
      <c r="CG326" s="416"/>
      <c r="CM326" s="416"/>
      <c r="CS326" s="416"/>
      <c r="CY326" s="416"/>
      <c r="DE326" s="416"/>
      <c r="DK326" s="975"/>
      <c r="DQ326" s="975"/>
      <c r="DW326" s="975"/>
      <c r="EC326" s="975"/>
      <c r="EI326" s="975"/>
      <c r="EO326" s="975"/>
      <c r="EU326" s="975"/>
      <c r="FA326" s="975"/>
      <c r="FG326" s="975"/>
      <c r="FM326" s="975"/>
      <c r="GI326"/>
      <c r="GJ326"/>
      <c r="GK326"/>
      <c r="GL326"/>
      <c r="GM326"/>
      <c r="GN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</row>
    <row r="327" spans="1:281" s="1221" customFormat="1" collapsed="1" x14ac:dyDescent="0.2">
      <c r="A327" s="1221" t="s">
        <v>883</v>
      </c>
      <c r="B327" s="1373"/>
      <c r="CG327" s="1374"/>
      <c r="CM327" s="1374"/>
      <c r="CS327" s="1374"/>
      <c r="CY327" s="1374"/>
      <c r="DE327" s="1374"/>
      <c r="DK327" s="1374"/>
      <c r="DQ327" s="1374"/>
      <c r="DW327" s="1374"/>
      <c r="EC327" s="1374"/>
      <c r="EI327" s="1374"/>
      <c r="EO327" s="1374"/>
      <c r="EU327" s="1374"/>
      <c r="FA327" s="1374"/>
      <c r="FG327" s="1374"/>
      <c r="FM327" s="1374"/>
      <c r="GI327"/>
      <c r="GJ327"/>
      <c r="GK327"/>
      <c r="GL327"/>
      <c r="GM327"/>
      <c r="GN327"/>
      <c r="GP327" s="1364"/>
      <c r="GQ327" s="1364"/>
      <c r="GR327" s="1364"/>
      <c r="GS327" s="1364"/>
      <c r="GT327" s="1364"/>
      <c r="GU327" s="1364"/>
      <c r="GV327" s="1364"/>
      <c r="GW327" s="1364"/>
      <c r="GX327" s="1364"/>
      <c r="GY327" s="1364"/>
      <c r="GZ327" s="1364"/>
      <c r="HA327" s="1364"/>
      <c r="HB327" s="1364"/>
      <c r="HC327" s="1364"/>
      <c r="HD327" s="1364"/>
      <c r="HE327" s="1364"/>
      <c r="HF327" s="1364"/>
      <c r="HG327" s="1364"/>
      <c r="HH327" s="1364"/>
      <c r="HI327" s="1364"/>
      <c r="HJ327" s="1364"/>
      <c r="HK327" s="1364"/>
      <c r="HL327" s="1364"/>
      <c r="HM327" s="1364"/>
      <c r="HN327" s="1364"/>
      <c r="HO327" s="1364"/>
      <c r="HP327" s="1364"/>
      <c r="HQ327" s="1364"/>
      <c r="HR327" s="1364"/>
      <c r="HS327" s="1364"/>
      <c r="HT327" s="1364"/>
      <c r="HU327" s="1364"/>
      <c r="HV327" s="1364"/>
      <c r="HW327" s="1364"/>
      <c r="HX327" s="1364"/>
      <c r="HY327" s="1364"/>
      <c r="HZ327" s="1364"/>
      <c r="IA327" s="1364"/>
      <c r="IB327" s="1364"/>
      <c r="IC327" s="1364"/>
      <c r="ID327" s="1364"/>
      <c r="IE327" s="1364"/>
      <c r="IF327" s="1364"/>
      <c r="IG327" s="1364"/>
      <c r="IH327" s="1364"/>
      <c r="II327" s="1364"/>
      <c r="IJ327" s="1364"/>
      <c r="IK327" s="1364"/>
      <c r="IL327" s="1364"/>
      <c r="IM327" s="1364"/>
      <c r="IN327" s="1364"/>
      <c r="IO327" s="1364"/>
      <c r="IP327" s="1364"/>
      <c r="IQ327" s="1364"/>
      <c r="IR327" s="1364"/>
      <c r="IS327" s="1364"/>
      <c r="IT327" s="1364"/>
      <c r="IU327" s="1364"/>
      <c r="IV327" s="1364"/>
      <c r="IW327" s="1364"/>
      <c r="IX327" s="1364"/>
      <c r="IY327" s="1364"/>
      <c r="IZ327" s="1364"/>
      <c r="JA327" s="1364"/>
      <c r="JB327" s="1364"/>
      <c r="JC327" s="1364"/>
      <c r="JD327" s="1364"/>
      <c r="JE327" s="1364"/>
      <c r="JF327" s="1364"/>
      <c r="JG327" s="1364"/>
      <c r="JH327" s="1364"/>
      <c r="JI327" s="1364"/>
      <c r="JJ327" s="1364"/>
      <c r="JK327" s="1364"/>
      <c r="JL327" s="1364"/>
      <c r="JM327" s="1364"/>
      <c r="JN327" s="1364"/>
      <c r="JO327" s="1364"/>
      <c r="JP327" s="1364"/>
      <c r="JQ327" s="1364"/>
      <c r="JR327" s="1364"/>
      <c r="JS327" s="1364"/>
      <c r="JT327" s="1364"/>
      <c r="JU327" s="1364"/>
    </row>
    <row r="328" spans="1:281" s="24" customFormat="1" x14ac:dyDescent="0.2">
      <c r="A328" s="353" t="s">
        <v>645</v>
      </c>
      <c r="B328" s="413"/>
      <c r="C328" s="43">
        <f t="shared" ref="C328:M328" si="219">C14/C$91</f>
        <v>1</v>
      </c>
      <c r="D328" s="43">
        <f t="shared" si="219"/>
        <v>1</v>
      </c>
      <c r="E328" s="43">
        <f t="shared" si="219"/>
        <v>1</v>
      </c>
      <c r="F328" s="43">
        <f t="shared" si="219"/>
        <v>1</v>
      </c>
      <c r="G328" s="43">
        <f t="shared" si="219"/>
        <v>0.72820111090236894</v>
      </c>
      <c r="H328" s="43">
        <f t="shared" si="219"/>
        <v>0.71587872559095589</v>
      </c>
      <c r="I328" s="43">
        <f t="shared" si="219"/>
        <v>0.7251977869684304</v>
      </c>
      <c r="J328" s="43">
        <f t="shared" si="219"/>
        <v>0.62793484890787377</v>
      </c>
      <c r="K328" s="43">
        <f t="shared" si="219"/>
        <v>0.5572519083969466</v>
      </c>
      <c r="L328" s="43">
        <f t="shared" si="219"/>
        <v>0.53626081170991347</v>
      </c>
      <c r="M328" s="43">
        <f t="shared" si="219"/>
        <v>0.5491850423781961</v>
      </c>
      <c r="N328" s="43"/>
      <c r="O328" s="43">
        <f>O14/O$91</f>
        <v>0.50316816239393036</v>
      </c>
      <c r="P328" s="43">
        <f>P14/P$91</f>
        <v>0.5117264426806708</v>
      </c>
      <c r="Q328" s="43">
        <f>Q14/Q$91</f>
        <v>0.51921439400757363</v>
      </c>
      <c r="R328" s="43">
        <f>R14/R$91</f>
        <v>0.5973205066614008</v>
      </c>
      <c r="S328" s="43">
        <f>S14/S$91</f>
        <v>0.54130975388944214</v>
      </c>
      <c r="T328" s="43"/>
      <c r="U328" s="43">
        <f>U14/U$91</f>
        <v>0.45348359620265793</v>
      </c>
      <c r="V328" s="43">
        <f>V14/V$91</f>
        <v>0.50164426059979317</v>
      </c>
      <c r="W328" s="43">
        <f>W14/W$91</f>
        <v>0.50478368303897414</v>
      </c>
      <c r="X328" s="43">
        <f>X14/X$91</f>
        <v>0.60311159135398895</v>
      </c>
      <c r="Y328" s="43">
        <f>Y14/Y$91</f>
        <v>0.52877780293034815</v>
      </c>
      <c r="Z328" s="43"/>
      <c r="AA328" s="43">
        <f>AA14/AA$91</f>
        <v>0.42222653016813344</v>
      </c>
      <c r="AB328" s="43">
        <f>AB14/AB$91</f>
        <v>0.46245194921658445</v>
      </c>
      <c r="AC328" s="43">
        <f>AC14/AC$91</f>
        <v>0.48393611309232831</v>
      </c>
      <c r="AD328" s="43">
        <f>AD14/AD$91</f>
        <v>0.56848633312303554</v>
      </c>
      <c r="AE328" s="43">
        <f>AE14/AE$91</f>
        <v>0.49653116916382151</v>
      </c>
      <c r="AF328" s="43"/>
      <c r="AG328" s="43">
        <f>AG14/AG$91</f>
        <v>0.36920343534761124</v>
      </c>
      <c r="AH328" s="43">
        <f>AH14/AH$91</f>
        <v>0.38492756209693463</v>
      </c>
      <c r="AI328" s="43">
        <f>AI14/AI$91</f>
        <v>0.43070192142190133</v>
      </c>
      <c r="AJ328" s="43">
        <f>AJ14/AJ$91</f>
        <v>0.50126277018577414</v>
      </c>
      <c r="AK328" s="43">
        <f>AK14/AK$91</f>
        <v>0.43240738731764944</v>
      </c>
      <c r="AL328" s="43"/>
      <c r="AM328" s="43">
        <f>AM14/AM$91</f>
        <v>0.31879813162122456</v>
      </c>
      <c r="AN328" s="43">
        <f>AN14/AN$91</f>
        <v>0.36248409489752637</v>
      </c>
      <c r="AO328" s="43">
        <f>AO14/AO$91</f>
        <v>0.38703124699363128</v>
      </c>
      <c r="AP328" s="43">
        <f>AP14/AP$91</f>
        <v>0.5039962246175862</v>
      </c>
      <c r="AQ328" s="43">
        <f>AQ14/AQ$91</f>
        <v>0.40679341656950541</v>
      </c>
      <c r="AR328" s="43"/>
      <c r="AS328" s="43">
        <f>AS14/AS$91</f>
        <v>0.30367389143050927</v>
      </c>
      <c r="AT328" s="43">
        <f>AT14/AT$91</f>
        <v>0.37778432418860036</v>
      </c>
      <c r="AU328" s="43">
        <f>AU14/AU$91</f>
        <v>0.4258995402173088</v>
      </c>
      <c r="AV328" s="43">
        <f>AV14/AV$91</f>
        <v>0.53107331572973437</v>
      </c>
      <c r="AW328" s="43">
        <f>AW14/AW$91</f>
        <v>0.42595996812676012</v>
      </c>
      <c r="AX328" s="43"/>
      <c r="AY328" s="43">
        <f>AY14/AY$91</f>
        <v>0.33708378350973256</v>
      </c>
      <c r="AZ328" s="43">
        <f>AZ14/AZ$91</f>
        <v>0.40693483640608574</v>
      </c>
      <c r="BA328" s="43">
        <f>BA14/BA$91</f>
        <v>0.40836041604384476</v>
      </c>
      <c r="BB328" s="43">
        <f>BB14/BB$91</f>
        <v>0.49190482124349971</v>
      </c>
      <c r="BC328" s="43">
        <f>BC14/BC$91</f>
        <v>0.41821109470095502</v>
      </c>
      <c r="BD328" s="43"/>
      <c r="BE328" s="43">
        <f>BE14/BE$91</f>
        <v>0.31394734344199154</v>
      </c>
      <c r="BF328" s="43">
        <f>BF14/BF$91</f>
        <v>0.33749727466007295</v>
      </c>
      <c r="BG328" s="43">
        <f>BG14/BG$91</f>
        <v>0.34480366747732238</v>
      </c>
      <c r="BH328" s="43">
        <f>BH14/BH$91</f>
        <v>0.41455871543460465</v>
      </c>
      <c r="BI328" s="43">
        <f>BI14/BI$91</f>
        <v>0.35578451849429638</v>
      </c>
      <c r="BJ328" s="43"/>
      <c r="BK328" s="43">
        <f>BK14/BK$91</f>
        <v>0.27761341222879682</v>
      </c>
      <c r="BL328" s="43">
        <f>BL14/BL$91</f>
        <v>0.33131225638804679</v>
      </c>
      <c r="BM328" s="43">
        <f>BM14/BM$91</f>
        <v>0.32726484612050283</v>
      </c>
      <c r="BN328" s="43">
        <f>BN14/BN$91</f>
        <v>0.4192272374090556</v>
      </c>
      <c r="BO328" s="82">
        <f>BO14/BO$91</f>
        <v>0.3451041644679908</v>
      </c>
      <c r="BP328" s="43"/>
      <c r="BQ328" s="43">
        <f>BQ14/BQ$91</f>
        <v>0.2533783783783784</v>
      </c>
      <c r="BR328" s="43">
        <f>BR14/BR$91</f>
        <v>0.34227381905524418</v>
      </c>
      <c r="BS328" s="43">
        <f>BS14/BS$91</f>
        <v>0.33758469509764849</v>
      </c>
      <c r="BT328" s="43">
        <f>BT14/BT$91</f>
        <v>0.42703932401689959</v>
      </c>
      <c r="BU328" s="82">
        <f>BU14/BU$91</f>
        <v>0.34866089011421819</v>
      </c>
      <c r="BV328" s="43"/>
      <c r="BW328" s="43">
        <f>BW14/BW$91</f>
        <v>0.25417607223476296</v>
      </c>
      <c r="BX328" s="43">
        <f>BX14/BX$91</f>
        <v>0.35232220609579101</v>
      </c>
      <c r="BY328" s="43">
        <f>BY14/BY$91</f>
        <v>0.30617523440025862</v>
      </c>
      <c r="BZ328" s="43">
        <f>BZ14/BZ$91</f>
        <v>0.39679408138101108</v>
      </c>
      <c r="CA328" s="82">
        <f>CA14/CA$91</f>
        <v>0.33748659130291281</v>
      </c>
      <c r="CB328" s="43"/>
      <c r="CC328" s="43">
        <f>CC14/CC$91</f>
        <v>0.21637426900584794</v>
      </c>
      <c r="CD328" s="43">
        <f>CD14/CD$91</f>
        <v>0.31172657631113732</v>
      </c>
      <c r="CE328" s="43">
        <f>CE14/CE$91</f>
        <v>0.31020823902218198</v>
      </c>
      <c r="CF328" s="43">
        <f>CF14/CF$91</f>
        <v>0.4296131253797853</v>
      </c>
      <c r="CG328" s="397">
        <f>CG14/CG$91</f>
        <v>0.33199750886788876</v>
      </c>
      <c r="CH328" s="43"/>
      <c r="CI328" s="43">
        <f>CI14/CI$91</f>
        <v>0.21961212783392517</v>
      </c>
      <c r="CJ328" s="43">
        <f>CJ14/CJ$91</f>
        <v>0.28629032258064518</v>
      </c>
      <c r="CK328" s="43">
        <f>CK14/CK$91</f>
        <v>0.31242975949651608</v>
      </c>
      <c r="CL328" s="43">
        <f>CL14/CL$91</f>
        <v>0.42172361040285566</v>
      </c>
      <c r="CM328" s="397">
        <f>CM14/CM$91</f>
        <v>0.32302707452358725</v>
      </c>
      <c r="CN328" s="43"/>
      <c r="CO328" s="43">
        <f>CO14/CO$91</f>
        <v>0.23666448944045287</v>
      </c>
      <c r="CP328" s="43">
        <f>CP14/CP$91</f>
        <v>0.31096196868008946</v>
      </c>
      <c r="CQ328" s="43">
        <f>CQ14/CQ$91</f>
        <v>0.30087506981940049</v>
      </c>
      <c r="CR328" s="43">
        <f>CR14/CR$91</f>
        <v>0.43180881747012773</v>
      </c>
      <c r="CS328" s="395">
        <f>CS14/CS$91</f>
        <v>0.33238975629174222</v>
      </c>
      <c r="CT328" s="43"/>
      <c r="CU328" s="43">
        <f>CU14/CU$91</f>
        <v>0.22777572851346367</v>
      </c>
      <c r="CV328" s="43">
        <f>CV14/CV$91</f>
        <v>0.28591524529628981</v>
      </c>
      <c r="CW328" s="43">
        <f>CW14/CW$91</f>
        <v>0.2754360465116279</v>
      </c>
      <c r="CX328" s="43">
        <f>CX14/CX$91</f>
        <v>0.39877924720244151</v>
      </c>
      <c r="CY328" s="395">
        <f>CY14/CY$91</f>
        <v>0.30309866348855025</v>
      </c>
      <c r="CZ328" s="43"/>
      <c r="DA328" s="43">
        <f>DA14/DA$91</f>
        <v>0.20304167489630653</v>
      </c>
      <c r="DB328" s="43">
        <f>DB14/DB$91</f>
        <v>0.28150544959128065</v>
      </c>
      <c r="DC328" s="43">
        <f>DC14/DC$91</f>
        <v>0.26561968652425266</v>
      </c>
      <c r="DD328" s="43">
        <f>DD14/DD$91</f>
        <v>0.32551136953587373</v>
      </c>
      <c r="DE328" s="395">
        <f>DE14/DE$91</f>
        <v>0.27868646293378307</v>
      </c>
      <c r="DF328" s="43"/>
      <c r="DG328" s="43">
        <f>DG14/DG$91</f>
        <v>0.1694781233526621</v>
      </c>
      <c r="DH328" s="43">
        <f>DH14/DH$91</f>
        <v>0.22992868645042558</v>
      </c>
      <c r="DI328" s="43">
        <f>DI14/DI$91</f>
        <v>0.25139093902577497</v>
      </c>
      <c r="DJ328" s="43">
        <f>DJ14/DJ$91</f>
        <v>0.34573385156394598</v>
      </c>
      <c r="DK328" s="395">
        <f>DK14/DK$91</f>
        <v>0.25727817244741608</v>
      </c>
      <c r="DL328" s="43"/>
      <c r="DM328" s="43">
        <f>DM14/DM$91</f>
        <v>0.17837580376280066</v>
      </c>
      <c r="DN328" s="43">
        <f>DN14/DN$91</f>
        <v>0.2324367268187493</v>
      </c>
      <c r="DO328" s="43">
        <f>DO14/DO$91</f>
        <v>0.26196326882136567</v>
      </c>
      <c r="DP328" s="43">
        <f>DP14/DP$91</f>
        <v>0.36593073615172939</v>
      </c>
      <c r="DQ328" s="395">
        <f>DQ14/DQ$91</f>
        <v>0.26670070505946225</v>
      </c>
      <c r="DR328" s="43"/>
      <c r="DS328" s="43">
        <f>DS14/DS$91</f>
        <v>0.20855158971860152</v>
      </c>
      <c r="DT328" s="43">
        <f>DT14/DT$91</f>
        <v>0.27597937013058266</v>
      </c>
      <c r="DU328" s="43">
        <f>DU14/DU$91</f>
        <v>0.27290969899665551</v>
      </c>
      <c r="DV328" s="43">
        <f>DV14/DV$91</f>
        <v>0.37834139220874008</v>
      </c>
      <c r="DW328" s="395">
        <f>DW14/DW$91</f>
        <v>0.29050009395216492</v>
      </c>
      <c r="DX328" s="43"/>
      <c r="DY328" s="43">
        <f>DY14/DY$91</f>
        <v>0.21059539434435032</v>
      </c>
      <c r="DZ328" s="43">
        <f>DZ14/DZ$91</f>
        <v>0.26715501454271251</v>
      </c>
      <c r="EA328" s="43">
        <f>EA14/EA$91</f>
        <v>0.27278582930756845</v>
      </c>
      <c r="EB328" s="43">
        <f>EB14/EB$91</f>
        <v>0.37294720113014301</v>
      </c>
      <c r="EC328" s="395">
        <f>EC14/EC$91</f>
        <v>0.28742983944654743</v>
      </c>
      <c r="ED328" s="43"/>
      <c r="EE328" s="43">
        <f>EE14/EE$91</f>
        <v>0.21479241772299104</v>
      </c>
      <c r="EF328" s="43">
        <f>EF14/EF$91</f>
        <v>0.2668609492089925</v>
      </c>
      <c r="EG328" s="43">
        <f>EG14/EG$91</f>
        <v>0.26912363402614098</v>
      </c>
      <c r="EH328" s="43">
        <f>EH14/EH$91</f>
        <v>0.34699402539208363</v>
      </c>
      <c r="EI328" s="395">
        <f>EI14/EI$91</f>
        <v>0.27814811910176979</v>
      </c>
      <c r="EJ328" s="43"/>
      <c r="EK328" s="43">
        <f>EK14/EK$91</f>
        <v>0.20861436516388593</v>
      </c>
      <c r="EL328" s="43">
        <f>EL14/EL$91</f>
        <v>0.25889284126278345</v>
      </c>
      <c r="EM328" s="43">
        <f>EM14/EM$91</f>
        <v>0.26813845129798092</v>
      </c>
      <c r="EN328" s="43">
        <f>EN14/EN$91</f>
        <v>0.34220460551151377</v>
      </c>
      <c r="EO328" s="395">
        <f>EO14/EO$91</f>
        <v>0.27349758480179182</v>
      </c>
      <c r="EP328" s="43"/>
      <c r="EQ328" s="43">
        <f>EQ14/EQ$91</f>
        <v>0.23406478578892373</v>
      </c>
      <c r="ER328" s="43">
        <f>ER14/ER$91</f>
        <v>0.26836373098355198</v>
      </c>
      <c r="ES328" s="43">
        <f>ES14/ES$91</f>
        <v>0.28811731723096828</v>
      </c>
      <c r="ET328" s="43">
        <f>ET14/ET$91</f>
        <v>0.36888767023124031</v>
      </c>
      <c r="EU328" s="395">
        <f>EU14/EU$91</f>
        <v>0.29442357837319233</v>
      </c>
      <c r="EV328" s="43"/>
      <c r="EW328" s="43">
        <f>EW14/EW$91</f>
        <v>0.26682587928788537</v>
      </c>
      <c r="EX328" s="43">
        <f>EX14/EX$91</f>
        <v>0.29916926272066457</v>
      </c>
      <c r="EY328" s="43">
        <f>EY14/EY$91</f>
        <v>0.30268003273322425</v>
      </c>
      <c r="EZ328" s="43">
        <f>EZ14/EZ$91</f>
        <v>0.3706913619168935</v>
      </c>
      <c r="FA328" s="395">
        <f>FA14/FA$91</f>
        <v>0.3126511590967635</v>
      </c>
      <c r="FB328" s="43"/>
      <c r="FC328" s="43">
        <f>FC14/FC$91</f>
        <v>0.28927978145321803</v>
      </c>
      <c r="FD328" s="43">
        <f>FD14/FD$91</f>
        <v>0.31895003212055684</v>
      </c>
      <c r="FE328" s="43">
        <f>FE14/FE$91</f>
        <v>0.32458664261218906</v>
      </c>
      <c r="FF328" s="43">
        <f>FF14/FF$91</f>
        <v>0.38408115585527558</v>
      </c>
      <c r="FG328" s="395">
        <f>FG14/FG$91</f>
        <v>0.33153387511720239</v>
      </c>
      <c r="FH328" s="43"/>
      <c r="FI328" s="43">
        <f>FI14/FI$91</f>
        <v>0.31326406825418873</v>
      </c>
      <c r="FJ328" s="43">
        <f>FJ14/FJ$91</f>
        <v>0.34052163310993433</v>
      </c>
      <c r="FK328" s="43">
        <f>FK14/FK$91</f>
        <v>0.34613637354437871</v>
      </c>
      <c r="FL328" s="43">
        <f>FL14/FL$91</f>
        <v>0.39882569382577099</v>
      </c>
      <c r="FM328" s="395">
        <f>FM14/FM$91</f>
        <v>0.35157075929367865</v>
      </c>
      <c r="FN328" s="27"/>
      <c r="FO328" s="27"/>
      <c r="FP328" s="27"/>
      <c r="FQ328" s="27"/>
      <c r="FR328" s="27"/>
      <c r="FS328" s="27"/>
      <c r="FT328" s="27"/>
      <c r="FU328" s="27"/>
      <c r="FV328" s="27"/>
      <c r="FW328" s="27"/>
      <c r="FX328" s="27"/>
      <c r="FY328" s="27"/>
      <c r="FZ328" s="27"/>
      <c r="GA328" s="27"/>
      <c r="GB328" s="27"/>
      <c r="GC328" s="27"/>
      <c r="GD328" s="27"/>
      <c r="GE328" s="27"/>
      <c r="GF328" s="27"/>
      <c r="GH328" s="27"/>
      <c r="GI328"/>
      <c r="GJ328"/>
      <c r="GK328"/>
      <c r="GL328"/>
      <c r="GM328"/>
      <c r="GN328"/>
      <c r="GO328" s="27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</row>
    <row r="329" spans="1:281" s="24" customFormat="1" hidden="1" outlineLevel="1" x14ac:dyDescent="0.2">
      <c r="A329" s="185" t="s">
        <v>30</v>
      </c>
      <c r="B329" s="977"/>
      <c r="C329" s="184"/>
      <c r="D329" s="184"/>
      <c r="E329" s="184"/>
      <c r="F329" s="184"/>
      <c r="G329" s="184"/>
      <c r="H329" s="184"/>
      <c r="I329" s="184"/>
      <c r="J329" s="184"/>
      <c r="K329" s="184"/>
      <c r="L329" s="184"/>
      <c r="M329" s="184"/>
      <c r="N329" s="184"/>
      <c r="O329" s="184"/>
      <c r="P329" s="184"/>
      <c r="Q329" s="184"/>
      <c r="R329" s="184"/>
      <c r="S329" s="184"/>
      <c r="T329" s="184"/>
      <c r="U329" s="184"/>
      <c r="V329" s="184"/>
      <c r="W329" s="184"/>
      <c r="X329" s="184"/>
      <c r="Y329" s="184"/>
      <c r="Z329" s="184"/>
      <c r="AA329" s="184"/>
      <c r="AB329" s="184"/>
      <c r="AC329" s="184"/>
      <c r="AD329" s="184"/>
      <c r="AE329" s="184"/>
      <c r="AF329" s="184"/>
      <c r="AG329" s="184"/>
      <c r="AH329" s="184"/>
      <c r="AI329" s="184"/>
      <c r="AJ329" s="184"/>
      <c r="AK329" s="184"/>
      <c r="AL329" s="184"/>
      <c r="AM329" s="184"/>
      <c r="AN329" s="184"/>
      <c r="AO329" s="184"/>
      <c r="AP329" s="184"/>
      <c r="AQ329" s="184"/>
      <c r="AR329" s="184"/>
      <c r="AS329" s="184"/>
      <c r="AT329" s="184"/>
      <c r="AU329" s="184"/>
      <c r="AV329" s="184"/>
      <c r="AW329" s="184"/>
      <c r="AX329" s="184"/>
      <c r="AY329" s="184">
        <f>AY39/AY$91</f>
        <v>0.26910889548564854</v>
      </c>
      <c r="AZ329" s="184">
        <f>AZ39/AZ$91</f>
        <v>0.30297780530731</v>
      </c>
      <c r="BA329" s="184">
        <f>BA39/BA$91</f>
        <v>0.31584622312098165</v>
      </c>
      <c r="BB329" s="184">
        <f>BB39/BB$91</f>
        <v>0.38917674448290851</v>
      </c>
      <c r="BC329" s="184">
        <f>BC39/BC$91</f>
        <v>0.32494873498863036</v>
      </c>
      <c r="BD329" s="184"/>
      <c r="BE329" s="184">
        <f>BE39/BE$91</f>
        <v>0.24952021032601859</v>
      </c>
      <c r="BF329" s="184">
        <f>BF39/BF$91</f>
        <v>0.26896658050601635</v>
      </c>
      <c r="BG329" s="184">
        <f>BG39/BG$91</f>
        <v>0.27917916674063165</v>
      </c>
      <c r="BH329" s="184">
        <f>BH39/BH$91</f>
        <v>0.32598276628426798</v>
      </c>
      <c r="BI329" s="184">
        <f>BI39/BI$91</f>
        <v>0.2831431417998917</v>
      </c>
      <c r="BJ329" s="184"/>
      <c r="BK329" s="184">
        <f>BK39/BK$91</f>
        <v>0.22287968441814596</v>
      </c>
      <c r="BL329" s="184">
        <f>BL39/BL$91</f>
        <v>0.28453876136855782</v>
      </c>
      <c r="BM329" s="184">
        <f>BM39/BM$91</f>
        <v>0.26657997399219768</v>
      </c>
      <c r="BN329" s="184">
        <f>BN39/BN$91</f>
        <v>0.33234442325351415</v>
      </c>
      <c r="BO329" s="398">
        <f>BO39/BO$91</f>
        <v>0.28125461721932582</v>
      </c>
      <c r="BP329" s="184"/>
      <c r="BQ329" s="184">
        <f>BQ39/BQ$91</f>
        <v>0.20173745173745175</v>
      </c>
      <c r="BR329" s="184">
        <f>BR39/BR$91</f>
        <v>0.28742994395516414</v>
      </c>
      <c r="BS329" s="184">
        <f>BS39/BS$91</f>
        <v>0.28178557194101234</v>
      </c>
      <c r="BT329" s="184">
        <f>BT39/BT$91</f>
        <v>0.35196620084497887</v>
      </c>
      <c r="BU329" s="398">
        <f>BU39/BU$91</f>
        <v>0.28810555336746752</v>
      </c>
      <c r="BV329" s="184"/>
      <c r="BW329" s="184">
        <f>BW39/BW$91</f>
        <v>0.22302483069977427</v>
      </c>
      <c r="BX329" s="184">
        <f>BX39/BX$91</f>
        <v>0.27431059506531202</v>
      </c>
      <c r="BY329" s="184">
        <f>BY39/BY$91</f>
        <v>0.25703200775945684</v>
      </c>
      <c r="BZ329" s="184">
        <f>BZ39/BZ$91</f>
        <v>0.31048088779284833</v>
      </c>
      <c r="CA329" s="398">
        <f>CA39/CA$91</f>
        <v>0.27262975493027475</v>
      </c>
      <c r="CB329" s="184"/>
      <c r="CC329" s="184">
        <f>CC39/CC$91</f>
        <v>0.17268661850705194</v>
      </c>
      <c r="CD329" s="184">
        <f>CD39/CD$91</f>
        <v>0.23335297583971715</v>
      </c>
      <c r="CE329" s="184">
        <f>CE39/CE$91</f>
        <v>0.23409913988229966</v>
      </c>
      <c r="CF329" s="184">
        <f>CF39/CF$91</f>
        <v>0.29977719262710145</v>
      </c>
      <c r="CG329" s="399">
        <f>CG39/CG$91</f>
        <v>0.243792477864125</v>
      </c>
      <c r="CH329" s="184"/>
      <c r="CI329" s="184">
        <f>CI39/CI$91</f>
        <v>0.15733406173176728</v>
      </c>
      <c r="CJ329" s="184">
        <f>CJ39/CJ$91</f>
        <v>0.20564516129032259</v>
      </c>
      <c r="CK329" s="184">
        <f>CK39/CK$91</f>
        <v>0.21735221398066981</v>
      </c>
      <c r="CL329" s="184">
        <f>CL39/CL$91</f>
        <v>0.29831718510963795</v>
      </c>
      <c r="CM329" s="399">
        <f>CM39/CM$91</f>
        <v>0.22873304409907189</v>
      </c>
      <c r="CN329" s="184"/>
      <c r="CO329" s="184">
        <f>CO39/CO$91</f>
        <v>0.15480078380143697</v>
      </c>
      <c r="CP329" s="184">
        <f>CP39/CP$91</f>
        <v>0.20786726323639076</v>
      </c>
      <c r="CQ329" s="184">
        <f>CQ39/CQ$91</f>
        <v>0.21690560417054552</v>
      </c>
      <c r="CR329" s="184">
        <f>CR39/CR$91</f>
        <v>0.29597582749622303</v>
      </c>
      <c r="CS329" s="400">
        <f>CS39/CS$91</f>
        <v>0.22760847450130478</v>
      </c>
      <c r="CT329" s="184"/>
      <c r="CU329" s="184">
        <f>CU39/CU$91</f>
        <v>0.16672814459609001</v>
      </c>
      <c r="CV329" s="184">
        <f>CV39/CV$91</f>
        <v>0.2034464568313698</v>
      </c>
      <c r="CW329" s="184">
        <f>CW39/CW$91</f>
        <v>0.20348837209302326</v>
      </c>
      <c r="CX329" s="184">
        <f>CX39/CX$91</f>
        <v>0.28179043743641913</v>
      </c>
      <c r="CY329" s="400">
        <f>CY39/CY$91</f>
        <v>0.21792798161232654</v>
      </c>
      <c r="CZ329" s="184"/>
      <c r="DA329" s="184">
        <f>DA39/DA$91</f>
        <v>0.1404305747580486</v>
      </c>
      <c r="DB329" s="184">
        <f>DB39/DB$91</f>
        <v>0.20010217983651227</v>
      </c>
      <c r="DC329" s="184">
        <f>DC39/DC$91</f>
        <v>0.19182613534485424</v>
      </c>
      <c r="DD329" s="184">
        <f>DD39/DD$91</f>
        <v>0.23673554148063544</v>
      </c>
      <c r="DE329" s="400">
        <f>DE39/DE$91</f>
        <v>0.19999704091672399</v>
      </c>
      <c r="DF329" s="184"/>
      <c r="DG329" s="184">
        <f>DG39/DG$91</f>
        <v>0.12348444913020559</v>
      </c>
      <c r="DH329" s="184">
        <f>DH39/DH$91</f>
        <v>0.16333103289625028</v>
      </c>
      <c r="DI329" s="184">
        <f>DI39/DI$91</f>
        <v>0.17883501759963666</v>
      </c>
      <c r="DJ329" s="184">
        <f>DJ39/DJ$91</f>
        <v>0.249305941143809</v>
      </c>
      <c r="DK329" s="400">
        <f>DK39/DK$91</f>
        <v>0.18459395458977573</v>
      </c>
      <c r="DL329" s="184"/>
      <c r="DM329" s="184">
        <f>DM39/DM$91</f>
        <v>0.12741128840200047</v>
      </c>
      <c r="DN329" s="184">
        <f>DN39/DN$91</f>
        <v>0.16785835886959483</v>
      </c>
      <c r="DO329" s="184">
        <f>DO39/DO$91</f>
        <v>0.18935508395006886</v>
      </c>
      <c r="DP329" s="184">
        <f>DP39/DP$91</f>
        <v>0.24848952659567147</v>
      </c>
      <c r="DQ329" s="400">
        <f>DQ39/DQ$91</f>
        <v>0.1876872293286394</v>
      </c>
      <c r="DR329" s="184"/>
      <c r="DS329" s="184">
        <f>DS39/DS$91</f>
        <v>0.13425508588134977</v>
      </c>
      <c r="DT329" s="184">
        <f>DT39/DT$91</f>
        <v>0.18014814001975202</v>
      </c>
      <c r="DU329" s="184">
        <f>DU39/DU$91</f>
        <v>0.20086956521739133</v>
      </c>
      <c r="DV329" s="184">
        <f>DV39/DV$91</f>
        <v>0.275550588449959</v>
      </c>
      <c r="DW329" s="400">
        <f>DW39/DW$91</f>
        <v>0.20309505274742976</v>
      </c>
      <c r="DX329" s="184"/>
      <c r="DY329" s="184">
        <f>DY39/DY$91</f>
        <v>0.14596480133635609</v>
      </c>
      <c r="DZ329" s="184">
        <f>DZ39/DZ$91</f>
        <v>0.17950181514596572</v>
      </c>
      <c r="EA329" s="184">
        <f>EA39/EA$91</f>
        <v>0.20697004830917878</v>
      </c>
      <c r="EB329" s="184">
        <f>EB39/EB$91</f>
        <v>0.26720383365707229</v>
      </c>
      <c r="EC329" s="400">
        <f>EC39/EC$91</f>
        <v>0.20477543323325939</v>
      </c>
      <c r="ED329" s="184"/>
      <c r="EE329" s="184">
        <f>EE39/EE$91</f>
        <v>0.14084168973136416</v>
      </c>
      <c r="EF329" s="184">
        <f>EF39/EF$91</f>
        <v>0.17516429053913404</v>
      </c>
      <c r="EG329" s="184">
        <f>EG39/EG$91</f>
        <v>0.20448325905292483</v>
      </c>
      <c r="EH329" s="184">
        <f>EH39/EH$91</f>
        <v>0.276869268820015</v>
      </c>
      <c r="EI329" s="400">
        <f>EI39/EI$91</f>
        <v>0.20308332787232375</v>
      </c>
      <c r="EJ329" s="184"/>
      <c r="EK329" s="184">
        <f>EK39/EK$91</f>
        <v>0.14115858769968054</v>
      </c>
      <c r="EL329" s="184">
        <f>EL39/EL$91</f>
        <v>0.18427454712622274</v>
      </c>
      <c r="EM329" s="184">
        <f>EM39/EM$91</f>
        <v>0.20856634556245846</v>
      </c>
      <c r="EN329" s="184">
        <f>EN39/EN$91</f>
        <v>0.27570179817723678</v>
      </c>
      <c r="EO329" s="400">
        <f>EO39/EO$91</f>
        <v>0.20649319542821873</v>
      </c>
      <c r="EP329" s="184"/>
      <c r="EQ329" s="184">
        <f>EQ39/EQ$91</f>
        <v>0.13642601373275867</v>
      </c>
      <c r="ER329" s="184">
        <f>ER39/ER$91</f>
        <v>0.18643103829050431</v>
      </c>
      <c r="ES329" s="184">
        <f>ES39/ES$91</f>
        <v>0.20778708916028685</v>
      </c>
      <c r="ET329" s="184">
        <f>ET39/ET$91</f>
        <v>0.26300303534262964</v>
      </c>
      <c r="EU329" s="400">
        <f>EU39/EU$91</f>
        <v>0.20239864797629073</v>
      </c>
      <c r="EV329" s="184"/>
      <c r="EW329" s="184">
        <f>EW39/EW$91</f>
        <v>0.1256417387577124</v>
      </c>
      <c r="EX329" s="184">
        <f>EX39/EX$91</f>
        <v>0.18612064513130186</v>
      </c>
      <c r="EY329" s="184">
        <f>EY39/EY$91</f>
        <v>0.21288654480997346</v>
      </c>
      <c r="EZ329" s="184">
        <f>EZ39/EZ$91</f>
        <v>0.26358716675082106</v>
      </c>
      <c r="FA329" s="400">
        <f>FA39/FA$91</f>
        <v>0.20047357588516096</v>
      </c>
      <c r="FB329" s="184"/>
      <c r="FC329" s="184">
        <f>FC39/FC$91</f>
        <v>0.12423269036632309</v>
      </c>
      <c r="FD329" s="184">
        <f>FD39/FD$91</f>
        <v>0.18404858645609584</v>
      </c>
      <c r="FE329" s="184">
        <f>FE39/FE$91</f>
        <v>0.21137961824664067</v>
      </c>
      <c r="FF329" s="184">
        <f>FF39/FF$91</f>
        <v>0.26511128293255337</v>
      </c>
      <c r="FG329" s="400">
        <f>FG39/FG$91</f>
        <v>0.19938038406628739</v>
      </c>
      <c r="FH329" s="184"/>
      <c r="FI329" s="184">
        <f>FI39/FI$91</f>
        <v>0.12233956432140888</v>
      </c>
      <c r="FJ329" s="184">
        <f>FJ39/FJ$91</f>
        <v>0.18206572277925387</v>
      </c>
      <c r="FK329" s="184">
        <f>FK39/FK$91</f>
        <v>0.20943839478687976</v>
      </c>
      <c r="FL329" s="184">
        <f>FL39/FL$91</f>
        <v>0.26538747498624332</v>
      </c>
      <c r="FM329" s="400">
        <f>FM39/FM$91</f>
        <v>0.19775046677710034</v>
      </c>
      <c r="FN329" s="27"/>
      <c r="FO329" s="27"/>
      <c r="FP329" s="27"/>
      <c r="FQ329" s="27"/>
      <c r="FR329" s="27"/>
      <c r="FS329" s="27"/>
      <c r="FT329" s="27"/>
      <c r="FU329" s="27"/>
      <c r="FV329" s="27"/>
      <c r="FW329" s="27"/>
      <c r="FX329" s="27"/>
      <c r="FY329" s="27"/>
      <c r="FZ329" s="27"/>
      <c r="GA329" s="27"/>
      <c r="GB329" s="27"/>
      <c r="GC329" s="27"/>
      <c r="GD329" s="27"/>
      <c r="GE329" s="27"/>
      <c r="GF329" s="27"/>
      <c r="GH329" s="27"/>
      <c r="GI329"/>
      <c r="GJ329"/>
      <c r="GK329"/>
      <c r="GL329"/>
      <c r="GM329"/>
      <c r="GN329"/>
      <c r="GO329" s="27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</row>
    <row r="330" spans="1:281" s="24" customFormat="1" hidden="1" outlineLevel="1" x14ac:dyDescent="0.2">
      <c r="A330" s="185" t="s">
        <v>31</v>
      </c>
      <c r="B330" s="977"/>
      <c r="C330" s="184"/>
      <c r="D330" s="184"/>
      <c r="E330" s="184"/>
      <c r="F330" s="184"/>
      <c r="G330" s="184"/>
      <c r="H330" s="184"/>
      <c r="I330" s="184"/>
      <c r="J330" s="184"/>
      <c r="K330" s="184"/>
      <c r="L330" s="184"/>
      <c r="M330" s="184"/>
      <c r="N330" s="184"/>
      <c r="O330" s="184"/>
      <c r="P330" s="184"/>
      <c r="Q330" s="184"/>
      <c r="R330" s="184"/>
      <c r="S330" s="184"/>
      <c r="T330" s="184"/>
      <c r="U330" s="184"/>
      <c r="V330" s="184"/>
      <c r="W330" s="184"/>
      <c r="X330" s="184"/>
      <c r="Y330" s="184"/>
      <c r="Z330" s="184"/>
      <c r="AA330" s="184"/>
      <c r="AB330" s="184"/>
      <c r="AC330" s="184"/>
      <c r="AD330" s="184"/>
      <c r="AE330" s="184"/>
      <c r="AF330" s="184"/>
      <c r="AG330" s="184"/>
      <c r="AH330" s="184"/>
      <c r="AI330" s="184"/>
      <c r="AJ330" s="184"/>
      <c r="AK330" s="184"/>
      <c r="AL330" s="184"/>
      <c r="AM330" s="184"/>
      <c r="AN330" s="184"/>
      <c r="AO330" s="184"/>
      <c r="AP330" s="184"/>
      <c r="AQ330" s="184"/>
      <c r="AR330" s="184"/>
      <c r="AS330" s="184"/>
      <c r="AT330" s="184"/>
      <c r="AU330" s="184"/>
      <c r="AV330" s="184"/>
      <c r="AW330" s="184"/>
      <c r="AX330" s="184"/>
      <c r="AY330" s="184">
        <f>AY42/AY$91</f>
        <v>6.7974888024083996E-2</v>
      </c>
      <c r="AZ330" s="184">
        <f>AZ42/AZ$91</f>
        <v>0.10395703109877577</v>
      </c>
      <c r="BA330" s="184">
        <f>BA42/BA$91</f>
        <v>9.2514192922863059E-2</v>
      </c>
      <c r="BB330" s="184">
        <f>BB42/BB$91</f>
        <v>0.10272807676059122</v>
      </c>
      <c r="BC330" s="184">
        <f>BC42/BC$91</f>
        <v>9.3262359712324744E-2</v>
      </c>
      <c r="BD330" s="184"/>
      <c r="BE330" s="184">
        <f>BE42/BE$91</f>
        <v>6.4427133115972909E-2</v>
      </c>
      <c r="BF330" s="184">
        <f>BF42/BF$91</f>
        <v>6.853069415405659E-2</v>
      </c>
      <c r="BG330" s="184">
        <f>BG42/BG$91</f>
        <v>6.5624500736690752E-2</v>
      </c>
      <c r="BH330" s="184">
        <f>BH42/BH$91</f>
        <v>8.8575949150336633E-2</v>
      </c>
      <c r="BI330" s="184">
        <f>BI42/BI$91</f>
        <v>7.2641376694404611E-2</v>
      </c>
      <c r="BJ330" s="184"/>
      <c r="BK330" s="184">
        <f>BK42/BK$91</f>
        <v>5.473372781065089E-2</v>
      </c>
      <c r="BL330" s="184">
        <f>BL42/BL$91</f>
        <v>4.6773495019488957E-2</v>
      </c>
      <c r="BM330" s="184">
        <f>BM42/BM$91</f>
        <v>6.0684872128305159E-2</v>
      </c>
      <c r="BN330" s="184">
        <f>BN42/BN$91</f>
        <v>8.688281415554143E-2</v>
      </c>
      <c r="BO330" s="398">
        <f>BO42/BO$91</f>
        <v>6.384954724866497E-2</v>
      </c>
      <c r="BP330" s="184"/>
      <c r="BQ330" s="184">
        <f>BQ42/BQ$91</f>
        <v>5.1640926640926642E-2</v>
      </c>
      <c r="BR330" s="184">
        <f>BR42/BR$91</f>
        <v>5.4843875100080063E-2</v>
      </c>
      <c r="BS330" s="184">
        <f>BS42/BS$91</f>
        <v>5.5799123156636113E-2</v>
      </c>
      <c r="BT330" s="184">
        <f>BT42/BT$91</f>
        <v>7.5073123171920705E-2</v>
      </c>
      <c r="BU330" s="398">
        <f>BU42/BU$91</f>
        <v>6.055533674675069E-2</v>
      </c>
      <c r="BV330" s="184"/>
      <c r="BW330" s="184">
        <f>BW42/BW$91</f>
        <v>3.1151241534988713E-2</v>
      </c>
      <c r="BX330" s="184">
        <f>BX42/BX$91</f>
        <v>7.8011611030478961E-2</v>
      </c>
      <c r="BY330" s="184">
        <f>BY42/BY$91</f>
        <v>4.9143226640801813E-2</v>
      </c>
      <c r="BZ330" s="184">
        <f>BZ42/BZ$91</f>
        <v>8.6313193588162765E-2</v>
      </c>
      <c r="CA330" s="398">
        <f>CA42/CA$91</f>
        <v>6.4856836372638005E-2</v>
      </c>
      <c r="CB330" s="184"/>
      <c r="CC330" s="184">
        <f>CC42/CC$91</f>
        <v>4.3687650498796013E-2</v>
      </c>
      <c r="CD330" s="184">
        <f>CD42/CD$91</f>
        <v>7.8373600471420155E-2</v>
      </c>
      <c r="CE330" s="184">
        <f>CE42/CE$91</f>
        <v>7.61090991398823E-2</v>
      </c>
      <c r="CF330" s="184">
        <f>CF42/CF$91</f>
        <v>0.12983593275268382</v>
      </c>
      <c r="CG330" s="399">
        <f>CG42/CG$91</f>
        <v>8.8205031003763784E-2</v>
      </c>
      <c r="CH330" s="184"/>
      <c r="CI330" s="184">
        <f>CI42/CI$91</f>
        <v>6.2278066102157879E-2</v>
      </c>
      <c r="CJ330" s="184">
        <f>CJ42/CJ$91</f>
        <v>8.0645161290322578E-2</v>
      </c>
      <c r="CK330" s="184">
        <f>CK42/CK$91</f>
        <v>9.5077545515846254E-2</v>
      </c>
      <c r="CL330" s="184">
        <f>CL42/CL$91</f>
        <v>0.12340642529321774</v>
      </c>
      <c r="CM330" s="399">
        <f>CM42/CM$91</f>
        <v>9.4294030424515354E-2</v>
      </c>
      <c r="CN330" s="184"/>
      <c r="CO330" s="184">
        <f>CO42/CO$91</f>
        <v>8.1863705639015891E-2</v>
      </c>
      <c r="CP330" s="184">
        <f>CP42/CP$91</f>
        <v>0.10309470544369873</v>
      </c>
      <c r="CQ330" s="184">
        <f>CQ42/CQ$91</f>
        <v>8.3969465648854963E-2</v>
      </c>
      <c r="CR330" s="184">
        <f>CR42/CR$91</f>
        <v>0.13583298997390469</v>
      </c>
      <c r="CS330" s="400">
        <f>CS42/CS$91</f>
        <v>0.10478128179043744</v>
      </c>
      <c r="CT330" s="184"/>
      <c r="CU330" s="184">
        <f>CU42/CU$91</f>
        <v>6.1047583917373666E-2</v>
      </c>
      <c r="CV330" s="184">
        <f>CV42/CV$91</f>
        <v>8.2468788464919993E-2</v>
      </c>
      <c r="CW330" s="184">
        <f>CW42/CW$91</f>
        <v>7.1947674418604654E-2</v>
      </c>
      <c r="CX330" s="184">
        <f>CX42/CX$91</f>
        <v>0.11698880976602238</v>
      </c>
      <c r="CY330" s="400">
        <f>CY42/CY$91</f>
        <v>8.5170681876223717E-2</v>
      </c>
      <c r="CZ330" s="184"/>
      <c r="DA330" s="184">
        <f>DA42/DA$91</f>
        <v>6.261110013825795E-2</v>
      </c>
      <c r="DB330" s="184">
        <f>DB42/DB$91</f>
        <v>8.1403269754768387E-2</v>
      </c>
      <c r="DC330" s="184">
        <f>DC42/DC$91</f>
        <v>7.3793551179398398E-2</v>
      </c>
      <c r="DD330" s="184">
        <f>DD42/DD$91</f>
        <v>8.8775828055238287E-2</v>
      </c>
      <c r="DE330" s="400">
        <f>DE42/DE$91</f>
        <v>7.8689422017059113E-2</v>
      </c>
      <c r="DF330" s="184"/>
      <c r="DG330" s="184">
        <f>DG42/DG$91</f>
        <v>4.599367422245651E-2</v>
      </c>
      <c r="DH330" s="184">
        <f>DH42/DH$91</f>
        <v>6.6597653554175296E-2</v>
      </c>
      <c r="DI330" s="184">
        <f>DI42/DI$91</f>
        <v>7.2555921426138301E-2</v>
      </c>
      <c r="DJ330" s="184">
        <f>DJ42/DJ$91</f>
        <v>9.6427910420136959E-2</v>
      </c>
      <c r="DK330" s="400">
        <f>DK42/DK$91</f>
        <v>7.2684217857640343E-2</v>
      </c>
      <c r="DL330" s="184"/>
      <c r="DM330" s="184">
        <f>DM42/DM$91</f>
        <v>5.096451536080019E-2</v>
      </c>
      <c r="DN330" s="184">
        <f>DN42/DN$91</f>
        <v>6.4578367949154461E-2</v>
      </c>
      <c r="DO330" s="184">
        <f>DO42/DO$91</f>
        <v>7.2608184871296805E-2</v>
      </c>
      <c r="DP330" s="184">
        <f>DP42/DP$91</f>
        <v>0.11744120955605789</v>
      </c>
      <c r="DQ330" s="400">
        <f>DQ42/DQ$91</f>
        <v>7.9013475730822846E-2</v>
      </c>
      <c r="DR330" s="184"/>
      <c r="DS330" s="184">
        <f>DS42/DS$91</f>
        <v>7.4296503837251782E-2</v>
      </c>
      <c r="DT330" s="184">
        <f>DT42/DT$91</f>
        <v>9.5831230110830681E-2</v>
      </c>
      <c r="DU330" s="184">
        <f>DU42/DU$91</f>
        <v>7.2040133779264187E-2</v>
      </c>
      <c r="DV330" s="184">
        <f>DV42/DV$91</f>
        <v>0.10279080375878109</v>
      </c>
      <c r="DW330" s="400">
        <f>DW42/DW$91</f>
        <v>8.7405041204735176E-2</v>
      </c>
      <c r="DX330" s="184"/>
      <c r="DY330" s="184">
        <f>DY42/DY$91</f>
        <v>6.463059300799423E-2</v>
      </c>
      <c r="DZ330" s="184">
        <f>DZ42/DZ$91</f>
        <v>8.7653199396746762E-2</v>
      </c>
      <c r="EA330" s="184">
        <f>EA42/EA$91</f>
        <v>6.5815780998389653E-2</v>
      </c>
      <c r="EB330" s="184">
        <f>EB42/EB$91</f>
        <v>0.10574336747307075</v>
      </c>
      <c r="EC330" s="400">
        <f>EC42/EC$91</f>
        <v>8.265440621328804E-2</v>
      </c>
      <c r="ED330" s="184"/>
      <c r="EE330" s="184">
        <f>EE42/EE$91</f>
        <v>7.3950727991626899E-2</v>
      </c>
      <c r="EF330" s="184">
        <f>EF42/EF$91</f>
        <v>9.1696658669858475E-2</v>
      </c>
      <c r="EG330" s="184">
        <f>EG42/EG$91</f>
        <v>6.4640374973216161E-2</v>
      </c>
      <c r="EH330" s="184">
        <f>EH42/EH$91</f>
        <v>7.0124756572068639E-2</v>
      </c>
      <c r="EI330" s="400">
        <f>EI42/EI$91</f>
        <v>7.5064791229446037E-2</v>
      </c>
      <c r="EJ330" s="184"/>
      <c r="EK330" s="184">
        <f>EK42/EK$91</f>
        <v>6.7455777464205377E-2</v>
      </c>
      <c r="EL330" s="184">
        <f>EL42/EL$91</f>
        <v>7.4618294136560723E-2</v>
      </c>
      <c r="EM330" s="184">
        <f>EM42/EM$91</f>
        <v>5.957210573552247E-2</v>
      </c>
      <c r="EN330" s="184">
        <f>EN42/EN$91</f>
        <v>6.650280733427702E-2</v>
      </c>
      <c r="EO330" s="400">
        <f>EO42/EO$91</f>
        <v>6.7004389373573101E-2</v>
      </c>
      <c r="EP330" s="184"/>
      <c r="EQ330" s="184">
        <f>EQ42/EQ$91</f>
        <v>9.7638772056165057E-2</v>
      </c>
      <c r="ER330" s="184">
        <f>ER42/ER$91</f>
        <v>8.1932692693047704E-2</v>
      </c>
      <c r="ES330" s="184">
        <f>ES42/ES$91</f>
        <v>8.0330228070681436E-2</v>
      </c>
      <c r="ET330" s="184">
        <f>ET42/ET$91</f>
        <v>0.10588463488861066</v>
      </c>
      <c r="EU330" s="400">
        <f>EU42/EU$91</f>
        <v>9.2024930396901586E-2</v>
      </c>
      <c r="EV330" s="184"/>
      <c r="EW330" s="184">
        <f>EW42/EW$91</f>
        <v>0.14118414053017297</v>
      </c>
      <c r="EX330" s="184">
        <f>EX42/EX$91</f>
        <v>0.11304861758936272</v>
      </c>
      <c r="EY330" s="184">
        <f>EY42/EY$91</f>
        <v>8.9793487923250759E-2</v>
      </c>
      <c r="EZ330" s="184">
        <f>EZ42/EZ$91</f>
        <v>0.10710419516607247</v>
      </c>
      <c r="FA330" s="400">
        <f>FA42/FA$91</f>
        <v>0.11217758321160254</v>
      </c>
      <c r="FB330" s="184"/>
      <c r="FC330" s="184">
        <f>FC42/FC$91</f>
        <v>0.16504709108689491</v>
      </c>
      <c r="FD330" s="184">
        <f>FD42/FD$91</f>
        <v>0.13490144566446099</v>
      </c>
      <c r="FE330" s="184">
        <f>FE42/FE$91</f>
        <v>0.11320702436554839</v>
      </c>
      <c r="FF330" s="184">
        <f>FF42/FF$91</f>
        <v>0.11896987292272219</v>
      </c>
      <c r="FG330" s="400">
        <f>FG42/FG$91</f>
        <v>0.13215349105091495</v>
      </c>
      <c r="FH330" s="184"/>
      <c r="FI330" s="184">
        <f>FI42/FI$91</f>
        <v>0.19092450393277985</v>
      </c>
      <c r="FJ330" s="184">
        <f>FJ42/FJ$91</f>
        <v>0.15845591033068046</v>
      </c>
      <c r="FK330" s="184">
        <f>FK42/FK$91</f>
        <v>0.13669797875749898</v>
      </c>
      <c r="FL330" s="184">
        <f>FL42/FL$91</f>
        <v>0.13343821883952767</v>
      </c>
      <c r="FM330" s="400">
        <f>FM42/FM$91</f>
        <v>0.15382029251657836</v>
      </c>
      <c r="FN330" s="27"/>
      <c r="FO330" s="27"/>
      <c r="FP330" s="27"/>
      <c r="FQ330" s="27"/>
      <c r="FR330" s="27"/>
      <c r="FS330" s="27"/>
      <c r="FT330" s="27"/>
      <c r="FU330" s="27"/>
      <c r="FV330" s="27"/>
      <c r="FW330" s="27"/>
      <c r="FX330" s="27"/>
      <c r="FY330" s="27"/>
      <c r="FZ330" s="27"/>
      <c r="GA330" s="27"/>
      <c r="GB330" s="27"/>
      <c r="GC330" s="27"/>
      <c r="GD330" s="27"/>
      <c r="GE330" s="27"/>
      <c r="GF330" s="27"/>
      <c r="GH330" s="27"/>
      <c r="GI330"/>
      <c r="GJ330"/>
      <c r="GK330"/>
      <c r="GL330"/>
      <c r="GM330"/>
      <c r="GN330"/>
      <c r="GO330" s="27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</row>
    <row r="331" spans="1:281" s="24" customFormat="1" collapsed="1" x14ac:dyDescent="0.2">
      <c r="A331" s="342" t="s">
        <v>654</v>
      </c>
      <c r="B331" s="413"/>
      <c r="C331" s="94"/>
      <c r="D331" s="94"/>
      <c r="E331" s="94"/>
      <c r="F331" s="94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94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  <c r="AF331" s="43"/>
      <c r="AG331" s="43"/>
      <c r="AH331" s="43"/>
      <c r="AI331" s="43"/>
      <c r="AJ331" s="43"/>
      <c r="AK331" s="43"/>
      <c r="AL331" s="94"/>
      <c r="AM331" s="43"/>
      <c r="AN331" s="43"/>
      <c r="AO331" s="43"/>
      <c r="AP331" s="43"/>
      <c r="AQ331" s="43"/>
      <c r="AR331" s="43"/>
      <c r="AS331" s="43"/>
      <c r="AT331" s="43"/>
      <c r="AU331" s="43"/>
      <c r="AV331" s="43"/>
      <c r="AW331" s="43"/>
      <c r="AX331" s="43"/>
      <c r="AY331" s="43">
        <f>AY46/AY$91</f>
        <v>0.36683607285340153</v>
      </c>
      <c r="AZ331" s="43">
        <f>AZ46/AZ$91</f>
        <v>0.32489405927915643</v>
      </c>
      <c r="BA331" s="43">
        <f>BA46/BA$91</f>
        <v>0.33623818740073486</v>
      </c>
      <c r="BB331" s="43">
        <f>BB46/BB$91</f>
        <v>0.2892028824732617</v>
      </c>
      <c r="BC331" s="43">
        <f>BC46/BC$91</f>
        <v>0.32572569323177775</v>
      </c>
      <c r="BD331" s="43"/>
      <c r="BE331" s="43">
        <f>BE46/BE$91</f>
        <v>0.37224923898095191</v>
      </c>
      <c r="BF331" s="43">
        <f>BF46/BF$91</f>
        <v>0.37015682414615469</v>
      </c>
      <c r="BG331" s="43">
        <f>BG46/BG$91</f>
        <v>0.38449798519517875</v>
      </c>
      <c r="BH331" s="43">
        <f>BH46/BH$91</f>
        <v>0.34230191194532333</v>
      </c>
      <c r="BI331" s="43">
        <f>BI46/BI$91</f>
        <v>0.36599935509836712</v>
      </c>
      <c r="BJ331" s="43"/>
      <c r="BK331" s="43">
        <f>BK46/BK$91</f>
        <v>0.44625246548323472</v>
      </c>
      <c r="BL331" s="43">
        <f>BL46/BL$91</f>
        <v>0.41316587267215243</v>
      </c>
      <c r="BM331" s="43">
        <f>BM46/BM$91</f>
        <v>0.43563068920676201</v>
      </c>
      <c r="BN331" s="43">
        <f>BN46/BN$91</f>
        <v>0.37628028537119446</v>
      </c>
      <c r="BO331" s="82">
        <f>BO46/BO$91</f>
        <v>0.41469489414694899</v>
      </c>
      <c r="BP331" s="43"/>
      <c r="BQ331" s="43">
        <f>BQ46/BQ$91</f>
        <v>0.49903474903474904</v>
      </c>
      <c r="BR331" s="43">
        <f>BR46/BR$91</f>
        <v>0.44595676541232987</v>
      </c>
      <c r="BS331" s="43">
        <f>BS46/BS$91</f>
        <v>0.4687126345157433</v>
      </c>
      <c r="BT331" s="43">
        <f>BT46/BT$91</f>
        <v>0.39161520961975949</v>
      </c>
      <c r="BU331" s="82">
        <f>BU46/BU$91</f>
        <v>0.44594328475777867</v>
      </c>
      <c r="BV331" s="43"/>
      <c r="BW331" s="43">
        <f>BW46/BW$91</f>
        <v>0.53092550790067716</v>
      </c>
      <c r="BX331" s="43">
        <f>BX46/BX$91</f>
        <v>0.45428156748911463</v>
      </c>
      <c r="BY331" s="43">
        <f>BY46/BY$91</f>
        <v>0.49531199482702876</v>
      </c>
      <c r="BZ331" s="43">
        <f>BZ46/BZ$91</f>
        <v>0.41701602959309492</v>
      </c>
      <c r="CA331" s="82">
        <f>CA46/CA$91</f>
        <v>0.46629259839920784</v>
      </c>
      <c r="CB331" s="43"/>
      <c r="CC331" s="43">
        <f>CC46/CC$91</f>
        <v>0.56449948400412797</v>
      </c>
      <c r="CD331" s="43">
        <f>CD46/CD$91</f>
        <v>0.48939304655274013</v>
      </c>
      <c r="CE331" s="43">
        <f>CE46/CE$91</f>
        <v>0.49994341330918968</v>
      </c>
      <c r="CF331" s="43">
        <f>CF46/CF$91</f>
        <v>0.39679967591654852</v>
      </c>
      <c r="CG331" s="397">
        <f>CG46/CG$91</f>
        <v>0.4757520781998863</v>
      </c>
      <c r="CH331" s="43"/>
      <c r="CI331" s="43">
        <f>CI46/CI$91</f>
        <v>0.54930346899754168</v>
      </c>
      <c r="CJ331" s="43">
        <f>CJ46/CJ$91</f>
        <v>0.48861480075901326</v>
      </c>
      <c r="CK331" s="43">
        <f>CK46/CK$91</f>
        <v>0.48168127669139132</v>
      </c>
      <c r="CL331" s="43">
        <f>CL46/CL$91</f>
        <v>0.39554648988611252</v>
      </c>
      <c r="CM331" s="397">
        <f>CM46/CM$91</f>
        <v>0.4690537646218903</v>
      </c>
      <c r="CN331" s="43"/>
      <c r="CO331" s="43">
        <f>CO46/CO$91</f>
        <v>0.53276725451774443</v>
      </c>
      <c r="CP331" s="43">
        <f>CP46/CP$91</f>
        <v>0.47390007457121552</v>
      </c>
      <c r="CQ331" s="43">
        <f>CQ46/CQ$91</f>
        <v>0.4926456898156768</v>
      </c>
      <c r="CR331" s="43">
        <f>CR46/CR$91</f>
        <v>0.39445131163301744</v>
      </c>
      <c r="CS331" s="395">
        <f>CS46/CS$91</f>
        <v>0.46472643637489497</v>
      </c>
      <c r="CT331" s="43"/>
      <c r="CU331" s="43">
        <f>CU46/CU$91</f>
        <v>0.55828107709332353</v>
      </c>
      <c r="CV331" s="43">
        <f>CV46/CV$91</f>
        <v>0.51521012836293301</v>
      </c>
      <c r="CW331" s="43">
        <f>CW46/CW$91</f>
        <v>0.53924418604651159</v>
      </c>
      <c r="CX331" s="43">
        <f>CX46/CX$91</f>
        <v>0.44644673739282081</v>
      </c>
      <c r="CY331" s="395">
        <f>CY46/CY$91</f>
        <v>0.51064101472716439</v>
      </c>
      <c r="CZ331" s="43"/>
      <c r="DA331" s="43">
        <f>DA46/DA$91</f>
        <v>0.61742050167884654</v>
      </c>
      <c r="DB331" s="43">
        <f>DB46/DB$91</f>
        <v>0.55534741144414168</v>
      </c>
      <c r="DC331" s="43">
        <f>DC46/DC$91</f>
        <v>0.51364887006523019</v>
      </c>
      <c r="DD331" s="43">
        <f>DD46/DD$91</f>
        <v>0.35998338697954524</v>
      </c>
      <c r="DE331" s="395">
        <f>DE46/DE$91</f>
        <v>0.48739800409833028</v>
      </c>
      <c r="DF331" s="43"/>
      <c r="DG331" s="43">
        <f>DG46/DG$91</f>
        <v>0.45795993674222457</v>
      </c>
      <c r="DH331" s="43">
        <f>DH46/DH$91</f>
        <v>0.42696112261329655</v>
      </c>
      <c r="DI331" s="43">
        <f>DI46/DI$91</f>
        <v>0.42647893720903829</v>
      </c>
      <c r="DJ331" s="43">
        <f>DJ46/DJ$91</f>
        <v>0.36812881732370906</v>
      </c>
      <c r="DK331" s="395">
        <f>DK46/DK$91</f>
        <v>0.41568463574313969</v>
      </c>
      <c r="DL331" s="43"/>
      <c r="DM331" s="43">
        <f>DM46/DM$91</f>
        <v>0.48047154084305788</v>
      </c>
      <c r="DN331" s="43">
        <f>DN46/DN$91</f>
        <v>0.45352400408580185</v>
      </c>
      <c r="DO331" s="43">
        <f>DO46/DO$91</f>
        <v>0.4488907234900234</v>
      </c>
      <c r="DP331" s="43">
        <f>DP46/DP$91</f>
        <v>0.37990313511135365</v>
      </c>
      <c r="DQ331" s="395">
        <f>DQ46/DQ$91</f>
        <v>0.43681744369515429</v>
      </c>
      <c r="DR331" s="43"/>
      <c r="DS331" s="43">
        <f>DS46/DS$91</f>
        <v>0.50493360945303933</v>
      </c>
      <c r="DT331" s="43">
        <f>DT46/DT$91</f>
        <v>0.46790299572039945</v>
      </c>
      <c r="DU331" s="43">
        <f>DU46/DU$91</f>
        <v>0.48428093645484949</v>
      </c>
      <c r="DV331" s="43">
        <f>DV46/DV$91</f>
        <v>0.40178815801477968</v>
      </c>
      <c r="DW331" s="395">
        <f>DW46/DW$91</f>
        <v>0.46055351246879445</v>
      </c>
      <c r="DX331" s="43"/>
      <c r="DY331" s="43">
        <f>DY46/DY$91</f>
        <v>0.52881517718649329</v>
      </c>
      <c r="DZ331" s="43">
        <f>DZ46/DZ$91</f>
        <v>0.48658838737477111</v>
      </c>
      <c r="EA331" s="43">
        <f>EA46/EA$91</f>
        <v>0.4900697799248524</v>
      </c>
      <c r="EB331" s="43">
        <f>EB46/EB$91</f>
        <v>0.41453293307434225</v>
      </c>
      <c r="EC331" s="395">
        <f>EC46/EC$91</f>
        <v>0.47536875081582036</v>
      </c>
      <c r="ED331" s="43"/>
      <c r="EE331" s="43">
        <f>EE46/EE$91</f>
        <v>0.55018025351785094</v>
      </c>
      <c r="EF331" s="43">
        <f>EF46/EF$91</f>
        <v>0.4967735220649459</v>
      </c>
      <c r="EG331" s="43">
        <f>EG46/EG$91</f>
        <v>0.49967859438611528</v>
      </c>
      <c r="EH331" s="43">
        <f>EH46/EH$91</f>
        <v>0.43764002987303957</v>
      </c>
      <c r="EI331" s="395">
        <f>EI46/EI$91</f>
        <v>0.4929286591901289</v>
      </c>
      <c r="EJ331" s="43"/>
      <c r="EK331" s="43">
        <f>EK46/EK$91</f>
        <v>0.55579221393917877</v>
      </c>
      <c r="EL331" s="43">
        <f>EL46/EL$91</f>
        <v>0.5205646954201868</v>
      </c>
      <c r="EM331" s="43">
        <f>EM46/EM$91</f>
        <v>0.51797204348790771</v>
      </c>
      <c r="EN331" s="43">
        <f>EN46/EN$91</f>
        <v>0.45441676104190259</v>
      </c>
      <c r="EO331" s="395">
        <f>EO46/EO$91</f>
        <v>0.50905362009876676</v>
      </c>
      <c r="EP331" s="43"/>
      <c r="EQ331" s="43">
        <f>EQ46/EQ$91</f>
        <v>0.55648438407059098</v>
      </c>
      <c r="ER331" s="43">
        <f>ER46/ER$91</f>
        <v>0.52680439878365304</v>
      </c>
      <c r="ES331" s="43">
        <f>ES46/ES$91</f>
        <v>0.51347854216087985</v>
      </c>
      <c r="ET331" s="43">
        <f>ET46/ET$91</f>
        <v>0.4475824878895896</v>
      </c>
      <c r="EU331" s="395">
        <f>EU46/EU$91</f>
        <v>0.50741758488228073</v>
      </c>
      <c r="EV331" s="43"/>
      <c r="EW331" s="43">
        <f>EW46/EW$91</f>
        <v>0.53745115067303517</v>
      </c>
      <c r="EX331" s="43">
        <f>EX46/EX$91</f>
        <v>0.51433021806853585</v>
      </c>
      <c r="EY331" s="43">
        <f>EY46/EY$91</f>
        <v>0.51421849427168576</v>
      </c>
      <c r="EZ331" s="43">
        <f>EZ46/EZ$91</f>
        <v>0.45585592343127918</v>
      </c>
      <c r="FA331" s="395">
        <f>FA46/FA$91</f>
        <v>0.50321652145109974</v>
      </c>
      <c r="FB331" s="43"/>
      <c r="FC331" s="43">
        <f>FC46/FC$91</f>
        <v>0.53721157665445751</v>
      </c>
      <c r="FD331" s="43">
        <f>FD46/FD$91</f>
        <v>0.51392017509184551</v>
      </c>
      <c r="FE331" s="43">
        <f>FE46/FE$91</f>
        <v>0.51400273576577782</v>
      </c>
      <c r="FF331" s="43">
        <f>FF46/FF$91</f>
        <v>0.45980942503506322</v>
      </c>
      <c r="FG331" s="395">
        <f>FG46/FG$91</f>
        <v>0.50432155176959126</v>
      </c>
      <c r="FH331" s="43"/>
      <c r="FI331" s="43">
        <f>FI46/FI$91</f>
        <v>0.52921591297595527</v>
      </c>
      <c r="FJ331" s="43">
        <f>FJ46/FJ$91</f>
        <v>0.50807949007467468</v>
      </c>
      <c r="FK331" s="43">
        <f>FK46/FK$91</f>
        <v>0.50834205623091733</v>
      </c>
      <c r="FL331" s="43">
        <f>FL46/FL$91</f>
        <v>0.45886868760903637</v>
      </c>
      <c r="FM331" s="395">
        <f>FM46/FM$91</f>
        <v>0.49954679917743194</v>
      </c>
      <c r="FN331" s="27"/>
      <c r="FO331" s="27"/>
      <c r="FP331" s="27"/>
      <c r="FQ331" s="27"/>
      <c r="FR331" s="27"/>
      <c r="FS331" s="27"/>
      <c r="FT331" s="27"/>
      <c r="FU331" s="27"/>
      <c r="FV331" s="27"/>
      <c r="FW331" s="27"/>
      <c r="FX331" s="27"/>
      <c r="FY331" s="27"/>
      <c r="FZ331" s="27"/>
      <c r="GA331" s="27"/>
      <c r="GB331" s="27"/>
      <c r="GC331" s="27"/>
      <c r="GD331" s="27"/>
      <c r="GE331" s="27"/>
      <c r="GF331" s="27"/>
      <c r="GH331" s="27"/>
      <c r="GI331"/>
      <c r="GJ331"/>
      <c r="GK331"/>
      <c r="GL331"/>
      <c r="GM331"/>
      <c r="GN331"/>
      <c r="GO331" s="27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</row>
    <row r="332" spans="1:281" s="24" customFormat="1" ht="3.95" customHeight="1" x14ac:dyDescent="0.2">
      <c r="A332" s="342"/>
      <c r="B332" s="413"/>
      <c r="C332" s="94"/>
      <c r="D332" s="94"/>
      <c r="E332" s="94"/>
      <c r="F332" s="94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94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  <c r="AF332" s="43"/>
      <c r="AG332" s="43"/>
      <c r="AH332" s="43"/>
      <c r="AI332" s="43"/>
      <c r="AJ332" s="43"/>
      <c r="AK332" s="43"/>
      <c r="AL332" s="94"/>
      <c r="AM332" s="43"/>
      <c r="AN332" s="43"/>
      <c r="AO332" s="43"/>
      <c r="AP332" s="43"/>
      <c r="AQ332" s="43"/>
      <c r="AR332" s="43"/>
      <c r="AS332" s="43"/>
      <c r="AT332" s="43"/>
      <c r="AU332" s="43"/>
      <c r="AV332" s="43"/>
      <c r="AW332" s="43"/>
      <c r="AX332" s="43"/>
      <c r="AY332" s="43"/>
      <c r="AZ332" s="43"/>
      <c r="BA332" s="43"/>
      <c r="BB332" s="43"/>
      <c r="BC332" s="43"/>
      <c r="BD332" s="43"/>
      <c r="BE332" s="43"/>
      <c r="BF332" s="43"/>
      <c r="BG332" s="43"/>
      <c r="BH332" s="43"/>
      <c r="BI332" s="43"/>
      <c r="BJ332" s="43"/>
      <c r="BK332" s="43"/>
      <c r="BL332" s="43"/>
      <c r="BM332" s="43"/>
      <c r="BN332" s="43"/>
      <c r="BO332" s="82"/>
      <c r="BP332" s="43"/>
      <c r="BQ332" s="43"/>
      <c r="BR332" s="43"/>
      <c r="BS332" s="43"/>
      <c r="BT332" s="43"/>
      <c r="BU332" s="82"/>
      <c r="BV332" s="43"/>
      <c r="BW332" s="43"/>
      <c r="BX332" s="43"/>
      <c r="BY332" s="43"/>
      <c r="BZ332" s="43"/>
      <c r="CA332" s="82"/>
      <c r="CB332" s="43"/>
      <c r="CC332" s="43"/>
      <c r="CD332" s="43"/>
      <c r="CE332" s="43"/>
      <c r="CF332" s="43"/>
      <c r="CG332" s="397"/>
      <c r="CH332" s="43"/>
      <c r="CI332" s="43"/>
      <c r="CJ332" s="43"/>
      <c r="CK332" s="43"/>
      <c r="CL332" s="43"/>
      <c r="CM332" s="397"/>
      <c r="CN332" s="43"/>
      <c r="CO332" s="43"/>
      <c r="CP332" s="43"/>
      <c r="CQ332" s="43"/>
      <c r="CR332" s="43"/>
      <c r="CS332" s="395"/>
      <c r="CT332" s="43"/>
      <c r="CU332" s="43"/>
      <c r="CV332" s="43"/>
      <c r="CW332" s="43"/>
      <c r="CX332" s="43"/>
      <c r="CY332" s="395"/>
      <c r="CZ332" s="43"/>
      <c r="DA332" s="43"/>
      <c r="DB332" s="43"/>
      <c r="DC332" s="43"/>
      <c r="DD332" s="43"/>
      <c r="DE332" s="395"/>
      <c r="DF332" s="43"/>
      <c r="DG332" s="43"/>
      <c r="DH332" s="43"/>
      <c r="DI332" s="43"/>
      <c r="DJ332" s="43"/>
      <c r="DK332" s="395"/>
      <c r="DL332" s="43"/>
      <c r="DM332" s="43"/>
      <c r="DN332" s="43"/>
      <c r="DO332" s="43"/>
      <c r="DP332" s="43"/>
      <c r="DQ332" s="395"/>
      <c r="DR332" s="43"/>
      <c r="DS332" s="43"/>
      <c r="DT332" s="43"/>
      <c r="DU332" s="43"/>
      <c r="DV332" s="43"/>
      <c r="DW332" s="395"/>
      <c r="DX332" s="43"/>
      <c r="DY332" s="43"/>
      <c r="DZ332" s="43"/>
      <c r="EA332" s="43"/>
      <c r="EB332" s="43"/>
      <c r="EC332" s="395"/>
      <c r="ED332" s="43"/>
      <c r="EE332" s="43"/>
      <c r="EF332" s="43"/>
      <c r="EG332" s="43"/>
      <c r="EH332" s="43"/>
      <c r="EI332" s="395"/>
      <c r="EJ332" s="43"/>
      <c r="EK332" s="43"/>
      <c r="EL332" s="43"/>
      <c r="EM332" s="43"/>
      <c r="EN332" s="43"/>
      <c r="EO332" s="395"/>
      <c r="EP332" s="43"/>
      <c r="EQ332" s="43"/>
      <c r="ER332" s="43"/>
      <c r="ES332" s="43"/>
      <c r="ET332" s="43"/>
      <c r="EU332" s="395"/>
      <c r="EV332" s="43"/>
      <c r="EW332" s="43"/>
      <c r="EX332" s="43"/>
      <c r="EY332" s="43"/>
      <c r="EZ332" s="43"/>
      <c r="FA332" s="395"/>
      <c r="FB332" s="43"/>
      <c r="FC332" s="43"/>
      <c r="FD332" s="43"/>
      <c r="FE332" s="43"/>
      <c r="FF332" s="43"/>
      <c r="FG332" s="395"/>
      <c r="FH332" s="43"/>
      <c r="FI332" s="43"/>
      <c r="FJ332" s="43"/>
      <c r="FK332" s="43"/>
      <c r="FL332" s="43"/>
      <c r="FM332" s="395"/>
      <c r="FN332" s="27"/>
      <c r="FO332" s="27"/>
      <c r="FP332" s="27"/>
      <c r="FQ332" s="27"/>
      <c r="FR332" s="27"/>
      <c r="FS332" s="27"/>
      <c r="FT332" s="27"/>
      <c r="FU332" s="27"/>
      <c r="FV332" s="27"/>
      <c r="FW332" s="27"/>
      <c r="FX332" s="27"/>
      <c r="FY332" s="27"/>
      <c r="FZ332" s="27"/>
      <c r="GA332" s="27"/>
      <c r="GB332" s="27"/>
      <c r="GC332" s="27"/>
      <c r="GD332" s="27"/>
      <c r="GE332" s="27"/>
      <c r="GF332" s="27"/>
      <c r="GH332" s="27"/>
      <c r="GI332"/>
      <c r="GJ332"/>
      <c r="GK332"/>
      <c r="GL332"/>
      <c r="GM332"/>
      <c r="GN332"/>
      <c r="GO332" s="27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</row>
    <row r="333" spans="1:281" s="24" customFormat="1" x14ac:dyDescent="0.2">
      <c r="A333" s="342" t="s">
        <v>643</v>
      </c>
      <c r="B333" s="413"/>
      <c r="C333" s="94"/>
      <c r="D333" s="94"/>
      <c r="E333" s="94"/>
      <c r="F333" s="94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94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  <c r="AF333" s="43"/>
      <c r="AG333" s="43"/>
      <c r="AH333" s="43"/>
      <c r="AI333" s="43"/>
      <c r="AJ333" s="43"/>
      <c r="AK333" s="43"/>
      <c r="AL333" s="94"/>
      <c r="AM333" s="43"/>
      <c r="AN333" s="43"/>
      <c r="AO333" s="43"/>
      <c r="AP333" s="43"/>
      <c r="AQ333" s="43"/>
      <c r="AR333" s="43"/>
      <c r="AS333" s="43"/>
      <c r="AT333" s="43"/>
      <c r="AU333" s="43"/>
      <c r="AV333" s="43"/>
      <c r="AW333" s="43"/>
      <c r="AX333" s="43"/>
      <c r="AY333" s="43"/>
      <c r="AZ333" s="43"/>
      <c r="BA333" s="43"/>
      <c r="BB333" s="43"/>
      <c r="BC333" s="43"/>
      <c r="BD333" s="43"/>
      <c r="BE333" s="43"/>
      <c r="BF333" s="43"/>
      <c r="BG333" s="43"/>
      <c r="BH333" s="43"/>
      <c r="BI333" s="43"/>
      <c r="BJ333" s="43"/>
      <c r="BK333" s="43"/>
      <c r="BL333" s="43"/>
      <c r="BM333" s="43"/>
      <c r="BN333" s="43"/>
      <c r="BO333" s="82"/>
      <c r="BP333" s="43"/>
      <c r="BQ333" s="43"/>
      <c r="BR333" s="43"/>
      <c r="BS333" s="43"/>
      <c r="BT333" s="43"/>
      <c r="BU333" s="82"/>
      <c r="BV333" s="43"/>
      <c r="BW333" s="43"/>
      <c r="BX333" s="43"/>
      <c r="BY333" s="43"/>
      <c r="BZ333" s="43"/>
      <c r="CA333" s="82"/>
      <c r="CB333" s="43"/>
      <c r="CC333" s="43"/>
      <c r="CD333" s="43"/>
      <c r="CE333" s="43"/>
      <c r="CF333" s="43"/>
      <c r="CG333" s="397"/>
      <c r="CH333" s="43"/>
      <c r="CI333" s="43"/>
      <c r="CJ333" s="43"/>
      <c r="CK333" s="43"/>
      <c r="CL333" s="43"/>
      <c r="CM333" s="397"/>
      <c r="CN333" s="43"/>
      <c r="CO333" s="43"/>
      <c r="CP333" s="43"/>
      <c r="CQ333" s="43"/>
      <c r="CR333" s="43"/>
      <c r="CS333" s="395"/>
      <c r="CT333" s="43"/>
      <c r="CU333" s="43"/>
      <c r="CV333" s="43"/>
      <c r="CW333" s="43"/>
      <c r="CX333" s="43"/>
      <c r="CY333" s="395">
        <f>CY60/CY$91</f>
        <v>0</v>
      </c>
      <c r="CZ333" s="43"/>
      <c r="DA333" s="43">
        <f>DA60/DA$91</f>
        <v>0.23444598064388703</v>
      </c>
      <c r="DB333" s="43">
        <f>DB60/DB$91</f>
        <v>0.24991485013623979</v>
      </c>
      <c r="DC333" s="43">
        <f>DC60/DC$91</f>
        <v>4.2198658299069471E-2</v>
      </c>
      <c r="DD333" s="43">
        <f>DD60/DD$91</f>
        <v>0.12802408887965944</v>
      </c>
      <c r="DE333" s="395">
        <f>DE60/DE$91</f>
        <v>5.5704742670720606E-2</v>
      </c>
      <c r="DF333" s="43"/>
      <c r="DG333" s="43">
        <f>DG60/DG$91</f>
        <v>0.14219820769636268</v>
      </c>
      <c r="DH333" s="43">
        <f>DH60/DH$91</f>
        <v>0.1279043018173453</v>
      </c>
      <c r="DI333" s="43">
        <f>DI60/DI$91</f>
        <v>0.11752015442261837</v>
      </c>
      <c r="DJ333" s="43">
        <f>DJ60/DJ$91</f>
        <v>0.10707014621506571</v>
      </c>
      <c r="DK333" s="395">
        <f>DK60/DK$91</f>
        <v>0.12210614291684078</v>
      </c>
      <c r="DL333" s="43"/>
      <c r="DM333" s="43">
        <f>DM60/DM$91</f>
        <v>0.12252917361276494</v>
      </c>
      <c r="DN333" s="43">
        <f>DN60/DN$91</f>
        <v>0.10816025422766996</v>
      </c>
      <c r="DO333" s="43">
        <f>DO60/DO$91</f>
        <v>9.5891356615739998E-2</v>
      </c>
      <c r="DP333" s="43">
        <f>DP60/DP$91</f>
        <v>8.922244302975782E-2</v>
      </c>
      <c r="DQ333" s="395">
        <f>DQ60/DQ$91</f>
        <v>0.10284378956055419</v>
      </c>
      <c r="DR333" s="43"/>
      <c r="DS333" s="43">
        <f>DS60/DS$91</f>
        <v>9.4895846022658062E-2</v>
      </c>
      <c r="DT333" s="43">
        <f>DT60/DT$91</f>
        <v>8.0544277405903655E-2</v>
      </c>
      <c r="DU333" s="43">
        <f>DU60/DU$91</f>
        <v>7.4804905239687844E-2</v>
      </c>
      <c r="DV333" s="43">
        <f>DV60/DV$91</f>
        <v>7.7456436456527694E-2</v>
      </c>
      <c r="DW333" s="395">
        <f>DW60/DW$91</f>
        <v>8.1416261777574966E-2</v>
      </c>
      <c r="DX333" s="43"/>
      <c r="DY333" s="43">
        <f>DY60/DY$91</f>
        <v>7.9823410094260833E-2</v>
      </c>
      <c r="DZ333" s="43">
        <f>DZ60/DZ$91</f>
        <v>7.6914790477216416E-2</v>
      </c>
      <c r="EA333" s="43">
        <f>EA60/EA$91</f>
        <v>7.7831454643048845E-2</v>
      </c>
      <c r="EB333" s="43">
        <f>EB60/EB$91</f>
        <v>7.6814409323680027E-2</v>
      </c>
      <c r="EC333" s="395">
        <f>EC60/EC$91</f>
        <v>7.7744419788539354E-2</v>
      </c>
      <c r="ED333" s="43"/>
      <c r="EE333" s="43">
        <f>EE60/EE$91</f>
        <v>6.7217118269566223E-2</v>
      </c>
      <c r="EF333" s="43">
        <f>EF60/EF$91</f>
        <v>7.4625312239800165E-2</v>
      </c>
      <c r="EG333" s="43">
        <f>EG60/EG$91</f>
        <v>7.6280265695307478E-2</v>
      </c>
      <c r="EH333" s="43">
        <f>EH60/EH$91</f>
        <v>7.6362957430918602E-2</v>
      </c>
      <c r="EI333" s="395">
        <f>EI60/EI$91</f>
        <v>7.385041696076125E-2</v>
      </c>
      <c r="EJ333" s="43"/>
      <c r="EK333" s="43">
        <f>EK60/EK$91</f>
        <v>6.7447639332623363E-2</v>
      </c>
      <c r="EL333" s="43">
        <f>EL60/EL$91</f>
        <v>6.3694975544686533E-2</v>
      </c>
      <c r="EM333" s="43">
        <f>EM60/EM$91</f>
        <v>6.7006878189483032E-2</v>
      </c>
      <c r="EN333" s="43">
        <f>EN60/EN$91</f>
        <v>6.8422046055115135E-2</v>
      </c>
      <c r="EO333" s="395"/>
      <c r="EP333" s="43"/>
      <c r="EQ333" s="43">
        <f>EQ60/EQ$91</f>
        <v>5.3639846743295021E-2</v>
      </c>
      <c r="ER333" s="43">
        <f>ER60/ER$91</f>
        <v>5.4797360024168178E-2</v>
      </c>
      <c r="ES333" s="43">
        <f>ES60/ES$91</f>
        <v>5.6070735389260294E-2</v>
      </c>
      <c r="ET333" s="43">
        <f>ET60/ET$91</f>
        <v>5.4565396216067999E-2</v>
      </c>
      <c r="EU333" s="395"/>
      <c r="EV333" s="43"/>
      <c r="EW333" s="43"/>
      <c r="EX333" s="43">
        <f>EX60/EX$91</f>
        <v>4.3352024922118378E-2</v>
      </c>
      <c r="EY333" s="43">
        <f>EY60/EY$91</f>
        <v>4.6808510638297877E-2</v>
      </c>
      <c r="EZ333" s="43"/>
      <c r="FA333" s="395"/>
      <c r="FB333" s="43"/>
      <c r="FC333" s="43"/>
      <c r="FD333" s="43"/>
      <c r="FE333" s="43"/>
      <c r="FF333" s="43"/>
      <c r="FG333" s="395"/>
      <c r="FH333" s="43"/>
      <c r="FI333" s="43"/>
      <c r="FJ333" s="43"/>
      <c r="FK333" s="43"/>
      <c r="FL333" s="43"/>
      <c r="FM333" s="395"/>
      <c r="FN333" s="27"/>
      <c r="FO333" s="27"/>
      <c r="FP333" s="27"/>
      <c r="FQ333" s="27"/>
      <c r="FR333" s="27"/>
      <c r="FS333" s="27"/>
      <c r="FT333" s="27"/>
      <c r="FU333" s="27"/>
      <c r="FV333" s="27"/>
      <c r="FW333" s="27"/>
      <c r="FX333" s="27"/>
      <c r="FY333" s="27"/>
      <c r="FZ333" s="27"/>
      <c r="GA333" s="27"/>
      <c r="GB333" s="27"/>
      <c r="GC333" s="27"/>
      <c r="GD333" s="27"/>
      <c r="GE333" s="27"/>
      <c r="GF333" s="27"/>
      <c r="GH333" s="27"/>
      <c r="GI333"/>
      <c r="GJ333"/>
      <c r="GK333"/>
      <c r="GL333"/>
      <c r="GM333"/>
      <c r="GN333"/>
      <c r="GO333" s="27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</row>
    <row r="334" spans="1:281" s="24" customFormat="1" x14ac:dyDescent="0.2">
      <c r="A334" s="342" t="s">
        <v>513</v>
      </c>
      <c r="B334" s="413"/>
      <c r="C334" s="94"/>
      <c r="D334" s="94"/>
      <c r="E334" s="94"/>
      <c r="F334" s="94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94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  <c r="AF334" s="43"/>
      <c r="AG334" s="43"/>
      <c r="AH334" s="43"/>
      <c r="AI334" s="43"/>
      <c r="AJ334" s="43"/>
      <c r="AK334" s="43"/>
      <c r="AL334" s="94"/>
      <c r="AM334" s="43"/>
      <c r="AN334" s="43"/>
      <c r="AO334" s="43"/>
      <c r="AP334" s="43"/>
      <c r="AQ334" s="43"/>
      <c r="AR334" s="43"/>
      <c r="AS334" s="43"/>
      <c r="AT334" s="43"/>
      <c r="AU334" s="43"/>
      <c r="AV334" s="43"/>
      <c r="AW334" s="43"/>
      <c r="AX334" s="43"/>
      <c r="AY334" s="43"/>
      <c r="AZ334" s="43"/>
      <c r="BA334" s="43"/>
      <c r="BB334" s="43"/>
      <c r="BC334" s="43"/>
      <c r="BD334" s="43"/>
      <c r="BE334" s="43"/>
      <c r="BF334" s="43"/>
      <c r="BG334" s="43"/>
      <c r="BH334" s="43"/>
      <c r="BI334" s="43"/>
      <c r="BJ334" s="43"/>
      <c r="BK334" s="43"/>
      <c r="BL334" s="43"/>
      <c r="BM334" s="43"/>
      <c r="BN334" s="43"/>
      <c r="BO334" s="82"/>
      <c r="BP334" s="43"/>
      <c r="BQ334" s="43"/>
      <c r="BR334" s="43"/>
      <c r="BS334" s="43"/>
      <c r="BT334" s="43"/>
      <c r="BU334" s="82"/>
      <c r="BV334" s="43"/>
      <c r="BW334" s="43"/>
      <c r="BX334" s="43"/>
      <c r="BY334" s="43"/>
      <c r="BZ334" s="43"/>
      <c r="CA334" s="82"/>
      <c r="CB334" s="43"/>
      <c r="CC334" s="43"/>
      <c r="CD334" s="43"/>
      <c r="CE334" s="43"/>
      <c r="CF334" s="43"/>
      <c r="CG334" s="397"/>
      <c r="CH334" s="43"/>
      <c r="CI334" s="43"/>
      <c r="CJ334" s="43"/>
      <c r="CK334" s="43"/>
      <c r="CL334" s="43"/>
      <c r="CM334" s="397"/>
      <c r="CN334" s="43"/>
      <c r="CO334" s="43"/>
      <c r="CP334" s="43"/>
      <c r="CQ334" s="43"/>
      <c r="CR334" s="43"/>
      <c r="CS334" s="395"/>
      <c r="CT334" s="43"/>
      <c r="CU334" s="43"/>
      <c r="CV334" s="43"/>
      <c r="CW334" s="43"/>
      <c r="CX334" s="43"/>
      <c r="CY334" s="395">
        <f>CY67/CY$91</f>
        <v>0</v>
      </c>
      <c r="CZ334" s="43"/>
      <c r="DA334" s="43">
        <f>DA67/DA$91</f>
        <v>0</v>
      </c>
      <c r="DB334" s="43">
        <f>DB67/DB$91</f>
        <v>0</v>
      </c>
      <c r="DC334" s="43">
        <f>DC67/DC$91</f>
        <v>3.4624540142826232E-2</v>
      </c>
      <c r="DD334" s="43">
        <f>DD67/DD$91</f>
        <v>7.1435987955560165E-2</v>
      </c>
      <c r="DE334" s="395">
        <f>DE67/DE$91</f>
        <v>3.3733549346412477E-2</v>
      </c>
      <c r="DF334" s="43"/>
      <c r="DG334" s="43">
        <f>DG67/DG$91</f>
        <v>8.9615181866104371E-2</v>
      </c>
      <c r="DH334" s="43">
        <f>DH67/DH$91</f>
        <v>7.8904991948470213E-2</v>
      </c>
      <c r="DI334" s="43">
        <f>DI67/DI$91</f>
        <v>7.4486204155785177E-2</v>
      </c>
      <c r="DJ334" s="43">
        <f>DJ67/DJ$91</f>
        <v>6.3575791227096057E-2</v>
      </c>
      <c r="DK334" s="395">
        <f>DK67/DK$91</f>
        <v>7.5470121186794817E-2</v>
      </c>
      <c r="DL334" s="43"/>
      <c r="DM334" s="43">
        <f>DM67/DM$91</f>
        <v>7.811383662776851E-2</v>
      </c>
      <c r="DN334" s="43">
        <f>DN67/DN$91</f>
        <v>7.1955510157757349E-2</v>
      </c>
      <c r="DO334" s="43">
        <f>DO67/DO$91</f>
        <v>6.7311539166399773E-2</v>
      </c>
      <c r="DP334" s="43">
        <f>DP67/DP$91</f>
        <v>5.5159012886360007E-2</v>
      </c>
      <c r="DQ334" s="395">
        <f>DQ67/DQ$91</f>
        <v>6.7272949075137853E-2</v>
      </c>
      <c r="DR334" s="43"/>
      <c r="DS334" s="43">
        <f>DS67/DS$91</f>
        <v>7.0410525033499816E-2</v>
      </c>
      <c r="DT334" s="43">
        <f>DT67/DT$91</f>
        <v>6.4742675299023375E-2</v>
      </c>
      <c r="DU334" s="43">
        <f>DU67/DU$91</f>
        <v>6.3768115942028983E-2</v>
      </c>
      <c r="DV334" s="43">
        <f>DV67/DV$91</f>
        <v>5.3462275339841256E-2</v>
      </c>
      <c r="DW334" s="395">
        <f>DW67/DW$91</f>
        <v>6.2437924462459396E-2</v>
      </c>
      <c r="DX334" s="43"/>
      <c r="DY334" s="43">
        <f>DY67/DY$91</f>
        <v>7.1232549815057875E-2</v>
      </c>
      <c r="DZ334" s="43">
        <f>DZ67/DZ$91</f>
        <v>6.6034687062372074E-2</v>
      </c>
      <c r="EA334" s="43">
        <f>EA67/EA$91</f>
        <v>6.4412238325281798E-2</v>
      </c>
      <c r="EB334" s="43">
        <f>EB67/EB$91</f>
        <v>5.2710577432456295E-2</v>
      </c>
      <c r="EC334" s="395">
        <f>EC67/EC$91</f>
        <v>6.2837749641039026E-2</v>
      </c>
      <c r="ED334" s="43"/>
      <c r="EE334" s="43">
        <f>EE67/EE$91</f>
        <v>6.8380044191185027E-2</v>
      </c>
      <c r="EF334" s="43">
        <f>EF67/EF$91</f>
        <v>6.4425478767693584E-2</v>
      </c>
      <c r="EG334" s="43">
        <f>EG67/EG$91</f>
        <v>6.299550032140562E-2</v>
      </c>
      <c r="EH334" s="43">
        <f>EH67/EH$91</f>
        <v>5.5078416728902166E-2</v>
      </c>
      <c r="EI334" s="395">
        <f>EI67/EI$91</f>
        <v>6.2348051133244452E-2</v>
      </c>
      <c r="EJ334" s="43"/>
      <c r="EK334" s="43">
        <f>EK67/EK$91</f>
        <v>6.6146018222695543E-2</v>
      </c>
      <c r="EL334" s="43">
        <f>EL67/EL$91</f>
        <v>6.1138283681636284E-2</v>
      </c>
      <c r="EM334" s="43">
        <f>EM67/EM$91</f>
        <v>5.890836476591968E-2</v>
      </c>
      <c r="EN334" s="43">
        <f>EN67/EN$91</f>
        <v>5.2661381653454131E-2</v>
      </c>
      <c r="EO334" s="395"/>
      <c r="EP334" s="43"/>
      <c r="EQ334" s="43">
        <f>EQ67/EQ$91</f>
        <v>6.1999303378613722E-2</v>
      </c>
      <c r="ER334" s="43">
        <f>ER67/ER$91</f>
        <v>5.7002485176046176E-2</v>
      </c>
      <c r="ES334" s="43">
        <f>ES67/ES$91</f>
        <v>5.4776795341815829E-2</v>
      </c>
      <c r="ET334" s="43">
        <f>ET67/ET$91</f>
        <v>4.7253450324467601E-2</v>
      </c>
      <c r="EU334" s="395"/>
      <c r="EV334" s="43"/>
      <c r="EW334" s="43"/>
      <c r="EX334" s="43">
        <f>EX67/EX$91</f>
        <v>5.4259605399792313E-2</v>
      </c>
      <c r="EY334" s="43">
        <f>EY67/EY$91</f>
        <v>5.4869067103109653E-2</v>
      </c>
      <c r="EZ334" s="43"/>
      <c r="FA334" s="395"/>
      <c r="FB334" s="43"/>
      <c r="FC334" s="43"/>
      <c r="FD334" s="43"/>
      <c r="FE334" s="43"/>
      <c r="FF334" s="43"/>
      <c r="FG334" s="395"/>
      <c r="FH334" s="43"/>
      <c r="FI334" s="43"/>
      <c r="FJ334" s="43"/>
      <c r="FK334" s="43"/>
      <c r="FL334" s="43"/>
      <c r="FM334" s="395"/>
      <c r="FN334" s="27"/>
      <c r="FO334" s="27"/>
      <c r="FP334" s="27"/>
      <c r="FQ334" s="27"/>
      <c r="FR334" s="27"/>
      <c r="FS334" s="27"/>
      <c r="FT334" s="27"/>
      <c r="FU334" s="27"/>
      <c r="FV334" s="27"/>
      <c r="FW334" s="27"/>
      <c r="FX334" s="27"/>
      <c r="FY334" s="27"/>
      <c r="FZ334" s="27"/>
      <c r="GA334" s="27"/>
      <c r="GB334" s="27"/>
      <c r="GC334" s="27"/>
      <c r="GD334" s="27"/>
      <c r="GE334" s="27"/>
      <c r="GF334" s="27"/>
      <c r="GH334" s="27"/>
      <c r="GI334"/>
      <c r="GJ334"/>
      <c r="GK334"/>
      <c r="GL334"/>
      <c r="GM334"/>
      <c r="GN334"/>
      <c r="GO334" s="27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</row>
    <row r="335" spans="1:281" s="24" customFormat="1" ht="3.95" customHeight="1" x14ac:dyDescent="0.2">
      <c r="A335" s="342"/>
      <c r="B335" s="413"/>
      <c r="C335" s="94"/>
      <c r="D335" s="94"/>
      <c r="E335" s="94"/>
      <c r="F335" s="94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94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  <c r="AF335" s="43"/>
      <c r="AG335" s="43"/>
      <c r="AH335" s="43"/>
      <c r="AI335" s="43"/>
      <c r="AJ335" s="43"/>
      <c r="AK335" s="43"/>
      <c r="AL335" s="94"/>
      <c r="AM335" s="43"/>
      <c r="AN335" s="43"/>
      <c r="AO335" s="43"/>
      <c r="AP335" s="43"/>
      <c r="AQ335" s="43"/>
      <c r="AR335" s="43"/>
      <c r="AS335" s="43"/>
      <c r="AT335" s="43"/>
      <c r="AU335" s="43"/>
      <c r="AV335" s="43"/>
      <c r="AW335" s="43"/>
      <c r="AX335" s="43"/>
      <c r="AY335" s="43"/>
      <c r="AZ335" s="43"/>
      <c r="BA335" s="43"/>
      <c r="BB335" s="43"/>
      <c r="BC335" s="43"/>
      <c r="BD335" s="43"/>
      <c r="BE335" s="43"/>
      <c r="BF335" s="43"/>
      <c r="BG335" s="43"/>
      <c r="BH335" s="43"/>
      <c r="BI335" s="43"/>
      <c r="BJ335" s="43"/>
      <c r="BK335" s="43"/>
      <c r="BL335" s="43"/>
      <c r="BM335" s="43"/>
      <c r="BN335" s="43"/>
      <c r="BO335" s="82"/>
      <c r="BP335" s="43"/>
      <c r="BQ335" s="43"/>
      <c r="BR335" s="43"/>
      <c r="BS335" s="43"/>
      <c r="BT335" s="43"/>
      <c r="BU335" s="82"/>
      <c r="BV335" s="43"/>
      <c r="BW335" s="43"/>
      <c r="BX335" s="43"/>
      <c r="BY335" s="43"/>
      <c r="BZ335" s="43"/>
      <c r="CA335" s="82"/>
      <c r="CB335" s="43"/>
      <c r="CC335" s="43"/>
      <c r="CD335" s="43"/>
      <c r="CE335" s="43"/>
      <c r="CF335" s="43"/>
      <c r="CG335" s="397"/>
      <c r="CH335" s="43"/>
      <c r="CI335" s="43"/>
      <c r="CJ335" s="43"/>
      <c r="CK335" s="43"/>
      <c r="CL335" s="43"/>
      <c r="CM335" s="397"/>
      <c r="CN335" s="43"/>
      <c r="CO335" s="43"/>
      <c r="CP335" s="43"/>
      <c r="CQ335" s="43"/>
      <c r="CR335" s="43"/>
      <c r="CS335" s="395"/>
      <c r="CT335" s="43"/>
      <c r="CU335" s="43"/>
      <c r="CV335" s="43"/>
      <c r="CW335" s="43"/>
      <c r="CX335" s="43"/>
      <c r="CY335" s="395"/>
      <c r="CZ335" s="43"/>
      <c r="DA335" s="43"/>
      <c r="DB335" s="43"/>
      <c r="DC335" s="43"/>
      <c r="DD335" s="43"/>
      <c r="DE335" s="395"/>
      <c r="DF335" s="43"/>
      <c r="DG335" s="43"/>
      <c r="DH335" s="43"/>
      <c r="DI335" s="43"/>
      <c r="DJ335" s="43"/>
      <c r="DK335" s="395"/>
      <c r="DL335" s="43"/>
      <c r="DM335" s="43"/>
      <c r="DN335" s="43"/>
      <c r="DO335" s="43"/>
      <c r="DP335" s="43"/>
      <c r="DQ335" s="395"/>
      <c r="DR335" s="43"/>
      <c r="DS335" s="43"/>
      <c r="DT335" s="43"/>
      <c r="DU335" s="43"/>
      <c r="DV335" s="43"/>
      <c r="DW335" s="395"/>
      <c r="DX335" s="43"/>
      <c r="DY335" s="43"/>
      <c r="DZ335" s="43"/>
      <c r="EA335" s="43"/>
      <c r="EB335" s="43"/>
      <c r="EC335" s="395"/>
      <c r="ED335" s="43"/>
      <c r="EE335" s="43"/>
      <c r="EF335" s="43"/>
      <c r="EG335" s="43"/>
      <c r="EH335" s="43"/>
      <c r="EI335" s="395"/>
      <c r="EJ335" s="43"/>
      <c r="EK335" s="43"/>
      <c r="EL335" s="43"/>
      <c r="EM335" s="43"/>
      <c r="EN335" s="43"/>
      <c r="EO335" s="395"/>
      <c r="EP335" s="43"/>
      <c r="EQ335" s="43"/>
      <c r="ER335" s="43"/>
      <c r="ES335" s="43"/>
      <c r="ET335" s="43"/>
      <c r="EU335" s="395"/>
      <c r="EV335" s="43"/>
      <c r="EW335" s="43"/>
      <c r="EX335" s="43"/>
      <c r="EY335" s="43"/>
      <c r="EZ335" s="43"/>
      <c r="FA335" s="395"/>
      <c r="FB335" s="43"/>
      <c r="FC335" s="43"/>
      <c r="FD335" s="43"/>
      <c r="FE335" s="43"/>
      <c r="FF335" s="43"/>
      <c r="FG335" s="395"/>
      <c r="FH335" s="43"/>
      <c r="FI335" s="43"/>
      <c r="FJ335" s="43"/>
      <c r="FK335" s="43"/>
      <c r="FL335" s="43"/>
      <c r="FM335" s="395"/>
      <c r="FN335" s="27"/>
      <c r="FO335" s="27"/>
      <c r="FP335" s="27"/>
      <c r="FQ335" s="27"/>
      <c r="FR335" s="27"/>
      <c r="FS335" s="27"/>
      <c r="FT335" s="27"/>
      <c r="FU335" s="27"/>
      <c r="FV335" s="27"/>
      <c r="FW335" s="27"/>
      <c r="FX335" s="27"/>
      <c r="FY335" s="27"/>
      <c r="FZ335" s="27"/>
      <c r="GA335" s="27"/>
      <c r="GB335" s="27"/>
      <c r="GC335" s="27"/>
      <c r="GD335" s="27"/>
      <c r="GE335" s="27"/>
      <c r="GF335" s="27"/>
      <c r="GH335" s="27"/>
      <c r="GI335"/>
      <c r="GJ335"/>
      <c r="GK335"/>
      <c r="GL335"/>
      <c r="GM335"/>
      <c r="GN335"/>
      <c r="GO335" s="27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</row>
    <row r="336" spans="1:281" s="24" customFormat="1" x14ac:dyDescent="0.2">
      <c r="A336" s="342" t="s">
        <v>32</v>
      </c>
      <c r="B336" s="413"/>
      <c r="C336" s="94" t="s">
        <v>945</v>
      </c>
      <c r="D336" s="94" t="s">
        <v>945</v>
      </c>
      <c r="E336" s="94" t="s">
        <v>945</v>
      </c>
      <c r="F336" s="94" t="s">
        <v>945</v>
      </c>
      <c r="G336" s="43" t="s">
        <v>945</v>
      </c>
      <c r="H336" s="43" t="s">
        <v>945</v>
      </c>
      <c r="I336" s="43" t="s">
        <v>945</v>
      </c>
      <c r="J336" s="43" t="s">
        <v>945</v>
      </c>
      <c r="K336" s="43">
        <f>K75/K$91</f>
        <v>4.4105173876166241E-2</v>
      </c>
      <c r="L336" s="43">
        <f>L75/L$91</f>
        <v>5.9880239520958084E-2</v>
      </c>
      <c r="M336" s="43">
        <f>M75/M$91</f>
        <v>3.2481371933196314E-2</v>
      </c>
      <c r="N336" s="43"/>
      <c r="O336" s="43">
        <f>O75/O$91</f>
        <v>2.6955437271103409E-2</v>
      </c>
      <c r="P336" s="43">
        <f>P75/P$91</f>
        <v>2.8346362714089635E-2</v>
      </c>
      <c r="Q336" s="43">
        <f>Q75/Q$91</f>
        <v>2.0768575760302943E-2</v>
      </c>
      <c r="R336" s="43">
        <f>R75/R$91</f>
        <v>1.67013957454668E-2</v>
      </c>
      <c r="S336" s="43">
        <f>S75/S$91</f>
        <v>2.2245606324223649E-2</v>
      </c>
      <c r="T336" s="94"/>
      <c r="U336" s="43">
        <f>U75/U$91</f>
        <v>2.0730678683550077E-2</v>
      </c>
      <c r="V336" s="43">
        <f>V75/V$91</f>
        <v>1.8614270941054809E-2</v>
      </c>
      <c r="W336" s="43">
        <f>W75/W$91</f>
        <v>1.3722274878729396E-2</v>
      </c>
      <c r="X336" s="43">
        <f>X75/X$91</f>
        <v>1.1611434941130027E-2</v>
      </c>
      <c r="Y336" s="43">
        <f>Y75/Y$91</f>
        <v>1.5391478709085898E-2</v>
      </c>
      <c r="Z336" s="43"/>
      <c r="AA336" s="43">
        <f>AA75/AA$91</f>
        <v>1.6658446725755213E-2</v>
      </c>
      <c r="AB336" s="43">
        <f>AB75/AB$91</f>
        <v>1.3489678375260128E-2</v>
      </c>
      <c r="AC336" s="43">
        <f>AC75/AC$91</f>
        <v>1.2276584878622016E-2</v>
      </c>
      <c r="AD336" s="43">
        <f>AD75/AD$91</f>
        <v>1.1382775736115082E-2</v>
      </c>
      <c r="AE336" s="43">
        <f>AE75/AE$91</f>
        <v>1.3061332053559116E-2</v>
      </c>
      <c r="AF336" s="43"/>
      <c r="AG336" s="43">
        <f>AG75/AG$91</f>
        <v>1.8458126221848177E-2</v>
      </c>
      <c r="AH336" s="43">
        <f>AH75/AH$91</f>
        <v>1.499510140190999E-2</v>
      </c>
      <c r="AI336" s="43">
        <f>AI75/AI$91</f>
        <v>1.2196091280835472E-2</v>
      </c>
      <c r="AJ336" s="43">
        <f>AJ75/AJ$91</f>
        <v>1.3942491626090703E-2</v>
      </c>
      <c r="AK336" s="43">
        <f>AK75/AK$91</f>
        <v>1.461799740056678E-2</v>
      </c>
      <c r="AL336" s="94"/>
      <c r="AM336" s="43">
        <f>AM75/AM$91</f>
        <v>1.4207797108243622E-2</v>
      </c>
      <c r="AN336" s="43">
        <f>AN75/AN$91</f>
        <v>1.0788717980645386E-2</v>
      </c>
      <c r="AO336" s="43">
        <f>AO75/AO$91</f>
        <v>1.0164893309987879E-2</v>
      </c>
      <c r="AP336" s="43">
        <f>AP75/AP$91</f>
        <v>9.9664387801627983E-3</v>
      </c>
      <c r="AQ336" s="43">
        <f>AQ75/AQ$91</f>
        <v>1.1045113473592914E-2</v>
      </c>
      <c r="AR336" s="43"/>
      <c r="AS336" s="43">
        <f>AS75/AS$91</f>
        <v>1.4882714534569368E-2</v>
      </c>
      <c r="AT336" s="43">
        <f>AT75/AT$91</f>
        <v>1.0965668812769636E-2</v>
      </c>
      <c r="AU336" s="43">
        <f>AU75/AU$91</f>
        <v>1.1499466403855938E-2</v>
      </c>
      <c r="AV336" s="43">
        <f>AV75/AV$91</f>
        <v>1.4403833672661966E-2</v>
      </c>
      <c r="AW336" s="43">
        <f>AW75/AW$91</f>
        <v>1.3007338110633941E-2</v>
      </c>
      <c r="AX336" s="43"/>
      <c r="AY336" s="43">
        <f>AY75/AY$91</f>
        <v>1.7080916366840445E-2</v>
      </c>
      <c r="AZ336" s="43">
        <f>AZ75/AZ$91</f>
        <v>1.0341318221208394E-2</v>
      </c>
      <c r="BA336" s="43">
        <f>BA75/BA$91</f>
        <v>1.124566126446647E-2</v>
      </c>
      <c r="BB336" s="43">
        <f>BB75/BB$91</f>
        <v>1.2310385596143733E-2</v>
      </c>
      <c r="BC336" s="43">
        <f>BC75/BC$91</f>
        <v>1.2561706870332642E-2</v>
      </c>
      <c r="BD336" s="43"/>
      <c r="BE336" s="43">
        <f>BE75/BE$91</f>
        <v>8.972850548882921E-3</v>
      </c>
      <c r="BF336" s="43">
        <f>BF75/BF$91</f>
        <v>6.6933088336301278E-3</v>
      </c>
      <c r="BG336" s="43">
        <f>BG75/BG$91</f>
        <v>5.6028438038094909E-3</v>
      </c>
      <c r="BH336" s="43">
        <f>BH75/BH$91</f>
        <v>8.1622765260468619E-3</v>
      </c>
      <c r="BI336" s="43">
        <f>BI75/BI$91</f>
        <v>7.3943482508102886E-3</v>
      </c>
      <c r="BJ336" s="43"/>
      <c r="BK336" s="43">
        <f>BK75/BK$91</f>
        <v>0</v>
      </c>
      <c r="BL336" s="43">
        <f>BL75/BL$91</f>
        <v>0</v>
      </c>
      <c r="BM336" s="43">
        <f>BM75/BM$91</f>
        <v>0</v>
      </c>
      <c r="BN336" s="43">
        <f>BN75/BN$91</f>
        <v>0</v>
      </c>
      <c r="BO336" s="82">
        <f>BO75/BO$91</f>
        <v>0</v>
      </c>
      <c r="BP336" s="43"/>
      <c r="BQ336" s="43">
        <f>BQ75/BQ$91</f>
        <v>0</v>
      </c>
      <c r="BR336" s="43">
        <f>BR75/BR$91</f>
        <v>0</v>
      </c>
      <c r="BS336" s="43">
        <f>BS75/BS$91</f>
        <v>0</v>
      </c>
      <c r="BT336" s="43">
        <f>BT75/BT$91</f>
        <v>0</v>
      </c>
      <c r="BU336" s="82">
        <f>BU75/BU$91</f>
        <v>0</v>
      </c>
      <c r="BV336" s="43"/>
      <c r="BW336" s="43">
        <f>BW75/BW$91</f>
        <v>0</v>
      </c>
      <c r="BX336" s="43">
        <f>BX75/BX$91</f>
        <v>0</v>
      </c>
      <c r="BY336" s="43">
        <f>BY75/BY$91</f>
        <v>0</v>
      </c>
      <c r="BZ336" s="43">
        <f>BZ75/BZ$91</f>
        <v>0</v>
      </c>
      <c r="CA336" s="82">
        <f>CA75/CA$91</f>
        <v>0</v>
      </c>
      <c r="CB336" s="43"/>
      <c r="CC336" s="43">
        <f>CC75/CC$91</f>
        <v>0.21912624699002409</v>
      </c>
      <c r="CD336" s="43">
        <f>CD75/CD$91</f>
        <v>0.19888037713612258</v>
      </c>
      <c r="CE336" s="43">
        <f>CE75/CE$91</f>
        <v>0.18984834766862832</v>
      </c>
      <c r="CF336" s="43">
        <f>CF75/CF$91</f>
        <v>0.17358719870366621</v>
      </c>
      <c r="CG336" s="397">
        <f>CG75/CG$91</f>
        <v>0.19225041293222497</v>
      </c>
      <c r="CH336" s="43"/>
      <c r="CI336" s="43">
        <f>CI75/CI$91</f>
        <v>0.23108440316853318</v>
      </c>
      <c r="CJ336" s="43">
        <f>CJ75/CJ$91</f>
        <v>0.22509487666034156</v>
      </c>
      <c r="CK336" s="43">
        <f>CK75/CK$91</f>
        <v>0.2058889638120926</v>
      </c>
      <c r="CL336" s="43">
        <f>CL75/CL$91</f>
        <v>0.18272989971103179</v>
      </c>
      <c r="CM336" s="397">
        <f>CM75/CM$91</f>
        <v>0.2079191608545225</v>
      </c>
      <c r="CN336" s="43"/>
      <c r="CO336" s="43">
        <f>CO75/CO$91</f>
        <v>0.23056825604180275</v>
      </c>
      <c r="CP336" s="43">
        <f>CP75/CP$91</f>
        <v>0.21513795674869501</v>
      </c>
      <c r="CQ336" s="43">
        <f>CQ75/CQ$91</f>
        <v>0.20647924036492274</v>
      </c>
      <c r="CR336" s="43">
        <f>CR75/CR$91</f>
        <v>0.17373987089685483</v>
      </c>
      <c r="CS336" s="395">
        <f>CS75/CS$91</f>
        <v>0.20288380733336281</v>
      </c>
      <c r="CT336" s="43"/>
      <c r="CU336" s="43">
        <f>CU75/CU$91</f>
        <v>0.21375876060494284</v>
      </c>
      <c r="CV336" s="43">
        <f>CV75/CV$91</f>
        <v>0.19887462634077721</v>
      </c>
      <c r="CW336" s="43">
        <f>CW75/CW$91</f>
        <v>0.18531976744186046</v>
      </c>
      <c r="CX336" s="43">
        <f>CX75/CX$91</f>
        <v>0.15477401540473767</v>
      </c>
      <c r="CY336" s="395">
        <f>CY75/CY$91</f>
        <v>0.18621775772537669</v>
      </c>
      <c r="CZ336" s="43"/>
      <c r="DA336" s="43">
        <f>DA75/DA$91</f>
        <v>0.17953782342484692</v>
      </c>
      <c r="DB336" s="43">
        <f>DB75/DB$91</f>
        <v>0.16314713896457766</v>
      </c>
      <c r="DC336" s="43">
        <f>DC75/DC$91</f>
        <v>0.14390824496862151</v>
      </c>
      <c r="DD336" s="43">
        <f>DD75/DD$91</f>
        <v>0.11504516664936144</v>
      </c>
      <c r="DE336" s="395">
        <f>DE75/DE$91</f>
        <v>0.14447724095075345</v>
      </c>
      <c r="DF336" s="43"/>
      <c r="DG336" s="43">
        <f>DG75/DG$91</f>
        <v>0.14074855034264627</v>
      </c>
      <c r="DH336" s="43">
        <f>DH75/DH$91</f>
        <v>0.1363008971704624</v>
      </c>
      <c r="DI336" s="43">
        <f>DI75/DI$91</f>
        <v>0.13012376518678323</v>
      </c>
      <c r="DJ336" s="43">
        <f>DJ75/DJ$91</f>
        <v>0.11549139367018323</v>
      </c>
      <c r="DK336" s="395">
        <f>DK75/DK$91</f>
        <v>0.12946092770580861</v>
      </c>
      <c r="DL336" s="43"/>
      <c r="DM336" s="43">
        <f>DM75/DM$91</f>
        <v>0.140509645153608</v>
      </c>
      <c r="DN336" s="43">
        <f>DN75/DN$91</f>
        <v>0.13392350471002157</v>
      </c>
      <c r="DO336" s="43">
        <f>DO75/DO$91</f>
        <v>0.12594311190647112</v>
      </c>
      <c r="DP336" s="43">
        <f>DP75/DP$91</f>
        <v>0.10978467282079912</v>
      </c>
      <c r="DQ336" s="395">
        <f>DQ75/DQ$91</f>
        <v>0.12636511260969124</v>
      </c>
      <c r="DR336" s="43"/>
      <c r="DS336" s="43">
        <f>DS75/DS$91</f>
        <v>0.12120842977220124</v>
      </c>
      <c r="DT336" s="43">
        <f>DT75/DT$91</f>
        <v>0.11083068144409086</v>
      </c>
      <c r="DU336" s="43">
        <f>DU75/DU$91</f>
        <v>0.10423634336677814</v>
      </c>
      <c r="DV336" s="43">
        <f>DV75/DV$91</f>
        <v>8.8951737980111301E-2</v>
      </c>
      <c r="DW336" s="395">
        <f>DW75/DW$91</f>
        <v>0.10509220733900626</v>
      </c>
      <c r="DX336" s="43"/>
      <c r="DY336" s="43">
        <f>DY75/DY$91</f>
        <v>0.10953346855983773</v>
      </c>
      <c r="DZ336" s="43">
        <f>DZ75/DZ$91</f>
        <v>0.10330712054292793</v>
      </c>
      <c r="EA336" s="43">
        <f>EA75/EA$91</f>
        <v>9.4900697799248521E-2</v>
      </c>
      <c r="EB336" s="43">
        <f>EB75/EB$91</f>
        <v>8.2994879039378425E-2</v>
      </c>
      <c r="EC336" s="395">
        <f>EC75/EC$91</f>
        <v>9.6619240308053772E-2</v>
      </c>
      <c r="ED336" s="43"/>
      <c r="EE336" s="43">
        <f>EE75/EE$91</f>
        <v>9.9430166298406786E-2</v>
      </c>
      <c r="EF336" s="43">
        <f>EF75/EF$91</f>
        <v>9.7314737718567856E-2</v>
      </c>
      <c r="EG336" s="43">
        <f>EG75/EG$91</f>
        <v>9.1922005571030641E-2</v>
      </c>
      <c r="EH336" s="43">
        <f>EH75/EH$91</f>
        <v>8.3924570575056007E-2</v>
      </c>
      <c r="EI336" s="395">
        <f>EI75/EI$91</f>
        <v>9.2724753614095629E-2</v>
      </c>
      <c r="EJ336" s="43"/>
      <c r="EK336" s="43">
        <f>EK75/EK$91</f>
        <v>0.10199976334161638</v>
      </c>
      <c r="EL336" s="43">
        <f>EL75/EL$91</f>
        <v>9.5709204090706976E-2</v>
      </c>
      <c r="EM336" s="43">
        <f>EM75/EM$91</f>
        <v>8.7974262258708677E-2</v>
      </c>
      <c r="EN336" s="43">
        <f>EN75/EN$91</f>
        <v>8.229520573801434E-2</v>
      </c>
      <c r="EO336" s="395">
        <f>EO75/EO$91</f>
        <v>9.1426720997382416E-2</v>
      </c>
      <c r="EP336" s="43"/>
      <c r="EQ336" s="43">
        <f>EQ75/EQ$91</f>
        <v>9.3811680018576565E-2</v>
      </c>
      <c r="ER336" s="43">
        <f>ER75/ER$91</f>
        <v>9.3032025032580734E-2</v>
      </c>
      <c r="ES336" s="43">
        <f>ES75/ES$91</f>
        <v>8.7556609877075697E-2</v>
      </c>
      <c r="ET336" s="43">
        <f>ET75/ET$91</f>
        <v>8.171099533863449E-2</v>
      </c>
      <c r="EU336" s="395">
        <f>EU75/EU$91</f>
        <v>8.8600968183360607E-2</v>
      </c>
      <c r="EV336" s="43"/>
      <c r="EW336" s="43">
        <f>EW75/EW$91</f>
        <v>9.3356491532783331E-2</v>
      </c>
      <c r="EX336" s="43">
        <f>EX75/EX$91</f>
        <v>8.8888888888888892E-2</v>
      </c>
      <c r="EY336" s="43">
        <f>EY75/EY$91</f>
        <v>8.1423895253682488E-2</v>
      </c>
      <c r="EZ336" s="43">
        <f>EZ75/EZ$91</f>
        <v>8.1493000484527012E-2</v>
      </c>
      <c r="FA336" s="395">
        <f>FA75/FA$91</f>
        <v>8.6010554515937684E-2</v>
      </c>
      <c r="FB336" s="43"/>
      <c r="FC336" s="43">
        <f>FC75/FC$91</f>
        <v>9.0058064484632785E-2</v>
      </c>
      <c r="FD336" s="43">
        <f>FD75/FD$91</f>
        <v>8.5755414262308441E-2</v>
      </c>
      <c r="FE336" s="43">
        <f>FE75/FE$91</f>
        <v>7.8875641667534926E-2</v>
      </c>
      <c r="FF336" s="43">
        <f>FF75/FF$91</f>
        <v>7.9965082999399653E-2</v>
      </c>
      <c r="FG336" s="395">
        <f>FG75/FG$91</f>
        <v>8.3455156024496699E-2</v>
      </c>
      <c r="FH336" s="43"/>
      <c r="FI336" s="43">
        <f>FI75/FI$91</f>
        <v>8.6522644077812516E-2</v>
      </c>
      <c r="FJ336" s="43">
        <f>FJ75/FJ$91</f>
        <v>8.2762459262690019E-2</v>
      </c>
      <c r="FK336" s="43">
        <f>FK75/FK$91</f>
        <v>7.6245151435271594E-2</v>
      </c>
      <c r="FL336" s="43">
        <f>FL75/FL$91</f>
        <v>7.8095990592364189E-2</v>
      </c>
      <c r="FM336" s="395">
        <f>FM75/FM$91</f>
        <v>8.075406574289018E-2</v>
      </c>
      <c r="FN336" s="27"/>
      <c r="FO336" s="27"/>
      <c r="FP336" s="27"/>
      <c r="FQ336" s="27"/>
      <c r="FR336" s="27"/>
      <c r="FS336" s="27"/>
      <c r="FT336" s="27"/>
      <c r="FU336" s="27"/>
      <c r="FV336" s="27"/>
      <c r="FW336" s="27"/>
      <c r="FX336" s="27"/>
      <c r="FY336" s="27"/>
      <c r="FZ336" s="27"/>
      <c r="GA336" s="27"/>
      <c r="GB336" s="27"/>
      <c r="GC336" s="27"/>
      <c r="GD336" s="27"/>
      <c r="GE336" s="27"/>
      <c r="GF336" s="27"/>
      <c r="GH336" s="27"/>
      <c r="GI336"/>
      <c r="GJ336"/>
      <c r="GK336"/>
      <c r="GL336"/>
      <c r="GM336"/>
      <c r="GN336"/>
      <c r="GO336" s="27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</row>
    <row r="337" spans="1:281" s="24" customFormat="1" hidden="1" outlineLevel="1" x14ac:dyDescent="0.2">
      <c r="A337" s="401" t="s">
        <v>394</v>
      </c>
      <c r="B337" s="977"/>
      <c r="C337" s="402"/>
      <c r="D337" s="402"/>
      <c r="E337" s="402"/>
      <c r="F337" s="402"/>
      <c r="G337" s="184"/>
      <c r="H337" s="184"/>
      <c r="I337" s="184"/>
      <c r="J337" s="184"/>
      <c r="K337" s="184"/>
      <c r="L337" s="184"/>
      <c r="M337" s="184"/>
      <c r="N337" s="184"/>
      <c r="O337" s="184"/>
      <c r="P337" s="184"/>
      <c r="Q337" s="184"/>
      <c r="R337" s="184"/>
      <c r="S337" s="184"/>
      <c r="T337" s="402"/>
      <c r="U337" s="184"/>
      <c r="V337" s="184"/>
      <c r="W337" s="184"/>
      <c r="X337" s="184"/>
      <c r="Y337" s="184"/>
      <c r="Z337" s="184"/>
      <c r="AA337" s="184"/>
      <c r="AB337" s="184"/>
      <c r="AC337" s="184"/>
      <c r="AD337" s="184"/>
      <c r="AE337" s="184"/>
      <c r="AF337" s="184"/>
      <c r="AG337" s="184"/>
      <c r="AH337" s="184"/>
      <c r="AI337" s="184"/>
      <c r="AJ337" s="184"/>
      <c r="AK337" s="184"/>
      <c r="AL337" s="402"/>
      <c r="AM337" s="184"/>
      <c r="AN337" s="184"/>
      <c r="AO337" s="184"/>
      <c r="AP337" s="184"/>
      <c r="AQ337" s="184"/>
      <c r="AR337" s="184"/>
      <c r="AS337" s="184"/>
      <c r="AT337" s="184"/>
      <c r="AU337" s="184"/>
      <c r="AV337" s="184"/>
      <c r="AW337" s="184"/>
      <c r="AX337" s="184"/>
      <c r="AY337" s="184">
        <f>AY72/AY$91</f>
        <v>0.24014244805051763</v>
      </c>
      <c r="AZ337" s="184">
        <f>AZ72/AZ$91</f>
        <v>0.21609561913156899</v>
      </c>
      <c r="BA337" s="184">
        <f>BA72/BA$91</f>
        <v>0.2086917882452258</v>
      </c>
      <c r="BB337" s="184">
        <f>BB72/BB$91</f>
        <v>0.17160472064262985</v>
      </c>
      <c r="BC337" s="184">
        <f>BC72/BC$91</f>
        <v>0.20593863964063586</v>
      </c>
      <c r="BD337" s="184"/>
      <c r="BE337" s="184">
        <f t="shared" ref="BE337:BI339" si="220">BE72/BE$91</f>
        <v>0.23163896682420515</v>
      </c>
      <c r="BF337" s="184">
        <f t="shared" si="220"/>
        <v>0.21464000097461097</v>
      </c>
      <c r="BG337" s="184">
        <f t="shared" si="220"/>
        <v>0.20361644151740546</v>
      </c>
      <c r="BH337" s="184">
        <f t="shared" si="220"/>
        <v>0.17569406567672957</v>
      </c>
      <c r="BI337" s="184">
        <f t="shared" si="220"/>
        <v>0.20488363598807505</v>
      </c>
      <c r="BJ337" s="184"/>
      <c r="BK337" s="184">
        <f t="shared" ref="BK337:BO339" si="221">BK72/BK$91</f>
        <v>0.21301775147928995</v>
      </c>
      <c r="BL337" s="184">
        <f t="shared" si="221"/>
        <v>0.19705500216543959</v>
      </c>
      <c r="BM337" s="184">
        <f t="shared" si="221"/>
        <v>0.18638925010836585</v>
      </c>
      <c r="BN337" s="184">
        <f t="shared" si="221"/>
        <v>0.15681288408561136</v>
      </c>
      <c r="BO337" s="398">
        <f t="shared" si="221"/>
        <v>0.18584967389239504</v>
      </c>
      <c r="BP337" s="184"/>
      <c r="BQ337" s="184">
        <f t="shared" ref="BQ337:BU339" si="222">BQ72/BQ$91</f>
        <v>0.19160231660231661</v>
      </c>
      <c r="BR337" s="184">
        <f t="shared" si="222"/>
        <v>0.15852682145716573</v>
      </c>
      <c r="BS337" s="184">
        <f t="shared" si="222"/>
        <v>0.14906337186129931</v>
      </c>
      <c r="BT337" s="184">
        <f t="shared" si="222"/>
        <v>0.13714657133571662</v>
      </c>
      <c r="BU337" s="398">
        <f t="shared" si="222"/>
        <v>0.15645923591965341</v>
      </c>
      <c r="BV337" s="184"/>
      <c r="BW337" s="184">
        <f t="shared" ref="BW337:CA339" si="223">BW72/BW$91</f>
        <v>0.16027088036117382</v>
      </c>
      <c r="BX337" s="184">
        <f t="shared" si="223"/>
        <v>0.14332365747460088</v>
      </c>
      <c r="BY337" s="184">
        <f t="shared" si="223"/>
        <v>0.15195602974458455</v>
      </c>
      <c r="BZ337" s="184">
        <f t="shared" si="223"/>
        <v>0.14525277435265105</v>
      </c>
      <c r="CA337" s="398">
        <f t="shared" si="223"/>
        <v>0.14926974172786533</v>
      </c>
      <c r="CB337" s="184"/>
      <c r="CC337" s="184">
        <f t="shared" ref="CC337:CG339" si="224">CC72/CC$91</f>
        <v>0.1654626762985896</v>
      </c>
      <c r="CD337" s="184">
        <f t="shared" si="224"/>
        <v>0.14908662345315263</v>
      </c>
      <c r="CE337" s="184">
        <f t="shared" si="224"/>
        <v>0.14174966047985513</v>
      </c>
      <c r="CF337" s="184">
        <f t="shared" si="224"/>
        <v>0.12801296333805956</v>
      </c>
      <c r="CG337" s="399">
        <f t="shared" si="224"/>
        <v>0.14351087162546369</v>
      </c>
      <c r="CH337" s="398"/>
      <c r="CI337" s="398">
        <f t="shared" ref="CI337:CM339" si="225">CI72/CI$91</f>
        <v>0.17481562414640808</v>
      </c>
      <c r="CJ337" s="398">
        <f t="shared" si="225"/>
        <v>0.1698292220113852</v>
      </c>
      <c r="CK337" s="398">
        <f t="shared" si="225"/>
        <v>0.15599011013710945</v>
      </c>
      <c r="CL337" s="398">
        <f t="shared" si="225"/>
        <v>0.13921468638449772</v>
      </c>
      <c r="CM337" s="399">
        <f t="shared" si="225"/>
        <v>0.15755944862430665</v>
      </c>
      <c r="CN337" s="398"/>
      <c r="CO337" s="398">
        <f t="shared" ref="CO337:CS339" si="226">CO72/CO$91</f>
        <v>0.1743958197256695</v>
      </c>
      <c r="CP337" s="398">
        <f t="shared" si="226"/>
        <v>0.16349739000745711</v>
      </c>
      <c r="CQ337" s="398">
        <f t="shared" si="226"/>
        <v>0.15695401228821448</v>
      </c>
      <c r="CR337" s="398">
        <f t="shared" si="226"/>
        <v>0.13143798928718584</v>
      </c>
      <c r="CS337" s="399">
        <f t="shared" si="226"/>
        <v>0.15383254456190013</v>
      </c>
      <c r="CT337" s="184"/>
      <c r="CU337" s="184">
        <f t="shared" ref="CU337:CY339" si="227">CU72/CU$91</f>
        <v>0.15953522685355956</v>
      </c>
      <c r="CV337" s="184">
        <f t="shared" si="227"/>
        <v>0.14805697204149815</v>
      </c>
      <c r="CW337" s="184">
        <f t="shared" si="227"/>
        <v>0.13771802325581395</v>
      </c>
      <c r="CX337" s="184">
        <f t="shared" si="227"/>
        <v>0.11364627234413603</v>
      </c>
      <c r="CY337" s="400">
        <f t="shared" si="227"/>
        <v>0.13820549927641099</v>
      </c>
      <c r="CZ337" s="184"/>
      <c r="DA337" s="184">
        <f t="shared" ref="DA337:DE339" si="228">DA72/DA$91</f>
        <v>0.13095002962670355</v>
      </c>
      <c r="DB337" s="184">
        <f t="shared" si="228"/>
        <v>0.11784741144414169</v>
      </c>
      <c r="DC337" s="184">
        <f t="shared" si="228"/>
        <v>0.10062756979008873</v>
      </c>
      <c r="DD337" s="184">
        <f t="shared" si="228"/>
        <v>7.4031772401619775E-2</v>
      </c>
      <c r="DE337" s="400">
        <f t="shared" si="228"/>
        <v>0.10057184284308721</v>
      </c>
      <c r="DF337" s="184"/>
      <c r="DG337" s="184">
        <f t="shared" ref="DG337:DK339" si="229">DG72/DG$91</f>
        <v>8.777016341591988E-2</v>
      </c>
      <c r="DH337" s="184">
        <f t="shared" si="229"/>
        <v>8.4886128364389232E-2</v>
      </c>
      <c r="DI337" s="184">
        <f t="shared" si="229"/>
        <v>8.1980242988531848E-2</v>
      </c>
      <c r="DJ337" s="184">
        <f t="shared" si="229"/>
        <v>7.2829909309642796E-2</v>
      </c>
      <c r="DK337" s="400">
        <f t="shared" si="229"/>
        <v>8.1153363978269957E-2</v>
      </c>
      <c r="DL337" s="184"/>
      <c r="DM337" s="184">
        <f t="shared" ref="DM337:DQ339" si="230">DM72/DM$91</f>
        <v>8.6618123362705399E-2</v>
      </c>
      <c r="DN337" s="184">
        <f t="shared" si="230"/>
        <v>8.4064010895471566E-2</v>
      </c>
      <c r="DO337" s="184">
        <f t="shared" si="230"/>
        <v>7.7995226662890743E-2</v>
      </c>
      <c r="DP337" s="184">
        <f t="shared" si="230"/>
        <v>6.7176253146335393E-2</v>
      </c>
      <c r="DQ337" s="400">
        <f t="shared" si="230"/>
        <v>7.8194510861033573E-2</v>
      </c>
      <c r="DR337" s="184"/>
      <c r="DS337" s="184">
        <f t="shared" ref="DS337:DW339" si="231">DS72/DS$91</f>
        <v>8.380557924229505E-2</v>
      </c>
      <c r="DT337" s="184">
        <f t="shared" si="231"/>
        <v>7.4261889608251946E-2</v>
      </c>
      <c r="DU337" s="184">
        <f t="shared" si="231"/>
        <v>6.9927536231884052E-2</v>
      </c>
      <c r="DV337" s="184">
        <f t="shared" si="231"/>
        <v>5.6672931301888517E-2</v>
      </c>
      <c r="DW337" s="400">
        <f t="shared" si="231"/>
        <v>7.0146044613856595E-2</v>
      </c>
      <c r="DX337" s="184"/>
      <c r="DY337" s="184">
        <f t="shared" ref="DY337:EC339" si="232">DY72/DY$91</f>
        <v>7.0397327287913133E-2</v>
      </c>
      <c r="DZ337" s="184">
        <f t="shared" si="232"/>
        <v>6.4231929333189705E-2</v>
      </c>
      <c r="EA337" s="184">
        <f t="shared" si="232"/>
        <v>6.2678904991948475E-2</v>
      </c>
      <c r="EB337" s="184">
        <f t="shared" si="232"/>
        <v>5.1549885219848143E-2</v>
      </c>
      <c r="EC337" s="400">
        <f t="shared" si="232"/>
        <v>6.1453413392507504E-2</v>
      </c>
      <c r="ED337" s="184"/>
      <c r="EE337" s="184">
        <f t="shared" ref="EE337:EI339" si="233">EE72/EE$91</f>
        <v>6.6051168740551225E-2</v>
      </c>
      <c r="EF337" s="184">
        <f t="shared" si="233"/>
        <v>5.9605328892589508E-2</v>
      </c>
      <c r="EG337" s="184">
        <f t="shared" si="233"/>
        <v>5.8920077137347336E-2</v>
      </c>
      <c r="EH337" s="184">
        <f t="shared" si="233"/>
        <v>4.7806198655713221E-2</v>
      </c>
      <c r="EI337" s="400">
        <f t="shared" si="233"/>
        <v>5.7582986955271476E-2</v>
      </c>
      <c r="EJ337" s="184"/>
      <c r="EK337" s="184">
        <f t="shared" ref="EK337:EO339" si="234">EK72/EK$91</f>
        <v>5.7565495207667731E-2</v>
      </c>
      <c r="EL337" s="184">
        <f t="shared" si="234"/>
        <v>5.2568474877723433E-2</v>
      </c>
      <c r="EM337" s="184">
        <f t="shared" si="234"/>
        <v>4.9197692478366979E-2</v>
      </c>
      <c r="EN337" s="184">
        <f t="shared" si="234"/>
        <v>3.9816157040392604E-2</v>
      </c>
      <c r="EO337" s="400">
        <f t="shared" si="234"/>
        <v>4.9241762689910144E-2</v>
      </c>
      <c r="EP337" s="184"/>
      <c r="EQ337" s="184">
        <f t="shared" ref="EQ337:EU339" si="235">EQ72/EQ$91</f>
        <v>4.6922616974341108E-2</v>
      </c>
      <c r="ER337" s="184">
        <f t="shared" si="235"/>
        <v>4.3256010619882733E-2</v>
      </c>
      <c r="ES337" s="184">
        <f t="shared" si="235"/>
        <v>3.9593702825102432E-2</v>
      </c>
      <c r="ET337" s="184">
        <f t="shared" si="235"/>
        <v>3.2844529750479842E-2</v>
      </c>
      <c r="EU337" s="400">
        <f t="shared" si="235"/>
        <v>4.0187340788827207E-2</v>
      </c>
      <c r="EV337" s="184"/>
      <c r="EW337" s="184">
        <f t="shared" ref="EW337:FA339" si="236">EW72/EW$91</f>
        <v>3.7585594876248365E-2</v>
      </c>
      <c r="EX337" s="184">
        <f t="shared" si="236"/>
        <v>3.6648442367601244E-2</v>
      </c>
      <c r="EY337" s="184">
        <f t="shared" si="236"/>
        <v>3.4981792144026184E-2</v>
      </c>
      <c r="EZ337" s="184">
        <f t="shared" si="236"/>
        <v>2.9706877039140819E-2</v>
      </c>
      <c r="FA337" s="400">
        <f t="shared" si="236"/>
        <v>3.4504786087878755E-2</v>
      </c>
      <c r="FB337" s="184"/>
      <c r="FC337" s="184">
        <f t="shared" ref="FC337:FG339" si="237">FC72/FC$91</f>
        <v>3.3789520070984645E-2</v>
      </c>
      <c r="FD337" s="184">
        <f t="shared" si="237"/>
        <v>3.250615254603411E-2</v>
      </c>
      <c r="FE337" s="184">
        <f t="shared" si="237"/>
        <v>3.0749880956692968E-2</v>
      </c>
      <c r="FF337" s="184">
        <f t="shared" si="237"/>
        <v>2.6319687915599153E-2</v>
      </c>
      <c r="FG337" s="400">
        <f t="shared" si="237"/>
        <v>3.0653309311997393E-2</v>
      </c>
      <c r="FH337" s="184"/>
      <c r="FI337" s="184">
        <f t="shared" ref="FI337:FM339" si="238">FI72/FI$91</f>
        <v>2.8936248673324592E-2</v>
      </c>
      <c r="FJ337" s="184">
        <f t="shared" si="238"/>
        <v>2.7852083182258867E-2</v>
      </c>
      <c r="FK337" s="184">
        <f t="shared" si="238"/>
        <v>2.6294641429140574E-2</v>
      </c>
      <c r="FL337" s="184">
        <f t="shared" si="238"/>
        <v>2.2738591993149426E-2</v>
      </c>
      <c r="FM337" s="400">
        <f t="shared" si="238"/>
        <v>2.6314525042363222E-2</v>
      </c>
      <c r="FN337" s="27"/>
      <c r="FO337" s="27"/>
      <c r="FP337" s="27"/>
      <c r="FQ337" s="27"/>
      <c r="FR337" s="27"/>
      <c r="FS337" s="27"/>
      <c r="FT337" s="27"/>
      <c r="FU337" s="27"/>
      <c r="FV337" s="27"/>
      <c r="FW337" s="27"/>
      <c r="FX337" s="27"/>
      <c r="FY337" s="27"/>
      <c r="FZ337" s="27"/>
      <c r="GA337" s="27"/>
      <c r="GB337" s="27"/>
      <c r="GC337" s="27"/>
      <c r="GD337" s="27"/>
      <c r="GE337" s="27"/>
      <c r="GF337" s="27"/>
      <c r="GH337" s="27"/>
      <c r="GI337"/>
      <c r="GJ337"/>
      <c r="GK337"/>
      <c r="GL337"/>
      <c r="GM337"/>
      <c r="GN337"/>
      <c r="GO337" s="2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</row>
    <row r="338" spans="1:281" s="24" customFormat="1" hidden="1" outlineLevel="1" x14ac:dyDescent="0.2">
      <c r="A338" s="401" t="s">
        <v>440</v>
      </c>
      <c r="B338" s="977"/>
      <c r="C338" s="402"/>
      <c r="D338" s="402"/>
      <c r="E338" s="402"/>
      <c r="F338" s="402"/>
      <c r="G338" s="184"/>
      <c r="H338" s="184"/>
      <c r="I338" s="184"/>
      <c r="J338" s="184"/>
      <c r="K338" s="184"/>
      <c r="L338" s="184"/>
      <c r="M338" s="184"/>
      <c r="N338" s="184"/>
      <c r="O338" s="184"/>
      <c r="P338" s="184"/>
      <c r="Q338" s="184"/>
      <c r="R338" s="184"/>
      <c r="S338" s="184"/>
      <c r="T338" s="402"/>
      <c r="U338" s="184"/>
      <c r="V338" s="184"/>
      <c r="W338" s="184"/>
      <c r="X338" s="184"/>
      <c r="Y338" s="184"/>
      <c r="Z338" s="184"/>
      <c r="AA338" s="184"/>
      <c r="AB338" s="184"/>
      <c r="AC338" s="184"/>
      <c r="AD338" s="184"/>
      <c r="AE338" s="184"/>
      <c r="AF338" s="184"/>
      <c r="AG338" s="184"/>
      <c r="AH338" s="184"/>
      <c r="AI338" s="184"/>
      <c r="AJ338" s="184"/>
      <c r="AK338" s="184"/>
      <c r="AL338" s="402"/>
      <c r="AM338" s="184"/>
      <c r="AN338" s="184"/>
      <c r="AO338" s="184"/>
      <c r="AP338" s="184"/>
      <c r="AQ338" s="184"/>
      <c r="AR338" s="184"/>
      <c r="AS338" s="184"/>
      <c r="AT338" s="184"/>
      <c r="AU338" s="184"/>
      <c r="AV338" s="184"/>
      <c r="AW338" s="184"/>
      <c r="AX338" s="184"/>
      <c r="AY338" s="184"/>
      <c r="AZ338" s="184"/>
      <c r="BA338" s="184"/>
      <c r="BB338" s="184"/>
      <c r="BC338" s="184">
        <f>BC73/BC$91</f>
        <v>2.5910772786973672E-2</v>
      </c>
      <c r="BD338" s="184"/>
      <c r="BE338" s="184">
        <f t="shared" si="220"/>
        <v>3.4287909123619516E-2</v>
      </c>
      <c r="BF338" s="184">
        <f t="shared" si="220"/>
        <v>3.4951985706826096E-2</v>
      </c>
      <c r="BG338" s="184">
        <f t="shared" si="220"/>
        <v>3.3225196598796448E-2</v>
      </c>
      <c r="BH338" s="184">
        <f t="shared" si="220"/>
        <v>3.0595739480551595E-2</v>
      </c>
      <c r="BI338" s="184">
        <f t="shared" si="220"/>
        <v>3.3144925152435292E-2</v>
      </c>
      <c r="BJ338" s="184"/>
      <c r="BK338" s="184">
        <f t="shared" si="221"/>
        <v>3.1558185404339252E-2</v>
      </c>
      <c r="BL338" s="184">
        <f t="shared" si="221"/>
        <v>2.7717626678215677E-2</v>
      </c>
      <c r="BM338" s="184">
        <f t="shared" si="221"/>
        <v>2.7308192457737322E-2</v>
      </c>
      <c r="BN338" s="184">
        <f t="shared" si="221"/>
        <v>2.3310023310023308E-2</v>
      </c>
      <c r="BO338" s="398">
        <f t="shared" si="221"/>
        <v>2.7122865525465945E-2</v>
      </c>
      <c r="BP338" s="184"/>
      <c r="BQ338" s="184">
        <f t="shared" si="222"/>
        <v>2.8957528957528959E-2</v>
      </c>
      <c r="BR338" s="184">
        <f t="shared" si="222"/>
        <v>2.6020816653322659E-2</v>
      </c>
      <c r="BS338" s="184">
        <f t="shared" si="222"/>
        <v>2.4711040255081706E-2</v>
      </c>
      <c r="BT338" s="184">
        <f t="shared" si="222"/>
        <v>2.3074423139421516E-2</v>
      </c>
      <c r="BU338" s="398">
        <f t="shared" si="222"/>
        <v>2.5403702244978336E-2</v>
      </c>
      <c r="BV338" s="184"/>
      <c r="BW338" s="184">
        <f t="shared" si="223"/>
        <v>3.2054176072234764E-2</v>
      </c>
      <c r="BX338" s="184">
        <f t="shared" si="223"/>
        <v>2.6124818577648767E-2</v>
      </c>
      <c r="BY338" s="184">
        <f t="shared" si="223"/>
        <v>2.4571613320400906E-2</v>
      </c>
      <c r="BZ338" s="184">
        <f t="shared" si="223"/>
        <v>1.9728729963008632E-2</v>
      </c>
      <c r="CA338" s="398">
        <f t="shared" si="223"/>
        <v>2.4672002640481888E-2</v>
      </c>
      <c r="CB338" s="184"/>
      <c r="CC338" s="184">
        <f t="shared" si="224"/>
        <v>2.8895768833849329E-2</v>
      </c>
      <c r="CD338" s="184">
        <f t="shared" si="224"/>
        <v>2.5633470830878021E-2</v>
      </c>
      <c r="CE338" s="184">
        <f t="shared" si="224"/>
        <v>2.7161611588954276E-2</v>
      </c>
      <c r="CF338" s="184">
        <f t="shared" si="224"/>
        <v>2.6331780433461616E-2</v>
      </c>
      <c r="CG338" s="399">
        <f t="shared" si="224"/>
        <v>2.6874441526089195E-2</v>
      </c>
      <c r="CH338" s="184"/>
      <c r="CI338" s="184">
        <f t="shared" si="225"/>
        <v>3.414367659109533E-2</v>
      </c>
      <c r="CJ338" s="184">
        <f t="shared" si="225"/>
        <v>3.3206831119544589E-2</v>
      </c>
      <c r="CK338" s="184">
        <f t="shared" si="225"/>
        <v>3.1917284783097327E-2</v>
      </c>
      <c r="CL338" s="184">
        <f t="shared" si="225"/>
        <v>2.5667176610572839E-2</v>
      </c>
      <c r="CM338" s="399">
        <f t="shared" si="225"/>
        <v>3.0644186940523916E-2</v>
      </c>
      <c r="CN338" s="184"/>
      <c r="CO338" s="184">
        <f t="shared" si="226"/>
        <v>3.4400174178097105E-2</v>
      </c>
      <c r="CP338" s="184">
        <f t="shared" si="226"/>
        <v>3.1133482475764356E-2</v>
      </c>
      <c r="CQ338" s="184">
        <f t="shared" si="226"/>
        <v>3.2396201824613668E-2</v>
      </c>
      <c r="CR338" s="184">
        <f t="shared" si="226"/>
        <v>2.6644691663233071E-2</v>
      </c>
      <c r="CS338" s="400">
        <f t="shared" si="226"/>
        <v>3.0651510460436109E-2</v>
      </c>
      <c r="CT338" s="184"/>
      <c r="CU338" s="184">
        <f t="shared" si="227"/>
        <v>3.5964588712652158E-2</v>
      </c>
      <c r="CV338" s="184">
        <f t="shared" si="227"/>
        <v>3.3233690873922979E-2</v>
      </c>
      <c r="CW338" s="184">
        <f t="shared" si="227"/>
        <v>3.4702034883720929E-2</v>
      </c>
      <c r="CX338" s="184">
        <f t="shared" si="227"/>
        <v>2.9646853654992006E-2</v>
      </c>
      <c r="CY338" s="400">
        <f t="shared" si="227"/>
        <v>3.3157401889844215E-2</v>
      </c>
      <c r="CZ338" s="184"/>
      <c r="DA338" s="184">
        <f t="shared" si="228"/>
        <v>3.5552044242543948E-2</v>
      </c>
      <c r="DB338" s="184">
        <f t="shared" si="228"/>
        <v>3.2016348773841963E-2</v>
      </c>
      <c r="DC338" s="184">
        <f t="shared" si="228"/>
        <v>3.2615080223822923E-2</v>
      </c>
      <c r="DD338" s="184">
        <f t="shared" si="228"/>
        <v>3.0630256463503272E-2</v>
      </c>
      <c r="DE338" s="400">
        <f t="shared" si="228"/>
        <v>3.2327984790311959E-2</v>
      </c>
      <c r="DF338" s="184"/>
      <c r="DG338" s="184">
        <f t="shared" si="229"/>
        <v>4.2303637322087508E-2</v>
      </c>
      <c r="DH338" s="184">
        <f t="shared" si="229"/>
        <v>4.0257648953301126E-2</v>
      </c>
      <c r="DI338" s="184">
        <f t="shared" si="229"/>
        <v>3.8719200635857841E-2</v>
      </c>
      <c r="DJ338" s="184">
        <f t="shared" si="229"/>
        <v>3.3962613362946509E-2</v>
      </c>
      <c r="DK338" s="400">
        <f t="shared" si="229"/>
        <v>3.841760690904026E-2</v>
      </c>
      <c r="DL338" s="184"/>
      <c r="DM338" s="184">
        <f t="shared" si="230"/>
        <v>4.6121338413908072E-2</v>
      </c>
      <c r="DN338" s="184">
        <f t="shared" si="230"/>
        <v>4.2570877312450343E-2</v>
      </c>
      <c r="DO338" s="184">
        <f t="shared" si="230"/>
        <v>3.8358308194864299E-2</v>
      </c>
      <c r="DP338" s="184">
        <f t="shared" si="230"/>
        <v>3.4449360587864304E-2</v>
      </c>
      <c r="DQ338" s="400">
        <f t="shared" si="230"/>
        <v>3.9957042138354069E-2</v>
      </c>
      <c r="DR338" s="184"/>
      <c r="DS338" s="184">
        <f t="shared" si="231"/>
        <v>2.6164240981308401E-2</v>
      </c>
      <c r="DT338" s="184">
        <f t="shared" si="231"/>
        <v>2.2878717705417759E-2</v>
      </c>
      <c r="DU338" s="184">
        <f t="shared" si="231"/>
        <v>1.7783567601505946E-2</v>
      </c>
      <c r="DV338" s="184">
        <f t="shared" si="231"/>
        <v>1.4678505980048436E-2</v>
      </c>
      <c r="DW338" s="400">
        <f t="shared" si="231"/>
        <v>1.9963109389790137E-2</v>
      </c>
      <c r="DX338" s="184"/>
      <c r="DY338" s="184">
        <f t="shared" si="232"/>
        <v>1.9050973260535935E-2</v>
      </c>
      <c r="DZ338" s="184">
        <f t="shared" si="232"/>
        <v>2.019880207958602E-2</v>
      </c>
      <c r="EA338" s="184">
        <f t="shared" si="232"/>
        <v>1.4007849332038967E-2</v>
      </c>
      <c r="EB338" s="184">
        <f t="shared" si="232"/>
        <v>1.5279494120494378E-2</v>
      </c>
      <c r="EC338" s="400">
        <f t="shared" si="232"/>
        <v>1.6987608759640019E-2</v>
      </c>
      <c r="ED338" s="184"/>
      <c r="EE338" s="184">
        <f t="shared" si="233"/>
        <v>1.7373960885588131E-2</v>
      </c>
      <c r="EF338" s="184">
        <f t="shared" si="233"/>
        <v>1.8384255432895708E-2</v>
      </c>
      <c r="EG338" s="184">
        <f t="shared" si="233"/>
        <v>1.2624729964506533E-2</v>
      </c>
      <c r="EH338" s="184">
        <f t="shared" si="233"/>
        <v>1.3845416177431201E-2</v>
      </c>
      <c r="EI338" s="400">
        <f t="shared" si="233"/>
        <v>1.5480771271162558E-2</v>
      </c>
      <c r="EJ338" s="184"/>
      <c r="EK338" s="184">
        <f t="shared" si="234"/>
        <v>1.4675553597003408E-2</v>
      </c>
      <c r="EL338" s="184">
        <f t="shared" si="234"/>
        <v>1.325255669186305E-2</v>
      </c>
      <c r="EM338" s="184">
        <f t="shared" si="234"/>
        <v>1.0056791826269985E-2</v>
      </c>
      <c r="EN338" s="184">
        <f t="shared" si="234"/>
        <v>1.1242524469844323E-2</v>
      </c>
      <c r="EO338" s="400">
        <f t="shared" si="234"/>
        <v>1.2224972724525565E-2</v>
      </c>
      <c r="EP338" s="184"/>
      <c r="EQ338" s="184">
        <f t="shared" si="235"/>
        <v>1.155524928235986E-2</v>
      </c>
      <c r="ER338" s="184">
        <f t="shared" si="235"/>
        <v>1.0531898237884491E-2</v>
      </c>
      <c r="ES338" s="184">
        <f t="shared" si="235"/>
        <v>7.6756095378203116E-3</v>
      </c>
      <c r="ET338" s="184">
        <f t="shared" si="235"/>
        <v>9.0187149454331057E-3</v>
      </c>
      <c r="EU338" s="400">
        <f t="shared" si="235"/>
        <v>9.6286570121177206E-3</v>
      </c>
      <c r="EV338" s="184"/>
      <c r="EW338" s="184">
        <f t="shared" si="236"/>
        <v>8.9059191908604923E-3</v>
      </c>
      <c r="EX338" s="184">
        <f t="shared" si="236"/>
        <v>8.5843198338525425E-3</v>
      </c>
      <c r="EY338" s="184">
        <f t="shared" si="236"/>
        <v>6.3849049870487763E-3</v>
      </c>
      <c r="EZ338" s="184">
        <f t="shared" si="236"/>
        <v>7.9091424740565797E-3</v>
      </c>
      <c r="FA338" s="400">
        <f t="shared" si="236"/>
        <v>7.9288200729861862E-3</v>
      </c>
      <c r="FB338" s="184"/>
      <c r="FC338" s="184">
        <f t="shared" si="237"/>
        <v>7.6678352607718802E-3</v>
      </c>
      <c r="FD338" s="184">
        <f t="shared" si="237"/>
        <v>7.2910996364936309E-3</v>
      </c>
      <c r="FE338" s="184">
        <f t="shared" si="237"/>
        <v>5.2370143914170237E-3</v>
      </c>
      <c r="FF338" s="184">
        <f t="shared" si="237"/>
        <v>6.7707043181189164E-3</v>
      </c>
      <c r="FG338" s="400">
        <f t="shared" si="237"/>
        <v>6.7288737111310427E-3</v>
      </c>
      <c r="FH338" s="184"/>
      <c r="FI338" s="184">
        <f t="shared" si="238"/>
        <v>6.2535491328830498E-3</v>
      </c>
      <c r="FJ338" s="184">
        <f t="shared" si="238"/>
        <v>5.9489886408708248E-3</v>
      </c>
      <c r="FK338" s="184">
        <f t="shared" si="238"/>
        <v>4.1314790944668696E-3</v>
      </c>
      <c r="FL338" s="184">
        <f t="shared" si="238"/>
        <v>5.6286792568691572E-3</v>
      </c>
      <c r="FM338" s="400">
        <f t="shared" si="238"/>
        <v>5.4846443425782656E-3</v>
      </c>
      <c r="FN338" s="27"/>
      <c r="FO338" s="27"/>
      <c r="FP338" s="27"/>
      <c r="FQ338" s="27"/>
      <c r="FR338" s="27"/>
      <c r="FS338" s="27"/>
      <c r="FT338" s="27"/>
      <c r="FU338" s="27"/>
      <c r="FV338" s="27"/>
      <c r="FW338" s="27"/>
      <c r="FX338" s="27"/>
      <c r="FY338" s="27"/>
      <c r="FZ338" s="27"/>
      <c r="GA338" s="27"/>
      <c r="GB338" s="27"/>
      <c r="GC338" s="27"/>
      <c r="GD338" s="27"/>
      <c r="GE338" s="27"/>
      <c r="GF338" s="27"/>
      <c r="GH338" s="27"/>
      <c r="GI338"/>
      <c r="GJ338"/>
      <c r="GK338"/>
      <c r="GL338"/>
      <c r="GM338"/>
      <c r="GN338"/>
      <c r="GO338" s="27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</row>
    <row r="339" spans="1:281" s="24" customFormat="1" hidden="1" outlineLevel="1" x14ac:dyDescent="0.2">
      <c r="A339" s="401" t="s">
        <v>441</v>
      </c>
      <c r="B339" s="977"/>
      <c r="C339" s="402"/>
      <c r="D339" s="402"/>
      <c r="E339" s="402"/>
      <c r="F339" s="402"/>
      <c r="G339" s="184"/>
      <c r="H339" s="184"/>
      <c r="I339" s="184"/>
      <c r="J339" s="184"/>
      <c r="K339" s="184"/>
      <c r="L339" s="184"/>
      <c r="M339" s="184"/>
      <c r="N339" s="184"/>
      <c r="O339" s="184"/>
      <c r="P339" s="184"/>
      <c r="Q339" s="184"/>
      <c r="R339" s="184"/>
      <c r="S339" s="184"/>
      <c r="T339" s="402"/>
      <c r="U339" s="184"/>
      <c r="V339" s="184"/>
      <c r="W339" s="184"/>
      <c r="X339" s="184"/>
      <c r="Y339" s="184"/>
      <c r="Z339" s="184"/>
      <c r="AA339" s="184"/>
      <c r="AB339" s="184"/>
      <c r="AC339" s="184"/>
      <c r="AD339" s="184"/>
      <c r="AE339" s="184"/>
      <c r="AF339" s="184"/>
      <c r="AG339" s="184"/>
      <c r="AH339" s="184"/>
      <c r="AI339" s="184"/>
      <c r="AJ339" s="184"/>
      <c r="AK339" s="184"/>
      <c r="AL339" s="402"/>
      <c r="AM339" s="184"/>
      <c r="AN339" s="184"/>
      <c r="AO339" s="184"/>
      <c r="AP339" s="184"/>
      <c r="AQ339" s="184"/>
      <c r="AR339" s="184"/>
      <c r="AS339" s="184"/>
      <c r="AT339" s="184"/>
      <c r="AU339" s="184"/>
      <c r="AV339" s="184"/>
      <c r="AW339" s="184"/>
      <c r="AX339" s="184"/>
      <c r="AY339" s="184">
        <f>AY74/AY$91</f>
        <v>3.8856779219507753E-2</v>
      </c>
      <c r="AZ339" s="184">
        <f>AZ74/AZ$91</f>
        <v>4.1734166961980457E-2</v>
      </c>
      <c r="BA339" s="184">
        <f>BA74/BA$91</f>
        <v>3.5463947045728181E-2</v>
      </c>
      <c r="BB339" s="184">
        <f>BB74/BB$91</f>
        <v>3.4977190044464979E-2</v>
      </c>
      <c r="BC339" s="184">
        <f>BC74/BC$91</f>
        <v>3.756286555629882E-2</v>
      </c>
      <c r="BD339" s="184"/>
      <c r="BE339" s="184">
        <f t="shared" si="220"/>
        <v>3.8903691080349044E-2</v>
      </c>
      <c r="BF339" s="184">
        <f t="shared" si="220"/>
        <v>3.6060605678705213E-2</v>
      </c>
      <c r="BG339" s="184">
        <f t="shared" si="220"/>
        <v>2.8253865407487623E-2</v>
      </c>
      <c r="BH339" s="184">
        <f t="shared" si="220"/>
        <v>2.8687290936743978E-2</v>
      </c>
      <c r="BI339" s="184">
        <f t="shared" si="220"/>
        <v>3.2793217016015952E-2</v>
      </c>
      <c r="BJ339" s="184"/>
      <c r="BK339" s="184">
        <f t="shared" si="221"/>
        <v>3.1558185404339252E-2</v>
      </c>
      <c r="BL339" s="184">
        <f t="shared" si="221"/>
        <v>3.0749242096145518E-2</v>
      </c>
      <c r="BM339" s="184">
        <f t="shared" si="221"/>
        <v>2.3407022106631991E-2</v>
      </c>
      <c r="BN339" s="184">
        <f t="shared" si="221"/>
        <v>2.4369569824115277E-2</v>
      </c>
      <c r="BO339" s="398">
        <f t="shared" si="221"/>
        <v>2.7228401967199275E-2</v>
      </c>
      <c r="BP339" s="184"/>
      <c r="BQ339" s="184">
        <f t="shared" si="222"/>
        <v>2.7027027027027029E-2</v>
      </c>
      <c r="BR339" s="184">
        <f t="shared" si="222"/>
        <v>2.722177742193755E-2</v>
      </c>
      <c r="BS339" s="184">
        <f t="shared" si="222"/>
        <v>1.9928258270227182E-2</v>
      </c>
      <c r="BT339" s="184">
        <f t="shared" si="222"/>
        <v>2.1124471888202795E-2</v>
      </c>
      <c r="BU339" s="398">
        <f t="shared" si="222"/>
        <v>2.3532886963371406E-2</v>
      </c>
      <c r="BV339" s="184"/>
      <c r="BW339" s="184">
        <f t="shared" si="223"/>
        <v>2.2573363431151242E-2</v>
      </c>
      <c r="BX339" s="184">
        <f t="shared" si="223"/>
        <v>2.3947750362844702E-2</v>
      </c>
      <c r="BY339" s="184">
        <f t="shared" si="223"/>
        <v>2.1985127707727127E-2</v>
      </c>
      <c r="BZ339" s="184">
        <f t="shared" si="223"/>
        <v>2.1208384710234278E-2</v>
      </c>
      <c r="CA339" s="398">
        <f t="shared" si="223"/>
        <v>2.2279065929532139E-2</v>
      </c>
      <c r="CB339" s="184"/>
      <c r="CC339" s="184">
        <f t="shared" si="224"/>
        <v>2.4767801857585141E-2</v>
      </c>
      <c r="CD339" s="184">
        <f t="shared" si="224"/>
        <v>2.4160282852091926E-2</v>
      </c>
      <c r="CE339" s="184">
        <f t="shared" si="224"/>
        <v>2.0937075599818923E-2</v>
      </c>
      <c r="CF339" s="184">
        <f t="shared" si="224"/>
        <v>1.9242454932145027E-2</v>
      </c>
      <c r="CG339" s="399">
        <f t="shared" si="224"/>
        <v>2.1865099780672064E-2</v>
      </c>
      <c r="CH339" s="184"/>
      <c r="CI339" s="184">
        <f t="shared" si="225"/>
        <v>2.2125102431029772E-2</v>
      </c>
      <c r="CJ339" s="184">
        <f t="shared" si="225"/>
        <v>2.2058823529411766E-2</v>
      </c>
      <c r="CK339" s="184">
        <f t="shared" si="225"/>
        <v>1.7981568891885819E-2</v>
      </c>
      <c r="CL339" s="184">
        <f t="shared" si="225"/>
        <v>1.7848036715961243E-2</v>
      </c>
      <c r="CM339" s="399">
        <f t="shared" si="225"/>
        <v>1.971552528969191E-2</v>
      </c>
      <c r="CN339" s="184"/>
      <c r="CO339" s="184">
        <f t="shared" si="226"/>
        <v>2.1772262138036142E-2</v>
      </c>
      <c r="CP339" s="184">
        <f t="shared" si="226"/>
        <v>2.0507084265473527E-2</v>
      </c>
      <c r="CQ339" s="184">
        <f t="shared" si="226"/>
        <v>1.7129026252094583E-2</v>
      </c>
      <c r="CR339" s="184">
        <f t="shared" si="226"/>
        <v>1.5657189946435928E-2</v>
      </c>
      <c r="CS339" s="400">
        <f t="shared" si="226"/>
        <v>1.8399752311026581E-2</v>
      </c>
      <c r="CT339" s="184"/>
      <c r="CU339" s="184">
        <f t="shared" si="227"/>
        <v>1.8258945038731097E-2</v>
      </c>
      <c r="CV339" s="184">
        <f t="shared" si="227"/>
        <v>1.7583963425356074E-2</v>
      </c>
      <c r="CW339" s="184">
        <f t="shared" si="227"/>
        <v>1.2899709302325582E-2</v>
      </c>
      <c r="CX339" s="184">
        <f t="shared" si="227"/>
        <v>1.1480889405609649E-2</v>
      </c>
      <c r="CY339" s="400">
        <f t="shared" si="227"/>
        <v>1.4854856559121478E-2</v>
      </c>
      <c r="CZ339" s="184"/>
      <c r="DA339" s="184">
        <f t="shared" si="228"/>
        <v>1.3035749555599448E-2</v>
      </c>
      <c r="DB339" s="184">
        <f t="shared" si="228"/>
        <v>1.3283378746594006E-2</v>
      </c>
      <c r="DC339" s="184">
        <f t="shared" si="228"/>
        <v>1.0665594954709865E-2</v>
      </c>
      <c r="DD339" s="184">
        <f t="shared" si="228"/>
        <v>1.0383137784238397E-2</v>
      </c>
      <c r="DE339" s="400">
        <f t="shared" si="228"/>
        <v>1.1577413317354283E-2</v>
      </c>
      <c r="DF339" s="184"/>
      <c r="DG339" s="184">
        <f t="shared" si="229"/>
        <v>1.0674749604638904E-2</v>
      </c>
      <c r="DH339" s="184">
        <f t="shared" si="229"/>
        <v>1.1157119852772027E-2</v>
      </c>
      <c r="DI339" s="184">
        <f t="shared" si="229"/>
        <v>9.4243215623935513E-3</v>
      </c>
      <c r="DJ339" s="184">
        <f t="shared" si="229"/>
        <v>8.6988709975939285E-3</v>
      </c>
      <c r="DK339" s="400">
        <f t="shared" si="229"/>
        <v>9.8899568184983976E-3</v>
      </c>
      <c r="DL339" s="184"/>
      <c r="DM339" s="184">
        <f t="shared" si="230"/>
        <v>7.770183376994525E-3</v>
      </c>
      <c r="DN339" s="184">
        <f t="shared" si="230"/>
        <v>7.2886165020996513E-3</v>
      </c>
      <c r="DO339" s="184">
        <f t="shared" si="230"/>
        <v>9.5895770487160747E-3</v>
      </c>
      <c r="DP339" s="184">
        <f t="shared" si="230"/>
        <v>8.1590590865994392E-3</v>
      </c>
      <c r="DQ339" s="400">
        <f t="shared" si="230"/>
        <v>8.2135596103036015E-3</v>
      </c>
      <c r="DR339" s="184"/>
      <c r="DS339" s="184">
        <f t="shared" si="231"/>
        <v>7.1628700207089788E-3</v>
      </c>
      <c r="DT339" s="184">
        <f t="shared" si="231"/>
        <v>6.5333040711072097E-3</v>
      </c>
      <c r="DU339" s="184">
        <f t="shared" si="231"/>
        <v>6.4548494983277587E-3</v>
      </c>
      <c r="DV339" s="184">
        <f t="shared" si="231"/>
        <v>6.0107654411093881E-3</v>
      </c>
      <c r="DW339" s="400">
        <f t="shared" si="231"/>
        <v>6.499396021796903E-3</v>
      </c>
      <c r="DX339" s="184"/>
      <c r="DY339" s="184">
        <f t="shared" si="232"/>
        <v>5.6317861830330511E-3</v>
      </c>
      <c r="DZ339" s="184">
        <f t="shared" si="232"/>
        <v>5.0576322309598193E-3</v>
      </c>
      <c r="EA339" s="184">
        <f t="shared" si="232"/>
        <v>5.0547504025764897E-3</v>
      </c>
      <c r="EB339" s="184">
        <f t="shared" si="232"/>
        <v>4.1572488080522689E-3</v>
      </c>
      <c r="EC339" s="400">
        <f t="shared" si="232"/>
        <v>4.9163294609058878E-3</v>
      </c>
      <c r="ED339" s="184"/>
      <c r="EE339" s="184">
        <f t="shared" si="233"/>
        <v>5.2404233050354701E-3</v>
      </c>
      <c r="EF339" s="184">
        <f t="shared" si="233"/>
        <v>4.6521232306411323E-3</v>
      </c>
      <c r="EG339" s="184">
        <f t="shared" si="233"/>
        <v>4.7136061709877877E-3</v>
      </c>
      <c r="EH339" s="184">
        <f t="shared" si="233"/>
        <v>3.8244958924570577E-3</v>
      </c>
      <c r="EI339" s="400">
        <f t="shared" si="233"/>
        <v>4.5676103834993336E-3</v>
      </c>
      <c r="EJ339" s="184"/>
      <c r="EK339" s="184">
        <f t="shared" si="234"/>
        <v>4.5265175718849845E-3</v>
      </c>
      <c r="EL339" s="184">
        <f t="shared" si="234"/>
        <v>4.0641173855046698E-3</v>
      </c>
      <c r="EM339" s="184">
        <f t="shared" si="234"/>
        <v>3.9018859551808306E-3</v>
      </c>
      <c r="EN339" s="184">
        <f t="shared" si="234"/>
        <v>3.1578331445828623E-3</v>
      </c>
      <c r="EO339" s="400">
        <f t="shared" si="234"/>
        <v>3.8709663491378159E-3</v>
      </c>
      <c r="EP339" s="184"/>
      <c r="EQ339" s="184">
        <f t="shared" si="235"/>
        <v>3.6541507024265654E-3</v>
      </c>
      <c r="ER339" s="184">
        <f t="shared" si="235"/>
        <v>3.3100251604779841E-3</v>
      </c>
      <c r="ES339" s="184">
        <f t="shared" si="235"/>
        <v>3.1109337934009064E-3</v>
      </c>
      <c r="ET339" s="184">
        <f t="shared" si="235"/>
        <v>2.5806416232519885E-3</v>
      </c>
      <c r="EU339" s="400">
        <f t="shared" si="235"/>
        <v>3.128943172924642E-3</v>
      </c>
      <c r="EV339" s="184"/>
      <c r="EW339" s="184">
        <f t="shared" si="236"/>
        <v>2.8965045592705178E-3</v>
      </c>
      <c r="EX339" s="184">
        <f t="shared" si="236"/>
        <v>2.7733956386292846E-3</v>
      </c>
      <c r="EY339" s="184">
        <f t="shared" si="236"/>
        <v>2.7208060556464819E-3</v>
      </c>
      <c r="EZ339" s="184">
        <f t="shared" si="236"/>
        <v>2.310534880822065E-3</v>
      </c>
      <c r="FA339" s="400">
        <f t="shared" si="236"/>
        <v>2.6588625235089806E-3</v>
      </c>
      <c r="FB339" s="184"/>
      <c r="FC339" s="184">
        <f t="shared" si="237"/>
        <v>2.5744396244559748E-3</v>
      </c>
      <c r="FD339" s="184">
        <f t="shared" si="237"/>
        <v>2.4303665454978784E-3</v>
      </c>
      <c r="FE339" s="184">
        <f t="shared" si="237"/>
        <v>2.3653754582071531E-3</v>
      </c>
      <c r="FF339" s="184">
        <f t="shared" si="237"/>
        <v>2.024591378123013E-3</v>
      </c>
      <c r="FG339" s="400">
        <f t="shared" si="237"/>
        <v>2.3351278948552561E-3</v>
      </c>
      <c r="FH339" s="184"/>
      <c r="FI339" s="184">
        <f t="shared" si="238"/>
        <v>2.177381088289773E-3</v>
      </c>
      <c r="FJ339" s="184">
        <f t="shared" si="238"/>
        <v>2.0551051668462866E-3</v>
      </c>
      <c r="FK339" s="184">
        <f t="shared" si="238"/>
        <v>1.9983927486146853E-3</v>
      </c>
      <c r="FL339" s="184">
        <f t="shared" si="238"/>
        <v>1.7281329914793577E-3</v>
      </c>
      <c r="FM339" s="400">
        <f t="shared" si="238"/>
        <v>1.979759670808968E-3</v>
      </c>
      <c r="FN339" s="27"/>
      <c r="FO339" s="27"/>
      <c r="FP339" s="27"/>
      <c r="FQ339" s="27"/>
      <c r="FR339" s="27"/>
      <c r="FS339" s="27"/>
      <c r="FT339" s="27"/>
      <c r="FU339" s="27"/>
      <c r="FV339" s="27"/>
      <c r="FW339" s="27"/>
      <c r="FX339" s="27"/>
      <c r="FY339" s="27"/>
      <c r="FZ339" s="27"/>
      <c r="GA339" s="27"/>
      <c r="GB339" s="27"/>
      <c r="GC339" s="27"/>
      <c r="GD339" s="27"/>
      <c r="GE339" s="27"/>
      <c r="GF339" s="27"/>
      <c r="GH339" s="27"/>
      <c r="GI339"/>
      <c r="GJ339"/>
      <c r="GK339"/>
      <c r="GL339"/>
      <c r="GM339"/>
      <c r="GN339"/>
      <c r="GO339" s="27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</row>
    <row r="340" spans="1:281" s="28" customFormat="1" ht="5.25" customHeight="1" collapsed="1" x14ac:dyDescent="0.2">
      <c r="A340" s="18"/>
      <c r="B340" s="414"/>
      <c r="CG340" s="416"/>
      <c r="CM340" s="416"/>
      <c r="CS340" s="416"/>
      <c r="CY340" s="416"/>
      <c r="DE340" s="416"/>
      <c r="DK340" s="975"/>
      <c r="DQ340" s="975"/>
      <c r="DW340" s="975"/>
      <c r="EC340" s="975"/>
      <c r="EI340" s="975"/>
      <c r="EO340" s="975"/>
      <c r="EU340" s="975"/>
      <c r="FA340" s="975"/>
      <c r="FG340" s="975"/>
      <c r="FM340" s="975"/>
      <c r="GI340"/>
      <c r="GJ340"/>
      <c r="GK340"/>
      <c r="GL340"/>
      <c r="GM340"/>
      <c r="GN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</row>
    <row r="341" spans="1:281" s="24" customFormat="1" x14ac:dyDescent="0.2">
      <c r="A341" s="342" t="s">
        <v>86</v>
      </c>
      <c r="B341" s="976"/>
      <c r="C341" s="94" t="s">
        <v>945</v>
      </c>
      <c r="D341" s="94" t="s">
        <v>945</v>
      </c>
      <c r="E341" s="94" t="s">
        <v>945</v>
      </c>
      <c r="F341" s="94" t="s">
        <v>945</v>
      </c>
      <c r="G341" s="94" t="s">
        <v>945</v>
      </c>
      <c r="H341" s="94" t="s">
        <v>945</v>
      </c>
      <c r="I341" s="94" t="s">
        <v>945</v>
      </c>
      <c r="J341" s="94" t="s">
        <v>945</v>
      </c>
      <c r="K341" s="94" t="s">
        <v>945</v>
      </c>
      <c r="L341" s="94" t="s">
        <v>945</v>
      </c>
      <c r="M341" s="94" t="s">
        <v>945</v>
      </c>
      <c r="N341" s="49"/>
      <c r="O341" s="94" t="s">
        <v>945</v>
      </c>
      <c r="P341" s="94" t="s">
        <v>945</v>
      </c>
      <c r="Q341" s="94" t="s">
        <v>945</v>
      </c>
      <c r="R341" s="94" t="s">
        <v>945</v>
      </c>
      <c r="S341" s="94" t="s">
        <v>945</v>
      </c>
      <c r="T341" s="49"/>
      <c r="U341" s="94" t="s">
        <v>945</v>
      </c>
      <c r="V341" s="94" t="s">
        <v>945</v>
      </c>
      <c r="W341" s="94" t="s">
        <v>945</v>
      </c>
      <c r="X341" s="94" t="s">
        <v>945</v>
      </c>
      <c r="Y341" s="94" t="s">
        <v>945</v>
      </c>
      <c r="Z341" s="49"/>
      <c r="AA341" s="94" t="s">
        <v>945</v>
      </c>
      <c r="AB341" s="94" t="s">
        <v>945</v>
      </c>
      <c r="AC341" s="94" t="s">
        <v>945</v>
      </c>
      <c r="AD341" s="94" t="s">
        <v>945</v>
      </c>
      <c r="AE341" s="94" t="s">
        <v>945</v>
      </c>
      <c r="AF341" s="49"/>
      <c r="AG341" s="94" t="s">
        <v>945</v>
      </c>
      <c r="AH341" s="94" t="s">
        <v>945</v>
      </c>
      <c r="AI341" s="94" t="s">
        <v>945</v>
      </c>
      <c r="AJ341" s="94" t="s">
        <v>945</v>
      </c>
      <c r="AK341" s="94" t="s">
        <v>945</v>
      </c>
      <c r="AL341" s="49"/>
      <c r="AM341" s="94" t="s">
        <v>945</v>
      </c>
      <c r="AN341" s="94" t="s">
        <v>945</v>
      </c>
      <c r="AO341" s="94" t="s">
        <v>945</v>
      </c>
      <c r="AP341" s="94" t="s">
        <v>945</v>
      </c>
      <c r="AQ341" s="94" t="s">
        <v>945</v>
      </c>
      <c r="AR341" s="49"/>
      <c r="AS341" s="94" t="s">
        <v>945</v>
      </c>
      <c r="AT341" s="94" t="s">
        <v>945</v>
      </c>
      <c r="AU341" s="94" t="s">
        <v>945</v>
      </c>
      <c r="AV341" s="94" t="s">
        <v>945</v>
      </c>
      <c r="AW341" s="94" t="s">
        <v>945</v>
      </c>
      <c r="AX341" s="49"/>
      <c r="AY341" s="94" t="s">
        <v>945</v>
      </c>
      <c r="AZ341" s="94" t="s">
        <v>945</v>
      </c>
      <c r="BA341" s="94" t="s">
        <v>945</v>
      </c>
      <c r="BB341" s="94" t="s">
        <v>945</v>
      </c>
      <c r="BC341" s="94" t="s">
        <v>945</v>
      </c>
      <c r="BD341" s="49"/>
      <c r="BE341" s="845">
        <f>BE104/BE$91</f>
        <v>5.1460119069956366E-2</v>
      </c>
      <c r="BF341" s="845">
        <f>BF104/BF$91</f>
        <v>4.9014109594162754E-2</v>
      </c>
      <c r="BG341" s="845">
        <f>BG104/BG$91</f>
        <v>5.0013313688246679E-2</v>
      </c>
      <c r="BH341" s="845">
        <f>BH104/BH$91</f>
        <v>4.1688821949393308E-2</v>
      </c>
      <c r="BI341" s="845">
        <f>BI104/BI$91</f>
        <v>4.7718895669534134E-2</v>
      </c>
      <c r="BJ341" s="49"/>
      <c r="BK341" s="845">
        <f>BK104/BK$91</f>
        <v>5.7692307692307696E-2</v>
      </c>
      <c r="BL341" s="845">
        <f>BL104/BL$91</f>
        <v>5.0671286271113038E-2</v>
      </c>
      <c r="BM341" s="845">
        <f>BM104/BM$91</f>
        <v>5.2015604681404419E-2</v>
      </c>
      <c r="BN341" s="845">
        <f>BN104/BN$91</f>
        <v>4.2381860563678743E-2</v>
      </c>
      <c r="BO341" s="845">
        <f>BO104/BO$91</f>
        <v>5.002427338159867E-2</v>
      </c>
      <c r="BP341" s="49"/>
      <c r="BQ341" s="845">
        <f>BQ104/BQ$91</f>
        <v>5.8397683397683399E-2</v>
      </c>
      <c r="BR341" s="845">
        <f>BR104/BR$91</f>
        <v>5.7245796637309845E-2</v>
      </c>
      <c r="BS341" s="845">
        <f>BS104/BS$91</f>
        <v>5.6994818652849742E-2</v>
      </c>
      <c r="BT341" s="845">
        <f>BT104/BT$91</f>
        <v>4.5498862528436788E-2</v>
      </c>
      <c r="BU341" s="845">
        <f>BU104/BU$91</f>
        <v>5.3859787317841669E-2</v>
      </c>
      <c r="BV341" s="49"/>
      <c r="BW341" s="845">
        <f>BW104/BW$91</f>
        <v>6.1399548532731378E-2</v>
      </c>
      <c r="BX341" s="845">
        <f>BX104/BX$91</f>
        <v>5.11611030478955E-2</v>
      </c>
      <c r="BY341" s="845">
        <f>BY104/BY$91</f>
        <v>5.1729712253475592E-2</v>
      </c>
      <c r="BZ341" s="845">
        <f>BZ104/BZ$91</f>
        <v>4.4143033292231813E-2</v>
      </c>
      <c r="CA341" s="845">
        <f>CA104/CA$91</f>
        <v>5.0829276342932585E-2</v>
      </c>
      <c r="CB341" s="49"/>
      <c r="CC341" s="845">
        <f>CC104/CC$91</f>
        <v>5.5039559683522532E-2</v>
      </c>
      <c r="CD341" s="845">
        <f>CD104/CD$91</f>
        <v>5.1561579257513257E-2</v>
      </c>
      <c r="CE341" s="845">
        <f>CE104/CE$91</f>
        <v>5.0079221367134448E-2</v>
      </c>
      <c r="CF341" s="845">
        <f>CF104/CF$91</f>
        <v>4.1523192221997164E-2</v>
      </c>
      <c r="CG341" s="404">
        <f>CG104/CG$91</f>
        <v>4.8536459884649753E-2</v>
      </c>
      <c r="CH341" s="49"/>
      <c r="CI341" s="845">
        <f>CI104/CI$91</f>
        <v>5.3810434307566241E-2</v>
      </c>
      <c r="CJ341" s="845">
        <f>CJ104/CJ$91</f>
        <v>4.7912713472485768E-2</v>
      </c>
      <c r="CK341" s="845">
        <f>CK104/CK$91</f>
        <v>4.652730950775455E-2</v>
      </c>
      <c r="CL341" s="845">
        <f>CL104/CL$91</f>
        <v>3.8415774264830865E-2</v>
      </c>
      <c r="CM341" s="404">
        <f>CM104/CM$91</f>
        <v>4.5691690922071503E-2</v>
      </c>
      <c r="CN341" s="49"/>
      <c r="CO341" s="845">
        <f>CO104/CO$91</f>
        <v>4.8769867189200955E-2</v>
      </c>
      <c r="CP341" s="845">
        <f>CP104/CP$91</f>
        <v>4.5302013422818789E-2</v>
      </c>
      <c r="CQ341" s="845">
        <f>CQ104/CQ$91</f>
        <v>4.71048221932601E-2</v>
      </c>
      <c r="CR341" s="845">
        <f>CR104/CR$91</f>
        <v>3.6670786979810466E-2</v>
      </c>
      <c r="CS341" s="404">
        <f>CS104/CS$91</f>
        <v>4.3655181564863553E-2</v>
      </c>
      <c r="CT341" s="49"/>
      <c r="CU341" s="845">
        <f>CU104/CU$91</f>
        <v>5.1457026927333088E-2</v>
      </c>
      <c r="CV341" s="845">
        <f>CV104/CV$91</f>
        <v>4.4663267100404434E-2</v>
      </c>
      <c r="CW341" s="845">
        <f>CW104/CW$91</f>
        <v>4.5966569767441859E-2</v>
      </c>
      <c r="CX341" s="845">
        <f>CX104/CX$91</f>
        <v>4.1999709344572013E-2</v>
      </c>
      <c r="CY341" s="404">
        <f>CY104/CY$91</f>
        <v>4.5756363326806847E-2</v>
      </c>
      <c r="CZ341" s="49"/>
      <c r="DA341" s="845">
        <f>DA104/DA$91</f>
        <v>4.3847521232470869E-2</v>
      </c>
      <c r="DB341" s="845">
        <f>DB104/DB$91</f>
        <v>4.4277929155313353E-2</v>
      </c>
      <c r="DC341" s="845">
        <f>DC104/DC$91</f>
        <v>4.2816953658762792E-2</v>
      </c>
      <c r="DD341" s="845">
        <f>DD104/DD$91</f>
        <v>2.9799605440764199E-2</v>
      </c>
      <c r="DE341" s="404">
        <f>DE104/DE$91</f>
        <v>3.8690013833714315E-2</v>
      </c>
      <c r="DF341" s="49"/>
      <c r="DG341" s="845">
        <f>DG104/DG$91</f>
        <v>3.9931470743278859E-2</v>
      </c>
      <c r="DH341" s="845">
        <f>DH104/DH$91</f>
        <v>3.4966643662295835E-2</v>
      </c>
      <c r="DI341" s="845">
        <f>DI104/DI$91</f>
        <v>3.3496082661519246E-2</v>
      </c>
      <c r="DJ341" s="845">
        <f>DJ104/DJ$91</f>
        <v>3.2111789746437164E-2</v>
      </c>
      <c r="DK341" s="404">
        <f>DK104/DK$91</f>
        <v>3.4795932581139437E-2</v>
      </c>
      <c r="DL341" s="49"/>
      <c r="DM341" s="845">
        <f>DM104/DM$91</f>
        <v>3.4889259347463682E-2</v>
      </c>
      <c r="DN341" s="845">
        <f>DN104/DN$91</f>
        <v>3.3253887186471459E-2</v>
      </c>
      <c r="DO341" s="845">
        <f>DO104/DO$91</f>
        <v>3.3104035655606448E-2</v>
      </c>
      <c r="DP341" s="845">
        <f>DP104/DP$91</f>
        <v>2.9405963823523049E-2</v>
      </c>
      <c r="DQ341" s="404">
        <f>DQ104/DQ$91</f>
        <v>3.2454362013884394E-2</v>
      </c>
      <c r="DR341" s="49"/>
      <c r="DS341" s="845">
        <f>DS104/DS$91</f>
        <v>3.3865269825800952E-2</v>
      </c>
      <c r="DT341" s="845">
        <f>DT104/DT$91</f>
        <v>2.9079337210578295E-2</v>
      </c>
      <c r="DU341" s="845">
        <f>DU104/DU$91</f>
        <v>3.3556298773690076E-2</v>
      </c>
      <c r="DV341" s="845">
        <f>DV104/DV$91</f>
        <v>4.4156555058844998E-2</v>
      </c>
      <c r="DW341" s="404">
        <f>DW104/DW$91</f>
        <v>3.5648135720613108E-2</v>
      </c>
      <c r="DX341" s="49"/>
      <c r="DY341" s="845">
        <f>DY104/DY$91</f>
        <v>5.4050829256651951E-2</v>
      </c>
      <c r="DZ341" s="845">
        <f>DZ104/DZ$91</f>
        <v>4.922977485726597E-2</v>
      </c>
      <c r="EA341" s="845">
        <f>EA104/EA$91</f>
        <v>4.9919484702093397E-2</v>
      </c>
      <c r="EB341" s="845">
        <f>EB104/EB$91</f>
        <v>4.5382306198128199E-2</v>
      </c>
      <c r="EC341" s="404">
        <f>EC104/EC$91</f>
        <v>4.9314710873254147E-2</v>
      </c>
      <c r="ED341" s="49"/>
      <c r="EE341" s="845">
        <f>EE104/EE$91</f>
        <v>5.7215955343644612E-2</v>
      </c>
      <c r="EF341" s="845">
        <f>EF104/EF$91</f>
        <v>5.6203164029975022E-2</v>
      </c>
      <c r="EG341" s="845">
        <f>EG104/EG$91</f>
        <v>6.2245553889007925E-2</v>
      </c>
      <c r="EH341" s="845">
        <f>EH104/EH$91</f>
        <v>6.2266616878267365E-2</v>
      </c>
      <c r="EI341" s="404">
        <f>EI104/EI$91</f>
        <v>5.9603168378950667E-2</v>
      </c>
      <c r="EJ341" s="49"/>
      <c r="EK341" s="845">
        <f>EK104/EK$91</f>
        <v>7.6322328718494856E-2</v>
      </c>
      <c r="EL341" s="845">
        <f>EL104/EL$91</f>
        <v>7.2587816807469993E-2</v>
      </c>
      <c r="EM341" s="845">
        <f>EM104/EM$91</f>
        <v>7.3441313512314171E-2</v>
      </c>
      <c r="EN341" s="845">
        <f>EN104/EN$91</f>
        <v>6.2287655719139301E-2</v>
      </c>
      <c r="EO341" s="404">
        <f>EO104/EO$91</f>
        <v>7.070189168038428E-2</v>
      </c>
      <c r="EP341" s="49"/>
      <c r="EQ341" s="845">
        <f>EQ104/EQ$91</f>
        <v>7.8718216649251133E-2</v>
      </c>
      <c r="ER341" s="845">
        <f>ER104/ER$91</f>
        <v>7.7289636573323731E-2</v>
      </c>
      <c r="ES341" s="845">
        <f>ES104/ES$91</f>
        <v>8.216519301272375E-2</v>
      </c>
      <c r="ET341" s="845">
        <f>ET104/ET$91</f>
        <v>7.5038844712549124E-2</v>
      </c>
      <c r="EU341" s="404">
        <f>EU104/EU$91</f>
        <v>7.798082104017702E-2</v>
      </c>
      <c r="EV341" s="49"/>
      <c r="EW341" s="845">
        <f>EW104/EW$91</f>
        <v>9.1185410334346503E-2</v>
      </c>
      <c r="EX341" s="845">
        <f>EX104/EX$91</f>
        <v>9.075804776739356E-2</v>
      </c>
      <c r="EY341" s="845">
        <f>EY104/EY$91</f>
        <v>8.9504909983633391E-2</v>
      </c>
      <c r="EZ341" s="845">
        <f>EZ104/EZ$91</f>
        <v>8.5515072993384011E-2</v>
      </c>
      <c r="FA341" s="404">
        <f>FA104/FA$91</f>
        <v>8.9075432883401931E-2</v>
      </c>
      <c r="FB341" s="49"/>
      <c r="FC341" s="845">
        <f>FC104/FC$91</f>
        <v>0.10101304607925787</v>
      </c>
      <c r="FD341" s="845">
        <f>FD104/FD$91</f>
        <v>9.8457215952030455E-2</v>
      </c>
      <c r="FE341" s="845">
        <f>FE104/FE$91</f>
        <v>9.5187914174827623E-2</v>
      </c>
      <c r="FF341" s="845">
        <f>FF104/FF$91</f>
        <v>8.9894496218687725E-2</v>
      </c>
      <c r="FG341" s="404">
        <f>FG104/FG$91</f>
        <v>9.5867885011362508E-2</v>
      </c>
      <c r="FH341" s="49"/>
      <c r="FI341" s="845">
        <f>FI104/FI$91</f>
        <v>0.10484702210147699</v>
      </c>
      <c r="FJ341" s="845">
        <f>FJ104/FJ$91</f>
        <v>0.10252972329501903</v>
      </c>
      <c r="FK341" s="845">
        <f>FK104/FK$91</f>
        <v>9.9571090687933433E-2</v>
      </c>
      <c r="FL341" s="845">
        <f>FL104/FL$91</f>
        <v>9.4930448872595372E-2</v>
      </c>
      <c r="FM341" s="404">
        <f>FM104/FM$91</f>
        <v>0.10025165938910864</v>
      </c>
      <c r="FN341" s="27"/>
      <c r="FO341" s="27"/>
      <c r="FP341" s="27"/>
      <c r="FQ341" s="27"/>
      <c r="FR341" s="27"/>
      <c r="FS341" s="27"/>
      <c r="FT341" s="27"/>
      <c r="FU341" s="27"/>
      <c r="FV341" s="27"/>
      <c r="FW341" s="27"/>
      <c r="FX341" s="27"/>
      <c r="FY341" s="27"/>
      <c r="FZ341" s="27"/>
      <c r="GA341" s="27"/>
      <c r="GB341" s="27"/>
      <c r="GC341" s="27"/>
      <c r="GD341" s="27"/>
      <c r="GE341" s="27"/>
      <c r="GF341" s="27"/>
      <c r="GH341" s="27"/>
      <c r="GI341"/>
      <c r="GJ341"/>
      <c r="GK341"/>
      <c r="GL341"/>
      <c r="GM341"/>
      <c r="GN341"/>
      <c r="GO341" s="27"/>
    </row>
    <row r="342" spans="1:281" s="24" customFormat="1" x14ac:dyDescent="0.2">
      <c r="A342" s="342" t="s">
        <v>871</v>
      </c>
      <c r="B342" s="976"/>
      <c r="C342" s="94" t="s">
        <v>945</v>
      </c>
      <c r="D342" s="94" t="s">
        <v>945</v>
      </c>
      <c r="E342" s="94" t="s">
        <v>945</v>
      </c>
      <c r="F342" s="94" t="s">
        <v>945</v>
      </c>
      <c r="G342" s="845">
        <f t="shared" ref="G342:M342" si="239">G138/G$91</f>
        <v>0.18163289178449771</v>
      </c>
      <c r="H342" s="845">
        <f t="shared" si="239"/>
        <v>0.17298218568002741</v>
      </c>
      <c r="I342" s="845">
        <f t="shared" si="239"/>
        <v>0.17506520149717913</v>
      </c>
      <c r="J342" s="845">
        <f t="shared" si="239"/>
        <v>0.25918601020089516</v>
      </c>
      <c r="K342" s="845">
        <f t="shared" si="239"/>
        <v>0.23881424936386769</v>
      </c>
      <c r="L342" s="845">
        <f t="shared" si="239"/>
        <v>0.23062741184298069</v>
      </c>
      <c r="M342" s="845">
        <f t="shared" si="239"/>
        <v>0.24946343272133431</v>
      </c>
      <c r="N342" s="49"/>
      <c r="O342" s="845">
        <f>O138/O$91</f>
        <v>0.28127639386566128</v>
      </c>
      <c r="P342" s="845">
        <f>P138/P$91</f>
        <v>0.27985021185176345</v>
      </c>
      <c r="Q342" s="845">
        <f>Q138/Q$91</f>
        <v>0.27232171908424424</v>
      </c>
      <c r="R342" s="845">
        <f>R138/R$91</f>
        <v>0.23404353562653321</v>
      </c>
      <c r="S342" s="845">
        <f>S138/S$91</f>
        <v>0.26256961020978958</v>
      </c>
      <c r="T342" s="49"/>
      <c r="U342" s="845">
        <f>U138/U$91</f>
        <v>0.29995866820937467</v>
      </c>
      <c r="V342" s="845">
        <f>V138/V$91</f>
        <v>0.26413857290589454</v>
      </c>
      <c r="W342" s="845">
        <f>W138/W$91</f>
        <v>0.2811527495028126</v>
      </c>
      <c r="X342" s="845">
        <f>X138/X$91</f>
        <v>0.22009748141145871</v>
      </c>
      <c r="Y342" s="845">
        <f>Y138/Y$91</f>
        <v>0.25952708852894402</v>
      </c>
      <c r="Z342" s="49"/>
      <c r="AA342" s="845">
        <f>AA138/AA$91</f>
        <v>0.31939649478912768</v>
      </c>
      <c r="AB342" s="845">
        <f>AB138/AB$91</f>
        <v>0.28785326524184957</v>
      </c>
      <c r="AC342" s="845">
        <f>AC138/AC$91</f>
        <v>0.29246480981893658</v>
      </c>
      <c r="AD342" s="845">
        <f>AD138/AD$91</f>
        <v>0.2235257036463999</v>
      </c>
      <c r="AE342" s="845">
        <f>AE138/AE$91</f>
        <v>0.27276114571693161</v>
      </c>
      <c r="AF342" s="49"/>
      <c r="AG342" s="845">
        <f>AG138/AG$91</f>
        <v>0.34202032687817607</v>
      </c>
      <c r="AH342" s="845">
        <f>AH138/AH$91</f>
        <v>0.33997757985086696</v>
      </c>
      <c r="AI342" s="845">
        <f>AI138/AI$91</f>
        <v>0.33532274638500376</v>
      </c>
      <c r="AJ342" s="845">
        <f>AJ138/AJ$91</f>
        <v>0.27788487962751496</v>
      </c>
      <c r="AK342" s="845">
        <f>AK138/AK$91</f>
        <v>0.31826021348387745</v>
      </c>
      <c r="AL342" s="49"/>
      <c r="AM342" s="845">
        <f>AM138/AM$91</f>
        <v>0.38836322472571766</v>
      </c>
      <c r="AN342" s="845">
        <f>AN138/AN$91</f>
        <v>0.37931334705614539</v>
      </c>
      <c r="AO342" s="845">
        <f>AO138/AO$91</f>
        <v>0.38097810401554655</v>
      </c>
      <c r="AP342" s="845">
        <f>AP138/AP$91</f>
        <v>0.27621855631714032</v>
      </c>
      <c r="AQ342" s="845">
        <f>AQ138/AQ$91</f>
        <v>0.34712365750972102</v>
      </c>
      <c r="AR342" s="49"/>
      <c r="AS342" s="845">
        <f>AS138/AS$91</f>
        <v>0.38132704330575146</v>
      </c>
      <c r="AT342" s="845">
        <f>AT138/AT$91</f>
        <v>0.32437896310882158</v>
      </c>
      <c r="AU342" s="845">
        <f>AU138/AU$91</f>
        <v>0.28874655122155551</v>
      </c>
      <c r="AV342" s="845">
        <f>AV138/AV$91</f>
        <v>0.21500632721949078</v>
      </c>
      <c r="AW342" s="845">
        <f>AW138/AW$91</f>
        <v>0.29048783983775922</v>
      </c>
      <c r="AX342" s="49"/>
      <c r="AY342" s="845">
        <f>AY138/AY$91</f>
        <v>0.3059429403599313</v>
      </c>
      <c r="AZ342" s="845">
        <f>AZ138/AZ$91</f>
        <v>0.2687082528044884</v>
      </c>
      <c r="BA342" s="845">
        <f>BA138/BA$91</f>
        <v>0.27087989816257935</v>
      </c>
      <c r="BB342" s="845">
        <f>BB138/BB$91</f>
        <v>0.22639633095558667</v>
      </c>
      <c r="BC342" s="845">
        <f>BC138/BC$91</f>
        <v>0.26431360355714767</v>
      </c>
      <c r="BD342" s="49"/>
      <c r="BE342" s="845">
        <f>BE138/BE$91</f>
        <v>0.22795119765303715</v>
      </c>
      <c r="BF342" s="845">
        <f>BF138/BF$91</f>
        <v>0.21687866555594623</v>
      </c>
      <c r="BG342" s="845">
        <f>BG138/BG$91</f>
        <v>0.20358759519287098</v>
      </c>
      <c r="BH342" s="845">
        <f>BH138/BH$91</f>
        <v>0.16315901226432336</v>
      </c>
      <c r="BI342" s="845">
        <f>BI138/BI$91</f>
        <v>0.20096946145751285</v>
      </c>
      <c r="BJ342" s="49"/>
      <c r="BK342" s="845">
        <f>BK138/BK$91</f>
        <v>0.23274161735700197</v>
      </c>
      <c r="BL342" s="845">
        <f>BL138/BL$91</f>
        <v>0.20874837592031181</v>
      </c>
      <c r="BM342" s="845">
        <f>BM138/BM$91</f>
        <v>0.19679237104464672</v>
      </c>
      <c r="BN342" s="845">
        <f>BN138/BN$91</f>
        <v>0.1624637988274352</v>
      </c>
      <c r="BO342" s="845">
        <f>BO138/BO$91</f>
        <v>0.19714207315786142</v>
      </c>
      <c r="BP342" s="49"/>
      <c r="BQ342" s="845">
        <f>BQ138/BQ$91</f>
        <v>0.21332046332046331</v>
      </c>
      <c r="BR342" s="845">
        <f>BR138/BR$91</f>
        <v>0.18214571657325862</v>
      </c>
      <c r="BS342" s="845">
        <f>BS138/BS$91</f>
        <v>0.17497010761259466</v>
      </c>
      <c r="BT342" s="845">
        <f>BT138/BT$91</f>
        <v>0.14104647383815405</v>
      </c>
      <c r="BU342" s="845">
        <f>BU138/BU$91</f>
        <v>0.17428121307601419</v>
      </c>
      <c r="BV342" s="49"/>
      <c r="BW342" s="845">
        <f>BW138/BW$91</f>
        <v>0.18916478555304742</v>
      </c>
      <c r="BX342" s="845">
        <f>BX138/BX$91</f>
        <v>0.16291727140783743</v>
      </c>
      <c r="BY342" s="845">
        <f>BY138/BY$91</f>
        <v>0.17814419657290656</v>
      </c>
      <c r="BZ342" s="845">
        <f>BZ138/BZ$91</f>
        <v>0.14969173859432799</v>
      </c>
      <c r="CA342" s="845">
        <f>CA138/CA$91</f>
        <v>0.16717550953048932</v>
      </c>
      <c r="CB342" s="49"/>
      <c r="CC342" s="845">
        <f>CC138/CC$91</f>
        <v>0.19263845889232886</v>
      </c>
      <c r="CD342" s="845">
        <f>CD138/CD$91</f>
        <v>0.17088980553918681</v>
      </c>
      <c r="CE342" s="845">
        <f>CE138/CE$91</f>
        <v>0.17258940697148031</v>
      </c>
      <c r="CF342" s="845">
        <f>CF138/CF$91</f>
        <v>0.15312943082843833</v>
      </c>
      <c r="CG342" s="404">
        <f>CG138/CG$91</f>
        <v>0.16964068127047738</v>
      </c>
      <c r="CH342" s="49"/>
      <c r="CI342" s="845">
        <f>CI138/CI$91</f>
        <v>0.21223709369024857</v>
      </c>
      <c r="CJ342" s="845">
        <f>CJ138/CJ$91</f>
        <v>0.19378557874762808</v>
      </c>
      <c r="CK342" s="845">
        <f>CK138/CK$91</f>
        <v>0.18363677230838391</v>
      </c>
      <c r="CL342" s="845">
        <f>CL138/CL$91</f>
        <v>0.15706272310045896</v>
      </c>
      <c r="CM342" s="404">
        <f>CM138/CM$91</f>
        <v>0.18315118897248614</v>
      </c>
      <c r="CN342" s="49"/>
      <c r="CO342" s="845">
        <f>CO138/CO$91</f>
        <v>0.20182887001959504</v>
      </c>
      <c r="CP342" s="845">
        <f>CP138/CP$91</f>
        <v>0.1843773303504847</v>
      </c>
      <c r="CQ342" s="845">
        <f>CQ138/CQ$91</f>
        <v>0.18376466207410166</v>
      </c>
      <c r="CR342" s="845">
        <f>CR138/CR$91</f>
        <v>0.14668314791924186</v>
      </c>
      <c r="CS342" s="404">
        <f>CS138/CS$91</f>
        <v>0.17563802025741962</v>
      </c>
      <c r="CT342" s="49"/>
      <c r="CU342" s="845">
        <f>CU138/CU$91</f>
        <v>0.18867576540022132</v>
      </c>
      <c r="CV342" s="845">
        <f>CV138/CV$91</f>
        <v>0.16458589766133286</v>
      </c>
      <c r="CW342" s="845">
        <f>CW138/CW$91</f>
        <v>0.15479651162790697</v>
      </c>
      <c r="CX342" s="845">
        <f>CX138/CX$91</f>
        <v>0.12832437145763698</v>
      </c>
      <c r="CY342" s="404">
        <f>CY138/CY$91</f>
        <v>0.15723163360858092</v>
      </c>
      <c r="CZ342" s="49"/>
      <c r="DA342" s="845">
        <f>DA138/DA$91</f>
        <v>0.15386134702745408</v>
      </c>
      <c r="DB342" s="845">
        <f>DB138/DB$91</f>
        <v>0.14117847411444143</v>
      </c>
      <c r="DC342" s="845">
        <f>DC138/DC$91</f>
        <v>0.12551395801774509</v>
      </c>
      <c r="DD342" s="845">
        <f>DD138/DD$91</f>
        <v>0.10019727961790052</v>
      </c>
      <c r="DE342" s="404">
        <f>DE138/DE$91</f>
        <v>0.12520621111579633</v>
      </c>
      <c r="DF342" s="49"/>
      <c r="DG342" s="845">
        <f>DG138/DG$91</f>
        <v>0.11755403268318397</v>
      </c>
      <c r="DH342" s="845">
        <f>DH138/DH$91</f>
        <v>0.11099608925695882</v>
      </c>
      <c r="DI342" s="845">
        <f>DI138/DI$91</f>
        <v>0.10775519473146361</v>
      </c>
      <c r="DJ342" s="845">
        <f>DJ138/DJ$91</f>
        <v>9.2263557282990932E-2</v>
      </c>
      <c r="DK342" s="404">
        <f>DK138/DK$91</f>
        <v>0.10594790360774481</v>
      </c>
      <c r="DL342" s="49"/>
      <c r="DM342" s="845">
        <f>DM138/DM$91</f>
        <v>0.11097880447725648</v>
      </c>
      <c r="DN342" s="845">
        <f>DN138/DN$91</f>
        <v>0.10475541936216093</v>
      </c>
      <c r="DO342" s="845">
        <f>DO138/DO$91</f>
        <v>0.10107765553511834</v>
      </c>
      <c r="DP342" s="845">
        <f>DP138/DP$91</f>
        <v>8.6574079828260403E-2</v>
      </c>
      <c r="DQ342" s="404">
        <f>DQ138/DQ$91</f>
        <v>9.9915374445062974E-2</v>
      </c>
      <c r="DR342" s="49"/>
      <c r="DS342" s="845">
        <f>DS138/DS$91</f>
        <v>0.10659032768912169</v>
      </c>
      <c r="DT342" s="845">
        <f>DT138/DT$91</f>
        <v>0.10117414682321958</v>
      </c>
      <c r="DU342" s="845">
        <f>DU138/DU$91</f>
        <v>9.4425863991081382E-2</v>
      </c>
      <c r="DV342" s="845">
        <f>DV138/DV$91</f>
        <v>7.1070157832314573E-2</v>
      </c>
      <c r="DW342" s="404">
        <f>DW138/DW$91</f>
        <v>9.1885217297935737E-2</v>
      </c>
      <c r="DX342" s="49"/>
      <c r="DY342" s="845">
        <f>DY138/DY$91</f>
        <v>8.5192697768762676E-2</v>
      </c>
      <c r="DZ342" s="845">
        <f>DZ138/DZ$91</f>
        <v>8.1116018528492942E-2</v>
      </c>
      <c r="EA342" s="845">
        <f>EA138/EA$91</f>
        <v>7.6113794954374661E-2</v>
      </c>
      <c r="EB342" s="845">
        <f>EB138/EB$91</f>
        <v>6.5954441108952849E-2</v>
      </c>
      <c r="EC342" s="404">
        <f>EC138/EC$91</f>
        <v>7.6308575903928991E-2</v>
      </c>
      <c r="ED342" s="49"/>
      <c r="EE342" s="845">
        <f>EE138/EE$91</f>
        <v>7.9660425630887308E-2</v>
      </c>
      <c r="EF342" s="845">
        <f>EF138/EF$91</f>
        <v>7.8580349708576192E-2</v>
      </c>
      <c r="EG342" s="845">
        <f>EG138/EG$91</f>
        <v>7.6708806513820435E-2</v>
      </c>
      <c r="EH342" s="845">
        <f>EH138/EH$91</f>
        <v>6.9268110530246452E-2</v>
      </c>
      <c r="EI342" s="404">
        <f>EI138/EI$91</f>
        <v>7.5758764018508354E-2</v>
      </c>
      <c r="EJ342" s="49"/>
      <c r="EK342" s="845">
        <f>EK138/EK$91</f>
        <v>8.3185421843568808E-2</v>
      </c>
      <c r="EL342" s="845">
        <f>EL138/EL$91</f>
        <v>7.5922632281013785E-2</v>
      </c>
      <c r="EM342" s="845">
        <f>EM138/EM$91</f>
        <v>7.211005103172842E-2</v>
      </c>
      <c r="EN342" s="845">
        <f>EN138/EN$91</f>
        <v>6.4647036617591538E-2</v>
      </c>
      <c r="EO342" s="404">
        <f>EO138/EO$91</f>
        <v>7.3427422619208246E-2</v>
      </c>
      <c r="EP342" s="49"/>
      <c r="EQ342" s="845">
        <f>EQ138/EQ$91</f>
        <v>7.9763148728665967E-2</v>
      </c>
      <c r="ER342" s="845">
        <f>ER138/ER$91</f>
        <v>7.5856305224603029E-2</v>
      </c>
      <c r="ES342" s="845">
        <f>ES138/ES$91</f>
        <v>7.1813672633167999E-2</v>
      </c>
      <c r="ET342" s="845">
        <f>ET138/ET$91</f>
        <v>6.5259117082533583E-2</v>
      </c>
      <c r="EU342" s="404">
        <f>EU138/EU$91</f>
        <v>7.2695551032276831E-2</v>
      </c>
      <c r="EV342" s="49"/>
      <c r="EW342" s="845">
        <f>EW138/EW$91</f>
        <v>7.4685193226226659E-2</v>
      </c>
      <c r="EX342" s="845">
        <f>EX138/EX$91</f>
        <v>7.331256490134995E-2</v>
      </c>
      <c r="EY342" s="845">
        <f>EY138/EY$91</f>
        <v>7.1501636661211135E-2</v>
      </c>
      <c r="EZ342" s="845">
        <f>EZ138/EZ$91</f>
        <v>6.5085013809790024E-2</v>
      </c>
      <c r="FA342" s="404">
        <f>FA138/FA$91</f>
        <v>7.0872769268994426E-2</v>
      </c>
      <c r="FB342" s="49"/>
      <c r="FC342" s="845">
        <f>FC138/FC$91</f>
        <v>7.2046451587706228E-2</v>
      </c>
      <c r="FD342" s="845">
        <f>FD138/FD$91</f>
        <v>7.0728180454660936E-2</v>
      </c>
      <c r="FE342" s="845">
        <f>FE138/FE$91</f>
        <v>6.9263911464330294E-2</v>
      </c>
      <c r="FF342" s="845">
        <f>FF138/FF$91</f>
        <v>6.386473071764133E-2</v>
      </c>
      <c r="FG342" s="404">
        <f>FG138/FG$91</f>
        <v>6.8767118762571119E-2</v>
      </c>
      <c r="FH342" s="49"/>
      <c r="FI342" s="845">
        <f>FI138/FI$91</f>
        <v>6.921811526225001E-2</v>
      </c>
      <c r="FJ342" s="845">
        <f>FJ138/FJ$91</f>
        <v>6.8259691868527053E-2</v>
      </c>
      <c r="FK342" s="845">
        <f>FK138/FK$91</f>
        <v>6.695397092117443E-2</v>
      </c>
      <c r="FL342" s="845">
        <f>FL138/FL$91</f>
        <v>6.2371965640881467E-2</v>
      </c>
      <c r="FM342" s="404">
        <f>FM138/FM$91</f>
        <v>6.6541418098502628E-2</v>
      </c>
      <c r="FN342" s="27"/>
      <c r="FO342" s="27"/>
      <c r="FP342" s="27"/>
      <c r="FQ342" s="27"/>
      <c r="FR342" s="27"/>
      <c r="FS342" s="27"/>
      <c r="FT342" s="27"/>
      <c r="FU342" s="27"/>
      <c r="FV342" s="27"/>
      <c r="FW342" s="27"/>
      <c r="FX342" s="27"/>
      <c r="FY342" s="27"/>
      <c r="FZ342" s="27"/>
      <c r="GA342" s="27"/>
      <c r="GB342" s="27"/>
      <c r="GC342" s="27"/>
      <c r="GD342" s="27"/>
      <c r="GE342" s="27"/>
      <c r="GF342" s="27"/>
      <c r="GH342" s="27"/>
      <c r="GI342"/>
      <c r="GJ342"/>
      <c r="GK342"/>
      <c r="GL342"/>
      <c r="GM342"/>
      <c r="GN342"/>
      <c r="GO342" s="27"/>
    </row>
    <row r="343" spans="1:281" s="24" customFormat="1" x14ac:dyDescent="0.2">
      <c r="A343" s="342" t="s">
        <v>991</v>
      </c>
      <c r="B343" s="976"/>
      <c r="C343" s="94" t="s">
        <v>945</v>
      </c>
      <c r="D343" s="94" t="s">
        <v>945</v>
      </c>
      <c r="E343" s="94" t="s">
        <v>945</v>
      </c>
      <c r="F343" s="94" t="s">
        <v>945</v>
      </c>
      <c r="G343" s="43">
        <f t="shared" ref="G343:M343" si="240">G141/G$91</f>
        <v>0.18163289178449771</v>
      </c>
      <c r="H343" s="43">
        <f t="shared" si="240"/>
        <v>0.17298218568002741</v>
      </c>
      <c r="I343" s="43">
        <f t="shared" si="240"/>
        <v>0.17506520149717913</v>
      </c>
      <c r="J343" s="43">
        <f t="shared" si="240"/>
        <v>0.25918601020089516</v>
      </c>
      <c r="K343" s="43">
        <f t="shared" si="240"/>
        <v>0.23881424936386769</v>
      </c>
      <c r="L343" s="43">
        <f t="shared" si="240"/>
        <v>0.23062741184298069</v>
      </c>
      <c r="M343" s="43">
        <f t="shared" si="240"/>
        <v>0.24946343272133431</v>
      </c>
      <c r="N343" s="94"/>
      <c r="O343" s="43">
        <f>O141/O$91</f>
        <v>0.28127639386566128</v>
      </c>
      <c r="P343" s="43">
        <f>P141/P$91</f>
        <v>0.27985021185176345</v>
      </c>
      <c r="Q343" s="43">
        <f>Q141/Q$91</f>
        <v>0.27232171908424424</v>
      </c>
      <c r="R343" s="43">
        <f>R141/R$91</f>
        <v>0.23404353562653321</v>
      </c>
      <c r="S343" s="43">
        <f>S141/S$91</f>
        <v>0.26256961020978958</v>
      </c>
      <c r="T343" s="94"/>
      <c r="U343" s="43">
        <f>U141/U$91</f>
        <v>0.29995866820937467</v>
      </c>
      <c r="V343" s="43">
        <f>V141/V$91</f>
        <v>0.26413857290589454</v>
      </c>
      <c r="W343" s="43">
        <f>W141/W$91</f>
        <v>0.2811527495028126</v>
      </c>
      <c r="X343" s="43">
        <f>X141/X$91</f>
        <v>0.22009748141145871</v>
      </c>
      <c r="Y343" s="43">
        <f>Y141/Y$91</f>
        <v>0.25952708852894402</v>
      </c>
      <c r="Z343" s="94"/>
      <c r="AA343" s="43">
        <f>AA141/AA$91</f>
        <v>0.31939649478912768</v>
      </c>
      <c r="AB343" s="43">
        <f>AB141/AB$91</f>
        <v>0.28785326524184957</v>
      </c>
      <c r="AC343" s="43">
        <f>AC141/AC$91</f>
        <v>0.29246480981893658</v>
      </c>
      <c r="AD343" s="43">
        <f>AD141/AD$91</f>
        <v>0.2235257036463999</v>
      </c>
      <c r="AE343" s="43">
        <f>AE141/AE$91</f>
        <v>0.27276114571693161</v>
      </c>
      <c r="AF343" s="94"/>
      <c r="AG343" s="43">
        <f>AG141/AG$91</f>
        <v>0.34202032687817607</v>
      </c>
      <c r="AH343" s="43">
        <f>AH141/AH$91</f>
        <v>0.33997757985086696</v>
      </c>
      <c r="AI343" s="43">
        <f>AI141/AI$91</f>
        <v>0.33532274638500376</v>
      </c>
      <c r="AJ343" s="43">
        <f>AJ141/AJ$91</f>
        <v>0.27788487962751496</v>
      </c>
      <c r="AK343" s="43">
        <f>AK141/AK$91</f>
        <v>0.31826021348387745</v>
      </c>
      <c r="AL343" s="94"/>
      <c r="AM343" s="43">
        <f>AM141/AM$91</f>
        <v>0.38836322472571766</v>
      </c>
      <c r="AN343" s="43">
        <f>AN141/AN$91</f>
        <v>0.37931334705614539</v>
      </c>
      <c r="AO343" s="43">
        <f>AO141/AO$91</f>
        <v>0.38097810401554655</v>
      </c>
      <c r="AP343" s="43">
        <f>AP141/AP$91</f>
        <v>0.27621855631714032</v>
      </c>
      <c r="AQ343" s="43">
        <f>AQ141/AQ$91</f>
        <v>0.34712365750972102</v>
      </c>
      <c r="AR343" s="94"/>
      <c r="AS343" s="43">
        <f>AS141/AS$91</f>
        <v>0.38132704330575146</v>
      </c>
      <c r="AT343" s="43">
        <f>AT141/AT$91</f>
        <v>0.32437896310882158</v>
      </c>
      <c r="AU343" s="43">
        <f>AU141/AU$91</f>
        <v>0.28874655122155551</v>
      </c>
      <c r="AV343" s="43">
        <f>AV141/AV$91</f>
        <v>0.21500632721949078</v>
      </c>
      <c r="AW343" s="43">
        <f>AW141/AW$91</f>
        <v>0.29048783983775922</v>
      </c>
      <c r="AX343" s="94"/>
      <c r="AY343" s="43">
        <f>AY141/AY$91</f>
        <v>0.3059429403599313</v>
      </c>
      <c r="AZ343" s="43">
        <f>AZ141/AZ$91</f>
        <v>0.2687082528044884</v>
      </c>
      <c r="BA343" s="43">
        <f>BA141/BA$91</f>
        <v>0.27087989816257935</v>
      </c>
      <c r="BB343" s="43">
        <f>BB141/BB$91</f>
        <v>0.22639633095558667</v>
      </c>
      <c r="BC343" s="43">
        <f>BC141/BC$91</f>
        <v>0.26431360355714767</v>
      </c>
      <c r="BD343" s="43"/>
      <c r="BE343" s="43">
        <f>BE141/BE$91</f>
        <v>0.27941131672299352</v>
      </c>
      <c r="BF343" s="43">
        <f>BF141/BF$91</f>
        <v>0.26589277515010895</v>
      </c>
      <c r="BG343" s="43">
        <f>BG141/BG$91</f>
        <v>0.25360090888111764</v>
      </c>
      <c r="BH343" s="43">
        <f>BH141/BH$91</f>
        <v>0.20484783421371666</v>
      </c>
      <c r="BI343" s="43">
        <f>BI141/BI$91</f>
        <v>0.24868835712704698</v>
      </c>
      <c r="BJ343" s="43"/>
      <c r="BK343" s="43">
        <f>BK141/BK$91</f>
        <v>0.29043392504930965</v>
      </c>
      <c r="BL343" s="43">
        <f>BL141/BL$91</f>
        <v>0.25941966219142487</v>
      </c>
      <c r="BM343" s="43">
        <f>BM141/BM$91</f>
        <v>0.24880797572605115</v>
      </c>
      <c r="BN343" s="43">
        <f>BN141/BN$91</f>
        <v>0.20484565939111393</v>
      </c>
      <c r="BO343" s="43">
        <f>BO141/BO$91</f>
        <v>0.2471663465394601</v>
      </c>
      <c r="BP343" s="43"/>
      <c r="BQ343" s="43">
        <f>BQ141/BQ$91</f>
        <v>0.2717181467181467</v>
      </c>
      <c r="BR343" s="43">
        <f>BR141/BR$91</f>
        <v>0.23939151321056845</v>
      </c>
      <c r="BS343" s="43">
        <f>BS141/BS$91</f>
        <v>0.2319649262654444</v>
      </c>
      <c r="BT343" s="43">
        <f>BT141/BT$91</f>
        <v>0.18654533636659085</v>
      </c>
      <c r="BU343" s="43">
        <f>BU141/BU$91</f>
        <v>0.22814100039385585</v>
      </c>
      <c r="BV343" s="43"/>
      <c r="BW343" s="43">
        <f>BW141/BW$91</f>
        <v>0.25056433408577877</v>
      </c>
      <c r="BX343" s="43">
        <f>BX141/BX$91</f>
        <v>0.21407837445573294</v>
      </c>
      <c r="BY343" s="43">
        <f>BY141/BY$91</f>
        <v>0.22987390882638215</v>
      </c>
      <c r="BZ343" s="43">
        <f>BZ141/BZ$91</f>
        <v>0.19383477188655981</v>
      </c>
      <c r="CA343" s="43">
        <f>CA141/CA$91</f>
        <v>0.2180047858734219</v>
      </c>
      <c r="CB343" s="43"/>
      <c r="CC343" s="43">
        <f>CC141/CC$91</f>
        <v>0.24767801857585139</v>
      </c>
      <c r="CD343" s="43">
        <f>CD141/CD$91</f>
        <v>0.22245138479670007</v>
      </c>
      <c r="CE343" s="43">
        <f>CE141/CE$91</f>
        <v>0.22266862833861475</v>
      </c>
      <c r="CF343" s="43">
        <f>CF141/CF$91</f>
        <v>0.19465262305043549</v>
      </c>
      <c r="CG343" s="395">
        <f>CG141/CG$91</f>
        <v>0.21817714115512712</v>
      </c>
      <c r="CH343" s="43"/>
      <c r="CI343" s="43">
        <f>CI141/CI$91</f>
        <v>0.26604752799781478</v>
      </c>
      <c r="CJ343" s="43">
        <f>CJ141/CJ$91</f>
        <v>0.24169829222011385</v>
      </c>
      <c r="CK343" s="43">
        <f>CK141/CK$91</f>
        <v>0.23016408181613845</v>
      </c>
      <c r="CL343" s="43">
        <f>CL141/CL$91</f>
        <v>0.19547849736528983</v>
      </c>
      <c r="CM343" s="395">
        <f>CM141/CM$91</f>
        <v>0.22884287989455765</v>
      </c>
      <c r="CN343" s="43"/>
      <c r="CO343" s="43">
        <f>CO141/CO$91</f>
        <v>0.250598737208796</v>
      </c>
      <c r="CP343" s="43">
        <f>CP141/CP$91</f>
        <v>0.22967934377330351</v>
      </c>
      <c r="CQ343" s="43">
        <f>CQ141/CQ$91</f>
        <v>0.23086948426736176</v>
      </c>
      <c r="CR343" s="43">
        <f>CR141/CR$91</f>
        <v>0.18335393489905233</v>
      </c>
      <c r="CS343" s="395">
        <f>CS141/CS$91</f>
        <v>0.21929320182228315</v>
      </c>
      <c r="CT343" s="43"/>
      <c r="CU343" s="43">
        <f>CU141/CU$91</f>
        <v>0.24013279232755441</v>
      </c>
      <c r="CV343" s="43">
        <f>CV141/CV$91</f>
        <v>0.2092491647617373</v>
      </c>
      <c r="CW343" s="43">
        <f>CW141/CW$91</f>
        <v>0.20076308139534885</v>
      </c>
      <c r="CX343" s="43">
        <f>CX141/CX$91</f>
        <v>0.17032408080220898</v>
      </c>
      <c r="CY343" s="395">
        <f>CY141/CY$91</f>
        <v>0.20298799693538777</v>
      </c>
      <c r="CZ343" s="43"/>
      <c r="DA343" s="43">
        <f>DA141/DA$91</f>
        <v>0.19770886825992495</v>
      </c>
      <c r="DB343" s="43">
        <f>DB141/DB$91</f>
        <v>0.18545640326975477</v>
      </c>
      <c r="DC343" s="43">
        <f>DC141/DC$91</f>
        <v>0.21393019445389064</v>
      </c>
      <c r="DD343" s="43">
        <f>DD141/DD$91</f>
        <v>0.23105596511265705</v>
      </c>
      <c r="DE343" s="395">
        <f>DE141/DE$91</f>
        <v>0.21080879143641298</v>
      </c>
      <c r="DF343" s="43"/>
      <c r="DG343" s="43">
        <f>DG141/DG$91</f>
        <v>0.27029520295202952</v>
      </c>
      <c r="DH343" s="43">
        <f>DH141/DH$91</f>
        <v>0.24706694271911664</v>
      </c>
      <c r="DI343" s="43">
        <f>DI141/DI$91</f>
        <v>0.22720563188372886</v>
      </c>
      <c r="DJ343" s="43">
        <f>DJ141/DJ$91</f>
        <v>0.20016657412548583</v>
      </c>
      <c r="DK343" s="395">
        <f>DK141/DK$91</f>
        <v>0.23298509541718904</v>
      </c>
      <c r="DL343" s="43"/>
      <c r="DM343" s="43">
        <f>DM141/DM$91</f>
        <v>0.23553226958799714</v>
      </c>
      <c r="DN343" s="43">
        <f>DN141/DN$91</f>
        <v>0.2205198047894677</v>
      </c>
      <c r="DO343" s="43">
        <f>DO141/DO$91</f>
        <v>0.20921750534343272</v>
      </c>
      <c r="DP343" s="43">
        <f>DP141/DP$91</f>
        <v>0.18200647795118458</v>
      </c>
      <c r="DQ343" s="395">
        <f>DQ141/DQ$91</f>
        <v>0.20982497295400424</v>
      </c>
      <c r="DR343" s="43"/>
      <c r="DS343" s="43">
        <f>DS141/DS$91</f>
        <v>0.21439883055183334</v>
      </c>
      <c r="DT343" s="43">
        <f>DT141/DT$91</f>
        <v>0.19521562602875014</v>
      </c>
      <c r="DU343" s="43">
        <f>DU141/DU$91</f>
        <v>0.18974358974358974</v>
      </c>
      <c r="DV343" s="43">
        <f>DV141/DV$91</f>
        <v>0.17279445306085212</v>
      </c>
      <c r="DW343" s="395">
        <f>DW141/DW$91</f>
        <v>0.19152819907121574</v>
      </c>
      <c r="DX343" s="43"/>
      <c r="DY343" s="43">
        <f>DY141/DY$91</f>
        <v>0.20295907409616989</v>
      </c>
      <c r="DZ343" s="43">
        <f>DZ141/DZ$91</f>
        <v>0.1929333189701605</v>
      </c>
      <c r="EA343" s="43">
        <f>EA141/EA$91</f>
        <v>0.18872785829307567</v>
      </c>
      <c r="EB343" s="43">
        <f>EB141/EB$91</f>
        <v>0.16837365354052622</v>
      </c>
      <c r="EC343" s="395">
        <f>EC141/EC$91</f>
        <v>0.18684244876647957</v>
      </c>
      <c r="ED343" s="43"/>
      <c r="EE343" s="43">
        <f>EE141/EE$91</f>
        <v>0.19362716594952903</v>
      </c>
      <c r="EF343" s="43">
        <f>EF141/EF$91</f>
        <v>0.19556619483763529</v>
      </c>
      <c r="EG343" s="43">
        <f>EG141/EG$91</f>
        <v>0.20130704949646455</v>
      </c>
      <c r="EH343" s="43">
        <f>EH141/EH$91</f>
        <v>0.18960044809559373</v>
      </c>
      <c r="EI343" s="395">
        <f>EI141/EI$91</f>
        <v>0.19486053381434135</v>
      </c>
      <c r="EJ343" s="43"/>
      <c r="EK343" s="43">
        <f>EK141/EK$91</f>
        <v>0.21630576263164122</v>
      </c>
      <c r="EL343" s="43">
        <f>EL141/EL$91</f>
        <v>0.20364606491774123</v>
      </c>
      <c r="EM343" s="43">
        <f>EM141/EM$91</f>
        <v>0.20179720434879078</v>
      </c>
      <c r="EN343" s="43">
        <f>EN141/EN$91</f>
        <v>0.18072857682144206</v>
      </c>
      <c r="EO343" s="395">
        <f>EO141/EO$91</f>
        <v>0.19953045308578676</v>
      </c>
      <c r="EP343" s="43"/>
      <c r="EQ343" s="43">
        <f>EQ141/EQ$91</f>
        <v>0.20352954835713458</v>
      </c>
      <c r="ER343" s="43">
        <f>ER141/ER$91</f>
        <v>0.19537408845639037</v>
      </c>
      <c r="ES343" s="43">
        <f>ES141/ES$91</f>
        <v>0.20077636402846669</v>
      </c>
      <c r="ET343" s="43">
        <f>ET141/ET$91</f>
        <v>0.18023946622794992</v>
      </c>
      <c r="EU343" s="395">
        <f>EU141/EU$91</f>
        <v>0.19418023958131586</v>
      </c>
      <c r="EV343" s="43"/>
      <c r="EW343" s="43">
        <f>EW141/EW$91</f>
        <v>0.20603560573165436</v>
      </c>
      <c r="EX343" s="43">
        <f>EX141/EX$91</f>
        <v>0.20020768431983385</v>
      </c>
      <c r="EY343" s="43">
        <f>EY141/EY$91</f>
        <v>0.20110474631751227</v>
      </c>
      <c r="EZ343" s="43">
        <f>EZ141/EZ$91</f>
        <v>0.18747138253374723</v>
      </c>
      <c r="FA343" s="395">
        <f>FA141/FA$91</f>
        <v>0.19819655047386722</v>
      </c>
      <c r="FB343" s="43"/>
      <c r="FC343" s="43">
        <f>FC141/FC$91</f>
        <v>0.20584751833592249</v>
      </c>
      <c r="FD343" s="43">
        <f>FD141/FD$91</f>
        <v>0.19921789540833831</v>
      </c>
      <c r="FE343" s="43">
        <f>FE141/FE$91</f>
        <v>0.1971127654925332</v>
      </c>
      <c r="FF343" s="43">
        <f>FF141/FF$91</f>
        <v>0.18434545552090978</v>
      </c>
      <c r="FG343" s="395">
        <f>FG141/FG$91</f>
        <v>0.19610934347815051</v>
      </c>
      <c r="FH343" s="43"/>
      <c r="FI343" s="43">
        <f>FI141/FI$91</f>
        <v>0.20169556879593969</v>
      </c>
      <c r="FJ343" s="43">
        <f>FJ141/FJ$91</f>
        <v>0.1959907701839608</v>
      </c>
      <c r="FK343" s="43">
        <f>FK141/FK$91</f>
        <v>0.19379940940089244</v>
      </c>
      <c r="FL343" s="43">
        <f>FL141/FL$91</f>
        <v>0.18299295672163832</v>
      </c>
      <c r="FM343" s="395">
        <f>FM141/FM$91</f>
        <v>0.19320904172254585</v>
      </c>
      <c r="FN343" s="27"/>
      <c r="FO343" s="27"/>
      <c r="FP343" s="27"/>
      <c r="FQ343" s="27"/>
      <c r="FR343" s="27"/>
      <c r="FS343" s="27"/>
      <c r="FT343" s="27"/>
      <c r="FU343" s="27"/>
      <c r="FV343" s="27"/>
      <c r="FW343" s="27"/>
      <c r="FX343" s="27"/>
      <c r="FY343" s="27"/>
      <c r="FZ343" s="27"/>
      <c r="GA343" s="27"/>
      <c r="GB343" s="27"/>
      <c r="GC343" s="27"/>
      <c r="GD343" s="27"/>
      <c r="GE343" s="27"/>
      <c r="GF343" s="27"/>
      <c r="GH343" s="27"/>
      <c r="GI343"/>
      <c r="GJ343"/>
      <c r="GK343"/>
      <c r="GL343"/>
      <c r="GM343"/>
      <c r="GN343"/>
      <c r="GO343" s="27"/>
    </row>
    <row r="344" spans="1:281" s="24" customFormat="1" ht="3.95" customHeight="1" x14ac:dyDescent="0.2">
      <c r="A344" s="342"/>
      <c r="B344" s="976"/>
      <c r="C344" s="94"/>
      <c r="D344" s="94"/>
      <c r="E344" s="94"/>
      <c r="F344" s="94"/>
      <c r="G344" s="43"/>
      <c r="H344" s="43"/>
      <c r="I344" s="43"/>
      <c r="J344" s="43"/>
      <c r="K344" s="43"/>
      <c r="L344" s="43"/>
      <c r="M344" s="43"/>
      <c r="N344" s="94"/>
      <c r="O344" s="43"/>
      <c r="P344" s="43"/>
      <c r="Q344" s="43"/>
      <c r="R344" s="43"/>
      <c r="S344" s="43"/>
      <c r="T344" s="94"/>
      <c r="U344" s="43"/>
      <c r="V344" s="43"/>
      <c r="W344" s="43"/>
      <c r="X344" s="43"/>
      <c r="Y344" s="43"/>
      <c r="Z344" s="94"/>
      <c r="AA344" s="43"/>
      <c r="AB344" s="43"/>
      <c r="AC344" s="43"/>
      <c r="AD344" s="43"/>
      <c r="AE344" s="43"/>
      <c r="AF344" s="94"/>
      <c r="AG344" s="43"/>
      <c r="AH344" s="43"/>
      <c r="AI344" s="43"/>
      <c r="AJ344" s="43"/>
      <c r="AK344" s="43"/>
      <c r="AL344" s="94"/>
      <c r="AM344" s="43"/>
      <c r="AN344" s="43"/>
      <c r="AO344" s="43"/>
      <c r="AP344" s="43"/>
      <c r="AQ344" s="43"/>
      <c r="AR344" s="94"/>
      <c r="AS344" s="43"/>
      <c r="AT344" s="43"/>
      <c r="AU344" s="43"/>
      <c r="AV344" s="43"/>
      <c r="AW344" s="43"/>
      <c r="AX344" s="94"/>
      <c r="AY344" s="43"/>
      <c r="AZ344" s="43"/>
      <c r="BA344" s="43"/>
      <c r="BB344" s="43"/>
      <c r="BC344" s="43"/>
      <c r="BD344" s="43"/>
      <c r="BE344" s="43"/>
      <c r="BF344" s="43"/>
      <c r="BG344" s="43"/>
      <c r="BH344" s="43"/>
      <c r="BI344" s="43"/>
      <c r="BJ344" s="43"/>
      <c r="BK344" s="43"/>
      <c r="BL344" s="43"/>
      <c r="BM344" s="43"/>
      <c r="BN344" s="43"/>
      <c r="BO344" s="43"/>
      <c r="BP344" s="43"/>
      <c r="BQ344" s="43"/>
      <c r="BR344" s="43"/>
      <c r="BS344" s="43"/>
      <c r="BT344" s="43"/>
      <c r="BU344" s="43"/>
      <c r="BV344" s="43"/>
      <c r="BW344" s="43"/>
      <c r="BX344" s="43"/>
      <c r="BY344" s="43"/>
      <c r="BZ344" s="43"/>
      <c r="CA344" s="43"/>
      <c r="CB344" s="43"/>
      <c r="CC344" s="43"/>
      <c r="CD344" s="43"/>
      <c r="CE344" s="43"/>
      <c r="CF344" s="43"/>
      <c r="CG344" s="1215"/>
      <c r="CH344" s="43"/>
      <c r="CI344" s="43"/>
      <c r="CJ344" s="43"/>
      <c r="CK344" s="43"/>
      <c r="CL344" s="43"/>
      <c r="CM344" s="1215"/>
      <c r="CN344" s="43"/>
      <c r="CO344" s="43"/>
      <c r="CP344" s="43"/>
      <c r="CQ344" s="43"/>
      <c r="CR344" s="43"/>
      <c r="CS344" s="1215"/>
      <c r="CT344" s="43"/>
      <c r="CU344" s="43"/>
      <c r="CV344" s="43"/>
      <c r="CW344" s="43"/>
      <c r="CX344" s="43"/>
      <c r="CY344" s="1215"/>
      <c r="CZ344" s="43"/>
      <c r="DA344" s="43"/>
      <c r="DB344" s="43"/>
      <c r="DC344" s="43"/>
      <c r="DD344" s="43"/>
      <c r="DE344" s="1215"/>
      <c r="DF344" s="43"/>
      <c r="DG344" s="43"/>
      <c r="DH344" s="43"/>
      <c r="DI344" s="43"/>
      <c r="DJ344" s="43"/>
      <c r="DK344" s="395"/>
      <c r="DL344" s="43"/>
      <c r="DM344" s="43"/>
      <c r="DN344" s="43"/>
      <c r="DO344" s="43"/>
      <c r="DP344" s="43"/>
      <c r="DQ344" s="395"/>
      <c r="DR344" s="43"/>
      <c r="DS344" s="43"/>
      <c r="DT344" s="43"/>
      <c r="DU344" s="43"/>
      <c r="DV344" s="43"/>
      <c r="DW344" s="395"/>
      <c r="DX344" s="43"/>
      <c r="DY344" s="43"/>
      <c r="DZ344" s="43"/>
      <c r="EA344" s="43"/>
      <c r="EB344" s="43"/>
      <c r="EC344" s="395"/>
      <c r="ED344" s="43"/>
      <c r="EE344" s="43"/>
      <c r="EF344" s="43"/>
      <c r="EG344" s="43"/>
      <c r="EH344" s="43"/>
      <c r="EI344" s="395"/>
      <c r="EJ344" s="43"/>
      <c r="EK344" s="43"/>
      <c r="EL344" s="43"/>
      <c r="EM344" s="43"/>
      <c r="EN344" s="43"/>
      <c r="EO344" s="395"/>
      <c r="EP344" s="43"/>
      <c r="EQ344" s="43"/>
      <c r="ER344" s="43"/>
      <c r="ES344" s="43"/>
      <c r="ET344" s="43"/>
      <c r="EU344" s="395"/>
      <c r="EV344" s="43"/>
      <c r="EW344" s="43"/>
      <c r="EX344" s="43"/>
      <c r="EY344" s="43"/>
      <c r="EZ344" s="43"/>
      <c r="FA344" s="395"/>
      <c r="FB344" s="43"/>
      <c r="FC344" s="43"/>
      <c r="FD344" s="43"/>
      <c r="FE344" s="43"/>
      <c r="FF344" s="43"/>
      <c r="FG344" s="395"/>
      <c r="FH344" s="43"/>
      <c r="FI344" s="43"/>
      <c r="FJ344" s="43"/>
      <c r="FK344" s="43"/>
      <c r="FL344" s="43"/>
      <c r="FM344" s="395"/>
      <c r="FN344" s="27"/>
      <c r="FO344" s="27"/>
      <c r="FP344" s="27"/>
      <c r="FQ344" s="27"/>
      <c r="FR344" s="27"/>
      <c r="FS344" s="27"/>
      <c r="FT344" s="27"/>
      <c r="FU344" s="27"/>
      <c r="FV344" s="27"/>
      <c r="FW344" s="27"/>
      <c r="FX344" s="27"/>
      <c r="FY344" s="27"/>
      <c r="FZ344" s="27"/>
      <c r="GA344" s="27"/>
      <c r="GB344" s="27"/>
      <c r="GC344" s="27"/>
      <c r="GD344" s="27"/>
      <c r="GE344" s="27"/>
      <c r="GF344" s="27"/>
      <c r="GH344" s="27"/>
      <c r="GI344"/>
      <c r="GJ344"/>
      <c r="GK344"/>
      <c r="GL344"/>
      <c r="GM344"/>
      <c r="GN344"/>
      <c r="GO344" s="27"/>
    </row>
    <row r="345" spans="1:281" s="27" customFormat="1" x14ac:dyDescent="0.2">
      <c r="A345" s="342" t="s">
        <v>177</v>
      </c>
      <c r="B345" s="976"/>
      <c r="C345" s="43">
        <f t="shared" ref="C345:M345" si="241">C147/C$91</f>
        <v>0.50600000000000001</v>
      </c>
      <c r="D345" s="43">
        <f t="shared" si="241"/>
        <v>0.628</v>
      </c>
      <c r="E345" s="43">
        <f t="shared" si="241"/>
        <v>0.60099999999999998</v>
      </c>
      <c r="F345" s="43">
        <f t="shared" si="241"/>
        <v>0.64501062865240877</v>
      </c>
      <c r="G345" s="43">
        <f t="shared" si="241"/>
        <v>0.44007188608819869</v>
      </c>
      <c r="H345" s="43">
        <f t="shared" si="241"/>
        <v>0.46730387118876332</v>
      </c>
      <c r="I345" s="43">
        <f t="shared" si="241"/>
        <v>0.5075066292735626</v>
      </c>
      <c r="J345" s="43">
        <f t="shared" si="241"/>
        <v>0.53651202540203835</v>
      </c>
      <c r="K345" s="43">
        <f t="shared" si="241"/>
        <v>0.48043341815097546</v>
      </c>
      <c r="L345" s="43">
        <f t="shared" si="241"/>
        <v>0.42982501663339984</v>
      </c>
      <c r="M345" s="43">
        <f t="shared" si="241"/>
        <v>0.37468311923112096</v>
      </c>
      <c r="N345" s="43"/>
      <c r="O345" s="43">
        <f>O147/O$91</f>
        <v>0.39161218673289316</v>
      </c>
      <c r="P345" s="43">
        <f>P147/P$91</f>
        <v>0.36412693202840607</v>
      </c>
      <c r="Q345" s="43">
        <f>Q147/Q$91</f>
        <v>0.36180797374852025</v>
      </c>
      <c r="R345" s="43">
        <f>R147/R$91</f>
        <v>0.37336657893521724</v>
      </c>
      <c r="S345" s="43">
        <f>S147/S$91</f>
        <v>0.37188755317879607</v>
      </c>
      <c r="T345" s="43"/>
      <c r="U345" s="43">
        <f>U147/U$91</f>
        <v>0.36152100989501212</v>
      </c>
      <c r="V345" s="43">
        <f>V147/V$91</f>
        <v>0.36882109617373315</v>
      </c>
      <c r="W345" s="43">
        <f>W147/W$91</f>
        <v>0.35803571516085936</v>
      </c>
      <c r="X345" s="43">
        <f>X147/X$91</f>
        <v>0.3744865355166474</v>
      </c>
      <c r="Y345" s="43">
        <f>Y147/Y$91</f>
        <v>0.36684547618393615</v>
      </c>
      <c r="Z345" s="43"/>
      <c r="AA345" s="43">
        <f>AA147/AA$91</f>
        <v>0.34195904473833511</v>
      </c>
      <c r="AB345" s="43">
        <f>AB147/AB$91</f>
        <v>0.34672667501923554</v>
      </c>
      <c r="AC345" s="43">
        <f>AC147/AC$91</f>
        <v>0.33539023745221708</v>
      </c>
      <c r="AD345" s="43">
        <f>AD147/AD$91</f>
        <v>0.35702460587126184</v>
      </c>
      <c r="AE345" s="43">
        <f>AE147/AE$91</f>
        <v>0.34663573722594865</v>
      </c>
      <c r="AF345" s="43"/>
      <c r="AG345" s="43">
        <f>AG147/AG$91</f>
        <v>0.32834731609815115</v>
      </c>
      <c r="AH345" s="43">
        <f>AH147/AH$91</f>
        <v>0.32749653442001037</v>
      </c>
      <c r="AI345" s="43">
        <f>AI147/AI$91</f>
        <v>0.32458426184998829</v>
      </c>
      <c r="AJ345" s="43">
        <f>AJ147/AJ$91</f>
        <v>0.34227061540202436</v>
      </c>
      <c r="AK345" s="43">
        <f>AK147/AK$91</f>
        <v>0.3319360038298596</v>
      </c>
      <c r="AL345" s="43"/>
      <c r="AM345" s="43">
        <f>AM147/AM$91</f>
        <v>0.29162030975753384</v>
      </c>
      <c r="AN345" s="43">
        <f>AN147/AN$91</f>
        <v>0.28782641939663722</v>
      </c>
      <c r="AO345" s="43">
        <f>AO147/AO$91</f>
        <v>0.27262039905335461</v>
      </c>
      <c r="AP345" s="43">
        <f>AP147/AP$91</f>
        <v>0.32405773426771106</v>
      </c>
      <c r="AQ345" s="43">
        <f>AQ147/AQ$91</f>
        <v>0.29707761826670404</v>
      </c>
      <c r="AR345" s="43"/>
      <c r="AS345" s="43">
        <f>AS147/AS$91</f>
        <v>0.27131337247299975</v>
      </c>
      <c r="AT345" s="43">
        <f>AT147/AT$91</f>
        <v>0.27194867269367151</v>
      </c>
      <c r="AU345" s="43">
        <f>AU147/AU$91</f>
        <v>0.24279073641167009</v>
      </c>
      <c r="AV345" s="43">
        <f>AV147/AV$91</f>
        <v>0.25255355909800814</v>
      </c>
      <c r="AW345" s="43">
        <f>AW147/AW$91</f>
        <v>0.25831351785485829</v>
      </c>
      <c r="AX345" s="43"/>
      <c r="AY345" s="43">
        <f>AY147/AY$91</f>
        <v>0.25042220427344153</v>
      </c>
      <c r="AZ345" s="43">
        <f>AZ147/AZ$91</f>
        <v>0.23855832770003665</v>
      </c>
      <c r="BA345" s="43">
        <f>BA147/BA$91</f>
        <v>0.24688045007867032</v>
      </c>
      <c r="BB345" s="43">
        <f>BB147/BB$91</f>
        <v>0.2467572175805339</v>
      </c>
      <c r="BC345" s="43">
        <f>BC147/BC$91</f>
        <v>0.24554307337529421</v>
      </c>
      <c r="BD345" s="43"/>
      <c r="BE345" s="43">
        <f>BE147/BE$91</f>
        <v>0.23640971190545043</v>
      </c>
      <c r="BF345" s="43">
        <f>BF147/BF$91</f>
        <v>0.23993577649818082</v>
      </c>
      <c r="BG345" s="43">
        <f>BG147/BG$91</f>
        <v>0.22846999094669204</v>
      </c>
      <c r="BH345" s="43">
        <f>BH147/BH$91</f>
        <v>0.2118010181035847</v>
      </c>
      <c r="BI345" s="43">
        <f>BI147/BI$91</f>
        <v>0.22837054406105872</v>
      </c>
      <c r="BJ345" s="43"/>
      <c r="BK345" s="43">
        <f>BK147/BK$91</f>
        <v>0.23224852071005916</v>
      </c>
      <c r="BL345" s="43">
        <f>BL147/BL$91</f>
        <v>0.22174101342572541</v>
      </c>
      <c r="BM345" s="43">
        <f>BM147/BM$91</f>
        <v>0.22583441699176421</v>
      </c>
      <c r="BN345" s="43">
        <f>BN147/BN$91</f>
        <v>0.20060747333474604</v>
      </c>
      <c r="BO345" s="43">
        <f>BO147/BO$91</f>
        <v>0.21867150727146084</v>
      </c>
      <c r="BP345" s="43"/>
      <c r="BQ345" s="43">
        <f>BQ147/BQ$91</f>
        <v>0.22393822393822393</v>
      </c>
      <c r="BR345" s="43">
        <f>BR147/BR$91</f>
        <v>0.21016813450760607</v>
      </c>
      <c r="BS345" s="43">
        <f>BS147/BS$91</f>
        <v>0.21004384216819449</v>
      </c>
      <c r="BT345" s="43">
        <f>BT147/BT$91</f>
        <v>0.20149496262593436</v>
      </c>
      <c r="BU345" s="43">
        <f>BU147/BU$91</f>
        <v>0.21031902323749507</v>
      </c>
      <c r="BV345" s="43"/>
      <c r="BW345" s="43">
        <f>BW147/BW$91</f>
        <v>0.21670428893905191</v>
      </c>
      <c r="BX345" s="43">
        <f>BX147/BX$91</f>
        <v>0.2013788098693759</v>
      </c>
      <c r="BY345" s="43">
        <f>BY147/BY$91</f>
        <v>0.21564823795667637</v>
      </c>
      <c r="BZ345" s="43">
        <f>BZ147/BZ$91</f>
        <v>0.19802712700369915</v>
      </c>
      <c r="CA345" s="43">
        <f>CA147/CA$91</f>
        <v>0.2067002227906593</v>
      </c>
      <c r="CB345" s="43"/>
      <c r="CC345" s="43">
        <f>CC147/CC$91</f>
        <v>0.2108703130374957</v>
      </c>
      <c r="CD345" s="43">
        <f>CD147/CD$91</f>
        <v>0.20771950500883912</v>
      </c>
      <c r="CE345" s="43">
        <f>CE147/CE$91</f>
        <v>0.21333182435491171</v>
      </c>
      <c r="CF345" s="43">
        <f>CF147/CF$91</f>
        <v>0.22240226858416043</v>
      </c>
      <c r="CG345" s="148">
        <f>CG147/CG$91</f>
        <v>0.21458936936449055</v>
      </c>
      <c r="CH345" s="43"/>
      <c r="CI345" s="43">
        <f>CI147/CI$91</f>
        <v>0.20213056541928434</v>
      </c>
      <c r="CJ345" s="43">
        <f>CJ147/CJ$91</f>
        <v>0.21513282732447817</v>
      </c>
      <c r="CK345" s="43">
        <f>CK147/CK$91</f>
        <v>0.21532928748033267</v>
      </c>
      <c r="CL345" s="43">
        <f>CL147/CL$91</f>
        <v>0.21485636579976203</v>
      </c>
      <c r="CM345" s="148">
        <f>CM147/CM$91</f>
        <v>0.21247734636718107</v>
      </c>
      <c r="CN345" s="43"/>
      <c r="CO345" s="43">
        <f>CO147/CO$91</f>
        <v>0.20923143914652734</v>
      </c>
      <c r="CP345" s="43">
        <f>CP147/CP$91</f>
        <v>0.2017151379567487</v>
      </c>
      <c r="CQ345" s="43">
        <f>CQ147/CQ$91</f>
        <v>0.19940420778253584</v>
      </c>
      <c r="CR345" s="43">
        <f>CR147/CR$91</f>
        <v>0.20780112621892596</v>
      </c>
      <c r="CS345" s="148">
        <f>CS147/CS$91</f>
        <v>0.20465301428634614</v>
      </c>
      <c r="CT345" s="43"/>
      <c r="CU345" s="43">
        <f>CU147/CU$91</f>
        <v>0.20158613057912209</v>
      </c>
      <c r="CV345" s="43">
        <f>CV147/CV$91</f>
        <v>0.19869878670652366</v>
      </c>
      <c r="CW345" s="43">
        <f>CW147/CW$91</f>
        <v>0.18859011627906977</v>
      </c>
      <c r="CX345" s="43">
        <f>CX147/CX$91</f>
        <v>0.19037930533352709</v>
      </c>
      <c r="CY345" s="148">
        <f>CY147/CY$91</f>
        <v>0.19456031327147358</v>
      </c>
      <c r="CZ345" s="43"/>
      <c r="DA345" s="43">
        <f>DA147/DA$91</f>
        <v>0.18645072091645271</v>
      </c>
      <c r="DB345" s="43">
        <f>DB147/DB$91</f>
        <v>0.18954359673024523</v>
      </c>
      <c r="DC345" s="43">
        <f>DC147/DC$91</f>
        <v>0.18858008470646428</v>
      </c>
      <c r="DD345" s="43">
        <f>DD147/DD$91</f>
        <v>0.17869380126674281</v>
      </c>
      <c r="DE345" s="148">
        <f>DE147/DE$91</f>
        <v>0.18486872766816839</v>
      </c>
      <c r="DF345" s="43"/>
      <c r="DG345" s="43">
        <f>DG147/DG$91</f>
        <v>0.17264101212440697</v>
      </c>
      <c r="DH345" s="43">
        <f>DH147/DH$91</f>
        <v>0.17379802162410857</v>
      </c>
      <c r="DI345" s="43">
        <f>DI147/DI$91</f>
        <v>0.18121948450096514</v>
      </c>
      <c r="DJ345" s="43">
        <f>DJ147/DJ$91</f>
        <v>0.19202295021284471</v>
      </c>
      <c r="DK345" s="395">
        <f>DK147/DK$91</f>
        <v>0.18086084412870873</v>
      </c>
      <c r="DL345" s="43"/>
      <c r="DM345" s="43">
        <f>DM147/DM$91</f>
        <v>0.19099785663253155</v>
      </c>
      <c r="DN345" s="43">
        <f>DN147/DN$91</f>
        <v>0.18930881852230166</v>
      </c>
      <c r="DO345" s="43">
        <f>DO147/DO$91</f>
        <v>0.18427913181620922</v>
      </c>
      <c r="DP345" s="43">
        <f>DP147/DP$91</f>
        <v>0.18858172452041955</v>
      </c>
      <c r="DQ345" s="395">
        <f>DQ147/DQ$91</f>
        <v>0.18825141939676154</v>
      </c>
      <c r="DR345" s="43"/>
      <c r="DS345" s="43">
        <f>DS147/DS$91</f>
        <v>0.18370081617736631</v>
      </c>
      <c r="DT345" s="43">
        <f>DT147/DT$91</f>
        <v>0.18983869197849226</v>
      </c>
      <c r="DU345" s="43">
        <f>DU147/DU$91</f>
        <v>0.19732441471571907</v>
      </c>
      <c r="DV345" s="43">
        <f>DV147/DV$91</f>
        <v>0.19085849831219778</v>
      </c>
      <c r="DW345" s="395">
        <f>DW147/DW$91</f>
        <v>0.1905886774219526</v>
      </c>
      <c r="DX345" s="43"/>
      <c r="DY345" s="43">
        <f>DY147/DY$91</f>
        <v>0.18864097363083165</v>
      </c>
      <c r="DZ345" s="43">
        <f>DZ147/DZ$91</f>
        <v>0.1982117849833028</v>
      </c>
      <c r="EA345" s="43">
        <f>EA147/EA$91</f>
        <v>0.19205582393988191</v>
      </c>
      <c r="EB345" s="43">
        <f>EB147/EB$91</f>
        <v>0.19380187179939962</v>
      </c>
      <c r="EC345" s="395">
        <f>EC147/EC$91</f>
        <v>0.19331679937344995</v>
      </c>
      <c r="ED345" s="43"/>
      <c r="EE345" s="43">
        <f>EE147/EE$91</f>
        <v>0.19339458076520524</v>
      </c>
      <c r="EF345" s="43">
        <f>EF147/EF$91</f>
        <v>0.19296419650291424</v>
      </c>
      <c r="EG345" s="43">
        <f>EG147/EG$91</f>
        <v>0.19220055710306408</v>
      </c>
      <c r="EH345" s="43">
        <f>EH147/EH$91</f>
        <v>0.20192307692307693</v>
      </c>
      <c r="EI345" s="395">
        <f>EI147/EI$91</f>
        <v>0.19538336862468303</v>
      </c>
      <c r="EJ345" s="43"/>
      <c r="EK345" s="43">
        <f>EK147/EK$91</f>
        <v>0.19879304224352148</v>
      </c>
      <c r="EL345" s="43">
        <f>EL147/EL$91</f>
        <v>0.21009337483325924</v>
      </c>
      <c r="EM345" s="43">
        <f>EM147/EM$91</f>
        <v>0.20479254493010873</v>
      </c>
      <c r="EN345" s="43">
        <f>EN147/EN$91</f>
        <v>0.21224990562476406</v>
      </c>
      <c r="EO345" s="395">
        <f>EO147/EO$91</f>
        <v>0.20684351134738377</v>
      </c>
      <c r="EP345" s="43"/>
      <c r="EQ345" s="43">
        <f>EQ147/EQ$91</f>
        <v>0.21548821548821548</v>
      </c>
      <c r="ER345" s="43">
        <f>ER147/ER$91</f>
        <v>0.20959714568600343</v>
      </c>
      <c r="ES345" s="43">
        <f>ES147/ES$91</f>
        <v>0.20800086262669829</v>
      </c>
      <c r="ET345" s="43">
        <f>ET147/ET$91</f>
        <v>0.20573987752490633</v>
      </c>
      <c r="EU345" s="395">
        <f>EU147/EU$91</f>
        <v>0.20943179257465741</v>
      </c>
      <c r="EV345" s="43"/>
      <c r="EW345" s="43">
        <f>EW147/EW$91</f>
        <v>0.20777247069040383</v>
      </c>
      <c r="EX345" s="43">
        <f>EX147/EX$91</f>
        <v>0.20654205607476636</v>
      </c>
      <c r="EY345" s="43">
        <f>EY147/EY$91</f>
        <v>0.19936579378068739</v>
      </c>
      <c r="EZ345" s="43">
        <f>EZ147/EZ$91</f>
        <v>0.20300000000000001</v>
      </c>
      <c r="FA345" s="395">
        <f>FA147/FA$91</f>
        <v>0.20406878893315045</v>
      </c>
      <c r="FB345" s="43"/>
      <c r="FC345" s="43">
        <f>FC147/FC$91</f>
        <v>0.20649999999999999</v>
      </c>
      <c r="FD345" s="43">
        <f>FD147/FD$91</f>
        <v>0.20100000000000001</v>
      </c>
      <c r="FE345" s="43">
        <f>FE147/FE$91</f>
        <v>0.20100000000000001</v>
      </c>
      <c r="FF345" s="43">
        <f>FF147/FF$91</f>
        <v>0.20300000000000001</v>
      </c>
      <c r="FG345" s="395">
        <f>FG147/FG$91</f>
        <v>0.20283609301522154</v>
      </c>
      <c r="FH345" s="43"/>
      <c r="FI345" s="43">
        <f>FI147/FI$91</f>
        <v>0.2</v>
      </c>
      <c r="FJ345" s="43">
        <f>FJ147/FJ$91</f>
        <v>0.19899999999999998</v>
      </c>
      <c r="FK345" s="43">
        <f>FK147/FK$91</f>
        <v>0.20199999999999999</v>
      </c>
      <c r="FL345" s="43">
        <f>FL147/FL$91</f>
        <v>0.20700000000000002</v>
      </c>
      <c r="FM345" s="395">
        <f>FM147/FM$91</f>
        <v>0.20217628420361497</v>
      </c>
      <c r="GI345"/>
      <c r="GJ345"/>
      <c r="GK345"/>
      <c r="GL345"/>
      <c r="GM345"/>
      <c r="GN345"/>
      <c r="GP345" s="24"/>
      <c r="GQ345" s="24"/>
      <c r="GR345" s="24"/>
      <c r="GS345" s="24"/>
      <c r="GT345" s="24"/>
      <c r="GU345" s="24"/>
      <c r="GV345" s="24"/>
      <c r="GW345" s="24"/>
      <c r="GX345" s="24"/>
      <c r="GY345" s="24"/>
      <c r="GZ345" s="24"/>
      <c r="HA345" s="24"/>
      <c r="HB345" s="24"/>
      <c r="HC345" s="24"/>
      <c r="HD345" s="24"/>
      <c r="HE345" s="24"/>
      <c r="HF345" s="24"/>
      <c r="HG345" s="24"/>
      <c r="HH345" s="24"/>
      <c r="HI345" s="24"/>
      <c r="HJ345" s="24"/>
      <c r="HK345" s="24"/>
      <c r="HL345" s="24"/>
      <c r="HM345" s="24"/>
      <c r="HN345" s="24"/>
      <c r="HO345" s="24"/>
      <c r="HP345" s="24"/>
      <c r="HQ345" s="24"/>
      <c r="HR345" s="24"/>
      <c r="HS345" s="24"/>
      <c r="HT345" s="24"/>
      <c r="HU345" s="24"/>
      <c r="HV345" s="24"/>
      <c r="HW345" s="24"/>
      <c r="HX345" s="24"/>
      <c r="HY345" s="24"/>
      <c r="HZ345" s="24"/>
      <c r="IA345" s="24"/>
      <c r="IB345" s="24"/>
      <c r="IC345" s="24"/>
      <c r="ID345" s="24"/>
      <c r="IE345" s="24"/>
      <c r="IF345" s="24"/>
      <c r="IG345" s="24"/>
      <c r="IH345" s="24"/>
      <c r="II345" s="24"/>
      <c r="IJ345" s="24"/>
      <c r="IK345" s="24"/>
      <c r="IL345" s="24"/>
      <c r="IM345" s="24"/>
      <c r="IN345" s="24"/>
      <c r="IO345" s="24"/>
      <c r="IP345" s="24"/>
      <c r="IQ345" s="24"/>
      <c r="IR345" s="24"/>
      <c r="IS345" s="24"/>
      <c r="IT345" s="24"/>
      <c r="IU345" s="24"/>
      <c r="IV345" s="24"/>
      <c r="IW345" s="24"/>
      <c r="IX345" s="24"/>
      <c r="IY345" s="24"/>
      <c r="IZ345" s="24"/>
      <c r="JA345" s="24"/>
      <c r="JB345" s="24"/>
      <c r="JC345" s="24"/>
      <c r="JD345" s="24"/>
      <c r="JE345" s="24"/>
      <c r="JF345" s="24"/>
      <c r="JG345" s="24"/>
      <c r="JH345" s="24"/>
      <c r="JI345" s="24"/>
      <c r="JJ345" s="24"/>
      <c r="JK345" s="24"/>
      <c r="JL345" s="24"/>
      <c r="JM345" s="24"/>
      <c r="JN345" s="24"/>
      <c r="JO345" s="24"/>
      <c r="JP345" s="24"/>
      <c r="JQ345" s="24"/>
      <c r="JR345" s="24"/>
      <c r="JS345" s="24"/>
      <c r="JT345" s="24"/>
      <c r="JU345" s="24"/>
    </row>
    <row r="346" spans="1:281" s="27" customFormat="1" x14ac:dyDescent="0.2">
      <c r="A346" s="342" t="s">
        <v>178</v>
      </c>
      <c r="B346" s="976"/>
      <c r="C346" s="43">
        <f t="shared" ref="C346:M346" si="242">C150/C$91</f>
        <v>0.158</v>
      </c>
      <c r="D346" s="43">
        <f t="shared" si="242"/>
        <v>0.16800000000000001</v>
      </c>
      <c r="E346" s="43">
        <f t="shared" si="242"/>
        <v>0.126</v>
      </c>
      <c r="F346" s="43">
        <f t="shared" si="242"/>
        <v>7.3173890848692177E-2</v>
      </c>
      <c r="G346" s="43">
        <f t="shared" si="242"/>
        <v>9.1126605296459218E-2</v>
      </c>
      <c r="H346" s="43">
        <f t="shared" si="242"/>
        <v>9.004796163069545E-2</v>
      </c>
      <c r="I346" s="43">
        <f t="shared" si="242"/>
        <v>9.6346533681074653E-2</v>
      </c>
      <c r="J346" s="43">
        <f t="shared" si="242"/>
        <v>8.0480646413392101E-2</v>
      </c>
      <c r="K346" s="43">
        <f t="shared" si="242"/>
        <v>9.384308736217134E-2</v>
      </c>
      <c r="L346" s="43">
        <f t="shared" si="242"/>
        <v>9.7418496340652028E-2</v>
      </c>
      <c r="M346" s="43">
        <f t="shared" si="242"/>
        <v>9.8486517981937374E-2</v>
      </c>
      <c r="N346" s="43"/>
      <c r="O346" s="43">
        <f>O150/O$91</f>
        <v>9.9118736904150045E-2</v>
      </c>
      <c r="P346" s="43">
        <f>P150/P$91</f>
        <v>8.5376260667183859E-2</v>
      </c>
      <c r="Q346" s="43">
        <f>Q150/Q$91</f>
        <v>9.3961190454762575E-2</v>
      </c>
      <c r="R346" s="43">
        <f>R150/R$91</f>
        <v>7.9430855730396238E-2</v>
      </c>
      <c r="S346" s="43">
        <f>S150/S$91</f>
        <v>8.8003955673270018E-2</v>
      </c>
      <c r="T346" s="43"/>
      <c r="U346" s="43">
        <f>U150/U$91</f>
        <v>0.10940745241985325</v>
      </c>
      <c r="V346" s="43">
        <f>V150/V$91</f>
        <v>9.645501551189245E-2</v>
      </c>
      <c r="W346" s="43">
        <f>W150/W$91</f>
        <v>9.0963980008605824E-2</v>
      </c>
      <c r="X346" s="43">
        <f>X150/X$91</f>
        <v>8.0989758714381938E-2</v>
      </c>
      <c r="Y346" s="43">
        <f>Y150/Y$91</f>
        <v>9.2134101928528611E-2</v>
      </c>
      <c r="Z346" s="43"/>
      <c r="AA346" s="43">
        <f>AA150/AA$91</f>
        <v>0.11138162477347649</v>
      </c>
      <c r="AB346" s="43">
        <f>AB150/AB$91</f>
        <v>0.10317430662366849</v>
      </c>
      <c r="AC346" s="43">
        <f>AC150/AC$91</f>
        <v>0.10092210987364975</v>
      </c>
      <c r="AD346" s="43">
        <f>AD150/AD$91</f>
        <v>8.4413441059202857E-2</v>
      </c>
      <c r="AE346" s="43">
        <f>AE150/AE$91</f>
        <v>9.7720472540680225E-2</v>
      </c>
      <c r="AF346" s="43"/>
      <c r="AG346" s="43">
        <f>AG150/AG$91</f>
        <v>0.11664504232818149</v>
      </c>
      <c r="AH346" s="43">
        <f>AH150/AH$91</f>
        <v>0.11353655234125724</v>
      </c>
      <c r="AI346" s="43">
        <f>AI150/AI$91</f>
        <v>0.10527820617730192</v>
      </c>
      <c r="AJ346" s="43">
        <f>AJ150/AJ$91</f>
        <v>7.9647162155608603E-2</v>
      </c>
      <c r="AK346" s="43">
        <f>AK150/AK$91</f>
        <v>0.10066581605335488</v>
      </c>
      <c r="AL346" s="43"/>
      <c r="AM346" s="43">
        <f>AM150/AM$91</f>
        <v>0.10726769614260967</v>
      </c>
      <c r="AN346" s="43">
        <f>AN150/AN$91</f>
        <v>9.7608689730848686E-2</v>
      </c>
      <c r="AO346" s="43">
        <f>AO150/AO$91</f>
        <v>0.1009168221961403</v>
      </c>
      <c r="AP346" s="43">
        <f>AP150/AP$91</f>
        <v>8.2665313979855118E-2</v>
      </c>
      <c r="AQ346" s="43">
        <f>AQ150/AQ$91</f>
        <v>9.5319132160269118E-2</v>
      </c>
      <c r="AR346" s="43"/>
      <c r="AS346" s="43">
        <f>AS150/AS$91</f>
        <v>0.11889089385477675</v>
      </c>
      <c r="AT346" s="43">
        <f>AT150/AT$91</f>
        <v>0.10687877037731876</v>
      </c>
      <c r="AU346" s="43">
        <f>AU150/AU$91</f>
        <v>0.10433172288274195</v>
      </c>
      <c r="AV346" s="43">
        <f>AV150/AV$91</f>
        <v>8.0084224626664396E-2</v>
      </c>
      <c r="AW346" s="43">
        <f>AW150/AW$91</f>
        <v>9.969094171366838E-2</v>
      </c>
      <c r="AX346" s="43"/>
      <c r="AY346" s="43">
        <f>AY150/AY$91</f>
        <v>0.1097149815209144</v>
      </c>
      <c r="AZ346" s="43">
        <f>AZ150/AZ$91</f>
        <v>9.912120571409852E-2</v>
      </c>
      <c r="BA346" s="43">
        <f>BA150/BA$91</f>
        <v>0.11181308144990731</v>
      </c>
      <c r="BB346" s="43">
        <f>BB150/BB$91</f>
        <v>9.720566647316449E-2</v>
      </c>
      <c r="BC346" s="43">
        <f>BC150/BC$91</f>
        <v>0.10387948133201809</v>
      </c>
      <c r="BD346" s="43"/>
      <c r="BE346" s="43">
        <f>BE150/BE$91</f>
        <v>0.11182951407360971</v>
      </c>
      <c r="BF346" s="43">
        <f>BF150/BF$91</f>
        <v>0.10816627367159896</v>
      </c>
      <c r="BG346" s="43">
        <f>BG150/BG$91</f>
        <v>0.12569497452647649</v>
      </c>
      <c r="BH346" s="43">
        <f>BH150/BH$91</f>
        <v>0.1017101414897939</v>
      </c>
      <c r="BI346" s="43">
        <f>BI150/BI$91</f>
        <v>0.11125597332642186</v>
      </c>
      <c r="BJ346" s="43"/>
      <c r="BK346" s="43">
        <f>BK150/BK$91</f>
        <v>0.14102564102564102</v>
      </c>
      <c r="BL346" s="43">
        <f>BL150/BL$91</f>
        <v>0.12776093546990039</v>
      </c>
      <c r="BM346" s="43">
        <f>BM150/BM$91</f>
        <v>0.1304724750758561</v>
      </c>
      <c r="BN346" s="43">
        <f>BN150/BN$91</f>
        <v>0.10524828706646888</v>
      </c>
      <c r="BO346" s="43">
        <f>BO150/BO$91</f>
        <v>0.12453300124533001</v>
      </c>
      <c r="BP346" s="43"/>
      <c r="BQ346" s="43">
        <f>BQ150/BQ$91</f>
        <v>0.14382239382239381</v>
      </c>
      <c r="BR346" s="43">
        <f>BR150/BR$91</f>
        <v>0.12930344275420336</v>
      </c>
      <c r="BS346" s="43">
        <f>BS150/BS$91</f>
        <v>0.13072937425269032</v>
      </c>
      <c r="BT346" s="43">
        <f>BT150/BT$91</f>
        <v>0.10692232694182645</v>
      </c>
      <c r="BU346" s="43">
        <f>BU150/BU$91</f>
        <v>0.12583694367861362</v>
      </c>
      <c r="BV346" s="43"/>
      <c r="BW346" s="43">
        <f>BW150/BW$91</f>
        <v>0.14085778781038374</v>
      </c>
      <c r="BX346" s="43">
        <f>BX150/BX$91</f>
        <v>0.11865021770682148</v>
      </c>
      <c r="BY346" s="43">
        <f>BY150/BY$91</f>
        <v>0.12641448431943098</v>
      </c>
      <c r="BZ346" s="43">
        <f>BZ150/BZ$91</f>
        <v>0.11122071516646116</v>
      </c>
      <c r="CA346" s="43">
        <f>CA150/CA$91</f>
        <v>0.1222048023764337</v>
      </c>
      <c r="CB346" s="43"/>
      <c r="CC346" s="43">
        <f>CC150/CC$91</f>
        <v>0.13622291021671826</v>
      </c>
      <c r="CD346" s="43">
        <f>CD150/CD$91</f>
        <v>0.13671184443134943</v>
      </c>
      <c r="CE346" s="43">
        <f>CE150/CE$91</f>
        <v>0.13128112267994568</v>
      </c>
      <c r="CF346" s="43">
        <f>CF150/CF$91</f>
        <v>0.10787927891432045</v>
      </c>
      <c r="CG346" s="148">
        <f>CG150/CG$91</f>
        <v>0.12568032276407354</v>
      </c>
      <c r="CH346" s="43"/>
      <c r="CI346" s="43">
        <f>CI150/CI$91</f>
        <v>0.13220431576072111</v>
      </c>
      <c r="CJ346" s="43">
        <f>CJ150/CJ$91</f>
        <v>0.11812144212523719</v>
      </c>
      <c r="CK346" s="43">
        <f>CK150/CK$91</f>
        <v>0.12339851652056642</v>
      </c>
      <c r="CL346" s="43">
        <f>CL150/CL$91</f>
        <v>9.8419173890872E-2</v>
      </c>
      <c r="CM346" s="148">
        <f>CM150/CM$91</f>
        <v>0.11587676423746499</v>
      </c>
      <c r="CN346" s="43"/>
      <c r="CO346" s="43">
        <f>CO150/CO$91</f>
        <v>0.13585891574134554</v>
      </c>
      <c r="CP346" s="43">
        <f>CP150/CP$91</f>
        <v>0.12099179716629381</v>
      </c>
      <c r="CQ346" s="43">
        <f>CQ150/CQ$91</f>
        <v>0.12120647924036493</v>
      </c>
      <c r="CR346" s="43">
        <f>CR150/CR$91</f>
        <v>9.6552671336354895E-2</v>
      </c>
      <c r="CS346" s="148">
        <f>CS150/CS$91</f>
        <v>0.11619266663717988</v>
      </c>
      <c r="CT346" s="43"/>
      <c r="CU346" s="43">
        <f>CU150/CU$91</f>
        <v>0.12375507192917742</v>
      </c>
      <c r="CV346" s="43">
        <f>CV150/CV$91</f>
        <v>0.10655881835765782</v>
      </c>
      <c r="CW346" s="43">
        <f>CW150/CW$91</f>
        <v>0.1159156976744186</v>
      </c>
      <c r="CX346" s="43">
        <f>CX150/CX$91</f>
        <v>0.10129341665455602</v>
      </c>
      <c r="CY346" s="148">
        <f>CY150/CY$91</f>
        <v>0.11117732186941347</v>
      </c>
      <c r="CZ346" s="43"/>
      <c r="DA346" s="43">
        <f>DA150/DA$91</f>
        <v>0.12403713213509777</v>
      </c>
      <c r="DB346" s="43">
        <f>DB150/DB$91</f>
        <v>0.11307901907356949</v>
      </c>
      <c r="DC346" s="43">
        <f>DC150/DC$91</f>
        <v>0.12010387362042849</v>
      </c>
      <c r="DD346" s="43">
        <f>DD150/DD$91</f>
        <v>0.10518118575433497</v>
      </c>
      <c r="DE346" s="148">
        <f>DE150/DE$91</f>
        <v>0.11399868320794217</v>
      </c>
      <c r="DF346" s="43"/>
      <c r="DG346" s="43">
        <f>DG150/DG$91</f>
        <v>0.13758566157090144</v>
      </c>
      <c r="DH346" s="43">
        <f>DH150/DH$91</f>
        <v>0.12238325281803543</v>
      </c>
      <c r="DI346" s="43">
        <f>DI150/DI$91</f>
        <v>0.12138071988191211</v>
      </c>
      <c r="DJ346" s="43">
        <f>DJ150/DJ$91</f>
        <v>0.10272071071626875</v>
      </c>
      <c r="DK346" s="395">
        <f>DK150/DK$91</f>
        <v>0.11943167572085249</v>
      </c>
      <c r="DL346" s="43"/>
      <c r="DM346" s="43">
        <f>DM150/DM$91</f>
        <v>0.11657537508930697</v>
      </c>
      <c r="DN346" s="43">
        <f>DN150/DN$91</f>
        <v>0.11735330836454431</v>
      </c>
      <c r="DO346" s="43">
        <f>DO150/DO$91</f>
        <v>0.118181407290515</v>
      </c>
      <c r="DP346" s="43">
        <f>DP150/DP$91</f>
        <v>0.10447336215562227</v>
      </c>
      <c r="DQ346" s="395">
        <f>DQ150/DQ$91</f>
        <v>0.11359026704859539</v>
      </c>
      <c r="DR346" s="43"/>
      <c r="DS346" s="43">
        <f>DS150/DS$91</f>
        <v>0.13619198440735777</v>
      </c>
      <c r="DT346" s="43">
        <f>DT150/DT$91</f>
        <v>0.1218040162405355</v>
      </c>
      <c r="DU346" s="43">
        <f>DU150/DU$91</f>
        <v>0.12263099219620958</v>
      </c>
      <c r="DV346" s="43">
        <f>DV150/DV$91</f>
        <v>0.10683331812790804</v>
      </c>
      <c r="DW346" s="395">
        <f>DW150/DW$91</f>
        <v>0.12076879714385419</v>
      </c>
      <c r="DX346" s="43"/>
      <c r="DY346" s="43">
        <f>DY150/DY$91</f>
        <v>0.13602195442071352</v>
      </c>
      <c r="DZ346" s="43">
        <f>DZ150/DZ$91</f>
        <v>0.12776042227728104</v>
      </c>
      <c r="EA346" s="43">
        <f>EA150/EA$91</f>
        <v>0.12807300053676865</v>
      </c>
      <c r="EB346" s="43">
        <f>EB150/EB$91</f>
        <v>0.11018894578845136</v>
      </c>
      <c r="EC346" s="395">
        <f>EC150/EC$91</f>
        <v>0.12444850541704738</v>
      </c>
      <c r="ED346" s="43"/>
      <c r="EE346" s="43">
        <f>EE150/EE$91</f>
        <v>0.14199325502965462</v>
      </c>
      <c r="EF346" s="43">
        <f>EF150/EF$91</f>
        <v>0.13062031640299751</v>
      </c>
      <c r="EG346" s="43">
        <f>EG150/EG$91</f>
        <v>0.13199057210199272</v>
      </c>
      <c r="EH346" s="43">
        <f>EH150/EH$91</f>
        <v>0.12070575056011949</v>
      </c>
      <c r="EI346" s="395">
        <f>EI150/EI$91</f>
        <v>0.13073484432593521</v>
      </c>
      <c r="EJ346" s="43"/>
      <c r="EK346" s="43">
        <f>EK150/EK$91</f>
        <v>0.14696485623003194</v>
      </c>
      <c r="EL346" s="43">
        <f>EL150/EL$91</f>
        <v>0.14373054690973766</v>
      </c>
      <c r="EM346" s="43">
        <f>EM150/EM$91</f>
        <v>0.14033725316174839</v>
      </c>
      <c r="EN346" s="43">
        <f>EN150/EN$91</f>
        <v>0.12995469988674971</v>
      </c>
      <c r="EO346" s="395">
        <f>EO150/EO$91</f>
        <v>0.13970369970585855</v>
      </c>
      <c r="EP346" s="43"/>
      <c r="EQ346" s="43">
        <f>EQ150/EQ$91</f>
        <v>0.15383722280274004</v>
      </c>
      <c r="ER346" s="43">
        <f>ER150/ER$91</f>
        <v>0.14575877253913547</v>
      </c>
      <c r="ES346" s="43">
        <f>ES150/ES$91</f>
        <v>0.14341168859176193</v>
      </c>
      <c r="ET346" s="43">
        <f>ET150/ET$91</f>
        <v>0.1290558449867471</v>
      </c>
      <c r="EU346" s="395">
        <f>EU150/EU$91</f>
        <v>0.1421983029085081</v>
      </c>
      <c r="EV346" s="43"/>
      <c r="EW346" s="43">
        <f>EW150/EW$91</f>
        <v>0.14546244029526703</v>
      </c>
      <c r="EX346" s="43">
        <f>EX150/EX$91</f>
        <v>0.12855659397715472</v>
      </c>
      <c r="EY346" s="43">
        <f>EY150/EY$91</f>
        <v>0.13062602291325695</v>
      </c>
      <c r="EZ346" s="43">
        <f>EZ150/EZ$91</f>
        <v>0.11999999999999998</v>
      </c>
      <c r="FA346" s="395">
        <f>FA150/FA$91</f>
        <v>0.13057183130322536</v>
      </c>
      <c r="FB346" s="43"/>
      <c r="FC346" s="43">
        <f>FC150/FC$91</f>
        <v>0.14349999999999999</v>
      </c>
      <c r="FD346" s="43">
        <f>FD150/FD$91</f>
        <v>0.13300000000000001</v>
      </c>
      <c r="FE346" s="43">
        <f>FE150/FE$91</f>
        <v>0.13159999999999999</v>
      </c>
      <c r="FF346" s="43">
        <f>FF150/FF$91</f>
        <v>0.12200000000000001</v>
      </c>
      <c r="FG346" s="395">
        <f>FG150/FG$91</f>
        <v>0.13204212901315615</v>
      </c>
      <c r="FH346" s="43"/>
      <c r="FI346" s="43">
        <f>FI150/FI$91</f>
        <v>0.14449999999999999</v>
      </c>
      <c r="FJ346" s="43">
        <f>FJ150/FJ$91</f>
        <v>0.13400000000000001</v>
      </c>
      <c r="FK346" s="43">
        <f>FK150/FK$91</f>
        <v>0.1326</v>
      </c>
      <c r="FL346" s="43">
        <f>FL150/FL$91</f>
        <v>0.124</v>
      </c>
      <c r="FM346" s="395">
        <f>FM150/FM$91</f>
        <v>0.13336285390174318</v>
      </c>
      <c r="GI346"/>
      <c r="GJ346"/>
      <c r="GK346"/>
      <c r="GL346"/>
      <c r="GM346"/>
      <c r="GN346"/>
      <c r="GP346" s="24"/>
      <c r="GQ346" s="24"/>
      <c r="GR346" s="24"/>
      <c r="GS346" s="24"/>
      <c r="GT346" s="24"/>
      <c r="GU346" s="24"/>
      <c r="GV346" s="24"/>
      <c r="GW346" s="24"/>
      <c r="GX346" s="24"/>
      <c r="GY346" s="24"/>
      <c r="GZ346" s="24"/>
      <c r="HA346" s="24"/>
      <c r="HB346" s="24"/>
      <c r="HC346" s="24"/>
      <c r="HD346" s="24"/>
      <c r="HE346" s="24"/>
      <c r="HF346" s="24"/>
      <c r="HG346" s="24"/>
      <c r="HH346" s="24"/>
      <c r="HI346" s="24"/>
      <c r="HJ346" s="24"/>
      <c r="HK346" s="24"/>
      <c r="HL346" s="24"/>
      <c r="HM346" s="24"/>
      <c r="HN346" s="24"/>
      <c r="HO346" s="24"/>
      <c r="HP346" s="24"/>
      <c r="HQ346" s="24"/>
      <c r="HR346" s="24"/>
      <c r="HS346" s="24"/>
      <c r="HT346" s="24"/>
      <c r="HU346" s="24"/>
      <c r="HV346" s="24"/>
      <c r="HW346" s="24"/>
      <c r="HX346" s="24"/>
      <c r="HY346" s="24"/>
      <c r="HZ346" s="24"/>
      <c r="IA346" s="24"/>
      <c r="IB346" s="24"/>
      <c r="IC346" s="24"/>
      <c r="ID346" s="24"/>
      <c r="IE346" s="24"/>
      <c r="IF346" s="24"/>
      <c r="IG346" s="24"/>
      <c r="IH346" s="24"/>
      <c r="II346" s="24"/>
      <c r="IJ346" s="24"/>
      <c r="IK346" s="24"/>
      <c r="IL346" s="24"/>
      <c r="IM346" s="24"/>
      <c r="IN346" s="24"/>
      <c r="IO346" s="24"/>
      <c r="IP346" s="24"/>
      <c r="IQ346" s="24"/>
      <c r="IR346" s="24"/>
      <c r="IS346" s="24"/>
      <c r="IT346" s="24"/>
      <c r="IU346" s="24"/>
      <c r="IV346" s="24"/>
      <c r="IW346" s="24"/>
      <c r="IX346" s="24"/>
      <c r="IY346" s="24"/>
      <c r="IZ346" s="24"/>
      <c r="JA346" s="24"/>
      <c r="JB346" s="24"/>
      <c r="JC346" s="24"/>
      <c r="JD346" s="24"/>
      <c r="JE346" s="24"/>
      <c r="JF346" s="24"/>
      <c r="JG346" s="24"/>
      <c r="JH346" s="24"/>
      <c r="JI346" s="24"/>
      <c r="JJ346" s="24"/>
      <c r="JK346" s="24"/>
      <c r="JL346" s="24"/>
      <c r="JM346" s="24"/>
      <c r="JN346" s="24"/>
      <c r="JO346" s="24"/>
      <c r="JP346" s="24"/>
      <c r="JQ346" s="24"/>
      <c r="JR346" s="24"/>
      <c r="JS346" s="24"/>
      <c r="JT346" s="24"/>
      <c r="JU346" s="24"/>
    </row>
    <row r="347" spans="1:281" s="27" customFormat="1" x14ac:dyDescent="0.2">
      <c r="A347" s="342" t="s">
        <v>179</v>
      </c>
      <c r="B347" s="976"/>
      <c r="C347" s="43">
        <f t="shared" ref="C347:M347" si="243">C153/C$91</f>
        <v>0.13100000000000001</v>
      </c>
      <c r="D347" s="43">
        <f t="shared" si="243"/>
        <v>8.5999999999999993E-2</v>
      </c>
      <c r="E347" s="43">
        <f t="shared" si="243"/>
        <v>7.6999999999999999E-2</v>
      </c>
      <c r="F347" s="43">
        <f t="shared" si="243"/>
        <v>6.5547166073646274E-2</v>
      </c>
      <c r="G347" s="43">
        <f t="shared" si="243"/>
        <v>6.0688447536979856E-2</v>
      </c>
      <c r="H347" s="43">
        <f t="shared" si="243"/>
        <v>5.88283658787256E-2</v>
      </c>
      <c r="I347" s="43">
        <f t="shared" si="243"/>
        <v>7.3394515435567825E-2</v>
      </c>
      <c r="J347" s="43">
        <f t="shared" si="243"/>
        <v>9.7770414680105722E-2</v>
      </c>
      <c r="K347" s="43">
        <f t="shared" si="243"/>
        <v>9.0075487701441914E-2</v>
      </c>
      <c r="L347" s="43">
        <f t="shared" si="243"/>
        <v>8.1689288090485687E-2</v>
      </c>
      <c r="M347" s="43">
        <f t="shared" si="243"/>
        <v>6.7510782566198288E-2</v>
      </c>
      <c r="N347" s="43"/>
      <c r="O347" s="43">
        <f>O153/O$91</f>
        <v>7.0675359495681739E-2</v>
      </c>
      <c r="P347" s="43">
        <f>P153/P$91</f>
        <v>6.4863937458972371E-2</v>
      </c>
      <c r="Q347" s="43">
        <f>Q153/Q$91</f>
        <v>5.819908756723826E-2</v>
      </c>
      <c r="R347" s="43">
        <f>R153/R$91</f>
        <v>4.8495941069616327E-2</v>
      </c>
      <c r="S347" s="43">
        <f>S153/S$91</f>
        <v>5.8715929674223212E-2</v>
      </c>
      <c r="T347" s="43"/>
      <c r="U347" s="43">
        <f>U153/U$91</f>
        <v>6.6996370835562966E-2</v>
      </c>
      <c r="V347" s="43">
        <f>V153/V$91</f>
        <v>5.9180972078593588E-2</v>
      </c>
      <c r="W347" s="43">
        <f>W153/W$91</f>
        <v>5.4268656657900739E-2</v>
      </c>
      <c r="X347" s="43">
        <f>X153/X$91</f>
        <v>4.7018115204559334E-2</v>
      </c>
      <c r="Y347" s="43">
        <f>Y153/Y$91</f>
        <v>5.5205919041769157E-2</v>
      </c>
      <c r="Z347" s="43"/>
      <c r="AA347" s="43">
        <f>AA153/AA$91</f>
        <v>6.6784881770641791E-2</v>
      </c>
      <c r="AB347" s="43">
        <f>AB153/AB$91</f>
        <v>5.3161076215538977E-2</v>
      </c>
      <c r="AC347" s="43">
        <f>AC153/AC$91</f>
        <v>5.4899669462550628E-2</v>
      </c>
      <c r="AD347" s="43">
        <f>AD153/AD$91</f>
        <v>4.7671725963293193E-2</v>
      </c>
      <c r="AE347" s="43">
        <f>AE153/AE$91</f>
        <v>5.4221812362956728E-2</v>
      </c>
      <c r="AF347" s="43"/>
      <c r="AG347" s="43">
        <f>AG153/AG$91</f>
        <v>5.516690190440289E-2</v>
      </c>
      <c r="AH347" s="43">
        <f>AH153/AH$91</f>
        <v>5.043170251225889E-2</v>
      </c>
      <c r="AI347" s="43">
        <f>AI153/AI$91</f>
        <v>5.2815228187792815E-2</v>
      </c>
      <c r="AJ347" s="43">
        <f>AJ153/AJ$91</f>
        <v>4.9448861848838142E-2</v>
      </c>
      <c r="AK347" s="43">
        <f>AK153/AK$91</f>
        <v>5.1590560571903303E-2</v>
      </c>
      <c r="AL347" s="43"/>
      <c r="AM347" s="43">
        <f>AM153/AM$91</f>
        <v>5.3904557174791749E-2</v>
      </c>
      <c r="AN347" s="43">
        <f>AN153/AN$91</f>
        <v>4.9416715630386812E-2</v>
      </c>
      <c r="AO347" s="43">
        <f>AO153/AO$91</f>
        <v>4.9863871625651777E-2</v>
      </c>
      <c r="AP347" s="43">
        <f>AP153/AP$91</f>
        <v>4.3112475274167103E-2</v>
      </c>
      <c r="AQ347" s="43">
        <f>AQ153/AQ$91</f>
        <v>4.8309258645839043E-2</v>
      </c>
      <c r="AR347" s="43"/>
      <c r="AS347" s="43">
        <f>AS153/AS$91</f>
        <v>5.4187996373928772E-2</v>
      </c>
      <c r="AT347" s="43">
        <f>AT153/AT$91</f>
        <v>4.8691083917665107E-2</v>
      </c>
      <c r="AU347" s="43">
        <f>AU153/AU$91</f>
        <v>4.9884503175856479E-2</v>
      </c>
      <c r="AV347" s="43">
        <f>AV153/AV$91</f>
        <v>4.0861094564518363E-2</v>
      </c>
      <c r="AW347" s="43">
        <f>AW153/AW$91</f>
        <v>4.7448363929853597E-2</v>
      </c>
      <c r="AX347" s="43"/>
      <c r="AY347" s="43">
        <f>AY153/AY$91</f>
        <v>4.63135360613149E-2</v>
      </c>
      <c r="AZ347" s="43">
        <f>AZ153/AZ$91</f>
        <v>4.1468756793458031E-2</v>
      </c>
      <c r="BA347" s="43">
        <f>BA153/BA$91</f>
        <v>4.4720781643745579E-2</v>
      </c>
      <c r="BB347" s="43">
        <f>BB153/BB$91</f>
        <v>3.6073769918820268E-2</v>
      </c>
      <c r="BC347" s="43">
        <f>BC153/BC$91</f>
        <v>4.1660508296373994E-2</v>
      </c>
      <c r="BD347" s="43"/>
      <c r="BE347" s="43">
        <f>BE153/BE$91</f>
        <v>4.3095642269172278E-2</v>
      </c>
      <c r="BF347" s="43">
        <f>BF153/BF$91</f>
        <v>4.1554134808020546E-2</v>
      </c>
      <c r="BG347" s="43">
        <f>BG153/BG$91</f>
        <v>4.6637849928106094E-2</v>
      </c>
      <c r="BH347" s="43">
        <f>BH153/BH$91</f>
        <v>3.9507119911780214E-2</v>
      </c>
      <c r="BI347" s="43">
        <f>BI153/BI$91</f>
        <v>4.2512333304351696E-2</v>
      </c>
      <c r="BJ347" s="43"/>
      <c r="BK347" s="43">
        <f>BK153/BK$91</f>
        <v>5.0295857988165681E-2</v>
      </c>
      <c r="BL347" s="43">
        <f>BL153/BL$91</f>
        <v>4.7206582936336075E-2</v>
      </c>
      <c r="BM347" s="43">
        <f>BM153/BM$91</f>
        <v>4.9848287819679239E-2</v>
      </c>
      <c r="BN347" s="43">
        <f>BN153/BN$91</f>
        <v>4.0615949706858799E-2</v>
      </c>
      <c r="BO347" s="43">
        <f>BO153/BO$91</f>
        <v>4.654157080439876E-2</v>
      </c>
      <c r="BP347" s="43"/>
      <c r="BQ347" s="43">
        <f>BQ153/BQ$91</f>
        <v>6.3223938223938222E-2</v>
      </c>
      <c r="BR347" s="43">
        <f>BR153/BR$91</f>
        <v>5.4843875100080063E-2</v>
      </c>
      <c r="BS347" s="43">
        <f>BS153/BS$91</f>
        <v>5.7791948983658831E-2</v>
      </c>
      <c r="BT347" s="43">
        <f>BT153/BT$91</f>
        <v>4.809879753006175E-2</v>
      </c>
      <c r="BU347" s="43">
        <f>BU153/BU$91</f>
        <v>5.5238282788499411E-2</v>
      </c>
      <c r="BV347" s="43"/>
      <c r="BW347" s="43">
        <f>BW153/BW$91</f>
        <v>5.6207674943566592E-2</v>
      </c>
      <c r="BX347" s="43">
        <f>BX153/BX$91</f>
        <v>4.7060957910014509E-2</v>
      </c>
      <c r="BY347" s="43">
        <f>BY153/BY$91</f>
        <v>4.7203362431296476E-2</v>
      </c>
      <c r="BZ347" s="43">
        <f>BZ153/BZ$91</f>
        <v>3.6991368680641186E-2</v>
      </c>
      <c r="CA347" s="43">
        <f>CA153/CA$91</f>
        <v>4.5399785460846609E-2</v>
      </c>
      <c r="CB347" s="43"/>
      <c r="CC347" s="43">
        <f>CC153/CC$91</f>
        <v>5.3663570691434466E-2</v>
      </c>
      <c r="CD347" s="43">
        <f>CD153/CD$91</f>
        <v>3.2115497937536833E-2</v>
      </c>
      <c r="CE347" s="43">
        <f>CE153/CE$91</f>
        <v>4.130828429153463E-2</v>
      </c>
      <c r="CF347" s="43">
        <f>CF153/CF$91</f>
        <v>2.9278914320437516E-2</v>
      </c>
      <c r="CG347" s="148">
        <f>CG153/CG$91</f>
        <v>3.7607294684682241E-2</v>
      </c>
      <c r="CH347" s="43"/>
      <c r="CI347" s="43">
        <f>CI153/CI$91</f>
        <v>3.9606664845670582E-2</v>
      </c>
      <c r="CJ347" s="43">
        <f>CJ153/CJ$91</f>
        <v>3.747628083491461E-2</v>
      </c>
      <c r="CK347" s="43">
        <f>CK153/CK$91</f>
        <v>3.6637446617217351E-2</v>
      </c>
      <c r="CL347" s="43">
        <f>CL153/CL$91</f>
        <v>2.991670916199218E-2</v>
      </c>
      <c r="CM347" s="148">
        <f>CM153/CM$91</f>
        <v>3.5257290350925369E-2</v>
      </c>
      <c r="CN347" s="43"/>
      <c r="CO347" s="43">
        <f>CO153/CO$91</f>
        <v>3.8101458741563246E-2</v>
      </c>
      <c r="CP347" s="43">
        <f>CP153/CP$91</f>
        <v>3.4862043251304993E-2</v>
      </c>
      <c r="CQ347" s="43">
        <f>CQ153/CQ$91</f>
        <v>3.537516291193446E-2</v>
      </c>
      <c r="CR347" s="43">
        <f>CR153/CR$91</f>
        <v>2.554594149155336E-2</v>
      </c>
      <c r="CS347" s="148">
        <f>CS153/CS$91</f>
        <v>3.2641868282542348E-2</v>
      </c>
      <c r="CT347" s="43"/>
      <c r="CU347" s="43">
        <f>CU153/CU$91</f>
        <v>3.3566949465142014E-2</v>
      </c>
      <c r="CV347" s="43">
        <f>CV153/CV$91</f>
        <v>2.6727624406541233E-2</v>
      </c>
      <c r="CW347" s="43">
        <f>CW153/CW$91</f>
        <v>3.0523255813953487E-2</v>
      </c>
      <c r="CX347" s="43">
        <f>CX153/CX$91</f>
        <v>2.7466937945066123E-2</v>
      </c>
      <c r="CY347" s="148">
        <f>CY153/CY$91</f>
        <v>2.9411764705882353E-2</v>
      </c>
      <c r="CZ347" s="43"/>
      <c r="DA347" s="43">
        <f>DA153/DA$91</f>
        <v>3.3971953387319773E-2</v>
      </c>
      <c r="DB347" s="43">
        <f>DB153/DB$91</f>
        <v>2.5544959128065394E-2</v>
      </c>
      <c r="DC347" s="43">
        <f>DC153/DC$91</f>
        <v>3.1223915664512939E-2</v>
      </c>
      <c r="DD347" s="43">
        <f>DD153/DD$91</f>
        <v>2.6684664105492681E-2</v>
      </c>
      <c r="DE347" s="148">
        <f>DE153/DE$91</f>
        <v>2.8888050481960689E-2</v>
      </c>
      <c r="DF347" s="43"/>
      <c r="DG347" s="43">
        <f>DG153/DG$91</f>
        <v>3.1101739588824461E-2</v>
      </c>
      <c r="DH347" s="43">
        <f>DH153/DH$91</f>
        <v>1.3802622498274672E-2</v>
      </c>
      <c r="DI347" s="43">
        <f>DI153/DI$91</f>
        <v>2.827296468718065E-2</v>
      </c>
      <c r="DJ347" s="43">
        <f>DJ153/DJ$91</f>
        <v>2.0359059781602813E-2</v>
      </c>
      <c r="DK347" s="395">
        <f>DK153/DK$91</f>
        <v>2.2983702465524447E-2</v>
      </c>
      <c r="DL347" s="43"/>
      <c r="DM347" s="43">
        <f>DM153/DM$91</f>
        <v>3.2269587997142177E-2</v>
      </c>
      <c r="DN347" s="43">
        <f>DN153/DN$91</f>
        <v>2.6898195437521279E-2</v>
      </c>
      <c r="DO347" s="43">
        <f>DO153/DO$91</f>
        <v>2.4276292814111394E-2</v>
      </c>
      <c r="DP347" s="43">
        <f>DP153/DP$91</f>
        <v>2.155219708804795E-2</v>
      </c>
      <c r="DQ347" s="395">
        <f>DQ153/DQ$91</f>
        <v>2.5899010746179268E-2</v>
      </c>
      <c r="DR347" s="43"/>
      <c r="DS347" s="43">
        <f>DS153/DS$91</f>
        <v>2.8505299062005118E-2</v>
      </c>
      <c r="DT347" s="43">
        <f>DT153/DT$91</f>
        <v>2.4360803248107101E-2</v>
      </c>
      <c r="DU347" s="43">
        <f>DU153/DU$91</f>
        <v>2.4526198439241916E-2</v>
      </c>
      <c r="DV347" s="43">
        <f>DV153/DV$91</f>
        <v>2.1074719459903295E-2</v>
      </c>
      <c r="DW347" s="395">
        <f>DW153/DW$91</f>
        <v>2.4347032453762112E-2</v>
      </c>
      <c r="DX347" s="43"/>
      <c r="DY347" s="43">
        <f>DY153/DY$91</f>
        <v>2.6011215845364515E-2</v>
      </c>
      <c r="DZ347" s="43">
        <f>DZ153/DZ$91</f>
        <v>2.3699235161047074E-2</v>
      </c>
      <c r="EA347" s="43">
        <f>EA153/EA$91</f>
        <v>2.2436929683306496E-2</v>
      </c>
      <c r="EB347" s="43">
        <f>EB153/EB$91</f>
        <v>1.9424333392194949E-2</v>
      </c>
      <c r="EC347" s="395">
        <f>EC153/EC$91</f>
        <v>2.2634120871948833E-2</v>
      </c>
      <c r="ED347" s="43"/>
      <c r="EE347" s="43">
        <f>EE153/EE$91</f>
        <v>2.6863588789394117E-2</v>
      </c>
      <c r="EF347" s="43">
        <f>EF153/EF$91</f>
        <v>2.3834304746044963E-2</v>
      </c>
      <c r="EG347" s="43">
        <f>EG153/EG$91</f>
        <v>2.3891150632097707E-2</v>
      </c>
      <c r="EH347" s="43">
        <f>EH153/EH$91</f>
        <v>2.3058252427184466E-2</v>
      </c>
      <c r="EI347" s="395">
        <f>EI153/EI$91</f>
        <v>2.4311818680887772E-2</v>
      </c>
      <c r="EJ347" s="43"/>
      <c r="EK347" s="43">
        <f>EK153/EK$91</f>
        <v>2.6979055733049342E-2</v>
      </c>
      <c r="EL347" s="43">
        <f>EL153/EL$91</f>
        <v>2.8679413072476657E-2</v>
      </c>
      <c r="EM347" s="43">
        <f>EM153/EM$91</f>
        <v>2.8954958952740181E-2</v>
      </c>
      <c r="EN347" s="43">
        <f>EN153/EN$91</f>
        <v>2.7274443186107965E-2</v>
      </c>
      <c r="EO347" s="395">
        <f>EO153/EO$91</f>
        <v>2.7956931214075612E-2</v>
      </c>
      <c r="EP347" s="43"/>
      <c r="EQ347" s="43">
        <f>EQ153/EQ$91</f>
        <v>3.2160687333101123E-2</v>
      </c>
      <c r="ER347" s="43">
        <f>ER153/ER$91</f>
        <v>2.9548677035165134E-2</v>
      </c>
      <c r="ES347" s="43">
        <f>ES153/ES$91</f>
        <v>2.2536122492991157E-2</v>
      </c>
      <c r="ET347" s="43">
        <f>ET153/ET$91</f>
        <v>2.6597203180696465E-2</v>
      </c>
      <c r="EU347" s="395">
        <f>EU153/EU$91</f>
        <v>2.7574174529484314E-2</v>
      </c>
      <c r="EV347" s="43"/>
      <c r="EW347" s="43">
        <f>EW153/EW$91</f>
        <v>2.9960920538428137E-2</v>
      </c>
      <c r="EX347" s="43">
        <f>EX153/EX$91</f>
        <v>2.8556593977154723E-2</v>
      </c>
      <c r="EY347" s="43">
        <f>EY153/EY$91</f>
        <v>3.0175941080196399E-2</v>
      </c>
      <c r="EZ347" s="43">
        <f>EZ153/EZ$91</f>
        <v>2.6499999999999996E-2</v>
      </c>
      <c r="FA347" s="395">
        <f>FA153/FA$91</f>
        <v>2.8701158574000848E-2</v>
      </c>
      <c r="FB347" s="43"/>
      <c r="FC347" s="43">
        <f>FC153/FC$91</f>
        <v>2.9499999999999995E-2</v>
      </c>
      <c r="FD347" s="43">
        <f>FD153/FD$91</f>
        <v>2.8000000000000001E-2</v>
      </c>
      <c r="FE347" s="43">
        <f>FE153/FE$91</f>
        <v>2.8000000000000001E-2</v>
      </c>
      <c r="FF347" s="43">
        <f>FF153/FF$91</f>
        <v>2.5999999999999995E-2</v>
      </c>
      <c r="FG347" s="395">
        <f>FG153/FG$91</f>
        <v>2.7793234983573084E-2</v>
      </c>
      <c r="FH347" s="43"/>
      <c r="FI347" s="43">
        <f>FI153/FI$91</f>
        <v>2.9000000000000001E-2</v>
      </c>
      <c r="FJ347" s="43">
        <f>FJ153/FJ$91</f>
        <v>2.7500000000000004E-2</v>
      </c>
      <c r="FK347" s="43">
        <f>FK153/FK$91</f>
        <v>2.75E-2</v>
      </c>
      <c r="FL347" s="43">
        <f>FL153/FL$91</f>
        <v>2.5499999999999998E-2</v>
      </c>
      <c r="FM347" s="395">
        <f>FM153/FM$91</f>
        <v>2.7300857655577975E-2</v>
      </c>
      <c r="GI347"/>
      <c r="GJ347"/>
      <c r="GK347"/>
      <c r="GL347"/>
      <c r="GM347"/>
      <c r="GN347"/>
      <c r="GP347" s="24"/>
      <c r="GQ347" s="24"/>
      <c r="GR347" s="24"/>
      <c r="GS347" s="24"/>
      <c r="GT347" s="24"/>
      <c r="GU347" s="24"/>
      <c r="GV347" s="24"/>
      <c r="GW347" s="24"/>
      <c r="GX347" s="24"/>
      <c r="GY347" s="24"/>
      <c r="GZ347" s="24"/>
      <c r="HA347" s="24"/>
      <c r="HB347" s="24"/>
      <c r="HC347" s="24"/>
      <c r="HD347" s="24"/>
      <c r="HE347" s="24"/>
      <c r="HF347" s="24"/>
      <c r="HG347" s="24"/>
      <c r="HH347" s="24"/>
      <c r="HI347" s="24"/>
      <c r="HJ347" s="24"/>
      <c r="HK347" s="24"/>
      <c r="HL347" s="24"/>
      <c r="HM347" s="24"/>
      <c r="HN347" s="24"/>
      <c r="HO347" s="24"/>
      <c r="HP347" s="24"/>
      <c r="HQ347" s="24"/>
      <c r="HR347" s="24"/>
      <c r="HS347" s="24"/>
      <c r="HT347" s="24"/>
      <c r="HU347" s="24"/>
      <c r="HV347" s="24"/>
      <c r="HW347" s="24"/>
      <c r="HX347" s="24"/>
      <c r="HY347" s="24"/>
      <c r="HZ347" s="24"/>
      <c r="IA347" s="24"/>
      <c r="IB347" s="24"/>
      <c r="IC347" s="24"/>
      <c r="ID347" s="24"/>
      <c r="IE347" s="24"/>
      <c r="IF347" s="24"/>
      <c r="IG347" s="24"/>
      <c r="IH347" s="24"/>
      <c r="II347" s="24"/>
      <c r="IJ347" s="24"/>
      <c r="IK347" s="24"/>
      <c r="IL347" s="24"/>
      <c r="IM347" s="24"/>
      <c r="IN347" s="24"/>
      <c r="IO347" s="24"/>
      <c r="IP347" s="24"/>
      <c r="IQ347" s="24"/>
      <c r="IR347" s="24"/>
      <c r="IS347" s="24"/>
      <c r="IT347" s="24"/>
      <c r="IU347" s="24"/>
      <c r="IV347" s="24"/>
      <c r="IW347" s="24"/>
      <c r="IX347" s="24"/>
      <c r="IY347" s="24"/>
      <c r="IZ347" s="24"/>
      <c r="JA347" s="24"/>
      <c r="JB347" s="24"/>
      <c r="JC347" s="24"/>
      <c r="JD347" s="24"/>
      <c r="JE347" s="24"/>
      <c r="JF347" s="24"/>
      <c r="JG347" s="24"/>
      <c r="JH347" s="24"/>
      <c r="JI347" s="24"/>
      <c r="JJ347" s="24"/>
      <c r="JK347" s="24"/>
      <c r="JL347" s="24"/>
      <c r="JM347" s="24"/>
      <c r="JN347" s="24"/>
      <c r="JO347" s="24"/>
      <c r="JP347" s="24"/>
      <c r="JQ347" s="24"/>
      <c r="JR347" s="24"/>
      <c r="JS347" s="24"/>
      <c r="JT347" s="24"/>
      <c r="JU347" s="24"/>
    </row>
    <row r="348" spans="1:281" s="24" customFormat="1" x14ac:dyDescent="0.2">
      <c r="A348" s="342" t="s">
        <v>410</v>
      </c>
      <c r="B348" s="413"/>
      <c r="C348" s="43">
        <f t="shared" ref="C348:M348" si="244">C167/C$91</f>
        <v>0.79500000000000004</v>
      </c>
      <c r="D348" s="43">
        <f t="shared" si="244"/>
        <v>0.88200000000000001</v>
      </c>
      <c r="E348" s="43">
        <f t="shared" si="244"/>
        <v>0.80399999999999994</v>
      </c>
      <c r="F348" s="43">
        <f t="shared" si="244"/>
        <v>0.78373168557474715</v>
      </c>
      <c r="G348" s="43">
        <f t="shared" si="244"/>
        <v>0.5918869389216378</v>
      </c>
      <c r="H348" s="43">
        <f t="shared" si="244"/>
        <v>0.61618019869818441</v>
      </c>
      <c r="I348" s="43">
        <f t="shared" si="244"/>
        <v>0.67724767839020505</v>
      </c>
      <c r="J348" s="43">
        <f t="shared" si="244"/>
        <v>0.71476308649553622</v>
      </c>
      <c r="K348" s="43">
        <f t="shared" si="244"/>
        <v>0.6643519932145886</v>
      </c>
      <c r="L348" s="43">
        <f t="shared" si="244"/>
        <v>0.60893280106453751</v>
      </c>
      <c r="M348" s="43">
        <f t="shared" si="244"/>
        <v>0.54068041977925663</v>
      </c>
      <c r="N348" s="43"/>
      <c r="O348" s="43">
        <f>O167/O$91</f>
        <v>0.561406283132725</v>
      </c>
      <c r="P348" s="43">
        <f>P167/P$91</f>
        <v>0.51436713015456226</v>
      </c>
      <c r="Q348" s="43">
        <f>Q167/Q$91</f>
        <v>0.51396825177052108</v>
      </c>
      <c r="R348" s="43">
        <f>R167/R$91</f>
        <v>0.50129337573522981</v>
      </c>
      <c r="S348" s="43">
        <f>S167/S$91</f>
        <v>0.51860743852628932</v>
      </c>
      <c r="T348" s="43"/>
      <c r="U348" s="43">
        <f>U167/U$91</f>
        <v>0.53792483315042827</v>
      </c>
      <c r="V348" s="43">
        <f>V167/V$91</f>
        <v>0.52445708376421918</v>
      </c>
      <c r="W348" s="43">
        <f>W167/W$91</f>
        <v>0.50326835182736585</v>
      </c>
      <c r="X348" s="43">
        <f>X167/X$91</f>
        <v>0.50249440943558865</v>
      </c>
      <c r="Y348" s="43">
        <f>Y167/Y$91</f>
        <v>0.51418549715423389</v>
      </c>
      <c r="Z348" s="43"/>
      <c r="AA348" s="43">
        <f>AA167/AA$91</f>
        <v>0.5201255512824533</v>
      </c>
      <c r="AB348" s="43">
        <f>AB167/AB$91</f>
        <v>0.50306205785844305</v>
      </c>
      <c r="AC348" s="43">
        <f>AC167/AC$91</f>
        <v>0.49121201678841742</v>
      </c>
      <c r="AD348" s="43">
        <f>AD167/AD$91</f>
        <v>0.48910977289375784</v>
      </c>
      <c r="AE348" s="43">
        <f>AE167/AE$91</f>
        <v>0.49857802212958563</v>
      </c>
      <c r="AF348" s="43"/>
      <c r="AG348" s="43">
        <f>AG167/AG$91</f>
        <v>0.50015926033073554</v>
      </c>
      <c r="AH348" s="43">
        <f>AH167/AH$91</f>
        <v>0.49146478927352649</v>
      </c>
      <c r="AI348" s="43">
        <f>AI167/AI$91</f>
        <v>0.48267769621508305</v>
      </c>
      <c r="AJ348" s="43">
        <f>AJ167/AJ$91</f>
        <v>0.47136663940647117</v>
      </c>
      <c r="AK348" s="43">
        <f>AK167/AK$91</f>
        <v>0.48419238045511781</v>
      </c>
      <c r="AL348" s="43"/>
      <c r="AM348" s="43">
        <f>AM167/AM$91</f>
        <v>0.45279256307493532</v>
      </c>
      <c r="AN348" s="43">
        <f>AN167/AN$91</f>
        <v>0.43485182475787265</v>
      </c>
      <c r="AO348" s="43">
        <f>AO167/AO$91</f>
        <v>0.42340109287514671</v>
      </c>
      <c r="AP348" s="43">
        <f>AP167/AP$91</f>
        <v>0.44983552352173328</v>
      </c>
      <c r="AQ348" s="43">
        <f>AQ167/AQ$91</f>
        <v>0.44070600907281221</v>
      </c>
      <c r="AR348" s="43"/>
      <c r="AS348" s="43">
        <f>AS167/AS$91</f>
        <v>0.44439226270170529</v>
      </c>
      <c r="AT348" s="43">
        <f>AT167/AT$91</f>
        <v>0.42751852698865533</v>
      </c>
      <c r="AU348" s="43">
        <f>AU167/AU$91</f>
        <v>0.39700696247026851</v>
      </c>
      <c r="AV348" s="43">
        <f>AV167/AV$91</f>
        <v>0.37349887828919093</v>
      </c>
      <c r="AW348" s="43">
        <f>AW167/AW$91</f>
        <v>0.40545282349838024</v>
      </c>
      <c r="AX348" s="43"/>
      <c r="AY348" s="43">
        <f>AY167/AY$91</f>
        <v>0.40645072185567077</v>
      </c>
      <c r="AZ348" s="43">
        <f>AZ167/AZ$91</f>
        <v>0.37914829020759322</v>
      </c>
      <c r="BA348" s="43">
        <f>BA167/BA$91</f>
        <v>0.40341431317232318</v>
      </c>
      <c r="BB348" s="43">
        <f>BB167/BB$91</f>
        <v>0.38003665397251868</v>
      </c>
      <c r="BC348" s="43">
        <f>BC167/BC$91</f>
        <v>0.39108306300368634</v>
      </c>
      <c r="BD348" s="43"/>
      <c r="BE348" s="43">
        <f>BE167/BE$91</f>
        <v>0.39133486824823238</v>
      </c>
      <c r="BF348" s="43">
        <f>BF167/BF$91</f>
        <v>0.3896561849778003</v>
      </c>
      <c r="BG348" s="43">
        <f>BG167/BG$91</f>
        <v>0.40080281540127466</v>
      </c>
      <c r="BH348" s="43">
        <f>BH167/BH$91</f>
        <v>0.35301827950515879</v>
      </c>
      <c r="BI348" s="43">
        <f>BI167/BI$91</f>
        <v>0.38213885069183229</v>
      </c>
      <c r="BJ348" s="43"/>
      <c r="BK348" s="43">
        <f>BK167/BK$91</f>
        <v>0.42357001972386588</v>
      </c>
      <c r="BL348" s="43">
        <f>BL167/BL$91</f>
        <v>0.39670853183196186</v>
      </c>
      <c r="BM348" s="43">
        <f>BM167/BM$91</f>
        <v>0.40615517988729954</v>
      </c>
      <c r="BN348" s="43">
        <f>BN167/BN$91</f>
        <v>0.34647171010807376</v>
      </c>
      <c r="BO348" s="43">
        <f>BO167/BO$91</f>
        <v>0.3897460793211896</v>
      </c>
      <c r="BP348" s="43"/>
      <c r="BQ348" s="43">
        <f>BQ167/BQ$91</f>
        <v>0.43098455598455598</v>
      </c>
      <c r="BR348" s="43">
        <f>BR167/BR$91</f>
        <v>0.39431545236188953</v>
      </c>
      <c r="BS348" s="43">
        <f>BS167/BS$91</f>
        <v>0.39856516540454362</v>
      </c>
      <c r="BT348" s="43">
        <f>BT167/BT$91</f>
        <v>0.35651608709782256</v>
      </c>
      <c r="BU348" s="43">
        <f>BU167/BU$91</f>
        <v>0.39139424970460812</v>
      </c>
      <c r="BV348" s="43"/>
      <c r="BW348" s="43">
        <f>BW167/BW$91</f>
        <v>0.41376975169300223</v>
      </c>
      <c r="BX348" s="43">
        <f>BX167/BX$91</f>
        <v>0.36708998548621191</v>
      </c>
      <c r="BY348" s="43">
        <f>BY167/BY$91</f>
        <v>0.38926608470740381</v>
      </c>
      <c r="BZ348" s="43">
        <f>BZ167/BZ$91</f>
        <v>0.3462392108508015</v>
      </c>
      <c r="CA348" s="43">
        <f>CA167/CA$91</f>
        <v>0.37430481062793958</v>
      </c>
      <c r="CB348" s="43"/>
      <c r="CC348" s="43">
        <f>CC167/CC$91</f>
        <v>0.40075679394564845</v>
      </c>
      <c r="CD348" s="43">
        <f>CD167/CD$91</f>
        <v>0.37654684737772542</v>
      </c>
      <c r="CE348" s="43">
        <f>CE167/CE$91</f>
        <v>0.385921231326392</v>
      </c>
      <c r="CF348" s="43">
        <f>CF167/CF$91</f>
        <v>0.35956046181891832</v>
      </c>
      <c r="CG348" s="395">
        <f>CG167/CG$91</f>
        <v>0.37787698681324638</v>
      </c>
      <c r="CH348" s="43"/>
      <c r="CI348" s="43">
        <f>CI167/CI$91</f>
        <v>0.37394154602567603</v>
      </c>
      <c r="CJ348" s="43">
        <f>CJ167/CJ$91</f>
        <v>0.37073055028462998</v>
      </c>
      <c r="CK348" s="43">
        <f>CK167/CK$91</f>
        <v>0.37536525061811643</v>
      </c>
      <c r="CL348" s="43">
        <f>CL167/CL$91</f>
        <v>0.34319224885262622</v>
      </c>
      <c r="CM348" s="395">
        <f>CM167/CM$91</f>
        <v>0.36361140095557143</v>
      </c>
      <c r="CN348" s="43"/>
      <c r="CO348" s="43">
        <f>CO167/CO$91</f>
        <v>0.38319181362943611</v>
      </c>
      <c r="CP348" s="43">
        <f>CP167/CP$91</f>
        <v>0.35756897837434748</v>
      </c>
      <c r="CQ348" s="43">
        <f>CQ167/CQ$91</f>
        <v>0.35598584993483523</v>
      </c>
      <c r="CR348" s="43">
        <f>CR167/CR$91</f>
        <v>0.32989973904683423</v>
      </c>
      <c r="CS348" s="395">
        <f>CS167/CS$91</f>
        <v>0.3534875492060684</v>
      </c>
      <c r="CT348" s="43"/>
      <c r="CU348" s="43">
        <f>CU167/CU$91</f>
        <v>0.35890815197344156</v>
      </c>
      <c r="CV348" s="43">
        <f>CV167/CV$91</f>
        <v>0.33198522947072268</v>
      </c>
      <c r="CW348" s="43">
        <f>CW167/CW$91</f>
        <v>0.33502906976744184</v>
      </c>
      <c r="CX348" s="43">
        <f>CX167/CX$91</f>
        <v>0.31913965993314924</v>
      </c>
      <c r="CY348" s="395">
        <f>CY167/CY$91</f>
        <v>0.33514939984676939</v>
      </c>
      <c r="CZ348" s="43"/>
      <c r="DA348" s="43">
        <f>DA167/DA$91</f>
        <v>0.34445980643887025</v>
      </c>
      <c r="DB348" s="43">
        <f>DB167/DB$91</f>
        <v>0.32816757493188009</v>
      </c>
      <c r="DC348" s="43">
        <f>DC167/DC$91</f>
        <v>0.33990787399140571</v>
      </c>
      <c r="DD348" s="43">
        <f>DD167/DD$91</f>
        <v>0.31055965112657047</v>
      </c>
      <c r="DE348" s="395">
        <f>DE167/DE$91</f>
        <v>0.32775546135807127</v>
      </c>
      <c r="DF348" s="43"/>
      <c r="DG348" s="43">
        <f>DG167/DG$91</f>
        <v>0.34132841328413283</v>
      </c>
      <c r="DH348" s="43">
        <f>DH167/DH$91</f>
        <v>0.30998389694041867</v>
      </c>
      <c r="DI348" s="43">
        <f>DI167/DI$91</f>
        <v>0.33087316907005793</v>
      </c>
      <c r="DJ348" s="43">
        <f>DJ167/DJ$91</f>
        <v>0.31510272071071627</v>
      </c>
      <c r="DK348" s="395">
        <f>DK167/DK$91</f>
        <v>0.32327622231508568</v>
      </c>
      <c r="DL348" s="43"/>
      <c r="DM348" s="43">
        <f>DM167/DM$91</f>
        <v>0.33984281971898073</v>
      </c>
      <c r="DN348" s="43">
        <f>DN167/DN$91</f>
        <v>0.33356032232436728</v>
      </c>
      <c r="DO348" s="43">
        <f>DO167/DO$91</f>
        <v>0.32673683192083564</v>
      </c>
      <c r="DP348" s="43">
        <f>DP167/DP$91</f>
        <v>0.31460728376408975</v>
      </c>
      <c r="DQ348" s="395">
        <f>DQ167/DQ$91</f>
        <v>0.3277406971915362</v>
      </c>
      <c r="DR348" s="43"/>
      <c r="DS348" s="43">
        <f>DS167/DS$91</f>
        <v>0.34839809964672919</v>
      </c>
      <c r="DT348" s="43">
        <f>DT167/DT$91</f>
        <v>0.33600351146713486</v>
      </c>
      <c r="DU348" s="43">
        <f>DU167/DU$91</f>
        <v>0.34448160535117056</v>
      </c>
      <c r="DV348" s="43">
        <f>DV167/DV$91</f>
        <v>0.31876653590000914</v>
      </c>
      <c r="DW348" s="395">
        <f>DW167/DW$91</f>
        <v>0.33570450701956889</v>
      </c>
      <c r="DX348" s="43"/>
      <c r="DY348" s="43">
        <f>DY167/DY$91</f>
        <v>0.35067414389690965</v>
      </c>
      <c r="DZ348" s="43">
        <f>DZ167/DZ$91</f>
        <v>0.34967144242163095</v>
      </c>
      <c r="EA348" s="43">
        <f>EA167/EA$91</f>
        <v>0.34256575415995705</v>
      </c>
      <c r="EB348" s="43">
        <f>EB167/EB$91</f>
        <v>0.32341515098004592</v>
      </c>
      <c r="EC348" s="395">
        <f>EC167/EC$91</f>
        <v>0.34039942566244613</v>
      </c>
      <c r="ED348" s="43"/>
      <c r="EE348" s="43">
        <f>EE167/EE$91</f>
        <v>0.36225142458425397</v>
      </c>
      <c r="EF348" s="43">
        <f>EF167/EF$91</f>
        <v>0.3474188176519567</v>
      </c>
      <c r="EG348" s="43">
        <f>EG167/EG$91</f>
        <v>0.34808227983715451</v>
      </c>
      <c r="EH348" s="43">
        <f>EH167/EH$91</f>
        <v>0.34568707991038089</v>
      </c>
      <c r="EI348" s="395">
        <f>EI167/EI$91</f>
        <v>0.35043003163150604</v>
      </c>
      <c r="EJ348" s="43"/>
      <c r="EK348" s="43">
        <f>EK167/EK$91</f>
        <v>0.37273695420660274</v>
      </c>
      <c r="EL348" s="43">
        <f>EL167/EL$91</f>
        <v>0.38250333481547355</v>
      </c>
      <c r="EM348" s="43">
        <f>EM167/EM$91</f>
        <v>0.37408475704459732</v>
      </c>
      <c r="EN348" s="43">
        <f>EN167/EN$91</f>
        <v>0.36947904869762177</v>
      </c>
      <c r="EO348" s="395">
        <f>EO167/EO$91</f>
        <v>0.37450414226731793</v>
      </c>
      <c r="EP348" s="43"/>
      <c r="EQ348" s="43">
        <f>EQ167/EQ$91</f>
        <v>0.40148612562405667</v>
      </c>
      <c r="ER348" s="43">
        <f>ER167/ER$91</f>
        <v>0.38490459526030407</v>
      </c>
      <c r="ES348" s="43">
        <f>ES167/ES$91</f>
        <v>0.37394867371145135</v>
      </c>
      <c r="ET348" s="43">
        <f>ET167/ET$91</f>
        <v>0.36139292569234988</v>
      </c>
      <c r="EU348" s="395">
        <f>EU167/EU$91</f>
        <v>0.37920427001264984</v>
      </c>
      <c r="EV348" s="43"/>
      <c r="EW348" s="43">
        <f>EW167/EW$91</f>
        <v>0.38319583152409903</v>
      </c>
      <c r="EX348" s="43">
        <f>EX167/EX$91</f>
        <v>0.36365524402907579</v>
      </c>
      <c r="EY348" s="43">
        <f>EY167/EY$91</f>
        <v>0.36016775777414073</v>
      </c>
      <c r="EZ348" s="43">
        <f>EZ167/EZ$91</f>
        <v>0.34949999999999998</v>
      </c>
      <c r="FA348" s="395">
        <f>FA167/FA$91</f>
        <v>0.36334177881037666</v>
      </c>
      <c r="FB348" s="43"/>
      <c r="FC348" s="43">
        <f>FC167/FC$91</f>
        <v>0.3795</v>
      </c>
      <c r="FD348" s="43">
        <f>FD167/FD$91</f>
        <v>0.36199999999999999</v>
      </c>
      <c r="FE348" s="43">
        <f>FE167/FE$91</f>
        <v>0.36059999999999998</v>
      </c>
      <c r="FF348" s="43">
        <f>FF167/FF$91</f>
        <v>0.35099999999999998</v>
      </c>
      <c r="FG348" s="395">
        <f>FG167/FG$91</f>
        <v>0.3626714570119508</v>
      </c>
      <c r="FH348" s="43"/>
      <c r="FI348" s="43">
        <f>FI167/FI$91</f>
        <v>0.3735</v>
      </c>
      <c r="FJ348" s="43">
        <f>FJ167/FJ$91</f>
        <v>0.36049999999999999</v>
      </c>
      <c r="FK348" s="43">
        <f>FK167/FK$91</f>
        <v>0.36209999999999998</v>
      </c>
      <c r="FL348" s="43">
        <f>FL167/FL$91</f>
        <v>0.35649999999999998</v>
      </c>
      <c r="FM348" s="395">
        <f>FM167/FM$91</f>
        <v>0.36283999576093612</v>
      </c>
      <c r="FN348" s="27"/>
      <c r="FO348" s="27"/>
      <c r="FP348" s="27"/>
      <c r="FQ348" s="27"/>
      <c r="FR348" s="27"/>
      <c r="FS348" s="27"/>
      <c r="FT348" s="27"/>
      <c r="FU348" s="27"/>
      <c r="FV348" s="27"/>
      <c r="FW348" s="27"/>
      <c r="FX348" s="27"/>
      <c r="FY348" s="27"/>
      <c r="FZ348" s="27"/>
      <c r="GA348" s="27"/>
      <c r="GB348" s="27"/>
      <c r="GC348" s="27"/>
      <c r="GD348" s="27"/>
      <c r="GE348" s="27"/>
      <c r="GF348" s="27"/>
      <c r="GH348" s="27"/>
      <c r="GI348"/>
      <c r="GJ348"/>
      <c r="GK348"/>
      <c r="GL348"/>
      <c r="GM348"/>
      <c r="GN348"/>
      <c r="GO348" s="27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</row>
    <row r="349" spans="1:281" s="28" customFormat="1" ht="5.25" customHeight="1" x14ac:dyDescent="0.2">
      <c r="A349" s="18"/>
      <c r="B349" s="414"/>
      <c r="CG349" s="416"/>
      <c r="CM349" s="416"/>
      <c r="CS349" s="416"/>
      <c r="CY349" s="416"/>
      <c r="DE349" s="416"/>
      <c r="DK349" s="975"/>
      <c r="DQ349" s="975"/>
      <c r="DW349" s="975"/>
      <c r="EC349" s="975"/>
      <c r="EI349" s="975"/>
      <c r="EO349" s="975"/>
      <c r="EU349" s="975"/>
      <c r="FA349" s="975"/>
      <c r="FG349" s="975"/>
      <c r="FM349" s="975"/>
      <c r="GI349"/>
      <c r="GJ349"/>
      <c r="GK349"/>
      <c r="GL349"/>
      <c r="GM349"/>
      <c r="GN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</row>
    <row r="350" spans="1:281" s="24" customFormat="1" x14ac:dyDescent="0.2">
      <c r="A350" s="342" t="s">
        <v>22</v>
      </c>
      <c r="B350" s="413"/>
      <c r="C350" s="43">
        <f t="shared" ref="C350:M350" si="245">C169/C$91</f>
        <v>0.20499999999999996</v>
      </c>
      <c r="D350" s="43">
        <f t="shared" si="245"/>
        <v>0.11800000000000004</v>
      </c>
      <c r="E350" s="43">
        <f t="shared" si="245"/>
        <v>0.19600000000000012</v>
      </c>
      <c r="F350" s="43">
        <f t="shared" si="245"/>
        <v>0.21626831442525282</v>
      </c>
      <c r="G350" s="43">
        <f t="shared" si="245"/>
        <v>0.22648016929386453</v>
      </c>
      <c r="H350" s="43">
        <f t="shared" si="245"/>
        <v>0.21083761562178829</v>
      </c>
      <c r="I350" s="43">
        <f t="shared" si="245"/>
        <v>0.14768712011261576</v>
      </c>
      <c r="J350" s="43">
        <f t="shared" si="245"/>
        <v>2.6050903303568556E-2</v>
      </c>
      <c r="K350" s="43">
        <f t="shared" si="245"/>
        <v>9.6833757421543709E-2</v>
      </c>
      <c r="L350" s="43">
        <f t="shared" si="245"/>
        <v>0.16043978709248174</v>
      </c>
      <c r="M350" s="43">
        <f t="shared" si="245"/>
        <v>0.20985614749940909</v>
      </c>
      <c r="N350" s="43"/>
      <c r="O350" s="43">
        <f>O169/O$91</f>
        <v>0.15731732300161372</v>
      </c>
      <c r="P350" s="43">
        <f>P169/P$91</f>
        <v>0.20578265799367432</v>
      </c>
      <c r="Q350" s="43">
        <f>Q169/Q$91</f>
        <v>0.21371002914523465</v>
      </c>
      <c r="R350" s="43">
        <f>R169/R$91</f>
        <v>0.26466308863823707</v>
      </c>
      <c r="S350" s="43">
        <f>S169/S$91</f>
        <v>0.21882295126392126</v>
      </c>
      <c r="T350" s="43"/>
      <c r="U350" s="43">
        <f>U169/U$91</f>
        <v>0.16211649864019698</v>
      </c>
      <c r="V350" s="43">
        <f>V169/V$91</f>
        <v>0.21140434332988625</v>
      </c>
      <c r="W350" s="43">
        <f>W169/W$91</f>
        <v>0.21557889866982149</v>
      </c>
      <c r="X350" s="43">
        <f>X169/X$91</f>
        <v>0.27740810915295255</v>
      </c>
      <c r="Y350" s="43">
        <f>Y169/Y$91</f>
        <v>0.22628741431682195</v>
      </c>
      <c r="Z350" s="43"/>
      <c r="AA350" s="43">
        <f>AA169/AA$91</f>
        <v>0.16047795392841907</v>
      </c>
      <c r="AB350" s="43">
        <f>AB169/AB$91</f>
        <v>0.20908467689970747</v>
      </c>
      <c r="AC350" s="43">
        <f>AC169/AC$91</f>
        <v>0.21632317339264595</v>
      </c>
      <c r="AD350" s="43">
        <f>AD169/AD$91</f>
        <v>0.28736452345984231</v>
      </c>
      <c r="AE350" s="43">
        <f>AE169/AE$91</f>
        <v>0.22866083215348287</v>
      </c>
      <c r="AF350" s="43"/>
      <c r="AG350" s="43">
        <f>AG169/AG$91</f>
        <v>0.15782041279108844</v>
      </c>
      <c r="AH350" s="43">
        <f>AH169/AH$91</f>
        <v>0.1685576308756066</v>
      </c>
      <c r="AI350" s="43">
        <f>AI169/AI$91</f>
        <v>0.18199955739991314</v>
      </c>
      <c r="AJ350" s="43">
        <f>AJ169/AJ$91</f>
        <v>0.25074848096601393</v>
      </c>
      <c r="AK350" s="43">
        <f>AK169/AK$91</f>
        <v>0.19754740606100474</v>
      </c>
      <c r="AL350" s="43"/>
      <c r="AM350" s="43">
        <f>AM169/AM$91</f>
        <v>0.15884421219934705</v>
      </c>
      <c r="AN350" s="43">
        <f>AN169/AN$91</f>
        <v>0.18583482818598193</v>
      </c>
      <c r="AO350" s="43">
        <f>AO169/AO$91</f>
        <v>0.19562080310930671</v>
      </c>
      <c r="AP350" s="43">
        <f>AP169/AP$91</f>
        <v>0.27394592016112651</v>
      </c>
      <c r="AQ350" s="43">
        <f>AQ169/AQ$91</f>
        <v>0.21217033341746674</v>
      </c>
      <c r="AR350" s="43"/>
      <c r="AS350" s="43">
        <f>AS169/AS$91</f>
        <v>0.17428069399254323</v>
      </c>
      <c r="AT350" s="43">
        <f>AT169/AT$91</f>
        <v>0.24810250990252303</v>
      </c>
      <c r="AU350" s="43">
        <f>AU169/AU$91</f>
        <v>0.31424648630817598</v>
      </c>
      <c r="AV350" s="43">
        <f>AV169/AV$91</f>
        <v>0.41149479449131832</v>
      </c>
      <c r="AW350" s="43">
        <f>AW169/AW$91</f>
        <v>0.30405933666386048</v>
      </c>
      <c r="AX350" s="43"/>
      <c r="AY350" s="43">
        <f>AY169/AY$91</f>
        <v>0.28760633778439793</v>
      </c>
      <c r="AZ350" s="43">
        <f>AZ169/AZ$91</f>
        <v>0.35214345698791838</v>
      </c>
      <c r="BA350" s="43">
        <f>BA169/BA$91</f>
        <v>0.32570578866509747</v>
      </c>
      <c r="BB350" s="43">
        <f>BB169/BB$91</f>
        <v>0.39356701507189457</v>
      </c>
      <c r="BC350" s="43">
        <f>BC169/BC$91</f>
        <v>0.34460333343916605</v>
      </c>
      <c r="BD350" s="43"/>
      <c r="BE350" s="43">
        <f>BE169/BE$91</f>
        <v>0.32925381502877404</v>
      </c>
      <c r="BF350" s="43">
        <f>BF169/BF$91</f>
        <v>0.34445103987209075</v>
      </c>
      <c r="BG350" s="43">
        <f>BG169/BG$91</f>
        <v>0.3455962757176077</v>
      </c>
      <c r="BH350" s="43">
        <f>BH169/BH$91</f>
        <v>0.44213388628112443</v>
      </c>
      <c r="BI350" s="43">
        <f>BI169/BI$91</f>
        <v>0.36917279218112076</v>
      </c>
      <c r="BJ350" s="43"/>
      <c r="BK350" s="43">
        <f>BK169/BK$91</f>
        <v>0.28599605522682447</v>
      </c>
      <c r="BL350" s="43">
        <f>BL169/BL$91</f>
        <v>0.34387180597661327</v>
      </c>
      <c r="BM350" s="43">
        <f>BM169/BM$91</f>
        <v>0.34503684438664933</v>
      </c>
      <c r="BN350" s="43">
        <f>BN169/BN$91</f>
        <v>0.44868263050081236</v>
      </c>
      <c r="BO350" s="43">
        <f>BO169/BO$91</f>
        <v>0.36308757413935033</v>
      </c>
      <c r="BP350" s="43"/>
      <c r="BQ350" s="43">
        <f>BQ169/BQ$91</f>
        <v>0.29729729729729731</v>
      </c>
      <c r="BR350" s="43">
        <f>BR169/BR$91</f>
        <v>0.36629303442754202</v>
      </c>
      <c r="BS350" s="43">
        <f>BS169/BS$91</f>
        <v>0.36946990833001198</v>
      </c>
      <c r="BT350" s="43">
        <f>BT169/BT$91</f>
        <v>0.45693857653558662</v>
      </c>
      <c r="BU350" s="43">
        <f>BU169/BU$91</f>
        <v>0.38046474990153606</v>
      </c>
      <c r="BV350" s="43"/>
      <c r="BW350" s="43">
        <f>BW169/BW$91</f>
        <v>0.33566591422121894</v>
      </c>
      <c r="BX350" s="43">
        <f>BX169/BX$91</f>
        <v>0.41883164005805512</v>
      </c>
      <c r="BY350" s="43">
        <f>BY169/BY$91</f>
        <v>0.38086000646621404</v>
      </c>
      <c r="BZ350" s="43">
        <f>BZ169/BZ$91</f>
        <v>0.45992601726263871</v>
      </c>
      <c r="CA350" s="43">
        <f>CA169/CA$91</f>
        <v>0.4076904034986385</v>
      </c>
      <c r="CB350" s="43"/>
      <c r="CC350" s="43">
        <f>CC169/CC$91</f>
        <v>0.35156518747850019</v>
      </c>
      <c r="CD350" s="43">
        <f>CD169/CD$91</f>
        <v>0.40100176782557456</v>
      </c>
      <c r="CE350" s="43">
        <f>CE169/CE$91</f>
        <v>0.39141014033499322</v>
      </c>
      <c r="CF350" s="43">
        <f>CF169/CF$91</f>
        <v>0.44578691513064622</v>
      </c>
      <c r="CG350" s="395">
        <f>CG169/CG$91</f>
        <v>0.40394587203162657</v>
      </c>
      <c r="CH350" s="43"/>
      <c r="CI350" s="43">
        <f>CI169/CI$91</f>
        <v>0.36001092597650913</v>
      </c>
      <c r="CJ350" s="43">
        <f>CJ169/CJ$91</f>
        <v>0.38757115749525617</v>
      </c>
      <c r="CK350" s="43">
        <f>CK169/CK$91</f>
        <v>0.39447066756574511</v>
      </c>
      <c r="CL350" s="43">
        <f>CL169/CL$91</f>
        <v>0.46132925378208395</v>
      </c>
      <c r="CM350" s="395">
        <f>CM169/CM$91</f>
        <v>0.40754571914987092</v>
      </c>
      <c r="CN350" s="43"/>
      <c r="CO350" s="43">
        <f>CO169/CO$91</f>
        <v>0.3662094491617679</v>
      </c>
      <c r="CP350" s="43">
        <f>CP169/CP$91</f>
        <v>0.41275167785234901</v>
      </c>
      <c r="CQ350" s="43">
        <f>CQ169/CQ$91</f>
        <v>0.41314466579780301</v>
      </c>
      <c r="CR350" s="43">
        <f>CR169/CR$91</f>
        <v>0.48674632605411344</v>
      </c>
      <c r="CS350" s="395">
        <f>CS169/CS$91</f>
        <v>0.42721924897164848</v>
      </c>
      <c r="CT350" s="43"/>
      <c r="CU350" s="43">
        <f>CU169/CU$91</f>
        <v>0.40095905569900403</v>
      </c>
      <c r="CV350" s="43">
        <f>CV169/CV$91</f>
        <v>0.45876560576754</v>
      </c>
      <c r="CW350" s="43">
        <f>CW169/CW$91</f>
        <v>0.46420784883720928</v>
      </c>
      <c r="CX350" s="43">
        <f>CX169/CX$91</f>
        <v>0.51053625926464175</v>
      </c>
      <c r="CY350" s="395">
        <f>CY169/CY$91</f>
        <v>0.46186260321784284</v>
      </c>
      <c r="CZ350" s="43"/>
      <c r="DA350" s="43">
        <f>DA169/DA$91</f>
        <v>0.45783132530120479</v>
      </c>
      <c r="DB350" s="43">
        <f>DB169/DB$91</f>
        <v>0.48637602179836514</v>
      </c>
      <c r="DC350" s="43">
        <f>DC169/DC$91</f>
        <v>0.44616193155470363</v>
      </c>
      <c r="DD350" s="43">
        <f>DD169/DD$91</f>
        <v>0.45838438376077251</v>
      </c>
      <c r="DE350" s="395">
        <f>DE169/DE$91</f>
        <v>0.46143574720551567</v>
      </c>
      <c r="DF350" s="43"/>
      <c r="DG350" s="43">
        <f>DG169/DG$91</f>
        <v>0.38837638376383765</v>
      </c>
      <c r="DH350" s="43">
        <f>DH169/DH$91</f>
        <v>0.44294916034046466</v>
      </c>
      <c r="DI350" s="43">
        <f>DI169/DI$91</f>
        <v>0.44192119904621324</v>
      </c>
      <c r="DJ350" s="43">
        <f>DJ169/DJ$91</f>
        <v>0.4847307051637979</v>
      </c>
      <c r="DK350" s="395">
        <f>DK169/DK$91</f>
        <v>0.44373868226772534</v>
      </c>
      <c r="DL350" s="43"/>
      <c r="DM350" s="43">
        <f>DM169/DM$91</f>
        <v>0.42462491069302216</v>
      </c>
      <c r="DN350" s="43">
        <f>DN169/DN$91</f>
        <v>0.44591987288616503</v>
      </c>
      <c r="DO350" s="43">
        <f>DO169/DO$91</f>
        <v>0.46404566273573167</v>
      </c>
      <c r="DP350" s="43">
        <f>DP169/DP$91</f>
        <v>0.50338623828472562</v>
      </c>
      <c r="DQ350" s="395">
        <f>DQ169/DQ$91</f>
        <v>0.46243432985445937</v>
      </c>
      <c r="DR350" s="43"/>
      <c r="DS350" s="43">
        <f>DS169/DS$91</f>
        <v>0.43720306980143747</v>
      </c>
      <c r="DT350" s="43">
        <f>DT169/DT$91</f>
        <v>0.46878086250411499</v>
      </c>
      <c r="DU350" s="43">
        <f>DU169/DU$91</f>
        <v>0.4657748049052397</v>
      </c>
      <c r="DV350" s="43">
        <f>DV169/DV$91</f>
        <v>0.5084390110391388</v>
      </c>
      <c r="DW350" s="395">
        <f>DW169/DW$91</f>
        <v>0.47276729390921535</v>
      </c>
      <c r="DX350" s="43"/>
      <c r="DY350" s="43">
        <f>DY169/DY$91</f>
        <v>0.44636678200692043</v>
      </c>
      <c r="DZ350" s="43">
        <f>DZ169/DZ$91</f>
        <v>0.45739523860820858</v>
      </c>
      <c r="EA350" s="43">
        <f>EA169/EA$91</f>
        <v>0.46870638754696725</v>
      </c>
      <c r="EB350" s="43">
        <f>EB169/EB$91</f>
        <v>0.50821119547942784</v>
      </c>
      <c r="EC350" s="395">
        <f>EC169/EC$91</f>
        <v>0.47275812557107427</v>
      </c>
      <c r="ED350" s="43"/>
      <c r="EE350" s="43">
        <f>EE169/EE$91</f>
        <v>0.44412140946621698</v>
      </c>
      <c r="EF350" s="43">
        <f>EF169/EF$91</f>
        <v>0.45701498751040798</v>
      </c>
      <c r="EG350" s="43">
        <f>EG169/EG$91</f>
        <v>0.450610670666381</v>
      </c>
      <c r="EH350" s="43">
        <f>EH169/EH$91</f>
        <v>0.46471247199402538</v>
      </c>
      <c r="EI350" s="395">
        <f>EI169/EI$91</f>
        <v>0.45470943455415264</v>
      </c>
      <c r="EJ350" s="43"/>
      <c r="EK350" s="43">
        <f>EK169/EK$91</f>
        <v>0.410957283161756</v>
      </c>
      <c r="EL350" s="43">
        <f>EL169/EL$91</f>
        <v>0.41385060026678522</v>
      </c>
      <c r="EM350" s="43">
        <f>EM169/EM$91</f>
        <v>0.42411803860661196</v>
      </c>
      <c r="EN350" s="43">
        <f>EN169/EN$91</f>
        <v>0.44979237448093623</v>
      </c>
      <c r="EO350" s="395">
        <f>EO169/EO$91</f>
        <v>0.42596540464689531</v>
      </c>
      <c r="EP350" s="43"/>
      <c r="EQ350" s="43">
        <f>EQ169/EQ$91</f>
        <v>0.39498432601880878</v>
      </c>
      <c r="ER350" s="43">
        <f>ER169/ER$91</f>
        <v>0.41972131628330561</v>
      </c>
      <c r="ES350" s="43">
        <f>ES169/ES$91</f>
        <v>0.42527496226008193</v>
      </c>
      <c r="ET350" s="43">
        <f>ET169/ET$91</f>
        <v>0.45836760807970023</v>
      </c>
      <c r="EU350" s="395">
        <f>EU169/EU$91</f>
        <v>0.4266154904060343</v>
      </c>
      <c r="EV350" s="43"/>
      <c r="EW350" s="43">
        <f>EW169/EW$91</f>
        <v>0.41076856274424661</v>
      </c>
      <c r="EX350" s="43">
        <f>EX169/EX$91</f>
        <v>0.43613707165109034</v>
      </c>
      <c r="EY350" s="43">
        <f>EY169/EY$91</f>
        <v>0.43872749590834698</v>
      </c>
      <c r="EZ350" s="43">
        <f>EZ169/EZ$91</f>
        <v>0.46302861746625279</v>
      </c>
      <c r="FA350" s="395">
        <f>FA169/FA$91</f>
        <v>0.43846167071575615</v>
      </c>
      <c r="FB350" s="43"/>
      <c r="FC350" s="43">
        <f>FC169/FC$91</f>
        <v>0.41465248166407753</v>
      </c>
      <c r="FD350" s="43">
        <f>FD169/FD$91</f>
        <v>0.43878210459166173</v>
      </c>
      <c r="FE350" s="43">
        <f>FE169/FE$91</f>
        <v>0.44228723450746682</v>
      </c>
      <c r="FF350" s="43">
        <f>FF169/FF$91</f>
        <v>0.46465454447909021</v>
      </c>
      <c r="FG350" s="395">
        <f>FG169/FG$91</f>
        <v>0.4412191995098988</v>
      </c>
      <c r="FH350" s="43"/>
      <c r="FI350" s="43">
        <f>FI169/FI$91</f>
        <v>0.42480443120406036</v>
      </c>
      <c r="FJ350" s="43">
        <f>FJ169/FJ$91</f>
        <v>0.4435092298160393</v>
      </c>
      <c r="FK350" s="43">
        <f>FK169/FK$91</f>
        <v>0.44410059059910761</v>
      </c>
      <c r="FL350" s="43">
        <f>FL169/FL$91</f>
        <v>0.46050704327836167</v>
      </c>
      <c r="FM350" s="395">
        <f>FM169/FM$91</f>
        <v>0.44395096251651811</v>
      </c>
      <c r="FN350" s="27"/>
      <c r="FO350" s="27"/>
      <c r="FP350" s="27"/>
      <c r="FQ350" s="27"/>
      <c r="FR350" s="27"/>
      <c r="FS350" s="27"/>
      <c r="FT350" s="27"/>
      <c r="FU350" s="27"/>
      <c r="FV350" s="27"/>
      <c r="FW350" s="27"/>
      <c r="FX350" s="27"/>
      <c r="FY350" s="27"/>
      <c r="FZ350" s="27"/>
      <c r="GA350" s="27"/>
      <c r="GB350" s="27"/>
      <c r="GC350" s="27"/>
      <c r="GD350" s="27"/>
      <c r="GE350" s="27"/>
      <c r="GF350" s="27"/>
      <c r="GH350" s="27"/>
      <c r="GI350"/>
      <c r="GJ350"/>
      <c r="GK350"/>
      <c r="GL350"/>
      <c r="GM350"/>
      <c r="GN350"/>
      <c r="GO350" s="27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</row>
    <row r="351" spans="1:281" s="24" customFormat="1" x14ac:dyDescent="0.2">
      <c r="A351" s="342" t="s">
        <v>45</v>
      </c>
      <c r="B351" s="413"/>
      <c r="C351" s="43">
        <f t="shared" ref="C351:M351" si="246">C187/C$91</f>
        <v>0.10899999999999996</v>
      </c>
      <c r="D351" s="43">
        <f t="shared" si="246"/>
        <v>6.7000000000000046E-2</v>
      </c>
      <c r="E351" s="43">
        <f t="shared" si="246"/>
        <v>0.10600000000000011</v>
      </c>
      <c r="F351" s="43">
        <f t="shared" si="246"/>
        <v>0.11512566739556115</v>
      </c>
      <c r="G351" s="43">
        <f t="shared" si="246"/>
        <v>0.15201001017322846</v>
      </c>
      <c r="H351" s="43">
        <f t="shared" si="246"/>
        <v>0.14027577937649879</v>
      </c>
      <c r="I351" s="43">
        <f t="shared" si="246"/>
        <v>8.8253909361734578E-2</v>
      </c>
      <c r="J351" s="43">
        <f t="shared" si="246"/>
        <v>-1.206382806929138E-2</v>
      </c>
      <c r="K351" s="43">
        <f t="shared" si="246"/>
        <v>5.2598812553011055E-2</v>
      </c>
      <c r="L351" s="43">
        <f t="shared" si="246"/>
        <v>0.15521490352628081</v>
      </c>
      <c r="M351" s="43">
        <f t="shared" si="246"/>
        <v>0.1416432675860394</v>
      </c>
      <c r="N351" s="43"/>
      <c r="O351" s="43">
        <f>O187/O$91</f>
        <v>0.10997818406610192</v>
      </c>
      <c r="P351" s="43">
        <f>P187/P$91</f>
        <v>0.14003998329056516</v>
      </c>
      <c r="Q351" s="43">
        <f>Q187/Q$91</f>
        <v>0.14437898497047399</v>
      </c>
      <c r="R351" s="43">
        <f>R187/R$91</f>
        <v>0.17848388659162837</v>
      </c>
      <c r="S351" s="43">
        <f>S187/S$91</f>
        <v>0.14864716378631013</v>
      </c>
      <c r="T351" s="43"/>
      <c r="U351" s="43">
        <f>U187/U$91</f>
        <v>0.11321217657107681</v>
      </c>
      <c r="V351" s="43">
        <f>V187/V$91</f>
        <v>0.14138262668045501</v>
      </c>
      <c r="W351" s="43">
        <f>W187/W$91</f>
        <v>0.14338797085780883</v>
      </c>
      <c r="X351" s="43">
        <f>X187/X$91</f>
        <v>0.18190678886449718</v>
      </c>
      <c r="Y351" s="43">
        <f>Y187/Y$91</f>
        <v>0.15076770269016684</v>
      </c>
      <c r="Z351" s="43"/>
      <c r="AA351" s="43">
        <f>AA187/AA$91</f>
        <v>0.10716332214851204</v>
      </c>
      <c r="AB351" s="43">
        <f>AB187/AB$91</f>
        <v>0.13687638833497418</v>
      </c>
      <c r="AC351" s="43">
        <f>AC187/AC$91</f>
        <v>0.14046648432896019</v>
      </c>
      <c r="AD351" s="43">
        <f>AD187/AD$91</f>
        <v>0.1847696468896029</v>
      </c>
      <c r="AE351" s="43">
        <f>AE187/AE$91</f>
        <v>0.14865573084599984</v>
      </c>
      <c r="AF351" s="43"/>
      <c r="AG351" s="43">
        <f>AG187/AG$91</f>
        <v>0.11969503838320081</v>
      </c>
      <c r="AH351" s="43">
        <f>AH187/AH$91</f>
        <v>0.11608159248745294</v>
      </c>
      <c r="AI351" s="43">
        <f>AI187/AI$91</f>
        <v>0.12298849983159461</v>
      </c>
      <c r="AJ351" s="43">
        <f>AJ187/AJ$91</f>
        <v>0.1669691816096889</v>
      </c>
      <c r="AK351" s="43">
        <f>AK187/AK$91</f>
        <v>0.13564994859225357</v>
      </c>
      <c r="AL351" s="43"/>
      <c r="AM351" s="43">
        <f>AM187/AM$91</f>
        <v>0.11148584137075421</v>
      </c>
      <c r="AN351" s="43">
        <f>AN187/AN$91</f>
        <v>0.13330859206281906</v>
      </c>
      <c r="AO351" s="43">
        <f>AO187/AO$91</f>
        <v>0.14106459123006174</v>
      </c>
      <c r="AP351" s="43">
        <f>AP187/AP$91</f>
        <v>0.17919476175882809</v>
      </c>
      <c r="AQ351" s="43">
        <f>AQ187/AQ$91</f>
        <v>0.14611093010599452</v>
      </c>
      <c r="AR351" s="43"/>
      <c r="AS351" s="43">
        <f>AS187/AS$91</f>
        <v>0.11929174705986392</v>
      </c>
      <c r="AT351" s="43">
        <f>AT187/AT$91</f>
        <v>0.16559178477123954</v>
      </c>
      <c r="AU351" s="43">
        <f>AU187/AU$91</f>
        <v>0.31157442298537846</v>
      </c>
      <c r="AV351" s="43">
        <f>AV187/AV$91</f>
        <v>1.4558256354632504</v>
      </c>
      <c r="AW351" s="43">
        <f>AW187/AW$91</f>
        <v>0.62159177554321132</v>
      </c>
      <c r="AX351" s="43"/>
      <c r="AY351" s="43">
        <f>AY187/AY$91</f>
        <v>0.21882800945108205</v>
      </c>
      <c r="AZ351" s="43">
        <f>AZ187/AZ$91</f>
        <v>0.23190566920586891</v>
      </c>
      <c r="BA351" s="43">
        <f>BA187/BA$91</f>
        <v>0.21613486448011957</v>
      </c>
      <c r="BB351" s="43">
        <f>BB187/BB$91</f>
        <v>0.25987860271166446</v>
      </c>
      <c r="BC351" s="43">
        <f>BC187/BC$91</f>
        <v>0.23369357974843197</v>
      </c>
      <c r="BD351" s="43"/>
      <c r="BE351" s="43">
        <f>BE187/BE$91</f>
        <v>0.2254458059517318</v>
      </c>
      <c r="BF351" s="43">
        <f>BF187/BF$91</f>
        <v>0.23082396215484804</v>
      </c>
      <c r="BG351" s="43">
        <f>BG187/BG$91</f>
        <v>0.22543402623684158</v>
      </c>
      <c r="BH351" s="43">
        <f>BH187/BH$91</f>
        <v>0.23652685436562107</v>
      </c>
      <c r="BI351" s="43">
        <f>BI187/BI$91</f>
        <v>0.22994444830981078</v>
      </c>
      <c r="BJ351" s="43"/>
      <c r="BK351" s="43">
        <f>BK187/BK$91</f>
        <v>0.16913214990138067</v>
      </c>
      <c r="BL351" s="43">
        <f>BL187/BL$91</f>
        <v>0.23170203551320917</v>
      </c>
      <c r="BM351" s="43">
        <f>BM187/BM$91</f>
        <v>0.24750758560901603</v>
      </c>
      <c r="BN351" s="43">
        <f>BN187/BN$91</f>
        <v>0.30317157589884863</v>
      </c>
      <c r="BO351" s="43">
        <f>BO187/BO$91</f>
        <v>0.24351478565548687</v>
      </c>
      <c r="BP351" s="43"/>
      <c r="BQ351" s="43">
        <f>BQ187/BQ$91</f>
        <v>0.21235521235521235</v>
      </c>
      <c r="BR351" s="43">
        <f>BR187/BR$91</f>
        <v>0.24699759807846278</v>
      </c>
      <c r="BS351" s="43">
        <f>BS187/BS$91</f>
        <v>0.25269031486648069</v>
      </c>
      <c r="BT351" s="43">
        <f>BT187/BT$91</f>
        <v>0.32174195645108872</v>
      </c>
      <c r="BU351" s="43">
        <f>BU187/BU$91</f>
        <v>0.26398188263095707</v>
      </c>
      <c r="BV351" s="43"/>
      <c r="BW351" s="43">
        <f>BW187/BW$91</f>
        <v>0.23867110793004093</v>
      </c>
      <c r="BX351" s="43">
        <f>BX187/BX$91</f>
        <v>0.30168917729208428</v>
      </c>
      <c r="BY351" s="43">
        <f>BY187/BY$91</f>
        <v>0.26673132880698353</v>
      </c>
      <c r="BZ351" s="43">
        <f>BZ187/BZ$91</f>
        <v>0.33440197287299628</v>
      </c>
      <c r="CA351" s="43">
        <f>CA187/CA$91</f>
        <v>0.29219505542388191</v>
      </c>
      <c r="CB351" s="43"/>
      <c r="CC351" s="43">
        <f>CC187/CC$91</f>
        <v>0.25386996904024767</v>
      </c>
      <c r="CD351" s="43">
        <f>CD187/CD$91</f>
        <v>0.28624042427813789</v>
      </c>
      <c r="CE351" s="43">
        <f>CE187/CE$91</f>
        <v>0.28297284267217948</v>
      </c>
      <c r="CF351" s="43">
        <f>CF187/CF$91</f>
        <v>0.31141381405711976</v>
      </c>
      <c r="CG351" s="395">
        <f>CG187/CG$91</f>
        <v>0.28750163921505995</v>
      </c>
      <c r="CH351" s="43"/>
      <c r="CI351" s="43">
        <f>CI187/CI$91</f>
        <v>0.25430210325047803</v>
      </c>
      <c r="CJ351" s="43">
        <f>CJ187/CJ$91</f>
        <v>0.27644686907020871</v>
      </c>
      <c r="CK351" s="43">
        <f>CK187/CK$91</f>
        <v>0.29242526410429309</v>
      </c>
      <c r="CL351" s="43">
        <f>CL187/CL$91</f>
        <v>0.3245792962774095</v>
      </c>
      <c r="CM351" s="395">
        <f>CM187/CM$91</f>
        <v>0.29144928332143444</v>
      </c>
      <c r="CN351" s="43"/>
      <c r="CO351" s="43">
        <f>CO187/CO$91</f>
        <v>0.25364685390812103</v>
      </c>
      <c r="CP351" s="43">
        <f>CP187/CP$91</f>
        <v>0.30070842654735275</v>
      </c>
      <c r="CQ351" s="43">
        <f>CQ187/CQ$91</f>
        <v>0.29528951778067397</v>
      </c>
      <c r="CR351" s="43">
        <f>CR187/CR$91</f>
        <v>0.33429473973355306</v>
      </c>
      <c r="CS351" s="395">
        <f>CS187/CS$91</f>
        <v>0.30067672165951614</v>
      </c>
      <c r="CT351" s="43"/>
      <c r="CU351" s="43">
        <f>CU187/CU$91</f>
        <v>0.28476576908889706</v>
      </c>
      <c r="CV351" s="43">
        <f>CV187/CV$91</f>
        <v>0.30701600140671709</v>
      </c>
      <c r="CW351" s="43">
        <f>CW187/CW$91</f>
        <v>0.32340116279069769</v>
      </c>
      <c r="CX351" s="43">
        <f>CX187/CX$91</f>
        <v>0.33759627961052174</v>
      </c>
      <c r="CY351" s="395">
        <f>CY187/CY$91</f>
        <v>0.31467608751170512</v>
      </c>
      <c r="CZ351" s="43"/>
      <c r="DA351" s="43">
        <f>DA187/DA$91</f>
        <v>0.30416748963065376</v>
      </c>
      <c r="DB351" s="43">
        <f>DB187/DB$91</f>
        <v>0.33395776566757496</v>
      </c>
      <c r="DC351" s="43">
        <f>DC187/DC$91</f>
        <v>0.30070794818684882</v>
      </c>
      <c r="DD351" s="43">
        <f>DD187/DD$91</f>
        <v>0.31644689025023359</v>
      </c>
      <c r="DE351" s="395">
        <f>DE187/DE$91</f>
        <v>0.31418436568351116</v>
      </c>
      <c r="DF351" s="43"/>
      <c r="DG351" s="43">
        <f>DG187/DG$91</f>
        <v>0.28057459146020031</v>
      </c>
      <c r="DH351" s="43">
        <f>DH187/DH$91</f>
        <v>0.30791350356567748</v>
      </c>
      <c r="DI351" s="43">
        <f>DI187/DI$91</f>
        <v>0.31372771658907689</v>
      </c>
      <c r="DJ351" s="43">
        <f>DJ187/DJ$91</f>
        <v>0.35831945215620953</v>
      </c>
      <c r="DK351" s="395">
        <f>DK187/DK$91</f>
        <v>0.31873519988856386</v>
      </c>
      <c r="DL351" s="43"/>
      <c r="DM351" s="43">
        <f>DM187/DM$91</f>
        <v>0.29352226720647773</v>
      </c>
      <c r="DN351" s="43">
        <f>DN187/DN$91</f>
        <v>0.3159686755192373</v>
      </c>
      <c r="DO351" s="43">
        <f>DO187/DO$91</f>
        <v>0.34520217473210452</v>
      </c>
      <c r="DP351" s="43">
        <f>DP187/DP$91</f>
        <v>0.37836523060024413</v>
      </c>
      <c r="DQ351" s="395">
        <f>DQ187/DQ$91</f>
        <v>0.33637814891973622</v>
      </c>
      <c r="DR351" s="43"/>
      <c r="DS351" s="43">
        <f>DS187/DS$91</f>
        <v>0.31843099037641615</v>
      </c>
      <c r="DT351" s="43">
        <f>DT187/DT$91</f>
        <v>0.34258751234500162</v>
      </c>
      <c r="DU351" s="43">
        <f>DU187/DU$91</f>
        <v>0.34648829431438127</v>
      </c>
      <c r="DV351" s="43">
        <f>DV187/DV$91</f>
        <v>0.37533071800018247</v>
      </c>
      <c r="DW351" s="395">
        <f>DW187/DW$91</f>
        <v>0.34783775803291012</v>
      </c>
      <c r="DX351" s="43"/>
      <c r="DY351" s="43">
        <f>DY187/DY$91</f>
        <v>0.32943562820665789</v>
      </c>
      <c r="DZ351" s="43">
        <f>DZ187/DZ$91</f>
        <v>0.33986857696865236</v>
      </c>
      <c r="EA351" s="43">
        <f>EA187/EA$91</f>
        <v>0.33419216317767042</v>
      </c>
      <c r="EB351" s="43">
        <f>EB187/EB$91</f>
        <v>0.36950379657425392</v>
      </c>
      <c r="EC351" s="395">
        <f>EC187/EC$91</f>
        <v>0.34496801984075187</v>
      </c>
      <c r="ED351" s="43"/>
      <c r="EE351" s="43">
        <f>EE187/EE$91</f>
        <v>0.32631701360623327</v>
      </c>
      <c r="EF351" s="43">
        <f>EF187/EF$91</f>
        <v>0.32441715237302249</v>
      </c>
      <c r="EG351" s="43">
        <f>EG187/EG$91</f>
        <v>0.32901221341332759</v>
      </c>
      <c r="EH351" s="43">
        <f>EH187/EH$91</f>
        <v>0.32636295743091859</v>
      </c>
      <c r="EI351" s="395">
        <f>EI187/EI$91</f>
        <v>0.32651033905837451</v>
      </c>
      <c r="EJ351" s="43"/>
      <c r="EK351" s="43">
        <f>EK187/EK$91</f>
        <v>0.27771861318187196</v>
      </c>
      <c r="EL351" s="43">
        <f>EL187/EL$91</f>
        <v>0.30402401067140949</v>
      </c>
      <c r="EM351" s="43">
        <f>EM187/EM$91</f>
        <v>0.30297315287330817</v>
      </c>
      <c r="EN351" s="43">
        <f>EN187/EN$91</f>
        <v>0.32314080785201965</v>
      </c>
      <c r="EO351" s="395">
        <f>EO187/EO$91</f>
        <v>0.30323555603529695</v>
      </c>
      <c r="EP351" s="43"/>
      <c r="EQ351" s="43">
        <f>EQ187/EQ$91</f>
        <v>0.27110182282596074</v>
      </c>
      <c r="ER351" s="43">
        <f>ER187/ER$91</f>
        <v>0.28377535067002718</v>
      </c>
      <c r="ES351" s="43">
        <f>ES187/ES$91</f>
        <v>0.3114082380849687</v>
      </c>
      <c r="ET351" s="43">
        <f>ET187/ET$91</f>
        <v>0.34375285622886392</v>
      </c>
      <c r="EU351" s="395">
        <f>EU187/EU$91</f>
        <v>0.30497248123768728</v>
      </c>
      <c r="EV351" s="43"/>
      <c r="EW351" s="43">
        <f>EW187/EW$91</f>
        <v>0.2888623534520191</v>
      </c>
      <c r="EX351" s="43">
        <f>EX187/EX$91</f>
        <v>0.31048805815160957</v>
      </c>
      <c r="EY351" s="43">
        <f>EY187/EY$91</f>
        <v>0.35863338788870702</v>
      </c>
      <c r="EZ351" s="43">
        <f>EZ187/EZ$91</f>
        <v>0.34840348309724817</v>
      </c>
      <c r="FA351" s="395">
        <f>FA187/FA$91</f>
        <v>0.32796493884721067</v>
      </c>
      <c r="FB351" s="43"/>
      <c r="FC351" s="43">
        <f>FC187/FC$91</f>
        <v>0.31089570594371851</v>
      </c>
      <c r="FD351" s="43">
        <f>FD187/FD$91</f>
        <v>0.33151692496651647</v>
      </c>
      <c r="FE351" s="43">
        <f>FE187/FE$91</f>
        <v>0.33411696698872867</v>
      </c>
      <c r="FF351" s="43">
        <f>FF187/FF$91</f>
        <v>0.35669736308260452</v>
      </c>
      <c r="FG351" s="395">
        <f>FG187/FG$91</f>
        <v>0.33435565968050029</v>
      </c>
      <c r="FH351" s="43"/>
      <c r="FI351" s="43">
        <f>FI187/FI$91</f>
        <v>0.32291713572074315</v>
      </c>
      <c r="FJ351" s="43">
        <f>FJ187/FJ$91</f>
        <v>0.34220950068991868</v>
      </c>
      <c r="FK351" s="43">
        <f>FK187/FK$91</f>
        <v>0.3426969267586068</v>
      </c>
      <c r="FL351" s="43">
        <f>FL187/FL$91</f>
        <v>0.35743098370747395</v>
      </c>
      <c r="FM351" s="395">
        <f>FM187/FM$91</f>
        <v>0.34199870647081937</v>
      </c>
      <c r="FN351" s="27"/>
      <c r="FO351" s="27"/>
      <c r="FP351" s="27"/>
      <c r="FQ351" s="27"/>
      <c r="FR351" s="27"/>
      <c r="FS351" s="27"/>
      <c r="FT351" s="27"/>
      <c r="FU351" s="27"/>
      <c r="FV351" s="27"/>
      <c r="FW351" s="27"/>
      <c r="FX351" s="27"/>
      <c r="FY351" s="27"/>
      <c r="FZ351" s="27"/>
      <c r="GA351" s="27"/>
      <c r="GB351" s="27"/>
      <c r="GC351" s="27"/>
      <c r="GD351" s="27"/>
      <c r="GE351" s="27"/>
      <c r="GF351" s="27"/>
      <c r="GH351" s="27"/>
      <c r="GI351"/>
      <c r="GJ351"/>
      <c r="GK351"/>
      <c r="GL351"/>
      <c r="GM351"/>
      <c r="GN351"/>
      <c r="GO351" s="27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</row>
    <row r="352" spans="1:281" s="28" customFormat="1" ht="5.25" customHeight="1" x14ac:dyDescent="0.2">
      <c r="A352" s="18"/>
      <c r="B352" s="414"/>
      <c r="CG352" s="416"/>
      <c r="CM352" s="416"/>
      <c r="CS352" s="416"/>
      <c r="CY352" s="416"/>
      <c r="DE352" s="416"/>
      <c r="DK352" s="416"/>
      <c r="DQ352" s="416"/>
      <c r="DW352" s="416"/>
      <c r="EC352" s="416"/>
      <c r="EI352" s="416"/>
      <c r="EO352" s="416"/>
      <c r="EU352" s="416"/>
      <c r="FA352" s="416"/>
      <c r="FG352" s="416"/>
      <c r="FM352" s="416"/>
      <c r="GI352"/>
      <c r="GJ352"/>
      <c r="GK352"/>
      <c r="GL352"/>
      <c r="GM352"/>
      <c r="GN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</row>
    <row r="353" spans="1:281" s="28" customFormat="1" ht="5.25" customHeight="1" x14ac:dyDescent="0.2">
      <c r="A353" s="18"/>
      <c r="B353" s="414"/>
      <c r="CG353" s="416"/>
      <c r="CM353" s="416"/>
      <c r="CS353" s="416"/>
      <c r="CY353" s="416"/>
      <c r="DE353" s="416"/>
      <c r="DK353" s="416"/>
      <c r="DQ353" s="416"/>
      <c r="DW353" s="416"/>
      <c r="EC353" s="416"/>
      <c r="EI353" s="416"/>
      <c r="EO353" s="416"/>
      <c r="EU353" s="416"/>
      <c r="FA353" s="416"/>
      <c r="FG353" s="416"/>
      <c r="FM353" s="416"/>
      <c r="GI353"/>
      <c r="GJ353"/>
      <c r="GK353"/>
      <c r="GL353"/>
      <c r="GM353"/>
      <c r="GN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</row>
    <row r="354" spans="1:281" s="1221" customFormat="1" x14ac:dyDescent="0.2">
      <c r="A354" s="1221" t="s">
        <v>443</v>
      </c>
      <c r="B354" s="1373"/>
      <c r="CG354" s="1374"/>
      <c r="CM354" s="1374"/>
      <c r="CS354" s="1374"/>
      <c r="CY354" s="1374"/>
      <c r="DE354" s="1374"/>
      <c r="DK354" s="1374"/>
      <c r="DQ354" s="1374"/>
      <c r="DW354" s="1374"/>
      <c r="EC354" s="1374"/>
      <c r="EI354" s="1374"/>
      <c r="EO354" s="1374"/>
      <c r="EU354" s="1374"/>
      <c r="FA354" s="1374"/>
      <c r="FG354" s="1374"/>
      <c r="FM354" s="1374"/>
      <c r="GI354"/>
      <c r="GJ354"/>
      <c r="GK354"/>
      <c r="GL354"/>
      <c r="GM354"/>
      <c r="GN354"/>
      <c r="GP354" s="1364"/>
      <c r="GQ354" s="1364"/>
      <c r="GR354" s="1364"/>
      <c r="GS354" s="1364"/>
      <c r="GT354" s="1364"/>
      <c r="GU354" s="1364"/>
      <c r="GV354" s="1364"/>
      <c r="GW354" s="1364"/>
      <c r="GX354" s="1364"/>
      <c r="GY354" s="1364"/>
      <c r="GZ354" s="1364"/>
      <c r="HA354" s="1364"/>
      <c r="HB354" s="1364"/>
      <c r="HC354" s="1364"/>
      <c r="HD354" s="1364"/>
      <c r="HE354" s="1364"/>
      <c r="HF354" s="1364"/>
      <c r="HG354" s="1364"/>
      <c r="HH354" s="1364"/>
      <c r="HI354" s="1364"/>
      <c r="HJ354" s="1364"/>
      <c r="HK354" s="1364"/>
      <c r="HL354" s="1364"/>
      <c r="HM354" s="1364"/>
      <c r="HN354" s="1364"/>
      <c r="HO354" s="1364"/>
      <c r="HP354" s="1364"/>
      <c r="HQ354" s="1364"/>
      <c r="HR354" s="1364"/>
      <c r="HS354" s="1364"/>
      <c r="HT354" s="1364"/>
      <c r="HU354" s="1364"/>
      <c r="HV354" s="1364"/>
      <c r="HW354" s="1364"/>
      <c r="HX354" s="1364"/>
      <c r="HY354" s="1364"/>
      <c r="HZ354" s="1364"/>
      <c r="IA354" s="1364"/>
      <c r="IB354" s="1364"/>
      <c r="IC354" s="1364"/>
      <c r="ID354" s="1364"/>
      <c r="IE354" s="1364"/>
      <c r="IF354" s="1364"/>
      <c r="IG354" s="1364"/>
      <c r="IH354" s="1364"/>
      <c r="II354" s="1364"/>
      <c r="IJ354" s="1364"/>
      <c r="IK354" s="1364"/>
      <c r="IL354" s="1364"/>
      <c r="IM354" s="1364"/>
      <c r="IN354" s="1364"/>
      <c r="IO354" s="1364"/>
      <c r="IP354" s="1364"/>
      <c r="IQ354" s="1364"/>
      <c r="IR354" s="1364"/>
      <c r="IS354" s="1364"/>
      <c r="IT354" s="1364"/>
      <c r="IU354" s="1364"/>
      <c r="IV354" s="1364"/>
      <c r="IW354" s="1364"/>
      <c r="IX354" s="1364"/>
      <c r="IY354" s="1364"/>
      <c r="IZ354" s="1364"/>
      <c r="JA354" s="1364"/>
      <c r="JB354" s="1364"/>
      <c r="JC354" s="1364"/>
      <c r="JD354" s="1364"/>
      <c r="JE354" s="1364"/>
      <c r="JF354" s="1364"/>
      <c r="JG354" s="1364"/>
      <c r="JH354" s="1364"/>
      <c r="JI354" s="1364"/>
      <c r="JJ354" s="1364"/>
      <c r="JK354" s="1364"/>
      <c r="JL354" s="1364"/>
      <c r="JM354" s="1364"/>
      <c r="JN354" s="1364"/>
      <c r="JO354" s="1364"/>
      <c r="JP354" s="1364"/>
      <c r="JQ354" s="1364"/>
      <c r="JR354" s="1364"/>
      <c r="JS354" s="1364"/>
      <c r="JT354" s="1364"/>
      <c r="JU354" s="1364"/>
    </row>
    <row r="355" spans="1:281" s="242" customFormat="1" hidden="1" outlineLevel="1" x14ac:dyDescent="0.2">
      <c r="A355" s="244" t="s">
        <v>444</v>
      </c>
      <c r="B355" s="954" t="s">
        <v>560</v>
      </c>
      <c r="C355" s="59" t="str">
        <f>'Geographic Detail'!C12</f>
        <v>-</v>
      </c>
      <c r="D355" s="59" t="str">
        <f>'Geographic Detail'!D12</f>
        <v>-</v>
      </c>
      <c r="E355" s="59" t="str">
        <f>'Geographic Detail'!E12</f>
        <v>-</v>
      </c>
      <c r="F355" s="59" t="str">
        <f>'Geographic Detail'!F12</f>
        <v>-</v>
      </c>
      <c r="G355" s="59" t="str">
        <f>'Geographic Detail'!G12</f>
        <v>-</v>
      </c>
      <c r="H355" s="244">
        <f>'Geographic Detail'!H12</f>
        <v>301.66700000000003</v>
      </c>
      <c r="I355" s="244">
        <f>'Geographic Detail'!I12</f>
        <v>445.92099999999999</v>
      </c>
      <c r="J355" s="244">
        <f>'Geographic Detail'!J12</f>
        <v>394.27499999999998</v>
      </c>
      <c r="K355" s="244">
        <f>'Geographic Detail'!K12</f>
        <v>429.01200000000006</v>
      </c>
      <c r="L355" s="244">
        <f>'Geographic Detail'!L12</f>
        <v>553.48</v>
      </c>
      <c r="M355" s="244">
        <f>'Geographic Detail'!M12</f>
        <v>942.6690000000001</v>
      </c>
      <c r="N355" s="244"/>
      <c r="O355" s="244">
        <f>'Geographic Detail'!O12</f>
        <v>260.029</v>
      </c>
      <c r="P355" s="244">
        <f>'Geographic Detail'!P12</f>
        <v>311.875</v>
      </c>
      <c r="Q355" s="244">
        <f>'Geographic Detail'!Q12</f>
        <v>339.08499999999998</v>
      </c>
      <c r="R355" s="244">
        <f>'Geographic Detail'!R12</f>
        <v>505.17500000000001</v>
      </c>
      <c r="S355" s="244">
        <f>'Geographic Detail'!S12</f>
        <v>1416.164</v>
      </c>
      <c r="T355" s="244"/>
      <c r="U355" s="244">
        <f>'Geographic Detail'!U12</f>
        <v>375.495</v>
      </c>
      <c r="V355" s="244">
        <f>'Geographic Detail'!V12</f>
        <v>445.98124999999999</v>
      </c>
      <c r="W355" s="244">
        <f>'Geographic Detail'!W12</f>
        <v>496.49900000000002</v>
      </c>
      <c r="X355" s="244">
        <f>'Geographic Detail'!X12</f>
        <v>757.45299999999997</v>
      </c>
      <c r="Y355" s="244">
        <f>'Geographic Detail'!Y12</f>
        <v>2075.4282499999999</v>
      </c>
      <c r="Z355" s="244"/>
      <c r="AA355" s="244">
        <f>'Geographic Detail'!AA12</f>
        <v>537.95299999999997</v>
      </c>
      <c r="AB355" s="244">
        <f>'Geographic Detail'!AB12</f>
        <v>666.70600000000002</v>
      </c>
      <c r="AC355" s="244">
        <f>'Geographic Detail'!AC12</f>
        <v>696.36400000000003</v>
      </c>
      <c r="AD355" s="244">
        <f>'Geographic Detail'!AD12</f>
        <v>1092.5519999999999</v>
      </c>
      <c r="AE355" s="244">
        <f>'Geographic Detail'!AE12</f>
        <v>2993.5749999999998</v>
      </c>
      <c r="AF355" s="244"/>
      <c r="AG355" s="244">
        <f>'Geographic Detail'!AG12</f>
        <v>733.14700000000005</v>
      </c>
      <c r="AH355" s="244">
        <f>'Geographic Detail'!AH12</f>
        <v>861.66600000000005</v>
      </c>
      <c r="AI355" s="244">
        <f>'Geographic Detail'!AI12</f>
        <v>995.21900000000005</v>
      </c>
      <c r="AJ355" s="244">
        <f>'Geographic Detail'!AJ12</f>
        <v>1458.499</v>
      </c>
      <c r="AK355" s="244">
        <f>'Geographic Detail'!AK12</f>
        <v>4048.5309999999999</v>
      </c>
      <c r="AL355" s="244"/>
      <c r="AM355" s="244">
        <f>'Geographic Detail'!AM12</f>
        <v>1003.126</v>
      </c>
      <c r="AN355" s="244">
        <f>'Geographic Detail'!AN12</f>
        <v>1121.56</v>
      </c>
      <c r="AO355" s="244">
        <f>'Geographic Detail'!AO12</f>
        <v>1165.155</v>
      </c>
      <c r="AP355" s="244">
        <f>'Geographic Detail'!AP12</f>
        <v>1763.328</v>
      </c>
      <c r="AQ355" s="244">
        <f>'Geographic Detail'!AQ12</f>
        <v>5053.1689999999999</v>
      </c>
      <c r="AR355" s="244"/>
      <c r="AS355" s="244">
        <f>'Geographic Detail'!AS12</f>
        <v>1124.25</v>
      </c>
      <c r="AT355" s="244">
        <f>'Geographic Detail'!AT12</f>
        <v>1261.876</v>
      </c>
      <c r="AU355" s="244">
        <f>'Geographic Detail'!AU12</f>
        <v>1450.0920000000001</v>
      </c>
      <c r="AV355" s="244">
        <f>'Geographic Detail'!AV12</f>
        <v>2077.212</v>
      </c>
      <c r="AW355" s="244">
        <f>'Geographic Detail'!AW12</f>
        <v>5913.43</v>
      </c>
      <c r="AX355" s="244"/>
      <c r="AY355" s="244">
        <f>'Geographic Detail'!AY12</f>
        <v>1315.5329999999999</v>
      </c>
      <c r="AZ355" s="244">
        <f>'Geographic Detail'!AZ12</f>
        <v>1534.47</v>
      </c>
      <c r="BA355" s="244">
        <f>'Geographic Detail'!BA12</f>
        <v>1559.626</v>
      </c>
      <c r="BB355" s="244">
        <f>'Geographic Detail'!BB12</f>
        <v>1940.299</v>
      </c>
      <c r="BC355" s="244">
        <f>'Geographic Detail'!BC12</f>
        <v>6349.9279999999999</v>
      </c>
      <c r="BD355" s="244"/>
      <c r="BE355" s="244">
        <f>'Geographic Detail'!BE12</f>
        <v>1245.9760000000001</v>
      </c>
      <c r="BF355" s="244">
        <f>'Geographic Detail'!BF12</f>
        <v>1281.692</v>
      </c>
      <c r="BG355" s="244">
        <f>'Geographic Detail'!BG12</f>
        <v>1259.1769999999999</v>
      </c>
      <c r="BH355" s="244">
        <f>'Geographic Detail'!BH12</f>
        <v>1506.001</v>
      </c>
      <c r="BI355" s="244">
        <f>'Geographic Detail'!BI12</f>
        <v>5292.8460000000005</v>
      </c>
      <c r="BJ355" s="244"/>
      <c r="BK355" s="244">
        <f>'Geographic Detail'!BK12</f>
        <v>1106</v>
      </c>
      <c r="BL355" s="244">
        <f>'Geographic Detail'!BL12</f>
        <v>1157</v>
      </c>
      <c r="BM355" s="244">
        <f>'Geographic Detail'!BM12</f>
        <v>1190</v>
      </c>
      <c r="BN355" s="244">
        <f>'Geographic Detail'!BN12</f>
        <v>1391</v>
      </c>
      <c r="BO355" s="244">
        <f>'Geographic Detail'!BO12</f>
        <v>4844</v>
      </c>
      <c r="BP355" s="244"/>
      <c r="BQ355" s="244">
        <f>'Geographic Detail'!BQ12</f>
        <v>1042</v>
      </c>
      <c r="BR355" s="244">
        <f>'Geographic Detail'!BR12</f>
        <v>1250</v>
      </c>
      <c r="BS355" s="244">
        <f>'Geographic Detail'!BS12</f>
        <v>1216</v>
      </c>
      <c r="BT355" s="244">
        <f>'Geographic Detail'!BT12</f>
        <v>1475</v>
      </c>
      <c r="BU355" s="244">
        <f>'Geographic Detail'!BU12</f>
        <v>4983</v>
      </c>
      <c r="BV355" s="244"/>
      <c r="BW355" s="244">
        <f>'Geographic Detail'!BW12</f>
        <v>1091</v>
      </c>
      <c r="BX355" s="244">
        <f>'Geographic Detail'!BX12</f>
        <v>1292</v>
      </c>
      <c r="BY355" s="244">
        <f>'Geographic Detail'!BY12</f>
        <v>1522.8</v>
      </c>
      <c r="BZ355" s="244">
        <f>'Geographic Detail'!BZ12</f>
        <v>2083.2048</v>
      </c>
      <c r="CA355" s="244">
        <f>'Geographic Detail'!CA12</f>
        <v>5989.0048000000006</v>
      </c>
      <c r="CB355" s="244"/>
      <c r="CC355" s="244">
        <f>'Geographic Detail'!CC12</f>
        <v>1559.4</v>
      </c>
      <c r="CD355" s="244">
        <f>'Geographic Detail'!CD12</f>
        <v>1794.2</v>
      </c>
      <c r="CE355" s="244">
        <f>'Geographic Detail'!CE12</f>
        <v>1880.5</v>
      </c>
      <c r="CF355" s="244">
        <f>'Geographic Detail'!CF12</f>
        <v>2638</v>
      </c>
      <c r="CG355" s="171">
        <f>'Geographic Detail'!CG12</f>
        <v>7872.1</v>
      </c>
      <c r="CH355" s="244"/>
      <c r="CI355" s="244">
        <f>'Geographic Detail'!CI12</f>
        <v>1991</v>
      </c>
      <c r="CJ355" s="244">
        <f>'Geographic Detail'!CJ12</f>
        <v>2196.5</v>
      </c>
      <c r="CK355" s="244">
        <f>'Geographic Detail'!CK12</f>
        <v>2332.5</v>
      </c>
      <c r="CL355" s="244">
        <f>'Geographic Detail'!CL12</f>
        <v>3045.5</v>
      </c>
      <c r="CM355" s="171">
        <f>'Geographic Detail'!CM12</f>
        <v>9565.5</v>
      </c>
      <c r="CN355" s="244"/>
      <c r="CO355" s="244">
        <f>'Geographic Detail'!CO12</f>
        <v>2407</v>
      </c>
      <c r="CP355" s="244">
        <f>'Geographic Detail'!CP12</f>
        <v>2699.5</v>
      </c>
      <c r="CQ355" s="244">
        <f>'Geographic Detail'!CQ12</f>
        <v>2718</v>
      </c>
      <c r="CR355" s="244">
        <f>'Geographic Detail'!CR12</f>
        <v>3595</v>
      </c>
      <c r="CS355" s="171">
        <f>'Geographic Detail'!CS12</f>
        <v>11419.5</v>
      </c>
      <c r="CT355" s="244"/>
      <c r="CU355" s="244">
        <f>'Geographic Detail'!CU12</f>
        <v>2732.5</v>
      </c>
      <c r="CV355" s="244">
        <f>'Geographic Detail'!CV12</f>
        <v>2944</v>
      </c>
      <c r="CW355" s="244">
        <f>'Geographic Detail'!CW12</f>
        <v>2846</v>
      </c>
      <c r="CX355" s="244">
        <f>'Geographic Detail'!CX12</f>
        <v>3463</v>
      </c>
      <c r="CY355" s="171">
        <f>'Geographic Detail'!CY12</f>
        <v>11985.5</v>
      </c>
      <c r="CZ355" s="244"/>
      <c r="DA355" s="244">
        <f>'Geographic Detail'!DA12</f>
        <v>2671</v>
      </c>
      <c r="DB355" s="244">
        <f>'Geographic Detail'!DB12</f>
        <v>2979</v>
      </c>
      <c r="DC355" s="244">
        <f>'Geographic Detail'!DC12</f>
        <v>3284</v>
      </c>
      <c r="DD355" s="244">
        <f>'Geographic Detail'!DD12</f>
        <v>4886</v>
      </c>
      <c r="DE355" s="171">
        <f>'Geographic Detail'!DE12</f>
        <v>13820</v>
      </c>
      <c r="DF355" s="244"/>
      <c r="DG355" s="244">
        <f>'Geographic Detail'!DG12</f>
        <v>3948.7539322847242</v>
      </c>
      <c r="DH355" s="244">
        <f>'Geographic Detail'!DH12</f>
        <v>4452</v>
      </c>
      <c r="DI355" s="244">
        <f>'Geographic Detail'!DI12</f>
        <v>4509</v>
      </c>
      <c r="DJ355" s="244">
        <f>'Geographic Detail'!DJ12</f>
        <v>5487</v>
      </c>
      <c r="DK355" s="171">
        <f>'Geographic Detail'!DK12</f>
        <v>18396.753932284722</v>
      </c>
      <c r="DL355" s="244"/>
      <c r="DM355" s="244">
        <f>'Geographic Detail'!DM12</f>
        <v>4226</v>
      </c>
      <c r="DN355" s="244">
        <f>'Geographic Detail'!DN12</f>
        <v>4532</v>
      </c>
      <c r="DO355" s="244">
        <f>'Geographic Detail'!DO12</f>
        <v>4707</v>
      </c>
      <c r="DP355" s="244">
        <f>'Geographic Detail'!DP12</f>
        <v>5771</v>
      </c>
      <c r="DQ355" s="171">
        <f>'Geographic Detail'!DQ12</f>
        <v>19236</v>
      </c>
      <c r="DR355" s="244"/>
      <c r="DS355" s="244">
        <f>'Geographic Detail'!DS12</f>
        <v>4324</v>
      </c>
      <c r="DT355" s="244">
        <f>'Geographic Detail'!DT12</f>
        <v>4787</v>
      </c>
      <c r="DU355" s="244">
        <f>'Geographic Detail'!DU12</f>
        <v>4698</v>
      </c>
      <c r="DV355" s="244">
        <f>'Geographic Detail'!DV12</f>
        <v>5911</v>
      </c>
      <c r="DW355" s="171">
        <f>'Geographic Detail'!DW12</f>
        <v>19720</v>
      </c>
      <c r="DX355" s="244"/>
      <c r="DY355" s="244">
        <f>'Geographic Detail'!DY12</f>
        <v>4517</v>
      </c>
      <c r="DZ355" s="244">
        <f>'Geographic Detail'!DZ12</f>
        <v>4995</v>
      </c>
      <c r="EA355" s="244">
        <f>'Geographic Detail'!EA12</f>
        <v>4953</v>
      </c>
      <c r="EB355" s="244">
        <f>'Geographic Detail'!EB12</f>
        <v>5857</v>
      </c>
      <c r="EC355" s="171">
        <f>'Geographic Detail'!EC12</f>
        <v>20322</v>
      </c>
      <c r="ED355" s="244"/>
      <c r="EE355" s="244">
        <f>'Geographic Detail'!EE12</f>
        <v>4620</v>
      </c>
      <c r="EF355" s="244">
        <f>'Geographic Detail'!EF12</f>
        <v>5221</v>
      </c>
      <c r="EG355" s="244">
        <f>'Geographic Detail'!EG12</f>
        <v>5134</v>
      </c>
      <c r="EH355" s="244">
        <f>'Geographic Detail'!EH12</f>
        <v>6133</v>
      </c>
      <c r="EI355" s="171">
        <f>'Geographic Detail'!EI12</f>
        <v>21108</v>
      </c>
      <c r="EJ355" s="244"/>
      <c r="EK355" s="244">
        <f>'Geographic Detail'!EK12</f>
        <v>4716</v>
      </c>
      <c r="EL355" s="244">
        <f>'Geographic Detail'!EL12</f>
        <v>4960</v>
      </c>
      <c r="EM355" s="244">
        <f>'Geographic Detail'!EM12</f>
        <v>4942</v>
      </c>
      <c r="EN355" s="244">
        <f>'Geographic Detail'!EN12</f>
        <v>5847</v>
      </c>
      <c r="EO355" s="171">
        <f>'Geographic Detail'!EO12</f>
        <v>20465</v>
      </c>
      <c r="EP355" s="244"/>
      <c r="EQ355" s="244">
        <f>'Geographic Detail'!EQ12</f>
        <v>4817</v>
      </c>
      <c r="ER355" s="244">
        <f>'Geographic Detail'!ER12</f>
        <v>4935</v>
      </c>
      <c r="ES355" s="244">
        <f>'Geographic Detail'!ES12</f>
        <v>5219</v>
      </c>
      <c r="ET355" s="244">
        <f>'Geographic Detail'!ET12</f>
        <v>6147.8833766753351</v>
      </c>
      <c r="EU355" s="171">
        <f>'Geographic Detail'!EU12</f>
        <v>21118.883376675334</v>
      </c>
      <c r="EV355" s="244"/>
      <c r="EW355" s="244">
        <f>'Geographic Detail'!EW12</f>
        <v>5244.8771466314402</v>
      </c>
      <c r="EX355" s="244">
        <f>'Geographic Detail'!EX12</f>
        <v>5379.1762692527091</v>
      </c>
      <c r="EY355" s="244">
        <f>'Geographic Detail'!EY12</f>
        <v>5396.1341504178281</v>
      </c>
      <c r="EZ355" s="244">
        <f>'Geographic Detail'!EZ12</f>
        <v>6287.6156269390867</v>
      </c>
      <c r="FA355" s="171">
        <f>'Geographic Detail'!FA12</f>
        <v>22307.803193241067</v>
      </c>
      <c r="FB355" s="244"/>
      <c r="FC355" s="244">
        <f>'Geographic Detail'!FC12</f>
        <v>5436.9737094842621</v>
      </c>
      <c r="FD355" s="244">
        <f>'Geographic Detail'!FD12</f>
        <v>5575.7296005683211</v>
      </c>
      <c r="FE355" s="244">
        <f>'Geographic Detail'!FE12</f>
        <v>5570.4683036421602</v>
      </c>
      <c r="FF355" s="244">
        <f>'Geographic Detail'!FF12</f>
        <v>6407.7550364890312</v>
      </c>
      <c r="FG355" s="171">
        <f>'Geographic Detail'!FG12</f>
        <v>22990.926650183774</v>
      </c>
      <c r="FH355" s="244"/>
      <c r="FI355" s="244">
        <f>'Geographic Detail'!FI12</f>
        <v>5659.1350639912862</v>
      </c>
      <c r="FJ355" s="244">
        <f>'Geographic Detail'!FJ12</f>
        <v>5777.3658005218958</v>
      </c>
      <c r="FK355" s="244">
        <f>'Geographic Detail'!FK12</f>
        <v>5762.6518351327222</v>
      </c>
      <c r="FL355" s="244">
        <f>'Geographic Detail'!FL12</f>
        <v>6561.1135660883201</v>
      </c>
      <c r="FM355" s="171">
        <f>'Geographic Detail'!FM12</f>
        <v>23760.266265734223</v>
      </c>
      <c r="GI355"/>
      <c r="GJ355"/>
      <c r="GK355"/>
      <c r="GL355"/>
      <c r="GM355"/>
      <c r="GN355"/>
      <c r="GP355"/>
      <c r="GQ355"/>
      <c r="GR355"/>
      <c r="GS355"/>
      <c r="GT355"/>
      <c r="GU355"/>
      <c r="GV355"/>
      <c r="GW355"/>
      <c r="GX355"/>
      <c r="GY355"/>
      <c r="GZ355"/>
      <c r="HA355"/>
      <c r="HB355"/>
      <c r="HC355"/>
      <c r="HD355"/>
      <c r="HE355"/>
      <c r="HF355"/>
      <c r="HG355"/>
      <c r="HH355"/>
      <c r="HI355"/>
      <c r="HJ355"/>
      <c r="HK355"/>
      <c r="HL355"/>
      <c r="HM355"/>
      <c r="HN355"/>
      <c r="HO355"/>
      <c r="HP355"/>
      <c r="HQ355"/>
      <c r="HR355"/>
      <c r="HS355"/>
      <c r="HT355"/>
      <c r="HU355"/>
      <c r="HV355"/>
      <c r="HW355"/>
      <c r="HX355"/>
      <c r="HY355"/>
      <c r="HZ355"/>
      <c r="IA355"/>
      <c r="IB355"/>
      <c r="IC355"/>
      <c r="ID355"/>
      <c r="IE355"/>
      <c r="IF355"/>
      <c r="IG355"/>
      <c r="IH355"/>
      <c r="II355"/>
      <c r="IJ355"/>
      <c r="IK355"/>
      <c r="IL355"/>
      <c r="IM355"/>
      <c r="IN355"/>
      <c r="IO355"/>
      <c r="IP355"/>
      <c r="IQ355"/>
      <c r="IR355"/>
      <c r="IS355"/>
      <c r="IT355"/>
      <c r="IU355"/>
      <c r="IV355"/>
      <c r="IW355"/>
      <c r="IX355"/>
      <c r="IY355"/>
      <c r="IZ355"/>
      <c r="JA355"/>
      <c r="JB355"/>
      <c r="JC355"/>
      <c r="JD355"/>
      <c r="JE355"/>
      <c r="JF355"/>
      <c r="JG355"/>
      <c r="JH355"/>
      <c r="JI355"/>
      <c r="JJ355"/>
      <c r="JK355"/>
      <c r="JL355"/>
      <c r="JM355"/>
      <c r="JN355"/>
      <c r="JO355"/>
      <c r="JP355"/>
      <c r="JQ355"/>
      <c r="JR355"/>
      <c r="JS355"/>
      <c r="JT355"/>
      <c r="JU355"/>
    </row>
    <row r="356" spans="1:281" s="24" customFormat="1" hidden="1" outlineLevel="1" x14ac:dyDescent="0.2">
      <c r="A356" s="60" t="s">
        <v>445</v>
      </c>
      <c r="B356" s="954" t="s">
        <v>446</v>
      </c>
      <c r="C356" s="59" t="s">
        <v>945</v>
      </c>
      <c r="D356" s="59" t="s">
        <v>945</v>
      </c>
      <c r="E356" s="59" t="s">
        <v>945</v>
      </c>
      <c r="F356" s="59" t="s">
        <v>945</v>
      </c>
      <c r="G356" s="59" t="s">
        <v>945</v>
      </c>
      <c r="H356" s="244">
        <f t="shared" ref="H356:M356" si="247">H357+H358</f>
        <v>282.13299999999992</v>
      </c>
      <c r="I356" s="244">
        <f t="shared" si="247"/>
        <v>470.46899999999999</v>
      </c>
      <c r="J356" s="244">
        <f t="shared" si="247"/>
        <v>633.67400000000009</v>
      </c>
      <c r="K356" s="244">
        <f t="shared" si="247"/>
        <v>749.98799999999994</v>
      </c>
      <c r="L356" s="244">
        <f t="shared" si="247"/>
        <v>949.52</v>
      </c>
      <c r="M356" s="244">
        <f t="shared" si="247"/>
        <v>1058.4779999999998</v>
      </c>
      <c r="N356" s="244"/>
      <c r="O356" s="244">
        <f>O357+O358</f>
        <v>296.44500000000005</v>
      </c>
      <c r="P356" s="244">
        <f>P357+P358</f>
        <v>358.40499999999997</v>
      </c>
      <c r="Q356" s="244">
        <f>Q357+Q358</f>
        <v>383.16</v>
      </c>
      <c r="R356" s="244">
        <f>R357+R358</f>
        <v>512.70399999999995</v>
      </c>
      <c r="S356" s="244">
        <f>S357+S358</f>
        <v>1550.7139999999999</v>
      </c>
      <c r="T356" s="244"/>
      <c r="U356" s="244">
        <f>U357+U358</f>
        <v>396.30799999999999</v>
      </c>
      <c r="V356" s="244">
        <f>V357+V358</f>
        <v>521.01874999999995</v>
      </c>
      <c r="W356" s="244">
        <f>W357+W358</f>
        <v>523.74</v>
      </c>
      <c r="X356" s="244">
        <f>X357+X358</f>
        <v>706.62099999999987</v>
      </c>
      <c r="Y356" s="244">
        <f>Y357+Y358</f>
        <v>2147.6877500000001</v>
      </c>
      <c r="Z356" s="244"/>
      <c r="AA356" s="244">
        <f>AA357+AA358</f>
        <v>514.36599999999999</v>
      </c>
      <c r="AB356" s="244">
        <f>AB357+AB358</f>
        <v>644.66700000000003</v>
      </c>
      <c r="AC356" s="244">
        <f>AC357+AC358</f>
        <v>676.2489999999998</v>
      </c>
      <c r="AD356" s="244">
        <f>AD357+AD358</f>
        <v>855.47900000000004</v>
      </c>
      <c r="AE356" s="244">
        <f>AE357+AE358</f>
        <v>2690.7609999999995</v>
      </c>
      <c r="AF356" s="244"/>
      <c r="AG356" s="244">
        <f>AG357+AG358</f>
        <v>635.68099999999993</v>
      </c>
      <c r="AH356" s="244">
        <f>AH357+AH358</f>
        <v>752.06099999999981</v>
      </c>
      <c r="AI356" s="244">
        <f>AI357+AI358</f>
        <v>753.53800000000001</v>
      </c>
      <c r="AJ356" s="244">
        <f>AJ357+AJ358</f>
        <v>954.05399999999986</v>
      </c>
      <c r="AK356" s="244">
        <f>AK357+AK358</f>
        <v>3095.3339999999998</v>
      </c>
      <c r="AL356" s="244"/>
      <c r="AM356" s="244">
        <f>AM357+AM358</f>
        <v>745.98399999999992</v>
      </c>
      <c r="AN356" s="244">
        <f>AN357+AN358</f>
        <v>934.38400000000047</v>
      </c>
      <c r="AO356" s="244">
        <f>AO357+AO358</f>
        <v>913.7650000000001</v>
      </c>
      <c r="AP356" s="244">
        <f>AP357+AP358</f>
        <v>1179.9499999999998</v>
      </c>
      <c r="AQ356" s="244">
        <f>AQ357+AQ358</f>
        <v>3774.0830000000001</v>
      </c>
      <c r="AR356" s="244"/>
      <c r="AS356" s="244">
        <f>AS357+AS358</f>
        <v>860.26700000000005</v>
      </c>
      <c r="AT356" s="244">
        <f>AT357+AT358</f>
        <v>1060.0069999999998</v>
      </c>
      <c r="AU356" s="244">
        <f>AU357+AU358</f>
        <v>999.32599999999957</v>
      </c>
      <c r="AV356" s="244">
        <f>AV357+AV358</f>
        <v>1297.0980000000004</v>
      </c>
      <c r="AW356" s="244">
        <f>AW357+AW358</f>
        <v>4216.6980000000003</v>
      </c>
      <c r="AX356" s="244"/>
      <c r="AY356" s="244">
        <f>AY357+AY358</f>
        <v>972.45900000000029</v>
      </c>
      <c r="AZ356" s="244">
        <f>AZ357+AZ358</f>
        <v>1151.9379999999999</v>
      </c>
      <c r="BA356" s="244">
        <f>BA357+BA358</f>
        <v>1136.4359999999999</v>
      </c>
      <c r="BB356" s="244">
        <f>BB357+BB358</f>
        <v>1349.931</v>
      </c>
      <c r="BC356" s="244">
        <f>BC357+BC358</f>
        <v>4610.7640000000001</v>
      </c>
      <c r="BD356" s="244"/>
      <c r="BE356" s="244">
        <f>BE357+BE358</f>
        <v>1019.0789999999997</v>
      </c>
      <c r="BF356" s="244">
        <f>BF357+BF358</f>
        <v>1098.7449999999999</v>
      </c>
      <c r="BG356" s="244">
        <f>BG357+BG358</f>
        <v>994.1429999999998</v>
      </c>
      <c r="BH356" s="244">
        <f>BH357+BH358</f>
        <v>1267.9800000000002</v>
      </c>
      <c r="BI356" s="244">
        <f>BI357+BI358</f>
        <v>4379.9470000000001</v>
      </c>
      <c r="BJ356" s="244"/>
      <c r="BK356" s="244">
        <f>BK357+BK358</f>
        <v>922</v>
      </c>
      <c r="BL356" s="244">
        <f>BL357+BL358</f>
        <v>1152</v>
      </c>
      <c r="BM356" s="244">
        <f>BM357+BM358</f>
        <v>1117</v>
      </c>
      <c r="BN356" s="244">
        <f>BN357+BN358</f>
        <v>1440.4</v>
      </c>
      <c r="BO356" s="244">
        <f>BO357+BO358</f>
        <v>4631.3999999999996</v>
      </c>
      <c r="BP356" s="244"/>
      <c r="BQ356" s="244">
        <f>BQ357+BQ358</f>
        <v>1030</v>
      </c>
      <c r="BR356" s="244">
        <f>BR357+BR358</f>
        <v>1248</v>
      </c>
      <c r="BS356" s="244">
        <f>BS357+BS358</f>
        <v>1293</v>
      </c>
      <c r="BT356" s="244">
        <f>BT357+BT358</f>
        <v>1602</v>
      </c>
      <c r="BU356" s="244">
        <f>BU357+BU358</f>
        <v>5173</v>
      </c>
      <c r="BV356" s="244"/>
      <c r="BW356" s="244">
        <f>BW357+BW358</f>
        <v>1124</v>
      </c>
      <c r="BX356" s="244">
        <f>BX357+BX358</f>
        <v>1464</v>
      </c>
      <c r="BY356" s="244">
        <f>BY357+BY358</f>
        <v>1570.2</v>
      </c>
      <c r="BZ356" s="244">
        <f>BZ357+BZ358</f>
        <v>1971.7952</v>
      </c>
      <c r="CA356" s="244">
        <f>CA357+CA358</f>
        <v>6129.9951999999994</v>
      </c>
      <c r="CB356" s="244"/>
      <c r="CC356" s="244">
        <f>CC357+CC358</f>
        <v>1347.6</v>
      </c>
      <c r="CD356" s="244">
        <f>CD357+CD358</f>
        <v>1599.8</v>
      </c>
      <c r="CE356" s="244">
        <f>CE357+CE358</f>
        <v>1653.9</v>
      </c>
      <c r="CF356" s="244">
        <f>CF357+CF358</f>
        <v>2299</v>
      </c>
      <c r="CG356" s="171">
        <f>CG357+CG358</f>
        <v>6900.3</v>
      </c>
      <c r="CH356" s="244"/>
      <c r="CI356" s="244">
        <f>CI357+CI358</f>
        <v>1670</v>
      </c>
      <c r="CJ356" s="244">
        <f>CJ357+CJ358</f>
        <v>2019.5</v>
      </c>
      <c r="CK356" s="244">
        <f>CK357+CK358</f>
        <v>2116.5</v>
      </c>
      <c r="CL356" s="244">
        <f>CL357+CL358</f>
        <v>2837.5</v>
      </c>
      <c r="CM356" s="171">
        <f>CM357+CM358</f>
        <v>8643.5</v>
      </c>
      <c r="CN356" s="244"/>
      <c r="CO356" s="244">
        <f>CO357+CO358</f>
        <v>2186</v>
      </c>
      <c r="CP356" s="244">
        <f>CP357+CP358</f>
        <v>2664.5</v>
      </c>
      <c r="CQ356" s="244">
        <f>CQ357+CQ358</f>
        <v>2653</v>
      </c>
      <c r="CR356" s="244">
        <f>CR357+CR358</f>
        <v>3686</v>
      </c>
      <c r="CS356" s="171">
        <f>CS357+CS358</f>
        <v>11189.5</v>
      </c>
      <c r="CT356" s="244"/>
      <c r="CU356" s="244">
        <f>CU357+CU358</f>
        <v>2689.5</v>
      </c>
      <c r="CV356" s="244">
        <f>CV357+CV358</f>
        <v>2743</v>
      </c>
      <c r="CW356" s="244">
        <f>CW357+CW358</f>
        <v>2607</v>
      </c>
      <c r="CX356" s="244">
        <f>CX357+CX358</f>
        <v>3398</v>
      </c>
      <c r="CY356" s="171">
        <f>CY357+CY358</f>
        <v>11437.5</v>
      </c>
      <c r="CZ356" s="244"/>
      <c r="DA356" s="244">
        <f>DA357+DA358</f>
        <v>2392</v>
      </c>
      <c r="DB356" s="244">
        <f>DB357+DB358</f>
        <v>2879</v>
      </c>
      <c r="DC356" s="244">
        <f>DC357+DC358</f>
        <v>3120</v>
      </c>
      <c r="DD356" s="244">
        <f>DD357+DD358</f>
        <v>4619</v>
      </c>
      <c r="DE356" s="171">
        <f>DE357+DE358</f>
        <v>13010</v>
      </c>
      <c r="DF356" s="244"/>
      <c r="DG356" s="244">
        <f>DG357+DG358</f>
        <v>3639.2460677152758</v>
      </c>
      <c r="DH356" s="244">
        <f>DH357+DH358</f>
        <v>4130</v>
      </c>
      <c r="DI356" s="244">
        <f>DI357+DI358</f>
        <v>4255</v>
      </c>
      <c r="DJ356" s="244">
        <f>DJ357+DJ358</f>
        <v>5288</v>
      </c>
      <c r="DK356" s="171">
        <f>DK357+DK358</f>
        <v>17312.246067715274</v>
      </c>
      <c r="DL356" s="244"/>
      <c r="DM356" s="244">
        <f>DM357+DM358</f>
        <v>4148</v>
      </c>
      <c r="DN356" s="244">
        <f>DN357+DN358</f>
        <v>4260</v>
      </c>
      <c r="DO356" s="244">
        <f>DO357+DO358</f>
        <v>4332</v>
      </c>
      <c r="DP356" s="244">
        <f>DP357+DP358</f>
        <v>5145</v>
      </c>
      <c r="DQ356" s="171">
        <f>DQ357+DQ358</f>
        <v>17885</v>
      </c>
      <c r="DR356" s="244"/>
      <c r="DS356" s="244">
        <f>DS357+DS358</f>
        <v>3857</v>
      </c>
      <c r="DT356" s="244">
        <f>DT357+DT358</f>
        <v>4307</v>
      </c>
      <c r="DU356" s="244">
        <f>DU357+DU358</f>
        <v>4260</v>
      </c>
      <c r="DV356" s="244">
        <f>DV357+DV358</f>
        <v>5036</v>
      </c>
      <c r="DW356" s="171">
        <f>DW357+DW358</f>
        <v>17460</v>
      </c>
      <c r="DX356" s="244"/>
      <c r="DY356" s="244">
        <f>DY357+DY358</f>
        <v>3855</v>
      </c>
      <c r="DZ356" s="244">
        <f>DZ357+DZ358</f>
        <v>4280</v>
      </c>
      <c r="EA356" s="244">
        <f>EA357+EA358</f>
        <v>4354</v>
      </c>
      <c r="EB356" s="244">
        <f>EB357+EB358</f>
        <v>5463</v>
      </c>
      <c r="EC356" s="171">
        <f>EC357+EC358</f>
        <v>17952</v>
      </c>
      <c r="ED356" s="244"/>
      <c r="EE356" s="244">
        <f>EE357+EE358</f>
        <v>3976</v>
      </c>
      <c r="EF356" s="244">
        <f>EF357+EF358</f>
        <v>4377</v>
      </c>
      <c r="EG356" s="244">
        <f>EG357+EG358</f>
        <v>4193</v>
      </c>
      <c r="EH356" s="244">
        <f>EH357+EH358</f>
        <v>4573</v>
      </c>
      <c r="EI356" s="171">
        <f>EI357+EI358</f>
        <v>17119</v>
      </c>
      <c r="EJ356" s="244"/>
      <c r="EK356" s="244">
        <f>EK357+EK358</f>
        <v>3732</v>
      </c>
      <c r="EL356" s="244">
        <f>EL357+EL358</f>
        <v>4033</v>
      </c>
      <c r="EM356" s="244">
        <f>EM357+EM358</f>
        <v>4070</v>
      </c>
      <c r="EN356" s="244">
        <f>EN357+EN358</f>
        <v>4747</v>
      </c>
      <c r="EO356" s="171">
        <f>EO357+EO358</f>
        <v>16582</v>
      </c>
      <c r="EP356" s="244"/>
      <c r="EQ356" s="244">
        <f>EQ357+EQ358</f>
        <v>3778</v>
      </c>
      <c r="ER356" s="244">
        <f>ER357+ER358</f>
        <v>4100</v>
      </c>
      <c r="ES356" s="244">
        <f>ES357+ES358</f>
        <v>3986</v>
      </c>
      <c r="ET356" s="244">
        <f>ET357+ET358</f>
        <v>4793.116623324664</v>
      </c>
      <c r="EU356" s="171">
        <f>EU357+EU358</f>
        <v>16657.116623324662</v>
      </c>
      <c r="EV356" s="244"/>
      <c r="EW356" s="244">
        <f>EW357+EW358</f>
        <v>3967.1228533685598</v>
      </c>
      <c r="EX356" s="244">
        <f>EX357+EX358</f>
        <v>4250.82373074729</v>
      </c>
      <c r="EY356" s="244">
        <f>EY357+EY358</f>
        <v>4379.8658495821728</v>
      </c>
      <c r="EZ356" s="244">
        <f>EZ357+EZ358</f>
        <v>4902.0570391586316</v>
      </c>
      <c r="FA356" s="171">
        <f>FA357+FA358</f>
        <v>17499.869472856655</v>
      </c>
      <c r="FB356" s="244"/>
      <c r="FC356" s="244">
        <f>FC357+FC358</f>
        <v>4112.4209496331077</v>
      </c>
      <c r="FD356" s="244">
        <f>FD357+FD358</f>
        <v>4406.14743149486</v>
      </c>
      <c r="FE356" s="244">
        <f>FE357+FE358</f>
        <v>4521.3671879178683</v>
      </c>
      <c r="FF356" s="244">
        <f>FF357+FF358</f>
        <v>4995.7221537596934</v>
      </c>
      <c r="FG356" s="171">
        <f>FG357+FG358</f>
        <v>18035.657722805532</v>
      </c>
      <c r="FH356" s="244"/>
      <c r="FI356" s="244">
        <f>FI357+FI358</f>
        <v>4280.4594683553578</v>
      </c>
      <c r="FJ356" s="244">
        <f>FJ357+FJ358</f>
        <v>4565.4878027408531</v>
      </c>
      <c r="FK356" s="244">
        <f>FK357+FK358</f>
        <v>4677.3562836230658</v>
      </c>
      <c r="FL356" s="244">
        <f>FL357+FL358</f>
        <v>5115.2861195206196</v>
      </c>
      <c r="FM356" s="171">
        <f>FM357+FM358</f>
        <v>18638.589674239898</v>
      </c>
      <c r="FN356" s="27"/>
      <c r="FO356" s="27"/>
      <c r="FP356" s="27"/>
      <c r="FQ356" s="27"/>
      <c r="FR356" s="27"/>
      <c r="FS356" s="27"/>
      <c r="FT356" s="27"/>
      <c r="FU356" s="27"/>
      <c r="FV356" s="27"/>
      <c r="FW356" s="27"/>
      <c r="FX356" s="27"/>
      <c r="FY356" s="27"/>
      <c r="FZ356" s="27"/>
      <c r="GA356" s="27"/>
      <c r="GB356" s="27"/>
      <c r="GC356" s="27"/>
      <c r="GD356" s="27"/>
      <c r="GE356" s="27"/>
      <c r="GF356" s="27"/>
      <c r="GG356" s="27"/>
      <c r="GH356" s="27"/>
      <c r="GI356"/>
      <c r="GJ356"/>
      <c r="GK356"/>
      <c r="GL356"/>
      <c r="GM356"/>
      <c r="GN356"/>
      <c r="GO356" s="27"/>
      <c r="GP356"/>
      <c r="GQ356"/>
      <c r="GR356"/>
      <c r="GS356"/>
      <c r="GT356"/>
      <c r="GU356"/>
      <c r="GV356"/>
      <c r="GW356"/>
      <c r="GX356"/>
      <c r="GY356"/>
      <c r="GZ356"/>
      <c r="HA356"/>
      <c r="HB356"/>
      <c r="HC356"/>
      <c r="HD356"/>
      <c r="HE356"/>
      <c r="HF356"/>
      <c r="HG356"/>
      <c r="HH356"/>
      <c r="HI356"/>
      <c r="HJ356"/>
      <c r="HK356"/>
      <c r="HL356"/>
      <c r="HM356"/>
      <c r="HN356"/>
      <c r="HO356"/>
      <c r="HP356"/>
      <c r="HQ356"/>
      <c r="HR356"/>
      <c r="HS356"/>
      <c r="HT356"/>
      <c r="HU356"/>
      <c r="HV356"/>
      <c r="HW356"/>
      <c r="HX356"/>
      <c r="HY356"/>
      <c r="HZ356"/>
      <c r="IA356"/>
      <c r="IB356"/>
      <c r="IC356"/>
      <c r="ID356"/>
      <c r="IE356"/>
      <c r="IF356"/>
      <c r="IG356"/>
      <c r="IH356"/>
      <c r="II356"/>
      <c r="IJ356"/>
      <c r="IK356"/>
      <c r="IL356"/>
      <c r="IM356"/>
      <c r="IN356"/>
      <c r="IO356"/>
      <c r="IP356"/>
      <c r="IQ356"/>
      <c r="IR356"/>
      <c r="IS356"/>
      <c r="IT356"/>
      <c r="IU356"/>
      <c r="IV356"/>
      <c r="IW356"/>
      <c r="IX356"/>
      <c r="IY356"/>
      <c r="IZ356"/>
      <c r="JA356"/>
      <c r="JB356"/>
      <c r="JC356"/>
      <c r="JD356"/>
      <c r="JE356"/>
      <c r="JF356"/>
      <c r="JG356"/>
      <c r="JH356"/>
      <c r="JI356"/>
      <c r="JJ356"/>
      <c r="JK356"/>
      <c r="JL356"/>
      <c r="JM356"/>
      <c r="JN356"/>
      <c r="JO356"/>
      <c r="JP356"/>
      <c r="JQ356"/>
      <c r="JR356"/>
      <c r="JS356"/>
      <c r="JT356"/>
      <c r="JU356"/>
    </row>
    <row r="357" spans="1:281" s="24" customFormat="1" hidden="1" outlineLevel="1" x14ac:dyDescent="0.2">
      <c r="A357" s="244" t="s">
        <v>447</v>
      </c>
      <c r="B357" s="954" t="s">
        <v>561</v>
      </c>
      <c r="C357" s="59" t="str">
        <f>'Geographic Detail'!C13</f>
        <v>-</v>
      </c>
      <c r="D357" s="59" t="str">
        <f>'Geographic Detail'!D13</f>
        <v>-</v>
      </c>
      <c r="E357" s="59" t="str">
        <f>'Geographic Detail'!E13</f>
        <v>-</v>
      </c>
      <c r="F357" s="59" t="str">
        <f>'Geographic Detail'!F13</f>
        <v>-</v>
      </c>
      <c r="G357" s="59" t="str">
        <f>'Geographic Detail'!G13</f>
        <v>-</v>
      </c>
      <c r="H357" s="59">
        <f>'Geographic Detail'!H13</f>
        <v>192.928</v>
      </c>
      <c r="I357" s="59">
        <f>'Geographic Detail'!I13</f>
        <v>350.90899999999999</v>
      </c>
      <c r="J357" s="59">
        <f>'Geographic Detail'!J13</f>
        <v>506.21</v>
      </c>
      <c r="K357" s="59">
        <f>'Geographic Detail'!K13</f>
        <v>568.68100000000004</v>
      </c>
      <c r="L357" s="59">
        <f>'Geographic Detail'!L13</f>
        <v>686.56899999999996</v>
      </c>
      <c r="M357" s="59">
        <f>'Geographic Detail'!M13</f>
        <v>833.13599999999997</v>
      </c>
      <c r="N357" s="244"/>
      <c r="O357" s="59">
        <f>'Geographic Detail'!O13</f>
        <v>227.708</v>
      </c>
      <c r="P357" s="59">
        <f>'Geographic Detail'!P13</f>
        <v>271.87200000000001</v>
      </c>
      <c r="Q357" s="59">
        <f>'Geographic Detail'!Q13</f>
        <v>285.06400000000002</v>
      </c>
      <c r="R357" s="59">
        <f>'Geographic Detail'!R13</f>
        <v>380.75900000000001</v>
      </c>
      <c r="S357" s="59">
        <f>'Geographic Detail'!S13</f>
        <v>1165.403</v>
      </c>
      <c r="T357" s="244"/>
      <c r="U357" s="59">
        <f>'Geographic Detail'!U13</f>
        <v>280.47500000000002</v>
      </c>
      <c r="V357" s="59">
        <f>'Geographic Detail'!V13</f>
        <v>375.18335999999999</v>
      </c>
      <c r="W357" s="59">
        <f>'Geographic Detail'!W13</f>
        <v>372.27100000000002</v>
      </c>
      <c r="X357" s="59">
        <f>'Geographic Detail'!X13</f>
        <v>512.87</v>
      </c>
      <c r="Y357" s="59">
        <f>'Geographic Detail'!Y13</f>
        <v>1540.79936</v>
      </c>
      <c r="Z357" s="244"/>
      <c r="AA357" s="59">
        <f>'Geographic Detail'!AA13</f>
        <v>354.23500000000001</v>
      </c>
      <c r="AB357" s="59">
        <f>'Geographic Detail'!AB13</f>
        <v>436.68900000000002</v>
      </c>
      <c r="AC357" s="59">
        <f>'Geographic Detail'!AC13</f>
        <v>476.01499999999999</v>
      </c>
      <c r="AD357" s="59">
        <f>'Geographic Detail'!AD13</f>
        <v>614.21799999999996</v>
      </c>
      <c r="AE357" s="59">
        <f>'Geographic Detail'!AE13</f>
        <v>1881.1569999999997</v>
      </c>
      <c r="AF357" s="244"/>
      <c r="AG357" s="59">
        <f>'Geographic Detail'!AG13</f>
        <v>424.35199999999998</v>
      </c>
      <c r="AH357" s="59">
        <f>'Geographic Detail'!AH13</f>
        <v>541.19500000000005</v>
      </c>
      <c r="AI357" s="59">
        <f>'Geographic Detail'!AI13</f>
        <v>577.03899999999999</v>
      </c>
      <c r="AJ357" s="59">
        <f>'Geographic Detail'!AJ13</f>
        <v>754.75400000000002</v>
      </c>
      <c r="AK357" s="59">
        <f>'Geographic Detail'!AK13</f>
        <v>2297.34</v>
      </c>
      <c r="AL357" s="244"/>
      <c r="AM357" s="59">
        <f>'Geographic Detail'!AM13</f>
        <v>564.77300000000002</v>
      </c>
      <c r="AN357" s="59">
        <f>'Geographic Detail'!AN13</f>
        <v>709.51900000000001</v>
      </c>
      <c r="AO357" s="59">
        <f>'Geographic Detail'!AO13</f>
        <v>693.67499999999995</v>
      </c>
      <c r="AP357" s="59">
        <f>'Geographic Detail'!AP13</f>
        <v>887.26800000000003</v>
      </c>
      <c r="AQ357" s="59">
        <f>'Geographic Detail'!AQ13</f>
        <v>2855.2349999999997</v>
      </c>
      <c r="AR357" s="244"/>
      <c r="AS357" s="59">
        <f>'Geographic Detail'!AS13</f>
        <v>617.73500000000001</v>
      </c>
      <c r="AT357" s="59">
        <f>'Geographic Detail'!AT13</f>
        <v>755.71400000000006</v>
      </c>
      <c r="AU357" s="59">
        <f>'Geographic Detail'!AU13</f>
        <v>707.36099999999999</v>
      </c>
      <c r="AV357" s="59">
        <f>'Geographic Detail'!AV13</f>
        <v>902.33799999999997</v>
      </c>
      <c r="AW357" s="59">
        <f>'Geographic Detail'!AW13</f>
        <v>2983.1480000000001</v>
      </c>
      <c r="AX357" s="244"/>
      <c r="AY357" s="59">
        <f>'Geographic Detail'!AY13</f>
        <v>644.35</v>
      </c>
      <c r="AZ357" s="59">
        <f>'Geographic Detail'!AZ13</f>
        <v>763.30100000000004</v>
      </c>
      <c r="BA357" s="59">
        <f>'Geographic Detail'!BA13</f>
        <v>785.94299999999998</v>
      </c>
      <c r="BB357" s="59">
        <f>'Geographic Detail'!BB13</f>
        <v>926.17499999999995</v>
      </c>
      <c r="BC357" s="59">
        <f>'Geographic Detail'!BC13</f>
        <v>3119.7690000000002</v>
      </c>
      <c r="BD357" s="244"/>
      <c r="BE357" s="59">
        <f>'Geographic Detail'!BE13</f>
        <v>678.59799999999996</v>
      </c>
      <c r="BF357" s="59">
        <f>'Geographic Detail'!BF13</f>
        <v>752.56100000000004</v>
      </c>
      <c r="BG357" s="59">
        <f>'Geographic Detail'!BG13</f>
        <v>720.18299999999999</v>
      </c>
      <c r="BH357" s="59">
        <f>'Geographic Detail'!BH13</f>
        <v>898.97400000000005</v>
      </c>
      <c r="BI357" s="59">
        <f>'Geographic Detail'!BI13</f>
        <v>3050.3160000000003</v>
      </c>
      <c r="BJ357" s="244"/>
      <c r="BK357" s="59">
        <f>'Geographic Detail'!BK13</f>
        <v>627</v>
      </c>
      <c r="BL357" s="59">
        <f>'Geographic Detail'!BL13</f>
        <v>818</v>
      </c>
      <c r="BM357" s="59">
        <f>'Geographic Detail'!BM13</f>
        <v>786</v>
      </c>
      <c r="BN357" s="59">
        <f>'Geographic Detail'!BN13</f>
        <v>1024</v>
      </c>
      <c r="BO357" s="59">
        <f>'Geographic Detail'!BO13</f>
        <v>3255</v>
      </c>
      <c r="BP357" s="244"/>
      <c r="BQ357" s="59">
        <f>'Geographic Detail'!BQ13</f>
        <v>717</v>
      </c>
      <c r="BR357" s="59">
        <f>'Geographic Detail'!BR13</f>
        <v>881</v>
      </c>
      <c r="BS357" s="59">
        <f>'Geographic Detail'!BS13</f>
        <v>918</v>
      </c>
      <c r="BT357" s="59">
        <f>'Geographic Detail'!BT13</f>
        <v>1161</v>
      </c>
      <c r="BU357" s="59">
        <f>'Geographic Detail'!BU13</f>
        <v>3677</v>
      </c>
      <c r="BV357" s="244"/>
      <c r="BW357" s="59">
        <f>'Geographic Detail'!BW13</f>
        <v>778</v>
      </c>
      <c r="BX357" s="59">
        <f>'Geographic Detail'!BX13</f>
        <v>1062</v>
      </c>
      <c r="BY357" s="59">
        <f>'Geographic Detail'!BY13</f>
        <v>1139.48</v>
      </c>
      <c r="BZ357" s="59">
        <f>'Geographic Detail'!BZ13</f>
        <v>1424.72288</v>
      </c>
      <c r="CA357" s="59">
        <f>'Geographic Detail'!CA13</f>
        <v>4404.2028799999998</v>
      </c>
      <c r="CB357" s="244"/>
      <c r="CC357" s="59">
        <f>'Geographic Detail'!CC13</f>
        <v>917.75</v>
      </c>
      <c r="CD357" s="59">
        <f>'Geographic Detail'!CD13</f>
        <v>1115.5</v>
      </c>
      <c r="CE357" s="59">
        <f>'Geographic Detail'!CE13</f>
        <v>1186.75</v>
      </c>
      <c r="CF357" s="59">
        <f>'Geographic Detail'!CF13</f>
        <v>1602.1</v>
      </c>
      <c r="CG357" s="168">
        <f>'Geographic Detail'!CG13</f>
        <v>4822.1000000000004</v>
      </c>
      <c r="CH357" s="244"/>
      <c r="CI357" s="59">
        <f>'Geographic Detail'!CI13</f>
        <v>1164.5</v>
      </c>
      <c r="CJ357" s="59">
        <f>'Geographic Detail'!CJ13</f>
        <v>1440.55</v>
      </c>
      <c r="CK357" s="59">
        <f>'Geographic Detail'!CK13</f>
        <v>1496.25</v>
      </c>
      <c r="CL357" s="59">
        <f>'Geographic Detail'!CL13</f>
        <v>2011.25</v>
      </c>
      <c r="CM357" s="168">
        <f>'Geographic Detail'!CM13</f>
        <v>6112.55</v>
      </c>
      <c r="CN357" s="244"/>
      <c r="CO357" s="59">
        <f>'Geographic Detail'!CO13</f>
        <v>1552.4</v>
      </c>
      <c r="CP357" s="59">
        <f>'Geographic Detail'!CP13</f>
        <v>1882.85</v>
      </c>
      <c r="CQ357" s="59">
        <f>'Geographic Detail'!CQ13</f>
        <v>1878.7</v>
      </c>
      <c r="CR357" s="59">
        <f>'Geographic Detail'!CR13</f>
        <v>2693.7</v>
      </c>
      <c r="CS357" s="168">
        <f>'Geographic Detail'!CS13</f>
        <v>8007.65</v>
      </c>
      <c r="CT357" s="244"/>
      <c r="CU357" s="59">
        <f>'Geographic Detail'!CU13</f>
        <v>1861.85</v>
      </c>
      <c r="CV357" s="59">
        <f>'Geographic Detail'!CV13</f>
        <v>1909</v>
      </c>
      <c r="CW357" s="59">
        <f>'Geographic Detail'!CW13</f>
        <v>1824</v>
      </c>
      <c r="CX357" s="59">
        <f>'Geographic Detail'!CX13</f>
        <v>2413</v>
      </c>
      <c r="CY357" s="168">
        <f>'Geographic Detail'!CY13</f>
        <v>8007.85</v>
      </c>
      <c r="CZ357" s="244"/>
      <c r="DA357" s="59">
        <f>'Geographic Detail'!DA13</f>
        <v>1642</v>
      </c>
      <c r="DB357" s="59">
        <f>'Geographic Detail'!DB13</f>
        <v>1976</v>
      </c>
      <c r="DC357" s="59">
        <f>'Geographic Detail'!DC13</f>
        <v>2167</v>
      </c>
      <c r="DD357" s="59">
        <f>'Geographic Detail'!DD13</f>
        <v>3153</v>
      </c>
      <c r="DE357" s="168">
        <f>'Geographic Detail'!DE13</f>
        <v>8938</v>
      </c>
      <c r="DF357" s="244"/>
      <c r="DG357" s="59">
        <f>'Geographic Detail'!DG13</f>
        <v>2408.294854705412</v>
      </c>
      <c r="DH357" s="59">
        <f>'Geographic Detail'!DH13</f>
        <v>2738</v>
      </c>
      <c r="DI357" s="59">
        <f>'Geographic Detail'!DI13</f>
        <v>2815</v>
      </c>
      <c r="DJ357" s="59">
        <f>'Geographic Detail'!DJ13</f>
        <v>3564</v>
      </c>
      <c r="DK357" s="168">
        <f>'Geographic Detail'!DK13</f>
        <v>11525.294854705411</v>
      </c>
      <c r="DL357" s="244"/>
      <c r="DM357" s="59">
        <f>'Geographic Detail'!DM13</f>
        <v>2704</v>
      </c>
      <c r="DN357" s="59">
        <f>'Geographic Detail'!DN13</f>
        <v>2756</v>
      </c>
      <c r="DO357" s="59">
        <f>'Geographic Detail'!DO13</f>
        <v>2787</v>
      </c>
      <c r="DP357" s="59">
        <f>'Geographic Detail'!DP13</f>
        <v>3314</v>
      </c>
      <c r="DQ357" s="168">
        <f>'Geographic Detail'!DQ13</f>
        <v>11561</v>
      </c>
      <c r="DR357" s="244"/>
      <c r="DS357" s="59">
        <f>'Geographic Detail'!DS13</f>
        <v>2383</v>
      </c>
      <c r="DT357" s="59">
        <f>'Geographic Detail'!DT13</f>
        <v>2701</v>
      </c>
      <c r="DU357" s="59">
        <f>'Geographic Detail'!DU13</f>
        <v>2745</v>
      </c>
      <c r="DV357" s="59">
        <f>'Geographic Detail'!DV13</f>
        <v>3328</v>
      </c>
      <c r="DW357" s="168">
        <f>'Geographic Detail'!DW13</f>
        <v>11157</v>
      </c>
      <c r="DX357" s="244"/>
      <c r="DY357" s="59">
        <f>'Geographic Detail'!DY13</f>
        <v>2439</v>
      </c>
      <c r="DZ357" s="59">
        <f>'Geographic Detail'!DZ13</f>
        <v>2817</v>
      </c>
      <c r="EA357" s="59">
        <f>'Geographic Detail'!EA13</f>
        <v>2923</v>
      </c>
      <c r="EB357" s="59">
        <f>'Geographic Detail'!EB13</f>
        <v>3768</v>
      </c>
      <c r="EC357" s="168">
        <f>'Geographic Detail'!EC13</f>
        <v>11947</v>
      </c>
      <c r="ED357" s="244"/>
      <c r="EE357" s="59">
        <f>'Geographic Detail'!EE13</f>
        <v>2589</v>
      </c>
      <c r="EF357" s="59">
        <f>'Geographic Detail'!EF13</f>
        <v>2911</v>
      </c>
      <c r="EG357" s="59">
        <f>'Geographic Detail'!EG13</f>
        <v>2813</v>
      </c>
      <c r="EH357" s="59">
        <f>'Geographic Detail'!EH13</f>
        <v>3067</v>
      </c>
      <c r="EI357" s="168">
        <f>'Geographic Detail'!EI13</f>
        <v>11380</v>
      </c>
      <c r="EJ357" s="244"/>
      <c r="EK357" s="59">
        <f>'Geographic Detail'!EK13</f>
        <v>2456</v>
      </c>
      <c r="EL357" s="59">
        <f>'Geographic Detail'!EL13</f>
        <v>2645</v>
      </c>
      <c r="EM357" s="59">
        <f>'Geographic Detail'!EM13</f>
        <v>2661</v>
      </c>
      <c r="EN357" s="59">
        <f>'Geographic Detail'!EN13</f>
        <v>3120</v>
      </c>
      <c r="EO357" s="168">
        <f>'Geographic Detail'!EO13</f>
        <v>10882</v>
      </c>
      <c r="EP357" s="244"/>
      <c r="EQ357" s="59">
        <f>'Geographic Detail'!EQ13</f>
        <v>2413</v>
      </c>
      <c r="ER357" s="59">
        <f>'Geographic Detail'!ER13</f>
        <v>2558</v>
      </c>
      <c r="ES357" s="59">
        <f>'Geographic Detail'!ES13</f>
        <v>2558</v>
      </c>
      <c r="ET357" s="59">
        <f>'Geographic Detail'!ET13</f>
        <v>3108.9598919783953</v>
      </c>
      <c r="EU357" s="168">
        <f>'Geographic Detail'!EU13</f>
        <v>10637.959891978395</v>
      </c>
      <c r="EV357" s="244"/>
      <c r="EW357" s="59">
        <f>'Geographic Detail'!EW13</f>
        <v>2533.3829710580039</v>
      </c>
      <c r="EX357" s="59">
        <f>'Geographic Detail'!EX13</f>
        <v>2780.7792355961205</v>
      </c>
      <c r="EY357" s="59">
        <f>'Geographic Detail'!EY13</f>
        <v>2871.2574930362116</v>
      </c>
      <c r="EZ357" s="59">
        <f>'Geographic Detail'!EZ13</f>
        <v>3179.6219288241264</v>
      </c>
      <c r="FA357" s="168">
        <f>'Geographic Detail'!FA13</f>
        <v>11365.041628514462</v>
      </c>
      <c r="FB357" s="244"/>
      <c r="FC357" s="59">
        <f>'Geographic Detail'!FC13</f>
        <v>2626.1695411767478</v>
      </c>
      <c r="FD357" s="59">
        <f>'Geographic Detail'!FD13</f>
        <v>2882.3879940846446</v>
      </c>
      <c r="FE357" s="59">
        <f>'Geographic Detail'!FE13</f>
        <v>2964.0198725072128</v>
      </c>
      <c r="FF357" s="59">
        <f>'Geographic Detail'!FF13</f>
        <v>3240.3759449386503</v>
      </c>
      <c r="FG357" s="168">
        <f>'Geographic Detail'!FG13</f>
        <v>11712.953352707256</v>
      </c>
      <c r="FH357" s="244"/>
      <c r="FI357" s="59">
        <f>'Geographic Detail'!FI13</f>
        <v>2733.4780207846543</v>
      </c>
      <c r="FJ357" s="59">
        <f>'Geographic Detail'!FJ13</f>
        <v>2986.6243548041089</v>
      </c>
      <c r="FK357" s="59">
        <f>'Geographic Detail'!FK13</f>
        <v>3066.2798218429257</v>
      </c>
      <c r="FL357" s="59">
        <f>'Geographic Detail'!FL13</f>
        <v>3317.9287364287852</v>
      </c>
      <c r="FM357" s="168">
        <f>'Geographic Detail'!FM13</f>
        <v>12104.310933860474</v>
      </c>
      <c r="FN357" s="27"/>
      <c r="FO357" s="27"/>
      <c r="FP357" s="27"/>
      <c r="FQ357" s="27"/>
      <c r="FR357" s="27"/>
      <c r="FS357" s="27"/>
      <c r="FT357" s="27"/>
      <c r="FU357" s="27"/>
      <c r="FV357" s="27"/>
      <c r="FW357" s="27"/>
      <c r="FX357" s="27"/>
      <c r="FY357" s="27"/>
      <c r="FZ357" s="27"/>
      <c r="GA357" s="27"/>
      <c r="GB357" s="27"/>
      <c r="GC357" s="27"/>
      <c r="GD357" s="27"/>
      <c r="GE357" s="27"/>
      <c r="GF357" s="27"/>
      <c r="GG357" s="27"/>
      <c r="GH357" s="27"/>
      <c r="GI357"/>
      <c r="GJ357"/>
      <c r="GK357"/>
      <c r="GL357"/>
      <c r="GM357"/>
      <c r="GN357"/>
      <c r="GO357" s="27"/>
      <c r="GP357"/>
      <c r="GQ357"/>
      <c r="GR357"/>
      <c r="GS357"/>
      <c r="GT357"/>
      <c r="GU357"/>
      <c r="GV357"/>
      <c r="GW357"/>
      <c r="GX357"/>
      <c r="GY357"/>
      <c r="GZ357"/>
      <c r="HA357"/>
      <c r="HB357"/>
      <c r="HC357"/>
      <c r="HD357"/>
      <c r="HE357"/>
      <c r="HF357"/>
      <c r="HG357"/>
      <c r="HH357"/>
      <c r="HI357"/>
      <c r="HJ357"/>
      <c r="HK357"/>
      <c r="HL357"/>
      <c r="HM357"/>
      <c r="HN357"/>
      <c r="HO357"/>
      <c r="HP357"/>
      <c r="HQ357"/>
      <c r="HR357"/>
      <c r="HS357"/>
      <c r="HT357"/>
      <c r="HU357"/>
      <c r="HV357"/>
      <c r="HW357"/>
      <c r="HX357"/>
      <c r="HY357"/>
      <c r="HZ357"/>
      <c r="IA357"/>
      <c r="IB357"/>
      <c r="IC357"/>
      <c r="ID357"/>
      <c r="IE357"/>
      <c r="IF357"/>
      <c r="IG357"/>
      <c r="IH357"/>
      <c r="II357"/>
      <c r="IJ357"/>
      <c r="IK357"/>
      <c r="IL357"/>
      <c r="IM357"/>
      <c r="IN357"/>
      <c r="IO357"/>
      <c r="IP357"/>
      <c r="IQ357"/>
      <c r="IR357"/>
      <c r="IS357"/>
      <c r="IT357"/>
      <c r="IU357"/>
      <c r="IV357"/>
      <c r="IW357"/>
      <c r="IX357"/>
      <c r="IY357"/>
      <c r="IZ357"/>
      <c r="JA357"/>
      <c r="JB357"/>
      <c r="JC357"/>
      <c r="JD357"/>
      <c r="JE357"/>
      <c r="JF357"/>
      <c r="JG357"/>
      <c r="JH357"/>
      <c r="JI357"/>
      <c r="JJ357"/>
      <c r="JK357"/>
      <c r="JL357"/>
      <c r="JM357"/>
      <c r="JN357"/>
      <c r="JO357"/>
      <c r="JP357"/>
      <c r="JQ357"/>
      <c r="JR357"/>
      <c r="JS357"/>
      <c r="JT357"/>
      <c r="JU357"/>
    </row>
    <row r="358" spans="1:281" s="24" customFormat="1" hidden="1" outlineLevel="1" x14ac:dyDescent="0.2">
      <c r="A358" s="244" t="s">
        <v>448</v>
      </c>
      <c r="B358" s="954" t="s">
        <v>562</v>
      </c>
      <c r="C358" s="59" t="str">
        <f>'Geographic Detail'!C14</f>
        <v>-</v>
      </c>
      <c r="D358" s="59" t="str">
        <f>'Geographic Detail'!D14</f>
        <v>-</v>
      </c>
      <c r="E358" s="59" t="str">
        <f>'Geographic Detail'!E14</f>
        <v>-</v>
      </c>
      <c r="F358" s="59" t="str">
        <f>'Geographic Detail'!F14</f>
        <v>-</v>
      </c>
      <c r="G358" s="59" t="str">
        <f>'Geographic Detail'!G14</f>
        <v>-</v>
      </c>
      <c r="H358" s="59">
        <f>'Geographic Detail'!H14</f>
        <v>89.204999999999927</v>
      </c>
      <c r="I358" s="59">
        <f>'Geographic Detail'!I14</f>
        <v>119.56</v>
      </c>
      <c r="J358" s="59">
        <f>'Geographic Detail'!J14</f>
        <v>127.46400000000011</v>
      </c>
      <c r="K358" s="59">
        <f>'Geographic Detail'!K14</f>
        <v>181.3069999999999</v>
      </c>
      <c r="L358" s="59">
        <f>'Geographic Detail'!L14</f>
        <v>262.95100000000002</v>
      </c>
      <c r="M358" s="59">
        <f>'Geographic Detail'!M14</f>
        <v>225.34199999999987</v>
      </c>
      <c r="N358" s="244"/>
      <c r="O358" s="59">
        <f>'Geographic Detail'!O14</f>
        <v>68.737000000000052</v>
      </c>
      <c r="P358" s="59">
        <f>'Geographic Detail'!P14</f>
        <v>86.532999999999959</v>
      </c>
      <c r="Q358" s="59">
        <f>'Geographic Detail'!Q14</f>
        <v>98.096000000000004</v>
      </c>
      <c r="R358" s="59">
        <f>'Geographic Detail'!R14</f>
        <v>131.94499999999994</v>
      </c>
      <c r="S358" s="59">
        <f>'Geographic Detail'!S14</f>
        <v>385.31099999999992</v>
      </c>
      <c r="T358" s="244"/>
      <c r="U358" s="59">
        <f>'Geographic Detail'!U14</f>
        <v>115.83299999999997</v>
      </c>
      <c r="V358" s="59">
        <f>'Geographic Detail'!V14</f>
        <v>145.83538999999996</v>
      </c>
      <c r="W358" s="59">
        <f>'Geographic Detail'!W14</f>
        <v>151.46899999999999</v>
      </c>
      <c r="X358" s="59">
        <f>'Geographic Detail'!X14</f>
        <v>193.75099999999986</v>
      </c>
      <c r="Y358" s="59">
        <f>'Geographic Detail'!Y14</f>
        <v>606.88838999999984</v>
      </c>
      <c r="Z358" s="244"/>
      <c r="AA358" s="59">
        <f>'Geographic Detail'!AA14</f>
        <v>160.13099999999997</v>
      </c>
      <c r="AB358" s="59">
        <f>'Geographic Detail'!AB14</f>
        <v>207.97800000000001</v>
      </c>
      <c r="AC358" s="59">
        <f>'Geographic Detail'!AC14</f>
        <v>200.23399999999981</v>
      </c>
      <c r="AD358" s="59">
        <f>'Geographic Detail'!AD14</f>
        <v>241.26100000000008</v>
      </c>
      <c r="AE358" s="59">
        <f>'Geographic Detail'!AE14</f>
        <v>809.60399999999993</v>
      </c>
      <c r="AF358" s="244"/>
      <c r="AG358" s="59">
        <f>'Geographic Detail'!AG14</f>
        <v>211.32899999999995</v>
      </c>
      <c r="AH358" s="59">
        <f>'Geographic Detail'!AH14</f>
        <v>210.86599999999976</v>
      </c>
      <c r="AI358" s="59">
        <f>'Geographic Detail'!AI14</f>
        <v>176.49900000000002</v>
      </c>
      <c r="AJ358" s="59">
        <f>'Geographic Detail'!AJ14</f>
        <v>199.29999999999984</v>
      </c>
      <c r="AK358" s="59">
        <f>'Geographic Detail'!AK14</f>
        <v>797.99399999999957</v>
      </c>
      <c r="AL358" s="244"/>
      <c r="AM358" s="59">
        <f>'Geographic Detail'!AM14</f>
        <v>181.2109999999999</v>
      </c>
      <c r="AN358" s="59">
        <f>'Geographic Detail'!AN14</f>
        <v>224.86500000000046</v>
      </c>
      <c r="AO358" s="59">
        <f>'Geographic Detail'!AO14</f>
        <v>220.09000000000015</v>
      </c>
      <c r="AP358" s="59">
        <f>'Geographic Detail'!AP14</f>
        <v>292.68199999999979</v>
      </c>
      <c r="AQ358" s="59">
        <f>'Geographic Detail'!AQ14</f>
        <v>918.8480000000003</v>
      </c>
      <c r="AR358" s="244"/>
      <c r="AS358" s="59">
        <f>'Geographic Detail'!AS14</f>
        <v>242.53200000000004</v>
      </c>
      <c r="AT358" s="59">
        <f>'Geographic Detail'!AT14</f>
        <v>304.29299999999978</v>
      </c>
      <c r="AU358" s="59">
        <f>'Geographic Detail'!AU14</f>
        <v>291.96499999999958</v>
      </c>
      <c r="AV358" s="59">
        <f>'Geographic Detail'!AV14</f>
        <v>394.76000000000045</v>
      </c>
      <c r="AW358" s="59">
        <f>'Geographic Detail'!AW14</f>
        <v>1233.5499999999997</v>
      </c>
      <c r="AX358" s="244"/>
      <c r="AY358" s="59">
        <f>'Geographic Detail'!AY14</f>
        <v>328.10900000000026</v>
      </c>
      <c r="AZ358" s="59">
        <f>'Geographic Detail'!AZ14</f>
        <v>388.63699999999983</v>
      </c>
      <c r="BA358" s="59">
        <f>'Geographic Detail'!BA14</f>
        <v>350.49299999999994</v>
      </c>
      <c r="BB358" s="59">
        <f>'Geographic Detail'!BB14</f>
        <v>423.75600000000009</v>
      </c>
      <c r="BC358" s="59">
        <f>'Geographic Detail'!BC14</f>
        <v>1490.9950000000001</v>
      </c>
      <c r="BD358" s="244"/>
      <c r="BE358" s="59">
        <f>'Geographic Detail'!BE14</f>
        <v>340.48099999999977</v>
      </c>
      <c r="BF358" s="59">
        <f>'Geographic Detail'!BF14</f>
        <v>346.18399999999986</v>
      </c>
      <c r="BG358" s="59">
        <f>'Geographic Detail'!BG14</f>
        <v>273.95999999999981</v>
      </c>
      <c r="BH358" s="59">
        <f>'Geographic Detail'!BH14</f>
        <v>369.0060000000002</v>
      </c>
      <c r="BI358" s="59">
        <f>'Geographic Detail'!BI14</f>
        <v>1329.6309999999996</v>
      </c>
      <c r="BJ358" s="244"/>
      <c r="BK358" s="59">
        <f>'Geographic Detail'!BK14</f>
        <v>295</v>
      </c>
      <c r="BL358" s="59">
        <f>'Geographic Detail'!BL14</f>
        <v>334</v>
      </c>
      <c r="BM358" s="59">
        <f>'Geographic Detail'!BM14</f>
        <v>331</v>
      </c>
      <c r="BN358" s="59">
        <f>'Geographic Detail'!BN14</f>
        <v>416.40000000000009</v>
      </c>
      <c r="BO358" s="59">
        <f>'Geographic Detail'!BO14</f>
        <v>1376.4</v>
      </c>
      <c r="BP358" s="244"/>
      <c r="BQ358" s="59">
        <f>'Geographic Detail'!BQ14</f>
        <v>313</v>
      </c>
      <c r="BR358" s="59">
        <f>'Geographic Detail'!BR14</f>
        <v>367</v>
      </c>
      <c r="BS358" s="59">
        <f>'Geographic Detail'!BS14</f>
        <v>375</v>
      </c>
      <c r="BT358" s="59">
        <f>'Geographic Detail'!BT14</f>
        <v>441</v>
      </c>
      <c r="BU358" s="59">
        <f>'Geographic Detail'!BU14</f>
        <v>1496</v>
      </c>
      <c r="BV358" s="244"/>
      <c r="BW358" s="59">
        <f>'Geographic Detail'!BW14</f>
        <v>346</v>
      </c>
      <c r="BX358" s="59">
        <f>'Geographic Detail'!BX14</f>
        <v>402</v>
      </c>
      <c r="BY358" s="59">
        <f>'Geographic Detail'!BY14</f>
        <v>430.72</v>
      </c>
      <c r="BZ358" s="59">
        <f>'Geographic Detail'!BZ14</f>
        <v>547.07231999999999</v>
      </c>
      <c r="CA358" s="59">
        <f>'Geographic Detail'!CA14</f>
        <v>1725.79232</v>
      </c>
      <c r="CB358" s="244"/>
      <c r="CC358" s="59">
        <f>'Geographic Detail'!CC14</f>
        <v>429.84999999999991</v>
      </c>
      <c r="CD358" s="59">
        <f>'Geographic Detail'!CD14</f>
        <v>484.29999999999995</v>
      </c>
      <c r="CE358" s="59">
        <f>'Geographic Detail'!CE14</f>
        <v>467.15000000000009</v>
      </c>
      <c r="CF358" s="59">
        <f>'Geographic Detail'!CF14</f>
        <v>696.90000000000009</v>
      </c>
      <c r="CG358" s="168">
        <f>'Geographic Detail'!CG14</f>
        <v>2078.1999999999998</v>
      </c>
      <c r="CH358" s="244"/>
      <c r="CI358" s="59">
        <f>'Geographic Detail'!CI14</f>
        <v>505.5</v>
      </c>
      <c r="CJ358" s="59">
        <f>'Geographic Detail'!CJ14</f>
        <v>578.95000000000005</v>
      </c>
      <c r="CK358" s="59">
        <f>'Geographic Detail'!CK14</f>
        <v>620.25</v>
      </c>
      <c r="CL358" s="59">
        <f>'Geographic Detail'!CL14</f>
        <v>826.25</v>
      </c>
      <c r="CM358" s="168">
        <f>'Geographic Detail'!CM14</f>
        <v>2530.9499999999998</v>
      </c>
      <c r="CN358" s="244"/>
      <c r="CO358" s="59">
        <f>'Geographic Detail'!CO14</f>
        <v>633.59999999999991</v>
      </c>
      <c r="CP358" s="59">
        <f>'Geographic Detail'!CP14</f>
        <v>781.65000000000009</v>
      </c>
      <c r="CQ358" s="59">
        <f>'Geographic Detail'!CQ14</f>
        <v>774.3</v>
      </c>
      <c r="CR358" s="59">
        <f>'Geographic Detail'!CR14</f>
        <v>992.30000000000018</v>
      </c>
      <c r="CS358" s="168">
        <f>'Geographic Detail'!CS14</f>
        <v>3181.8500000000004</v>
      </c>
      <c r="CT358" s="244"/>
      <c r="CU358" s="59">
        <f>'Geographic Detail'!CU14</f>
        <v>827.65000000000009</v>
      </c>
      <c r="CV358" s="59">
        <f>'Geographic Detail'!CV14</f>
        <v>834</v>
      </c>
      <c r="CW358" s="59">
        <f>'Geographic Detail'!CW14</f>
        <v>783</v>
      </c>
      <c r="CX358" s="59">
        <f>'Geographic Detail'!CX14</f>
        <v>985</v>
      </c>
      <c r="CY358" s="168">
        <f>'Geographic Detail'!CY14</f>
        <v>3429.65</v>
      </c>
      <c r="CZ358" s="244"/>
      <c r="DA358" s="59">
        <f>'Geographic Detail'!DA14</f>
        <v>750</v>
      </c>
      <c r="DB358" s="59">
        <f>'Geographic Detail'!DB14</f>
        <v>903</v>
      </c>
      <c r="DC358" s="59">
        <f>'Geographic Detail'!DC14</f>
        <v>953</v>
      </c>
      <c r="DD358" s="59">
        <f>'Geographic Detail'!DD14</f>
        <v>1466</v>
      </c>
      <c r="DE358" s="168">
        <f>'Geographic Detail'!DE14</f>
        <v>4072</v>
      </c>
      <c r="DF358" s="244"/>
      <c r="DG358" s="59">
        <f>'Geographic Detail'!DG14</f>
        <v>1230.951213009864</v>
      </c>
      <c r="DH358" s="59">
        <f>'Geographic Detail'!DH14</f>
        <v>1392</v>
      </c>
      <c r="DI358" s="59">
        <f>'Geographic Detail'!DI14</f>
        <v>1440</v>
      </c>
      <c r="DJ358" s="59">
        <f>'Geographic Detail'!DJ14</f>
        <v>1724</v>
      </c>
      <c r="DK358" s="168">
        <f>'Geographic Detail'!DK14</f>
        <v>5786.9512130098637</v>
      </c>
      <c r="DL358" s="244"/>
      <c r="DM358" s="59">
        <f>'Geographic Detail'!DM14</f>
        <v>1444</v>
      </c>
      <c r="DN358" s="59">
        <f>'Geographic Detail'!DN14</f>
        <v>1504</v>
      </c>
      <c r="DO358" s="59">
        <f>'Geographic Detail'!DO14</f>
        <v>1545</v>
      </c>
      <c r="DP358" s="59">
        <f>'Geographic Detail'!DP14</f>
        <v>1831</v>
      </c>
      <c r="DQ358" s="168">
        <f>'Geographic Detail'!DQ14</f>
        <v>6324</v>
      </c>
      <c r="DR358" s="244"/>
      <c r="DS358" s="59">
        <f>'Geographic Detail'!DS14</f>
        <v>1474</v>
      </c>
      <c r="DT358" s="59">
        <f>'Geographic Detail'!DT14</f>
        <v>1606</v>
      </c>
      <c r="DU358" s="59">
        <f>'Geographic Detail'!DU14</f>
        <v>1515</v>
      </c>
      <c r="DV358" s="59">
        <f>'Geographic Detail'!DV14</f>
        <v>1708</v>
      </c>
      <c r="DW358" s="168">
        <f>'Geographic Detail'!DW14</f>
        <v>6303</v>
      </c>
      <c r="DX358" s="244"/>
      <c r="DY358" s="59">
        <f>'Geographic Detail'!DY14</f>
        <v>1416</v>
      </c>
      <c r="DZ358" s="59">
        <f>'Geographic Detail'!DZ14</f>
        <v>1463</v>
      </c>
      <c r="EA358" s="59">
        <f>'Geographic Detail'!EA14</f>
        <v>1431</v>
      </c>
      <c r="EB358" s="59">
        <f>'Geographic Detail'!EB14</f>
        <v>1695</v>
      </c>
      <c r="EC358" s="168">
        <f>'Geographic Detail'!EC14</f>
        <v>6005</v>
      </c>
      <c r="ED358" s="244"/>
      <c r="EE358" s="59">
        <f>'Geographic Detail'!EE14</f>
        <v>1387</v>
      </c>
      <c r="EF358" s="59">
        <f>'Geographic Detail'!EF14</f>
        <v>1466</v>
      </c>
      <c r="EG358" s="59">
        <f>'Geographic Detail'!EG14</f>
        <v>1380</v>
      </c>
      <c r="EH358" s="59">
        <f>'Geographic Detail'!EH14</f>
        <v>1506</v>
      </c>
      <c r="EI358" s="168">
        <f>'Geographic Detail'!EI14</f>
        <v>5739</v>
      </c>
      <c r="EJ358" s="244"/>
      <c r="EK358" s="59">
        <f>'Geographic Detail'!EK14</f>
        <v>1276</v>
      </c>
      <c r="EL358" s="59">
        <f>'Geographic Detail'!EL14</f>
        <v>1388</v>
      </c>
      <c r="EM358" s="59">
        <f>'Geographic Detail'!EM14</f>
        <v>1409</v>
      </c>
      <c r="EN358" s="59">
        <f>'Geographic Detail'!EN14</f>
        <v>1627</v>
      </c>
      <c r="EO358" s="168">
        <f>'Geographic Detail'!EO14</f>
        <v>5700</v>
      </c>
      <c r="EP358" s="244"/>
      <c r="EQ358" s="59">
        <f>'Geographic Detail'!EQ14</f>
        <v>1365</v>
      </c>
      <c r="ER358" s="59">
        <f>'Geographic Detail'!ER14</f>
        <v>1542</v>
      </c>
      <c r="ES358" s="59">
        <f>'Geographic Detail'!ES14</f>
        <v>1428</v>
      </c>
      <c r="ET358" s="59">
        <f>'Geographic Detail'!ET14</f>
        <v>1684.1567313462692</v>
      </c>
      <c r="EU358" s="168">
        <f>'Geographic Detail'!EU14</f>
        <v>6019.1567313462692</v>
      </c>
      <c r="EV358" s="244"/>
      <c r="EW358" s="59">
        <f>'Geographic Detail'!EW14</f>
        <v>1433.7398823105559</v>
      </c>
      <c r="EX358" s="59">
        <f>'Geographic Detail'!EX14</f>
        <v>1470.0444951511695</v>
      </c>
      <c r="EY358" s="59">
        <f>'Geographic Detail'!EY14</f>
        <v>1508.608356545961</v>
      </c>
      <c r="EZ358" s="59">
        <f>'Geographic Detail'!EZ14</f>
        <v>1722.4351103345052</v>
      </c>
      <c r="FA358" s="168">
        <f>'Geographic Detail'!FA14</f>
        <v>6134.8278443421914</v>
      </c>
      <c r="FB358" s="244"/>
      <c r="FC358" s="59">
        <f>'Geographic Detail'!FC14</f>
        <v>1486.25140845636</v>
      </c>
      <c r="FD358" s="59">
        <f>'Geographic Detail'!FD14</f>
        <v>1523.7594374102155</v>
      </c>
      <c r="FE358" s="59">
        <f>'Geographic Detail'!FE14</f>
        <v>1557.3473154106555</v>
      </c>
      <c r="FF358" s="59">
        <f>'Geographic Detail'!FF14</f>
        <v>1755.3462088210431</v>
      </c>
      <c r="FG358" s="168">
        <f>'Geographic Detail'!FG14</f>
        <v>6322.704370098274</v>
      </c>
      <c r="FH358" s="244"/>
      <c r="FI358" s="59">
        <f>'Geographic Detail'!FI14</f>
        <v>1546.9814475707035</v>
      </c>
      <c r="FJ358" s="59">
        <f>'Geographic Detail'!FJ14</f>
        <v>1578.8634479367443</v>
      </c>
      <c r="FK358" s="59">
        <f>'Geographic Detail'!FK14</f>
        <v>1611.0764617801401</v>
      </c>
      <c r="FL358" s="59">
        <f>'Geographic Detail'!FL14</f>
        <v>1797.3573830918344</v>
      </c>
      <c r="FM358" s="168">
        <f>'Geographic Detail'!FM14</f>
        <v>6534.2787403794227</v>
      </c>
      <c r="FN358" s="27"/>
      <c r="FO358" s="27"/>
      <c r="FP358" s="27"/>
      <c r="FQ358" s="27"/>
      <c r="FR358" s="27"/>
      <c r="FS358" s="27"/>
      <c r="FT358" s="27"/>
      <c r="FU358" s="27"/>
      <c r="FV358" s="27"/>
      <c r="FW358" s="27"/>
      <c r="FX358" s="27"/>
      <c r="FY358" s="27"/>
      <c r="FZ358" s="27"/>
      <c r="GA358" s="27"/>
      <c r="GB358" s="27"/>
      <c r="GC358" s="27"/>
      <c r="GD358" s="27"/>
      <c r="GE358" s="27"/>
      <c r="GF358" s="27"/>
      <c r="GG358" s="27"/>
      <c r="GH358" s="27"/>
      <c r="GI358"/>
      <c r="GJ358"/>
      <c r="GK358"/>
      <c r="GL358"/>
      <c r="GM358"/>
      <c r="GN358"/>
      <c r="GO358" s="27"/>
      <c r="GP358"/>
      <c r="GQ358"/>
      <c r="GR358"/>
      <c r="GS358"/>
      <c r="GT358"/>
      <c r="GU358"/>
      <c r="GV358"/>
      <c r="GW358"/>
      <c r="GX358"/>
      <c r="GY358"/>
      <c r="GZ358"/>
      <c r="HA358"/>
      <c r="HB358"/>
      <c r="HC358"/>
      <c r="HD358"/>
      <c r="HE358"/>
      <c r="HF358"/>
      <c r="HG358"/>
      <c r="HH358"/>
      <c r="HI358"/>
      <c r="HJ358"/>
      <c r="HK358"/>
      <c r="HL358"/>
      <c r="HM358"/>
      <c r="HN358"/>
      <c r="HO358"/>
      <c r="HP358"/>
      <c r="HQ358"/>
      <c r="HR358"/>
      <c r="HS358"/>
      <c r="HT358"/>
      <c r="HU358"/>
      <c r="HV358"/>
      <c r="HW358"/>
      <c r="HX358"/>
      <c r="HY358"/>
      <c r="HZ358"/>
      <c r="IA358"/>
      <c r="IB358"/>
      <c r="IC358"/>
      <c r="ID358"/>
      <c r="IE358"/>
      <c r="IF358"/>
      <c r="IG358"/>
      <c r="IH358"/>
      <c r="II358"/>
      <c r="IJ358"/>
      <c r="IK358"/>
      <c r="IL358"/>
      <c r="IM358"/>
      <c r="IN358"/>
      <c r="IO358"/>
      <c r="IP358"/>
      <c r="IQ358"/>
      <c r="IR358"/>
      <c r="IS358"/>
      <c r="IT358"/>
      <c r="IU358"/>
      <c r="IV358"/>
      <c r="IW358"/>
      <c r="IX358"/>
      <c r="IY358"/>
      <c r="IZ358"/>
      <c r="JA358"/>
      <c r="JB358"/>
      <c r="JC358"/>
      <c r="JD358"/>
      <c r="JE358"/>
      <c r="JF358"/>
      <c r="JG358"/>
      <c r="JH358"/>
      <c r="JI358"/>
      <c r="JJ358"/>
      <c r="JK358"/>
      <c r="JL358"/>
      <c r="JM358"/>
      <c r="JN358"/>
      <c r="JO358"/>
      <c r="JP358"/>
      <c r="JQ358"/>
      <c r="JR358"/>
      <c r="JS358"/>
      <c r="JT358"/>
      <c r="JU358"/>
    </row>
    <row r="359" spans="1:281" s="24" customFormat="1" hidden="1" outlineLevel="1" x14ac:dyDescent="0.2">
      <c r="A359" s="60" t="s">
        <v>449</v>
      </c>
      <c r="B359" s="954" t="s">
        <v>450</v>
      </c>
      <c r="C359" s="59" t="str">
        <f>'Geographic Detail'!C76</f>
        <v>-</v>
      </c>
      <c r="D359" s="59" t="str">
        <f>'Geographic Detail'!D76</f>
        <v>-</v>
      </c>
      <c r="E359" s="59" t="str">
        <f>'Geographic Detail'!E76</f>
        <v>-</v>
      </c>
      <c r="F359" s="59" t="str">
        <f>'Geographic Detail'!F76</f>
        <v>-</v>
      </c>
      <c r="G359" s="59" t="str">
        <f>'Geographic Detail'!G76</f>
        <v>-</v>
      </c>
      <c r="H359" s="59" t="str">
        <f>'Geographic Detail'!H76</f>
        <v>-</v>
      </c>
      <c r="I359" s="59" t="str">
        <f>'Geographic Detail'!I76</f>
        <v>-</v>
      </c>
      <c r="J359" s="59" t="str">
        <f>'Geographic Detail'!J76</f>
        <v>-</v>
      </c>
      <c r="K359" s="59" t="str">
        <f>'Geographic Detail'!K76</f>
        <v>-</v>
      </c>
      <c r="L359" s="59" t="str">
        <f>'Geographic Detail'!L76</f>
        <v>-</v>
      </c>
      <c r="M359" s="59" t="str">
        <f>'Geographic Detail'!M76</f>
        <v>-</v>
      </c>
      <c r="N359" s="244"/>
      <c r="O359" s="59" t="str">
        <f>'Geographic Detail'!O76</f>
        <v>-</v>
      </c>
      <c r="P359" s="59" t="str">
        <f>'Geographic Detail'!P76</f>
        <v>-</v>
      </c>
      <c r="Q359" s="59" t="str">
        <f>'Geographic Detail'!Q76</f>
        <v>-</v>
      </c>
      <c r="R359" s="59" t="str">
        <f>'Geographic Detail'!R76</f>
        <v>-</v>
      </c>
      <c r="S359" s="59" t="str">
        <f>'Geographic Detail'!S76</f>
        <v>-</v>
      </c>
      <c r="T359" s="244"/>
      <c r="U359" s="59" t="str">
        <f>'Geographic Detail'!U76</f>
        <v>-</v>
      </c>
      <c r="V359" s="59" t="str">
        <f>'Geographic Detail'!V76</f>
        <v>-</v>
      </c>
      <c r="W359" s="59" t="str">
        <f>'Geographic Detail'!W76</f>
        <v>-</v>
      </c>
      <c r="X359" s="59" t="str">
        <f>'Geographic Detail'!X76</f>
        <v>-</v>
      </c>
      <c r="Y359" s="59" t="str">
        <f>'Geographic Detail'!Y76</f>
        <v>-</v>
      </c>
      <c r="Z359" s="244"/>
      <c r="AA359" s="59">
        <f>'Geographic Detail'!AA76</f>
        <v>216.744</v>
      </c>
      <c r="AB359" s="59">
        <f>'Geographic Detail'!AB76</f>
        <v>293.733</v>
      </c>
      <c r="AC359" s="59">
        <f>'Geographic Detail'!AC76</f>
        <v>312.62099999999998</v>
      </c>
      <c r="AD359" s="59">
        <f>'Geographic Detail'!AD76</f>
        <v>641.65800000000002</v>
      </c>
      <c r="AE359" s="59">
        <f>'Geographic Detail'!AE76</f>
        <v>1464.7560000000001</v>
      </c>
      <c r="AF359" s="244"/>
      <c r="AG359" s="59">
        <f>'Geographic Detail'!AG76</f>
        <v>238.86599999999999</v>
      </c>
      <c r="AH359" s="59">
        <f>'Geographic Detail'!AH76</f>
        <v>312.24599999999998</v>
      </c>
      <c r="AI359" s="59">
        <f>'Geographic Detail'!AI76</f>
        <v>416.327</v>
      </c>
      <c r="AJ359" s="59">
        <f>'Geographic Detail'!AJ76</f>
        <v>757.97399999999993</v>
      </c>
      <c r="AK359" s="59">
        <f>'Geographic Detail'!AK76</f>
        <v>1725.413</v>
      </c>
      <c r="AL359" s="244"/>
      <c r="AM359" s="59">
        <f>'Geographic Detail'!AM76</f>
        <v>281.04199999999997</v>
      </c>
      <c r="AN359" s="59">
        <f>'Geographic Detail'!AN76</f>
        <v>376.93699999999995</v>
      </c>
      <c r="AO359" s="59">
        <f>'Geographic Detail'!AO76</f>
        <v>426.43900000000002</v>
      </c>
      <c r="AP359" s="59">
        <f>'Geographic Detail'!AP76</f>
        <v>913.94999999999993</v>
      </c>
      <c r="AQ359" s="59">
        <f>'Geographic Detail'!AQ76</f>
        <v>1998.3679999999999</v>
      </c>
      <c r="AR359" s="244"/>
      <c r="AS359" s="59">
        <f>'Geographic Detail'!AS76</f>
        <v>299.642</v>
      </c>
      <c r="AT359" s="59">
        <f>'Geographic Detail'!AT76</f>
        <v>433.06400000000002</v>
      </c>
      <c r="AU359" s="59">
        <f>'Geographic Detail'!AU76</f>
        <v>620.36700000000008</v>
      </c>
      <c r="AV359" s="59">
        <f>'Geographic Detail'!AV76</f>
        <v>1142.8589999999999</v>
      </c>
      <c r="AW359" s="59">
        <f>'Geographic Detail'!AW76</f>
        <v>2495.9320000000002</v>
      </c>
      <c r="AX359" s="244"/>
      <c r="AY359" s="59">
        <f>'Geographic Detail'!AY76</f>
        <v>400.87100000000004</v>
      </c>
      <c r="AZ359" s="59">
        <f>'Geographic Detail'!AZ76</f>
        <v>580.50199999999995</v>
      </c>
      <c r="BA359" s="59">
        <f>'Geographic Detail'!BA76</f>
        <v>594.346</v>
      </c>
      <c r="BB359" s="59">
        <f>'Geographic Detail'!BB76</f>
        <v>947.00800000000004</v>
      </c>
      <c r="BC359" s="59">
        <f>'Geographic Detail'!BC76</f>
        <v>2522.7269999999999</v>
      </c>
      <c r="BD359" s="244"/>
      <c r="BE359" s="59">
        <f>'Geographic Detail'!BE76</f>
        <v>320.04199999999997</v>
      </c>
      <c r="BF359" s="59">
        <f>'Geographic Detail'!BF76</f>
        <v>371.78700000000003</v>
      </c>
      <c r="BG359" s="59">
        <f>'Geographic Detail'!BG76</f>
        <v>387.89100000000002</v>
      </c>
      <c r="BH359" s="59">
        <f>'Geographic Detail'!BH76</f>
        <v>552.94499999999994</v>
      </c>
      <c r="BI359" s="59">
        <f>'Geographic Detail'!BI76</f>
        <v>1632.6650000000002</v>
      </c>
      <c r="BJ359" s="244"/>
      <c r="BK359" s="59">
        <f>'Geographic Detail'!BK76</f>
        <v>250.941</v>
      </c>
      <c r="BL359" s="59">
        <f>'Geographic Detail'!BL76</f>
        <v>308.40100000000001</v>
      </c>
      <c r="BM359" s="59">
        <f>'Geographic Detail'!BM76</f>
        <v>333.3</v>
      </c>
      <c r="BN359" s="59">
        <f>'Geographic Detail'!BN76</f>
        <v>508.23599999999999</v>
      </c>
      <c r="BO359" s="59">
        <f>'Geographic Detail'!BO76</f>
        <v>1400.8780000000002</v>
      </c>
      <c r="BP359" s="244"/>
      <c r="BQ359" s="59">
        <f>'Geographic Detail'!BQ76</f>
        <v>203</v>
      </c>
      <c r="BR359" s="59">
        <f>'Geographic Detail'!BR76</f>
        <v>375</v>
      </c>
      <c r="BS359" s="59">
        <f>'Geographic Detail'!BS76</f>
        <v>339</v>
      </c>
      <c r="BT359" s="59">
        <f>'Geographic Detail'!BT76</f>
        <v>554</v>
      </c>
      <c r="BU359" s="59">
        <f>'Geographic Detail'!BU76</f>
        <v>1471</v>
      </c>
      <c r="BV359" s="244"/>
      <c r="BW359" s="59">
        <f>'Geographic Detail'!BW76</f>
        <v>227</v>
      </c>
      <c r="BX359" s="59">
        <f>'Geographic Detail'!BX76</f>
        <v>401</v>
      </c>
      <c r="BY359" s="59">
        <f>'Geographic Detail'!BY76</f>
        <v>380.4</v>
      </c>
      <c r="BZ359" s="59">
        <f>'Geographic Detail'!BZ76</f>
        <v>771</v>
      </c>
      <c r="CA359" s="59">
        <f>'Geographic Detail'!CA76</f>
        <v>1779.4</v>
      </c>
      <c r="CB359" s="244"/>
      <c r="CC359" s="59">
        <f>'Geographic Detail'!CC76</f>
        <v>269</v>
      </c>
      <c r="CD359" s="59">
        <f>'Geographic Detail'!CD76</f>
        <v>490</v>
      </c>
      <c r="CE359" s="59">
        <f>'Geographic Detail'!CE76</f>
        <v>481.5</v>
      </c>
      <c r="CF359" s="59">
        <f>'Geographic Detail'!CF76</f>
        <v>1057</v>
      </c>
      <c r="CG359" s="168">
        <f>'Geographic Detail'!CG76</f>
        <v>2297.5</v>
      </c>
      <c r="CH359" s="244"/>
      <c r="CI359" s="59">
        <f>'Geographic Detail'!CI76</f>
        <v>358</v>
      </c>
      <c r="CJ359" s="59">
        <f>'Geographic Detail'!CJ76</f>
        <v>528</v>
      </c>
      <c r="CK359" s="59">
        <f>'Geographic Detail'!CK76</f>
        <v>633</v>
      </c>
      <c r="CL359" s="59">
        <f>'Geographic Detail'!CL76</f>
        <v>1210</v>
      </c>
      <c r="CM359" s="168">
        <f>'Geographic Detail'!CM76</f>
        <v>2729</v>
      </c>
      <c r="CN359" s="244"/>
      <c r="CO359" s="59">
        <f>'Geographic Detail'!CO76</f>
        <v>499</v>
      </c>
      <c r="CP359" s="59">
        <f>'Geographic Detail'!CP76</f>
        <v>752</v>
      </c>
      <c r="CQ359" s="59">
        <f>'Geographic Detail'!CQ76</f>
        <v>736</v>
      </c>
      <c r="CR359" s="59">
        <f>'Geographic Detail'!CR76</f>
        <v>1480</v>
      </c>
      <c r="CS359" s="168">
        <f>'Geographic Detail'!CS76</f>
        <v>3467</v>
      </c>
      <c r="CT359" s="244"/>
      <c r="CU359" s="59">
        <f>'Geographic Detail'!CU76</f>
        <v>536</v>
      </c>
      <c r="CV359" s="59">
        <f>'Geographic Detail'!CV76</f>
        <v>750</v>
      </c>
      <c r="CW359" s="59">
        <f>'Geographic Detail'!CW76</f>
        <v>673</v>
      </c>
      <c r="CX359" s="59">
        <f>'Geographic Detail'!CX76</f>
        <v>1256</v>
      </c>
      <c r="CY359" s="168">
        <f>'Geographic Detail'!CY76</f>
        <v>3215</v>
      </c>
      <c r="CZ359" s="244"/>
      <c r="DA359" s="59">
        <f>'Geographic Detail'!DA76</f>
        <v>495</v>
      </c>
      <c r="DB359" s="59">
        <f>'Geographic Detail'!DB76</f>
        <v>778</v>
      </c>
      <c r="DC359" s="59">
        <f>'Geographic Detail'!DC76</f>
        <v>823</v>
      </c>
      <c r="DD359" s="59">
        <f>'Geographic Detail'!DD76</f>
        <v>1608</v>
      </c>
      <c r="DE359" s="168">
        <f>'Geographic Detail'!DE76</f>
        <v>3704</v>
      </c>
      <c r="DF359" s="244"/>
      <c r="DG359" s="59">
        <f>'Geographic Detail'!DG76</f>
        <v>658</v>
      </c>
      <c r="DH359" s="59">
        <f>'Geographic Detail'!DH76</f>
        <v>1030</v>
      </c>
      <c r="DI359" s="59">
        <f>'Geographic Detail'!DI76</f>
        <v>1110</v>
      </c>
      <c r="DJ359" s="59">
        <f>'Geographic Detail'!DJ76</f>
        <v>1864</v>
      </c>
      <c r="DK359" s="168">
        <f>'Geographic Detail'!DK76</f>
        <v>4662</v>
      </c>
      <c r="DL359" s="244"/>
      <c r="DM359" s="59">
        <f>'Geographic Detail'!DM76</f>
        <v>727</v>
      </c>
      <c r="DN359" s="59">
        <f>'Geographic Detail'!DN76</f>
        <v>1027</v>
      </c>
      <c r="DO359" s="59">
        <f>'Geographic Detail'!DO76</f>
        <v>1228</v>
      </c>
      <c r="DP359" s="59">
        <f>'Geographic Detail'!DP76</f>
        <v>2126</v>
      </c>
      <c r="DQ359" s="168">
        <f>'Geographic Detail'!DQ76</f>
        <v>5108</v>
      </c>
      <c r="DR359" s="244"/>
      <c r="DS359" s="59">
        <f>'Geographic Detail'!DS76</f>
        <v>814</v>
      </c>
      <c r="DT359" s="59">
        <f>'Geographic Detail'!DT76</f>
        <v>1253</v>
      </c>
      <c r="DU359" s="59">
        <f>'Geographic Detail'!DU76</f>
        <v>1205</v>
      </c>
      <c r="DV359" s="59">
        <f>'Geographic Detail'!DV76</f>
        <v>2194</v>
      </c>
      <c r="DW359" s="168">
        <f>'Geographic Detail'!DW76</f>
        <v>5575.4155055077854</v>
      </c>
      <c r="DX359" s="244"/>
      <c r="DY359" s="59">
        <f>'Geographic Detail'!DY76</f>
        <v>926</v>
      </c>
      <c r="DZ359" s="59">
        <f>'Geographic Detail'!DZ76</f>
        <v>1295</v>
      </c>
      <c r="EA359" s="59">
        <f>'Geographic Detail'!EA76</f>
        <v>1299.111829787234</v>
      </c>
      <c r="EB359" s="59">
        <f>'Geographic Detail'!EB76</f>
        <v>2221.8323552566094</v>
      </c>
      <c r="EC359" s="168">
        <f>'Geographic Detail'!EC76</f>
        <v>5648.2495145923212</v>
      </c>
      <c r="ED359" s="244"/>
      <c r="EE359" s="59">
        <f>'Geographic Detail'!EE76</f>
        <v>910.98493812616812</v>
      </c>
      <c r="EF359" s="59">
        <f>'Geographic Detail'!EF76</f>
        <v>1315.5819482486822</v>
      </c>
      <c r="EG359" s="59">
        <f>'Geographic Detail'!EG76</f>
        <v>1283.8292221276595</v>
      </c>
      <c r="EH359" s="59">
        <f>'Geographic Detail'!EH76</f>
        <v>1918.166874558942</v>
      </c>
      <c r="EI359" s="168">
        <f>'Geographic Detail'!EI76</f>
        <v>5428.5629830614516</v>
      </c>
      <c r="EJ359" s="244"/>
      <c r="EK359" s="59">
        <f>'Geographic Detail'!EK76</f>
        <v>864.56910097016339</v>
      </c>
      <c r="EL359" s="59">
        <f>'Geographic Detail'!EL76</f>
        <v>1172.1903631374298</v>
      </c>
      <c r="EM359" s="59">
        <f>'Geographic Detail'!EM76</f>
        <v>1227.9845497531912</v>
      </c>
      <c r="EN359" s="59">
        <f>'Geographic Detail'!EN76</f>
        <v>1867.7704950797493</v>
      </c>
      <c r="EO359" s="168">
        <f>'Geographic Detail'!EO76</f>
        <v>5132.5145089405341</v>
      </c>
      <c r="EP359" s="244"/>
      <c r="EQ359" s="59">
        <f>'Geographic Detail'!EQ76</f>
        <v>1014.1748752032745</v>
      </c>
      <c r="ER359" s="59">
        <f>'Geographic Detail'!ER76</f>
        <v>1232.3905148641504</v>
      </c>
      <c r="ES359" s="59">
        <f>'Geographic Detail'!ES76</f>
        <v>1382.8809720076592</v>
      </c>
      <c r="ET359" s="59">
        <f>'Geographic Detail'!ET76</f>
        <v>2124.6712860205826</v>
      </c>
      <c r="EU359" s="168">
        <f>'Geographic Detail'!EU76</f>
        <v>5754.1176480956674</v>
      </c>
      <c r="EV359" s="244"/>
      <c r="EW359" s="59">
        <f>'Geographic Detail'!EW76</f>
        <v>1273.7000090845711</v>
      </c>
      <c r="EX359" s="59">
        <f>'Geographic Detail'!EX76</f>
        <v>1495.6901496224318</v>
      </c>
      <c r="EY359" s="59">
        <f>'Geographic Detail'!EY76</f>
        <v>1540.2603859384849</v>
      </c>
      <c r="EZ359" s="59">
        <f>'Geographic Detail'!EZ76</f>
        <v>2184.5461047185308</v>
      </c>
      <c r="FA359" s="168">
        <f>'Geographic Detail'!FA76</f>
        <v>6494.1966493640184</v>
      </c>
      <c r="FB359" s="244"/>
      <c r="FC359" s="59">
        <f>'Geographic Detail'!FC76</f>
        <v>1446.9121429565453</v>
      </c>
      <c r="FD359" s="59">
        <f>'Geographic Detail'!FD76</f>
        <v>1678.2296968603564</v>
      </c>
      <c r="FE359" s="59">
        <f>'Geographic Detail'!FE76</f>
        <v>1733.6817892039683</v>
      </c>
      <c r="FF359" s="59">
        <f>'Geographic Detail'!FF76</f>
        <v>2317.8436872937259</v>
      </c>
      <c r="FG359" s="168">
        <f>'Geographic Detail'!FG76</f>
        <v>7176.6673163145961</v>
      </c>
      <c r="FH359" s="244"/>
      <c r="FI359" s="59">
        <f>'Geographic Detail'!FI76</f>
        <v>1647.2677798248515</v>
      </c>
      <c r="FJ359" s="59">
        <f>'Geographic Detail'!FJ76</f>
        <v>1882.9228016720235</v>
      </c>
      <c r="FK359" s="59">
        <f>'Geographic Detail'!FK76</f>
        <v>1940.4917115936419</v>
      </c>
      <c r="FL359" s="59">
        <f>'Geographic Detail'!FL76</f>
        <v>2478.5505803520405</v>
      </c>
      <c r="FM359" s="168">
        <f>'Geographic Detail'!FM76</f>
        <v>7949.2328734425573</v>
      </c>
      <c r="FN359" s="27"/>
      <c r="FO359" s="27"/>
      <c r="FP359" s="27"/>
      <c r="FQ359" s="27"/>
      <c r="FR359" s="27"/>
      <c r="FS359" s="27"/>
      <c r="FT359" s="27"/>
      <c r="FU359" s="27"/>
      <c r="FV359" s="27"/>
      <c r="FW359" s="27"/>
      <c r="FX359" s="27"/>
      <c r="FY359" s="27"/>
      <c r="FZ359" s="27"/>
      <c r="GA359" s="27"/>
      <c r="GB359" s="27"/>
      <c r="GC359" s="27"/>
      <c r="GD359" s="27"/>
      <c r="GE359" s="27"/>
      <c r="GF359" s="27"/>
      <c r="GG359" s="27"/>
      <c r="GH359" s="27"/>
      <c r="GI359"/>
      <c r="GJ359"/>
      <c r="GK359"/>
      <c r="GL359"/>
      <c r="GM359"/>
      <c r="GN359"/>
      <c r="GO359" s="27"/>
      <c r="GP359"/>
      <c r="GQ359"/>
      <c r="GR359"/>
      <c r="GS359"/>
      <c r="GT359"/>
      <c r="GU359"/>
      <c r="GV359"/>
      <c r="GW359"/>
      <c r="GX359"/>
      <c r="GY359"/>
      <c r="GZ359"/>
      <c r="HA359"/>
      <c r="HB359"/>
      <c r="HC359"/>
      <c r="HD359"/>
      <c r="HE359"/>
      <c r="HF359"/>
      <c r="HG359"/>
      <c r="HH359"/>
      <c r="HI359"/>
      <c r="HJ359"/>
      <c r="HK359"/>
      <c r="HL359"/>
      <c r="HM359"/>
      <c r="HN359"/>
      <c r="HO359"/>
      <c r="HP359"/>
      <c r="HQ359"/>
      <c r="HR359"/>
      <c r="HS359"/>
      <c r="HT359"/>
      <c r="HU359"/>
      <c r="HV359"/>
      <c r="HW359"/>
      <c r="HX359"/>
      <c r="HY359"/>
      <c r="HZ359"/>
      <c r="IA359"/>
      <c r="IB359"/>
      <c r="IC359"/>
      <c r="ID359"/>
      <c r="IE359"/>
      <c r="IF359"/>
      <c r="IG359"/>
      <c r="IH359"/>
      <c r="II359"/>
      <c r="IJ359"/>
      <c r="IK359"/>
      <c r="IL359"/>
      <c r="IM359"/>
      <c r="IN359"/>
      <c r="IO359"/>
      <c r="IP359"/>
      <c r="IQ359"/>
      <c r="IR359"/>
      <c r="IS359"/>
      <c r="IT359"/>
      <c r="IU359"/>
      <c r="IV359"/>
      <c r="IW359"/>
      <c r="IX359"/>
      <c r="IY359"/>
      <c r="IZ359"/>
      <c r="JA359"/>
      <c r="JB359"/>
      <c r="JC359"/>
      <c r="JD359"/>
      <c r="JE359"/>
      <c r="JF359"/>
      <c r="JG359"/>
      <c r="JH359"/>
      <c r="JI359"/>
      <c r="JJ359"/>
      <c r="JK359"/>
      <c r="JL359"/>
      <c r="JM359"/>
      <c r="JN359"/>
      <c r="JO359"/>
      <c r="JP359"/>
      <c r="JQ359"/>
      <c r="JR359"/>
      <c r="JS359"/>
      <c r="JT359"/>
      <c r="JU359"/>
    </row>
    <row r="360" spans="1:281" s="24" customFormat="1" hidden="1" outlineLevel="1" x14ac:dyDescent="0.2">
      <c r="A360" s="60" t="s">
        <v>451</v>
      </c>
      <c r="B360" s="954" t="s">
        <v>452</v>
      </c>
      <c r="C360" s="59" t="s">
        <v>945</v>
      </c>
      <c r="D360" s="59" t="s">
        <v>945</v>
      </c>
      <c r="E360" s="59" t="s">
        <v>945</v>
      </c>
      <c r="F360" s="59" t="s">
        <v>945</v>
      </c>
      <c r="G360" s="59" t="s">
        <v>945</v>
      </c>
      <c r="H360" s="59" t="s">
        <v>945</v>
      </c>
      <c r="I360" s="59" t="s">
        <v>945</v>
      </c>
      <c r="J360" s="59" t="s">
        <v>945</v>
      </c>
      <c r="K360" s="59" t="s">
        <v>945</v>
      </c>
      <c r="L360" s="59" t="s">
        <v>945</v>
      </c>
      <c r="M360" s="59" t="s">
        <v>945</v>
      </c>
      <c r="N360" s="59"/>
      <c r="O360" s="59" t="s">
        <v>945</v>
      </c>
      <c r="P360" s="59" t="s">
        <v>945</v>
      </c>
      <c r="Q360" s="59" t="s">
        <v>945</v>
      </c>
      <c r="R360" s="59" t="s">
        <v>945</v>
      </c>
      <c r="S360" s="59" t="s">
        <v>945</v>
      </c>
      <c r="T360" s="59"/>
      <c r="U360" s="59" t="s">
        <v>945</v>
      </c>
      <c r="V360" s="59" t="s">
        <v>945</v>
      </c>
      <c r="W360" s="59" t="s">
        <v>945</v>
      </c>
      <c r="X360" s="59" t="s">
        <v>945</v>
      </c>
      <c r="Y360" s="59" t="s">
        <v>945</v>
      </c>
      <c r="Z360" s="244"/>
      <c r="AA360" s="244">
        <f>SUM(AA361:AA362)</f>
        <v>227.57300000000001</v>
      </c>
      <c r="AB360" s="244">
        <f>SUM(AB361:AB362)</f>
        <v>312.714</v>
      </c>
      <c r="AC360" s="244">
        <f>SUM(AC361:AC362)</f>
        <v>351.63599999999997</v>
      </c>
      <c r="AD360" s="244">
        <f>SUM(AD361:AD362)</f>
        <v>465.77099999999996</v>
      </c>
      <c r="AE360" s="244">
        <f>SUM(AE361:AE362)</f>
        <v>1357.694</v>
      </c>
      <c r="AF360" s="244"/>
      <c r="AG360" s="244">
        <f>SUM(AG361:AG362)</f>
        <v>266.51</v>
      </c>
      <c r="AH360" s="244">
        <f>SUM(AH361:AH362)</f>
        <v>308.92200000000003</v>
      </c>
      <c r="AI360" s="244">
        <f>SUM(AI361:AI362)</f>
        <v>336.86599999999999</v>
      </c>
      <c r="AJ360" s="244">
        <f>SUM(AJ361:AJ362)</f>
        <v>451.34899999999999</v>
      </c>
      <c r="AK360" s="244">
        <f>SUM(AK361:AK362)</f>
        <v>1363.6469999999999</v>
      </c>
      <c r="AL360" s="244"/>
      <c r="AM360" s="244">
        <f>SUM(AM361:AM362)</f>
        <v>276.59699999999998</v>
      </c>
      <c r="AN360" s="244">
        <f>SUM(AN361:AN362)</f>
        <v>368.31</v>
      </c>
      <c r="AO360" s="244">
        <f>SUM(AO361:AO362)</f>
        <v>378.16699999999997</v>
      </c>
      <c r="AP360" s="244">
        <f>SUM(AP361:AP362)</f>
        <v>569.452</v>
      </c>
      <c r="AQ360" s="244">
        <f>SUM(AQ361:AQ362)</f>
        <v>1592.5260000000001</v>
      </c>
      <c r="AR360" s="244"/>
      <c r="AS360" s="244">
        <f>SUM(AS361:AS362)</f>
        <v>303.00400000000002</v>
      </c>
      <c r="AT360" s="244">
        <f>SUM(AT361:AT362)</f>
        <v>444.10699999999997</v>
      </c>
      <c r="AU360" s="244">
        <f>SUM(AU361:AU362)</f>
        <v>422.83900000000006</v>
      </c>
      <c r="AV360" s="244">
        <f>SUM(AV361:AV362)</f>
        <v>649.14700000000005</v>
      </c>
      <c r="AW360" s="244">
        <f>SUM(AW361:AW362)</f>
        <v>1819.0970000000002</v>
      </c>
      <c r="AX360" s="244"/>
      <c r="AY360" s="244">
        <f>SUM(AY361:AY362)</f>
        <v>370.37400000000002</v>
      </c>
      <c r="AZ360" s="244">
        <f>SUM(AZ361:AZ362)</f>
        <v>512.69100000000003</v>
      </c>
      <c r="BA360" s="244">
        <f>SUM(BA361:BA362)</f>
        <v>506.61900000000003</v>
      </c>
      <c r="BB360" s="244">
        <f>SUM(BB361:BB362)</f>
        <v>671.47199999999998</v>
      </c>
      <c r="BC360" s="244">
        <f>SUM(BC361:BC362)</f>
        <v>2061.1559999999999</v>
      </c>
      <c r="BD360" s="244"/>
      <c r="BE360" s="244">
        <f>SUM(BE361:BE362)</f>
        <v>391.06600000000003</v>
      </c>
      <c r="BF360" s="244">
        <f>SUM(BF361:BF362)</f>
        <v>431.60399999999998</v>
      </c>
      <c r="BG360" s="244">
        <f>SUM(BG361:BG362)</f>
        <v>389.06200000000001</v>
      </c>
      <c r="BH360" s="244">
        <f>SUM(BH361:BH362)</f>
        <v>597.0329999999999</v>
      </c>
      <c r="BI360" s="244">
        <f>SUM(BI361:BI362)</f>
        <v>1808.7650000000001</v>
      </c>
      <c r="BJ360" s="244"/>
      <c r="BK360" s="244">
        <f>SUM(BK361:BK362)</f>
        <v>297.61099999999999</v>
      </c>
      <c r="BL360" s="244">
        <f>SUM(BL361:BL362)</f>
        <v>443.13499999999999</v>
      </c>
      <c r="BM360" s="244">
        <f>SUM(BM361:BM362)</f>
        <v>409.65800000000002</v>
      </c>
      <c r="BN360" s="244">
        <f>SUM(BN361:BN362)</f>
        <v>671.46100000000001</v>
      </c>
      <c r="BO360" s="244">
        <f>SUM(BO361:BO362)</f>
        <v>1821.8649999999998</v>
      </c>
      <c r="BP360" s="244"/>
      <c r="BQ360" s="244">
        <f>SUM(BQ361:BQ362)</f>
        <v>312</v>
      </c>
      <c r="BR360" s="244">
        <f>SUM(BR361:BR362)</f>
        <v>474</v>
      </c>
      <c r="BS360" s="244">
        <f>SUM(BS361:BS362)</f>
        <v>501</v>
      </c>
      <c r="BT360" s="244">
        <f>SUM(BT361:BT362)</f>
        <v>750</v>
      </c>
      <c r="BU360" s="244">
        <f>SUM(BU361:BU362)</f>
        <v>2037</v>
      </c>
      <c r="BV360" s="244"/>
      <c r="BW360" s="244">
        <f>SUM(BW361:BW362)</f>
        <v>336</v>
      </c>
      <c r="BX360" s="244">
        <f>SUM(BX361:BX362)</f>
        <v>570</v>
      </c>
      <c r="BY360" s="244">
        <f>SUM(BY361:BY362)</f>
        <v>566.6</v>
      </c>
      <c r="BZ360" s="244">
        <f>SUM(BZ361:BZ362)</f>
        <v>838</v>
      </c>
      <c r="CA360" s="244">
        <f>SUM(CA361:CA362)</f>
        <v>2310.6</v>
      </c>
      <c r="CB360" s="244"/>
      <c r="CC360" s="244">
        <f>SUM(CC361:CC362)</f>
        <v>350</v>
      </c>
      <c r="CD360" s="244">
        <f>SUM(CD361:CD362)</f>
        <v>560</v>
      </c>
      <c r="CE360" s="244">
        <f>SUM(CE361:CE362)</f>
        <v>606.9</v>
      </c>
      <c r="CF360" s="244">
        <f>SUM(CF361:CF362)</f>
        <v>1053</v>
      </c>
      <c r="CG360" s="171">
        <f>SUM(CG361:CG362)</f>
        <v>2569.9</v>
      </c>
      <c r="CH360" s="244"/>
      <c r="CI360" s="244">
        <f>SUM(CI361:CI362)</f>
        <v>435</v>
      </c>
      <c r="CJ360" s="244">
        <f>SUM(CJ361:CJ362)</f>
        <v>671</v>
      </c>
      <c r="CK360" s="244">
        <f>SUM(CK361:CK362)</f>
        <v>749</v>
      </c>
      <c r="CL360" s="244">
        <f>SUM(CL361:CL362)</f>
        <v>1252</v>
      </c>
      <c r="CM360" s="171">
        <f>SUM(CM361:CM362)</f>
        <v>3107</v>
      </c>
      <c r="CN360" s="244"/>
      <c r="CO360" s="244">
        <f>SUM(CO361:CO362)</f>
        <v>588</v>
      </c>
      <c r="CP360" s="244">
        <f>SUM(CP361:CP362)</f>
        <v>916</v>
      </c>
      <c r="CQ360" s="244">
        <f>SUM(CQ361:CQ362)</f>
        <v>880</v>
      </c>
      <c r="CR360" s="244">
        <f>SUM(CR361:CR362)</f>
        <v>1664</v>
      </c>
      <c r="CS360" s="171">
        <f>SUM(CS361:CS362)</f>
        <v>4048</v>
      </c>
      <c r="CT360" s="244"/>
      <c r="CU360" s="244">
        <f>SUM(CU361:CU362)</f>
        <v>701</v>
      </c>
      <c r="CV360" s="244">
        <f>SUM(CV361:CV362)</f>
        <v>875.4</v>
      </c>
      <c r="CW360" s="244">
        <f>SUM(CW361:CW362)</f>
        <v>843</v>
      </c>
      <c r="CX360" s="244">
        <f>SUM(CX361:CX362)</f>
        <v>1488</v>
      </c>
      <c r="CY360" s="171">
        <f>SUM(CY361:CY362)</f>
        <v>3907.4</v>
      </c>
      <c r="CZ360" s="244"/>
      <c r="DA360" s="244">
        <f>SUM(DA361:DA362)</f>
        <v>533</v>
      </c>
      <c r="DB360" s="244">
        <f>SUM(DB361:DB362)</f>
        <v>875</v>
      </c>
      <c r="DC360" s="244">
        <f>SUM(DC361:DC362)</f>
        <v>895</v>
      </c>
      <c r="DD360" s="244">
        <f>SUM(DD361:DD362)</f>
        <v>1527</v>
      </c>
      <c r="DE360" s="171">
        <f>SUM(DE361:DE362)</f>
        <v>3830</v>
      </c>
      <c r="DF360" s="244"/>
      <c r="DG360" s="244">
        <f>SUM(DG361:DG362)</f>
        <v>628</v>
      </c>
      <c r="DH360" s="244">
        <f>SUM(DH361:DH362)</f>
        <v>969</v>
      </c>
      <c r="DI360" s="244">
        <f>SUM(DI361:DI362)</f>
        <v>1104</v>
      </c>
      <c r="DJ360" s="244">
        <f>SUM(DJ361:DJ362)</f>
        <v>1872</v>
      </c>
      <c r="DK360" s="171">
        <f>SUM(DK361:DK362)</f>
        <v>4573</v>
      </c>
      <c r="DL360" s="244"/>
      <c r="DM360" s="244">
        <f>SUM(DM361:DM362)</f>
        <v>771</v>
      </c>
      <c r="DN360" s="244">
        <f>SUM(DN361:DN362)</f>
        <v>1021</v>
      </c>
      <c r="DO360" s="244">
        <f>SUM(DO361:DO362)</f>
        <v>1146</v>
      </c>
      <c r="DP360" s="244">
        <f>SUM(DP361:DP362)</f>
        <v>1859</v>
      </c>
      <c r="DQ360" s="171">
        <f>SUM(DQ361:DQ362)</f>
        <v>4819</v>
      </c>
      <c r="DR360" s="244"/>
      <c r="DS360" s="244">
        <f>SUM(DS361:DS362)</f>
        <v>760</v>
      </c>
      <c r="DT360" s="244">
        <f>SUM(DT361:DT362)</f>
        <v>1136</v>
      </c>
      <c r="DU360" s="244">
        <f>SUM(DU361:DU362)</f>
        <v>1127</v>
      </c>
      <c r="DV360" s="244">
        <f>SUM(DV361:DV362)</f>
        <v>1832</v>
      </c>
      <c r="DW360" s="171">
        <f>SUM(DW361:DW362)</f>
        <v>5246.5844944922146</v>
      </c>
      <c r="DX360" s="244"/>
      <c r="DY360" s="244">
        <f>SUM(DY361:DY362)</f>
        <v>727</v>
      </c>
      <c r="DZ360" s="244">
        <f>SUM(DZ361:DZ362)</f>
        <v>1085</v>
      </c>
      <c r="EA360" s="244">
        <f>SUM(EA361:EA362)</f>
        <v>1241.888170212766</v>
      </c>
      <c r="EB360" s="244">
        <f>SUM(EB361:EB362)</f>
        <v>2002.1676447433906</v>
      </c>
      <c r="EC360" s="171">
        <f>SUM(EC361:EC362)</f>
        <v>5361.7504854076778</v>
      </c>
      <c r="ED360" s="244"/>
      <c r="EE360" s="244">
        <f>SUM(EE361:EE362)</f>
        <v>936.01506187383188</v>
      </c>
      <c r="EF360" s="244">
        <f>SUM(EF361:EF362)</f>
        <v>1248.4180517513178</v>
      </c>
      <c r="EG360" s="244">
        <f>SUM(EG361:EG362)</f>
        <v>1228.1707778723405</v>
      </c>
      <c r="EH360" s="244">
        <f>SUM(EH361:EH362)</f>
        <v>1798.833125441058</v>
      </c>
      <c r="EI360" s="171">
        <f>SUM(EI361:EI362)</f>
        <v>5211.4370169385475</v>
      </c>
      <c r="EJ360" s="244"/>
      <c r="EK360" s="244">
        <f>SUM(EK361:EK362)</f>
        <v>898.43089902983661</v>
      </c>
      <c r="EL360" s="244">
        <f>SUM(EL361:EL362)</f>
        <v>1156.8096368625702</v>
      </c>
      <c r="EM360" s="244">
        <f>SUM(EM361:EM362)</f>
        <v>1189.0154502468088</v>
      </c>
      <c r="EN360" s="244">
        <f>SUM(EN361:EN362)</f>
        <v>1758.229504920251</v>
      </c>
      <c r="EO360" s="171">
        <f>SUM(EO361:EO362)</f>
        <v>5002.4854910594659</v>
      </c>
      <c r="EP360" s="244"/>
      <c r="EQ360" s="244">
        <f>SUM(EQ361:EQ362)</f>
        <v>1001.8251247967255</v>
      </c>
      <c r="ER360" s="244">
        <f>SUM(ER361:ER362)</f>
        <v>1201.6094851358498</v>
      </c>
      <c r="ES360" s="244">
        <f>SUM(ES361:ES362)</f>
        <v>1289.1190279923408</v>
      </c>
      <c r="ET360" s="244">
        <f>SUM(ET361:ET362)</f>
        <v>1911.3287139794174</v>
      </c>
      <c r="EU360" s="171">
        <f>SUM(EU361:EU362)</f>
        <v>5403.8823519043326</v>
      </c>
      <c r="EV360" s="244"/>
      <c r="EW360" s="244">
        <f>SUM(EW361:EW362)</f>
        <v>1184.2999909154289</v>
      </c>
      <c r="EX360" s="244">
        <f>SUM(EX361:EX362)</f>
        <v>1385.3098503775682</v>
      </c>
      <c r="EY360" s="244">
        <f>SUM(EY361:EY362)</f>
        <v>1418.7396140615151</v>
      </c>
      <c r="EZ360" s="244">
        <f>SUM(EZ361:EZ362)</f>
        <v>1963.3688952814691</v>
      </c>
      <c r="FA360" s="171">
        <f>SUM(FA361:FA362)</f>
        <v>5951.7183506359816</v>
      </c>
      <c r="FB360" s="244"/>
      <c r="FC360" s="244">
        <f>SUM(FC361:FC362)</f>
        <v>1315.5346570434549</v>
      </c>
      <c r="FD360" s="244">
        <f>SUM(FD361:FD362)</f>
        <v>1505.4903031396436</v>
      </c>
      <c r="FE360" s="244">
        <f>SUM(FE361:FE362)</f>
        <v>1541.9932107960319</v>
      </c>
      <c r="FF360" s="244">
        <f>SUM(FF361:FF362)</f>
        <v>2062.0170127062743</v>
      </c>
      <c r="FG360" s="171">
        <f>SUM(FG361:FG362)</f>
        <v>6425.0351836854043</v>
      </c>
      <c r="FH360" s="244"/>
      <c r="FI360" s="244">
        <f>SUM(FI361:FI362)</f>
        <v>1466.4500401751488</v>
      </c>
      <c r="FJ360" s="244">
        <f>SUM(FJ361:FJ362)</f>
        <v>1639.0425983279765</v>
      </c>
      <c r="FK360" s="244">
        <f>SUM(FK361:FK362)</f>
        <v>1673.174838406358</v>
      </c>
      <c r="FL360" s="244">
        <f>SUM(FL361:FL362)</f>
        <v>2178.2976256479587</v>
      </c>
      <c r="FM360" s="171">
        <f>SUM(FM361:FM362)</f>
        <v>6956.9651025574422</v>
      </c>
      <c r="FN360" s="27"/>
      <c r="FO360" s="27"/>
      <c r="FP360" s="27"/>
      <c r="FQ360" s="27"/>
      <c r="FR360" s="27"/>
      <c r="FS360" s="27"/>
      <c r="FT360" s="27"/>
      <c r="FU360" s="27"/>
      <c r="FV360" s="27"/>
      <c r="FW360" s="27"/>
      <c r="FX360" s="27"/>
      <c r="FY360" s="27"/>
      <c r="FZ360" s="27"/>
      <c r="GA360" s="27"/>
      <c r="GB360" s="27"/>
      <c r="GC360" s="27"/>
      <c r="GD360" s="27"/>
      <c r="GE360" s="27"/>
      <c r="GF360" s="27"/>
      <c r="GG360" s="27"/>
      <c r="GH360" s="27"/>
      <c r="GI360"/>
      <c r="GJ360"/>
      <c r="GK360"/>
      <c r="GL360"/>
      <c r="GM360"/>
      <c r="GN360"/>
      <c r="GO360" s="27"/>
      <c r="GP360"/>
      <c r="GQ360"/>
      <c r="GR360"/>
      <c r="GS360"/>
      <c r="GT360"/>
      <c r="GU360"/>
      <c r="GV360"/>
      <c r="GW360"/>
      <c r="GX360"/>
      <c r="GY360"/>
      <c r="GZ360"/>
      <c r="HA360"/>
      <c r="HB360"/>
      <c r="HC360"/>
      <c r="HD360"/>
      <c r="HE360"/>
      <c r="HF360"/>
      <c r="HG360"/>
      <c r="HH360"/>
      <c r="HI360"/>
      <c r="HJ360"/>
      <c r="HK360"/>
      <c r="HL360"/>
      <c r="HM360"/>
      <c r="HN360"/>
      <c r="HO360"/>
      <c r="HP360"/>
      <c r="HQ360"/>
      <c r="HR360"/>
      <c r="HS360"/>
      <c r="HT360"/>
      <c r="HU360"/>
      <c r="HV360"/>
      <c r="HW360"/>
      <c r="HX360"/>
      <c r="HY360"/>
      <c r="HZ360"/>
      <c r="IA360"/>
      <c r="IB360"/>
      <c r="IC360"/>
      <c r="ID360"/>
      <c r="IE360"/>
      <c r="IF360"/>
      <c r="IG360"/>
      <c r="IH360"/>
      <c r="II360"/>
      <c r="IJ360"/>
      <c r="IK360"/>
      <c r="IL360"/>
      <c r="IM360"/>
      <c r="IN360"/>
      <c r="IO360"/>
      <c r="IP360"/>
      <c r="IQ360"/>
      <c r="IR360"/>
      <c r="IS360"/>
      <c r="IT360"/>
      <c r="IU360"/>
      <c r="IV360"/>
      <c r="IW360"/>
      <c r="IX360"/>
      <c r="IY360"/>
      <c r="IZ360"/>
      <c r="JA360"/>
      <c r="JB360"/>
      <c r="JC360"/>
      <c r="JD360"/>
      <c r="JE360"/>
      <c r="JF360"/>
      <c r="JG360"/>
      <c r="JH360"/>
      <c r="JI360"/>
      <c r="JJ360"/>
      <c r="JK360"/>
      <c r="JL360"/>
      <c r="JM360"/>
      <c r="JN360"/>
      <c r="JO360"/>
      <c r="JP360"/>
      <c r="JQ360"/>
      <c r="JR360"/>
      <c r="JS360"/>
      <c r="JT360"/>
      <c r="JU360"/>
    </row>
    <row r="361" spans="1:281" s="24" customFormat="1" hidden="1" outlineLevel="1" x14ac:dyDescent="0.2">
      <c r="A361" s="244" t="s">
        <v>965</v>
      </c>
      <c r="B361" s="954" t="s">
        <v>966</v>
      </c>
      <c r="C361" s="59" t="s">
        <v>945</v>
      </c>
      <c r="D361" s="59" t="s">
        <v>945</v>
      </c>
      <c r="E361" s="59" t="s">
        <v>945</v>
      </c>
      <c r="F361" s="59" t="s">
        <v>945</v>
      </c>
      <c r="G361" s="59" t="s">
        <v>945</v>
      </c>
      <c r="H361" s="59" t="s">
        <v>945</v>
      </c>
      <c r="I361" s="59" t="s">
        <v>945</v>
      </c>
      <c r="J361" s="59" t="s">
        <v>945</v>
      </c>
      <c r="K361" s="59" t="s">
        <v>945</v>
      </c>
      <c r="L361" s="59" t="s">
        <v>945</v>
      </c>
      <c r="M361" s="59" t="s">
        <v>945</v>
      </c>
      <c r="N361" s="59"/>
      <c r="O361" s="59" t="s">
        <v>945</v>
      </c>
      <c r="P361" s="59" t="s">
        <v>945</v>
      </c>
      <c r="Q361" s="59" t="s">
        <v>945</v>
      </c>
      <c r="R361" s="59" t="s">
        <v>945</v>
      </c>
      <c r="S361" s="59" t="s">
        <v>945</v>
      </c>
      <c r="T361" s="59"/>
      <c r="U361" s="59" t="s">
        <v>945</v>
      </c>
      <c r="V361" s="59" t="s">
        <v>945</v>
      </c>
      <c r="W361" s="59" t="s">
        <v>945</v>
      </c>
      <c r="X361" s="59" t="s">
        <v>945</v>
      </c>
      <c r="Y361" s="59" t="s">
        <v>945</v>
      </c>
      <c r="Z361" s="244"/>
      <c r="AA361" s="244">
        <f>'Geographic Detail'!AA91</f>
        <v>133.35300000000001</v>
      </c>
      <c r="AB361" s="244">
        <f>'Geographic Detail'!AB91</f>
        <v>177.34800000000001</v>
      </c>
      <c r="AC361" s="244">
        <f>'Geographic Detail'!AC91</f>
        <v>228.45999999999998</v>
      </c>
      <c r="AD361" s="244">
        <f>'Geographic Detail'!AD91</f>
        <v>316.483</v>
      </c>
      <c r="AE361" s="244">
        <f>'Geographic Detail'!AE91</f>
        <v>855.64399999999989</v>
      </c>
      <c r="AF361" s="244"/>
      <c r="AG361" s="244">
        <f>'Geographic Detail'!AG91</f>
        <v>151.83600000000001</v>
      </c>
      <c r="AH361" s="244">
        <f>'Geographic Detail'!AH91</f>
        <v>194.34800000000001</v>
      </c>
      <c r="AI361" s="244">
        <f>'Geographic Detail'!AI91</f>
        <v>244.57300000000001</v>
      </c>
      <c r="AJ361" s="244">
        <f>'Geographic Detail'!AJ91</f>
        <v>347.51900000000001</v>
      </c>
      <c r="AK361" s="244">
        <f>'Geographic Detail'!AK91</f>
        <v>938.27599999999995</v>
      </c>
      <c r="AL361" s="244"/>
      <c r="AM361" s="244">
        <f>'Geographic Detail'!AM91</f>
        <v>185.71299999999999</v>
      </c>
      <c r="AN361" s="244">
        <f>'Geographic Detail'!AN91</f>
        <v>247.55799999999999</v>
      </c>
      <c r="AO361" s="244">
        <f>'Geographic Detail'!AO91</f>
        <v>261.29399999999998</v>
      </c>
      <c r="AP361" s="244">
        <f>'Geographic Detail'!AP91</f>
        <v>410.68200000000002</v>
      </c>
      <c r="AQ361" s="244">
        <f>'Geographic Detail'!AQ91</f>
        <v>1105.2470000000001</v>
      </c>
      <c r="AR361" s="244"/>
      <c r="AS361" s="244">
        <f>'Geographic Detail'!AS91</f>
        <v>186.10899999999998</v>
      </c>
      <c r="AT361" s="244">
        <f>'Geographic Detail'!AT91</f>
        <v>283.87700000000001</v>
      </c>
      <c r="AU361" s="244">
        <f>'Geographic Detail'!AU91</f>
        <v>269.00200000000001</v>
      </c>
      <c r="AV361" s="244">
        <f>'Geographic Detail'!AV91</f>
        <v>424.5</v>
      </c>
      <c r="AW361" s="244">
        <f>'Geographic Detail'!AW91</f>
        <v>1163.4880000000001</v>
      </c>
      <c r="AX361" s="244"/>
      <c r="AY361" s="244">
        <f>'Geographic Detail'!AY91</f>
        <v>209.01900000000001</v>
      </c>
      <c r="AZ361" s="244">
        <f>'Geographic Detail'!AZ91</f>
        <v>293.387</v>
      </c>
      <c r="BA361" s="244">
        <f>'Geographic Detail'!BA91</f>
        <v>318.99400000000003</v>
      </c>
      <c r="BB361" s="244">
        <f>'Geographic Detail'!BB91</f>
        <v>423.41999999999996</v>
      </c>
      <c r="BC361" s="244">
        <f>'Geographic Detail'!BC91</f>
        <v>1244.82</v>
      </c>
      <c r="BD361" s="244"/>
      <c r="BE361" s="244">
        <f>'Geographic Detail'!BE91</f>
        <v>212.142</v>
      </c>
      <c r="BF361" s="244">
        <f>'Geographic Detail'!BF91</f>
        <v>253.55699999999999</v>
      </c>
      <c r="BG361" s="244">
        <f>'Geographic Detail'!BG91</f>
        <v>264.24799999999999</v>
      </c>
      <c r="BH361" s="244">
        <f>'Geographic Detail'!BH91</f>
        <v>416.67499999999995</v>
      </c>
      <c r="BI361" s="244">
        <f>'Geographic Detail'!BI91</f>
        <v>1146.6220000000001</v>
      </c>
      <c r="BJ361" s="244"/>
      <c r="BK361" s="244">
        <f>'Geographic Detail'!BK91</f>
        <v>182.14099999999999</v>
      </c>
      <c r="BL361" s="244">
        <f>'Geographic Detail'!BL91</f>
        <v>298.69099999999997</v>
      </c>
      <c r="BM361" s="244">
        <f>'Geographic Detail'!BM91</f>
        <v>269.70400000000001</v>
      </c>
      <c r="BN361" s="244">
        <f>'Geographic Detail'!BN91</f>
        <v>462.23199999999997</v>
      </c>
      <c r="BO361" s="244">
        <f>'Geographic Detail'!BO91</f>
        <v>1212.7679999999998</v>
      </c>
      <c r="BP361" s="244"/>
      <c r="BQ361" s="244">
        <f>'Geographic Detail'!BQ91</f>
        <v>198</v>
      </c>
      <c r="BR361" s="59">
        <f>'Geographic Detail'!BR91</f>
        <v>311</v>
      </c>
      <c r="BS361" s="59">
        <f>'Geographic Detail'!BS91</f>
        <v>331</v>
      </c>
      <c r="BT361" s="59">
        <f>'Geographic Detail'!BT91</f>
        <v>524</v>
      </c>
      <c r="BU361" s="59">
        <f>'Geographic Detail'!BU91</f>
        <v>1364</v>
      </c>
      <c r="BV361" s="59"/>
      <c r="BW361" s="59">
        <f>'Geographic Detail'!BW91</f>
        <v>186</v>
      </c>
      <c r="BX361" s="59">
        <f>'Geographic Detail'!BX91</f>
        <v>384</v>
      </c>
      <c r="BY361" s="59">
        <f>'Geographic Detail'!BY91</f>
        <v>369</v>
      </c>
      <c r="BZ361" s="59">
        <f>'Geographic Detail'!BZ91</f>
        <v>559</v>
      </c>
      <c r="CA361" s="59">
        <f>'Geographic Detail'!CA91</f>
        <v>1498</v>
      </c>
      <c r="CB361" s="59"/>
      <c r="CC361" s="59">
        <f>'Geographic Detail'!CC91</f>
        <v>202</v>
      </c>
      <c r="CD361" s="59">
        <f>'Geographic Detail'!CD91</f>
        <v>357</v>
      </c>
      <c r="CE361" s="59">
        <f>'Geographic Detail'!CE91</f>
        <v>412.2</v>
      </c>
      <c r="CF361" s="59">
        <f>'Geographic Detail'!CF91</f>
        <v>673</v>
      </c>
      <c r="CG361" s="168">
        <f>'Geographic Detail'!CG91</f>
        <v>1644.2</v>
      </c>
      <c r="CH361" s="59"/>
      <c r="CI361" s="59">
        <f>'Geographic Detail'!CI91</f>
        <v>253</v>
      </c>
      <c r="CJ361" s="59">
        <f>'Geographic Detail'!CJ91</f>
        <v>442</v>
      </c>
      <c r="CK361" s="59">
        <f>'Geographic Detail'!CK91</f>
        <v>487</v>
      </c>
      <c r="CL361" s="59">
        <f>'Geographic Detail'!CL91</f>
        <v>843</v>
      </c>
      <c r="CM361" s="168">
        <f>'Geographic Detail'!CM91</f>
        <v>2025</v>
      </c>
      <c r="CN361" s="59"/>
      <c r="CO361" s="59">
        <f>'Geographic Detail'!CO91</f>
        <v>378</v>
      </c>
      <c r="CP361" s="59">
        <f>'Geographic Detail'!CP91</f>
        <v>598</v>
      </c>
      <c r="CQ361" s="59">
        <f>'Geographic Detail'!CQ91</f>
        <v>589</v>
      </c>
      <c r="CR361" s="59">
        <f>'Geographic Detail'!CR91</f>
        <v>1201</v>
      </c>
      <c r="CS361" s="168">
        <f>'Geographic Detail'!CS91</f>
        <v>2766</v>
      </c>
      <c r="CT361" s="59"/>
      <c r="CU361" s="59">
        <f>'Geographic Detail'!CU91</f>
        <v>420</v>
      </c>
      <c r="CV361" s="59">
        <f>'Geographic Detail'!CV91</f>
        <v>557</v>
      </c>
      <c r="CW361" s="59">
        <f>'Geographic Detail'!CW91</f>
        <v>571</v>
      </c>
      <c r="CX361" s="59">
        <f>'Geographic Detail'!CX91</f>
        <v>1041</v>
      </c>
      <c r="CY361" s="168">
        <f>'Geographic Detail'!CY91</f>
        <v>2589</v>
      </c>
      <c r="CZ361" s="59"/>
      <c r="DA361" s="59">
        <f>'Geographic Detail'!DA91</f>
        <v>314</v>
      </c>
      <c r="DB361" s="59">
        <f>'Geographic Detail'!DB91</f>
        <v>548</v>
      </c>
      <c r="DC361" s="59">
        <f>'Geographic Detail'!DC91</f>
        <v>590</v>
      </c>
      <c r="DD361" s="59">
        <f>'Geographic Detail'!DD91</f>
        <v>1012</v>
      </c>
      <c r="DE361" s="168">
        <f>'Geographic Detail'!DE91</f>
        <v>2464</v>
      </c>
      <c r="DF361" s="59"/>
      <c r="DG361" s="59">
        <f>'Geographic Detail'!DG91</f>
        <v>352</v>
      </c>
      <c r="DH361" s="59">
        <f>'Geographic Detail'!DH91</f>
        <v>574</v>
      </c>
      <c r="DI361" s="59">
        <f>'Geographic Detail'!DI91</f>
        <v>702</v>
      </c>
      <c r="DJ361" s="59">
        <f>'Geographic Detail'!DJ91</f>
        <v>1233</v>
      </c>
      <c r="DK361" s="168">
        <f>'Geographic Detail'!DK91</f>
        <v>2861</v>
      </c>
      <c r="DL361" s="59"/>
      <c r="DM361" s="59">
        <f>'Geographic Detail'!DM91</f>
        <v>440</v>
      </c>
      <c r="DN361" s="59">
        <f>'Geographic Detail'!DN91</f>
        <v>584</v>
      </c>
      <c r="DO361" s="59">
        <f>'Geographic Detail'!DO91</f>
        <v>693</v>
      </c>
      <c r="DP361" s="59">
        <f>'Geographic Detail'!DP91</f>
        <v>1166</v>
      </c>
      <c r="DQ361" s="168">
        <f>'Geographic Detail'!DQ91</f>
        <v>2883</v>
      </c>
      <c r="DR361" s="59"/>
      <c r="DS361" s="59">
        <f>'Geographic Detail'!DS91</f>
        <v>403</v>
      </c>
      <c r="DT361" s="59">
        <f>'Geographic Detail'!DT91</f>
        <v>641</v>
      </c>
      <c r="DU361" s="59">
        <f>'Geographic Detail'!DU91</f>
        <v>690</v>
      </c>
      <c r="DV361" s="59">
        <f>'Geographic Detail'!DV91</f>
        <v>1224</v>
      </c>
      <c r="DW361" s="168">
        <f>'Geographic Detail'!DW91</f>
        <v>3127.4758511055043</v>
      </c>
      <c r="DX361" s="59"/>
      <c r="DY361" s="59">
        <f>'Geographic Detail'!DY91</f>
        <v>388</v>
      </c>
      <c r="DZ361" s="59">
        <f>'Geographic Detail'!DZ91</f>
        <v>675</v>
      </c>
      <c r="EA361" s="59">
        <f>'Geographic Detail'!EA91</f>
        <v>743.5733893002764</v>
      </c>
      <c r="EB361" s="59">
        <f>'Geographic Detail'!EB91</f>
        <v>1231.5569733875373</v>
      </c>
      <c r="EC361" s="168">
        <f>'Geographic Detail'!EC91</f>
        <v>3180.3432154007751</v>
      </c>
      <c r="ED361" s="59"/>
      <c r="EE361" s="59">
        <f>'Geographic Detail'!EE91</f>
        <v>531.32343712881243</v>
      </c>
      <c r="EF361" s="59">
        <f>'Geographic Detail'!EF91</f>
        <v>709.55067995505669</v>
      </c>
      <c r="EG361" s="59">
        <f>'Geographic Detail'!EG91</f>
        <v>726.75315434377944</v>
      </c>
      <c r="EH361" s="59">
        <f>'Geographic Detail'!EH91</f>
        <v>1083.5307858369924</v>
      </c>
      <c r="EI361" s="168">
        <f>'Geographic Detail'!EI91</f>
        <v>3051.1580572646408</v>
      </c>
      <c r="EJ361" s="59"/>
      <c r="EK361" s="59">
        <f>'Geographic Detail'!EK91</f>
        <v>493.56404136559166</v>
      </c>
      <c r="EL361" s="59">
        <f>'Geographic Detail'!EL91</f>
        <v>640.17828960759789</v>
      </c>
      <c r="EM361" s="59">
        <f>'Geographic Detail'!EM91</f>
        <v>697.94040473629184</v>
      </c>
      <c r="EN361" s="59">
        <f>'Geographic Detail'!EN91</f>
        <v>1058.5718694743809</v>
      </c>
      <c r="EO361" s="168">
        <f>'Geographic Detail'!EO91</f>
        <v>2890.2546051838622</v>
      </c>
      <c r="EP361" s="59"/>
      <c r="EQ361" s="59">
        <f>'Geographic Detail'!EQ91</f>
        <v>550.32016372356009</v>
      </c>
      <c r="ER361" s="59">
        <f>'Geographic Detail'!ER91</f>
        <v>664.35987953132178</v>
      </c>
      <c r="ES361" s="59">
        <f>'Geographic Detail'!ES91</f>
        <v>755.64109285532106</v>
      </c>
      <c r="ET361" s="59">
        <f>'Geographic Detail'!ET91</f>
        <v>1138.1489329430419</v>
      </c>
      <c r="EU361" s="168">
        <f>'Geographic Detail'!EU91</f>
        <v>3108.4700690532445</v>
      </c>
      <c r="EV361" s="59"/>
      <c r="EW361" s="59">
        <f>'Geographic Detail'!EW91</f>
        <v>655.15603105081777</v>
      </c>
      <c r="EX361" s="59">
        <f>'Geographic Detail'!EX91</f>
        <v>770.72689582554472</v>
      </c>
      <c r="EY361" s="59">
        <f>'Geographic Detail'!EY91</f>
        <v>838.17522850642558</v>
      </c>
      <c r="EZ361" s="59">
        <f>'Geographic Detail'!EZ91</f>
        <v>1176.697757816703</v>
      </c>
      <c r="FA361" s="168">
        <f>'Geographic Detail'!FA91</f>
        <v>3440.7559131994913</v>
      </c>
      <c r="FB361" s="59"/>
      <c r="FC361" s="59">
        <f>'Geographic Detail'!FC91</f>
        <v>735.92330210183695</v>
      </c>
      <c r="FD361" s="59">
        <f>'Geographic Detail'!FD91</f>
        <v>843.76418100513297</v>
      </c>
      <c r="FE361" s="59">
        <f>'Geographic Detail'!FE91</f>
        <v>912.98817452256094</v>
      </c>
      <c r="FF361" s="59">
        <f>'Geographic Detail'!FF91</f>
        <v>1233.5543950930103</v>
      </c>
      <c r="FG361" s="168">
        <f>'Geographic Detail'!FG91</f>
        <v>3726.2300527225407</v>
      </c>
      <c r="FH361" s="59"/>
      <c r="FI361" s="59">
        <f>'Geographic Detail'!FI91</f>
        <v>822.16751096705116</v>
      </c>
      <c r="FJ361" s="59">
        <f>'Geographic Detail'!FJ91</f>
        <v>921.23229259900154</v>
      </c>
      <c r="FK361" s="59">
        <f>'Geographic Detail'!FK91</f>
        <v>991.38633220415841</v>
      </c>
      <c r="FL361" s="59">
        <f>'Geographic Detail'!FL91</f>
        <v>1300.2286979077367</v>
      </c>
      <c r="FM361" s="168">
        <f>'Geographic Detail'!FM91</f>
        <v>4035.014833677948</v>
      </c>
      <c r="FN361" s="27"/>
      <c r="FO361" s="27"/>
      <c r="FP361" s="27"/>
      <c r="FQ361" s="27"/>
      <c r="FR361" s="27"/>
      <c r="FS361" s="27"/>
      <c r="FT361" s="27"/>
      <c r="FU361" s="27"/>
      <c r="FV361" s="27"/>
      <c r="FW361" s="27"/>
      <c r="FX361" s="27"/>
      <c r="FY361" s="27"/>
      <c r="FZ361" s="27"/>
      <c r="GA361" s="27"/>
      <c r="GB361" s="27"/>
      <c r="GC361" s="27"/>
      <c r="GD361" s="27"/>
      <c r="GE361" s="27"/>
      <c r="GF361" s="27"/>
      <c r="GG361" s="27"/>
      <c r="GH361" s="27"/>
      <c r="GI361"/>
      <c r="GJ361"/>
      <c r="GK361"/>
      <c r="GL361"/>
      <c r="GM361"/>
      <c r="GN361"/>
      <c r="GO361" s="27"/>
      <c r="GP361"/>
      <c r="GQ361"/>
      <c r="GR361"/>
      <c r="GS361"/>
      <c r="GT361"/>
      <c r="GU361"/>
      <c r="GV361"/>
      <c r="GW361"/>
      <c r="GX361"/>
      <c r="GY361"/>
      <c r="GZ361"/>
      <c r="HA361"/>
      <c r="HB361"/>
      <c r="HC361"/>
      <c r="HD361"/>
      <c r="HE361"/>
      <c r="HF361"/>
      <c r="HG361"/>
      <c r="HH361"/>
      <c r="HI361"/>
      <c r="HJ361"/>
      <c r="HK361"/>
      <c r="HL361"/>
      <c r="HM361"/>
      <c r="HN361"/>
      <c r="HO361"/>
      <c r="HP361"/>
      <c r="HQ361"/>
      <c r="HR361"/>
      <c r="HS361"/>
      <c r="HT361"/>
      <c r="HU361"/>
      <c r="HV361"/>
      <c r="HW361"/>
      <c r="HX361"/>
      <c r="HY361"/>
      <c r="HZ361"/>
      <c r="IA361"/>
      <c r="IB361"/>
      <c r="IC361"/>
      <c r="ID361"/>
      <c r="IE361"/>
      <c r="IF361"/>
      <c r="IG361"/>
      <c r="IH361"/>
      <c r="II361"/>
      <c r="IJ361"/>
      <c r="IK361"/>
      <c r="IL361"/>
      <c r="IM361"/>
      <c r="IN361"/>
      <c r="IO361"/>
      <c r="IP361"/>
      <c r="IQ361"/>
      <c r="IR361"/>
      <c r="IS361"/>
      <c r="IT361"/>
      <c r="IU361"/>
      <c r="IV361"/>
      <c r="IW361"/>
      <c r="IX361"/>
      <c r="IY361"/>
      <c r="IZ361"/>
      <c r="JA361"/>
      <c r="JB361"/>
      <c r="JC361"/>
      <c r="JD361"/>
      <c r="JE361"/>
      <c r="JF361"/>
      <c r="JG361"/>
      <c r="JH361"/>
      <c r="JI361"/>
      <c r="JJ361"/>
      <c r="JK361"/>
      <c r="JL361"/>
      <c r="JM361"/>
      <c r="JN361"/>
      <c r="JO361"/>
      <c r="JP361"/>
      <c r="JQ361"/>
      <c r="JR361"/>
      <c r="JS361"/>
      <c r="JT361"/>
      <c r="JU361"/>
    </row>
    <row r="362" spans="1:281" s="24" customFormat="1" hidden="1" outlineLevel="1" x14ac:dyDescent="0.2">
      <c r="A362" s="244" t="s">
        <v>967</v>
      </c>
      <c r="B362" s="326" t="s">
        <v>968</v>
      </c>
      <c r="C362" s="59" t="s">
        <v>945</v>
      </c>
      <c r="D362" s="59" t="s">
        <v>945</v>
      </c>
      <c r="E362" s="59" t="s">
        <v>945</v>
      </c>
      <c r="F362" s="59" t="s">
        <v>945</v>
      </c>
      <c r="G362" s="59" t="s">
        <v>945</v>
      </c>
      <c r="H362" s="59" t="s">
        <v>945</v>
      </c>
      <c r="I362" s="59" t="s">
        <v>945</v>
      </c>
      <c r="J362" s="59" t="s">
        <v>945</v>
      </c>
      <c r="K362" s="59" t="s">
        <v>945</v>
      </c>
      <c r="L362" s="59" t="s">
        <v>945</v>
      </c>
      <c r="M362" s="59" t="s">
        <v>945</v>
      </c>
      <c r="N362" s="59"/>
      <c r="O362" s="59" t="s">
        <v>945</v>
      </c>
      <c r="P362" s="59" t="s">
        <v>945</v>
      </c>
      <c r="Q362" s="59" t="s">
        <v>945</v>
      </c>
      <c r="R362" s="59" t="s">
        <v>945</v>
      </c>
      <c r="S362" s="59" t="s">
        <v>945</v>
      </c>
      <c r="T362" s="59"/>
      <c r="U362" s="59" t="s">
        <v>945</v>
      </c>
      <c r="V362" s="59" t="s">
        <v>945</v>
      </c>
      <c r="W362" s="59" t="s">
        <v>945</v>
      </c>
      <c r="X362" s="59" t="s">
        <v>945</v>
      </c>
      <c r="Y362" s="59" t="s">
        <v>945</v>
      </c>
      <c r="Z362" s="244"/>
      <c r="AA362" s="244">
        <f>'Geographic Detail'!AA106</f>
        <v>94.22</v>
      </c>
      <c r="AB362" s="244">
        <f>'Geographic Detail'!AB106</f>
        <v>135.36599999999999</v>
      </c>
      <c r="AC362" s="244">
        <f>'Geographic Detail'!AC106</f>
        <v>123.176</v>
      </c>
      <c r="AD362" s="244">
        <f>'Geographic Detail'!AD106</f>
        <v>149.28799999999998</v>
      </c>
      <c r="AE362" s="244">
        <f>'Geographic Detail'!AE106</f>
        <v>502.05</v>
      </c>
      <c r="AF362" s="244"/>
      <c r="AG362" s="244">
        <f>'Geographic Detail'!AG106</f>
        <v>114.67400000000001</v>
      </c>
      <c r="AH362" s="244">
        <f>'Geographic Detail'!AH106</f>
        <v>114.574</v>
      </c>
      <c r="AI362" s="244">
        <f>'Geographic Detail'!AI106</f>
        <v>92.293000000000006</v>
      </c>
      <c r="AJ362" s="244">
        <f>'Geographic Detail'!AJ106</f>
        <v>103.83</v>
      </c>
      <c r="AK362" s="244">
        <f>'Geographic Detail'!AK106</f>
        <v>425.37100000000004</v>
      </c>
      <c r="AL362" s="244"/>
      <c r="AM362" s="244">
        <f>'Geographic Detail'!AM106</f>
        <v>90.884</v>
      </c>
      <c r="AN362" s="244">
        <f>'Geographic Detail'!AN106</f>
        <v>120.752</v>
      </c>
      <c r="AO362" s="244">
        <f>'Geographic Detail'!AO106</f>
        <v>116.873</v>
      </c>
      <c r="AP362" s="244">
        <f>'Geographic Detail'!AP106</f>
        <v>158.77000000000001</v>
      </c>
      <c r="AQ362" s="244">
        <f>'Geographic Detail'!AQ106</f>
        <v>487.27900000000005</v>
      </c>
      <c r="AR362" s="244"/>
      <c r="AS362" s="244">
        <f>'Geographic Detail'!AS106</f>
        <v>116.89500000000001</v>
      </c>
      <c r="AT362" s="244">
        <f>'Geographic Detail'!AT106</f>
        <v>160.22999999999999</v>
      </c>
      <c r="AU362" s="244">
        <f>'Geographic Detail'!AU106</f>
        <v>153.83700000000002</v>
      </c>
      <c r="AV362" s="244">
        <f>'Geographic Detail'!AV106</f>
        <v>224.64700000000002</v>
      </c>
      <c r="AW362" s="244">
        <f>'Geographic Detail'!AW106</f>
        <v>655.60900000000004</v>
      </c>
      <c r="AX362" s="244"/>
      <c r="AY362" s="244">
        <f>'Geographic Detail'!AY106</f>
        <v>161.35500000000002</v>
      </c>
      <c r="AZ362" s="244">
        <f>'Geographic Detail'!AZ106</f>
        <v>219.304</v>
      </c>
      <c r="BA362" s="244">
        <f>'Geographic Detail'!BA106</f>
        <v>187.625</v>
      </c>
      <c r="BB362" s="244">
        <f>'Geographic Detail'!BB106</f>
        <v>248.05200000000002</v>
      </c>
      <c r="BC362" s="244">
        <f>'Geographic Detail'!BC106</f>
        <v>816.33600000000013</v>
      </c>
      <c r="BD362" s="244"/>
      <c r="BE362" s="244">
        <f>'Geographic Detail'!BE106</f>
        <v>178.92400000000001</v>
      </c>
      <c r="BF362" s="244">
        <f>'Geographic Detail'!BF106</f>
        <v>178.047</v>
      </c>
      <c r="BG362" s="244">
        <f>'Geographic Detail'!BG106</f>
        <v>124.81399999999999</v>
      </c>
      <c r="BH362" s="244">
        <f>'Geographic Detail'!BH106</f>
        <v>180.358</v>
      </c>
      <c r="BI362" s="244">
        <f>'Geographic Detail'!BI106</f>
        <v>662.14300000000003</v>
      </c>
      <c r="BJ362" s="244"/>
      <c r="BK362" s="244">
        <f>'Geographic Detail'!BK106</f>
        <v>115.47</v>
      </c>
      <c r="BL362" s="244">
        <f>'Geographic Detail'!BL106</f>
        <v>144.44399999999999</v>
      </c>
      <c r="BM362" s="244">
        <f>'Geographic Detail'!BM106</f>
        <v>139.95400000000001</v>
      </c>
      <c r="BN362" s="244">
        <f>'Geographic Detail'!BN106</f>
        <v>209.22900000000001</v>
      </c>
      <c r="BO362" s="244">
        <f>'Geographic Detail'!BO106</f>
        <v>609.09699999999998</v>
      </c>
      <c r="BP362" s="244"/>
      <c r="BQ362" s="244">
        <f>'Geographic Detail'!BQ106</f>
        <v>114</v>
      </c>
      <c r="BR362" s="59">
        <f>'Geographic Detail'!BR106</f>
        <v>163</v>
      </c>
      <c r="BS362" s="59">
        <f>'Geographic Detail'!BS106</f>
        <v>170</v>
      </c>
      <c r="BT362" s="59">
        <f>'Geographic Detail'!BT106</f>
        <v>226</v>
      </c>
      <c r="BU362" s="59">
        <f>'Geographic Detail'!BU106</f>
        <v>673</v>
      </c>
      <c r="BV362" s="59"/>
      <c r="BW362" s="59">
        <f>'Geographic Detail'!BW106</f>
        <v>150</v>
      </c>
      <c r="BX362" s="59">
        <f>'Geographic Detail'!BX106</f>
        <v>186</v>
      </c>
      <c r="BY362" s="59">
        <f>'Geographic Detail'!BY106</f>
        <v>197.6</v>
      </c>
      <c r="BZ362" s="59">
        <f>'Geographic Detail'!BZ106</f>
        <v>279</v>
      </c>
      <c r="CA362" s="59">
        <f>'Geographic Detail'!CA106</f>
        <v>812.6</v>
      </c>
      <c r="CB362" s="59"/>
      <c r="CC362" s="59">
        <f>'Geographic Detail'!CC106</f>
        <v>148</v>
      </c>
      <c r="CD362" s="59">
        <f>'Geographic Detail'!CD106</f>
        <v>203</v>
      </c>
      <c r="CE362" s="59">
        <f>'Geographic Detail'!CE106</f>
        <v>194.7</v>
      </c>
      <c r="CF362" s="59">
        <f>'Geographic Detail'!CF106</f>
        <v>380</v>
      </c>
      <c r="CG362" s="168">
        <f>'Geographic Detail'!CG106</f>
        <v>925.7</v>
      </c>
      <c r="CH362" s="59"/>
      <c r="CI362" s="59">
        <f>'Geographic Detail'!CI106</f>
        <v>182</v>
      </c>
      <c r="CJ362" s="59">
        <f>'Geographic Detail'!CJ106</f>
        <v>229</v>
      </c>
      <c r="CK362" s="59">
        <f>'Geographic Detail'!CK106</f>
        <v>262</v>
      </c>
      <c r="CL362" s="59">
        <f>'Geographic Detail'!CL106</f>
        <v>409</v>
      </c>
      <c r="CM362" s="168">
        <f>'Geographic Detail'!CM106</f>
        <v>1082</v>
      </c>
      <c r="CN362" s="59"/>
      <c r="CO362" s="59">
        <f>'Geographic Detail'!CO106</f>
        <v>210</v>
      </c>
      <c r="CP362" s="59">
        <f>'Geographic Detail'!CP106</f>
        <v>318</v>
      </c>
      <c r="CQ362" s="59">
        <f>'Geographic Detail'!CQ106</f>
        <v>291</v>
      </c>
      <c r="CR362" s="59">
        <f>'Geographic Detail'!CR106</f>
        <v>463</v>
      </c>
      <c r="CS362" s="168">
        <f>'Geographic Detail'!CS106</f>
        <v>1282</v>
      </c>
      <c r="CT362" s="59"/>
      <c r="CU362" s="59">
        <f>'Geographic Detail'!CU106</f>
        <v>281</v>
      </c>
      <c r="CV362" s="59">
        <f>'Geographic Detail'!CV106</f>
        <v>318.39999999999998</v>
      </c>
      <c r="CW362" s="59">
        <f>'Geographic Detail'!CW106</f>
        <v>272</v>
      </c>
      <c r="CX362" s="59">
        <f>'Geographic Detail'!CX106</f>
        <v>447</v>
      </c>
      <c r="CY362" s="168">
        <f>'Geographic Detail'!CY106</f>
        <v>1318.4</v>
      </c>
      <c r="CZ362" s="59"/>
      <c r="DA362" s="59">
        <f>'Geographic Detail'!DA106</f>
        <v>219</v>
      </c>
      <c r="DB362" s="59">
        <f>'Geographic Detail'!DB106</f>
        <v>327</v>
      </c>
      <c r="DC362" s="59">
        <f>'Geographic Detail'!DC106</f>
        <v>305</v>
      </c>
      <c r="DD362" s="59">
        <f>'Geographic Detail'!DD106</f>
        <v>515</v>
      </c>
      <c r="DE362" s="168">
        <f>'Geographic Detail'!DE106</f>
        <v>1366</v>
      </c>
      <c r="DF362" s="59"/>
      <c r="DG362" s="59">
        <f>'Geographic Detail'!DG106</f>
        <v>276</v>
      </c>
      <c r="DH362" s="59">
        <f>'Geographic Detail'!DH106</f>
        <v>395</v>
      </c>
      <c r="DI362" s="59">
        <f>'Geographic Detail'!DI106</f>
        <v>402</v>
      </c>
      <c r="DJ362" s="59">
        <f>'Geographic Detail'!DJ106</f>
        <v>639</v>
      </c>
      <c r="DK362" s="168">
        <f>'Geographic Detail'!DK106</f>
        <v>1712</v>
      </c>
      <c r="DL362" s="59"/>
      <c r="DM362" s="59">
        <f>'Geographic Detail'!DM106</f>
        <v>331</v>
      </c>
      <c r="DN362" s="59">
        <f>'Geographic Detail'!DN106</f>
        <v>437</v>
      </c>
      <c r="DO362" s="59">
        <f>'Geographic Detail'!DO106</f>
        <v>453</v>
      </c>
      <c r="DP362" s="59">
        <f>'Geographic Detail'!DP106</f>
        <v>693</v>
      </c>
      <c r="DQ362" s="168">
        <f>'Geographic Detail'!DQ106</f>
        <v>1936</v>
      </c>
      <c r="DR362" s="59"/>
      <c r="DS362" s="59">
        <f>'Geographic Detail'!DS106</f>
        <v>357</v>
      </c>
      <c r="DT362" s="59">
        <f>'Geographic Detail'!DT106</f>
        <v>495</v>
      </c>
      <c r="DU362" s="59">
        <f>'Geographic Detail'!DU106</f>
        <v>437</v>
      </c>
      <c r="DV362" s="59">
        <f>'Geographic Detail'!DV106</f>
        <v>608</v>
      </c>
      <c r="DW362" s="168">
        <f>'Geographic Detail'!DW106</f>
        <v>2119.1086433867104</v>
      </c>
      <c r="DX362" s="59"/>
      <c r="DY362" s="59">
        <f>'Geographic Detail'!DY106</f>
        <v>339</v>
      </c>
      <c r="DZ362" s="59">
        <f>'Geographic Detail'!DZ106</f>
        <v>410</v>
      </c>
      <c r="EA362" s="59">
        <f>'Geographic Detail'!EA106</f>
        <v>498.3147809124896</v>
      </c>
      <c r="EB362" s="59">
        <f>'Geographic Detail'!EB106</f>
        <v>770.61067135585347</v>
      </c>
      <c r="EC362" s="168">
        <f>'Geographic Detail'!EC106</f>
        <v>2181.4072700069032</v>
      </c>
      <c r="ED362" s="59"/>
      <c r="EE362" s="59">
        <f>'Geographic Detail'!EE106</f>
        <v>404.6916247450194</v>
      </c>
      <c r="EF362" s="59">
        <f>'Geographic Detail'!EF106</f>
        <v>538.86737179626118</v>
      </c>
      <c r="EG362" s="59">
        <f>'Geographic Detail'!EG106</f>
        <v>501.41762352856108</v>
      </c>
      <c r="EH362" s="59">
        <f>'Geographic Detail'!EH106</f>
        <v>715.30233960406554</v>
      </c>
      <c r="EI362" s="168">
        <f>'Geographic Detail'!EI106</f>
        <v>2160.2789596739071</v>
      </c>
      <c r="EJ362" s="59"/>
      <c r="EK362" s="59">
        <f>'Geographic Detail'!EK106</f>
        <v>404.86685766424489</v>
      </c>
      <c r="EL362" s="59">
        <f>'Geographic Detail'!EL106</f>
        <v>516.63134725497218</v>
      </c>
      <c r="EM362" s="59">
        <f>'Geographic Detail'!EM106</f>
        <v>491.07504551051693</v>
      </c>
      <c r="EN362" s="59">
        <f>'Geographic Detail'!EN106</f>
        <v>699.65763544587003</v>
      </c>
      <c r="EO362" s="168">
        <f>'Geographic Detail'!EO106</f>
        <v>2112.2308858756041</v>
      </c>
      <c r="EP362" s="59"/>
      <c r="EQ362" s="59">
        <f>'Geographic Detail'!EQ106</f>
        <v>451.50496107316542</v>
      </c>
      <c r="ER362" s="59">
        <f>'Geographic Detail'!ER106</f>
        <v>537.24960560452791</v>
      </c>
      <c r="ES362" s="59">
        <f>'Geographic Detail'!ES106</f>
        <v>533.47793513701959</v>
      </c>
      <c r="ET362" s="59">
        <f>'Geographic Detail'!ET106</f>
        <v>773.17978103637552</v>
      </c>
      <c r="EU362" s="168">
        <f>'Geographic Detail'!EU106</f>
        <v>2295.4122828510881</v>
      </c>
      <c r="EV362" s="59"/>
      <c r="EW362" s="59">
        <f>'Geographic Detail'!EW106</f>
        <v>529.14395986461113</v>
      </c>
      <c r="EX362" s="59">
        <f>'Geographic Detail'!EX106</f>
        <v>614.58295455202358</v>
      </c>
      <c r="EY362" s="59">
        <f>'Geographic Detail'!EY106</f>
        <v>580.56438555508953</v>
      </c>
      <c r="EZ362" s="59">
        <f>'Geographic Detail'!EZ106</f>
        <v>786.67113746476605</v>
      </c>
      <c r="FA362" s="168">
        <f>'Geographic Detail'!FA106</f>
        <v>2510.9624374364903</v>
      </c>
      <c r="FB362" s="59"/>
      <c r="FC362" s="59">
        <f>'Geographic Detail'!FC106</f>
        <v>579.61135494161795</v>
      </c>
      <c r="FD362" s="59">
        <f>'Geographic Detail'!FD106</f>
        <v>661.72612213451066</v>
      </c>
      <c r="FE362" s="59">
        <f>'Geographic Detail'!FE106</f>
        <v>629.00503627347098</v>
      </c>
      <c r="FF362" s="59">
        <f>'Geographic Detail'!FF106</f>
        <v>828.462617613264</v>
      </c>
      <c r="FG362" s="168">
        <f>'Geographic Detail'!FG106</f>
        <v>2698.8051309628636</v>
      </c>
      <c r="FH362" s="59"/>
      <c r="FI362" s="59">
        <f>'Geographic Detail'!FI106</f>
        <v>644.28252920809769</v>
      </c>
      <c r="FJ362" s="59">
        <f>'Geographic Detail'!FJ106</f>
        <v>717.81030572897498</v>
      </c>
      <c r="FK362" s="59">
        <f>'Geographic Detail'!FK106</f>
        <v>681.78850620219976</v>
      </c>
      <c r="FL362" s="59">
        <f>'Geographic Detail'!FL106</f>
        <v>878.06892774022231</v>
      </c>
      <c r="FM362" s="168">
        <f>'Geographic Detail'!FM106</f>
        <v>2921.9502688794946</v>
      </c>
      <c r="FN362" s="27"/>
      <c r="FO362" s="27"/>
      <c r="FP362" s="27"/>
      <c r="FQ362" s="27"/>
      <c r="FR362" s="27"/>
      <c r="FS362" s="27"/>
      <c r="FT362" s="27"/>
      <c r="FU362" s="27"/>
      <c r="FV362" s="27"/>
      <c r="FW362" s="27"/>
      <c r="FX362" s="27"/>
      <c r="FY362" s="27"/>
      <c r="FZ362" s="27"/>
      <c r="GA362" s="27"/>
      <c r="GB362" s="27"/>
      <c r="GC362" s="27"/>
      <c r="GD362" s="27"/>
      <c r="GE362" s="27"/>
      <c r="GF362" s="27"/>
      <c r="GG362" s="27"/>
      <c r="GH362" s="27"/>
      <c r="GI362"/>
      <c r="GJ362"/>
      <c r="GK362"/>
      <c r="GL362"/>
      <c r="GM362"/>
      <c r="GN362"/>
      <c r="GO362" s="27"/>
      <c r="GP362"/>
      <c r="GQ362"/>
      <c r="GR362"/>
      <c r="GS362"/>
      <c r="GT362"/>
      <c r="GU362"/>
      <c r="GV362"/>
      <c r="GW362"/>
      <c r="GX362"/>
      <c r="GY362"/>
      <c r="GZ362"/>
      <c r="HA362"/>
      <c r="HB362"/>
      <c r="HC362"/>
      <c r="HD362"/>
      <c r="HE362"/>
      <c r="HF362"/>
      <c r="HG362"/>
      <c r="HH362"/>
      <c r="HI362"/>
      <c r="HJ362"/>
      <c r="HK362"/>
      <c r="HL362"/>
      <c r="HM362"/>
      <c r="HN362"/>
      <c r="HO362"/>
      <c r="HP362"/>
      <c r="HQ362"/>
      <c r="HR362"/>
      <c r="HS362"/>
      <c r="HT362"/>
      <c r="HU362"/>
      <c r="HV362"/>
      <c r="HW362"/>
      <c r="HX362"/>
      <c r="HY362"/>
      <c r="HZ362"/>
      <c r="IA362"/>
      <c r="IB362"/>
      <c r="IC362"/>
      <c r="ID362"/>
      <c r="IE362"/>
      <c r="IF362"/>
      <c r="IG362"/>
      <c r="IH362"/>
      <c r="II362"/>
      <c r="IJ362"/>
      <c r="IK362"/>
      <c r="IL362"/>
      <c r="IM362"/>
      <c r="IN362"/>
      <c r="IO362"/>
      <c r="IP362"/>
      <c r="IQ362"/>
      <c r="IR362"/>
      <c r="IS362"/>
      <c r="IT362"/>
      <c r="IU362"/>
      <c r="IV362"/>
      <c r="IW362"/>
      <c r="IX362"/>
      <c r="IY362"/>
      <c r="IZ362"/>
      <c r="JA362"/>
      <c r="JB362"/>
      <c r="JC362"/>
      <c r="JD362"/>
      <c r="JE362"/>
      <c r="JF362"/>
      <c r="JG362"/>
      <c r="JH362"/>
      <c r="JI362"/>
      <c r="JJ362"/>
      <c r="JK362"/>
      <c r="JL362"/>
      <c r="JM362"/>
      <c r="JN362"/>
      <c r="JO362"/>
      <c r="JP362"/>
      <c r="JQ362"/>
      <c r="JR362"/>
      <c r="JS362"/>
      <c r="JT362"/>
      <c r="JU362"/>
    </row>
    <row r="363" spans="1:281" s="28" customFormat="1" ht="4.5" hidden="1" customHeight="1" outlineLevel="1" x14ac:dyDescent="0.2">
      <c r="A363" s="305"/>
      <c r="B363" s="326"/>
      <c r="C363" s="305"/>
      <c r="D363" s="305"/>
      <c r="E363" s="305"/>
      <c r="F363" s="305"/>
      <c r="G363" s="305"/>
      <c r="H363" s="305"/>
      <c r="I363" s="305"/>
      <c r="J363" s="305"/>
      <c r="K363" s="305"/>
      <c r="L363" s="305"/>
      <c r="M363" s="305"/>
      <c r="N363" s="305"/>
      <c r="O363" s="305"/>
      <c r="P363" s="305"/>
      <c r="Q363" s="305"/>
      <c r="R363" s="305"/>
      <c r="S363" s="305"/>
      <c r="T363" s="305"/>
      <c r="U363" s="305"/>
      <c r="V363" s="305"/>
      <c r="W363" s="305"/>
      <c r="X363" s="305"/>
      <c r="Y363" s="305"/>
      <c r="Z363" s="305"/>
      <c r="AA363" s="305"/>
      <c r="AB363" s="305"/>
      <c r="AC363" s="305"/>
      <c r="AD363" s="305"/>
      <c r="AE363" s="305"/>
      <c r="AF363" s="305"/>
      <c r="AG363" s="305"/>
      <c r="AH363" s="305"/>
      <c r="AI363" s="305"/>
      <c r="AJ363" s="305"/>
      <c r="AK363" s="305"/>
      <c r="AL363" s="305"/>
      <c r="AM363" s="305"/>
      <c r="AN363" s="305"/>
      <c r="AO363" s="305"/>
      <c r="AP363" s="305"/>
      <c r="AQ363" s="305"/>
      <c r="AR363" s="305"/>
      <c r="AS363" s="305"/>
      <c r="AT363" s="305"/>
      <c r="AU363" s="305"/>
      <c r="AV363" s="305"/>
      <c r="AW363" s="305"/>
      <c r="AX363" s="305"/>
      <c r="AY363" s="305"/>
      <c r="AZ363" s="305"/>
      <c r="BA363" s="305"/>
      <c r="BB363" s="305"/>
      <c r="BC363" s="305"/>
      <c r="BD363" s="305"/>
      <c r="BE363" s="305"/>
      <c r="BF363" s="305"/>
      <c r="BG363" s="305"/>
      <c r="BH363" s="305"/>
      <c r="BI363" s="305"/>
      <c r="BJ363" s="305"/>
      <c r="BK363" s="305"/>
      <c r="BL363" s="305"/>
      <c r="BM363" s="305"/>
      <c r="BN363" s="305"/>
      <c r="BO363" s="305"/>
      <c r="BP363" s="305"/>
      <c r="BQ363" s="305"/>
      <c r="BR363" s="305"/>
      <c r="BS363" s="305"/>
      <c r="BT363" s="305"/>
      <c r="BU363" s="305"/>
      <c r="BV363" s="305"/>
      <c r="BW363" s="305"/>
      <c r="BX363" s="305"/>
      <c r="BY363" s="305"/>
      <c r="BZ363" s="305"/>
      <c r="CA363" s="305"/>
      <c r="CB363" s="305"/>
      <c r="CC363" s="305"/>
      <c r="CD363" s="305"/>
      <c r="CE363" s="305"/>
      <c r="CF363" s="305"/>
      <c r="CG363" s="327"/>
      <c r="CH363" s="305"/>
      <c r="CI363" s="305"/>
      <c r="CJ363" s="305"/>
      <c r="CK363" s="305"/>
      <c r="CL363" s="305"/>
      <c r="CM363" s="327"/>
      <c r="CN363" s="305"/>
      <c r="CO363" s="305"/>
      <c r="CP363" s="305"/>
      <c r="CQ363" s="305"/>
      <c r="CR363" s="305"/>
      <c r="CS363" s="327"/>
      <c r="CT363" s="305"/>
      <c r="CU363" s="305"/>
      <c r="CV363" s="305"/>
      <c r="CW363" s="305"/>
      <c r="CX363" s="305"/>
      <c r="CY363" s="327"/>
      <c r="CZ363" s="305"/>
      <c r="DA363" s="305"/>
      <c r="DB363" s="305"/>
      <c r="DC363" s="305"/>
      <c r="DD363" s="305"/>
      <c r="DE363" s="327"/>
      <c r="DF363" s="305"/>
      <c r="DG363" s="305"/>
      <c r="DH363" s="305"/>
      <c r="DI363" s="305"/>
      <c r="DJ363" s="305"/>
      <c r="DK363" s="327"/>
      <c r="DL363" s="305"/>
      <c r="DM363" s="305"/>
      <c r="DN363" s="305"/>
      <c r="DO363" s="305"/>
      <c r="DP363" s="305"/>
      <c r="DQ363" s="327"/>
      <c r="DR363" s="305"/>
      <c r="DS363" s="305"/>
      <c r="DT363" s="305"/>
      <c r="DU363" s="305"/>
      <c r="DV363" s="305"/>
      <c r="DW363" s="327"/>
      <c r="DX363" s="305"/>
      <c r="DY363" s="305"/>
      <c r="DZ363" s="305"/>
      <c r="EA363" s="305"/>
      <c r="EB363" s="305"/>
      <c r="EC363" s="327"/>
      <c r="ED363" s="305"/>
      <c r="EE363" s="305"/>
      <c r="EF363" s="305"/>
      <c r="EG363" s="305"/>
      <c r="EH363" s="305"/>
      <c r="EI363" s="327"/>
      <c r="EJ363" s="305"/>
      <c r="EK363" s="305"/>
      <c r="EL363" s="305"/>
      <c r="EM363" s="305"/>
      <c r="EN363" s="305"/>
      <c r="EO363" s="327"/>
      <c r="EP363" s="305"/>
      <c r="EQ363" s="305"/>
      <c r="ER363" s="305"/>
      <c r="ES363" s="305"/>
      <c r="ET363" s="305"/>
      <c r="EU363" s="327"/>
      <c r="EV363" s="305"/>
      <c r="EW363" s="305"/>
      <c r="EX363" s="305"/>
      <c r="EY363" s="305"/>
      <c r="EZ363" s="305"/>
      <c r="FA363" s="327"/>
      <c r="FB363" s="305"/>
      <c r="FC363" s="305"/>
      <c r="FD363" s="305"/>
      <c r="FE363" s="305"/>
      <c r="FF363" s="305"/>
      <c r="FG363" s="327"/>
      <c r="FH363" s="305"/>
      <c r="FI363" s="305"/>
      <c r="FJ363" s="305"/>
      <c r="FK363" s="305"/>
      <c r="FL363" s="305"/>
      <c r="FM363" s="327"/>
      <c r="GI363"/>
      <c r="GJ363"/>
      <c r="GK363"/>
      <c r="GL363"/>
      <c r="GM363"/>
      <c r="GN363"/>
      <c r="GP363"/>
      <c r="GQ363"/>
      <c r="GR363"/>
      <c r="GS363"/>
      <c r="GT363"/>
      <c r="GU363"/>
      <c r="GV363"/>
      <c r="GW363"/>
      <c r="GX363"/>
      <c r="GY363"/>
      <c r="GZ363"/>
      <c r="HA363"/>
      <c r="HB363"/>
      <c r="HC363"/>
      <c r="HD363"/>
      <c r="HE363"/>
      <c r="HF363"/>
      <c r="HG363"/>
      <c r="HH363"/>
      <c r="HI363"/>
      <c r="HJ363"/>
      <c r="HK363"/>
      <c r="HL363"/>
      <c r="HM363"/>
      <c r="HN363"/>
      <c r="HO363"/>
      <c r="HP363"/>
      <c r="HQ363"/>
      <c r="HR363"/>
      <c r="HS363"/>
      <c r="HT363"/>
      <c r="HU363"/>
      <c r="HV363"/>
      <c r="HW363"/>
      <c r="HX363"/>
      <c r="HY363"/>
      <c r="HZ363"/>
      <c r="IA363"/>
      <c r="IB363"/>
      <c r="IC363"/>
      <c r="ID363"/>
      <c r="IE363"/>
      <c r="IF363"/>
      <c r="IG363"/>
      <c r="IH363"/>
      <c r="II363"/>
      <c r="IJ363"/>
      <c r="IK363"/>
      <c r="IL363"/>
      <c r="IM363"/>
      <c r="IN363"/>
      <c r="IO363"/>
      <c r="IP363"/>
      <c r="IQ363"/>
      <c r="IR363"/>
      <c r="IS363"/>
      <c r="IT363"/>
      <c r="IU363"/>
      <c r="IV363"/>
      <c r="IW363"/>
      <c r="IX363"/>
      <c r="IY363"/>
      <c r="IZ363"/>
      <c r="JA363"/>
      <c r="JB363"/>
      <c r="JC363"/>
      <c r="JD363"/>
      <c r="JE363"/>
      <c r="JF363"/>
      <c r="JG363"/>
      <c r="JH363"/>
      <c r="JI363"/>
      <c r="JJ363"/>
      <c r="JK363"/>
      <c r="JL363"/>
      <c r="JM363"/>
      <c r="JN363"/>
      <c r="JO363"/>
      <c r="JP363"/>
      <c r="JQ363"/>
      <c r="JR363"/>
      <c r="JS363"/>
      <c r="JT363"/>
      <c r="JU363"/>
    </row>
    <row r="364" spans="1:281" s="24" customFormat="1" hidden="1" outlineLevel="1" x14ac:dyDescent="0.2">
      <c r="A364" s="244" t="s">
        <v>221</v>
      </c>
      <c r="B364" s="954" t="s">
        <v>716</v>
      </c>
      <c r="C364" s="244">
        <f t="shared" ref="C364:M364" si="248">C14</f>
        <v>12.715</v>
      </c>
      <c r="D364" s="244">
        <f t="shared" si="248"/>
        <v>23.150999999999996</v>
      </c>
      <c r="E364" s="244">
        <f t="shared" si="248"/>
        <v>55.344999999999999</v>
      </c>
      <c r="F364" s="244">
        <f t="shared" si="248"/>
        <v>131.249</v>
      </c>
      <c r="G364" s="244">
        <f t="shared" si="248"/>
        <v>205.435</v>
      </c>
      <c r="H364" s="244">
        <f t="shared" si="248"/>
        <v>417.93</v>
      </c>
      <c r="I364" s="244">
        <f t="shared" si="248"/>
        <v>664.56399999999996</v>
      </c>
      <c r="J364" s="244">
        <f t="shared" si="248"/>
        <v>645.48500000000001</v>
      </c>
      <c r="K364" s="244">
        <f t="shared" si="248"/>
        <v>657</v>
      </c>
      <c r="L364" s="244">
        <f t="shared" si="248"/>
        <v>806</v>
      </c>
      <c r="M364" s="244">
        <f t="shared" si="248"/>
        <v>1099</v>
      </c>
      <c r="N364" s="244"/>
      <c r="O364" s="59" t="s">
        <v>945</v>
      </c>
      <c r="P364" s="59" t="s">
        <v>945</v>
      </c>
      <c r="Q364" s="59" t="s">
        <v>945</v>
      </c>
      <c r="R364" s="244">
        <f>R14+Q14+P14+O14</f>
        <v>1606</v>
      </c>
      <c r="S364" s="244">
        <f>S14</f>
        <v>1606</v>
      </c>
      <c r="T364" s="244"/>
      <c r="U364" s="244">
        <f>U14+R14+Q14+P14</f>
        <v>1676</v>
      </c>
      <c r="V364" s="244">
        <f>V14+U14+R14+Q14</f>
        <v>1818.09</v>
      </c>
      <c r="W364" s="244">
        <f>W14+V14+U14+R14</f>
        <v>1958.09</v>
      </c>
      <c r="X364" s="244">
        <f>X14+W14+V14+U14</f>
        <v>2233.09</v>
      </c>
      <c r="Y364" s="244">
        <f>X364</f>
        <v>2233.09</v>
      </c>
      <c r="Z364" s="244"/>
      <c r="AA364" s="244">
        <f>AA14+X14+W14+V14</f>
        <v>2327.4070000000002</v>
      </c>
      <c r="AB364" s="244">
        <f>AB14+AA14+X14+W14</f>
        <v>2448.7640000000001</v>
      </c>
      <c r="AC364" s="244">
        <f>AC14+AB14+AA14+X14</f>
        <v>2598.0209999999997</v>
      </c>
      <c r="AD364" s="244">
        <f>AD14+AC14+AB14+AA14</f>
        <v>2822.4500000000003</v>
      </c>
      <c r="AE364" s="244">
        <f>AD364</f>
        <v>2822.4500000000003</v>
      </c>
      <c r="AF364" s="244"/>
      <c r="AG364" s="244">
        <f>AG14+AD14+AC14+AB14</f>
        <v>2883.509</v>
      </c>
      <c r="AH364" s="244">
        <f>AH14+AG14+AD14+AC14</f>
        <v>2898.23</v>
      </c>
      <c r="AI364" s="244">
        <f>AI14+AH14+AG14+AD14</f>
        <v>2987.1660000000002</v>
      </c>
      <c r="AJ364" s="244">
        <f>AJ14+AI14+AH14+AG14</f>
        <v>3089.0599999999995</v>
      </c>
      <c r="AK364" s="244">
        <f>AJ364</f>
        <v>3089.0599999999995</v>
      </c>
      <c r="AL364" s="244"/>
      <c r="AM364" s="244">
        <f>AM14+AJ14+AI14+AH14</f>
        <v>3141.297</v>
      </c>
      <c r="AN364" s="244">
        <f>AN14+AM14+AJ14+AI14</f>
        <v>3265.3760000000002</v>
      </c>
      <c r="AO364" s="244">
        <f>AO14+AN14+AM14+AJ14</f>
        <v>3316.79</v>
      </c>
      <c r="AP364" s="244">
        <f>AP14+AO14+AN14+AM14</f>
        <v>3590.8680000000004</v>
      </c>
      <c r="AQ364" s="244">
        <f>AP364</f>
        <v>3590.8680000000004</v>
      </c>
      <c r="AR364" s="244"/>
      <c r="AS364" s="244">
        <f>AS14+AP14+AO14+AN14</f>
        <v>3635.9009999999998</v>
      </c>
      <c r="AT364" s="244">
        <f>AT14+AS14+AP14+AO14</f>
        <v>3767.8249999999998</v>
      </c>
      <c r="AU364" s="244">
        <f>AU14+AT14+AS14+AP14</f>
        <v>4006.424</v>
      </c>
      <c r="AV364" s="244">
        <f>AV14+AU14+AT14+AS14</f>
        <v>4315.0289999999995</v>
      </c>
      <c r="AW364" s="244">
        <f>AV364</f>
        <v>4315.0289999999995</v>
      </c>
      <c r="AX364" s="244"/>
      <c r="AY364" s="244">
        <f>AY14+AV14+AU14+AT14</f>
        <v>4483.6280000000006</v>
      </c>
      <c r="AZ364" s="244">
        <f>AZ14+AY14+AV14+AU14</f>
        <v>4699.6500000000005</v>
      </c>
      <c r="BA364" s="244">
        <f>BA14+AZ14+AY14+AV14</f>
        <v>4757.4090000000006</v>
      </c>
      <c r="BB364" s="244">
        <f>BB14+BA14+AZ14+AY14</f>
        <v>4583.8829999999998</v>
      </c>
      <c r="BC364" s="244">
        <f>BB364</f>
        <v>4583.8829999999998</v>
      </c>
      <c r="BD364" s="244"/>
      <c r="BE364" s="244">
        <f>BE14+BB14+BA14+AZ14</f>
        <v>4523.7460000000001</v>
      </c>
      <c r="BF364" s="244">
        <f>BF14+BE14+BB14+BA14</f>
        <v>4233.9440000000004</v>
      </c>
      <c r="BG364" s="244">
        <f>BG14+BF14+BE14+BB14</f>
        <v>3909.9320000000002</v>
      </c>
      <c r="BH364" s="244">
        <f>BH14+BG14+BF14+BE14</f>
        <v>3441.4300000000003</v>
      </c>
      <c r="BI364" s="244">
        <f>BH364</f>
        <v>3441.4300000000003</v>
      </c>
      <c r="BJ364" s="244"/>
      <c r="BK364" s="244">
        <f>BK14+BH14+BG14+BF14</f>
        <v>3293.3220000000001</v>
      </c>
      <c r="BL364" s="244">
        <f>BL14+BK14+BH14+BG14</f>
        <v>3254.931</v>
      </c>
      <c r="BM364" s="244">
        <f>BM14+BL14+BK14+BH14</f>
        <v>3232.9780000000001</v>
      </c>
      <c r="BN364" s="244">
        <f>BN14+BM14+BL14+BK14</f>
        <v>3270</v>
      </c>
      <c r="BO364" s="244">
        <f>BN364</f>
        <v>3270</v>
      </c>
      <c r="BP364" s="244"/>
      <c r="BQ364" s="244">
        <f>BQ14+BN14+BM14+BL14</f>
        <v>3232</v>
      </c>
      <c r="BR364" s="244">
        <f>BR14+BQ14+BN14+BM14</f>
        <v>3322</v>
      </c>
      <c r="BS364" s="244">
        <f>BS14+BR14+BQ14+BN14</f>
        <v>3414</v>
      </c>
      <c r="BT364" s="244">
        <f>BT14+BS14+BR14+BQ14</f>
        <v>3541</v>
      </c>
      <c r="BU364" s="244">
        <f>BT364</f>
        <v>3541</v>
      </c>
      <c r="BV364" s="244"/>
      <c r="BW364" s="244">
        <f>BW14+BT14+BS14+BR14</f>
        <v>3579</v>
      </c>
      <c r="BX364" s="244">
        <f>BX14+BW14+BT14+BS14</f>
        <v>3695</v>
      </c>
      <c r="BY364" s="244">
        <f>BY14+BX14+BW14+BT14</f>
        <v>3795</v>
      </c>
      <c r="BZ364" s="244">
        <f>BZ14+BY14+BX14+BW14</f>
        <v>4090</v>
      </c>
      <c r="CA364" s="244">
        <f>BZ364</f>
        <v>4090</v>
      </c>
      <c r="CB364" s="244"/>
      <c r="CC364" s="244">
        <f>CC14+BZ14+BY14+BX14</f>
        <v>4156</v>
      </c>
      <c r="CD364" s="244">
        <f>CD14+CC14+BZ14+BY14</f>
        <v>4243</v>
      </c>
      <c r="CE364" s="244">
        <f>CE14+CD14+CC14+BZ14</f>
        <v>4392.3999999999996</v>
      </c>
      <c r="CF364" s="244">
        <f>CF14+CE14+CD14+CC14</f>
        <v>4904.3999999999996</v>
      </c>
      <c r="CG364" s="171">
        <f>CF364</f>
        <v>4904.3999999999996</v>
      </c>
      <c r="CH364" s="244"/>
      <c r="CI364" s="244">
        <f>CI14+CF14+CE14+CD14</f>
        <v>5079.3999999999996</v>
      </c>
      <c r="CJ364" s="244">
        <f>CJ14+CI14+CF14+CE14</f>
        <v>5228.3999999999996</v>
      </c>
      <c r="CK364" s="244">
        <f>CK14+CJ14+CI14+CF14</f>
        <v>5522</v>
      </c>
      <c r="CL364" s="244">
        <f>CL14+CK14+CJ14+CI14</f>
        <v>5882</v>
      </c>
      <c r="CM364" s="171">
        <f>CL364</f>
        <v>5882</v>
      </c>
      <c r="CN364" s="244"/>
      <c r="CO364" s="244">
        <f>CO14+CL14+CK14+CJ14</f>
        <v>6165</v>
      </c>
      <c r="CP364" s="244">
        <f>CP14+CO14+CL14+CK14</f>
        <v>6626</v>
      </c>
      <c r="CQ364" s="244">
        <f>CQ14+CP14+CO14+CL14</f>
        <v>6852</v>
      </c>
      <c r="CR364" s="244">
        <f>CR14+CQ14+CP14+CO14</f>
        <v>7515</v>
      </c>
      <c r="CS364" s="171">
        <f>CR364</f>
        <v>7515</v>
      </c>
      <c r="CT364" s="244"/>
      <c r="CU364" s="244">
        <f>CU14+CR14+CQ14+CP14</f>
        <v>7663</v>
      </c>
      <c r="CV364" s="244">
        <f>CV14+CU14+CR14+CQ14</f>
        <v>7621</v>
      </c>
      <c r="CW364" s="244">
        <f>CW14+CV14+CU14+CR14</f>
        <v>7521</v>
      </c>
      <c r="CX364" s="244">
        <f>CX14+CW14+CV14+CU14</f>
        <v>7121</v>
      </c>
      <c r="CY364" s="171">
        <f>CX364</f>
        <v>7121</v>
      </c>
      <c r="CZ364" s="244"/>
      <c r="DA364" s="244">
        <f>DA14+CX14+CW14+CV14</f>
        <v>6914</v>
      </c>
      <c r="DB364" s="244">
        <f>DB14+DA14+CX14+CW14</f>
        <v>6941</v>
      </c>
      <c r="DC364" s="244">
        <f>DC14+DB14+DA14+CX14</f>
        <v>7143.4</v>
      </c>
      <c r="DD364" s="244">
        <f>DD14+DC14+DB14+DA14</f>
        <v>7534.4</v>
      </c>
      <c r="DE364" s="171">
        <f>DD364</f>
        <v>7534.4</v>
      </c>
      <c r="DF364" s="244"/>
      <c r="DG364" s="244">
        <f>DG14+DD14+DC14+DB14</f>
        <v>7792.4</v>
      </c>
      <c r="DH364" s="244">
        <f>DH14+DG14+DD14+DC14</f>
        <v>8138.4</v>
      </c>
      <c r="DI364" s="244">
        <f>DI14+DH14+DG14+DD14</f>
        <v>8634</v>
      </c>
      <c r="DJ364" s="244">
        <f>DJ14+DI14+DH14+DG14</f>
        <v>9235</v>
      </c>
      <c r="DK364" s="171">
        <f>DJ364</f>
        <v>9235</v>
      </c>
      <c r="DL364" s="244"/>
      <c r="DM364" s="244">
        <f>DM14+DJ14+DI14+DH14</f>
        <v>9447</v>
      </c>
      <c r="DN364" s="244">
        <f>DN14+DM14+DJ14+DI14</f>
        <v>9496</v>
      </c>
      <c r="DO364" s="244">
        <f>DO14+DN14+DM14+DJ14</f>
        <v>9656</v>
      </c>
      <c r="DP364" s="244">
        <f>DP14+DO14+DN14+DM14</f>
        <v>9927</v>
      </c>
      <c r="DQ364" s="171">
        <f>DP364</f>
        <v>9927</v>
      </c>
      <c r="DR364" s="244"/>
      <c r="DS364" s="244">
        <f>DS14+DP14+DO14+DN14</f>
        <v>10141</v>
      </c>
      <c r="DT364" s="244">
        <f>DT14+DS14+DP14+DO14</f>
        <v>10608</v>
      </c>
      <c r="DU364" s="244">
        <f>DU14+DT14+DS14+DP14</f>
        <v>10682</v>
      </c>
      <c r="DV364" s="244">
        <f>DV14+DU14+DT14+DS14</f>
        <v>10822</v>
      </c>
      <c r="DW364" s="171">
        <f>DV364</f>
        <v>10822</v>
      </c>
      <c r="DX364" s="244"/>
      <c r="DY364" s="244">
        <f>DY14+DV14+DU14+DT14</f>
        <v>10875</v>
      </c>
      <c r="DZ364" s="244">
        <f>DZ14+DY14+DV14+DU14</f>
        <v>10840</v>
      </c>
      <c r="EA364" s="244">
        <f>EA14+DZ14+DY14+DV14</f>
        <v>10933</v>
      </c>
      <c r="EB364" s="244">
        <f>EB14+EA14+DZ14+DY14</f>
        <v>11010</v>
      </c>
      <c r="EC364" s="171">
        <f>EB364</f>
        <v>11010</v>
      </c>
      <c r="ED364" s="244"/>
      <c r="EE364" s="244">
        <f>EE14+EB14+EA14+DZ14</f>
        <v>11092</v>
      </c>
      <c r="EF364" s="244">
        <f>EF14+EE14+EB14+EA14</f>
        <v>11176</v>
      </c>
      <c r="EG364" s="244">
        <f>EG14+EF14+EE14+EB14</f>
        <v>11147</v>
      </c>
      <c r="EH364" s="244">
        <f>EH14+EG14+EF14+EE14</f>
        <v>10640</v>
      </c>
      <c r="EI364" s="171">
        <f>EH364</f>
        <v>10640</v>
      </c>
      <c r="EJ364" s="244"/>
      <c r="EK364" s="244">
        <f>EK14+EH14+EG14+EF14</f>
        <v>10556</v>
      </c>
      <c r="EL364" s="244">
        <f>EL14+EK14+EH14+EG14</f>
        <v>10321</v>
      </c>
      <c r="EM364" s="244">
        <f>EM14+EL14+EK14+EH14</f>
        <v>10226</v>
      </c>
      <c r="EN364" s="244">
        <f>EN14+EM14+EL14+EK14</f>
        <v>10135</v>
      </c>
      <c r="EO364" s="171">
        <f>EN364</f>
        <v>10135</v>
      </c>
      <c r="EP364" s="244"/>
      <c r="EQ364" s="244">
        <f>EQ14+EN14+EM14+EL14</f>
        <v>10388</v>
      </c>
      <c r="ER364" s="244">
        <f>ER14+EQ14+EN14+EM14</f>
        <v>10493</v>
      </c>
      <c r="ES364" s="244">
        <f>ES14+ER14+EQ14+EN14</f>
        <v>10748</v>
      </c>
      <c r="ET364" s="244">
        <f>ET14+ES14+ER14+EQ14</f>
        <v>11158</v>
      </c>
      <c r="EU364" s="171">
        <f>ET364</f>
        <v>11158</v>
      </c>
      <c r="EV364" s="244"/>
      <c r="EW364" s="244">
        <f>EW14+ET14+ES14+ER14</f>
        <v>11600</v>
      </c>
      <c r="EX364" s="244">
        <f>EX14+EW14+ET14+ES14</f>
        <v>12047</v>
      </c>
      <c r="EY364" s="244">
        <f>EY14+EX14+EW14+ET14</f>
        <v>12334</v>
      </c>
      <c r="EZ364" s="244">
        <f>EZ14+EY14+EX14+EW14</f>
        <v>12445.915000000001</v>
      </c>
      <c r="FA364" s="171">
        <f>EZ364</f>
        <v>12445.915000000001</v>
      </c>
      <c r="FB364" s="244"/>
      <c r="FC364" s="244">
        <f>FC14+EZ14+EY14+EX14</f>
        <v>12750.361800000001</v>
      </c>
      <c r="FD364" s="244">
        <f>FD14+FC14+EZ14+EY14</f>
        <v>13053.0818</v>
      </c>
      <c r="FE364" s="244">
        <f>FE14+FD14+FC14+EZ14</f>
        <v>13369.756799999999</v>
      </c>
      <c r="FF364" s="244">
        <f>FF14+FE14+FD14+FC14</f>
        <v>13601.702500000001</v>
      </c>
      <c r="FG364" s="171">
        <f>FF364</f>
        <v>13601.702500000001</v>
      </c>
      <c r="FH364" s="244"/>
      <c r="FI364" s="244">
        <f>FI14+FF14+FE14+FD14</f>
        <v>13952.973520000003</v>
      </c>
      <c r="FJ364" s="244">
        <f>FJ14+FI14+FF14+FE14</f>
        <v>14291.218919999999</v>
      </c>
      <c r="FK364" s="244">
        <f>FK14+FJ14+FI14+FF14</f>
        <v>14629.210470000002</v>
      </c>
      <c r="FL364" s="244">
        <f>FL14+FK14+FJ14+FI14</f>
        <v>14906.197976000001</v>
      </c>
      <c r="FM364" s="171">
        <f>FL364</f>
        <v>14906.197976000001</v>
      </c>
      <c r="FN364" s="27"/>
      <c r="FO364" s="27"/>
      <c r="FP364" s="27"/>
      <c r="FQ364" s="27"/>
      <c r="FR364" s="27"/>
      <c r="FS364" s="27"/>
      <c r="FT364" s="27"/>
      <c r="FU364" s="27"/>
      <c r="FV364" s="27"/>
      <c r="FW364" s="27"/>
      <c r="FX364" s="27"/>
      <c r="FY364" s="27"/>
      <c r="FZ364" s="27"/>
      <c r="GA364" s="27"/>
      <c r="GB364" s="27"/>
      <c r="GC364" s="27"/>
      <c r="GD364" s="27"/>
      <c r="GE364" s="27"/>
      <c r="GF364" s="27"/>
      <c r="GG364" s="27"/>
      <c r="GH364" s="27"/>
      <c r="GI364"/>
      <c r="GJ364"/>
      <c r="GK364"/>
      <c r="GL364"/>
      <c r="GM364"/>
      <c r="GN364"/>
      <c r="GO364" s="27"/>
      <c r="GP364"/>
      <c r="GQ364"/>
      <c r="GR364"/>
      <c r="GS364"/>
      <c r="GT364"/>
      <c r="GU364"/>
      <c r="GV364"/>
      <c r="GW364"/>
      <c r="GX364"/>
      <c r="GY364"/>
      <c r="GZ364"/>
      <c r="HA364"/>
      <c r="HB364"/>
      <c r="HC364"/>
      <c r="HD364"/>
      <c r="HE364"/>
      <c r="HF364"/>
      <c r="HG364"/>
      <c r="HH364"/>
      <c r="HI364"/>
      <c r="HJ364"/>
      <c r="HK364"/>
      <c r="HL364"/>
      <c r="HM364"/>
      <c r="HN364"/>
      <c r="HO364"/>
      <c r="HP364"/>
      <c r="HQ364"/>
      <c r="HR364"/>
      <c r="HS364"/>
      <c r="HT364"/>
      <c r="HU364"/>
      <c r="HV364"/>
      <c r="HW364"/>
      <c r="HX364"/>
      <c r="HY364"/>
      <c r="HZ364"/>
      <c r="IA364"/>
      <c r="IB364"/>
      <c r="IC364"/>
      <c r="ID364"/>
      <c r="IE364"/>
      <c r="IF364"/>
      <c r="IG364"/>
      <c r="IH364"/>
      <c r="II364"/>
      <c r="IJ364"/>
      <c r="IK364"/>
      <c r="IL364"/>
      <c r="IM364"/>
      <c r="IN364"/>
      <c r="IO364"/>
      <c r="IP364"/>
      <c r="IQ364"/>
      <c r="IR364"/>
      <c r="IS364"/>
      <c r="IT364"/>
      <c r="IU364"/>
      <c r="IV364"/>
      <c r="IW364"/>
      <c r="IX364"/>
      <c r="IY364"/>
      <c r="IZ364"/>
      <c r="JA364"/>
      <c r="JB364"/>
      <c r="JC364"/>
      <c r="JD364"/>
      <c r="JE364"/>
      <c r="JF364"/>
      <c r="JG364"/>
      <c r="JH364"/>
      <c r="JI364"/>
      <c r="JJ364"/>
      <c r="JK364"/>
      <c r="JL364"/>
      <c r="JM364"/>
      <c r="JN364"/>
      <c r="JO364"/>
      <c r="JP364"/>
      <c r="JQ364"/>
      <c r="JR364"/>
      <c r="JS364"/>
      <c r="JT364"/>
      <c r="JU364"/>
    </row>
    <row r="365" spans="1:281" s="24" customFormat="1" hidden="1" outlineLevel="1" x14ac:dyDescent="0.2">
      <c r="A365" s="244" t="s">
        <v>717</v>
      </c>
      <c r="B365" s="954" t="s">
        <v>718</v>
      </c>
      <c r="C365" s="244">
        <f t="shared" ref="C365:M365" si="249">C91</f>
        <v>12.715</v>
      </c>
      <c r="D365" s="244">
        <f t="shared" si="249"/>
        <v>23.150999999999996</v>
      </c>
      <c r="E365" s="244">
        <f t="shared" si="249"/>
        <v>55.344999999999999</v>
      </c>
      <c r="F365" s="244">
        <f t="shared" si="249"/>
        <v>131.249</v>
      </c>
      <c r="G365" s="244">
        <f t="shared" si="249"/>
        <v>282.113</v>
      </c>
      <c r="H365" s="244">
        <f t="shared" si="249"/>
        <v>583.79999999999995</v>
      </c>
      <c r="I365" s="244">
        <f t="shared" si="249"/>
        <v>916.39</v>
      </c>
      <c r="J365" s="244">
        <f t="shared" si="249"/>
        <v>1027.9490000000001</v>
      </c>
      <c r="K365" s="244">
        <f t="shared" si="249"/>
        <v>1179</v>
      </c>
      <c r="L365" s="244">
        <f t="shared" si="249"/>
        <v>1503</v>
      </c>
      <c r="M365" s="244">
        <f t="shared" si="249"/>
        <v>2001.1469999999999</v>
      </c>
      <c r="N365" s="244"/>
      <c r="O365" s="59" t="s">
        <v>945</v>
      </c>
      <c r="P365" s="59" t="s">
        <v>945</v>
      </c>
      <c r="Q365" s="59" t="s">
        <v>945</v>
      </c>
      <c r="R365" s="244">
        <f>R91+Q91+P91+O91</f>
        <v>2966.8780000000002</v>
      </c>
      <c r="S365" s="244">
        <f>S91</f>
        <v>2966.8779999999997</v>
      </c>
      <c r="T365" s="244"/>
      <c r="U365" s="244">
        <f>U91+R91+Q91+P91</f>
        <v>3182.2070000000003</v>
      </c>
      <c r="V365" s="244">
        <f>V91+U91+R91+Q91</f>
        <v>3478.9269999999997</v>
      </c>
      <c r="W365" s="244">
        <f>W91+V91+U91+R91</f>
        <v>3776.9209999999998</v>
      </c>
      <c r="X365" s="244">
        <f>X91+W91+V91+U91</f>
        <v>4223.116</v>
      </c>
      <c r="Y365" s="244">
        <f>X365</f>
        <v>4223.116</v>
      </c>
      <c r="Z365" s="244"/>
      <c r="AA365" s="244">
        <f>AA91+X91+W91+V91</f>
        <v>4503.6319999999996</v>
      </c>
      <c r="AB365" s="244">
        <f>AB91+AA91+X91+W91</f>
        <v>4848.0049999999992</v>
      </c>
      <c r="AC365" s="244">
        <f>AC91+AB91+AA91+X91</f>
        <v>5200.3789999999999</v>
      </c>
      <c r="AD365" s="244">
        <f>AD91+AC91+AB91+AA91</f>
        <v>5684.3359999999993</v>
      </c>
      <c r="AE365" s="244">
        <f>AD365</f>
        <v>5684.3359999999993</v>
      </c>
      <c r="AF365" s="244"/>
      <c r="AG365" s="244">
        <f>AG91+AD91+AC91+AB91</f>
        <v>6000.8449999999993</v>
      </c>
      <c r="AH365" s="244">
        <f>AH91+AG91+AD91+AC91</f>
        <v>6303.1989999999987</v>
      </c>
      <c r="AI365" s="244">
        <f>AI91+AH91+AG91+AD91</f>
        <v>6679.3429999999998</v>
      </c>
      <c r="AJ365" s="244">
        <f>AJ91+AI91+AH91+AG91</f>
        <v>7143.8649999999998</v>
      </c>
      <c r="AK365" s="244">
        <f>AJ365</f>
        <v>7143.8649999999998</v>
      </c>
      <c r="AL365" s="244"/>
      <c r="AM365" s="244">
        <f>AM91+AJ91+AI91+AH91</f>
        <v>7524.1469999999999</v>
      </c>
      <c r="AN365" s="244">
        <f>AN91+AM91+AJ91+AI91</f>
        <v>7966.3639999999996</v>
      </c>
      <c r="AO365" s="244">
        <f>AO91+AN91+AM91+AJ91</f>
        <v>8296.527</v>
      </c>
      <c r="AP365" s="244">
        <f>AP91+AO91+AN91+AM91</f>
        <v>8827.2520000000004</v>
      </c>
      <c r="AQ365" s="244">
        <f>AP365</f>
        <v>8827.2520000000004</v>
      </c>
      <c r="AR365" s="244"/>
      <c r="AS365" s="244">
        <f>AS91+AP91+AO91+AN91</f>
        <v>9062.6589999999997</v>
      </c>
      <c r="AT365" s="244">
        <f>AT91+AS91+AP91+AO91</f>
        <v>9328.598</v>
      </c>
      <c r="AU365" s="244">
        <f>AU91+AT91+AS91+AP91</f>
        <v>9699.0959999999995</v>
      </c>
      <c r="AV365" s="244">
        <f>AV91+AU91+AT91+AS91</f>
        <v>10130.128000000001</v>
      </c>
      <c r="AW365" s="244">
        <f>AV365</f>
        <v>10130.128000000001</v>
      </c>
      <c r="AX365" s="244"/>
      <c r="AY365" s="244">
        <f>AY91+AV91+AU91+AT91</f>
        <v>10433.602999999999</v>
      </c>
      <c r="AZ365" s="244">
        <f>AZ91+AY91+AV91+AU91</f>
        <v>10798.127999999999</v>
      </c>
      <c r="BA365" s="244">
        <f>BA91+AZ91+AY91+AV91</f>
        <v>11044.772000000001</v>
      </c>
      <c r="BB365" s="244">
        <f>BB91+BA91+AZ91+AY91</f>
        <v>10960.691999999999</v>
      </c>
      <c r="BC365" s="244">
        <f>BB365</f>
        <v>10960.691999999999</v>
      </c>
      <c r="BD365" s="244"/>
      <c r="BE365" s="244">
        <f>BE91+BB91+BA91+AZ91</f>
        <v>10937.754999999999</v>
      </c>
      <c r="BF365" s="244">
        <f>BF91+BE91+BB91+BA91</f>
        <v>10631.784</v>
      </c>
      <c r="BG365" s="244">
        <f>BG91+BF91+BE91+BB91</f>
        <v>10189.041999999999</v>
      </c>
      <c r="BH365" s="244">
        <f>BH91+BG91+BF91+BE91</f>
        <v>9672.7929999999997</v>
      </c>
      <c r="BI365" s="244">
        <f>BH365</f>
        <v>9672.7929999999997</v>
      </c>
      <c r="BJ365" s="244"/>
      <c r="BK365" s="244">
        <f>BK91+BH91+BG91+BF91</f>
        <v>9435.7379999999994</v>
      </c>
      <c r="BL365" s="244">
        <f>BL91+BK91+BH91+BG91</f>
        <v>9364.3009999999995</v>
      </c>
      <c r="BM365" s="244">
        <f>BM91+BL91+BK91+BH91</f>
        <v>9417.9809999999998</v>
      </c>
      <c r="BN365" s="244">
        <f>BN91+BM91+BL91+BK91</f>
        <v>9475.4</v>
      </c>
      <c r="BO365" s="244">
        <f>BN365</f>
        <v>9475.4</v>
      </c>
      <c r="BP365" s="244"/>
      <c r="BQ365" s="244">
        <f>BQ91+BN91+BM91+BL91</f>
        <v>9519.4</v>
      </c>
      <c r="BR365" s="244">
        <f>BR91+BQ91+BN91+BM91</f>
        <v>9708.4</v>
      </c>
      <c r="BS365" s="244">
        <f>BS91+BR91+BQ91+BN91</f>
        <v>9910.4</v>
      </c>
      <c r="BT365" s="244">
        <f>BT91+BS91+BR91+BQ91</f>
        <v>10156</v>
      </c>
      <c r="BU365" s="244">
        <f>BT365</f>
        <v>10156</v>
      </c>
      <c r="BV365" s="244"/>
      <c r="BW365" s="244">
        <f>BW91+BT91+BS91+BR91</f>
        <v>10299</v>
      </c>
      <c r="BX365" s="244">
        <f>BX91+BW91+BT91+BS91</f>
        <v>10557</v>
      </c>
      <c r="BY365" s="244">
        <f>BY91+BX91+BW91+BT91</f>
        <v>11141</v>
      </c>
      <c r="BZ365" s="244">
        <f>BZ91+BY91+BX91+BW91</f>
        <v>12119</v>
      </c>
      <c r="CA365" s="244">
        <f>BZ365</f>
        <v>12119</v>
      </c>
      <c r="CB365" s="244"/>
      <c r="CC365" s="244">
        <f>CC91+BZ91+BY91+BX91</f>
        <v>12811</v>
      </c>
      <c r="CD365" s="244">
        <f>CD91+CC91+BZ91+BY91</f>
        <v>13449</v>
      </c>
      <c r="CE365" s="244">
        <f>CE91+CD91+CC91+BZ91</f>
        <v>13890.4</v>
      </c>
      <c r="CF365" s="244">
        <f>CF91+CE91+CD91+CC91</f>
        <v>14772.4</v>
      </c>
      <c r="CG365" s="171">
        <f>CF365</f>
        <v>14772.4</v>
      </c>
      <c r="CH365" s="244"/>
      <c r="CI365" s="244">
        <f>CI91+CF91+CE91+CD91</f>
        <v>15526.4</v>
      </c>
      <c r="CJ365" s="244">
        <f>CJ91+CI91+CF91+CE91</f>
        <v>16348.4</v>
      </c>
      <c r="CK365" s="244">
        <f>CK91+CJ91+CI91+CF91</f>
        <v>17263</v>
      </c>
      <c r="CL365" s="244">
        <f>CL91+CK91+CJ91+CI91</f>
        <v>18209</v>
      </c>
      <c r="CM365" s="171">
        <f>CL365</f>
        <v>18209</v>
      </c>
      <c r="CN365" s="244"/>
      <c r="CO365" s="244">
        <f>CO91+CL91+CK91+CJ91</f>
        <v>19141</v>
      </c>
      <c r="CP365" s="244">
        <f>CP91+CO91+CL91+CK91</f>
        <v>20289</v>
      </c>
      <c r="CQ365" s="244">
        <f>CQ91+CP91+CO91+CL91</f>
        <v>21211</v>
      </c>
      <c r="CR365" s="244">
        <f>CR91+CQ91+CP91+CO91</f>
        <v>22609</v>
      </c>
      <c r="CS365" s="171">
        <f>CR365</f>
        <v>22609</v>
      </c>
      <c r="CT365" s="244"/>
      <c r="CU365" s="244">
        <f>CU91+CR91+CQ91+CP91</f>
        <v>23438</v>
      </c>
      <c r="CV365" s="244">
        <f>CV91+CU91+CR91+CQ91</f>
        <v>23761</v>
      </c>
      <c r="CW365" s="244">
        <f>CW91+CV91+CU91+CR91</f>
        <v>23894</v>
      </c>
      <c r="CX365" s="244">
        <f>CX91+CW91+CV91+CU91</f>
        <v>23494</v>
      </c>
      <c r="CY365" s="171">
        <f>CX365</f>
        <v>23494</v>
      </c>
      <c r="CZ365" s="244"/>
      <c r="DA365" s="244">
        <f>DA91+CX91+CW91+CV91</f>
        <v>23135</v>
      </c>
      <c r="DB365" s="244">
        <f>DB91+DA91+CX91+CW91</f>
        <v>23320</v>
      </c>
      <c r="DC365" s="244">
        <f>DC91+DB91+DA91+CX91</f>
        <v>24285.4</v>
      </c>
      <c r="DD365" s="244">
        <f>DD91+DC91+DB91+DA91</f>
        <v>27035.4</v>
      </c>
      <c r="DE365" s="171">
        <f>DD365</f>
        <v>27035.4</v>
      </c>
      <c r="DF365" s="244"/>
      <c r="DG365" s="244">
        <f>DG91+DD91+DC91+DB91</f>
        <v>29560.400000000001</v>
      </c>
      <c r="DH365" s="244">
        <f>DH91+DG91+DD91+DC91</f>
        <v>32382.400000000001</v>
      </c>
      <c r="DI365" s="244">
        <f>DI91+DH91+DG91+DD91</f>
        <v>34720</v>
      </c>
      <c r="DJ365" s="244">
        <f>DJ91+DI91+DH91+DG91</f>
        <v>35895</v>
      </c>
      <c r="DK365" s="171">
        <f>DJ365</f>
        <v>35895</v>
      </c>
      <c r="DL365" s="244"/>
      <c r="DM365" s="244">
        <f>DM91+DJ91+DI91+DH91</f>
        <v>36705</v>
      </c>
      <c r="DN365" s="244">
        <f>DN91+DM91+DJ91+DI91</f>
        <v>36822</v>
      </c>
      <c r="DO365" s="244">
        <f>DO91+DN91+DM91+DJ91</f>
        <v>37077.339200000002</v>
      </c>
      <c r="DP365" s="244">
        <f>DP91+DO91+DN91+DM91</f>
        <v>37221.498899999999</v>
      </c>
      <c r="DQ365" s="171">
        <f>DP365</f>
        <v>37221.498899999999</v>
      </c>
      <c r="DR365" s="244"/>
      <c r="DS365" s="244">
        <f>DS91+DP91+DO91+DN91</f>
        <v>37032.498899999999</v>
      </c>
      <c r="DT365" s="244">
        <f>DT91+DS91+DP91+DO91</f>
        <v>37334.498899999999</v>
      </c>
      <c r="DU365" s="244">
        <f>DU91+DT91+DS91+DP91</f>
        <v>37242.159700000004</v>
      </c>
      <c r="DV365" s="244">
        <f>DV91+DU91+DT91+DS91</f>
        <v>37253</v>
      </c>
      <c r="DW365" s="171">
        <f>DV365</f>
        <v>37253</v>
      </c>
      <c r="DX365" s="244"/>
      <c r="DY365" s="244">
        <f>DY91+DV91+DU91+DT91</f>
        <v>37425</v>
      </c>
      <c r="DZ365" s="244">
        <f>DZ91+DY91+DV91+DU91</f>
        <v>37595</v>
      </c>
      <c r="EA365" s="244">
        <f>EA91+DZ91+DY91+DV91</f>
        <v>37940</v>
      </c>
      <c r="EB365" s="244">
        <f>EB91+EA91+DZ91+DY91</f>
        <v>38305</v>
      </c>
      <c r="EC365" s="171">
        <f>EB365</f>
        <v>38305</v>
      </c>
      <c r="ED365" s="244"/>
      <c r="EE365" s="244">
        <f>EE91+EB91+EA91+DZ91</f>
        <v>38523</v>
      </c>
      <c r="EF365" s="244">
        <f>EF91+EE91+EB91+EA91</f>
        <v>38848</v>
      </c>
      <c r="EG365" s="244">
        <f>EG91+EF91+EE91+EB91</f>
        <v>38867</v>
      </c>
      <c r="EH365" s="244">
        <f>EH91+EG91+EF91+EE91</f>
        <v>38253</v>
      </c>
      <c r="EI365" s="171">
        <f>EH365</f>
        <v>38253</v>
      </c>
      <c r="EJ365" s="244"/>
      <c r="EK365" s="244">
        <f>EK91+EH91+EG91+EF91</f>
        <v>38105</v>
      </c>
      <c r="EL365" s="244">
        <f>EL91+EK91+EH91+EG91</f>
        <v>37493</v>
      </c>
      <c r="EM365" s="244">
        <f>EM91+EL91+EK91+EH91</f>
        <v>37173</v>
      </c>
      <c r="EN365" s="244">
        <f>EN91+EM91+EL91+EK91</f>
        <v>37057</v>
      </c>
      <c r="EO365" s="171">
        <f>EN365</f>
        <v>37057</v>
      </c>
      <c r="EP365" s="244"/>
      <c r="EQ365" s="244">
        <f>EQ91+EN91+EM91+EL91</f>
        <v>37219</v>
      </c>
      <c r="ER365" s="244">
        <f>ER91+EQ91+EN91+EM91</f>
        <v>37292.78</v>
      </c>
      <c r="ES365" s="244">
        <f>ES91+ER91+EQ91+EN91</f>
        <v>37552.78</v>
      </c>
      <c r="ET365" s="244">
        <f>ET91+ES91+ER91+EQ91</f>
        <v>37897.78</v>
      </c>
      <c r="EU365" s="171">
        <f>ET365</f>
        <v>37897.78</v>
      </c>
      <c r="EV365" s="244"/>
      <c r="EW365" s="244">
        <f>EW91+ET91+ES91+ER91</f>
        <v>38496.78</v>
      </c>
      <c r="EX365" s="244">
        <f>EX91+EW91+ET91+ES91</f>
        <v>39057</v>
      </c>
      <c r="EY365" s="244">
        <f>EY91+EX91+EW91+ET91</f>
        <v>39559</v>
      </c>
      <c r="EZ365" s="244">
        <f>EZ91+EY91+EX91+EW91</f>
        <v>39807.672666097715</v>
      </c>
      <c r="FA365" s="171">
        <f>EZ365</f>
        <v>39807.672666097715</v>
      </c>
      <c r="FB365" s="244"/>
      <c r="FC365" s="244">
        <f>FC91+EZ91+EY91+EX91</f>
        <v>40145.067325215088</v>
      </c>
      <c r="FD365" s="244">
        <f>FD91+FC91+EZ91+EY91</f>
        <v>40496.944357278269</v>
      </c>
      <c r="FE365" s="244">
        <f>FE91+FD91+FC91+EZ91</f>
        <v>40812.779848838298</v>
      </c>
      <c r="FF365" s="244">
        <f>FF91+FE91+FD91+FC91</f>
        <v>41026.584372989309</v>
      </c>
      <c r="FG365" s="171">
        <f>FF365</f>
        <v>41026.584372989309</v>
      </c>
      <c r="FH365" s="244"/>
      <c r="FI365" s="244">
        <f>FI91+FF91+FE91+FD91</f>
        <v>41416.78424621858</v>
      </c>
      <c r="FJ365" s="244">
        <f>FJ91+FI91+FF91+FE91</f>
        <v>41777.760817418144</v>
      </c>
      <c r="FK365" s="244">
        <f>FK91+FJ91+FI91+FF91</f>
        <v>42125.933444613904</v>
      </c>
      <c r="FL365" s="244">
        <f>FL91+FK91+FJ91+FI91</f>
        <v>42398.855939974121</v>
      </c>
      <c r="FM365" s="171">
        <f>FL365</f>
        <v>42398.855939974121</v>
      </c>
      <c r="FN365" s="27"/>
      <c r="FO365" s="27"/>
      <c r="FP365" s="27"/>
      <c r="FQ365" s="27"/>
      <c r="FR365" s="27"/>
      <c r="FS365" s="27"/>
      <c r="FT365" s="27"/>
      <c r="FU365" s="27"/>
      <c r="FV365" s="27"/>
      <c r="FW365" s="27"/>
      <c r="FX365" s="27"/>
      <c r="FY365" s="27"/>
      <c r="FZ365" s="27"/>
      <c r="GA365" s="27"/>
      <c r="GB365" s="27"/>
      <c r="GC365" s="27"/>
      <c r="GD365" s="27"/>
      <c r="GE365" s="27"/>
      <c r="GF365" s="27"/>
      <c r="GG365" s="27"/>
      <c r="GH365" s="27"/>
      <c r="GI365"/>
      <c r="GJ365"/>
      <c r="GK365"/>
      <c r="GL365"/>
      <c r="GM365"/>
      <c r="GN365"/>
      <c r="GO365" s="27"/>
      <c r="GP365"/>
      <c r="GQ365"/>
      <c r="GR365"/>
      <c r="GS365"/>
      <c r="GT365"/>
      <c r="GU365"/>
      <c r="GV365"/>
      <c r="GW365"/>
      <c r="GX365"/>
      <c r="GY365"/>
      <c r="GZ365"/>
      <c r="HA365"/>
      <c r="HB365"/>
      <c r="HC365"/>
      <c r="HD365"/>
      <c r="HE365"/>
      <c r="HF365"/>
      <c r="HG365"/>
      <c r="HH365"/>
      <c r="HI365"/>
      <c r="HJ365"/>
      <c r="HK365"/>
      <c r="HL365"/>
      <c r="HM365"/>
      <c r="HN365"/>
      <c r="HO365"/>
      <c r="HP365"/>
      <c r="HQ365"/>
      <c r="HR365"/>
      <c r="HS365"/>
      <c r="HT365"/>
      <c r="HU365"/>
      <c r="HV365"/>
      <c r="HW365"/>
      <c r="HX365"/>
      <c r="HY365"/>
      <c r="HZ365"/>
      <c r="IA365"/>
      <c r="IB365"/>
      <c r="IC365"/>
      <c r="ID365"/>
      <c r="IE365"/>
      <c r="IF365"/>
      <c r="IG365"/>
      <c r="IH365"/>
      <c r="II365"/>
      <c r="IJ365"/>
      <c r="IK365"/>
      <c r="IL365"/>
      <c r="IM365"/>
      <c r="IN365"/>
      <c r="IO365"/>
      <c r="IP365"/>
      <c r="IQ365"/>
      <c r="IR365"/>
      <c r="IS365"/>
      <c r="IT365"/>
      <c r="IU365"/>
      <c r="IV365"/>
      <c r="IW365"/>
      <c r="IX365"/>
      <c r="IY365"/>
      <c r="IZ365"/>
      <c r="JA365"/>
      <c r="JB365"/>
      <c r="JC365"/>
      <c r="JD365"/>
      <c r="JE365"/>
      <c r="JF365"/>
      <c r="JG365"/>
      <c r="JH365"/>
      <c r="JI365"/>
      <c r="JJ365"/>
      <c r="JK365"/>
      <c r="JL365"/>
      <c r="JM365"/>
      <c r="JN365"/>
      <c r="JO365"/>
      <c r="JP365"/>
      <c r="JQ365"/>
      <c r="JR365"/>
      <c r="JS365"/>
      <c r="JT365"/>
      <c r="JU365"/>
    </row>
    <row r="366" spans="1:281" s="24" customFormat="1" hidden="1" outlineLevel="1" x14ac:dyDescent="0.2">
      <c r="A366" s="244" t="s">
        <v>719</v>
      </c>
      <c r="B366" s="954" t="s">
        <v>720</v>
      </c>
      <c r="C366" s="244">
        <f t="shared" ref="C366:M366" si="250">C167</f>
        <v>10.108425</v>
      </c>
      <c r="D366" s="244">
        <f t="shared" si="250"/>
        <v>20.419181999999996</v>
      </c>
      <c r="E366" s="244">
        <f t="shared" si="250"/>
        <v>44.497379999999993</v>
      </c>
      <c r="F366" s="244">
        <f t="shared" si="250"/>
        <v>102.86399999999999</v>
      </c>
      <c r="G366" s="244">
        <f t="shared" si="250"/>
        <v>166.97900000000001</v>
      </c>
      <c r="H366" s="244">
        <f t="shared" si="250"/>
        <v>359.726</v>
      </c>
      <c r="I366" s="244">
        <f t="shared" si="250"/>
        <v>620.62300000000005</v>
      </c>
      <c r="J366" s="244">
        <f t="shared" si="250"/>
        <v>734.74</v>
      </c>
      <c r="K366" s="244">
        <f t="shared" si="250"/>
        <v>783.27099999999996</v>
      </c>
      <c r="L366" s="244">
        <f t="shared" si="250"/>
        <v>915.22599999999989</v>
      </c>
      <c r="M366" s="244">
        <f t="shared" si="250"/>
        <v>1081.981</v>
      </c>
      <c r="N366" s="244"/>
      <c r="O366" s="59" t="s">
        <v>945</v>
      </c>
      <c r="P366" s="59" t="s">
        <v>945</v>
      </c>
      <c r="Q366" s="59" t="s">
        <v>945</v>
      </c>
      <c r="R366" s="244">
        <f>R167+Q167+P167+O167</f>
        <v>1538.645</v>
      </c>
      <c r="S366" s="244">
        <f>S167</f>
        <v>1538.645</v>
      </c>
      <c r="T366" s="244"/>
      <c r="U366" s="244">
        <f>U167+R167+Q167+P167</f>
        <v>1641.4090000000001</v>
      </c>
      <c r="V366" s="244">
        <f>V167+U167+R167+Q167</f>
        <v>1803.789</v>
      </c>
      <c r="W366" s="244">
        <f>W167+V167+U167+R167</f>
        <v>1946.0319999999997</v>
      </c>
      <c r="X366" s="244">
        <f>X167+W167+V167+U167</f>
        <v>2171.4650000000001</v>
      </c>
      <c r="Y366" s="244">
        <f>X366</f>
        <v>2171.4650000000001</v>
      </c>
      <c r="Z366" s="244"/>
      <c r="AA366" s="244">
        <f>AA167+X167+W167+V167</f>
        <v>2303.6309999999999</v>
      </c>
      <c r="AB366" s="244">
        <f>AB167+AA167+X167+W167</f>
        <v>2456.183</v>
      </c>
      <c r="AC366" s="244">
        <f>AC167+AB167+AA167+X167</f>
        <v>2616.973</v>
      </c>
      <c r="AD366" s="244">
        <f>AD167+AC167+AB167+AA167</f>
        <v>2834.085</v>
      </c>
      <c r="AE366" s="244">
        <f>AD366</f>
        <v>2834.085</v>
      </c>
      <c r="AF366" s="244"/>
      <c r="AG366" s="244">
        <f>AG167+AD167+AC167+AB167</f>
        <v>2971.3789999999999</v>
      </c>
      <c r="AH366" s="244">
        <f>AH167+AG167+AD167+AC167</f>
        <v>3104.7669999999998</v>
      </c>
      <c r="AI366" s="244">
        <f>AI167+AH167+AG167+AD167</f>
        <v>3274.6089999999999</v>
      </c>
      <c r="AJ366" s="244">
        <f>AJ167+AI167+AH167+AG167</f>
        <v>3459.0050000000001</v>
      </c>
      <c r="AK366" s="244">
        <f>AJ366</f>
        <v>3459.0050000000001</v>
      </c>
      <c r="AL366" s="244"/>
      <c r="AM366" s="244">
        <f>AM167+AJ167+AI167+AH167</f>
        <v>3566.357</v>
      </c>
      <c r="AN366" s="244">
        <f>AN167+AM167+AJ167+AI167</f>
        <v>3667.2979999999998</v>
      </c>
      <c r="AO366" s="244">
        <f>AO167+AN167+AM167+AJ167</f>
        <v>3703.4290000000001</v>
      </c>
      <c r="AP366" s="244">
        <f>AP167+AO167+AN167+AM167</f>
        <v>3890.223</v>
      </c>
      <c r="AQ366" s="244">
        <f>AP366</f>
        <v>3890.223</v>
      </c>
      <c r="AR366" s="244"/>
      <c r="AS366" s="244">
        <f>AS167+AP167+AO167+AN167</f>
        <v>3980.143</v>
      </c>
      <c r="AT366" s="244">
        <f>AT167+AS167+AP167+AO167</f>
        <v>4078.76</v>
      </c>
      <c r="AU366" s="244">
        <f>AU167+AT167+AS167+AP167</f>
        <v>4170.9789999999994</v>
      </c>
      <c r="AV366" s="244">
        <f>AV167+AU167+AT167+AS167</f>
        <v>4107.2890000000007</v>
      </c>
      <c r="AW366" s="244">
        <f>AV366</f>
        <v>4107.2890000000007</v>
      </c>
      <c r="AX366" s="244"/>
      <c r="AY366" s="244">
        <f>AY167+AV167+AU167+AT167</f>
        <v>4155.3410000000003</v>
      </c>
      <c r="AZ366" s="244">
        <f>AZ167+AY167+AV167+AU167</f>
        <v>4181.24</v>
      </c>
      <c r="BA366" s="244">
        <f>BA167+AZ167+AY167+AV167</f>
        <v>4296.4339999999993</v>
      </c>
      <c r="BB366" s="244">
        <f>BB167+BA167+AZ167+AY167</f>
        <v>4286.5410000000002</v>
      </c>
      <c r="BC366" s="244">
        <f>BB366</f>
        <v>4286.5410000000002</v>
      </c>
      <c r="BD366" s="244"/>
      <c r="BE366" s="244">
        <f>BE167+BB167+BA167+AZ167</f>
        <v>4242.9799999999996</v>
      </c>
      <c r="BF366" s="244">
        <f>BF167+BE167+BB167+BA167</f>
        <v>4151.9850000000006</v>
      </c>
      <c r="BG366" s="244">
        <f>BG167+BF167+BE167+BB167</f>
        <v>3967.4920000000002</v>
      </c>
      <c r="BH366" s="244">
        <f>BH167+BG167+BF167+BE167</f>
        <v>3696.35</v>
      </c>
      <c r="BI366" s="244">
        <f>BH366</f>
        <v>3696.35</v>
      </c>
      <c r="BJ366" s="244"/>
      <c r="BK366" s="244">
        <f>BK167+BH167+BG167+BF167</f>
        <v>3668.9550000000004</v>
      </c>
      <c r="BL366" s="244">
        <f>BL167+BK167+BH167+BG167</f>
        <v>3657.4030000000002</v>
      </c>
      <c r="BM366" s="244">
        <f>BM167+BL167+BK167+BH167</f>
        <v>3691.2660000000001</v>
      </c>
      <c r="BN366" s="244">
        <f>BN167+BM167+BL167+BK167</f>
        <v>3693</v>
      </c>
      <c r="BO366" s="244">
        <f>BN366</f>
        <v>3693</v>
      </c>
      <c r="BP366" s="244"/>
      <c r="BQ366" s="244">
        <f>BQ167+BN167+BM167+BL167</f>
        <v>3727</v>
      </c>
      <c r="BR366" s="244">
        <f>BR167+BQ167+BN167+BM167</f>
        <v>3796</v>
      </c>
      <c r="BS366" s="244">
        <f>BS167+BR167+BQ167+BN167</f>
        <v>3859</v>
      </c>
      <c r="BT366" s="244">
        <f>BT167+BS167+BR167+BQ167</f>
        <v>3975</v>
      </c>
      <c r="BU366" s="244">
        <f>BT366</f>
        <v>3975</v>
      </c>
      <c r="BV366" s="244"/>
      <c r="BW366" s="244">
        <f>BW167+BT167+BS167+BR167</f>
        <v>3998.5</v>
      </c>
      <c r="BX366" s="244">
        <f>BX167+BW167+BT167+BS167</f>
        <v>4025.2</v>
      </c>
      <c r="BY366" s="244">
        <f>BY167+BX167+BW167+BT167</f>
        <v>4229.2</v>
      </c>
      <c r="BZ366" s="244">
        <f>BZ167+BY167+BX167+BW167</f>
        <v>4536.2</v>
      </c>
      <c r="CA366" s="244">
        <f>BZ366</f>
        <v>4536.2</v>
      </c>
      <c r="CB366" s="244"/>
      <c r="CC366" s="244">
        <f>CC167+BZ167+BY167+BX167</f>
        <v>4784.7</v>
      </c>
      <c r="CD366" s="244">
        <f>CD167+CC167+BZ167+BY167</f>
        <v>5051</v>
      </c>
      <c r="CE366" s="244">
        <f>CE167+CD167+CC167+BZ167</f>
        <v>5211</v>
      </c>
      <c r="CF366" s="244">
        <f>CF167+CE167+CD167+CC167</f>
        <v>5582.15</v>
      </c>
      <c r="CG366" s="171">
        <f>CF366</f>
        <v>5582.15</v>
      </c>
      <c r="CH366" s="244"/>
      <c r="CI366" s="244">
        <f>CI167+CF167+CE167+CD167</f>
        <v>5786.15</v>
      </c>
      <c r="CJ366" s="244">
        <f>CJ167+CI167+CF167+CE167</f>
        <v>6071.15</v>
      </c>
      <c r="CK366" s="244">
        <f>CK167+CJ167+CI167+CF167</f>
        <v>6377.15</v>
      </c>
      <c r="CL366" s="244">
        <f>CL167+CK167+CJ167+CI167</f>
        <v>6621</v>
      </c>
      <c r="CM366" s="171">
        <f>CL366</f>
        <v>6621</v>
      </c>
      <c r="CN366" s="244"/>
      <c r="CO366" s="244">
        <f>CO167+CL167+CK167+CJ167</f>
        <v>7012</v>
      </c>
      <c r="CP366" s="244">
        <f>CP167+CO167+CL167+CK167</f>
        <v>7367</v>
      </c>
      <c r="CQ366" s="244">
        <f>CQ167+CP167+CO167+CL167</f>
        <v>7609</v>
      </c>
      <c r="CR366" s="244">
        <f>CR167+CQ167+CP167+CO167</f>
        <v>7992</v>
      </c>
      <c r="CS366" s="171">
        <f>CR366</f>
        <v>7992</v>
      </c>
      <c r="CT366" s="244"/>
      <c r="CU366" s="244">
        <f>CU167+CR167+CQ167+CP167</f>
        <v>8178</v>
      </c>
      <c r="CV366" s="244">
        <f>CV167+CU167+CR167+CQ167</f>
        <v>8148</v>
      </c>
      <c r="CW366" s="244">
        <f>CW167+CV167+CU167+CR167</f>
        <v>8080</v>
      </c>
      <c r="CX366" s="244">
        <f>CX167+CW167+CV167+CU167</f>
        <v>7874</v>
      </c>
      <c r="CY366" s="171">
        <f>CX366</f>
        <v>7874</v>
      </c>
      <c r="CZ366" s="244"/>
      <c r="DA366" s="244">
        <f>DA167+CX167+CW167+CV167</f>
        <v>7672</v>
      </c>
      <c r="DB366" s="244">
        <f>DB167+DA167+CX167+CW167</f>
        <v>7711</v>
      </c>
      <c r="DC366" s="244">
        <f>DC167+DB167+DA167+CX167</f>
        <v>8066</v>
      </c>
      <c r="DD366" s="244">
        <f>DD167+DC167+DB167+DA167</f>
        <v>8861</v>
      </c>
      <c r="DE366" s="171">
        <f>DD366</f>
        <v>8861</v>
      </c>
      <c r="DF366" s="244"/>
      <c r="DG366" s="244">
        <f>DG167+DD167+DC167+DB167</f>
        <v>9707</v>
      </c>
      <c r="DH366" s="244">
        <f>DH167+DG167+DD167+DC167</f>
        <v>10475</v>
      </c>
      <c r="DI366" s="244">
        <f>DI167+DH167+DG167+DD167</f>
        <v>11190</v>
      </c>
      <c r="DJ366" s="244">
        <f>DJ167+DI167+DH167+DG167</f>
        <v>11604</v>
      </c>
      <c r="DK366" s="171">
        <f>DJ366</f>
        <v>11604</v>
      </c>
      <c r="DL366" s="244"/>
      <c r="DM366" s="244">
        <f>DM167+DJ167+DI167+DH167</f>
        <v>11868</v>
      </c>
      <c r="DN366" s="244">
        <f>DN167+DM167+DJ167+DI167</f>
        <v>12112</v>
      </c>
      <c r="DO366" s="244">
        <f>DO167+DN167+DM167+DJ167</f>
        <v>12159</v>
      </c>
      <c r="DP366" s="244">
        <f>DP167+DO167+DN167+DM167</f>
        <v>12199</v>
      </c>
      <c r="DQ366" s="171">
        <f>DP366</f>
        <v>12199</v>
      </c>
      <c r="DR366" s="244"/>
      <c r="DS366" s="244">
        <f>DS167+DP167+DO167+DN167</f>
        <v>12205</v>
      </c>
      <c r="DT366" s="244">
        <f>DT167+DS167+DP167+DO167</f>
        <v>12328</v>
      </c>
      <c r="DU366" s="244">
        <f>DU167+DT167+DS167+DP167</f>
        <v>12457</v>
      </c>
      <c r="DV366" s="244">
        <f>DV167+DU167+DT167+DS167</f>
        <v>12506</v>
      </c>
      <c r="DW366" s="171">
        <f>DV366</f>
        <v>12506</v>
      </c>
      <c r="DX366" s="244"/>
      <c r="DY366" s="244">
        <f>DY167+DV167+DU167+DT167</f>
        <v>12585</v>
      </c>
      <c r="DZ366" s="244">
        <f>DZ167+DY167+DV167+DU167</f>
        <v>12769</v>
      </c>
      <c r="EA366" s="244">
        <f>EA167+DZ167+DY167+DV167</f>
        <v>12870</v>
      </c>
      <c r="EB366" s="244">
        <f>EB167+EA167+DZ167+DY167</f>
        <v>13039</v>
      </c>
      <c r="EC366" s="171">
        <f>EB366</f>
        <v>13039</v>
      </c>
      <c r="ED366" s="244"/>
      <c r="EE366" s="244">
        <f>EE167+EB167+EA167+DZ167</f>
        <v>13215</v>
      </c>
      <c r="EF366" s="244">
        <f>EF167+EE167+EB167+EA167</f>
        <v>13307</v>
      </c>
      <c r="EG366" s="244">
        <f>EG167+EF167+EE167+EB167</f>
        <v>13365</v>
      </c>
      <c r="EH366" s="244">
        <f>EH167+EG167+EF167+EE167</f>
        <v>13405</v>
      </c>
      <c r="EI366" s="171">
        <f>EH366</f>
        <v>13405</v>
      </c>
      <c r="EJ366" s="244"/>
      <c r="EK366" s="244">
        <f>EK167+EH167+EG167+EF167</f>
        <v>13440</v>
      </c>
      <c r="EL366" s="244">
        <f>EL167+EK167+EH167+EG167</f>
        <v>13543</v>
      </c>
      <c r="EM366" s="244">
        <f>EM167+EL167+EK167+EH167</f>
        <v>13666</v>
      </c>
      <c r="EN366" s="244">
        <f>EN167+EM167+EL167+EK167</f>
        <v>13878</v>
      </c>
      <c r="EO366" s="171">
        <f>EN366</f>
        <v>13878</v>
      </c>
      <c r="EP366" s="244"/>
      <c r="EQ366" s="244">
        <f>EQ167+EN167+EM167+EL167</f>
        <v>14186</v>
      </c>
      <c r="ER366" s="244">
        <f>ER167+EQ167+EN167+EM167</f>
        <v>14236</v>
      </c>
      <c r="ES366" s="244">
        <f>ES167+ER167+EQ167+EN167</f>
        <v>14332</v>
      </c>
      <c r="ET366" s="244">
        <f>ET167+ES167+ER167+EQ167</f>
        <v>14371</v>
      </c>
      <c r="EU366" s="171">
        <f>ET366</f>
        <v>14371</v>
      </c>
      <c r="EV366" s="244"/>
      <c r="EW366" s="244">
        <f>EW167+ET167+ES167+ER167</f>
        <v>14443</v>
      </c>
      <c r="EX366" s="244">
        <f>EX167+EW167+ET167+ES167</f>
        <v>14454</v>
      </c>
      <c r="EY366" s="244">
        <f>EY167+EX167+EW167+ET167</f>
        <v>14507</v>
      </c>
      <c r="EZ366" s="244">
        <f>EZ167+EY167+EX167+EW167</f>
        <v>14463.790596801153</v>
      </c>
      <c r="FA366" s="171">
        <f>EZ366</f>
        <v>14463.790596801153</v>
      </c>
      <c r="FB366" s="244"/>
      <c r="FC366" s="244">
        <f>FC167+EZ167+EY167+EX167</f>
        <v>14557.785869936193</v>
      </c>
      <c r="FD366" s="244">
        <f>FD167+FC167+EZ167+EY167</f>
        <v>14669.225355543065</v>
      </c>
      <c r="FE366" s="244">
        <f>FE167+FD167+FC167+EZ167</f>
        <v>14787.341233799612</v>
      </c>
      <c r="FF366" s="244">
        <f>FF167+FE167+FD167+FC167</f>
        <v>14879.171130775763</v>
      </c>
      <c r="FG366" s="171">
        <f>FF366</f>
        <v>14879.171130775763</v>
      </c>
      <c r="FH366" s="244"/>
      <c r="FI366" s="244">
        <f>FI167+FF167+FE167+FD167</f>
        <v>14967.614415472191</v>
      </c>
      <c r="FJ366" s="244">
        <f>FJ167+FI167+FF167+FE167</f>
        <v>15082.773653841541</v>
      </c>
      <c r="FK366" s="244">
        <f>FK167+FJ167+FI167+FF167</f>
        <v>15223.984715386465</v>
      </c>
      <c r="FL366" s="244">
        <f>FL167+FK167+FJ167+FI167</f>
        <v>15384.000709528751</v>
      </c>
      <c r="FM366" s="171">
        <f>FL366</f>
        <v>15384.000709528751</v>
      </c>
      <c r="FN366" s="27"/>
      <c r="FO366" s="27"/>
      <c r="FP366" s="27"/>
      <c r="FQ366" s="27"/>
      <c r="FR366" s="27"/>
      <c r="FS366" s="27"/>
      <c r="FT366" s="27"/>
      <c r="FU366" s="27"/>
      <c r="FV366" s="27"/>
      <c r="FW366" s="27"/>
      <c r="FX366" s="27"/>
      <c r="FY366" s="27"/>
      <c r="FZ366" s="27"/>
      <c r="GA366" s="27"/>
      <c r="GB366" s="27"/>
      <c r="GC366" s="27"/>
      <c r="GD366" s="27"/>
      <c r="GE366" s="27"/>
      <c r="GF366" s="27"/>
      <c r="GG366" s="27"/>
      <c r="GH366" s="27"/>
      <c r="GI366"/>
      <c r="GJ366"/>
      <c r="GK366"/>
      <c r="GL366"/>
      <c r="GM366"/>
      <c r="GN366"/>
      <c r="GO366" s="27"/>
      <c r="GP366"/>
      <c r="GQ366"/>
      <c r="GR366"/>
      <c r="GS366"/>
      <c r="GT366"/>
      <c r="GU366"/>
      <c r="GV366"/>
      <c r="GW366"/>
      <c r="GX366"/>
      <c r="GY366"/>
      <c r="GZ366"/>
      <c r="HA366"/>
      <c r="HB366"/>
      <c r="HC366"/>
      <c r="HD366"/>
      <c r="HE366"/>
      <c r="HF366"/>
      <c r="HG366"/>
      <c r="HH366"/>
      <c r="HI366"/>
      <c r="HJ366"/>
      <c r="HK366"/>
      <c r="HL366"/>
      <c r="HM366"/>
      <c r="HN366"/>
      <c r="HO366"/>
      <c r="HP366"/>
      <c r="HQ366"/>
      <c r="HR366"/>
      <c r="HS366"/>
      <c r="HT366"/>
      <c r="HU366"/>
      <c r="HV366"/>
      <c r="HW366"/>
      <c r="HX366"/>
      <c r="HY366"/>
      <c r="HZ366"/>
      <c r="IA366"/>
      <c r="IB366"/>
      <c r="IC366"/>
      <c r="ID366"/>
      <c r="IE366"/>
      <c r="IF366"/>
      <c r="IG366"/>
      <c r="IH366"/>
      <c r="II366"/>
      <c r="IJ366"/>
      <c r="IK366"/>
      <c r="IL366"/>
      <c r="IM366"/>
      <c r="IN366"/>
      <c r="IO366"/>
      <c r="IP366"/>
      <c r="IQ366"/>
      <c r="IR366"/>
      <c r="IS366"/>
      <c r="IT366"/>
      <c r="IU366"/>
      <c r="IV366"/>
      <c r="IW366"/>
      <c r="IX366"/>
      <c r="IY366"/>
      <c r="IZ366"/>
      <c r="JA366"/>
      <c r="JB366"/>
      <c r="JC366"/>
      <c r="JD366"/>
      <c r="JE366"/>
      <c r="JF366"/>
      <c r="JG366"/>
      <c r="JH366"/>
      <c r="JI366"/>
      <c r="JJ366"/>
      <c r="JK366"/>
      <c r="JL366"/>
      <c r="JM366"/>
      <c r="JN366"/>
      <c r="JO366"/>
      <c r="JP366"/>
      <c r="JQ366"/>
      <c r="JR366"/>
      <c r="JS366"/>
      <c r="JT366"/>
      <c r="JU366"/>
    </row>
    <row r="367" spans="1:281" s="24" customFormat="1" hidden="1" outlineLevel="1" x14ac:dyDescent="0.2">
      <c r="A367" s="244" t="s">
        <v>721</v>
      </c>
      <c r="B367" s="954" t="s">
        <v>722</v>
      </c>
      <c r="C367" s="244">
        <f t="shared" ref="C367:M367" si="251">C167+C141</f>
        <v>10.108425</v>
      </c>
      <c r="D367" s="244">
        <f t="shared" si="251"/>
        <v>20.419181999999996</v>
      </c>
      <c r="E367" s="244">
        <f t="shared" si="251"/>
        <v>44.497379999999993</v>
      </c>
      <c r="F367" s="244">
        <f t="shared" si="251"/>
        <v>102.86399999999999</v>
      </c>
      <c r="G367" s="244">
        <f t="shared" si="251"/>
        <v>218.22000000000003</v>
      </c>
      <c r="H367" s="244">
        <f t="shared" si="251"/>
        <v>460.71299999999997</v>
      </c>
      <c r="I367" s="244">
        <f t="shared" si="251"/>
        <v>781.05100000000004</v>
      </c>
      <c r="J367" s="244">
        <f t="shared" si="251"/>
        <v>1001.1700000000001</v>
      </c>
      <c r="K367" s="244">
        <f t="shared" si="251"/>
        <v>1064.8330000000001</v>
      </c>
      <c r="L367" s="244">
        <f t="shared" si="251"/>
        <v>1261.8589999999999</v>
      </c>
      <c r="M367" s="244">
        <f t="shared" si="251"/>
        <v>1581.194</v>
      </c>
      <c r="N367" s="244"/>
      <c r="O367" s="59" t="s">
        <v>945</v>
      </c>
      <c r="P367" s="59" t="s">
        <v>945</v>
      </c>
      <c r="Q367" s="59" t="s">
        <v>945</v>
      </c>
      <c r="R367" s="244">
        <f>R167+Q167+P167+O167+R141+Q141+P141+O141</f>
        <v>2317.6570000000002</v>
      </c>
      <c r="S367" s="244">
        <f>S167+S141</f>
        <v>2317.6570000000002</v>
      </c>
      <c r="T367" s="244"/>
      <c r="U367" s="244">
        <f>U167+R167+Q167+P167+U141+R141+Q141+P141</f>
        <v>2495.4070000000002</v>
      </c>
      <c r="V367" s="244">
        <f>V167+U167+R167+Q167+V141+U141+R141+Q141</f>
        <v>2725.6309999999999</v>
      </c>
      <c r="W367" s="244">
        <f>W167+V167+U167+R167+W141+V141+U141+R141</f>
        <v>2958.0339999999997</v>
      </c>
      <c r="X367" s="244">
        <f>X167+W167+V167+U167+X141+W141+V141+U141</f>
        <v>3267.4780000000001</v>
      </c>
      <c r="Y367" s="244">
        <f>X367</f>
        <v>3267.4780000000001</v>
      </c>
      <c r="Z367" s="244"/>
      <c r="AA367" s="244">
        <f>AA167+X167+W167+V167+AA141+X141+W141+V141</f>
        <v>3504.2419999999997</v>
      </c>
      <c r="AB367" s="244">
        <f>AB167+AA167+X167+W167+AB141+AA141+X141+W141</f>
        <v>3778.855</v>
      </c>
      <c r="AC367" s="244">
        <f>AC167+AB167+AA167+X167+AC141+AB141+AA141+X141</f>
        <v>4054.2429999999999</v>
      </c>
      <c r="AD367" s="244">
        <f>AD167+AC167+AB167+AA167+AD141+AC141+AB141+AA141</f>
        <v>4384.5510000000004</v>
      </c>
      <c r="AE367" s="244">
        <f>AD367</f>
        <v>4384.5510000000004</v>
      </c>
      <c r="AF367" s="244"/>
      <c r="AG367" s="244">
        <f>AG167+AD167+AC167+AB167+AG141+AD141+AC141+AB141</f>
        <v>4653.9049999999997</v>
      </c>
      <c r="AH367" s="244">
        <f>AH167+AG167+AD167+AC167+AH141+AG141+AD141+AC141</f>
        <v>4958.4409999999998</v>
      </c>
      <c r="AI367" s="244">
        <f>AI167+AH167+AG167+AD167+AI141+AH141+AG141+AD141</f>
        <v>5313.2400000000007</v>
      </c>
      <c r="AJ367" s="244">
        <f>AJ167+AI167+AH167+AG167+AJ141+AI141+AH141+AG141</f>
        <v>5732.6130000000012</v>
      </c>
      <c r="AK367" s="244">
        <f>AJ367</f>
        <v>5732.6130000000012</v>
      </c>
      <c r="AL367" s="244"/>
      <c r="AM367" s="244">
        <f>AM167+AJ167+AI167+AH167+AM141+AJ141+AI141+AH141</f>
        <v>6051.0880000000006</v>
      </c>
      <c r="AN367" s="244">
        <f>AN167+AM167+AJ167+AI167+AN141+AM141+AJ141+AI141</f>
        <v>6383.2449999999999</v>
      </c>
      <c r="AO367" s="244">
        <f>AO167+AN167+AM167+AJ167+AO141+AN141+AM141+AJ141</f>
        <v>6625.0010000000002</v>
      </c>
      <c r="AP367" s="244">
        <f>AP167+AO167+AN167+AM167+AP141+AO141+AN141+AM141</f>
        <v>6954.3710000000001</v>
      </c>
      <c r="AQ367" s="244">
        <f>AP367</f>
        <v>6954.3710000000001</v>
      </c>
      <c r="AR367" s="244"/>
      <c r="AS367" s="244">
        <f>AS167+AP167+AO167+AN167+AS141+AP141+AO141+AN141</f>
        <v>7121.7510000000002</v>
      </c>
      <c r="AT367" s="244">
        <f>AT167+AS167+AP167+AO167+AT141+AS141+AP141+AO141</f>
        <v>7193.6910000000007</v>
      </c>
      <c r="AU367" s="244">
        <f>AU167+AT167+AS167+AP167+AU141+AT141+AS141+AP141</f>
        <v>7201.1480000000001</v>
      </c>
      <c r="AV367" s="244">
        <f>AV167+AU167+AT167+AS167+AV141+AU141+AT141+AS141</f>
        <v>7049.9680000000008</v>
      </c>
      <c r="AW367" s="244">
        <f>AV367</f>
        <v>7049.9680000000008</v>
      </c>
      <c r="AX367" s="244"/>
      <c r="AY367" s="244">
        <f>AY167+AV167+AU167+AT167+AY141+AV141+AU141+AT141</f>
        <v>7041.2650000000012</v>
      </c>
      <c r="AZ367" s="244">
        <f>AZ167+AY167+AV167+AU167+AZ141+AY141+AV141+AU141</f>
        <v>7035.8539999999994</v>
      </c>
      <c r="BA367" s="244">
        <f>BA167+AZ167+AY167+AV167+BA141+AZ141+AY141+AV141</f>
        <v>7174.0959999999995</v>
      </c>
      <c r="BB367" s="244">
        <f>BB167+BA167+AZ167+AY167+BB141+BA141+AZ141+AY141</f>
        <v>7183.6009999999997</v>
      </c>
      <c r="BC367" s="244">
        <f>BB367</f>
        <v>7183.6009999999997</v>
      </c>
      <c r="BD367" s="244"/>
      <c r="BE367" s="244">
        <f>BE167+BB167+BA167+AZ167+BE141+BB141+BA141+AZ141</f>
        <v>7072.9269999999988</v>
      </c>
      <c r="BF367" s="244">
        <f>BF167+BE167+BB167+BA167+BF141+BE141+BB141+BA141</f>
        <v>6893.0130000000008</v>
      </c>
      <c r="BG367" s="244">
        <f>BG167+BF167+BE167+BB167+BG141+BF141+BE141+BB141</f>
        <v>6549.6549999999997</v>
      </c>
      <c r="BH367" s="244">
        <f>BH167+BG167+BF167+BE167+BH141+BG141+BF141+BE141</f>
        <v>6101.8610000000008</v>
      </c>
      <c r="BI367" s="244">
        <f>BH367</f>
        <v>6101.8610000000008</v>
      </c>
      <c r="BJ367" s="244"/>
      <c r="BK367" s="244">
        <f>BK167+BH167+BG167+BF167+BK141+BH141+BG141+BF141</f>
        <v>6030.5839999999998</v>
      </c>
      <c r="BL367" s="244">
        <f>BL167+BK167+BH167+BG167+BL141+BK141+BH141+BG141</f>
        <v>5985.0910000000003</v>
      </c>
      <c r="BM367" s="244">
        <f>BM167+BL167+BK167+BH167+BM141+BL141+BK141+BH141</f>
        <v>6021.5099999999993</v>
      </c>
      <c r="BN367" s="244">
        <f>BN167+BM167+BL167+BK167+BN141+BM141+BL141+BK141</f>
        <v>6035</v>
      </c>
      <c r="BO367" s="244">
        <f>BN367</f>
        <v>6035</v>
      </c>
      <c r="BP367" s="244"/>
      <c r="BQ367" s="244">
        <f>BQ167+BN167+BM167+BL167+BQ141+BN141+BM141+BL141</f>
        <v>6043</v>
      </c>
      <c r="BR367" s="244">
        <f>BR167+BQ167+BN167+BM167+BR141+BQ141+BN141+BM141</f>
        <v>6111</v>
      </c>
      <c r="BS367" s="244">
        <f>BS167+BR167+BQ167+BN167+BS141+BR141+BQ141+BN141</f>
        <v>6182</v>
      </c>
      <c r="BT367" s="244">
        <f>BT167+BS167+BR167+BQ167+BT141+BS141+BR141+BQ141</f>
        <v>6292</v>
      </c>
      <c r="BU367" s="244">
        <f>BT367</f>
        <v>6292</v>
      </c>
      <c r="BV367" s="244"/>
      <c r="BW367" s="244">
        <f>BW167+BT167+BS167+BR167+BW141+BT141+BS141+BR141</f>
        <v>6307.5</v>
      </c>
      <c r="BX367" s="244">
        <f>BX167+BW167+BT167+BS167+BX141+BW141+BT141+BS141</f>
        <v>6326.2</v>
      </c>
      <c r="BY367" s="244">
        <f>BY167+BX167+BW167+BT167+BY141+BX141+BW141+BT141</f>
        <v>6659.2</v>
      </c>
      <c r="BZ367" s="244">
        <f>BZ167+BY167+BX167+BW167+BZ141+BY141+BX141+BW141</f>
        <v>7178.2</v>
      </c>
      <c r="CA367" s="244">
        <f>BZ367</f>
        <v>7178.2</v>
      </c>
      <c r="CB367" s="244"/>
      <c r="CC367" s="244">
        <f>CC167+BZ167+BY167+BX167+CC141+BZ141+BY141+BX141</f>
        <v>7591.7</v>
      </c>
      <c r="CD367" s="244">
        <f>CD167+CC167+BZ167+BY167+CD141+CC141+BZ141+BY141</f>
        <v>8023</v>
      </c>
      <c r="CE367" s="244">
        <f>CE167+CD167+CC167+BZ167+CE141+CD141+CC141+BZ141</f>
        <v>8259</v>
      </c>
      <c r="CF367" s="244">
        <f>CF167+CE167+CD167+CC167+CF141+CE141+CD141+CC141</f>
        <v>8805.15</v>
      </c>
      <c r="CG367" s="171">
        <f>CF367</f>
        <v>8805.15</v>
      </c>
      <c r="CH367" s="244"/>
      <c r="CI367" s="244">
        <f>CI167+CF167+CE167+CD167+CI141+CF141+CE141+CD141</f>
        <v>9263.15</v>
      </c>
      <c r="CJ367" s="244">
        <f>CJ167+CI167+CF167+CE167+CJ141+CI141+CF141+CE141</f>
        <v>9812.15</v>
      </c>
      <c r="CK367" s="244">
        <f>CK167+CJ167+CI167+CF167+CK141+CJ141+CI141+CF141</f>
        <v>10355.15</v>
      </c>
      <c r="CL367" s="244">
        <f>CL167+CK167+CJ167+CI167+CL141+CK141+CJ141+CI141</f>
        <v>10788</v>
      </c>
      <c r="CM367" s="171">
        <f>CL367</f>
        <v>10788</v>
      </c>
      <c r="CN367" s="244"/>
      <c r="CO367" s="244">
        <f>CO167+CL167+CK167+CJ167+CO141+CL141+CK141+CJ141</f>
        <v>11356</v>
      </c>
      <c r="CP367" s="244">
        <f>CP167+CO167+CL167+CK167+CP141+CO141+CL141+CK141</f>
        <v>11924</v>
      </c>
      <c r="CQ367" s="244">
        <f>CQ167+CP167+CO167+CL167+CQ141+CP141+CO141+CL141</f>
        <v>12382</v>
      </c>
      <c r="CR367" s="244">
        <f>CR167+CQ167+CP167+CO167+CR141+CQ141+CP141+CO141</f>
        <v>12950</v>
      </c>
      <c r="CS367" s="171">
        <f>CR367</f>
        <v>12950</v>
      </c>
      <c r="CT367" s="244"/>
      <c r="CU367" s="244">
        <f>CU167+CR167+CQ167+CP167+CU141+CR141+CQ141+CP141</f>
        <v>13287</v>
      </c>
      <c r="CV367" s="244">
        <f>CV167+CU167+CR167+CQ167+CV141+CU141+CR141+CQ141</f>
        <v>13215</v>
      </c>
      <c r="CW367" s="244">
        <f>CW167+CV167+CU167+CR167+CW141+CV141+CU141+CR141</f>
        <v>13012</v>
      </c>
      <c r="CX367" s="244">
        <f>CX167+CW167+CV167+CU167+CX141+CW141+CV141+CU141</f>
        <v>12643</v>
      </c>
      <c r="CY367" s="171">
        <f>CX367</f>
        <v>12643</v>
      </c>
      <c r="CZ367" s="244"/>
      <c r="DA367" s="244">
        <f>DA167+CX167+CW167+CV167+DA141+CX141+CW141+CV141</f>
        <v>12140</v>
      </c>
      <c r="DB367" s="244">
        <f>DB167+DA167+CX167+CW167+DB141+DA141+CX141+CW141</f>
        <v>12078</v>
      </c>
      <c r="DC367" s="244">
        <f>DC167+DB167+DA167+CX167+DC141+DB141+DA141+CX141</f>
        <v>12712</v>
      </c>
      <c r="DD367" s="244">
        <f>DD167+DC167+DB167+DA167+DD141+DC141+DB141+DA141</f>
        <v>14560.3</v>
      </c>
      <c r="DE367" s="171">
        <f>DD367</f>
        <v>14560.3</v>
      </c>
      <c r="DF367" s="244"/>
      <c r="DG367" s="244">
        <f>DG167+DD167+DC167+DB167+DG141+DD141+DC141+DB141</f>
        <v>16456.3</v>
      </c>
      <c r="DH367" s="244">
        <f>DH167+DG167+DD167+DC167+DH141+DG141+DD141+DC141</f>
        <v>18283.3</v>
      </c>
      <c r="DI367" s="244">
        <f>DI167+DH167+DG167+DD167+DI141+DH141+DG141+DD141</f>
        <v>19615.3</v>
      </c>
      <c r="DJ367" s="244">
        <f>DJ167+DI167+DH167+DG167+DJ141+DI141+DH141+DG141</f>
        <v>19967</v>
      </c>
      <c r="DK367" s="171">
        <f>DJ367</f>
        <v>19967</v>
      </c>
      <c r="DL367" s="244"/>
      <c r="DM367" s="244">
        <f>DM167+DJ167+DI167+DH167+DM141+DJ141+DI141+DH141</f>
        <v>20158</v>
      </c>
      <c r="DN367" s="244">
        <f>DN167+DM167+DJ167+DI167+DN141+DM141+DJ141+DI141</f>
        <v>20197</v>
      </c>
      <c r="DO367" s="244">
        <f>DO167+DN167+DM167+DJ167+DO141+DN141+DM141+DJ141</f>
        <v>20139</v>
      </c>
      <c r="DP367" s="244">
        <f>DP167+DO167+DN167+DM167+DP141+DO141+DN141+DM141</f>
        <v>20009</v>
      </c>
      <c r="DQ367" s="171">
        <f>DP367</f>
        <v>20009</v>
      </c>
      <c r="DR367" s="244"/>
      <c r="DS367" s="244">
        <f>DS167+DP167+DO167+DN167+DS141+DP141+DO141+DN141</f>
        <v>19797</v>
      </c>
      <c r="DT367" s="244">
        <f>DT167+DS167+DP167+DO167+DT141+DS141+DP141+DO141</f>
        <v>19756</v>
      </c>
      <c r="DU367" s="244">
        <f>DU167+DT167+DS167+DP167+DU141+DT141+DS141+DP141</f>
        <v>19691</v>
      </c>
      <c r="DV367" s="244">
        <f>DV167+DU167+DT167+DS167+DV141+DU141+DT141+DS141</f>
        <v>19641</v>
      </c>
      <c r="DW367" s="171">
        <f>DV367</f>
        <v>19641</v>
      </c>
      <c r="DX367" s="244"/>
      <c r="DY367" s="244">
        <f>DY167+DV167+DU167+DT167+DY141+DV141+DU141+DT141</f>
        <v>19661</v>
      </c>
      <c r="DZ367" s="244">
        <f>DZ167+DY167+DV167+DU167+DZ141+DY141+DV141+DU141</f>
        <v>19857</v>
      </c>
      <c r="EA367" s="244">
        <f>EA167+DZ167+DY167+DV167+EA141+DZ141+DY141+DV141</f>
        <v>20014</v>
      </c>
      <c r="EB367" s="244">
        <f>EB167+EA167+DZ167+DY167+EB141+EA141+DZ141+DY141</f>
        <v>20196</v>
      </c>
      <c r="EC367" s="171">
        <f>EB367</f>
        <v>20196</v>
      </c>
      <c r="ED367" s="244"/>
      <c r="EE367" s="244">
        <f>EE167+EB167+EA167+DZ167+EE141+EB141+EA141+DZ141</f>
        <v>20336</v>
      </c>
      <c r="EF367" s="244">
        <f>EF167+EE167+EB167+EA167+EF141+EE141+EB141+EA141</f>
        <v>20516</v>
      </c>
      <c r="EG367" s="244">
        <f>EG167+EF167+EE167+EB167+EG141+EF141+EE141+EB141</f>
        <v>20695</v>
      </c>
      <c r="EH367" s="244">
        <f>EH167+EG167+EF167+EE167+EH141+EG141+EF141+EE141</f>
        <v>20859</v>
      </c>
      <c r="EI367" s="171">
        <f>EH367</f>
        <v>20859</v>
      </c>
      <c r="EJ367" s="244"/>
      <c r="EK367" s="244">
        <f>EK167+EH167+EG167+EF167+EK141+EH141+EG141+EF141</f>
        <v>21057</v>
      </c>
      <c r="EL367" s="244">
        <f>EL167+EK167+EH167+EG167+EL141+EK141+EH141+EG141</f>
        <v>21113</v>
      </c>
      <c r="EM367" s="244">
        <f>EM167+EL167+EK167+EH167+EM141+EL141+EK141+EH141</f>
        <v>21176</v>
      </c>
      <c r="EN367" s="244">
        <f>EN167+EM167+EL167+EK167+EN141+EM141+EL141+EK141</f>
        <v>21272</v>
      </c>
      <c r="EO367" s="171">
        <f>EN367</f>
        <v>21272</v>
      </c>
      <c r="EP367" s="244"/>
      <c r="EQ367" s="244">
        <f>EQ167+EN167+EM167+EL167+EQ141+EN141+EM141+EL141</f>
        <v>21505</v>
      </c>
      <c r="ER367" s="244">
        <f>ER167+EQ167+EN167+EM167+ER141+EQ141+EN141+EM141</f>
        <v>21495</v>
      </c>
      <c r="ES367" s="244">
        <f>ES167+ER167+EQ167+EN167+ES141+ER141+EQ141+EN141</f>
        <v>21634</v>
      </c>
      <c r="ET367" s="244">
        <f>ET167+ES167+ER167+EQ167+ET141+ES141+ER141+EQ141</f>
        <v>21730</v>
      </c>
      <c r="EU367" s="171">
        <f>ET367</f>
        <v>21730</v>
      </c>
      <c r="EV367" s="244"/>
      <c r="EW367" s="244">
        <f>EW167+ET167+ES167+ER167+EW141+ET141+ES141+ER141</f>
        <v>21947</v>
      </c>
      <c r="EX367" s="244">
        <f>EX167+EW167+ET167+ES167+EX141+EW141+ET141+ES141</f>
        <v>22114</v>
      </c>
      <c r="EY367" s="244">
        <f>EY167+EX167+EW167+ET167+EY141+EX141+EW141+ET141</f>
        <v>22271</v>
      </c>
      <c r="EZ367" s="244">
        <f>EZ167+EY167+EX167+EW167+EZ141+EY141+EX141+EW141</f>
        <v>22353.534001614575</v>
      </c>
      <c r="FA367" s="171">
        <f>EZ367</f>
        <v>22353.534001614575</v>
      </c>
      <c r="FB367" s="244"/>
      <c r="FC367" s="244">
        <f>FC167+EZ167+EY167+EX167+FC141+EZ141+EY141+EX141</f>
        <v>22515.248466939236</v>
      </c>
      <c r="FD367" s="244">
        <f>FD167+FC167+EZ167+EY167+FD141+FC141+EZ141+EY141</f>
        <v>22687.256487098566</v>
      </c>
      <c r="FE367" s="244">
        <f>FE167+FD167+FC167+EZ167+FE141+FD141+FC141+EZ141</f>
        <v>22828.60196799221</v>
      </c>
      <c r="FF367" s="244">
        <f>FF167+FE167+FD167+FC167+FF141+FE141+FD141+FC141</f>
        <v>22924.867657313647</v>
      </c>
      <c r="FG367" s="171">
        <f>FF367</f>
        <v>22924.867657313647</v>
      </c>
      <c r="FH367" s="244"/>
      <c r="FI367" s="244">
        <f>FI167+FF167+FE167+FD167+FI141+FF141+FE141+FD141</f>
        <v>23052.363922623121</v>
      </c>
      <c r="FJ367" s="244">
        <f>FJ167+FI167+FF167+FE167+FJ141+FI141+FF141+FE141</f>
        <v>23206.058470043434</v>
      </c>
      <c r="FK367" s="244">
        <f>FK167+FJ167+FI167+FF167+FK141+FJ141+FI141+FF141</f>
        <v>23381.307336506656</v>
      </c>
      <c r="FL367" s="244">
        <f>FL167+FK167+FJ167+FI167+FL141+FK141+FJ141+FI141</f>
        <v>23575.843035823425</v>
      </c>
      <c r="FM367" s="171">
        <f>FL367</f>
        <v>23575.843035823425</v>
      </c>
      <c r="FN367" s="27"/>
      <c r="FO367" s="27"/>
      <c r="FP367" s="27"/>
      <c r="FQ367" s="27"/>
      <c r="FR367" s="27"/>
      <c r="FS367" s="27"/>
      <c r="FT367" s="27"/>
      <c r="FU367" s="27"/>
      <c r="FV367" s="27"/>
      <c r="FW367" s="27"/>
      <c r="FX367" s="27"/>
      <c r="FY367" s="27"/>
      <c r="FZ367" s="27"/>
      <c r="GA367" s="27"/>
      <c r="GB367" s="27"/>
      <c r="GC367" s="27"/>
      <c r="GD367" s="27"/>
      <c r="GE367" s="27"/>
      <c r="GF367" s="27"/>
      <c r="GG367" s="27"/>
      <c r="GH367" s="27"/>
      <c r="GI367"/>
      <c r="GJ367"/>
      <c r="GK367"/>
      <c r="GL367"/>
      <c r="GM367"/>
      <c r="GN367"/>
      <c r="GO367" s="27"/>
      <c r="GP367"/>
      <c r="GQ367"/>
      <c r="GR367"/>
      <c r="GS367"/>
      <c r="GT367"/>
      <c r="GU367"/>
      <c r="GV367"/>
      <c r="GW367"/>
      <c r="GX367"/>
      <c r="GY367"/>
      <c r="GZ367"/>
      <c r="HA367"/>
      <c r="HB367"/>
      <c r="HC367"/>
      <c r="HD367"/>
      <c r="HE367"/>
      <c r="HF367"/>
      <c r="HG367"/>
      <c r="HH367"/>
      <c r="HI367"/>
      <c r="HJ367"/>
      <c r="HK367"/>
      <c r="HL367"/>
      <c r="HM367"/>
      <c r="HN367"/>
      <c r="HO367"/>
      <c r="HP367"/>
      <c r="HQ367"/>
      <c r="HR367"/>
      <c r="HS367"/>
      <c r="HT367"/>
      <c r="HU367"/>
      <c r="HV367"/>
      <c r="HW367"/>
      <c r="HX367"/>
      <c r="HY367"/>
      <c r="HZ367"/>
      <c r="IA367"/>
      <c r="IB367"/>
      <c r="IC367"/>
      <c r="ID367"/>
      <c r="IE367"/>
      <c r="IF367"/>
      <c r="IG367"/>
      <c r="IH367"/>
      <c r="II367"/>
      <c r="IJ367"/>
      <c r="IK367"/>
      <c r="IL367"/>
      <c r="IM367"/>
      <c r="IN367"/>
      <c r="IO367"/>
      <c r="IP367"/>
      <c r="IQ367"/>
      <c r="IR367"/>
      <c r="IS367"/>
      <c r="IT367"/>
      <c r="IU367"/>
      <c r="IV367"/>
      <c r="IW367"/>
      <c r="IX367"/>
      <c r="IY367"/>
      <c r="IZ367"/>
      <c r="JA367"/>
      <c r="JB367"/>
      <c r="JC367"/>
      <c r="JD367"/>
      <c r="JE367"/>
      <c r="JF367"/>
      <c r="JG367"/>
      <c r="JH367"/>
      <c r="JI367"/>
      <c r="JJ367"/>
      <c r="JK367"/>
      <c r="JL367"/>
      <c r="JM367"/>
      <c r="JN367"/>
      <c r="JO367"/>
      <c r="JP367"/>
      <c r="JQ367"/>
      <c r="JR367"/>
      <c r="JS367"/>
      <c r="JT367"/>
      <c r="JU367"/>
    </row>
    <row r="368" spans="1:281" s="24" customFormat="1" hidden="1" outlineLevel="1" x14ac:dyDescent="0.2">
      <c r="A368" s="244" t="s">
        <v>723</v>
      </c>
      <c r="B368" s="954" t="s">
        <v>724</v>
      </c>
      <c r="C368" s="244">
        <f t="shared" ref="C368:M368" si="252">C169</f>
        <v>2.6065749999999994</v>
      </c>
      <c r="D368" s="244">
        <f t="shared" si="252"/>
        <v>2.7318180000000005</v>
      </c>
      <c r="E368" s="244">
        <f t="shared" si="252"/>
        <v>10.847620000000006</v>
      </c>
      <c r="F368" s="244">
        <f t="shared" si="252"/>
        <v>28.385000000000005</v>
      </c>
      <c r="G368" s="244">
        <f t="shared" si="252"/>
        <v>63.893000000000001</v>
      </c>
      <c r="H368" s="244">
        <f t="shared" si="252"/>
        <v>123.08699999999999</v>
      </c>
      <c r="I368" s="244">
        <f t="shared" si="252"/>
        <v>135.33899999999994</v>
      </c>
      <c r="J368" s="244">
        <f t="shared" si="252"/>
        <v>26.778999999999996</v>
      </c>
      <c r="K368" s="244">
        <f t="shared" si="252"/>
        <v>114.16700000000003</v>
      </c>
      <c r="L368" s="244">
        <f t="shared" si="252"/>
        <v>241.14100000000008</v>
      </c>
      <c r="M368" s="244">
        <f t="shared" si="252"/>
        <v>419.95299999999997</v>
      </c>
      <c r="N368" s="244"/>
      <c r="O368" s="59" t="s">
        <v>945</v>
      </c>
      <c r="P368" s="59" t="s">
        <v>945</v>
      </c>
      <c r="Q368" s="59" t="s">
        <v>945</v>
      </c>
      <c r="R368" s="244">
        <f>R169</f>
        <v>269.3950000000001</v>
      </c>
      <c r="S368" s="244">
        <f>S169</f>
        <v>649.22100000000012</v>
      </c>
      <c r="T368" s="244"/>
      <c r="U368" s="244">
        <f>U169+R169+Q169+P169</f>
        <v>686.80000000000007</v>
      </c>
      <c r="V368" s="244">
        <f>V169+U169+R169+Q169</f>
        <v>753.29600000000005</v>
      </c>
      <c r="W368" s="244">
        <f>W169+V169+U169+R169</f>
        <v>818.88700000000006</v>
      </c>
      <c r="X368" s="244">
        <f>X169+W169+V169+U169</f>
        <v>955.63799999999981</v>
      </c>
      <c r="Y368" s="244">
        <f>Y169</f>
        <v>955.63799999999981</v>
      </c>
      <c r="Z368" s="244"/>
      <c r="AA368" s="244">
        <f>AA169+X169+W169+V169</f>
        <v>999.38999999999987</v>
      </c>
      <c r="AB368" s="244">
        <f>AB169+AA169+X169+W169</f>
        <v>1069.1500000000001</v>
      </c>
      <c r="AC368" s="244">
        <f>AC169+AB169+AA169+X169</f>
        <v>1146.136</v>
      </c>
      <c r="AD368" s="244">
        <f>AD169+AC169+AB169+AA169</f>
        <v>1299.7850000000001</v>
      </c>
      <c r="AE368" s="244">
        <f>AE169</f>
        <v>1299.7850000000001</v>
      </c>
      <c r="AF368" s="244"/>
      <c r="AG368" s="244">
        <f>AG169+AD169+AC169+AB169</f>
        <v>1346.94</v>
      </c>
      <c r="AH368" s="244">
        <f>AH169+AG169+AD169+AC169</f>
        <v>1344.7579999999998</v>
      </c>
      <c r="AI368" s="244">
        <f>AI169+AH169+AG169+AD169</f>
        <v>1366.1030000000001</v>
      </c>
      <c r="AJ368" s="244">
        <f>AJ169+AI169+AH169+AG169</f>
        <v>1411.2519999999995</v>
      </c>
      <c r="AK368" s="244">
        <f>AK169</f>
        <v>1411.2519999999995</v>
      </c>
      <c r="AL368" s="244"/>
      <c r="AM368" s="244">
        <f>AM169+AJ169+AI169+AH169</f>
        <v>1473.0589999999993</v>
      </c>
      <c r="AN368" s="244">
        <f>AN169+AM169+AJ169+AI169</f>
        <v>1583.1189999999999</v>
      </c>
      <c r="AO368" s="244">
        <f>AO169+AN169+AM169+AJ169</f>
        <v>1671.5260000000001</v>
      </c>
      <c r="AP368" s="244">
        <f>AP169+AO169+AN169+AM169</f>
        <v>1872.8810000000003</v>
      </c>
      <c r="AQ368" s="244">
        <f>AQ169</f>
        <v>1872.8810000000003</v>
      </c>
      <c r="AR368" s="244"/>
      <c r="AS368" s="244">
        <f>AS169+AP169+AO169+AN169</f>
        <v>1940.9080000000001</v>
      </c>
      <c r="AT368" s="244">
        <f>AT169+AS169+AP169+AO169</f>
        <v>2134.9069999999997</v>
      </c>
      <c r="AU368" s="244">
        <f>AU169+AT169+AS169+AP169</f>
        <v>2497.9479999999994</v>
      </c>
      <c r="AV368" s="244">
        <f>AV169+AU169+AT169+AS169</f>
        <v>3080.1599999999994</v>
      </c>
      <c r="AW368" s="244">
        <f>AW169</f>
        <v>3080.16</v>
      </c>
      <c r="AX368" s="244"/>
      <c r="AY368" s="244">
        <f>AY169+AV169+AU169+AT169</f>
        <v>3392.3379999999997</v>
      </c>
      <c r="AZ368" s="244">
        <f>AZ169+AY169+AV169+AU169</f>
        <v>3762.2739999999999</v>
      </c>
      <c r="BA368" s="244">
        <f>BA169+AZ169+AY169+AV169</f>
        <v>3870.6760000000004</v>
      </c>
      <c r="BB368" s="244">
        <f>BB169+BA169+AZ169+AY169</f>
        <v>3777.0909999999999</v>
      </c>
      <c r="BC368" s="244">
        <f>BC169</f>
        <v>3777.0909999999994</v>
      </c>
      <c r="BD368" s="244"/>
      <c r="BE368" s="244">
        <f>BE169+BB169+BA169+AZ169</f>
        <v>3864.8279999999991</v>
      </c>
      <c r="BF368" s="244">
        <f>BF169+BE169+BB169+BA169</f>
        <v>3738.7709999999993</v>
      </c>
      <c r="BG368" s="244">
        <f>BG169+BF169+BE169+BB169</f>
        <v>3639.3869999999988</v>
      </c>
      <c r="BH368" s="244">
        <f>BH169+BG169+BF169+BE169</f>
        <v>3570.9319999999993</v>
      </c>
      <c r="BI368" s="244">
        <f>BI169</f>
        <v>3570.9319999999993</v>
      </c>
      <c r="BJ368" s="244"/>
      <c r="BK368" s="244">
        <f>BK169+BH169+BG169+BF169</f>
        <v>3405.1539999999995</v>
      </c>
      <c r="BL368" s="244">
        <f>BL169+BK169+BH169+BG169</f>
        <v>3379.2099999999996</v>
      </c>
      <c r="BM368" s="244">
        <f>BM169+BL169+BK169+BH169</f>
        <v>3396.471</v>
      </c>
      <c r="BN368" s="244">
        <f>BN169+BM169+BL169+BK169</f>
        <v>3440.4</v>
      </c>
      <c r="BO368" s="244">
        <f>BO169</f>
        <v>3440.4</v>
      </c>
      <c r="BP368" s="244"/>
      <c r="BQ368" s="244">
        <f>BQ169+BN169+BM169+BL169</f>
        <v>3476.4</v>
      </c>
      <c r="BR368" s="244">
        <f>BR169+BQ169+BN169+BM169</f>
        <v>3597.4</v>
      </c>
      <c r="BS368" s="244">
        <f>BS169+BR169+BQ169+BN169</f>
        <v>3728.4</v>
      </c>
      <c r="BT368" s="244">
        <f>BT169+BS169+BR169+BQ169</f>
        <v>3864</v>
      </c>
      <c r="BU368" s="244">
        <f>BU169</f>
        <v>3864</v>
      </c>
      <c r="BV368" s="244"/>
      <c r="BW368" s="244">
        <f>BW169+BT169+BS169+BR169</f>
        <v>3991.5</v>
      </c>
      <c r="BX368" s="244">
        <f>BX169+BW169+BT169+BS169</f>
        <v>4230.8</v>
      </c>
      <c r="BY368" s="244">
        <f>BY169+BX169+BW169+BT169</f>
        <v>4481.8</v>
      </c>
      <c r="BZ368" s="244">
        <f>BZ169+BY169+BX169+BW169</f>
        <v>4940.8</v>
      </c>
      <c r="CA368" s="244">
        <f>CA169</f>
        <v>4940.8</v>
      </c>
      <c r="CB368" s="244"/>
      <c r="CC368" s="244">
        <f>CC169+BZ169+BY169+BX169</f>
        <v>5219.3</v>
      </c>
      <c r="CD368" s="244">
        <f>CD169+CC169+BZ169+BY169</f>
        <v>5426</v>
      </c>
      <c r="CE368" s="244">
        <f>CE169+CD169+CC169+BZ169</f>
        <v>5631.4</v>
      </c>
      <c r="CF368" s="244">
        <f>CF169+CE169+CD169+CC169</f>
        <v>5967.25</v>
      </c>
      <c r="CG368" s="171">
        <f>CG169</f>
        <v>5967.25</v>
      </c>
      <c r="CH368" s="244"/>
      <c r="CI368" s="244">
        <f>CI169+CF169+CE169+CD169</f>
        <v>6263.25</v>
      </c>
      <c r="CJ368" s="244">
        <f>CJ169+CI169+CF169+CE169</f>
        <v>6536.25</v>
      </c>
      <c r="CK368" s="244">
        <f>CK169+CJ169+CI169+CF169</f>
        <v>6907.85</v>
      </c>
      <c r="CL368" s="244">
        <f>CL169+CK169+CJ169+CI169</f>
        <v>7421</v>
      </c>
      <c r="CM368" s="171">
        <f>CM169</f>
        <v>7421</v>
      </c>
      <c r="CN368" s="244"/>
      <c r="CO368" s="244">
        <f>CO169+CL169+CK169+CJ169</f>
        <v>7785</v>
      </c>
      <c r="CP368" s="244">
        <f>CP169+CO169+CL169+CK169</f>
        <v>8365</v>
      </c>
      <c r="CQ368" s="244">
        <f>CQ169+CP169+CO169+CL169</f>
        <v>8829</v>
      </c>
      <c r="CR368" s="244">
        <f>CR169+CQ169+CP169+CO169</f>
        <v>9659</v>
      </c>
      <c r="CS368" s="171">
        <f>CS169</f>
        <v>9659</v>
      </c>
      <c r="CT368" s="244"/>
      <c r="CU368" s="244">
        <f>CU169+CR169+CQ169+CP169</f>
        <v>10151</v>
      </c>
      <c r="CV368" s="244">
        <f>CV169+CU169+CR169+CQ169</f>
        <v>10546</v>
      </c>
      <c r="CW368" s="244">
        <f>CW169+CV169+CU169+CR169</f>
        <v>10882</v>
      </c>
      <c r="CX368" s="244">
        <f>CX169+CW169+CV169+CU169</f>
        <v>10851</v>
      </c>
      <c r="CY368" s="171">
        <f>CY169</f>
        <v>10851</v>
      </c>
      <c r="CZ368" s="244"/>
      <c r="DA368" s="244">
        <f>DA169+CX169+CW169+CV169</f>
        <v>10995</v>
      </c>
      <c r="DB368" s="244">
        <f>DB169+DA169+CX169+CW169</f>
        <v>11242</v>
      </c>
      <c r="DC368" s="244">
        <f>DC169+DB169+DA169+CX169</f>
        <v>11573.4</v>
      </c>
      <c r="DD368" s="244">
        <f>DD169+DC169+DB169+DA169</f>
        <v>12475.099999999999</v>
      </c>
      <c r="DE368" s="171">
        <f>DE169</f>
        <v>12475.099999999999</v>
      </c>
      <c r="DF368" s="244"/>
      <c r="DG368" s="244">
        <f>DG169+DD169+DC169+DB169</f>
        <v>13104.099999999999</v>
      </c>
      <c r="DH368" s="244">
        <f>DH169+DG169+DD169+DC169</f>
        <v>14099.1</v>
      </c>
      <c r="DI368" s="244">
        <f>DI169+DH169+DG169+DD169</f>
        <v>15104.7</v>
      </c>
      <c r="DJ368" s="244">
        <f>DJ169+DI169+DH169+DG169</f>
        <v>15928</v>
      </c>
      <c r="DK368" s="171">
        <f>DK169</f>
        <v>15928</v>
      </c>
      <c r="DL368" s="244"/>
      <c r="DM368" s="244">
        <f>DM169+DJ169+DI169+DH169</f>
        <v>16547</v>
      </c>
      <c r="DN368" s="244">
        <f>DN169+DM169+DJ169+DI169</f>
        <v>16625</v>
      </c>
      <c r="DO368" s="244">
        <f>DO169+DN169+DM169+DJ169</f>
        <v>16938.339200000002</v>
      </c>
      <c r="DP368" s="244">
        <f>DP169+DO169+DN169+DM169</f>
        <v>17212.498899999999</v>
      </c>
      <c r="DQ368" s="171">
        <f>DQ169</f>
        <v>17212.498899999999</v>
      </c>
      <c r="DR368" s="244"/>
      <c r="DS368" s="244">
        <f>DS169+DP169+DO169+DN169</f>
        <v>17235.498899999999</v>
      </c>
      <c r="DT368" s="244">
        <f>DT169+DS169+DP169+DO169</f>
        <v>17578.498899999999</v>
      </c>
      <c r="DU368" s="244">
        <f>DU169+DT169+DS169+DP169</f>
        <v>17551.1597</v>
      </c>
      <c r="DV368" s="244">
        <f>DV169+DU169+DT169+DS169</f>
        <v>17612</v>
      </c>
      <c r="DW368" s="171">
        <f>DW169</f>
        <v>17612</v>
      </c>
      <c r="DX368" s="244"/>
      <c r="DY368" s="244">
        <f>DY169+DV169+DU169+DT169</f>
        <v>17764</v>
      </c>
      <c r="DZ368" s="244">
        <f>DZ169+DY169+DV169+DU169</f>
        <v>17738</v>
      </c>
      <c r="EA368" s="244">
        <f>EA169+DZ169+DY169+DV169</f>
        <v>17926</v>
      </c>
      <c r="EB368" s="244">
        <f>EB169+EA169+DZ169+DY169</f>
        <v>18109</v>
      </c>
      <c r="EC368" s="171">
        <f>EC169</f>
        <v>18109</v>
      </c>
      <c r="ED368" s="244"/>
      <c r="EE368" s="244">
        <f>EE169+EB169+EA169+DZ169</f>
        <v>18187</v>
      </c>
      <c r="EF368" s="244">
        <f>EF169+EE169+EB169+EA169</f>
        <v>18332</v>
      </c>
      <c r="EG368" s="244">
        <f>EG169+EF169+EE169+EB169</f>
        <v>18172</v>
      </c>
      <c r="EH368" s="244">
        <f>EH169+EG169+EF169+EE169</f>
        <v>17394</v>
      </c>
      <c r="EI368" s="171">
        <f>EI169</f>
        <v>17394</v>
      </c>
      <c r="EJ368" s="244"/>
      <c r="EK368" s="244">
        <f>EK169+EH169+EG169+EF169</f>
        <v>17048</v>
      </c>
      <c r="EL368" s="244">
        <f>EL169+EK169+EH169+EG169</f>
        <v>16380</v>
      </c>
      <c r="EM368" s="244">
        <f>EM169+EL169+EK169+EH169</f>
        <v>15997</v>
      </c>
      <c r="EN368" s="244">
        <f>EN169+EM169+EL169+EK169</f>
        <v>15785</v>
      </c>
      <c r="EO368" s="171">
        <f>EO169</f>
        <v>15785</v>
      </c>
      <c r="EP368" s="244"/>
      <c r="EQ368" s="244">
        <f>EQ169+EN169+EM169+EL169</f>
        <v>15714</v>
      </c>
      <c r="ER368" s="244">
        <f>ER169+EQ169+EN169+EM169</f>
        <v>15797.779999999999</v>
      </c>
      <c r="ES368" s="244">
        <f>ES169+ER169+EQ169+EN169</f>
        <v>15918.779999999999</v>
      </c>
      <c r="ET368" s="244">
        <f>ET169+ES169+ER169+EQ169</f>
        <v>16167.779999999999</v>
      </c>
      <c r="EU368" s="171">
        <f>EU169</f>
        <v>16167.779999999999</v>
      </c>
      <c r="EV368" s="244"/>
      <c r="EW368" s="244">
        <f>EW169+ET169+ES169+ER169</f>
        <v>16549.78</v>
      </c>
      <c r="EX368" s="244">
        <f>EX169+EW169+ET169+ES169</f>
        <v>16943</v>
      </c>
      <c r="EY368" s="244">
        <f>EY169+EX169+EW169+ET169</f>
        <v>17288</v>
      </c>
      <c r="EZ368" s="244">
        <f>EZ169+EY169+EX169+EW169</f>
        <v>17454.138664483144</v>
      </c>
      <c r="FA368" s="171">
        <f>FA169</f>
        <v>17454.138664483144</v>
      </c>
      <c r="FB368" s="244"/>
      <c r="FC368" s="244">
        <f>FC169+EZ169+EY169+EX169</f>
        <v>17629.818858275852</v>
      </c>
      <c r="FD368" s="244">
        <f>FD169+FC169+EZ169+EY169</f>
        <v>17809.687870179703</v>
      </c>
      <c r="FE368" s="244">
        <f>FE169+FD169+FC169+EZ169</f>
        <v>17984.177880846088</v>
      </c>
      <c r="FF368" s="244">
        <f>FF169+FE169+FD169+FC169</f>
        <v>18101.716715675662</v>
      </c>
      <c r="FG368" s="171">
        <f>FG169</f>
        <v>18101.716715675662</v>
      </c>
      <c r="FH368" s="244"/>
      <c r="FI368" s="244">
        <f>FI169+FF169+FE169+FD169</f>
        <v>18364.420323595463</v>
      </c>
      <c r="FJ368" s="244">
        <f>FJ169+FI169+FF169+FE169</f>
        <v>18571.702347374718</v>
      </c>
      <c r="FK368" s="244">
        <f>FK169+FJ169+FI169+FF169</f>
        <v>18744.626108107252</v>
      </c>
      <c r="FL368" s="244">
        <f>FL169+FK169+FJ169+FI169</f>
        <v>18823.012904150703</v>
      </c>
      <c r="FM368" s="171">
        <f>FM169</f>
        <v>18823.012904150703</v>
      </c>
      <c r="FN368" s="27"/>
      <c r="FO368" s="27"/>
      <c r="FP368" s="27"/>
      <c r="FQ368" s="27"/>
      <c r="FR368" s="27"/>
      <c r="FS368" s="27"/>
      <c r="FT368" s="27"/>
      <c r="FU368" s="27"/>
      <c r="FV368" s="27"/>
      <c r="FW368" s="27"/>
      <c r="FX368" s="27"/>
      <c r="FY368" s="27"/>
      <c r="FZ368" s="27"/>
      <c r="GA368" s="27"/>
      <c r="GB368" s="27"/>
      <c r="GC368" s="27"/>
      <c r="GD368" s="27"/>
      <c r="GE368" s="27"/>
      <c r="GF368" s="27"/>
      <c r="GG368" s="27"/>
      <c r="GH368" s="27"/>
      <c r="GI368"/>
      <c r="GJ368"/>
      <c r="GK368"/>
      <c r="GL368"/>
      <c r="GM368"/>
      <c r="GN368"/>
      <c r="GO368" s="27"/>
      <c r="GP368"/>
      <c r="GQ368"/>
      <c r="GR368"/>
      <c r="GS368"/>
      <c r="GT368"/>
      <c r="GU368"/>
      <c r="GV368"/>
      <c r="GW368"/>
      <c r="GX368"/>
      <c r="GY368"/>
      <c r="GZ368"/>
      <c r="HA368"/>
      <c r="HB368"/>
      <c r="HC368"/>
      <c r="HD368"/>
      <c r="HE368"/>
      <c r="HF368"/>
      <c r="HG368"/>
      <c r="HH368"/>
      <c r="HI368"/>
      <c r="HJ368"/>
      <c r="HK368"/>
      <c r="HL368"/>
      <c r="HM368"/>
      <c r="HN368"/>
      <c r="HO368"/>
      <c r="HP368"/>
      <c r="HQ368"/>
      <c r="HR368"/>
      <c r="HS368"/>
      <c r="HT368"/>
      <c r="HU368"/>
      <c r="HV368"/>
      <c r="HW368"/>
      <c r="HX368"/>
      <c r="HY368"/>
      <c r="HZ368"/>
      <c r="IA368"/>
      <c r="IB368"/>
      <c r="IC368"/>
      <c r="ID368"/>
      <c r="IE368"/>
      <c r="IF368"/>
      <c r="IG368"/>
      <c r="IH368"/>
      <c r="II368"/>
      <c r="IJ368"/>
      <c r="IK368"/>
      <c r="IL368"/>
      <c r="IM368"/>
      <c r="IN368"/>
      <c r="IO368"/>
      <c r="IP368"/>
      <c r="IQ368"/>
      <c r="IR368"/>
      <c r="IS368"/>
      <c r="IT368"/>
      <c r="IU368"/>
      <c r="IV368"/>
      <c r="IW368"/>
      <c r="IX368"/>
      <c r="IY368"/>
      <c r="IZ368"/>
      <c r="JA368"/>
      <c r="JB368"/>
      <c r="JC368"/>
      <c r="JD368"/>
      <c r="JE368"/>
      <c r="JF368"/>
      <c r="JG368"/>
      <c r="JH368"/>
      <c r="JI368"/>
      <c r="JJ368"/>
      <c r="JK368"/>
      <c r="JL368"/>
      <c r="JM368"/>
      <c r="JN368"/>
      <c r="JO368"/>
      <c r="JP368"/>
      <c r="JQ368"/>
      <c r="JR368"/>
      <c r="JS368"/>
      <c r="JT368"/>
      <c r="JU368"/>
    </row>
    <row r="369" spans="1:281" s="24" customFormat="1" hidden="1" outlineLevel="1" x14ac:dyDescent="0.2">
      <c r="A369" s="244" t="s">
        <v>725</v>
      </c>
      <c r="B369" s="954" t="s">
        <v>726</v>
      </c>
      <c r="C369" s="244">
        <f>(C365-C367)/C365</f>
        <v>0.20499999999999996</v>
      </c>
      <c r="D369" s="244">
        <f t="shared" ref="D369:M369" si="253">(D365-D367)/D365</f>
        <v>0.11800000000000004</v>
      </c>
      <c r="E369" s="244">
        <f t="shared" si="253"/>
        <v>0.19600000000000012</v>
      </c>
      <c r="F369" s="244">
        <f t="shared" si="253"/>
        <v>0.21626831442525282</v>
      </c>
      <c r="G369" s="244">
        <f t="shared" si="253"/>
        <v>0.22648016929386441</v>
      </c>
      <c r="H369" s="244">
        <f t="shared" si="253"/>
        <v>0.21083761562178829</v>
      </c>
      <c r="I369" s="244">
        <f t="shared" si="253"/>
        <v>0.14768712011261576</v>
      </c>
      <c r="J369" s="244">
        <f t="shared" si="253"/>
        <v>2.6050903303568556E-2</v>
      </c>
      <c r="K369" s="244">
        <f t="shared" si="253"/>
        <v>9.6833757421543612E-2</v>
      </c>
      <c r="L369" s="244">
        <f t="shared" si="253"/>
        <v>0.16043978709248174</v>
      </c>
      <c r="M369" s="244">
        <f t="shared" si="253"/>
        <v>0.20985614749940909</v>
      </c>
      <c r="N369" s="244"/>
      <c r="O369" s="59" t="s">
        <v>945</v>
      </c>
      <c r="P369" s="59" t="s">
        <v>945</v>
      </c>
      <c r="Q369" s="59" t="s">
        <v>945</v>
      </c>
      <c r="R369" s="244">
        <f>(R365-R367)/R365</f>
        <v>0.21882295126392118</v>
      </c>
      <c r="S369" s="244">
        <f>(S365-S367)/S365</f>
        <v>0.21882295126392107</v>
      </c>
      <c r="T369" s="244"/>
      <c r="U369" s="244">
        <f>(U365-U367)/U365</f>
        <v>0.21582505474973818</v>
      </c>
      <c r="V369" s="244">
        <f>(V365-V367)/V365</f>
        <v>0.21653113158166293</v>
      </c>
      <c r="W369" s="244">
        <f>(W365-W367)/W365</f>
        <v>0.21681337788108362</v>
      </c>
      <c r="X369" s="244">
        <f>(X365-X367)/X365</f>
        <v>0.22628741431682198</v>
      </c>
      <c r="Y369" s="244">
        <f>(Y365-Y367)/Y365</f>
        <v>0.22628741431682198</v>
      </c>
      <c r="Z369" s="244"/>
      <c r="AA369" s="244">
        <f>(AA365-AA367)/AA365</f>
        <v>0.22190756260724676</v>
      </c>
      <c r="AB369" s="244">
        <f>(AB365-AB367)/AB365</f>
        <v>0.22053401347564602</v>
      </c>
      <c r="AC369" s="244">
        <f>(AC365-AC367)/AC365</f>
        <v>0.22039470584740073</v>
      </c>
      <c r="AD369" s="244">
        <f>(AD365-AD367)/AD365</f>
        <v>0.22866083215348268</v>
      </c>
      <c r="AE369" s="244">
        <f>(AE365-AE367)/AE365</f>
        <v>0.22866083215348268</v>
      </c>
      <c r="AF369" s="244"/>
      <c r="AG369" s="244">
        <f>(AG365-AG367)/AG365</f>
        <v>0.22445838877691388</v>
      </c>
      <c r="AH369" s="244">
        <f>(AH365-AH367)/AH365</f>
        <v>0.21334531878178037</v>
      </c>
      <c r="AI369" s="244">
        <f>(AI365-AI367)/AI365</f>
        <v>0.20452655298582498</v>
      </c>
      <c r="AJ369" s="244">
        <f>(AJ365-AJ367)/AJ365</f>
        <v>0.1975474060610046</v>
      </c>
      <c r="AK369" s="244">
        <f>(AK365-AK367)/AK365</f>
        <v>0.1975474060610046</v>
      </c>
      <c r="AL369" s="244"/>
      <c r="AM369" s="244">
        <f>(AM365-AM367)/AM365</f>
        <v>0.19577754129471411</v>
      </c>
      <c r="AN369" s="244">
        <f>(AN365-AN367)/AN365</f>
        <v>0.19872541601162083</v>
      </c>
      <c r="AO369" s="244">
        <f>(AO365-AO367)/AO365</f>
        <v>0.201472977789381</v>
      </c>
      <c r="AP369" s="244">
        <f>(AP365-AP367)/AP365</f>
        <v>0.21217033341746674</v>
      </c>
      <c r="AQ369" s="244">
        <f>(AQ365-AQ367)/AQ365</f>
        <v>0.21217033341746674</v>
      </c>
      <c r="AR369" s="244"/>
      <c r="AS369" s="244">
        <f>(AS365-AS367)/AS365</f>
        <v>0.21416540112565191</v>
      </c>
      <c r="AT369" s="244">
        <f>(AT365-AT367)/AT365</f>
        <v>0.22885614751541436</v>
      </c>
      <c r="AU369" s="244">
        <f>(AU365-AU367)/AU365</f>
        <v>0.25754441444852177</v>
      </c>
      <c r="AV369" s="244">
        <f>(AV365-AV367)/AV365</f>
        <v>0.30405933666386048</v>
      </c>
      <c r="AW369" s="244">
        <f>(AW365-AW367)/AW365</f>
        <v>0.30405933666386048</v>
      </c>
      <c r="AX369" s="244"/>
      <c r="AY369" s="244">
        <f>(AY365-AY367)/AY365</f>
        <v>0.32513581358232607</v>
      </c>
      <c r="AZ369" s="244">
        <f>(AZ365-AZ367)/AZ365</f>
        <v>0.34841909634707052</v>
      </c>
      <c r="BA369" s="244">
        <f>(BA365-BA367)/BA365</f>
        <v>0.35045322800687972</v>
      </c>
      <c r="BB369" s="244">
        <f>(BB365-BB367)/BB365</f>
        <v>0.34460333343916605</v>
      </c>
      <c r="BC369" s="244">
        <f>(BC365-BC367)/BC365</f>
        <v>0.34460333343916605</v>
      </c>
      <c r="BD369" s="244"/>
      <c r="BE369" s="244">
        <f>(BE365-BE367)/BE365</f>
        <v>0.35334746481339185</v>
      </c>
      <c r="BF369" s="244">
        <f>(BF365-BF367)/BF365</f>
        <v>0.35165979670015862</v>
      </c>
      <c r="BG369" s="244">
        <f>(BG365-BG367)/BG365</f>
        <v>0.35718637728650054</v>
      </c>
      <c r="BH369" s="244">
        <f>(BH365-BH367)/BH365</f>
        <v>0.3691727921811207</v>
      </c>
      <c r="BI369" s="244">
        <f>(BI365-BI367)/BI365</f>
        <v>0.3691727921811207</v>
      </c>
      <c r="BJ369" s="244"/>
      <c r="BK369" s="244">
        <f>(BK365-BK367)/BK365</f>
        <v>0.36087839658116827</v>
      </c>
      <c r="BL369" s="244">
        <f>(BL365-BL367)/BL365</f>
        <v>0.36086089073813404</v>
      </c>
      <c r="BM369" s="244">
        <f>(BM365-BM367)/BM365</f>
        <v>0.36063684987260014</v>
      </c>
      <c r="BN369" s="244">
        <f>(BN365-BN367)/BN365</f>
        <v>0.36308757413935028</v>
      </c>
      <c r="BO369" s="244">
        <f>(BO365-BO367)/BO365</f>
        <v>0.36308757413935028</v>
      </c>
      <c r="BP369" s="244"/>
      <c r="BQ369" s="244">
        <f>(BQ365-BQ367)/BQ365</f>
        <v>0.36519108347164736</v>
      </c>
      <c r="BR369" s="244">
        <f>(BR365-BR367)/BR365</f>
        <v>0.37054509496930493</v>
      </c>
      <c r="BS369" s="244">
        <f>(BS365-BS367)/BS365</f>
        <v>0.37621084920891185</v>
      </c>
      <c r="BT369" s="244">
        <f>(BT365-BT367)/BT365</f>
        <v>0.38046474990153606</v>
      </c>
      <c r="BU369" s="244">
        <f>(BU365-BU367)/BU365</f>
        <v>0.38046474990153606</v>
      </c>
      <c r="BV369" s="244"/>
      <c r="BW369" s="244">
        <f>(BW365-BW367)/BW365</f>
        <v>0.38756189921351586</v>
      </c>
      <c r="BX369" s="244">
        <f>(BX365-BX367)/BX365</f>
        <v>0.40075779103912096</v>
      </c>
      <c r="BY369" s="244">
        <f>(BY365-BY367)/BY365</f>
        <v>0.40227986715734676</v>
      </c>
      <c r="BZ369" s="244">
        <f>(BZ365-BZ367)/BZ365</f>
        <v>0.4076904034986385</v>
      </c>
      <c r="CA369" s="244">
        <f>(CA365-CA367)/CA365</f>
        <v>0.4076904034986385</v>
      </c>
      <c r="CB369" s="244"/>
      <c r="CC369" s="244">
        <f>(CC365-CC367)/CC365</f>
        <v>0.40740769651081105</v>
      </c>
      <c r="CD369" s="244">
        <f>(CD365-CD367)/CD365</f>
        <v>0.4034500706372221</v>
      </c>
      <c r="CE369" s="244">
        <f>(CE365-CE367)/CE365</f>
        <v>0.40541669066405572</v>
      </c>
      <c r="CF369" s="244">
        <f>(CF365-CF367)/CF365</f>
        <v>0.40394587203162657</v>
      </c>
      <c r="CG369" s="171">
        <f>(CG365-CG367)/CG365</f>
        <v>0.40394587203162657</v>
      </c>
      <c r="CH369" s="244"/>
      <c r="CI369" s="244">
        <f>(CI365-CI367)/CI365</f>
        <v>0.40339357481450949</v>
      </c>
      <c r="CJ369" s="244">
        <f>(CJ365-CJ367)/CJ365</f>
        <v>0.39980976731667933</v>
      </c>
      <c r="CK369" s="244">
        <f>(CK365-CK367)/CK365</f>
        <v>0.40015350750159301</v>
      </c>
      <c r="CL369" s="244">
        <f>(CL365-CL367)/CL365</f>
        <v>0.40754571914987092</v>
      </c>
      <c r="CM369" s="171">
        <f>(CM365-CM367)/CM365</f>
        <v>0.40754571914987092</v>
      </c>
      <c r="CN369" s="244"/>
      <c r="CO369" s="244">
        <f>(CO365-CO367)/CO365</f>
        <v>0.40671856224857633</v>
      </c>
      <c r="CP369" s="244">
        <f>(CP365-CP367)/CP365</f>
        <v>0.41229237517866824</v>
      </c>
      <c r="CQ369" s="244">
        <f>(CQ365-CQ367)/CQ365</f>
        <v>0.41624628730375751</v>
      </c>
      <c r="CR369" s="244">
        <f>(CR365-CR367)/CR365</f>
        <v>0.42721924897164848</v>
      </c>
      <c r="CS369" s="171">
        <f>(CS365-CS367)/CS365</f>
        <v>0.42721924897164848</v>
      </c>
      <c r="CT369" s="244"/>
      <c r="CU369" s="244">
        <f>(CU365-CU367)/CU365</f>
        <v>0.43310009386466419</v>
      </c>
      <c r="CV369" s="244">
        <f>(CV365-CV367)/CV365</f>
        <v>0.44383653886620933</v>
      </c>
      <c r="CW369" s="244">
        <f>(CW365-CW367)/CW365</f>
        <v>0.45542814095588852</v>
      </c>
      <c r="CX369" s="244">
        <f>(CX365-CX367)/CX365</f>
        <v>0.46186260321784284</v>
      </c>
      <c r="CY369" s="171">
        <f>(CY365-CY367)/CY365</f>
        <v>0.46186260321784284</v>
      </c>
      <c r="CZ369" s="244"/>
      <c r="DA369" s="244">
        <f>(DA365-DA367)/DA365</f>
        <v>0.47525394424032852</v>
      </c>
      <c r="DB369" s="244">
        <f>(DB365-DB367)/DB365</f>
        <v>0.48207547169811321</v>
      </c>
      <c r="DC369" s="244">
        <f>(DC365-DC367)/DC365</f>
        <v>0.4765579319261779</v>
      </c>
      <c r="DD369" s="244">
        <f>(DD365-DD367)/DD365</f>
        <v>0.46143574720551578</v>
      </c>
      <c r="DE369" s="171">
        <f>(DE365-DE367)/DE365</f>
        <v>0.46143574720551578</v>
      </c>
      <c r="DF369" s="244"/>
      <c r="DG369" s="244">
        <f>(DG365-DG367)/DG365</f>
        <v>0.44329914344866789</v>
      </c>
      <c r="DH369" s="244">
        <f>(DH365-DH367)/DH365</f>
        <v>0.43539391768368008</v>
      </c>
      <c r="DI369" s="244">
        <f>(DI365-DI367)/DI365</f>
        <v>0.43504320276497699</v>
      </c>
      <c r="DJ369" s="244">
        <f>(DJ365-DJ367)/DJ365</f>
        <v>0.44373868226772534</v>
      </c>
      <c r="DK369" s="171">
        <f>(DK365-DK367)/DK365</f>
        <v>0.44373868226772534</v>
      </c>
      <c r="DL369" s="244"/>
      <c r="DM369" s="244">
        <f>(DM365-DM367)/DM365</f>
        <v>0.45081051627843616</v>
      </c>
      <c r="DN369" s="244">
        <f>(DN365-DN367)/DN365</f>
        <v>0.45149638802889575</v>
      </c>
      <c r="DO369" s="244">
        <f>(DO365-DO367)/DO365</f>
        <v>0.4568380462425416</v>
      </c>
      <c r="DP369" s="244">
        <f>(DP365-DP367)/DP365</f>
        <v>0.46243432985445942</v>
      </c>
      <c r="DQ369" s="171">
        <f>(DQ365-DQ367)/DQ365</f>
        <v>0.46243432985445942</v>
      </c>
      <c r="DR369" s="244"/>
      <c r="DS369" s="244">
        <f>(DS365-DS367)/DS365</f>
        <v>0.46541549752128664</v>
      </c>
      <c r="DT369" s="244">
        <f>(DT365-DT367)/DT365</f>
        <v>0.47083794929413125</v>
      </c>
      <c r="DU369" s="244">
        <f>(DU365-DU367)/DU365</f>
        <v>0.47127126464687819</v>
      </c>
      <c r="DV369" s="244">
        <f>(DV365-DV367)/DV365</f>
        <v>0.47276729390921535</v>
      </c>
      <c r="DW369" s="171">
        <f>(DW365-DW367)/DW365</f>
        <v>0.47276729390921535</v>
      </c>
      <c r="DX369" s="244"/>
      <c r="DY369" s="244">
        <f>(DY365-DY367)/DY365</f>
        <v>0.47465597862391451</v>
      </c>
      <c r="DZ369" s="244">
        <f>(DZ365-DZ367)/DZ365</f>
        <v>0.47181806091235534</v>
      </c>
      <c r="EA369" s="244">
        <f>(EA365-EA367)/EA365</f>
        <v>0.47248286768581971</v>
      </c>
      <c r="EB369" s="244">
        <f>(EB365-EB367)/EB365</f>
        <v>0.47275812557107427</v>
      </c>
      <c r="EC369" s="171">
        <f>(EC365-EC367)/EC365</f>
        <v>0.47275812557107427</v>
      </c>
      <c r="ED369" s="244"/>
      <c r="EE369" s="244">
        <f>(EE365-EE367)/EE365</f>
        <v>0.47210757209978454</v>
      </c>
      <c r="EF369" s="244">
        <f>(EF365-EF367)/EF365</f>
        <v>0.47189044481054365</v>
      </c>
      <c r="EG369" s="244">
        <f>(EG365-EG367)/EG365</f>
        <v>0.46754316000720403</v>
      </c>
      <c r="EH369" s="244">
        <f>(EH365-EH367)/EH365</f>
        <v>0.45470943455415264</v>
      </c>
      <c r="EI369" s="171">
        <f>(EI365-EI367)/EI365</f>
        <v>0.45470943455415264</v>
      </c>
      <c r="EJ369" s="244"/>
      <c r="EK369" s="244">
        <f>(EK365-EK367)/EK365</f>
        <v>0.44739535494029653</v>
      </c>
      <c r="EL369" s="244">
        <f>(EL365-EL367)/EL365</f>
        <v>0.43688155122289496</v>
      </c>
      <c r="EM369" s="244">
        <f>(EM365-EM367)/EM365</f>
        <v>0.43033922470610392</v>
      </c>
      <c r="EN369" s="244">
        <f>(EN365-EN367)/EN365</f>
        <v>0.42596540464689531</v>
      </c>
      <c r="EO369" s="171">
        <f>(EO365-EO367)/EO365</f>
        <v>0.42596540464689531</v>
      </c>
      <c r="EP369" s="244"/>
      <c r="EQ369" s="244">
        <f>(EQ365-EQ367)/EQ365</f>
        <v>0.42220371315725841</v>
      </c>
      <c r="ER369" s="244">
        <f>(ER365-ER367)/ER365</f>
        <v>0.42361497319320252</v>
      </c>
      <c r="ES369" s="244">
        <f>(ES365-ES367)/ES365</f>
        <v>0.42390416901225419</v>
      </c>
      <c r="ET369" s="244">
        <f>(ET365-ET367)/ET365</f>
        <v>0.4266154904060343</v>
      </c>
      <c r="EU369" s="171">
        <f>(EU365-EU367)/EU365</f>
        <v>0.4266154904060343</v>
      </c>
      <c r="EV369" s="244"/>
      <c r="EW369" s="244">
        <f>(EW365-EW367)/EW365</f>
        <v>0.42990037088816258</v>
      </c>
      <c r="EX369" s="244">
        <f>(EX365-EX367)/EX365</f>
        <v>0.43380187930460606</v>
      </c>
      <c r="EY369" s="244">
        <f>(EY365-EY367)/EY365</f>
        <v>0.43701812482620894</v>
      </c>
      <c r="EZ369" s="244">
        <f>(EZ365-EZ367)/EZ365</f>
        <v>0.43846167071575609</v>
      </c>
      <c r="FA369" s="171">
        <f>(FA365-FA367)/FA365</f>
        <v>0.43846167071575609</v>
      </c>
      <c r="FB369" s="244"/>
      <c r="FC369" s="244">
        <f>(FC365-FC367)/FC365</f>
        <v>0.43915280339317242</v>
      </c>
      <c r="FD369" s="244">
        <f>(FD365-FD367)/FD365</f>
        <v>0.43977855990951764</v>
      </c>
      <c r="FE369" s="244">
        <f>(FE365-FE367)/FE365</f>
        <v>0.44065064784745339</v>
      </c>
      <c r="FF369" s="244">
        <f>(FF365-FF367)/FF365</f>
        <v>0.44121919950989869</v>
      </c>
      <c r="FG369" s="171">
        <f>(FG365-FG367)/FG365</f>
        <v>0.44121919950989869</v>
      </c>
      <c r="FH369" s="244"/>
      <c r="FI369" s="244">
        <f>(FI365-FI367)/FI365</f>
        <v>0.44340526812561892</v>
      </c>
      <c r="FJ369" s="244">
        <f>(FJ365-FJ367)/FJ365</f>
        <v>0.44453560899395367</v>
      </c>
      <c r="FK369" s="244">
        <f>(FK365-FK367)/FK365</f>
        <v>0.44496642745619397</v>
      </c>
      <c r="FL369" s="244">
        <f>(FL365-FL367)/FL365</f>
        <v>0.44395096251651794</v>
      </c>
      <c r="FM369" s="171">
        <f>(FM365-FM367)/FM365</f>
        <v>0.44395096251651794</v>
      </c>
      <c r="FN369" s="27"/>
      <c r="FO369" s="27"/>
      <c r="FP369" s="27"/>
      <c r="FQ369" s="27"/>
      <c r="FR369" s="27"/>
      <c r="FS369" s="27"/>
      <c r="FT369" s="27"/>
      <c r="FU369" s="27"/>
      <c r="FV369" s="27"/>
      <c r="FW369" s="27"/>
      <c r="FX369" s="27"/>
      <c r="FY369" s="27"/>
      <c r="FZ369" s="27"/>
      <c r="GA369" s="27"/>
      <c r="GB369" s="27"/>
      <c r="GC369" s="27"/>
      <c r="GD369" s="27"/>
      <c r="GE369" s="27"/>
      <c r="GF369" s="27"/>
      <c r="GG369" s="27"/>
      <c r="GH369" s="27"/>
      <c r="GI369"/>
      <c r="GJ369"/>
      <c r="GK369"/>
      <c r="GL369"/>
      <c r="GM369"/>
      <c r="GN369"/>
      <c r="GO369" s="27"/>
      <c r="GP369"/>
      <c r="GQ369"/>
      <c r="GR369"/>
      <c r="GS369"/>
      <c r="GT369"/>
      <c r="GU369"/>
      <c r="GV369"/>
      <c r="GW369"/>
      <c r="GX369"/>
      <c r="GY369"/>
      <c r="GZ369"/>
      <c r="HA369"/>
      <c r="HB369"/>
      <c r="HC369"/>
      <c r="HD369"/>
      <c r="HE369"/>
      <c r="HF369"/>
      <c r="HG369"/>
      <c r="HH369"/>
      <c r="HI369"/>
      <c r="HJ369"/>
      <c r="HK369"/>
      <c r="HL369"/>
      <c r="HM369"/>
      <c r="HN369"/>
      <c r="HO369"/>
      <c r="HP369"/>
      <c r="HQ369"/>
      <c r="HR369"/>
      <c r="HS369"/>
      <c r="HT369"/>
      <c r="HU369"/>
      <c r="HV369"/>
      <c r="HW369"/>
      <c r="HX369"/>
      <c r="HY369"/>
      <c r="HZ369"/>
      <c r="IA369"/>
      <c r="IB369"/>
      <c r="IC369"/>
      <c r="ID369"/>
      <c r="IE369"/>
      <c r="IF369"/>
      <c r="IG369"/>
      <c r="IH369"/>
      <c r="II369"/>
      <c r="IJ369"/>
      <c r="IK369"/>
      <c r="IL369"/>
      <c r="IM369"/>
      <c r="IN369"/>
      <c r="IO369"/>
      <c r="IP369"/>
      <c r="IQ369"/>
      <c r="IR369"/>
      <c r="IS369"/>
      <c r="IT369"/>
      <c r="IU369"/>
      <c r="IV369"/>
      <c r="IW369"/>
      <c r="IX369"/>
      <c r="IY369"/>
      <c r="IZ369"/>
      <c r="JA369"/>
      <c r="JB369"/>
      <c r="JC369"/>
      <c r="JD369"/>
      <c r="JE369"/>
      <c r="JF369"/>
      <c r="JG369"/>
      <c r="JH369"/>
      <c r="JI369"/>
      <c r="JJ369"/>
      <c r="JK369"/>
      <c r="JL369"/>
      <c r="JM369"/>
      <c r="JN369"/>
      <c r="JO369"/>
      <c r="JP369"/>
      <c r="JQ369"/>
      <c r="JR369"/>
      <c r="JS369"/>
      <c r="JT369"/>
      <c r="JU369"/>
    </row>
    <row r="370" spans="1:281" s="24" customFormat="1" hidden="1" outlineLevel="1" x14ac:dyDescent="0.2">
      <c r="A370" s="244" t="s">
        <v>534</v>
      </c>
      <c r="B370" s="954" t="s">
        <v>727</v>
      </c>
      <c r="C370" s="244">
        <f t="shared" ref="C370:M370" si="254">C150</f>
        <v>2.0089700000000001</v>
      </c>
      <c r="D370" s="244">
        <f t="shared" si="254"/>
        <v>3.8893679999999997</v>
      </c>
      <c r="E370" s="244">
        <f t="shared" si="254"/>
        <v>6.9734699999999998</v>
      </c>
      <c r="F370" s="244">
        <f t="shared" si="254"/>
        <v>9.6039999999999992</v>
      </c>
      <c r="G370" s="244">
        <f t="shared" si="254"/>
        <v>25.707999999999998</v>
      </c>
      <c r="H370" s="244">
        <f t="shared" si="254"/>
        <v>52.57</v>
      </c>
      <c r="I370" s="244">
        <f t="shared" si="254"/>
        <v>88.290999999999997</v>
      </c>
      <c r="J370" s="244">
        <f t="shared" si="254"/>
        <v>82.73</v>
      </c>
      <c r="K370" s="244">
        <f t="shared" si="254"/>
        <v>110.64100000000001</v>
      </c>
      <c r="L370" s="244">
        <f t="shared" si="254"/>
        <v>146.41999999999999</v>
      </c>
      <c r="M370" s="244">
        <f t="shared" si="254"/>
        <v>197.08600000000001</v>
      </c>
      <c r="N370" s="244"/>
      <c r="O370" s="59" t="s">
        <v>945</v>
      </c>
      <c r="P370" s="59" t="s">
        <v>945</v>
      </c>
      <c r="Q370" s="59" t="s">
        <v>945</v>
      </c>
      <c r="R370" s="244">
        <f>R150+Q150+P150+O150</f>
        <v>261.09699999999998</v>
      </c>
      <c r="S370" s="244">
        <f>S150</f>
        <v>261.09699999999998</v>
      </c>
      <c r="T370" s="244"/>
      <c r="U370" s="244">
        <f>U150+R150+Q150+P150</f>
        <v>290.38099999999997</v>
      </c>
      <c r="V370" s="244">
        <f>V150+U150+R150+Q150</f>
        <v>326.42700000000002</v>
      </c>
      <c r="W370" s="244">
        <f>W150+V150+U150+R150</f>
        <v>351.36900000000003</v>
      </c>
      <c r="X370" s="244">
        <f>X150+W150+V150+U150</f>
        <v>389.09299999999996</v>
      </c>
      <c r="Y370" s="244">
        <f>X370</f>
        <v>389.09299999999996</v>
      </c>
      <c r="Z370" s="244"/>
      <c r="AA370" s="244">
        <f>AA150+X150+W150+V150</f>
        <v>421.86099999999999</v>
      </c>
      <c r="AB370" s="244">
        <f>AB150+AA150+X150+W150</f>
        <v>463.88900000000001</v>
      </c>
      <c r="AC370" s="244">
        <f>AC150+AB150+AA150+X150</f>
        <v>509.61099999999999</v>
      </c>
      <c r="AD370" s="244">
        <f>AD150+AC150+AB150+AA150</f>
        <v>555.476</v>
      </c>
      <c r="AE370" s="244">
        <f>AD370</f>
        <v>555.476</v>
      </c>
      <c r="AF370" s="244"/>
      <c r="AG370" s="244">
        <f>AG150+AD150+AC150+AB150</f>
        <v>597.93399999999997</v>
      </c>
      <c r="AH370" s="244">
        <f>AH150+AG150+AD150+AC150</f>
        <v>645.851</v>
      </c>
      <c r="AI370" s="244">
        <f>AI150+AH150+AG150+AD150</f>
        <v>691.43000000000006</v>
      </c>
      <c r="AJ370" s="244">
        <f>AJ150+AI150+AH150+AG150</f>
        <v>719.14300000000003</v>
      </c>
      <c r="AK370" s="244">
        <f>AJ370</f>
        <v>719.14300000000003</v>
      </c>
      <c r="AL370" s="244"/>
      <c r="AM370" s="244">
        <f>AM150+AJ150+AI150+AH150</f>
        <v>747.09899999999993</v>
      </c>
      <c r="AN370" s="244">
        <f>AN150+AM150+AJ150+AI150</f>
        <v>764.56</v>
      </c>
      <c r="AO370" s="244">
        <f>AO150+AN150+AM150+AJ150</f>
        <v>790.25199999999995</v>
      </c>
      <c r="AP370" s="244">
        <f>AP150+AO150+AN150+AM150</f>
        <v>841.40599999999995</v>
      </c>
      <c r="AQ370" s="244">
        <f>AP370</f>
        <v>841.40599999999995</v>
      </c>
      <c r="AR370" s="244"/>
      <c r="AS370" s="244">
        <f>AS150+AP150+AO150+AN150</f>
        <v>889.72400000000005</v>
      </c>
      <c r="AT370" s="244">
        <f>AT150+AS150+AP150+AO150</f>
        <v>937.20600000000002</v>
      </c>
      <c r="AU370" s="244">
        <f>AU150+AT150+AS150+AP150</f>
        <v>982.96</v>
      </c>
      <c r="AV370" s="244">
        <f>AV150+AU150+AT150+AS150</f>
        <v>1009.8819999999999</v>
      </c>
      <c r="AW370" s="244">
        <f>AV370</f>
        <v>1009.8819999999999</v>
      </c>
      <c r="AX370" s="244"/>
      <c r="AY370" s="244">
        <f>AY150+AV150+AU150+AT150</f>
        <v>1024.9680000000001</v>
      </c>
      <c r="AZ370" s="244">
        <f>AZ150+AY150+AV150+AU150</f>
        <v>1043.088</v>
      </c>
      <c r="BA370" s="244">
        <f>BA150+AZ150+AY150+AV150</f>
        <v>1088.991</v>
      </c>
      <c r="BB370" s="244">
        <f>BB150+BA150+AZ150+AY150</f>
        <v>1138.5909999999999</v>
      </c>
      <c r="BC370" s="244">
        <f>BB370</f>
        <v>1138.5909999999999</v>
      </c>
      <c r="BD370" s="244"/>
      <c r="BE370" s="244">
        <f>BE150+BB150+BA150+AZ150</f>
        <v>1140.864</v>
      </c>
      <c r="BF370" s="244">
        <f>BF150+BE150+BB150+BA150</f>
        <v>1132.067</v>
      </c>
      <c r="BG370" s="244">
        <f>BG150+BF150+BE150+BB150</f>
        <v>1113.8429999999998</v>
      </c>
      <c r="BH370" s="244">
        <f>BH150+BG150+BF150+BE150</f>
        <v>1076.1559999999999</v>
      </c>
      <c r="BI370" s="244">
        <f>BH370</f>
        <v>1076.1559999999999</v>
      </c>
      <c r="BJ370" s="244"/>
      <c r="BK370" s="244">
        <f>BK150+BH150+BG150+BF150</f>
        <v>1108.856</v>
      </c>
      <c r="BL370" s="244">
        <f>BL150+BK150+BH150+BG150</f>
        <v>1146.373</v>
      </c>
      <c r="BM370" s="244">
        <f>BM150+BL150+BK150+BH150</f>
        <v>1164.1420000000001</v>
      </c>
      <c r="BN370" s="244">
        <f>BN150+BM150+BL150+BK150</f>
        <v>1180</v>
      </c>
      <c r="BO370" s="244">
        <f>BN370</f>
        <v>1180</v>
      </c>
      <c r="BP370" s="244"/>
      <c r="BQ370" s="244">
        <f>BQ150+BN150+BM150+BL150</f>
        <v>1192</v>
      </c>
      <c r="BR370" s="244">
        <f>BR150+BQ150+BN150+BM150</f>
        <v>1220</v>
      </c>
      <c r="BS370" s="244">
        <f>BS150+BR150+BQ150+BN150</f>
        <v>1247</v>
      </c>
      <c r="BT370" s="244">
        <f>BT150+BS150+BR150+BQ150</f>
        <v>1278</v>
      </c>
      <c r="BU370" s="244">
        <f>BT370</f>
        <v>1278</v>
      </c>
      <c r="BV370" s="244"/>
      <c r="BW370" s="244">
        <f>BW150+BT150+BS150+BR150</f>
        <v>1292</v>
      </c>
      <c r="BX370" s="244">
        <f>BX150+BW150+BT150+BS150</f>
        <v>1296</v>
      </c>
      <c r="BY370" s="244">
        <f>BY150+BX150+BW150+BT150</f>
        <v>1359</v>
      </c>
      <c r="BZ370" s="244">
        <f>BZ150+BY150+BX150+BW150</f>
        <v>1481</v>
      </c>
      <c r="CA370" s="244">
        <f>BZ370</f>
        <v>1481</v>
      </c>
      <c r="CB370" s="244"/>
      <c r="CC370" s="244">
        <f>CC150+BZ150+BY150+BX150</f>
        <v>1565</v>
      </c>
      <c r="CD370" s="244">
        <f>CD150+CC150+BZ150+BY150</f>
        <v>1702</v>
      </c>
      <c r="CE370" s="244">
        <f>CE150+CD150+CC150+BZ150</f>
        <v>1775</v>
      </c>
      <c r="CF370" s="244">
        <f>CF150+CE150+CD150+CC150</f>
        <v>1856.6</v>
      </c>
      <c r="CG370" s="171">
        <f>CF370</f>
        <v>1856.6</v>
      </c>
      <c r="CH370" s="244"/>
      <c r="CI370" s="244">
        <f>CI150+CF150+CE150+CD150</f>
        <v>1944.6</v>
      </c>
      <c r="CJ370" s="244">
        <f>CJ150+CI150+CF150+CE150</f>
        <v>1978.6</v>
      </c>
      <c r="CK370" s="244">
        <f>CK150+CJ150+CI150+CF150</f>
        <v>2063.6</v>
      </c>
      <c r="CL370" s="244">
        <f>CL150+CK150+CJ150+CI150</f>
        <v>2110</v>
      </c>
      <c r="CM370" s="171">
        <f>CL370</f>
        <v>2110</v>
      </c>
      <c r="CN370" s="244"/>
      <c r="CO370" s="244">
        <f>CO150+CL150+CK150+CJ150</f>
        <v>2250</v>
      </c>
      <c r="CP370" s="244">
        <f>CP150+CO150+CL150+CK150</f>
        <v>2401</v>
      </c>
      <c r="CQ370" s="244">
        <f>CQ150+CP150+CO150+CL150</f>
        <v>2503</v>
      </c>
      <c r="CR370" s="244">
        <f>CR150+CQ150+CP150+CO150</f>
        <v>2627</v>
      </c>
      <c r="CS370" s="171">
        <f>CR370</f>
        <v>2627</v>
      </c>
      <c r="CT370" s="244"/>
      <c r="CU370" s="244">
        <f>CU150+CR150+CQ150+CP150</f>
        <v>2674</v>
      </c>
      <c r="CV370" s="244">
        <f>CV150+CU150+CR150+CQ150</f>
        <v>2631</v>
      </c>
      <c r="CW370" s="244">
        <f>CW150+CV150+CU150+CR150</f>
        <v>2618</v>
      </c>
      <c r="CX370" s="244">
        <f>CX150+CW150+CV150+CU150</f>
        <v>2612</v>
      </c>
      <c r="CY370" s="171">
        <f>CX370</f>
        <v>2612</v>
      </c>
      <c r="CZ370" s="244"/>
      <c r="DA370" s="244">
        <f>DA150+CX150+CW150+CV150</f>
        <v>2569</v>
      </c>
      <c r="DB370" s="244">
        <f>DB150+DA150+CX150+CW150</f>
        <v>2627</v>
      </c>
      <c r="DC370" s="244">
        <f>DC150+DB150+DA150+CX150</f>
        <v>2766</v>
      </c>
      <c r="DD370" s="244">
        <f>DD150+DC150+DB150+DA150</f>
        <v>3082</v>
      </c>
      <c r="DE370" s="171">
        <f>DD370</f>
        <v>3082</v>
      </c>
      <c r="DF370" s="244"/>
      <c r="DG370" s="244">
        <f>DG150+DD150+DC150+DB150</f>
        <v>3498</v>
      </c>
      <c r="DH370" s="244">
        <f>DH150+DG150+DD150+DC150</f>
        <v>3898</v>
      </c>
      <c r="DI370" s="244">
        <f>DI150+DH150+DG150+DD150</f>
        <v>4190</v>
      </c>
      <c r="DJ370" s="244">
        <f>DJ150+DI150+DH150+DG150</f>
        <v>4287</v>
      </c>
      <c r="DK370" s="171">
        <f>DJ370</f>
        <v>4287</v>
      </c>
      <c r="DL370" s="244"/>
      <c r="DM370" s="244">
        <f>DM150+DJ150+DI150+DH150</f>
        <v>4222</v>
      </c>
      <c r="DN370" s="244">
        <f>DN150+DM150+DJ150+DI150</f>
        <v>4192</v>
      </c>
      <c r="DO370" s="244">
        <f>DO150+DN150+DM150+DJ150</f>
        <v>4194</v>
      </c>
      <c r="DP370" s="244">
        <f>DP150+DO150+DN150+DM150</f>
        <v>4228</v>
      </c>
      <c r="DQ370" s="171">
        <f>DP370</f>
        <v>4228</v>
      </c>
      <c r="DR370" s="244"/>
      <c r="DS370" s="244">
        <f>DS150+DP150+DO150+DN150</f>
        <v>4367</v>
      </c>
      <c r="DT370" s="244">
        <f>DT150+DS150+DP150+DO150</f>
        <v>4443</v>
      </c>
      <c r="DU370" s="244">
        <f>DU150+DT150+DS150+DP150</f>
        <v>4472</v>
      </c>
      <c r="DV370" s="244">
        <f>DV150+DU150+DT150+DS150</f>
        <v>4499</v>
      </c>
      <c r="DW370" s="171">
        <f>DV370</f>
        <v>4499</v>
      </c>
      <c r="DX370" s="244"/>
      <c r="DY370" s="244">
        <f>DY150+DV150+DU150+DT150</f>
        <v>4521</v>
      </c>
      <c r="DZ370" s="244">
        <f>DZ150+DY150+DV150+DU150</f>
        <v>4597</v>
      </c>
      <c r="EA370" s="244">
        <f>EA150+DZ150+DY150+DV150</f>
        <v>4690</v>
      </c>
      <c r="EB370" s="244">
        <f>EB150+EA150+DZ150+DY150</f>
        <v>4767</v>
      </c>
      <c r="EC370" s="171">
        <f>EB370</f>
        <v>4767</v>
      </c>
      <c r="ED370" s="244"/>
      <c r="EE370" s="244">
        <f>EE150+EB150+EA150+DZ150</f>
        <v>4848</v>
      </c>
      <c r="EF370" s="244">
        <f>EF150+EE150+EB150+EA150</f>
        <v>4917</v>
      </c>
      <c r="EG370" s="244">
        <f>EG150+EF150+EE150+EB150</f>
        <v>4956</v>
      </c>
      <c r="EH370" s="244">
        <f>EH150+EG150+EF150+EE150</f>
        <v>5001</v>
      </c>
      <c r="EI370" s="171">
        <f>EH370</f>
        <v>5001</v>
      </c>
      <c r="EJ370" s="244"/>
      <c r="EK370" s="244">
        <f>EK150+EH150+EG150+EF150</f>
        <v>5022</v>
      </c>
      <c r="EL370" s="244">
        <f>EL150+EK150+EH150+EG150</f>
        <v>5060</v>
      </c>
      <c r="EM370" s="244">
        <f>EM150+EL150+EK150+EH150</f>
        <v>5093</v>
      </c>
      <c r="EN370" s="244">
        <f>EN150+EM150+EL150+EK150</f>
        <v>5177</v>
      </c>
      <c r="EO370" s="171">
        <f>EN370</f>
        <v>5177</v>
      </c>
      <c r="EP370" s="244"/>
      <c r="EQ370" s="244">
        <f>EQ150+EN150+EM150+EL150</f>
        <v>5260</v>
      </c>
      <c r="ER370" s="244">
        <f>ER150+EQ150+EN150+EM150</f>
        <v>5289</v>
      </c>
      <c r="ES370" s="244">
        <f>ES150+ER150+EQ150+EN150</f>
        <v>5354</v>
      </c>
      <c r="ET370" s="244">
        <f>ET150+ES150+ER150+EQ150</f>
        <v>5389</v>
      </c>
      <c r="EU370" s="171">
        <f>ET370</f>
        <v>5389</v>
      </c>
      <c r="EV370" s="244"/>
      <c r="EW370" s="244">
        <f>EW150+ET150+ES150+ER150</f>
        <v>5404</v>
      </c>
      <c r="EX370" s="244">
        <f>EX150+EW150+ET150+ES150</f>
        <v>5320</v>
      </c>
      <c r="EY370" s="244">
        <f>EY150+EX150+EW150+ET150</f>
        <v>5267</v>
      </c>
      <c r="EZ370" s="244">
        <f>EZ150+EY150+EX150+EW150</f>
        <v>5197.7607199317263</v>
      </c>
      <c r="FA370" s="171">
        <f>EZ370</f>
        <v>5197.7607199317263</v>
      </c>
      <c r="FB370" s="244"/>
      <c r="FC370" s="244">
        <f>FC150+EZ150+EY150+EX150</f>
        <v>5228.0988535150682</v>
      </c>
      <c r="FD370" s="244">
        <f>FD150+FC150+EZ150+EY150</f>
        <v>5317.688498779472</v>
      </c>
      <c r="FE370" s="244">
        <f>FE150+FD150+FC150+EZ150</f>
        <v>5368.7740494687714</v>
      </c>
      <c r="FF370" s="244">
        <f>FF150+FE150+FD150+FC150</f>
        <v>5417.2375467473903</v>
      </c>
      <c r="FG370" s="171">
        <f>FF370</f>
        <v>5417.2375467473903</v>
      </c>
      <c r="FH370" s="244"/>
      <c r="FI370" s="244">
        <f>FI150+FF150+FE150+FD150</f>
        <v>5483.1708230881368</v>
      </c>
      <c r="FJ370" s="244">
        <f>FJ150+FI150+FF150+FE150</f>
        <v>5541.5235606609422</v>
      </c>
      <c r="FK370" s="244">
        <f>FK150+FJ150+FI150+FF150</f>
        <v>5597.7830865186606</v>
      </c>
      <c r="FL370" s="244">
        <f>FL150+FK150+FJ150+FI150</f>
        <v>5654.4324303238245</v>
      </c>
      <c r="FM370" s="171">
        <f>FL370</f>
        <v>5654.4324303238245</v>
      </c>
      <c r="FN370" s="27"/>
      <c r="FO370" s="27"/>
      <c r="FP370" s="27"/>
      <c r="FQ370" s="27"/>
      <c r="FR370" s="27"/>
      <c r="FS370" s="27"/>
      <c r="FT370" s="27"/>
      <c r="FU370" s="27"/>
      <c r="FV370" s="27"/>
      <c r="FW370" s="27"/>
      <c r="FX370" s="27"/>
      <c r="FY370" s="27"/>
      <c r="FZ370" s="27"/>
      <c r="GA370" s="27"/>
      <c r="GB370" s="27"/>
      <c r="GC370" s="27"/>
      <c r="GD370" s="27"/>
      <c r="GE370" s="27"/>
      <c r="GF370" s="27"/>
      <c r="GG370" s="27"/>
      <c r="GH370" s="27"/>
      <c r="GI370"/>
      <c r="GJ370"/>
      <c r="GK370"/>
      <c r="GL370"/>
      <c r="GM370"/>
      <c r="GN370"/>
      <c r="GO370" s="27"/>
      <c r="GP370"/>
      <c r="GQ370"/>
      <c r="GR370"/>
      <c r="GS370"/>
      <c r="GT370"/>
      <c r="GU370"/>
      <c r="GV370"/>
      <c r="GW370"/>
      <c r="GX370"/>
      <c r="GY370"/>
      <c r="GZ370"/>
      <c r="HA370"/>
      <c r="HB370"/>
      <c r="HC370"/>
      <c r="HD370"/>
      <c r="HE370"/>
      <c r="HF370"/>
      <c r="HG370"/>
      <c r="HH370"/>
      <c r="HI370"/>
      <c r="HJ370"/>
      <c r="HK370"/>
      <c r="HL370"/>
      <c r="HM370"/>
      <c r="HN370"/>
      <c r="HO370"/>
      <c r="HP370"/>
      <c r="HQ370"/>
      <c r="HR370"/>
      <c r="HS370"/>
      <c r="HT370"/>
      <c r="HU370"/>
      <c r="HV370"/>
      <c r="HW370"/>
      <c r="HX370"/>
      <c r="HY370"/>
      <c r="HZ370"/>
      <c r="IA370"/>
      <c r="IB370"/>
      <c r="IC370"/>
      <c r="ID370"/>
      <c r="IE370"/>
      <c r="IF370"/>
      <c r="IG370"/>
      <c r="IH370"/>
      <c r="II370"/>
      <c r="IJ370"/>
      <c r="IK370"/>
      <c r="IL370"/>
      <c r="IM370"/>
      <c r="IN370"/>
      <c r="IO370"/>
      <c r="IP370"/>
      <c r="IQ370"/>
      <c r="IR370"/>
      <c r="IS370"/>
      <c r="IT370"/>
      <c r="IU370"/>
      <c r="IV370"/>
      <c r="IW370"/>
      <c r="IX370"/>
      <c r="IY370"/>
      <c r="IZ370"/>
      <c r="JA370"/>
      <c r="JB370"/>
      <c r="JC370"/>
      <c r="JD370"/>
      <c r="JE370"/>
      <c r="JF370"/>
      <c r="JG370"/>
      <c r="JH370"/>
      <c r="JI370"/>
      <c r="JJ370"/>
      <c r="JK370"/>
      <c r="JL370"/>
      <c r="JM370"/>
      <c r="JN370"/>
      <c r="JO370"/>
      <c r="JP370"/>
      <c r="JQ370"/>
      <c r="JR370"/>
      <c r="JS370"/>
      <c r="JT370"/>
      <c r="JU370"/>
    </row>
    <row r="371" spans="1:281" s="24" customFormat="1" hidden="1" outlineLevel="1" x14ac:dyDescent="0.2">
      <c r="A371" s="244" t="s">
        <v>728</v>
      </c>
      <c r="B371" s="954" t="s">
        <v>729</v>
      </c>
      <c r="C371" s="244">
        <f t="shared" ref="C371:M371" si="255">C187</f>
        <v>1.3859349999999995</v>
      </c>
      <c r="D371" s="244">
        <f t="shared" si="255"/>
        <v>1.5511170000000007</v>
      </c>
      <c r="E371" s="244">
        <f t="shared" si="255"/>
        <v>5.8665700000000056</v>
      </c>
      <c r="F371" s="244">
        <f t="shared" si="255"/>
        <v>15.110128720000006</v>
      </c>
      <c r="G371" s="244">
        <f t="shared" si="255"/>
        <v>42.884</v>
      </c>
      <c r="H371" s="244">
        <f t="shared" si="255"/>
        <v>81.892999999999986</v>
      </c>
      <c r="I371" s="244">
        <f t="shared" si="255"/>
        <v>80.874999999999943</v>
      </c>
      <c r="J371" s="244">
        <f t="shared" si="255"/>
        <v>-12.401000000000005</v>
      </c>
      <c r="K371" s="244">
        <f t="shared" si="255"/>
        <v>62.014000000000031</v>
      </c>
      <c r="L371" s="244">
        <f t="shared" si="255"/>
        <v>233.28800000000007</v>
      </c>
      <c r="M371" s="244">
        <f t="shared" si="255"/>
        <v>283.44899999999996</v>
      </c>
      <c r="N371" s="244"/>
      <c r="O371" s="59" t="s">
        <v>945</v>
      </c>
      <c r="P371" s="59" t="s">
        <v>945</v>
      </c>
      <c r="Q371" s="59" t="s">
        <v>945</v>
      </c>
      <c r="R371" s="244">
        <f>R187+Q187+P187+O187</f>
        <v>441.01800000000009</v>
      </c>
      <c r="S371" s="244">
        <f>S187</f>
        <v>441.01800000000014</v>
      </c>
      <c r="T371" s="244"/>
      <c r="U371" s="244">
        <f>U187+R187+Q187+P187</f>
        <v>467.19549751408692</v>
      </c>
      <c r="V371" s="244">
        <f>V187+U187+R187+Q187</f>
        <v>510.04649751408687</v>
      </c>
      <c r="W371" s="244">
        <f>W187+V187+U187+R187</f>
        <v>552.05949751408684</v>
      </c>
      <c r="X371" s="244">
        <f>X187+W187+V187+U187</f>
        <v>636.70949751408671</v>
      </c>
      <c r="Y371" s="244">
        <f>X371</f>
        <v>636.70949751408671</v>
      </c>
      <c r="Z371" s="244"/>
      <c r="AA371" s="244">
        <f>AA187+X187+W187+V187</f>
        <v>662.10199999999986</v>
      </c>
      <c r="AB371" s="244">
        <f>AB187+AA187+X187+W187</f>
        <v>704.88099999999986</v>
      </c>
      <c r="AC371" s="244">
        <f>AC187+AB187+AA187+X187</f>
        <v>751.39712245422697</v>
      </c>
      <c r="AD371" s="244">
        <f>AD187+AC187+AB187+AA187</f>
        <v>845.00912245422705</v>
      </c>
      <c r="AE371" s="244">
        <f>AD371</f>
        <v>845.00912245422705</v>
      </c>
      <c r="AF371" s="244"/>
      <c r="AG371" s="244">
        <f>AG187+AD187+AC187+AB187</f>
        <v>896.08104245422714</v>
      </c>
      <c r="AH371" s="244">
        <f>AH187+AG187+AD187+AC187</f>
        <v>903.90904245422689</v>
      </c>
      <c r="AI371" s="244">
        <f>AI187+AH187+AG187+AD187</f>
        <v>926.17991999999981</v>
      </c>
      <c r="AJ371" s="244">
        <f>AJ187+AI187+AH187+AG187</f>
        <v>969.06491999999957</v>
      </c>
      <c r="AK371" s="244">
        <f>AJ371</f>
        <v>969.06491999999957</v>
      </c>
      <c r="AL371" s="244"/>
      <c r="AM371" s="244">
        <f>AM187+AJ187+AI187+AH187</f>
        <v>1000.2239999999995</v>
      </c>
      <c r="AN371" s="244">
        <f>AN187+AM187+AJ187+AI187</f>
        <v>1086.9750000000001</v>
      </c>
      <c r="AO371" s="244">
        <f>AO187+AN187+AM187+AJ187</f>
        <v>1165.1600000000001</v>
      </c>
      <c r="AP371" s="244">
        <f>AP187+AO187+AN187+AM187</f>
        <v>1289.7580000000005</v>
      </c>
      <c r="AQ371" s="244">
        <f>AP371</f>
        <v>1289.7580000000005</v>
      </c>
      <c r="AR371" s="244"/>
      <c r="AS371" s="244">
        <f>AS187+AP187+AO187+AN187</f>
        <v>1331.4935000000003</v>
      </c>
      <c r="AT371" s="244">
        <f>AT187+AS187+AP187+AO187</f>
        <v>1441.9032499999998</v>
      </c>
      <c r="AU371" s="244">
        <f>AU187+AT187+AS187+AP187</f>
        <v>1911.8172499999996</v>
      </c>
      <c r="AV371" s="244">
        <f>AV187+AU187+AT187+AS187</f>
        <v>6296.8042500000001</v>
      </c>
      <c r="AW371" s="244">
        <f>AV371</f>
        <v>6296.8042500000001</v>
      </c>
      <c r="AX371" s="244"/>
      <c r="AY371" s="244">
        <f>AY187+AV187+AU187+AT187</f>
        <v>6560.7444850000002</v>
      </c>
      <c r="AZ371" s="244">
        <f>AZ187+AY187+AV187+AU187</f>
        <v>6799.2529800000011</v>
      </c>
      <c r="BA371" s="244">
        <f>BA187+AZ187+AY187+AV187</f>
        <v>6618.7899750000015</v>
      </c>
      <c r="BB371" s="244">
        <f>BB187+BA187+AZ187+AY187</f>
        <v>2561.4433499999996</v>
      </c>
      <c r="BC371" s="244">
        <f>BB371</f>
        <v>2561.4433499999996</v>
      </c>
      <c r="BD371" s="244"/>
      <c r="BE371" s="244">
        <f>BE187+BB187+BA187+AZ187</f>
        <v>2571.4137649999993</v>
      </c>
      <c r="BF371" s="244">
        <f>BF187+BE187+BB187+BA187</f>
        <v>2497.8824199999999</v>
      </c>
      <c r="BG371" s="244">
        <f>BG187+BF187+BE187+BB187</f>
        <v>2423.1444249999995</v>
      </c>
      <c r="BH371" s="244">
        <f>BH187+BG187+BF187+BE187</f>
        <v>2224.2050499999996</v>
      </c>
      <c r="BI371" s="244">
        <f>BH371</f>
        <v>2224.2050499999996</v>
      </c>
      <c r="BJ371" s="244"/>
      <c r="BK371" s="244">
        <f>BK187+BH187+BG187+BF187</f>
        <v>2056.5578999999998</v>
      </c>
      <c r="BL371" s="244">
        <f>BL187+BK187+BH187+BG187</f>
        <v>2042.096</v>
      </c>
      <c r="BM371" s="244">
        <f>BM187+BL187+BK187+BH187</f>
        <v>2105.1210000000001</v>
      </c>
      <c r="BN371" s="244">
        <f>BN187+BM187+BL187+BK187</f>
        <v>2307.4</v>
      </c>
      <c r="BO371" s="244">
        <f>BN371</f>
        <v>2307.4</v>
      </c>
      <c r="BP371" s="244"/>
      <c r="BQ371" s="244">
        <f>BQ187+BN187+BM187+BL187</f>
        <v>2404.4</v>
      </c>
      <c r="BR371" s="244">
        <f>BR187+BQ187+BN187+BM187</f>
        <v>2486.4</v>
      </c>
      <c r="BS371" s="244">
        <f>BS187+BR187+BQ187+BN187</f>
        <v>2549.4</v>
      </c>
      <c r="BT371" s="244">
        <f>BT187+BS187+BR187+BQ187</f>
        <v>2681</v>
      </c>
      <c r="BU371" s="244">
        <f>BT371</f>
        <v>2681</v>
      </c>
      <c r="BV371" s="244"/>
      <c r="BW371" s="244">
        <f>BW187+BT187+BS187+BR187</f>
        <v>2769.6565040650407</v>
      </c>
      <c r="BX371" s="244">
        <f>BX187+BW187+BT187+BS187</f>
        <v>2984.111876682025</v>
      </c>
      <c r="BY371" s="244">
        <f>BY187+BX187+BW187+BT187</f>
        <v>3175.111876682025</v>
      </c>
      <c r="BZ371" s="244">
        <f>BZ187+BY187+BX187+BW187</f>
        <v>3541.111876682025</v>
      </c>
      <c r="CA371" s="244">
        <f>BZ371</f>
        <v>3541.111876682025</v>
      </c>
      <c r="CB371" s="244"/>
      <c r="CC371" s="244">
        <f>CC187+BZ187+BY187+BX187</f>
        <v>3750.4553726169843</v>
      </c>
      <c r="CD371" s="244">
        <f>CD187+CC187+BZ187+BY187</f>
        <v>3890.5</v>
      </c>
      <c r="CE371" s="244">
        <f>CE187+CD187+CC187+BZ187</f>
        <v>4065.6392151405512</v>
      </c>
      <c r="CF371" s="244">
        <f>CF187+CE187+CD187+CC187</f>
        <v>4247.0892151405515</v>
      </c>
      <c r="CG371" s="171">
        <f>CF371</f>
        <v>4247.0892151405515</v>
      </c>
      <c r="CH371" s="244"/>
      <c r="CI371" s="244">
        <f>CI187+CF187+CE187+CD187</f>
        <v>4440.0892151405515</v>
      </c>
      <c r="CJ371" s="244">
        <f>CJ187+CI187+CF187+CE187</f>
        <v>4634.0892151405515</v>
      </c>
      <c r="CK371" s="244">
        <f>CK187+CJ187+CI187+CF187</f>
        <v>4934.9500000000007</v>
      </c>
      <c r="CL371" s="244">
        <f>CL187+CK187+CJ187+CI187</f>
        <v>5307</v>
      </c>
      <c r="CM371" s="171">
        <f>CL371</f>
        <v>5307</v>
      </c>
      <c r="CN371" s="244"/>
      <c r="CO371" s="244">
        <f>CO187+CL187+CK187+CJ187</f>
        <v>5541</v>
      </c>
      <c r="CP371" s="244">
        <f>CP187+CO187+CL187+CK187</f>
        <v>5988.5</v>
      </c>
      <c r="CQ371" s="244">
        <f>CQ187+CP187+CO187+CL187</f>
        <v>6273.5</v>
      </c>
      <c r="CR371" s="244">
        <f>CR187+CQ187+CP187+CO187</f>
        <v>6798</v>
      </c>
      <c r="CS371" s="171">
        <f>CR371</f>
        <v>6798</v>
      </c>
      <c r="CT371" s="244"/>
      <c r="CU371" s="244">
        <f>CU187+CR187+CQ187+CP187</f>
        <v>7177</v>
      </c>
      <c r="CV371" s="244">
        <f>CV187+CU187+CR187+CQ187</f>
        <v>7310</v>
      </c>
      <c r="CW371" s="244">
        <f>CW187+CV187+CU187+CR187</f>
        <v>7504</v>
      </c>
      <c r="CX371" s="244">
        <f>CX187+CW187+CV187+CU187</f>
        <v>7393</v>
      </c>
      <c r="CY371" s="171">
        <f>CX371</f>
        <v>7393</v>
      </c>
      <c r="CZ371" s="244"/>
      <c r="DA371" s="244">
        <f>DA187+CX187+CW187+CV187</f>
        <v>7389</v>
      </c>
      <c r="DB371" s="244">
        <f>DB187+DA187+CX187+CW187</f>
        <v>7604</v>
      </c>
      <c r="DC371" s="244">
        <f>DC187+DB187+DA187+CX187</f>
        <v>7769.4</v>
      </c>
      <c r="DD371" s="244">
        <f>DD187+DC187+DB187+DA187</f>
        <v>8494.0999999999985</v>
      </c>
      <c r="DE371" s="171">
        <f>DD371</f>
        <v>8494.0999999999985</v>
      </c>
      <c r="DF371" s="244"/>
      <c r="DG371" s="244">
        <f>DG187+DD187+DC187+DB187</f>
        <v>9083.0999999999985</v>
      </c>
      <c r="DH371" s="244">
        <f>DH187+DG187+DD187+DC187</f>
        <v>9799.0999999999985</v>
      </c>
      <c r="DI371" s="244">
        <f>DI187+DH187+DG187+DD187</f>
        <v>10616.7</v>
      </c>
      <c r="DJ371" s="244">
        <f>DJ187+DI187+DH187+DG187</f>
        <v>11441</v>
      </c>
      <c r="DK371" s="171">
        <f>DJ371</f>
        <v>11441</v>
      </c>
      <c r="DL371" s="244"/>
      <c r="DM371" s="244">
        <f>DM187+DJ187+DI187+DH187</f>
        <v>11777</v>
      </c>
      <c r="DN371" s="244">
        <f>DN187+DM187+DJ187+DI187</f>
        <v>11884</v>
      </c>
      <c r="DO371" s="244">
        <f>DO187+DN187+DM187+DJ187</f>
        <v>12249.3392</v>
      </c>
      <c r="DP371" s="244">
        <f>DP187+DO187+DN187+DM187</f>
        <v>12520.498900000001</v>
      </c>
      <c r="DQ371" s="171">
        <f>DP371</f>
        <v>12520.498900000001</v>
      </c>
      <c r="DR371" s="244"/>
      <c r="DS371" s="244">
        <f>DS187+DP187+DO187+DN187</f>
        <v>12669.498900000001</v>
      </c>
      <c r="DT371" s="244">
        <f>DT187+DS187+DP187+DO187</f>
        <v>13007.498900000001</v>
      </c>
      <c r="DU371" s="244">
        <f>DU187+DT187+DS187+DP187</f>
        <v>12987.1597</v>
      </c>
      <c r="DV371" s="244">
        <f>DV187+DU187+DT187+DS187</f>
        <v>12958</v>
      </c>
      <c r="DW371" s="171">
        <f>DV371</f>
        <v>12958</v>
      </c>
      <c r="DX371" s="244"/>
      <c r="DY371" s="244">
        <f>DY187+DV187+DU187+DT187</f>
        <v>13105</v>
      </c>
      <c r="DZ371" s="244">
        <f>DZ187+DY187+DV187+DU187</f>
        <v>13138</v>
      </c>
      <c r="EA371" s="244">
        <f>EA187+DZ187+DY187+DV187</f>
        <v>13143</v>
      </c>
      <c r="EB371" s="244">
        <f>EB187+EA187+DZ187+DY187</f>
        <v>13214</v>
      </c>
      <c r="EC371" s="171">
        <f>EB371</f>
        <v>13214</v>
      </c>
      <c r="ED371" s="244"/>
      <c r="EE371" s="244">
        <f>EE187+EB187+EA187+DZ187</f>
        <v>13259</v>
      </c>
      <c r="EF371" s="244">
        <f>EF187+EE187+EB187+EA187</f>
        <v>13221</v>
      </c>
      <c r="EG371" s="244">
        <f>EG187+EF187+EE187+EB187</f>
        <v>13179</v>
      </c>
      <c r="EH371" s="244">
        <f>EH187+EG187+EF187+EE187</f>
        <v>12490</v>
      </c>
      <c r="EI371" s="171">
        <f>EH371</f>
        <v>12490</v>
      </c>
      <c r="EJ371" s="244"/>
      <c r="EK371" s="244">
        <f>EK187+EH187+EG187+EF187</f>
        <v>12031</v>
      </c>
      <c r="EL371" s="244">
        <f>EL187+EK187+EH187+EG187</f>
        <v>11649</v>
      </c>
      <c r="EM371" s="244">
        <f>EM187+EL187+EK187+EH187</f>
        <v>11309</v>
      </c>
      <c r="EN371" s="244">
        <f>EN187+EM187+EL187+EK187</f>
        <v>11237</v>
      </c>
      <c r="EO371" s="171">
        <f>EN371</f>
        <v>11237</v>
      </c>
      <c r="EP371" s="244"/>
      <c r="EQ371" s="244">
        <f>EQ187+EN187+EM187+EL187</f>
        <v>11225</v>
      </c>
      <c r="ER371" s="244">
        <f>ER187+EQ187+EN187+EM187</f>
        <v>11063.779999999999</v>
      </c>
      <c r="ES371" s="244">
        <f>ES187+ER187+EQ187+EN187</f>
        <v>11220.779999999999</v>
      </c>
      <c r="ET371" s="244">
        <f>ET187+ES187+ER187+EQ187</f>
        <v>11557.779999999999</v>
      </c>
      <c r="EU371" s="171">
        <f>ET371</f>
        <v>11557.779999999999</v>
      </c>
      <c r="EV371" s="244"/>
      <c r="EW371" s="244">
        <f>EW187+ET187+ES187+ER187</f>
        <v>11883.779999999999</v>
      </c>
      <c r="EX371" s="244">
        <f>EX187+EW187+ET187+ES187</f>
        <v>12300</v>
      </c>
      <c r="EY371" s="244">
        <f>EY187+EX187+EW187+ET187</f>
        <v>12918</v>
      </c>
      <c r="EZ371" s="244">
        <f>EZ187+EY187+EX187+EW187</f>
        <v>13055.520931586516</v>
      </c>
      <c r="FA371" s="171">
        <f>EZ371</f>
        <v>13055.520931586516</v>
      </c>
      <c r="FB371" s="244"/>
      <c r="FC371" s="244">
        <f>FC187+EZ187+EY187+EX187</f>
        <v>13363.386725467986</v>
      </c>
      <c r="FD371" s="244">
        <f>FD187+FC187+EZ187+EY187</f>
        <v>13682.54790453147</v>
      </c>
      <c r="FE371" s="244">
        <f>FE187+FD187+FC187+EZ187</f>
        <v>13548.401370320713</v>
      </c>
      <c r="FF371" s="244">
        <f>FF187+FE187+FD187+FC187</f>
        <v>13717.470682468545</v>
      </c>
      <c r="FG371" s="171">
        <f>FF371</f>
        <v>13717.470682468545</v>
      </c>
      <c r="FH371" s="244"/>
      <c r="FI371" s="244">
        <f>FI187+FF187+FE187+FD187</f>
        <v>13958.270285198012</v>
      </c>
      <c r="FJ371" s="244">
        <f>FJ187+FI187+FF187+FE187</f>
        <v>14188.531873415999</v>
      </c>
      <c r="FK371" s="244">
        <f>FK187+FJ187+FI187+FF187</f>
        <v>14394.437105259271</v>
      </c>
      <c r="FL371" s="244">
        <f>FL187+FK187+FJ187+FI187</f>
        <v>14500.353887313766</v>
      </c>
      <c r="FM371" s="171">
        <f>FL371</f>
        <v>14500.353887313766</v>
      </c>
      <c r="FN371" s="27"/>
      <c r="FO371" s="27"/>
      <c r="FP371" s="27"/>
      <c r="FQ371" s="27"/>
      <c r="FR371" s="27"/>
      <c r="FS371" s="27"/>
      <c r="FT371" s="27"/>
      <c r="FU371" s="27"/>
      <c r="FV371" s="27"/>
      <c r="FW371" s="27"/>
      <c r="FX371" s="27"/>
      <c r="FY371" s="27"/>
      <c r="FZ371" s="27"/>
      <c r="GA371" s="27"/>
      <c r="GB371" s="27"/>
      <c r="GC371" s="27"/>
      <c r="GD371" s="27"/>
      <c r="GE371" s="27"/>
      <c r="GF371" s="27"/>
      <c r="GG371" s="27"/>
      <c r="GH371" s="27"/>
      <c r="GI371"/>
      <c r="GJ371"/>
      <c r="GK371"/>
      <c r="GL371"/>
      <c r="GM371"/>
      <c r="GN371"/>
      <c r="GO371" s="27"/>
      <c r="GP371"/>
      <c r="GQ371"/>
      <c r="GR371"/>
      <c r="GS371"/>
      <c r="GT371"/>
      <c r="GU371"/>
      <c r="GV371"/>
      <c r="GW371"/>
      <c r="GX371"/>
      <c r="GY371"/>
      <c r="GZ371"/>
      <c r="HA371"/>
      <c r="HB371"/>
      <c r="HC371"/>
      <c r="HD371"/>
      <c r="HE371"/>
      <c r="HF371"/>
      <c r="HG371"/>
      <c r="HH371"/>
      <c r="HI371"/>
      <c r="HJ371"/>
      <c r="HK371"/>
      <c r="HL371"/>
      <c r="HM371"/>
      <c r="HN371"/>
      <c r="HO371"/>
      <c r="HP371"/>
      <c r="HQ371"/>
      <c r="HR371"/>
      <c r="HS371"/>
      <c r="HT371"/>
      <c r="HU371"/>
      <c r="HV371"/>
      <c r="HW371"/>
      <c r="HX371"/>
      <c r="HY371"/>
      <c r="HZ371"/>
      <c r="IA371"/>
      <c r="IB371"/>
      <c r="IC371"/>
      <c r="ID371"/>
      <c r="IE371"/>
      <c r="IF371"/>
      <c r="IG371"/>
      <c r="IH371"/>
      <c r="II371"/>
      <c r="IJ371"/>
      <c r="IK371"/>
      <c r="IL371"/>
      <c r="IM371"/>
      <c r="IN371"/>
      <c r="IO371"/>
      <c r="IP371"/>
      <c r="IQ371"/>
      <c r="IR371"/>
      <c r="IS371"/>
      <c r="IT371"/>
      <c r="IU371"/>
      <c r="IV371"/>
      <c r="IW371"/>
      <c r="IX371"/>
      <c r="IY371"/>
      <c r="IZ371"/>
      <c r="JA371"/>
      <c r="JB371"/>
      <c r="JC371"/>
      <c r="JD371"/>
      <c r="JE371"/>
      <c r="JF371"/>
      <c r="JG371"/>
      <c r="JH371"/>
      <c r="JI371"/>
      <c r="JJ371"/>
      <c r="JK371"/>
      <c r="JL371"/>
      <c r="JM371"/>
      <c r="JN371"/>
      <c r="JO371"/>
      <c r="JP371"/>
      <c r="JQ371"/>
      <c r="JR371"/>
      <c r="JS371"/>
      <c r="JT371"/>
      <c r="JU371"/>
    </row>
    <row r="372" spans="1:281" s="24" customFormat="1" hidden="1" outlineLevel="1" x14ac:dyDescent="0.2">
      <c r="A372" s="244" t="s">
        <v>174</v>
      </c>
      <c r="B372" s="954" t="s">
        <v>730</v>
      </c>
      <c r="C372" s="244">
        <f t="shared" ref="C372:M372" si="256">C189</f>
        <v>0</v>
      </c>
      <c r="D372" s="244">
        <f t="shared" si="256"/>
        <v>0</v>
      </c>
      <c r="E372" s="244">
        <f t="shared" si="256"/>
        <v>0</v>
      </c>
      <c r="F372" s="244">
        <f t="shared" si="256"/>
        <v>0</v>
      </c>
      <c r="G372" s="244">
        <f t="shared" si="256"/>
        <v>0.01</v>
      </c>
      <c r="H372" s="244">
        <f t="shared" si="256"/>
        <v>0.02</v>
      </c>
      <c r="I372" s="244">
        <f t="shared" si="256"/>
        <v>0.02</v>
      </c>
      <c r="J372" s="244">
        <f t="shared" si="256"/>
        <v>0</v>
      </c>
      <c r="K372" s="244">
        <f t="shared" si="256"/>
        <v>0.01</v>
      </c>
      <c r="L372" s="244">
        <f t="shared" si="256"/>
        <v>0.04</v>
      </c>
      <c r="M372" s="244">
        <f t="shared" si="256"/>
        <v>0.05</v>
      </c>
      <c r="N372" s="244"/>
      <c r="O372" s="59" t="s">
        <v>945</v>
      </c>
      <c r="P372" s="59" t="s">
        <v>945</v>
      </c>
      <c r="Q372" s="59" t="s">
        <v>945</v>
      </c>
      <c r="R372" s="244">
        <f>R189+Q189+P189+O189</f>
        <v>0.08</v>
      </c>
      <c r="S372" s="244">
        <f>S189</f>
        <v>0.08</v>
      </c>
      <c r="T372" s="244"/>
      <c r="U372" s="244">
        <f>U189+R189+Q189+P189</f>
        <v>0.08</v>
      </c>
      <c r="V372" s="244">
        <f>V189+U189+R189+Q189</f>
        <v>0.08</v>
      </c>
      <c r="W372" s="244">
        <f>W189+V189+U189+R189</f>
        <v>0.08</v>
      </c>
      <c r="X372" s="244">
        <f>X189+W189+V189+U189</f>
        <v>0.09</v>
      </c>
      <c r="Y372" s="244">
        <f>X372</f>
        <v>0.09</v>
      </c>
      <c r="Z372" s="244"/>
      <c r="AA372" s="244">
        <f>AA189+X189+W189+V189</f>
        <v>0.1</v>
      </c>
      <c r="AB372" s="244">
        <f>AB189+AA189+X189+W189</f>
        <v>0.11</v>
      </c>
      <c r="AC372" s="244">
        <f>AC189+AB189+AA189+X189</f>
        <v>0.12</v>
      </c>
      <c r="AD372" s="244">
        <f>AD189+AC189+AB189+AA189</f>
        <v>0.13999999999999999</v>
      </c>
      <c r="AE372" s="244">
        <f>AD372</f>
        <v>0.13999999999999999</v>
      </c>
      <c r="AF372" s="244"/>
      <c r="AG372" s="244">
        <f>AG189+AD189+AC189+AB189</f>
        <v>0.15</v>
      </c>
      <c r="AH372" s="244">
        <f>AH189+AG189+AD189+AC189</f>
        <v>0.15</v>
      </c>
      <c r="AI372" s="244">
        <f>AI189+AH189+AG189+AD189</f>
        <v>0.16</v>
      </c>
      <c r="AJ372" s="244">
        <f>AJ189+AI189+AH189+AG189</f>
        <v>0.17</v>
      </c>
      <c r="AK372" s="244">
        <f>AJ372</f>
        <v>0.17</v>
      </c>
      <c r="AL372" s="244"/>
      <c r="AM372" s="244">
        <f>AM189+AJ189+AI189+AH189</f>
        <v>0.17</v>
      </c>
      <c r="AN372" s="244">
        <f>AN189+AM189+AJ189+AI189</f>
        <v>0.19000000000000003</v>
      </c>
      <c r="AO372" s="244">
        <f>AO189+AN189+AM189+AJ189</f>
        <v>0.2</v>
      </c>
      <c r="AP372" s="244">
        <f>AP189+AO189+AN189+AM189</f>
        <v>0.22</v>
      </c>
      <c r="AQ372" s="244">
        <f>AP372</f>
        <v>0.22</v>
      </c>
      <c r="AR372" s="244"/>
      <c r="AS372" s="244">
        <f>AS189+AP189+AO189+AN189</f>
        <v>0.22999999999999998</v>
      </c>
      <c r="AT372" s="244">
        <f>AT189+AS189+AP189+AO189</f>
        <v>0.24</v>
      </c>
      <c r="AU372" s="244">
        <f>AU189+AT189+AS189+AP189</f>
        <v>0.32</v>
      </c>
      <c r="AV372" s="244">
        <f>AV189+AU189+AT189+AS189</f>
        <v>1.05</v>
      </c>
      <c r="AW372" s="244">
        <f>AV372</f>
        <v>1.05</v>
      </c>
      <c r="AX372" s="244"/>
      <c r="AY372" s="244">
        <f>AY189+AV189+AU189+AT189</f>
        <v>1.0899999999999999</v>
      </c>
      <c r="AZ372" s="244">
        <f>AZ189+AY189+AV189+AU189</f>
        <v>1.1400000000000001</v>
      </c>
      <c r="BA372" s="244">
        <f>BA189+AZ189+AY189+AV189</f>
        <v>1.1099999999999999</v>
      </c>
      <c r="BB372" s="244">
        <f>BB189+BA189+AZ189+AY189</f>
        <v>0.44</v>
      </c>
      <c r="BC372" s="244">
        <f>BB372</f>
        <v>0.44</v>
      </c>
      <c r="BD372" s="244"/>
      <c r="BE372" s="244">
        <f>BE189+BB189+BA189+AZ189</f>
        <v>0.44999999999999996</v>
      </c>
      <c r="BF372" s="244">
        <f>BF189+BE189+BB189+BA189</f>
        <v>0.43999999999999995</v>
      </c>
      <c r="BG372" s="244">
        <f>BG189+BF189+BE189+BB189</f>
        <v>0.43000000000000005</v>
      </c>
      <c r="BH372" s="244">
        <f>BH189+BG189+BF189+BE189</f>
        <v>0.4</v>
      </c>
      <c r="BI372" s="244">
        <f>BH372</f>
        <v>0.4</v>
      </c>
      <c r="BJ372" s="244"/>
      <c r="BK372" s="244">
        <f>BK189+BH189+BG189+BF189</f>
        <v>0.37</v>
      </c>
      <c r="BL372" s="244">
        <f>BL189+BK189+BH189+BG189</f>
        <v>0.37</v>
      </c>
      <c r="BM372" s="244">
        <f>BM189+BL189+BK189+BH189</f>
        <v>0.39</v>
      </c>
      <c r="BN372" s="244">
        <f>BN189+BM189+BL189+BK189</f>
        <v>0.43</v>
      </c>
      <c r="BO372" s="244">
        <f>BN372</f>
        <v>0.43</v>
      </c>
      <c r="BP372" s="244"/>
      <c r="BQ372" s="244">
        <f>BQ189+BN189+BM189+BL189</f>
        <v>0.45228999999999997</v>
      </c>
      <c r="BR372" s="244">
        <f>BR189+BQ189+BN189+BM189</f>
        <v>0.46789999999999998</v>
      </c>
      <c r="BS372" s="244">
        <f>BS189+BR189+BQ189+BN189</f>
        <v>0.47669000000000006</v>
      </c>
      <c r="BT372" s="244">
        <f>BT189+BS189+BR189+BQ189</f>
        <v>0.50407999999999997</v>
      </c>
      <c r="BU372" s="244">
        <f>BT372</f>
        <v>0.50407999999999997</v>
      </c>
      <c r="BV372" s="244"/>
      <c r="BW372" s="244">
        <f>BW189+BT189+BS189+BR189</f>
        <v>0.52266000000000001</v>
      </c>
      <c r="BX372" s="244">
        <f>BX189+BW189+BT189+BS189</f>
        <v>0.56638999999999995</v>
      </c>
      <c r="BY372" s="244">
        <f>BY189+BX189+BW189+BT189</f>
        <v>0.60533999999999999</v>
      </c>
      <c r="BZ372" s="244">
        <f>BZ189+BY189+BX189+BW189</f>
        <v>0.67703000000000002</v>
      </c>
      <c r="CA372" s="244">
        <f>BZ372</f>
        <v>0.67703000000000002</v>
      </c>
      <c r="CB372" s="244"/>
      <c r="CC372" s="244">
        <f>CC189+BZ189+BY189+BX189</f>
        <v>0.71689000000000003</v>
      </c>
      <c r="CD372" s="244">
        <f>CD189+CC189+BZ189+BY189</f>
        <v>0.74302000000000001</v>
      </c>
      <c r="CE372" s="244">
        <f>CE189+CD189+CC189+BZ189</f>
        <v>0.77383999999999997</v>
      </c>
      <c r="CF372" s="244">
        <f>CF189+CE189+CD189+CC189</f>
        <v>0.80090000000000006</v>
      </c>
      <c r="CG372" s="171">
        <f>CF372</f>
        <v>0.80090000000000006</v>
      </c>
      <c r="CH372" s="244"/>
      <c r="CI372" s="244">
        <f>CI189+CF189+CE189+CD189</f>
        <v>0.83560000000000012</v>
      </c>
      <c r="CJ372" s="244">
        <f>CJ189+CI189+CF189+CE189</f>
        <v>0.86990999999999996</v>
      </c>
      <c r="CK372" s="244">
        <f>CK189+CJ189+CI189+CF189</f>
        <v>0.92859000000000003</v>
      </c>
      <c r="CL372" s="244">
        <f>CL189+CK189+CJ189+CI189</f>
        <v>1.00797</v>
      </c>
      <c r="CM372" s="171">
        <f>CL372</f>
        <v>1.00797</v>
      </c>
      <c r="CN372" s="244"/>
      <c r="CO372" s="244">
        <f>CO189+CL189+CK189+CJ189</f>
        <v>1.05572</v>
      </c>
      <c r="CP372" s="244">
        <f>CP189+CO189+CL189+CK189</f>
        <v>1.14418</v>
      </c>
      <c r="CQ372" s="244">
        <f>CQ189+CP189+CO189+CL189</f>
        <v>1.2027000000000001</v>
      </c>
      <c r="CR372" s="244">
        <f>CR189+CQ189+CP189+CO189</f>
        <v>1.3023099999999999</v>
      </c>
      <c r="CS372" s="171">
        <f>CR372</f>
        <v>1.3023099999999999</v>
      </c>
      <c r="CT372" s="244"/>
      <c r="CU372" s="244">
        <f>CU189+CR189+CQ189+CP189</f>
        <v>1.3740700000000001</v>
      </c>
      <c r="CV372" s="244">
        <f>CV189+CU189+CR189+CQ189</f>
        <v>1.4024400000000001</v>
      </c>
      <c r="CW372" s="244">
        <f>CW189+CV189+CU189+CR189</f>
        <v>1.4487399999999999</v>
      </c>
      <c r="CX372" s="244">
        <f>CX189+CW189+CV189+CU189</f>
        <v>1.44425</v>
      </c>
      <c r="CY372" s="171">
        <f>CX372</f>
        <v>1.44425</v>
      </c>
      <c r="CZ372" s="244"/>
      <c r="DA372" s="244">
        <f>DA189+CX189+CW189+CV189</f>
        <v>1.4534800000000001</v>
      </c>
      <c r="DB372" s="244">
        <f>DB189+DA189+CX189+CW189</f>
        <v>1.5041100000000001</v>
      </c>
      <c r="DC372" s="244">
        <f>DC189+DB189+DA189+CX189</f>
        <v>1.5352999999999999</v>
      </c>
      <c r="DD372" s="244">
        <f>DD189+DC189+DB189+DA189</f>
        <v>1.6734199999999999</v>
      </c>
      <c r="DE372" s="171">
        <f>DD372</f>
        <v>1.6734199999999999</v>
      </c>
      <c r="DF372" s="244"/>
      <c r="DG372" s="244">
        <f>DG189+DD189+DC189+DB189</f>
        <v>1.7880999999999998</v>
      </c>
      <c r="DH372" s="244">
        <f>DH189+DG189+DD189+DC189</f>
        <v>1.9240200000000001</v>
      </c>
      <c r="DI372" s="244">
        <f>DI189+DH189+DG189+DD189</f>
        <v>2.0773799999999998</v>
      </c>
      <c r="DJ372" s="244">
        <f>DJ189+DI189+DH189+DG189</f>
        <v>2.2284299999999999</v>
      </c>
      <c r="DK372" s="171">
        <f>DJ372</f>
        <v>2.2284299999999999</v>
      </c>
      <c r="DL372" s="244"/>
      <c r="DM372" s="244">
        <f>DM189+DJ189+DI189+DH189</f>
        <v>2.2882199999999999</v>
      </c>
      <c r="DN372" s="244">
        <f>DN189+DM189+DJ189+DI189</f>
        <v>2.3084899999999999</v>
      </c>
      <c r="DO372" s="244">
        <f>DO189+DN189+DM189+DJ189</f>
        <v>2.3876900000000001</v>
      </c>
      <c r="DP372" s="244">
        <f>DP189+DO189+DN189+DM189</f>
        <v>2.4620599999999997</v>
      </c>
      <c r="DQ372" s="171">
        <f>DP372</f>
        <v>2.4620599999999997</v>
      </c>
      <c r="DR372" s="244"/>
      <c r="DS372" s="244">
        <f>DS189+DP189+DO189+DN189</f>
        <v>2.51268</v>
      </c>
      <c r="DT372" s="244">
        <f>DT189+DS189+DP189+DO189</f>
        <v>2.6105799999999997</v>
      </c>
      <c r="DU372" s="244">
        <f>DU189+DT189+DS189+DP189</f>
        <v>2.64066</v>
      </c>
      <c r="DV372" s="244">
        <f>DV189+DU189+DT189+DS189</f>
        <v>2.6814899999999997</v>
      </c>
      <c r="DW372" s="171">
        <f>DV372</f>
        <v>2.6814899999999997</v>
      </c>
      <c r="DX372" s="244"/>
      <c r="DY372" s="244">
        <f>DY189+DV189+DU189+DT189</f>
        <v>2.7429399999999999</v>
      </c>
      <c r="DZ372" s="244">
        <f>DZ189+DY189+DV189+DU189</f>
        <v>2.78748</v>
      </c>
      <c r="EA372" s="244">
        <f>EA189+DZ189+DY189+DV189</f>
        <v>2.8220299999999998</v>
      </c>
      <c r="EB372" s="244">
        <f>EB189+EA189+DZ189+DY189</f>
        <v>2.8729800000000001</v>
      </c>
      <c r="EC372" s="171">
        <f>EB372</f>
        <v>2.8729800000000001</v>
      </c>
      <c r="ED372" s="244"/>
      <c r="EE372" s="244">
        <f>EE189+EB189+EA189+DZ189</f>
        <v>2.8992399999999998</v>
      </c>
      <c r="EF372" s="244">
        <f>EF189+EE189+EB189+EA189</f>
        <v>2.9052699999999998</v>
      </c>
      <c r="EG372" s="244">
        <f>EG189+EF189+EE189+EB189</f>
        <v>2.9081899999999998</v>
      </c>
      <c r="EH372" s="244">
        <f>EH189+EG189+EF189+EE189</f>
        <v>2.7755599999999996</v>
      </c>
      <c r="EI372" s="171">
        <f>EH372</f>
        <v>2.7755599999999996</v>
      </c>
      <c r="EJ372" s="244"/>
      <c r="EK372" s="244">
        <f>EK189+EH189+EG189+EF189</f>
        <v>2.69055</v>
      </c>
      <c r="EL372" s="244">
        <f>EL189+EK189+EH189+EG189</f>
        <v>2.6323399999999997</v>
      </c>
      <c r="EM372" s="244">
        <f>EM189+EL189+EK189+EH189</f>
        <v>2.5906600000000002</v>
      </c>
      <c r="EN372" s="244">
        <f>EN189+EM189+EL189+EK189</f>
        <v>2.6152600000000001</v>
      </c>
      <c r="EO372" s="171">
        <f>EN372</f>
        <v>2.6152600000000001</v>
      </c>
      <c r="EP372" s="244"/>
      <c r="EQ372" s="244">
        <f>EQ189+EN189+EM189+EL189</f>
        <v>2.6364900000000002</v>
      </c>
      <c r="ER372" s="244">
        <f>ER189+EQ189+EN189+EM189</f>
        <v>2.6163400000000001</v>
      </c>
      <c r="ES372" s="244">
        <f>ES189+ER189+EQ189+EN189</f>
        <v>2.6616200000000001</v>
      </c>
      <c r="ET372" s="244">
        <f>ET189+ES189+ER189+EQ189</f>
        <v>2.7390499999999998</v>
      </c>
      <c r="EU372" s="171">
        <f>ET372</f>
        <v>2.7390499999999998</v>
      </c>
      <c r="EV372" s="244"/>
      <c r="EW372" s="244">
        <f>EW189+ET189+ES189+ER189</f>
        <v>2.80701</v>
      </c>
      <c r="EX372" s="244">
        <f>EX189+EW189+ET189+ES189</f>
        <v>2.8915799999999998</v>
      </c>
      <c r="EY372" s="244">
        <f>EY189+EX189+EW189+ET189</f>
        <v>3.0322900000000002</v>
      </c>
      <c r="EZ372" s="244">
        <f>EZ189+EY189+EX189+EW189</f>
        <v>3.0765200000000004</v>
      </c>
      <c r="FA372" s="171">
        <f>EZ372</f>
        <v>3.0765200000000004</v>
      </c>
      <c r="FB372" s="244"/>
      <c r="FC372" s="244">
        <f>FC189+EZ189+EY189+EX189</f>
        <v>3.17117</v>
      </c>
      <c r="FD372" s="244">
        <f>FD189+FC189+EZ189+EY189</f>
        <v>3.2770199999999998</v>
      </c>
      <c r="FE372" s="244">
        <f>FE189+FD189+FC189+EZ189</f>
        <v>3.2746900000000001</v>
      </c>
      <c r="FF372" s="244">
        <f>FF189+FE189+FD189+FC189</f>
        <v>3.3480600000000003</v>
      </c>
      <c r="FG372" s="171">
        <f>FF372</f>
        <v>3.3480600000000003</v>
      </c>
      <c r="FH372" s="244"/>
      <c r="FI372" s="244">
        <f>FI189+FF189+FE189+FD189</f>
        <v>3.4292499999999997</v>
      </c>
      <c r="FJ372" s="244">
        <f>FJ189+FI189+FF189+FE189</f>
        <v>3.5100799999999994</v>
      </c>
      <c r="FK372" s="244">
        <f>FK189+FJ189+FI189+FF189</f>
        <v>3.585</v>
      </c>
      <c r="FL372" s="244">
        <f>FL189+FK189+FJ189+FI189</f>
        <v>3.6389300000000002</v>
      </c>
      <c r="FM372" s="171">
        <f>FL372</f>
        <v>3.6389300000000002</v>
      </c>
      <c r="FN372" s="349"/>
      <c r="FO372" s="349"/>
      <c r="FP372" s="349"/>
      <c r="FQ372" s="349"/>
      <c r="FR372" s="349"/>
      <c r="FS372" s="349"/>
      <c r="FT372" s="349"/>
      <c r="FU372" s="349"/>
      <c r="FV372" s="349"/>
      <c r="FW372" s="349"/>
      <c r="FX372" s="349"/>
      <c r="FY372" s="349"/>
      <c r="FZ372" s="349"/>
      <c r="GA372" s="349"/>
      <c r="GB372" s="349"/>
      <c r="GC372" s="349"/>
      <c r="GD372" s="349"/>
      <c r="GE372" s="349"/>
      <c r="GF372" s="349"/>
      <c r="GG372" s="349"/>
      <c r="GH372" s="27"/>
      <c r="GI372"/>
      <c r="GJ372"/>
      <c r="GK372"/>
      <c r="GL372"/>
      <c r="GM372"/>
      <c r="GN372"/>
      <c r="GO372" s="27"/>
      <c r="GP372"/>
      <c r="GQ372"/>
      <c r="GR372"/>
      <c r="GS372"/>
      <c r="GT372"/>
      <c r="GU372"/>
      <c r="GV372"/>
      <c r="GW372"/>
      <c r="GX372"/>
      <c r="GY372"/>
      <c r="GZ372"/>
      <c r="HA372"/>
      <c r="HB372"/>
      <c r="HC372"/>
      <c r="HD372"/>
      <c r="HE372"/>
      <c r="HF372"/>
      <c r="HG372"/>
      <c r="HH372"/>
      <c r="HI372"/>
      <c r="HJ372"/>
      <c r="HK372"/>
      <c r="HL372"/>
      <c r="HM372"/>
      <c r="HN372"/>
      <c r="HO372"/>
      <c r="HP372"/>
      <c r="HQ372"/>
      <c r="HR372"/>
      <c r="HS372"/>
      <c r="HT372"/>
      <c r="HU372"/>
      <c r="HV372"/>
      <c r="HW372"/>
      <c r="HX372"/>
      <c r="HY372"/>
      <c r="HZ372"/>
      <c r="IA372"/>
      <c r="IB372"/>
      <c r="IC372"/>
      <c r="ID372"/>
      <c r="IE372"/>
      <c r="IF372"/>
      <c r="IG372"/>
      <c r="IH372"/>
      <c r="II372"/>
      <c r="IJ372"/>
      <c r="IK372"/>
      <c r="IL372"/>
      <c r="IM372"/>
      <c r="IN372"/>
      <c r="IO372"/>
      <c r="IP372"/>
      <c r="IQ372"/>
      <c r="IR372"/>
      <c r="IS372"/>
      <c r="IT372"/>
      <c r="IU372"/>
      <c r="IV372"/>
      <c r="IW372"/>
      <c r="IX372"/>
      <c r="IY372"/>
      <c r="IZ372"/>
      <c r="JA372"/>
      <c r="JB372"/>
      <c r="JC372"/>
      <c r="JD372"/>
      <c r="JE372"/>
      <c r="JF372"/>
      <c r="JG372"/>
      <c r="JH372"/>
      <c r="JI372"/>
      <c r="JJ372"/>
      <c r="JK372"/>
      <c r="JL372"/>
      <c r="JM372"/>
      <c r="JN372"/>
      <c r="JO372"/>
      <c r="JP372"/>
      <c r="JQ372"/>
      <c r="JR372"/>
      <c r="JS372"/>
      <c r="JT372"/>
      <c r="JU372"/>
    </row>
    <row r="373" spans="1:281" s="24" customFormat="1" hidden="1" outlineLevel="1" x14ac:dyDescent="0.2">
      <c r="A373" s="244" t="s">
        <v>731</v>
      </c>
      <c r="B373" s="954" t="s">
        <v>732</v>
      </c>
      <c r="C373" s="244">
        <f>'Cash Flow'!C76</f>
        <v>0</v>
      </c>
      <c r="D373" s="244">
        <f>'Cash Flow'!D76</f>
        <v>0</v>
      </c>
      <c r="E373" s="244">
        <f>'Cash Flow'!E76</f>
        <v>4.4029999999999996</v>
      </c>
      <c r="F373" s="244">
        <f>'Cash Flow'!F76</f>
        <v>6.4730000000000008</v>
      </c>
      <c r="G373" s="244">
        <f>'Cash Flow'!G76</f>
        <v>40.528999999999996</v>
      </c>
      <c r="H373" s="244">
        <f>'Cash Flow'!H76</f>
        <v>26.240000000000009</v>
      </c>
      <c r="I373" s="244">
        <f>'Cash Flow'!I76</f>
        <v>44.005999999999972</v>
      </c>
      <c r="J373" s="244">
        <f>'Cash Flow'!J76</f>
        <v>89.377999999999986</v>
      </c>
      <c r="K373" s="244">
        <f>'Cash Flow'!K76</f>
        <v>242.32</v>
      </c>
      <c r="L373" s="244">
        <f>'Cash Flow'!L76</f>
        <v>317.483</v>
      </c>
      <c r="M373" s="244">
        <f>'Cash Flow'!M76</f>
        <v>443.45099999999996</v>
      </c>
      <c r="N373" s="244"/>
      <c r="O373" s="59" t="s">
        <v>945</v>
      </c>
      <c r="P373" s="59" t="s">
        <v>945</v>
      </c>
      <c r="Q373" s="59" t="s">
        <v>945</v>
      </c>
      <c r="R373" s="244">
        <f>'Cash Flow'!R76+'Cash Flow'!Q76+'Cash Flow'!P76+'Cash Flow'!O76</f>
        <v>568.68400000000008</v>
      </c>
      <c r="S373" s="244">
        <f>'Cash Flow'!S76</f>
        <v>568.68399999999997</v>
      </c>
      <c r="T373" s="244"/>
      <c r="U373" s="244">
        <f>'Cash Flow'!U76+'Cash Flow'!R76+'Cash Flow'!Q76+'Cash Flow'!P76</f>
        <v>629.55899999999997</v>
      </c>
      <c r="V373" s="244">
        <f>'Cash Flow'!V76+'Cash Flow'!U76+'Cash Flow'!R76+'Cash Flow'!Q76</f>
        <v>645.029</v>
      </c>
      <c r="W373" s="244">
        <f>'Cash Flow'!W76+'Cash Flow'!V76+'Cash Flow'!U76+'Cash Flow'!R76</f>
        <v>775.58799999999997</v>
      </c>
      <c r="X373" s="244">
        <f>'Cash Flow'!X76+'Cash Flow'!W76+'Cash Flow'!V76+'Cash Flow'!U76</f>
        <v>889.15700000000015</v>
      </c>
      <c r="Y373" s="244">
        <f>X373</f>
        <v>889.15700000000015</v>
      </c>
      <c r="Z373" s="244"/>
      <c r="AA373" s="244">
        <f>'Cash Flow'!AA76+'Cash Flow'!X76+'Cash Flow'!W76+'Cash Flow'!V76</f>
        <v>960.57900000000006</v>
      </c>
      <c r="AB373" s="244">
        <f>'Cash Flow'!AB76+'Cash Flow'!AA76+'Cash Flow'!X76+'Cash Flow'!W76</f>
        <v>895.10300000000007</v>
      </c>
      <c r="AC373" s="244">
        <f>'Cash Flow'!AC76+'Cash Flow'!AB76+'Cash Flow'!AA76+'Cash Flow'!X76</f>
        <v>867.91300000000001</v>
      </c>
      <c r="AD373" s="244">
        <f>'Cash Flow'!AD76+'Cash Flow'!AC76+'Cash Flow'!AB76+'Cash Flow'!AA76</f>
        <v>1030.5039999999999</v>
      </c>
      <c r="AE373" s="244">
        <f>AD373</f>
        <v>1030.5039999999999</v>
      </c>
      <c r="AF373" s="244"/>
      <c r="AG373" s="244">
        <f>'Cash Flow'!AG76+'Cash Flow'!AD76+'Cash Flow'!AC76+'Cash Flow'!AB76</f>
        <v>1243.2439999999999</v>
      </c>
      <c r="AH373" s="244">
        <f>'Cash Flow'!AH76+'Cash Flow'!AG76+'Cash Flow'!AD76+'Cash Flow'!AC76</f>
        <v>1399.5769999999998</v>
      </c>
      <c r="AI373" s="244">
        <f>'Cash Flow'!AI76+'Cash Flow'!AH76+'Cash Flow'!AG76+'Cash Flow'!AD76</f>
        <v>1506.2849999999999</v>
      </c>
      <c r="AJ373" s="244">
        <f>'Cash Flow'!AJ76+'Cash Flow'!AI76+'Cash Flow'!AH76+'Cash Flow'!AG76</f>
        <v>1614.579</v>
      </c>
      <c r="AK373" s="244">
        <f>AJ373</f>
        <v>1614.579</v>
      </c>
      <c r="AL373" s="244"/>
      <c r="AM373" s="244">
        <f>'Cash Flow'!AM76+'Cash Flow'!AJ76+'Cash Flow'!AI76+'Cash Flow'!AH76</f>
        <v>1765.308</v>
      </c>
      <c r="AN373" s="244">
        <f>'Cash Flow'!AN76+'Cash Flow'!AM76+'Cash Flow'!AJ76+'Cash Flow'!AI76</f>
        <v>1623.1399999999999</v>
      </c>
      <c r="AO373" s="244">
        <f>'Cash Flow'!AO76+'Cash Flow'!AN76+'Cash Flow'!AM76+'Cash Flow'!AJ76</f>
        <v>1706.6770000000001</v>
      </c>
      <c r="AP373" s="244">
        <f>'Cash Flow'!AP76+'Cash Flow'!AO76+'Cash Flow'!AN76+'Cash Flow'!AM76</f>
        <v>1807.0990000000002</v>
      </c>
      <c r="AQ373" s="244">
        <f>AP373</f>
        <v>1807.0990000000002</v>
      </c>
      <c r="AR373" s="244"/>
      <c r="AS373" s="244">
        <f>'Cash Flow'!AS76+'Cash Flow'!AP76+'Cash Flow'!AO76+'Cash Flow'!AN76</f>
        <v>1865.6476000000002</v>
      </c>
      <c r="AT373" s="244">
        <f>'Cash Flow'!AT76+'Cash Flow'!AS76+'Cash Flow'!AP76+'Cash Flow'!AO76</f>
        <v>1948.8140000000001</v>
      </c>
      <c r="AU373" s="244">
        <f>'Cash Flow'!AU76+'Cash Flow'!AT76+'Cash Flow'!AS76+'Cash Flow'!AP76</f>
        <v>2490.5690000000004</v>
      </c>
      <c r="AV373" s="244">
        <f>'Cash Flow'!AV76+'Cash Flow'!AU76+'Cash Flow'!AT76+'Cash Flow'!AS76</f>
        <v>2923.5640000000008</v>
      </c>
      <c r="AW373" s="244">
        <f>AV373</f>
        <v>2923.5640000000008</v>
      </c>
      <c r="AX373" s="244"/>
      <c r="AY373" s="244">
        <f>'Cash Flow'!AY76+'Cash Flow'!AV76+'Cash Flow'!AU76+'Cash Flow'!AT76</f>
        <v>1393.6404000000011</v>
      </c>
      <c r="AZ373" s="244">
        <f>'Cash Flow'!AZ76+'Cash Flow'!AY76+'Cash Flow'!AV76+'Cash Flow'!AU76</f>
        <v>1889.6360000000009</v>
      </c>
      <c r="BA373" s="244">
        <f>'Cash Flow'!BA76+'Cash Flow'!AZ76+'Cash Flow'!AY76+'Cash Flow'!AV76</f>
        <v>1911.9500000000007</v>
      </c>
      <c r="BB373" s="244">
        <f>'Cash Flow'!BB76+'Cash Flow'!BA76+'Cash Flow'!AZ76+'Cash Flow'!AY76</f>
        <v>2179</v>
      </c>
      <c r="BC373" s="244">
        <f>BB373</f>
        <v>2179</v>
      </c>
      <c r="BD373" s="244"/>
      <c r="BE373" s="244">
        <f>'Cash Flow'!BE76+'Cash Flow'!BB76+'Cash Flow'!BA76+'Cash Flow'!AZ76</f>
        <v>4316.375</v>
      </c>
      <c r="BF373" s="244">
        <f>'Cash Flow'!BF76+'Cash Flow'!BE76+'Cash Flow'!BB76+'Cash Flow'!BA76</f>
        <v>3954.8360000000002</v>
      </c>
      <c r="BG373" s="244">
        <f>'Cash Flow'!BG76+'Cash Flow'!BF76+'Cash Flow'!BE76+'Cash Flow'!BB76</f>
        <v>3594.1090000000004</v>
      </c>
      <c r="BH373" s="244">
        <f>'Cash Flow'!BH76+'Cash Flow'!BG76+'Cash Flow'!BF76+'Cash Flow'!BE76</f>
        <v>3135</v>
      </c>
      <c r="BI373" s="244">
        <f>BH373</f>
        <v>3135</v>
      </c>
      <c r="BJ373" s="244"/>
      <c r="BK373" s="244">
        <f>'Cash Flow'!BK76+'Cash Flow'!BH76+'Cash Flow'!BG76+'Cash Flow'!BF76</f>
        <v>3089.4319999999998</v>
      </c>
      <c r="BL373" s="244">
        <f>'Cash Flow'!BL76+'Cash Flow'!BK76+'Cash Flow'!BH76+'Cash Flow'!BG76</f>
        <v>3094</v>
      </c>
      <c r="BM373" s="244">
        <f>'Cash Flow'!BM76+'Cash Flow'!BL76+'Cash Flow'!BK76+'Cash Flow'!BH76</f>
        <v>3174</v>
      </c>
      <c r="BN373" s="244">
        <f>'Cash Flow'!BN76+'Cash Flow'!BM76+'Cash Flow'!BL76+'Cash Flow'!BK76</f>
        <v>3023</v>
      </c>
      <c r="BO373" s="244">
        <f>BN373</f>
        <v>3023</v>
      </c>
      <c r="BP373" s="244"/>
      <c r="BQ373" s="244">
        <f>'Cash Flow'!BQ76+'Cash Flow'!BN76+'Cash Flow'!BM76+'Cash Flow'!BL76</f>
        <v>3056</v>
      </c>
      <c r="BR373" s="244">
        <f>'Cash Flow'!BR76+'Cash Flow'!BQ76+'Cash Flow'!BN76+'Cash Flow'!BM76</f>
        <v>3154</v>
      </c>
      <c r="BS373" s="244">
        <f>'Cash Flow'!BS76+'Cash Flow'!BR76+'Cash Flow'!BQ76+'Cash Flow'!BN76</f>
        <v>2985</v>
      </c>
      <c r="BT373" s="244">
        <f>'Cash Flow'!BT76+'Cash Flow'!BS76+'Cash Flow'!BR76+'Cash Flow'!BQ76</f>
        <v>3195</v>
      </c>
      <c r="BU373" s="244">
        <f>BT373</f>
        <v>3195</v>
      </c>
      <c r="BV373" s="244"/>
      <c r="BW373" s="244">
        <f>'Cash Flow'!BW76+'Cash Flow'!BT76+'Cash Flow'!BS76+'Cash Flow'!BR76</f>
        <v>3358</v>
      </c>
      <c r="BX373" s="244">
        <f>'Cash Flow'!BX76+'Cash Flow'!BW76+'Cash Flow'!BT76+'Cash Flow'!BS76</f>
        <v>3394</v>
      </c>
      <c r="BY373" s="244">
        <f>'Cash Flow'!BY76+'Cash Flow'!BX76+'Cash Flow'!BW76+'Cash Flow'!BT76</f>
        <v>3593</v>
      </c>
      <c r="BZ373" s="244">
        <f>'Cash Flow'!BZ76+'Cash Flow'!BY76+'Cash Flow'!BX76+'Cash Flow'!BW76</f>
        <v>3551.9225000000001</v>
      </c>
      <c r="CA373" s="244">
        <f>BZ373</f>
        <v>3551.9225000000001</v>
      </c>
      <c r="CB373" s="244"/>
      <c r="CC373" s="244">
        <f>'Cash Flow'!CC76+'Cash Flow'!BZ76+'Cash Flow'!BY76+'Cash Flow'!BX76</f>
        <v>3595.9225000000001</v>
      </c>
      <c r="CD373" s="244">
        <f>'Cash Flow'!CD76+'Cash Flow'!CC76+'Cash Flow'!BZ76+'Cash Flow'!BY76</f>
        <v>3508.9225000000001</v>
      </c>
      <c r="CE373" s="244">
        <f>'Cash Flow'!CE76+'Cash Flow'!CD76+'Cash Flow'!CC76+'Cash Flow'!BZ76</f>
        <v>3856.9225000000001</v>
      </c>
      <c r="CF373" s="244">
        <f>'Cash Flow'!CF76+'Cash Flow'!CE76+'Cash Flow'!CD76+'Cash Flow'!CC76</f>
        <v>4541</v>
      </c>
      <c r="CG373" s="171">
        <f>CF373</f>
        <v>4541</v>
      </c>
      <c r="CH373" s="244"/>
      <c r="CI373" s="244">
        <f>'Cash Flow'!CI76+'Cash Flow'!CF76+'Cash Flow'!CE76+'Cash Flow'!CD76</f>
        <v>4708</v>
      </c>
      <c r="CJ373" s="244">
        <f>'Cash Flow'!CJ76+'Cash Flow'!CI76+'Cash Flow'!CF76+'Cash Flow'!CE76</f>
        <v>4651</v>
      </c>
      <c r="CK373" s="244">
        <f>'Cash Flow'!CK76+'Cash Flow'!CJ76+'Cash Flow'!CI76+'Cash Flow'!CF76</f>
        <v>4984</v>
      </c>
      <c r="CL373" s="244">
        <f>'Cash Flow'!CL76+'Cash Flow'!CK76+'Cash Flow'!CJ76+'Cash Flow'!CI76</f>
        <v>5520</v>
      </c>
      <c r="CM373" s="171">
        <f>CL373</f>
        <v>5520</v>
      </c>
      <c r="CN373" s="244"/>
      <c r="CO373" s="244">
        <f>'Cash Flow'!CO76+'Cash Flow'!CL76+'Cash Flow'!CK76+'Cash Flow'!CJ76</f>
        <v>6596</v>
      </c>
      <c r="CP373" s="244">
        <f>'Cash Flow'!CP76+'Cash Flow'!CO76+'Cash Flow'!CL76+'Cash Flow'!CK76</f>
        <v>6957</v>
      </c>
      <c r="CQ373" s="244">
        <f>'Cash Flow'!CQ76+'Cash Flow'!CP76+'Cash Flow'!CO76+'Cash Flow'!CL76</f>
        <v>7322</v>
      </c>
      <c r="CR373" s="244">
        <f>'Cash Flow'!CR76+'Cash Flow'!CQ76+'Cash Flow'!CP76+'Cash Flow'!CO76</f>
        <v>7402</v>
      </c>
      <c r="CS373" s="171">
        <f>CR373</f>
        <v>7402</v>
      </c>
      <c r="CT373" s="244"/>
      <c r="CU373" s="244">
        <f>'Cash Flow'!CU76+'Cash Flow'!CR76+'Cash Flow'!CQ76+'Cash Flow'!CP76</f>
        <v>7941</v>
      </c>
      <c r="CV373" s="244">
        <f>'Cash Flow'!CV76+'Cash Flow'!CU76+'Cash Flow'!CR76+'Cash Flow'!CQ76</f>
        <v>8089</v>
      </c>
      <c r="CW373" s="244">
        <f>'Cash Flow'!CW76+'Cash Flow'!CV76+'Cash Flow'!CU76+'Cash Flow'!CR76</f>
        <v>8542</v>
      </c>
      <c r="CX373" s="244">
        <f>'Cash Flow'!CX76+'Cash Flow'!CW76+'Cash Flow'!CV76+'Cash Flow'!CU76</f>
        <v>8255</v>
      </c>
      <c r="CY373" s="171">
        <f>CX373</f>
        <v>8255</v>
      </c>
      <c r="CZ373" s="244"/>
      <c r="DA373" s="244">
        <f>'Cash Flow'!DA76+'Cash Flow'!CX76+'Cash Flow'!CW76+'Cash Flow'!CV76</f>
        <v>8753</v>
      </c>
      <c r="DB373" s="244">
        <f>'Cash Flow'!DB76+'Cash Flow'!DA76+'Cash Flow'!CX76+'Cash Flow'!CW76</f>
        <v>8654</v>
      </c>
      <c r="DC373" s="244">
        <f>'Cash Flow'!DC76+'Cash Flow'!DB76+'Cash Flow'!DA76+'Cash Flow'!CX76</f>
        <v>8178</v>
      </c>
      <c r="DD373" s="244">
        <f>'Cash Flow'!DD76+'Cash Flow'!DC76+'Cash Flow'!DB76+'Cash Flow'!DA76</f>
        <v>8681</v>
      </c>
      <c r="DE373" s="171">
        <f>DD373</f>
        <v>8681</v>
      </c>
      <c r="DF373" s="244"/>
      <c r="DG373" s="244">
        <f>'Cash Flow'!DG76+'Cash Flow'!DD76+'Cash Flow'!DC76+'Cash Flow'!DB76</f>
        <v>8760</v>
      </c>
      <c r="DH373" s="244">
        <f>'Cash Flow'!DH76+'Cash Flow'!DG76+'Cash Flow'!DD76+'Cash Flow'!DC76</f>
        <v>9053</v>
      </c>
      <c r="DI373" s="244">
        <f>'Cash Flow'!DI76+'Cash Flow'!DH76+'Cash Flow'!DG76+'Cash Flow'!DD76</f>
        <v>9948</v>
      </c>
      <c r="DJ373" s="244">
        <f>'Cash Flow'!DJ76+'Cash Flow'!DI76+'Cash Flow'!DH76+'Cash Flow'!DG76</f>
        <v>11214</v>
      </c>
      <c r="DK373" s="171">
        <f>DJ373</f>
        <v>11214</v>
      </c>
      <c r="DL373" s="244"/>
      <c r="DM373" s="244">
        <f>'Cash Flow'!DM76+'Cash Flow'!DJ76+'Cash Flow'!DI76+'Cash Flow'!DH76</f>
        <v>12818</v>
      </c>
      <c r="DN373" s="244">
        <f>'Cash Flow'!DN76+'Cash Flow'!DM76+'Cash Flow'!DJ76+'Cash Flow'!DI76</f>
        <v>13129</v>
      </c>
      <c r="DO373" s="244">
        <f>'Cash Flow'!DO76+'Cash Flow'!DN76+'Cash Flow'!DM76+'Cash Flow'!DJ76</f>
        <v>13463</v>
      </c>
      <c r="DP373" s="244">
        <f>'Cash Flow'!DP76+'Cash Flow'!DO76+'Cash Flow'!DN76+'Cash Flow'!DM76</f>
        <v>13743</v>
      </c>
      <c r="DQ373" s="171">
        <f>DP373</f>
        <v>13743</v>
      </c>
      <c r="DR373" s="244"/>
      <c r="DS373" s="244">
        <f>'Cash Flow'!DS76+'Cash Flow'!DP76+'Cash Flow'!DO76+'Cash Flow'!DN76</f>
        <v>13993</v>
      </c>
      <c r="DT373" s="244">
        <f>'Cash Flow'!DT76+'Cash Flow'!DS76+'Cash Flow'!DP76+'Cash Flow'!DO76</f>
        <v>13533</v>
      </c>
      <c r="DU373" s="244">
        <f>'Cash Flow'!DU76+'Cash Flow'!DT76+'Cash Flow'!DS76+'Cash Flow'!DP76</f>
        <v>13717</v>
      </c>
      <c r="DV373" s="244">
        <f>'Cash Flow'!DV76+'Cash Flow'!DU76+'Cash Flow'!DT76+'Cash Flow'!DS76</f>
        <v>14224</v>
      </c>
      <c r="DW373" s="171">
        <f>DV373</f>
        <v>14224</v>
      </c>
      <c r="DX373" s="244"/>
      <c r="DY373" s="244">
        <f>'Cash Flow'!DY76+'Cash Flow'!DV76+'Cash Flow'!DU76+'Cash Flow'!DT76</f>
        <v>14845</v>
      </c>
      <c r="DZ373" s="244">
        <f>'Cash Flow'!DZ76+'Cash Flow'!DY76+'Cash Flow'!DV76+'Cash Flow'!DU76</f>
        <v>15196</v>
      </c>
      <c r="EA373" s="244">
        <f>'Cash Flow'!EA76+'Cash Flow'!DZ76+'Cash Flow'!DY76+'Cash Flow'!DV76</f>
        <v>15029</v>
      </c>
      <c r="EB373" s="244">
        <f>'Cash Flow'!EB76+'Cash Flow'!EA76+'Cash Flow'!DZ76+'Cash Flow'!DY76</f>
        <v>14921</v>
      </c>
      <c r="EC373" s="171">
        <f>EB373</f>
        <v>14921</v>
      </c>
      <c r="ED373" s="244"/>
      <c r="EE373" s="244">
        <f>'Cash Flow'!EE76+'Cash Flow'!EB76+'Cash Flow'!EA76+'Cash Flow'!DZ76</f>
        <v>15357</v>
      </c>
      <c r="EF373" s="244">
        <f>'Cash Flow'!EF76+'Cash Flow'!EE76+'Cash Flow'!EB76+'Cash Flow'!EA76</f>
        <v>15273</v>
      </c>
      <c r="EG373" s="244">
        <f>'Cash Flow'!EG76+'Cash Flow'!EF76+'Cash Flow'!EE76+'Cash Flow'!EB76</f>
        <v>14509</v>
      </c>
      <c r="EH373" s="244">
        <f>'Cash Flow'!EH76+'Cash Flow'!EG76+'Cash Flow'!EF76+'Cash Flow'!EE76</f>
        <v>14336</v>
      </c>
      <c r="EI373" s="171">
        <f>EH373</f>
        <v>14336</v>
      </c>
      <c r="EJ373" s="244"/>
      <c r="EK373" s="244">
        <f>'Cash Flow'!EK76+'Cash Flow'!EH76+'Cash Flow'!EG76+'Cash Flow'!EF76</f>
        <v>13464</v>
      </c>
      <c r="EL373" s="244">
        <f>'Cash Flow'!EL76+'Cash Flow'!EK76+'Cash Flow'!EH76+'Cash Flow'!EG76</f>
        <v>12903</v>
      </c>
      <c r="EM373" s="244">
        <f>'Cash Flow'!EM76+'Cash Flow'!EL76+'Cash Flow'!EK76+'Cash Flow'!EH76</f>
        <v>14114</v>
      </c>
      <c r="EN373" s="244">
        <f>'Cash Flow'!EN76+'Cash Flow'!EM76+'Cash Flow'!EL76+'Cash Flow'!EK76</f>
        <v>13561</v>
      </c>
      <c r="EO373" s="171">
        <f>EN373</f>
        <v>13561</v>
      </c>
      <c r="EP373" s="244"/>
      <c r="EQ373" s="244">
        <f>'Cash Flow'!EQ76+'Cash Flow'!EN76+'Cash Flow'!EM76+'Cash Flow'!EL76</f>
        <v>13580</v>
      </c>
      <c r="ER373" s="244">
        <f>'Cash Flow'!ER76+'Cash Flow'!EQ76+'Cash Flow'!EN76+'Cash Flow'!EM76</f>
        <v>14165</v>
      </c>
      <c r="ES373" s="244">
        <f>'Cash Flow'!ES76+'Cash Flow'!ER76+'Cash Flow'!EQ76+'Cash Flow'!EN76</f>
        <v>13390</v>
      </c>
      <c r="ET373" s="244">
        <f>'Cash Flow'!ET76+'Cash Flow'!ES76+'Cash Flow'!ER76+'Cash Flow'!EQ76</f>
        <v>14126</v>
      </c>
      <c r="EU373" s="171">
        <f>ET373</f>
        <v>14126</v>
      </c>
      <c r="EV373" s="244"/>
      <c r="EW373" s="244">
        <f>'Cash Flow'!EW76+'Cash Flow'!ET76+'Cash Flow'!ES76+'Cash Flow'!ER76</f>
        <v>14817</v>
      </c>
      <c r="EX373" s="244">
        <f>'Cash Flow'!EX76+'Cash Flow'!EW76+'Cash Flow'!ET76+'Cash Flow'!ES76</f>
        <v>14581</v>
      </c>
      <c r="EY373" s="244">
        <f>'Cash Flow'!EY76+'Cash Flow'!EX76+'Cash Flow'!EW76+'Cash Flow'!ET76</f>
        <v>15192</v>
      </c>
      <c r="EZ373" s="244">
        <f>'Cash Flow'!EZ76+'Cash Flow'!EY76+'Cash Flow'!EX76+'Cash Flow'!EW76</f>
        <v>15101.702100519215</v>
      </c>
      <c r="FA373" s="171">
        <f>EZ373</f>
        <v>15101.702100519215</v>
      </c>
      <c r="FB373" s="244"/>
      <c r="FC373" s="244">
        <f>'Cash Flow'!FC76+'Cash Flow'!EZ76+'Cash Flow'!EY76+'Cash Flow'!EX76</f>
        <v>14432.157941084253</v>
      </c>
      <c r="FD373" s="244">
        <f>'Cash Flow'!FD76+'Cash Flow'!FC76+'Cash Flow'!EZ76+'Cash Flow'!EY76</f>
        <v>14428.745853963155</v>
      </c>
      <c r="FE373" s="244">
        <f>'Cash Flow'!FE76+'Cash Flow'!FD76+'Cash Flow'!FC76+'Cash Flow'!EZ76</f>
        <v>15278.604539027576</v>
      </c>
      <c r="FF373" s="244">
        <f>'Cash Flow'!FF76+'Cash Flow'!FE76+'Cash Flow'!FD76+'Cash Flow'!FC76</f>
        <v>15984.085211070626</v>
      </c>
      <c r="FG373" s="171">
        <f>FF373</f>
        <v>15984.085211070626</v>
      </c>
      <c r="FH373" s="244"/>
      <c r="FI373" s="244">
        <f>'Cash Flow'!FI76+'Cash Flow'!FF76+'Cash Flow'!FE76+'Cash Flow'!FD76</f>
        <v>16397.906767351044</v>
      </c>
      <c r="FJ373" s="244">
        <f>'Cash Flow'!FJ76+'Cash Flow'!FI76+'Cash Flow'!FF76+'Cash Flow'!FE76</f>
        <v>16429.281913303916</v>
      </c>
      <c r="FK373" s="244">
        <f>'Cash Flow'!FK76+'Cash Flow'!FJ76+'Cash Flow'!FI76+'Cash Flow'!FF76</f>
        <v>16517.847881475514</v>
      </c>
      <c r="FL373" s="244">
        <f>'Cash Flow'!FL76+'Cash Flow'!FK76+'Cash Flow'!FJ76+'Cash Flow'!FI76</f>
        <v>17381.936586748772</v>
      </c>
      <c r="FM373" s="171">
        <f>FL373</f>
        <v>17381.936586748772</v>
      </c>
      <c r="FN373" s="27"/>
      <c r="FO373" s="27"/>
      <c r="FP373" s="27"/>
      <c r="FQ373" s="27"/>
      <c r="FR373" s="27"/>
      <c r="FS373" s="27"/>
      <c r="FT373" s="27"/>
      <c r="FU373" s="27"/>
      <c r="FV373" s="27"/>
      <c r="FW373" s="27"/>
      <c r="FX373" s="27"/>
      <c r="FY373" s="27"/>
      <c r="FZ373" s="27"/>
      <c r="GA373" s="27"/>
      <c r="GB373" s="27"/>
      <c r="GC373" s="27"/>
      <c r="GD373" s="27"/>
      <c r="GE373" s="27"/>
      <c r="GF373" s="27"/>
      <c r="GG373" s="27"/>
      <c r="GH373" s="27"/>
      <c r="GI373"/>
      <c r="GJ373"/>
      <c r="GK373"/>
      <c r="GL373"/>
      <c r="GM373"/>
      <c r="GN373"/>
      <c r="GO373" s="27"/>
      <c r="GP373"/>
      <c r="GQ373"/>
      <c r="GR373"/>
      <c r="GS373"/>
      <c r="GT373"/>
      <c r="GU373"/>
      <c r="GV373"/>
      <c r="GW373"/>
      <c r="GX373"/>
      <c r="GY373"/>
      <c r="GZ373"/>
      <c r="HA373"/>
      <c r="HB373"/>
      <c r="HC373"/>
      <c r="HD373"/>
      <c r="HE373"/>
      <c r="HF373"/>
      <c r="HG373"/>
      <c r="HH373"/>
      <c r="HI373"/>
      <c r="HJ373"/>
      <c r="HK373"/>
      <c r="HL373"/>
      <c r="HM373"/>
      <c r="HN373"/>
      <c r="HO373"/>
      <c r="HP373"/>
      <c r="HQ373"/>
      <c r="HR373"/>
      <c r="HS373"/>
      <c r="HT373"/>
      <c r="HU373"/>
      <c r="HV373"/>
      <c r="HW373"/>
      <c r="HX373"/>
      <c r="HY373"/>
      <c r="HZ373"/>
      <c r="IA373"/>
      <c r="IB373"/>
      <c r="IC373"/>
      <c r="ID373"/>
      <c r="IE373"/>
      <c r="IF373"/>
      <c r="IG373"/>
      <c r="IH373"/>
      <c r="II373"/>
      <c r="IJ373"/>
      <c r="IK373"/>
      <c r="IL373"/>
      <c r="IM373"/>
      <c r="IN373"/>
      <c r="IO373"/>
      <c r="IP373"/>
      <c r="IQ373"/>
      <c r="IR373"/>
      <c r="IS373"/>
      <c r="IT373"/>
      <c r="IU373"/>
      <c r="IV373"/>
      <c r="IW373"/>
      <c r="IX373"/>
      <c r="IY373"/>
      <c r="IZ373"/>
      <c r="JA373"/>
      <c r="JB373"/>
      <c r="JC373"/>
      <c r="JD373"/>
      <c r="JE373"/>
      <c r="JF373"/>
      <c r="JG373"/>
      <c r="JH373"/>
      <c r="JI373"/>
      <c r="JJ373"/>
      <c r="JK373"/>
      <c r="JL373"/>
      <c r="JM373"/>
      <c r="JN373"/>
      <c r="JO373"/>
      <c r="JP373"/>
      <c r="JQ373"/>
      <c r="JR373"/>
      <c r="JS373"/>
      <c r="JT373"/>
      <c r="JU373"/>
    </row>
    <row r="374" spans="1:281" s="28" customFormat="1" ht="4.5" hidden="1" customHeight="1" outlineLevel="1" x14ac:dyDescent="0.2">
      <c r="A374" s="305"/>
      <c r="B374" s="326"/>
      <c r="C374" s="305"/>
      <c r="D374" s="305"/>
      <c r="E374" s="305"/>
      <c r="F374" s="305"/>
      <c r="G374" s="305"/>
      <c r="H374" s="305"/>
      <c r="I374" s="305"/>
      <c r="J374" s="305"/>
      <c r="K374" s="305"/>
      <c r="L374" s="305"/>
      <c r="M374" s="305"/>
      <c r="N374" s="305"/>
      <c r="O374" s="305"/>
      <c r="P374" s="305"/>
      <c r="Q374" s="305"/>
      <c r="R374" s="305"/>
      <c r="S374" s="305"/>
      <c r="T374" s="305"/>
      <c r="U374" s="305"/>
      <c r="V374" s="305"/>
      <c r="W374" s="305"/>
      <c r="X374" s="305"/>
      <c r="Y374" s="305"/>
      <c r="Z374" s="305"/>
      <c r="AA374" s="305"/>
      <c r="AB374" s="305"/>
      <c r="AC374" s="305"/>
      <c r="AD374" s="305"/>
      <c r="AE374" s="305"/>
      <c r="AF374" s="305"/>
      <c r="AG374" s="305"/>
      <c r="AH374" s="305"/>
      <c r="AI374" s="305"/>
      <c r="AJ374" s="305"/>
      <c r="AK374" s="305"/>
      <c r="AL374" s="305"/>
      <c r="AM374" s="305"/>
      <c r="AN374" s="305"/>
      <c r="AO374" s="305"/>
      <c r="AP374" s="305"/>
      <c r="AQ374" s="305"/>
      <c r="AR374" s="305"/>
      <c r="AS374" s="305"/>
      <c r="AT374" s="305"/>
      <c r="AU374" s="305"/>
      <c r="AV374" s="305"/>
      <c r="AW374" s="305"/>
      <c r="AX374" s="305"/>
      <c r="AY374" s="305"/>
      <c r="AZ374" s="305"/>
      <c r="BA374" s="305"/>
      <c r="BB374" s="305"/>
      <c r="BC374" s="305"/>
      <c r="BD374" s="305"/>
      <c r="BE374" s="305"/>
      <c r="BF374" s="305"/>
      <c r="BG374" s="305"/>
      <c r="BH374" s="305"/>
      <c r="BI374" s="305"/>
      <c r="BJ374" s="305"/>
      <c r="BK374" s="305"/>
      <c r="BL374" s="305"/>
      <c r="BM374" s="305"/>
      <c r="BN374" s="305"/>
      <c r="BO374" s="305"/>
      <c r="BP374" s="305"/>
      <c r="BQ374" s="305"/>
      <c r="BR374" s="305"/>
      <c r="BS374" s="305"/>
      <c r="BT374" s="305"/>
      <c r="BU374" s="305"/>
      <c r="BV374" s="305"/>
      <c r="BW374" s="305"/>
      <c r="BX374" s="305"/>
      <c r="BY374" s="305"/>
      <c r="BZ374" s="305"/>
      <c r="CA374" s="305"/>
      <c r="CB374" s="305"/>
      <c r="CC374" s="305"/>
      <c r="CD374" s="305"/>
      <c r="CE374" s="305"/>
      <c r="CF374" s="305"/>
      <c r="CG374" s="327"/>
      <c r="CH374" s="305"/>
      <c r="CI374" s="305"/>
      <c r="CJ374" s="305"/>
      <c r="CK374" s="305"/>
      <c r="CL374" s="305"/>
      <c r="CM374" s="327"/>
      <c r="CN374" s="305"/>
      <c r="CO374" s="305"/>
      <c r="CP374" s="305"/>
      <c r="CQ374" s="305"/>
      <c r="CR374" s="305"/>
      <c r="CS374" s="327"/>
      <c r="CT374" s="305"/>
      <c r="CU374" s="305"/>
      <c r="CV374" s="305"/>
      <c r="CW374" s="305"/>
      <c r="CX374" s="305"/>
      <c r="CY374" s="327"/>
      <c r="CZ374" s="305"/>
      <c r="DA374" s="305"/>
      <c r="DB374" s="305"/>
      <c r="DC374" s="305"/>
      <c r="DD374" s="305"/>
      <c r="DE374" s="327"/>
      <c r="DF374" s="305"/>
      <c r="DG374" s="305"/>
      <c r="DH374" s="305"/>
      <c r="DI374" s="305"/>
      <c r="DJ374" s="305"/>
      <c r="DK374" s="327"/>
      <c r="DL374" s="305"/>
      <c r="DM374" s="305"/>
      <c r="DN374" s="305"/>
      <c r="DO374" s="305"/>
      <c r="DP374" s="305"/>
      <c r="DQ374" s="327"/>
      <c r="DR374" s="305"/>
      <c r="DS374" s="305"/>
      <c r="DT374" s="305"/>
      <c r="DU374" s="305"/>
      <c r="DV374" s="305"/>
      <c r="DW374" s="327"/>
      <c r="DX374" s="305"/>
      <c r="DY374" s="305"/>
      <c r="DZ374" s="305"/>
      <c r="EA374" s="305"/>
      <c r="EB374" s="305"/>
      <c r="EC374" s="327"/>
      <c r="ED374" s="305"/>
      <c r="EE374" s="305"/>
      <c r="EF374" s="305"/>
      <c r="EG374" s="305"/>
      <c r="EH374" s="305"/>
      <c r="EI374" s="327"/>
      <c r="EJ374" s="305"/>
      <c r="EK374" s="305"/>
      <c r="EL374" s="305"/>
      <c r="EM374" s="305"/>
      <c r="EN374" s="305"/>
      <c r="EO374" s="327"/>
      <c r="EP374" s="305"/>
      <c r="EQ374" s="305"/>
      <c r="ER374" s="305"/>
      <c r="ES374" s="305"/>
      <c r="ET374" s="305"/>
      <c r="EU374" s="327"/>
      <c r="EV374" s="305"/>
      <c r="EW374" s="305"/>
      <c r="EX374" s="305"/>
      <c r="EY374" s="305"/>
      <c r="EZ374" s="305"/>
      <c r="FA374" s="327"/>
      <c r="FB374" s="305"/>
      <c r="FC374" s="305"/>
      <c r="FD374" s="305"/>
      <c r="FE374" s="305"/>
      <c r="FF374" s="305"/>
      <c r="FG374" s="327"/>
      <c r="FH374" s="305"/>
      <c r="FI374" s="305"/>
      <c r="FJ374" s="305"/>
      <c r="FK374" s="305"/>
      <c r="FL374" s="305"/>
      <c r="FM374" s="327"/>
      <c r="GI374"/>
      <c r="GJ374"/>
      <c r="GK374"/>
      <c r="GL374"/>
      <c r="GM374"/>
      <c r="GN374"/>
      <c r="GP374"/>
      <c r="GQ374"/>
      <c r="GR374"/>
      <c r="GS374"/>
      <c r="GT374"/>
      <c r="GU374"/>
      <c r="GV374"/>
      <c r="GW374"/>
      <c r="GX374"/>
      <c r="GY374"/>
      <c r="GZ374"/>
      <c r="HA374"/>
      <c r="HB374"/>
      <c r="HC374"/>
      <c r="HD374"/>
      <c r="HE374"/>
      <c r="HF374"/>
      <c r="HG374"/>
      <c r="HH374"/>
      <c r="HI374"/>
      <c r="HJ374"/>
      <c r="HK374"/>
      <c r="HL374"/>
      <c r="HM374"/>
      <c r="HN374"/>
      <c r="HO374"/>
      <c r="HP374"/>
      <c r="HQ374"/>
      <c r="HR374"/>
      <c r="HS374"/>
      <c r="HT374"/>
      <c r="HU374"/>
      <c r="HV374"/>
      <c r="HW374"/>
      <c r="HX374"/>
      <c r="HY374"/>
      <c r="HZ374"/>
      <c r="IA374"/>
      <c r="IB374"/>
      <c r="IC374"/>
      <c r="ID374"/>
      <c r="IE374"/>
      <c r="IF374"/>
      <c r="IG374"/>
      <c r="IH374"/>
      <c r="II374"/>
      <c r="IJ374"/>
      <c r="IK374"/>
      <c r="IL374"/>
      <c r="IM374"/>
      <c r="IN374"/>
      <c r="IO374"/>
      <c r="IP374"/>
      <c r="IQ374"/>
      <c r="IR374"/>
      <c r="IS374"/>
      <c r="IT374"/>
      <c r="IU374"/>
      <c r="IV374"/>
      <c r="IW374"/>
      <c r="IX374"/>
      <c r="IY374"/>
      <c r="IZ374"/>
      <c r="JA374"/>
      <c r="JB374"/>
      <c r="JC374"/>
      <c r="JD374"/>
      <c r="JE374"/>
      <c r="JF374"/>
      <c r="JG374"/>
      <c r="JH374"/>
      <c r="JI374"/>
      <c r="JJ374"/>
      <c r="JK374"/>
      <c r="JL374"/>
      <c r="JM374"/>
      <c r="JN374"/>
      <c r="JO374"/>
      <c r="JP374"/>
      <c r="JQ374"/>
      <c r="JR374"/>
      <c r="JS374"/>
      <c r="JT374"/>
      <c r="JU374"/>
    </row>
    <row r="375" spans="1:281" s="24" customFormat="1" hidden="1" outlineLevel="1" x14ac:dyDescent="0.2">
      <c r="A375" s="244" t="s">
        <v>733</v>
      </c>
      <c r="B375" s="954" t="s">
        <v>734</v>
      </c>
      <c r="C375" s="59">
        <f t="shared" ref="C375:M375" si="257">C169*(1-C185)</f>
        <v>1.569705386740331</v>
      </c>
      <c r="D375" s="59">
        <f t="shared" si="257"/>
        <v>1.6489351891891899</v>
      </c>
      <c r="E375" s="59">
        <f t="shared" si="257"/>
        <v>6.083850370370377</v>
      </c>
      <c r="F375" s="59">
        <f t="shared" si="257"/>
        <v>15.173742436750873</v>
      </c>
      <c r="G375" s="59">
        <f t="shared" si="257"/>
        <v>42.168573679917515</v>
      </c>
      <c r="H375" s="59">
        <f t="shared" si="257"/>
        <v>83.740103105373322</v>
      </c>
      <c r="I375" s="59">
        <f t="shared" si="257"/>
        <v>92.598741370850334</v>
      </c>
      <c r="J375" s="59">
        <f t="shared" si="257"/>
        <v>25.078264537078987</v>
      </c>
      <c r="K375" s="59">
        <f t="shared" si="257"/>
        <v>73.265644990376089</v>
      </c>
      <c r="L375" s="59">
        <f t="shared" si="257"/>
        <v>181.70140989589902</v>
      </c>
      <c r="M375" s="59">
        <f t="shared" si="257"/>
        <v>281.27955608092776</v>
      </c>
      <c r="N375" s="244"/>
      <c r="O375" s="59">
        <f>O169*(1-O185)</f>
        <v>58.653992095727091</v>
      </c>
      <c r="P375" s="59">
        <f>P169*(1-P185)</f>
        <v>92.414774743393934</v>
      </c>
      <c r="Q375" s="59">
        <f>Q169*(1-Q185)</f>
        <v>103.25151540247876</v>
      </c>
      <c r="R375" s="59">
        <f>R169*(1-R185)</f>
        <v>180.49446123463539</v>
      </c>
      <c r="S375" s="59">
        <f>S169*(1-S185)</f>
        <v>434.81544974350112</v>
      </c>
      <c r="T375" s="244"/>
      <c r="U375" s="59">
        <f>U169*(1-U185)</f>
        <v>82.580612160718829</v>
      </c>
      <c r="V375" s="59">
        <f>V169*(1-V185)</f>
        <v>134.86061163277714</v>
      </c>
      <c r="W375" s="59">
        <f>W169*(1-W185)</f>
        <v>145.16205737849143</v>
      </c>
      <c r="X375" s="59">
        <f>X169*(1-X185)</f>
        <v>264.48339857790455</v>
      </c>
      <c r="Y375" s="59">
        <f>Y169*(1-Y185)</f>
        <v>644.17169738327038</v>
      </c>
      <c r="Z375" s="244"/>
      <c r="AA375" s="59">
        <f>AA169*(1-AA185)</f>
        <v>108.07882329572543</v>
      </c>
      <c r="AB375" s="59">
        <f>AB169*(1-AB185)</f>
        <v>175.48000715958975</v>
      </c>
      <c r="AC375" s="59">
        <f>AC169*(1-AC185)</f>
        <v>190.03490804588998</v>
      </c>
      <c r="AD375" s="59">
        <f>AD169*(1-AD185)</f>
        <v>358.26852129793286</v>
      </c>
      <c r="AE375" s="59">
        <f>AE169*(1-AE185)</f>
        <v>831.86211645333537</v>
      </c>
      <c r="AF375" s="244"/>
      <c r="AG375" s="59">
        <f>AG169*(1-AG185)</f>
        <v>138.25855999999999</v>
      </c>
      <c r="AH375" s="59">
        <f>AH169*(1-AH185)</f>
        <v>176.7651166818153</v>
      </c>
      <c r="AI375" s="59">
        <f>AI169*(1-AI185)</f>
        <v>206.87725762493645</v>
      </c>
      <c r="AJ375" s="59">
        <f>AJ169*(1-AJ185)</f>
        <v>393.21369761475211</v>
      </c>
      <c r="AK375" s="59">
        <f>AK169*(1-AK185)</f>
        <v>914.85807570007</v>
      </c>
      <c r="AL375" s="244"/>
      <c r="AM375" s="59">
        <f>AM169*(1-AM185)</f>
        <v>180.59312216585212</v>
      </c>
      <c r="AN375" s="59">
        <f>AN169*(1-AN185)</f>
        <v>254.95407808239236</v>
      </c>
      <c r="AO375" s="59">
        <f>AO169*(1-AO185)</f>
        <v>268.40901966079718</v>
      </c>
      <c r="AP375" s="59">
        <f>AP169*(1-AP185)</f>
        <v>514.20548303547673</v>
      </c>
      <c r="AQ375" s="59">
        <f>AQ169*(1-AQ185)</f>
        <v>1218.7024187736308</v>
      </c>
      <c r="AR375" s="244"/>
      <c r="AS375" s="59">
        <f>AS169*(1-AS185)</f>
        <v>224.81094999999996</v>
      </c>
      <c r="AT375" s="59">
        <f>AT169*(1-AT185)</f>
        <v>374.44224999999989</v>
      </c>
      <c r="AU375" s="59">
        <f>AU169*(1-AU185)</f>
        <v>485.75045181712164</v>
      </c>
      <c r="AV375" s="59">
        <f>AV169*(1-AV185)</f>
        <v>857.07543659041653</v>
      </c>
      <c r="AW375" s="59">
        <f>AW169*(1-AW185)</f>
        <v>1915.8681311776222</v>
      </c>
      <c r="AX375" s="244"/>
      <c r="AY375" s="59">
        <f>AY169*(1-AY185)</f>
        <v>424.43644500000022</v>
      </c>
      <c r="AZ375" s="59">
        <f>AZ169*(1-AZ185)</f>
        <v>610.17064499999981</v>
      </c>
      <c r="BA375" s="59">
        <f>BA169*(1-BA185)</f>
        <v>566.38933500000007</v>
      </c>
      <c r="BB375" s="59">
        <f>BB169*(1-BB185)</f>
        <v>835.22726999999986</v>
      </c>
      <c r="BC375" s="59">
        <f>BC169*(1-BC185)</f>
        <v>2436.2236949999997</v>
      </c>
      <c r="BD375" s="244"/>
      <c r="BE375" s="59">
        <f>BE169*(1-BE185)</f>
        <v>484.75569999999988</v>
      </c>
      <c r="BF375" s="59">
        <f>BF169*(1-BF185)</f>
        <v>532.96360000000004</v>
      </c>
      <c r="BG375" s="59">
        <f>BG169*(1-BG185)</f>
        <v>506.18034999999981</v>
      </c>
      <c r="BH375" s="59">
        <f>BH169*(1-BH185)</f>
        <v>807.97192978381815</v>
      </c>
      <c r="BI375" s="59">
        <f>BI169*(1-BI185)</f>
        <v>2330.2651292530459</v>
      </c>
      <c r="BJ375" s="244"/>
      <c r="BK375" s="59">
        <f>BK169*(1-BK185)</f>
        <v>381.11111111111109</v>
      </c>
      <c r="BL375" s="59">
        <f>BL169*(1-BL185)</f>
        <v>530.98749999999995</v>
      </c>
      <c r="BM375" s="59">
        <f>BM169*(1-BM185)</f>
        <v>548.27020506634506</v>
      </c>
      <c r="BN375" s="59">
        <f>BN169*(1-BN185)</f>
        <v>855.70571249215322</v>
      </c>
      <c r="BO375" s="59">
        <f>BO169*(1-BO185)</f>
        <v>2317.5042214047999</v>
      </c>
      <c r="BP375" s="244"/>
      <c r="BQ375" s="59">
        <f>BQ169*(1-BQ185)</f>
        <v>408.19277108433738</v>
      </c>
      <c r="BR375" s="59">
        <f>BR169*(1-BR185)</f>
        <v>616.32641921397374</v>
      </c>
      <c r="BS375" s="59">
        <f>BS169*(1-BS185)</f>
        <v>621.26638477801271</v>
      </c>
      <c r="BT375" s="59">
        <f>BT169*(1-BT185)</f>
        <v>980.93023255813955</v>
      </c>
      <c r="BU375" s="59">
        <f>BU169*(1-BU185)</f>
        <v>2625.9528517110266</v>
      </c>
      <c r="BV375" s="244"/>
      <c r="BW375" s="59">
        <f>BW169*(1-BW185)</f>
        <v>512.79336043360433</v>
      </c>
      <c r="BX375" s="59">
        <f>BX169*(1-BX185)</f>
        <v>815.21187175043326</v>
      </c>
      <c r="BY375" s="59">
        <f>BY169*(1-BY185)</f>
        <v>824.3002544529262</v>
      </c>
      <c r="BZ375" s="59">
        <f>BZ169*(1-BZ185)</f>
        <v>1369.2149431510559</v>
      </c>
      <c r="CA375" s="59">
        <f>CA169*(1-CA185)</f>
        <v>3520.4486217374042</v>
      </c>
      <c r="CB375" s="244"/>
      <c r="CC375" s="59">
        <f>CC169*(1-CC185)</f>
        <v>723.14093959731542</v>
      </c>
      <c r="CD375" s="59">
        <f>CD169*(1-CD185)</f>
        <v>967.58982802780827</v>
      </c>
      <c r="CE375" s="59">
        <f>CE169*(1-CE185)</f>
        <v>981.68908061972365</v>
      </c>
      <c r="CF375" s="59">
        <f>CF169*(1-CF185)</f>
        <v>1523.6473595251409</v>
      </c>
      <c r="CG375" s="168">
        <f>CG169*(1-CG185)</f>
        <v>4195.6911634338167</v>
      </c>
      <c r="CH375" s="244"/>
      <c r="CI375" s="59">
        <f>CI169*(1-CI185)</f>
        <v>917.76963350785343</v>
      </c>
      <c r="CJ375" s="59">
        <f>CJ169*(1-CJ185)</f>
        <v>1167.6437768240344</v>
      </c>
      <c r="CK375" s="59">
        <f>CK169*(1-CK185)</f>
        <v>1292.1646859083191</v>
      </c>
      <c r="CL375" s="59">
        <f>CL169*(1-CL185)</f>
        <v>1921.8924531800483</v>
      </c>
      <c r="CM375" s="168">
        <f>CM169*(1-CM185)</f>
        <v>5299.5017156697832</v>
      </c>
      <c r="CN375" s="244"/>
      <c r="CO375" s="59">
        <f>CO169*(1-CO185)</f>
        <v>1176.8948948948948</v>
      </c>
      <c r="CP375" s="59">
        <f>CP169*(1-CP185)</f>
        <v>1589.3110814419226</v>
      </c>
      <c r="CQ375" s="59">
        <f>CQ169*(1-CQ185)</f>
        <v>1584.5718144979739</v>
      </c>
      <c r="CR375" s="59">
        <f>CR169*(1-CR185)</f>
        <v>2454.0813655761021</v>
      </c>
      <c r="CS375" s="168">
        <f>CS169*(1-CS185)</f>
        <v>6805.7506218905482</v>
      </c>
      <c r="CT375" s="244"/>
      <c r="CU375" s="59">
        <f>CU169*(1-CU185)</f>
        <v>1600.6943252265141</v>
      </c>
      <c r="CV375" s="59">
        <f>CV169*(1-CV185)</f>
        <v>1851.7536585365854</v>
      </c>
      <c r="CW375" s="59">
        <f>CW169*(1-CW185)</f>
        <v>1875.4226804123714</v>
      </c>
      <c r="CX375" s="59">
        <f>CX169*(1-CX185)</f>
        <v>2412.266922849542</v>
      </c>
      <c r="CY375" s="168">
        <f>CY169*(1-CY185)</f>
        <v>7739.6471780028942</v>
      </c>
      <c r="CZ375" s="244"/>
      <c r="DA375" s="59">
        <f>DA169*(1-DA185)</f>
        <v>1668.0934579439252</v>
      </c>
      <c r="DB375" s="59">
        <f>DB169*(1-DB185)</f>
        <v>2073.5342465753424</v>
      </c>
      <c r="DC375" s="59">
        <f>DC169*(1-DC185)</f>
        <v>2138.7988725527534</v>
      </c>
      <c r="DD375" s="59">
        <f>DD169*(1-DD185)</f>
        <v>3211.3710265651475</v>
      </c>
      <c r="DE375" s="168">
        <f>DE169*(1-DE185)</f>
        <v>9090.9263741731775</v>
      </c>
      <c r="DF375" s="244"/>
      <c r="DG375" s="59">
        <f>DG169*(1-DG185)</f>
        <v>2220.9426548672564</v>
      </c>
      <c r="DH375" s="59">
        <f>DH169*(1-DH185)</f>
        <v>2766.065736517306</v>
      </c>
      <c r="DI375" s="59">
        <f>DI169*(1-DI185)</f>
        <v>2903.2386609071277</v>
      </c>
      <c r="DJ375" s="59">
        <f>DJ169*(1-DJ185)</f>
        <v>4016.9411764705883</v>
      </c>
      <c r="DK375" s="168">
        <f>DK169*(1-DK185)</f>
        <v>11906.71336164652</v>
      </c>
      <c r="DL375" s="244"/>
      <c r="DM375" s="59">
        <f>DM169*(1-DM185)</f>
        <v>2620.8079904591536</v>
      </c>
      <c r="DN375" s="59">
        <f>DN169*(1-DN185)</f>
        <v>2895.2715722604553</v>
      </c>
      <c r="DO375" s="59">
        <f>DO169*(1-DO185)</f>
        <v>3259.3215824519016</v>
      </c>
      <c r="DP375" s="59">
        <f>DP169*(1-DP185)</f>
        <v>4310.5076521200544</v>
      </c>
      <c r="DQ375" s="168">
        <f>DQ169*(1-DQ185)</f>
        <v>13087.728900507271</v>
      </c>
      <c r="DR375" s="244"/>
      <c r="DS375" s="59">
        <f>DS169*(1-DS185)</f>
        <v>2749.6031652989445</v>
      </c>
      <c r="DT375" s="59">
        <f>DT169*(1-DT185)</f>
        <v>3268.1166380789023</v>
      </c>
      <c r="DU375" s="59">
        <f>DU169*(1-DU185)</f>
        <v>3300.7686832740214</v>
      </c>
      <c r="DV375" s="59">
        <f>DV169*(1-DV185)</f>
        <v>4247.3734716561694</v>
      </c>
      <c r="DW375" s="168">
        <f>DW169*(1-DW185)</f>
        <v>13564.118632986627</v>
      </c>
      <c r="DX375" s="244"/>
      <c r="DY375" s="59">
        <f>DY169*(1-DY185)</f>
        <v>2925.2056074766356</v>
      </c>
      <c r="DZ375" s="59">
        <f>DZ169*(1-DZ185)</f>
        <v>3316.69472641743</v>
      </c>
      <c r="EA375" s="59">
        <f>EA169*(1-EA185)</f>
        <v>3357.5489130434785</v>
      </c>
      <c r="EB375" s="59">
        <f>EB169*(1-EB185)</f>
        <v>4431.3576158940396</v>
      </c>
      <c r="EC375" s="168">
        <f>EC169*(1-EC185)</f>
        <v>14031.448692388884</v>
      </c>
      <c r="ED375" s="244"/>
      <c r="EE375" s="59">
        <f>EE169*(1-EE185)</f>
        <v>2998.3531057638502</v>
      </c>
      <c r="EF375" s="59">
        <f>EF169*(1-EF185)</f>
        <v>3323.6393880524529</v>
      </c>
      <c r="EG375" s="59">
        <f>EG169*(1-EG185)</f>
        <v>3251.101434684118</v>
      </c>
      <c r="EH375" s="59">
        <f>EH169*(1-EH185)</f>
        <v>3708.3076923076919</v>
      </c>
      <c r="EI375" s="168">
        <f>EI169*(1-EI185)</f>
        <v>13281.028243061499</v>
      </c>
      <c r="EJ375" s="244"/>
      <c r="EK375" s="59">
        <f>EK169*(1-EK185)</f>
        <v>2605.0274848194313</v>
      </c>
      <c r="EL375" s="59">
        <f>EL169*(1-EL185)</f>
        <v>2963.4473224679864</v>
      </c>
      <c r="EM375" s="59">
        <f>EM169*(1-EM185)</f>
        <v>2959.3574263038549</v>
      </c>
      <c r="EN375" s="59">
        <f>EN169*(1-EN185)</f>
        <v>3602.3805739514351</v>
      </c>
      <c r="EO375" s="168">
        <f>EO169*(1-EO185)</f>
        <v>12129.935375777884</v>
      </c>
      <c r="EP375" s="244"/>
      <c r="EQ375" s="59">
        <f>EQ169*(1-EQ185)</f>
        <v>2534.674537332482</v>
      </c>
      <c r="ER375" s="59">
        <f>ER169*(1-ER185)</f>
        <v>2836.0168312888218</v>
      </c>
      <c r="ES375" s="59">
        <f>ES169*(1-ES185)</f>
        <v>3092.6614173228345</v>
      </c>
      <c r="ET375" s="59">
        <f>ET169*(1-ET185)</f>
        <v>4011.360059549128</v>
      </c>
      <c r="EU375" s="168">
        <f>EU169*(1-EU185)</f>
        <v>12479.390262739267</v>
      </c>
      <c r="EV375" s="244"/>
      <c r="EW375" s="59">
        <f>EW169*(1-EW185)</f>
        <v>2838</v>
      </c>
      <c r="EX375" s="59">
        <f>EX169*(1-EX185)</f>
        <v>3141.0705352676337</v>
      </c>
      <c r="EY375" s="59">
        <f>EY169*(1-EY185)</f>
        <v>3598.2852357023212</v>
      </c>
      <c r="EZ375" s="59">
        <f>EZ169*(1-EZ185)</f>
        <v>4144.9109315865162</v>
      </c>
      <c r="FA375" s="168">
        <f>FA169*(1-FA185)</f>
        <v>13728.810541536541</v>
      </c>
      <c r="FB375" s="244"/>
      <c r="FC375" s="59">
        <f>FC169*(1-FC185)</f>
        <v>3187.5425560031276</v>
      </c>
      <c r="FD375" s="59">
        <f>FD169*(1-FD185)</f>
        <v>3525.7945545826014</v>
      </c>
      <c r="FE375" s="59">
        <f>FE169*(1-FE185)</f>
        <v>3593.1094585864416</v>
      </c>
      <c r="FF375" s="59">
        <f>FF169*(1-FF185)</f>
        <v>4265.4353869467368</v>
      </c>
      <c r="FG375" s="168">
        <f>FG169*(1-FG185)</f>
        <v>14571.881956118907</v>
      </c>
      <c r="FH375" s="244"/>
      <c r="FI375" s="59">
        <f>FI169*(1-FI185)</f>
        <v>3399.0189603785657</v>
      </c>
      <c r="FJ375" s="59">
        <f>FJ169*(1-FJ185)</f>
        <v>3692.6565837249022</v>
      </c>
      <c r="FK375" s="59">
        <f>FK169*(1-FK185)</f>
        <v>3732.3130859761336</v>
      </c>
      <c r="FL375" s="59">
        <f>FL169*(1-FL185)</f>
        <v>4328.5367577617126</v>
      </c>
      <c r="FM375" s="168">
        <f>FM169*(1-FM185)</f>
        <v>15152.525387841317</v>
      </c>
      <c r="FN375" s="27"/>
      <c r="FO375" s="27"/>
      <c r="FP375" s="27"/>
      <c r="FQ375" s="27"/>
      <c r="FR375" s="27"/>
      <c r="FS375" s="27"/>
      <c r="FT375" s="27"/>
      <c r="FU375" s="27"/>
      <c r="FV375" s="27"/>
      <c r="FW375" s="27"/>
      <c r="FX375" s="27"/>
      <c r="FY375" s="27"/>
      <c r="FZ375" s="27"/>
      <c r="GA375" s="27"/>
      <c r="GB375" s="27"/>
      <c r="GC375" s="27"/>
      <c r="GD375" s="27"/>
      <c r="GE375" s="27"/>
      <c r="GF375" s="27"/>
      <c r="GG375" s="27"/>
      <c r="GH375" s="27"/>
      <c r="GI375"/>
      <c r="GJ375"/>
      <c r="GK375"/>
      <c r="GL375"/>
      <c r="GM375"/>
      <c r="GN375"/>
      <c r="GO375" s="27"/>
      <c r="GP375"/>
      <c r="GQ375"/>
      <c r="GR375"/>
      <c r="GS375"/>
      <c r="GT375"/>
      <c r="GU375"/>
      <c r="GV375"/>
      <c r="GW375"/>
      <c r="GX375"/>
      <c r="GY375"/>
      <c r="GZ375"/>
      <c r="HA375"/>
      <c r="HB375"/>
      <c r="HC375"/>
      <c r="HD375"/>
      <c r="HE375"/>
      <c r="HF375"/>
      <c r="HG375"/>
      <c r="HH375"/>
      <c r="HI375"/>
      <c r="HJ375"/>
      <c r="HK375"/>
      <c r="HL375"/>
      <c r="HM375"/>
      <c r="HN375"/>
      <c r="HO375"/>
      <c r="HP375"/>
      <c r="HQ375"/>
      <c r="HR375"/>
      <c r="HS375"/>
      <c r="HT375"/>
      <c r="HU375"/>
      <c r="HV375"/>
      <c r="HW375"/>
      <c r="HX375"/>
      <c r="HY375"/>
      <c r="HZ375"/>
      <c r="IA375"/>
      <c r="IB375"/>
      <c r="IC375"/>
      <c r="ID375"/>
      <c r="IE375"/>
      <c r="IF375"/>
      <c r="IG375"/>
      <c r="IH375"/>
      <c r="II375"/>
      <c r="IJ375"/>
      <c r="IK375"/>
      <c r="IL375"/>
      <c r="IM375"/>
      <c r="IN375"/>
      <c r="IO375"/>
      <c r="IP375"/>
      <c r="IQ375"/>
      <c r="IR375"/>
      <c r="IS375"/>
      <c r="IT375"/>
      <c r="IU375"/>
      <c r="IV375"/>
      <c r="IW375"/>
      <c r="IX375"/>
      <c r="IY375"/>
      <c r="IZ375"/>
      <c r="JA375"/>
      <c r="JB375"/>
      <c r="JC375"/>
      <c r="JD375"/>
      <c r="JE375"/>
      <c r="JF375"/>
      <c r="JG375"/>
      <c r="JH375"/>
      <c r="JI375"/>
      <c r="JJ375"/>
      <c r="JK375"/>
      <c r="JL375"/>
      <c r="JM375"/>
      <c r="JN375"/>
      <c r="JO375"/>
      <c r="JP375"/>
      <c r="JQ375"/>
      <c r="JR375"/>
      <c r="JS375"/>
      <c r="JT375"/>
      <c r="JU375"/>
    </row>
    <row r="376" spans="1:281" s="24" customFormat="1" hidden="1" outlineLevel="1" x14ac:dyDescent="0.2">
      <c r="A376" s="244" t="s">
        <v>542</v>
      </c>
      <c r="B376" s="954" t="s">
        <v>469</v>
      </c>
      <c r="C376" s="59" t="str">
        <f>'Balance Sheet'!C29</f>
        <v>-</v>
      </c>
      <c r="D376" s="59">
        <f>'Balance Sheet'!D29</f>
        <v>0.89700000000000002</v>
      </c>
      <c r="E376" s="59">
        <f>'Balance Sheet'!E29</f>
        <v>2.9929999999999999</v>
      </c>
      <c r="F376" s="59">
        <f>'Balance Sheet'!F29</f>
        <v>3.847</v>
      </c>
      <c r="G376" s="59">
        <f>'Balance Sheet'!G29</f>
        <v>9.5470000000000006</v>
      </c>
      <c r="H376" s="59">
        <f>'Balance Sheet'!H29</f>
        <v>15.403</v>
      </c>
      <c r="I376" s="59">
        <f>'Balance Sheet'!I29</f>
        <v>42.121000000000002</v>
      </c>
      <c r="J376" s="59">
        <f>'Balance Sheet'!J29</f>
        <v>104.428</v>
      </c>
      <c r="K376" s="59">
        <f>'Balance Sheet'!K29</f>
        <v>119.462</v>
      </c>
      <c r="L376" s="59">
        <f>'Balance Sheet'!L29</f>
        <v>193.21100000000001</v>
      </c>
      <c r="M376" s="59">
        <f>'Balance Sheet'!M29</f>
        <v>227.11799999999999</v>
      </c>
      <c r="N376" s="244"/>
      <c r="O376" s="59">
        <f>'Balance Sheet'!O29</f>
        <v>243.709</v>
      </c>
      <c r="P376" s="59">
        <f>'Balance Sheet'!P29</f>
        <v>237.05799999999999</v>
      </c>
      <c r="Q376" s="59">
        <f>'Balance Sheet'!Q29</f>
        <v>262.14</v>
      </c>
      <c r="R376" s="59">
        <f>'Balance Sheet'!R29</f>
        <v>316.27300000000002</v>
      </c>
      <c r="S376" s="59">
        <f t="shared" ref="S376:S385" si="258">R376</f>
        <v>316.27300000000002</v>
      </c>
      <c r="T376" s="244"/>
      <c r="U376" s="59">
        <f>'Balance Sheet'!U29</f>
        <v>326.66899999999998</v>
      </c>
      <c r="V376" s="59">
        <f>'Balance Sheet'!V29</f>
        <v>301.56799999999998</v>
      </c>
      <c r="W376" s="59">
        <f>'Balance Sheet'!W29</f>
        <v>350.21899999999999</v>
      </c>
      <c r="X376" s="59">
        <f>'Balance Sheet'!X29</f>
        <v>434.435</v>
      </c>
      <c r="Y376" s="59">
        <f t="shared" ref="Y376:Y385" si="259">X376</f>
        <v>434.435</v>
      </c>
      <c r="Z376" s="244"/>
      <c r="AA376" s="59">
        <f>'Balance Sheet'!AA29</f>
        <v>474.63400000000001</v>
      </c>
      <c r="AB376" s="59">
        <f>'Balance Sheet'!AB29</f>
        <v>443.64800000000002</v>
      </c>
      <c r="AC376" s="59">
        <f>'Balance Sheet'!AC29</f>
        <v>475.56799999999998</v>
      </c>
      <c r="AD376" s="59">
        <f>'Balance Sheet'!AD29</f>
        <v>602.86199999999997</v>
      </c>
      <c r="AE376" s="59">
        <f t="shared" ref="AE376:AE385" si="260">AD376</f>
        <v>602.86199999999997</v>
      </c>
      <c r="AF376" s="244"/>
      <c r="AG376" s="59">
        <f>'Balance Sheet'!AG29</f>
        <v>694.12300000000005</v>
      </c>
      <c r="AH376" s="59">
        <f>'Balance Sheet'!AH29</f>
        <v>615.75199999999995</v>
      </c>
      <c r="AI376" s="59">
        <f>'Balance Sheet'!AI29</f>
        <v>663.81799999999998</v>
      </c>
      <c r="AJ376" s="59">
        <f>'Balance Sheet'!AJ29</f>
        <v>877.08699999999999</v>
      </c>
      <c r="AK376" s="59">
        <f t="shared" ref="AK376:AK385" si="261">AJ376</f>
        <v>877.08699999999999</v>
      </c>
      <c r="AL376" s="244"/>
      <c r="AM376" s="59">
        <f>'Balance Sheet'!AM29</f>
        <v>956.37</v>
      </c>
      <c r="AN376" s="59">
        <f>'Balance Sheet'!AN29</f>
        <v>800.21400000000006</v>
      </c>
      <c r="AO376" s="59">
        <f>'Balance Sheet'!AO29</f>
        <v>817.89499999999998</v>
      </c>
      <c r="AP376" s="59">
        <f>'Balance Sheet'!AP29</f>
        <v>1007.149</v>
      </c>
      <c r="AQ376" s="59">
        <f t="shared" ref="AQ376:AQ385" si="262">AP376</f>
        <v>1007.149</v>
      </c>
      <c r="AR376" s="244"/>
      <c r="AS376" s="59">
        <f>'Balance Sheet'!AS29</f>
        <v>1089.684</v>
      </c>
      <c r="AT376" s="59">
        <f>'Balance Sheet'!AT29</f>
        <v>925.14099999999996</v>
      </c>
      <c r="AU376" s="59">
        <f>'Balance Sheet'!AU29</f>
        <v>1019.556</v>
      </c>
      <c r="AV376" s="59">
        <f>'Balance Sheet'!AV29</f>
        <v>1133.482</v>
      </c>
      <c r="AW376" s="59">
        <f t="shared" ref="AW376:AW385" si="263">AV376</f>
        <v>1133.482</v>
      </c>
      <c r="AX376" s="244"/>
      <c r="AY376" s="59">
        <f>'Balance Sheet'!AY29</f>
        <v>1269.585</v>
      </c>
      <c r="AZ376" s="59">
        <f>'Balance Sheet'!AZ29</f>
        <v>1053.809</v>
      </c>
      <c r="BA376" s="59">
        <f>'Balance Sheet'!BA29</f>
        <v>1040.712</v>
      </c>
      <c r="BB376" s="59">
        <f>'Balance Sheet'!BB29</f>
        <v>1214</v>
      </c>
      <c r="BC376" s="59">
        <f t="shared" ref="BC376:BC385" si="264">BB376</f>
        <v>1214</v>
      </c>
      <c r="BD376" s="244"/>
      <c r="BE376" s="59">
        <f>'Balance Sheet'!BE29</f>
        <v>1367.24</v>
      </c>
      <c r="BF376" s="59">
        <f>'Balance Sheet'!BF29</f>
        <v>1084.7149999999999</v>
      </c>
      <c r="BG376" s="59">
        <f>'Balance Sheet'!BG29</f>
        <v>1013.778</v>
      </c>
      <c r="BH376" s="59">
        <f>'Balance Sheet'!BH29</f>
        <v>1241</v>
      </c>
      <c r="BI376" s="59">
        <f t="shared" ref="BI376:BI385" si="265">BH376</f>
        <v>1241</v>
      </c>
      <c r="BJ376" s="244"/>
      <c r="BK376" s="59">
        <f>'Balance Sheet'!BK29</f>
        <v>1514</v>
      </c>
      <c r="BL376" s="59">
        <f>'Balance Sheet'!BL29</f>
        <v>1248</v>
      </c>
      <c r="BM376" s="59">
        <f>'Balance Sheet'!BM29</f>
        <v>1225</v>
      </c>
      <c r="BN376" s="59">
        <f>'Balance Sheet'!BN29</f>
        <v>1409</v>
      </c>
      <c r="BO376" s="59">
        <f t="shared" ref="BO376:BO385" si="266">BN376</f>
        <v>1409</v>
      </c>
      <c r="BP376" s="244"/>
      <c r="BQ376" s="59">
        <f>'Balance Sheet'!BQ29</f>
        <v>1603</v>
      </c>
      <c r="BR376" s="59">
        <f>'Balance Sheet'!BR29</f>
        <v>1349</v>
      </c>
      <c r="BS376" s="59">
        <f>'Balance Sheet'!BS29</f>
        <v>1355</v>
      </c>
      <c r="BT376" s="59">
        <f>'Balance Sheet'!BT29</f>
        <v>1497</v>
      </c>
      <c r="BU376" s="59">
        <f t="shared" ref="BU376:BU385" si="267">BT376</f>
        <v>1497</v>
      </c>
      <c r="BV376" s="244"/>
      <c r="BW376" s="59">
        <f>'Balance Sheet'!BW29</f>
        <v>1782</v>
      </c>
      <c r="BX376" s="59">
        <f>'Balance Sheet'!BX29</f>
        <v>1497</v>
      </c>
      <c r="BY376" s="59">
        <f>'Balance Sheet'!BY29</f>
        <v>1935</v>
      </c>
      <c r="BZ376" s="59">
        <f>'Balance Sheet'!BZ29</f>
        <v>2289</v>
      </c>
      <c r="CA376" s="59">
        <f t="shared" ref="CA376:CA385" si="268">BZ376</f>
        <v>2289</v>
      </c>
      <c r="CB376" s="244"/>
      <c r="CC376" s="59">
        <f>'Balance Sheet'!CC29</f>
        <v>2630</v>
      </c>
      <c r="CD376" s="59">
        <f>'Balance Sheet'!CD29</f>
        <v>2183</v>
      </c>
      <c r="CE376" s="59">
        <f>'Balance Sheet'!CE29</f>
        <v>2467</v>
      </c>
      <c r="CF376" s="59">
        <f>'Balance Sheet'!CF29</f>
        <v>2830</v>
      </c>
      <c r="CG376" s="168">
        <f t="shared" ref="CG376:CG385" si="269">CF376</f>
        <v>2830</v>
      </c>
      <c r="CH376" s="244"/>
      <c r="CI376" s="59">
        <f>'Balance Sheet'!CI29</f>
        <v>3269</v>
      </c>
      <c r="CJ376" s="59">
        <f>'Balance Sheet'!CJ29</f>
        <v>2770</v>
      </c>
      <c r="CK376" s="59">
        <f>'Balance Sheet'!CK29</f>
        <v>2948</v>
      </c>
      <c r="CL376" s="59">
        <f>'Balance Sheet'!CL29</f>
        <v>3492</v>
      </c>
      <c r="CM376" s="168">
        <f t="shared" ref="CM376:CM385" si="270">CL376</f>
        <v>3492</v>
      </c>
      <c r="CN376" s="244"/>
      <c r="CO376" s="59">
        <f>'Balance Sheet'!CO29</f>
        <v>4121</v>
      </c>
      <c r="CP376" s="59">
        <f>'Balance Sheet'!CP29</f>
        <v>3577</v>
      </c>
      <c r="CQ376" s="59">
        <f>'Balance Sheet'!CQ29</f>
        <v>3683</v>
      </c>
      <c r="CR376" s="59">
        <f>'Balance Sheet'!CR29</f>
        <v>4492</v>
      </c>
      <c r="CS376" s="168">
        <f t="shared" ref="CS376:CS385" si="271">CR376</f>
        <v>4492</v>
      </c>
      <c r="CT376" s="244"/>
      <c r="CU376" s="59">
        <f>'Balance Sheet'!CU29</f>
        <v>5017</v>
      </c>
      <c r="CV376" s="59">
        <f>'Balance Sheet'!CV29</f>
        <v>3881</v>
      </c>
      <c r="CW376" s="59">
        <f>'Balance Sheet'!CW29</f>
        <v>3952</v>
      </c>
      <c r="CX376" s="59">
        <f>'Balance Sheet'!CX29</f>
        <v>4592</v>
      </c>
      <c r="CY376" s="168">
        <f t="shared" ref="CY376:CY385" si="272">CX376</f>
        <v>4592</v>
      </c>
      <c r="CZ376" s="244"/>
      <c r="DA376" s="59">
        <f>'Balance Sheet'!DA29</f>
        <v>5283</v>
      </c>
      <c r="DB376" s="59">
        <f>'Balance Sheet'!DB29</f>
        <v>4395</v>
      </c>
      <c r="DC376" s="59">
        <f>'Balance Sheet'!DC29</f>
        <v>5389</v>
      </c>
      <c r="DD376" s="59">
        <f>'Balance Sheet'!DD29</f>
        <v>5900</v>
      </c>
      <c r="DE376" s="168">
        <f t="shared" ref="DE376:DE385" si="273">DD376</f>
        <v>5900</v>
      </c>
      <c r="DF376" s="244"/>
      <c r="DG376" s="59">
        <f>'Balance Sheet'!DG29</f>
        <v>6903</v>
      </c>
      <c r="DH376" s="59">
        <f>'Balance Sheet'!DH29</f>
        <v>5742</v>
      </c>
      <c r="DI376" s="59">
        <f>'Balance Sheet'!DI29</f>
        <v>5849</v>
      </c>
      <c r="DJ376" s="59">
        <f>'Balance Sheet'!DJ29</f>
        <v>6802</v>
      </c>
      <c r="DK376" s="168">
        <f>DJ376</f>
        <v>6802</v>
      </c>
      <c r="DL376" s="244"/>
      <c r="DM376" s="59">
        <f>'Balance Sheet'!DM29</f>
        <v>7925</v>
      </c>
      <c r="DN376" s="59">
        <f>'Balance Sheet'!DN29</f>
        <v>6091</v>
      </c>
      <c r="DO376" s="59">
        <f>'Balance Sheet'!DO29</f>
        <v>6285</v>
      </c>
      <c r="DP376" s="59">
        <f>'Balance Sheet'!DP29</f>
        <v>7035</v>
      </c>
      <c r="DQ376" s="168">
        <f>DP376</f>
        <v>7035</v>
      </c>
      <c r="DR376" s="244"/>
      <c r="DS376" s="59">
        <f>'Balance Sheet'!DS29</f>
        <v>8316</v>
      </c>
      <c r="DT376" s="59">
        <f>'Balance Sheet'!DT29</f>
        <v>6504</v>
      </c>
      <c r="DU376" s="59">
        <f>'Balance Sheet'!DU29</f>
        <v>6278</v>
      </c>
      <c r="DV376" s="59">
        <f>'Balance Sheet'!DV29</f>
        <v>7118</v>
      </c>
      <c r="DW376" s="168">
        <f>DV376</f>
        <v>7118</v>
      </c>
      <c r="DX376" s="244"/>
      <c r="DY376" s="59">
        <f>'Balance Sheet'!DY29</f>
        <v>8524</v>
      </c>
      <c r="DZ376" s="59">
        <f>'Balance Sheet'!DZ29</f>
        <v>6667</v>
      </c>
      <c r="EA376" s="59">
        <f>'Balance Sheet'!EA29</f>
        <v>6473</v>
      </c>
      <c r="EB376" s="59">
        <f>'Balance Sheet'!EB29</f>
        <v>7269</v>
      </c>
      <c r="EC376" s="168">
        <f>EB376</f>
        <v>7269</v>
      </c>
      <c r="ED376" s="244"/>
      <c r="EE376" s="59">
        <f>'Balance Sheet'!EE29</f>
        <v>8939</v>
      </c>
      <c r="EF376" s="59">
        <f>'Balance Sheet'!EF29</f>
        <v>6816</v>
      </c>
      <c r="EG376" s="59">
        <f>'Balance Sheet'!EG29</f>
        <v>6443</v>
      </c>
      <c r="EH376" s="59">
        <f>'Balance Sheet'!EH29</f>
        <v>7245</v>
      </c>
      <c r="EI376" s="168">
        <f>EH376</f>
        <v>7245</v>
      </c>
      <c r="EJ376" s="244"/>
      <c r="EK376" s="59">
        <f>'Balance Sheet'!EK29</f>
        <v>9078</v>
      </c>
      <c r="EL376" s="59">
        <f>'Balance Sheet'!EL29</f>
        <v>6998</v>
      </c>
      <c r="EM376" s="59">
        <f>'Balance Sheet'!EM29</f>
        <v>6912</v>
      </c>
      <c r="EN376" s="59">
        <f>'Balance Sheet'!EN29</f>
        <v>7655</v>
      </c>
      <c r="EO376" s="168">
        <f>EN376</f>
        <v>7655</v>
      </c>
      <c r="EP376" s="244"/>
      <c r="EQ376" s="59">
        <f>'Balance Sheet'!EQ29</f>
        <v>9462</v>
      </c>
      <c r="ER376" s="59">
        <f>'Balance Sheet'!ER29</f>
        <v>7411</v>
      </c>
      <c r="ES376" s="59">
        <f>'Balance Sheet'!ES29</f>
        <v>7388</v>
      </c>
      <c r="ET376" s="59">
        <f>'Balance Sheet'!ET29</f>
        <v>8233</v>
      </c>
      <c r="EU376" s="168">
        <f>ET376</f>
        <v>8233</v>
      </c>
      <c r="EV376" s="244"/>
      <c r="EW376" s="59">
        <f>'Balance Sheet'!EW29</f>
        <v>10269</v>
      </c>
      <c r="EX376" s="59">
        <f>'Balance Sheet'!EX29</f>
        <v>8076</v>
      </c>
      <c r="EY376" s="59">
        <f>'Balance Sheet'!EY29</f>
        <v>8003</v>
      </c>
      <c r="EZ376" s="59">
        <f>'Balance Sheet'!EZ29</f>
        <v>9019.3025865447416</v>
      </c>
      <c r="FA376" s="168">
        <f>EZ376</f>
        <v>9019.3025865447416</v>
      </c>
      <c r="FB376" s="244"/>
      <c r="FC376" s="59">
        <f>'Balance Sheet'!FC29</f>
        <v>11398.59</v>
      </c>
      <c r="FD376" s="59">
        <f>'Balance Sheet'!FD29</f>
        <v>8964.36</v>
      </c>
      <c r="FE376" s="59">
        <f>'Balance Sheet'!FE29</f>
        <v>8669.1945046020573</v>
      </c>
      <c r="FF376" s="59">
        <f>'Balance Sheet'!FF29</f>
        <v>10061.088000917422</v>
      </c>
      <c r="FG376" s="168">
        <f>FF376</f>
        <v>10061.088000917422</v>
      </c>
      <c r="FH376" s="244"/>
      <c r="FI376" s="59">
        <f>'Balance Sheet'!FI29</f>
        <v>12652.434900000002</v>
      </c>
      <c r="FJ376" s="59">
        <f>'Balance Sheet'!FJ29</f>
        <v>9950.4396000000015</v>
      </c>
      <c r="FK376" s="59">
        <f>'Balance Sheet'!FK29</f>
        <v>9390.8451029142198</v>
      </c>
      <c r="FL376" s="59">
        <f>'Balance Sheet'!FL29</f>
        <v>11424.427855045657</v>
      </c>
      <c r="FM376" s="168">
        <f>FL376</f>
        <v>11424.427855045657</v>
      </c>
      <c r="FN376" s="27"/>
      <c r="FO376" s="27"/>
      <c r="FP376" s="27"/>
      <c r="FQ376" s="27"/>
      <c r="FR376" s="27"/>
      <c r="FS376" s="27"/>
      <c r="FT376" s="27"/>
      <c r="FU376" s="27"/>
      <c r="FV376" s="27"/>
      <c r="FW376" s="27"/>
      <c r="FX376" s="27"/>
      <c r="FY376" s="27"/>
      <c r="FZ376" s="27"/>
      <c r="GA376" s="27"/>
      <c r="GB376" s="27"/>
      <c r="GC376" s="27"/>
      <c r="GD376" s="27"/>
      <c r="GE376" s="27"/>
      <c r="GF376" s="27"/>
      <c r="GG376" s="27"/>
      <c r="GH376" s="27"/>
      <c r="GI376"/>
      <c r="GJ376"/>
      <c r="GK376"/>
      <c r="GL376"/>
      <c r="GM376"/>
      <c r="GN376"/>
      <c r="GO376" s="27"/>
      <c r="GP376"/>
      <c r="GQ376"/>
      <c r="GR376"/>
      <c r="GS376"/>
      <c r="GT376"/>
      <c r="GU376"/>
      <c r="GV376"/>
      <c r="GW376"/>
      <c r="GX376"/>
      <c r="GY376"/>
      <c r="GZ376"/>
      <c r="HA376"/>
      <c r="HB376"/>
      <c r="HC376"/>
      <c r="HD376"/>
      <c r="HE376"/>
      <c r="HF376"/>
      <c r="HG376"/>
      <c r="HH376"/>
      <c r="HI376"/>
      <c r="HJ376"/>
      <c r="HK376"/>
      <c r="HL376"/>
      <c r="HM376"/>
      <c r="HN376"/>
      <c r="HO376"/>
      <c r="HP376"/>
      <c r="HQ376"/>
      <c r="HR376"/>
      <c r="HS376"/>
      <c r="HT376"/>
      <c r="HU376"/>
      <c r="HV376"/>
      <c r="HW376"/>
      <c r="HX376"/>
      <c r="HY376"/>
      <c r="HZ376"/>
      <c r="IA376"/>
      <c r="IB376"/>
      <c r="IC376"/>
      <c r="ID376"/>
      <c r="IE376"/>
      <c r="IF376"/>
      <c r="IG376"/>
      <c r="IH376"/>
      <c r="II376"/>
      <c r="IJ376"/>
      <c r="IK376"/>
      <c r="IL376"/>
      <c r="IM376"/>
      <c r="IN376"/>
      <c r="IO376"/>
      <c r="IP376"/>
      <c r="IQ376"/>
      <c r="IR376"/>
      <c r="IS376"/>
      <c r="IT376"/>
      <c r="IU376"/>
      <c r="IV376"/>
      <c r="IW376"/>
      <c r="IX376"/>
      <c r="IY376"/>
      <c r="IZ376"/>
      <c r="JA376"/>
      <c r="JB376"/>
      <c r="JC376"/>
      <c r="JD376"/>
      <c r="JE376"/>
      <c r="JF376"/>
      <c r="JG376"/>
      <c r="JH376"/>
      <c r="JI376"/>
      <c r="JJ376"/>
      <c r="JK376"/>
      <c r="JL376"/>
      <c r="JM376"/>
      <c r="JN376"/>
      <c r="JO376"/>
      <c r="JP376"/>
      <c r="JQ376"/>
      <c r="JR376"/>
      <c r="JS376"/>
      <c r="JT376"/>
      <c r="JU376"/>
    </row>
    <row r="377" spans="1:281" s="24" customFormat="1" hidden="1" outlineLevel="1" x14ac:dyDescent="0.2">
      <c r="A377" s="244" t="s">
        <v>399</v>
      </c>
      <c r="B377" s="954" t="s">
        <v>735</v>
      </c>
      <c r="C377" s="59" t="str">
        <f>'Balance Sheet'!C10</f>
        <v>-</v>
      </c>
      <c r="D377" s="59">
        <f>'Balance Sheet'!D10</f>
        <v>9.032</v>
      </c>
      <c r="E377" s="59">
        <f>'Balance Sheet'!E10</f>
        <v>26.553999999999998</v>
      </c>
      <c r="F377" s="59">
        <f>'Balance Sheet'!F10</f>
        <v>65.204999999999998</v>
      </c>
      <c r="G377" s="59">
        <f>'Balance Sheet'!G10</f>
        <v>129.999</v>
      </c>
      <c r="H377" s="59">
        <f>'Balance Sheet'!H10</f>
        <v>261.98899999999998</v>
      </c>
      <c r="I377" s="59">
        <f>'Balance Sheet'!I10</f>
        <v>468.07100000000003</v>
      </c>
      <c r="J377" s="59">
        <f>'Balance Sheet'!J10</f>
        <v>385.98500000000001</v>
      </c>
      <c r="K377" s="59">
        <f>'Balance Sheet'!K10</f>
        <v>360.94600000000003</v>
      </c>
      <c r="L377" s="59">
        <f>'Balance Sheet'!L10</f>
        <v>359.36</v>
      </c>
      <c r="M377" s="59">
        <f>'Balance Sheet'!M10</f>
        <v>455.88400000000001</v>
      </c>
      <c r="N377" s="244"/>
      <c r="O377" s="59">
        <f>'Balance Sheet'!O10</f>
        <v>436.18200000000002</v>
      </c>
      <c r="P377" s="59">
        <f>'Balance Sheet'!P10</f>
        <v>539.26300000000003</v>
      </c>
      <c r="Q377" s="59">
        <f>'Balance Sheet'!Q10</f>
        <v>558.65899999999999</v>
      </c>
      <c r="R377" s="59">
        <f>'Balance Sheet'!R10</f>
        <v>764.73400000000004</v>
      </c>
      <c r="S377" s="59">
        <f t="shared" si="258"/>
        <v>764.73400000000004</v>
      </c>
      <c r="T377" s="244"/>
      <c r="U377" s="59">
        <f>'Balance Sheet'!U10</f>
        <v>611.06299999999999</v>
      </c>
      <c r="V377" s="59">
        <f>'Balance Sheet'!V10</f>
        <v>766.91800000000001</v>
      </c>
      <c r="W377" s="59">
        <f>'Balance Sheet'!W10</f>
        <v>774.52300000000002</v>
      </c>
      <c r="X377" s="59">
        <f>'Balance Sheet'!X10</f>
        <v>1084.8579999999999</v>
      </c>
      <c r="Y377" s="59">
        <f t="shared" si="259"/>
        <v>1084.8579999999999</v>
      </c>
      <c r="Z377" s="244"/>
      <c r="AA377" s="59">
        <f>'Balance Sheet'!AA10</f>
        <v>899.94200000000001</v>
      </c>
      <c r="AB377" s="59">
        <f>'Balance Sheet'!AB10</f>
        <v>1083.9960000000001</v>
      </c>
      <c r="AC377" s="59">
        <f>'Balance Sheet'!AC10</f>
        <v>1102.175</v>
      </c>
      <c r="AD377" s="59">
        <f>'Balance Sheet'!AD10</f>
        <v>1540.47</v>
      </c>
      <c r="AE377" s="59">
        <f t="shared" si="260"/>
        <v>1540.47</v>
      </c>
      <c r="AF377" s="244"/>
      <c r="AG377" s="59">
        <f>'Balance Sheet'!AG10</f>
        <v>1183.4079999999999</v>
      </c>
      <c r="AH377" s="59">
        <f>'Balance Sheet'!AH10</f>
        <v>1321.3679999999999</v>
      </c>
      <c r="AI377" s="59">
        <f>'Balance Sheet'!AI10</f>
        <v>1322.7809999999999</v>
      </c>
      <c r="AJ377" s="59">
        <f>'Balance Sheet'!AJ10</f>
        <v>1857.48</v>
      </c>
      <c r="AK377" s="59">
        <f t="shared" si="261"/>
        <v>1857.48</v>
      </c>
      <c r="AL377" s="244"/>
      <c r="AM377" s="59">
        <f>'Balance Sheet'!AM10</f>
        <v>1351.4159999999999</v>
      </c>
      <c r="AN377" s="59">
        <f>'Balance Sheet'!AN10</f>
        <v>1604.336</v>
      </c>
      <c r="AO377" s="59">
        <f>'Balance Sheet'!AO10</f>
        <v>1563.8530000000001</v>
      </c>
      <c r="AP377" s="59">
        <f>'Balance Sheet'!AP10</f>
        <v>2238.2040000000002</v>
      </c>
      <c r="AQ377" s="59">
        <f t="shared" si="262"/>
        <v>2238.2040000000002</v>
      </c>
      <c r="AR377" s="244"/>
      <c r="AS377" s="59">
        <f>'Balance Sheet'!AS10</f>
        <v>1514.095</v>
      </c>
      <c r="AT377" s="59">
        <f>'Balance Sheet'!AT10</f>
        <v>1768.914</v>
      </c>
      <c r="AU377" s="59">
        <f>'Balance Sheet'!AU10</f>
        <v>1848.721</v>
      </c>
      <c r="AV377" s="59">
        <f>'Balance Sheet'!AV10</f>
        <v>2533.9639999999999</v>
      </c>
      <c r="AW377" s="59">
        <f t="shared" si="263"/>
        <v>2533.9639999999999</v>
      </c>
      <c r="AX377" s="244"/>
      <c r="AY377" s="59">
        <f>'Balance Sheet'!AY10</f>
        <v>1696.32</v>
      </c>
      <c r="AZ377" s="59">
        <f>'Balance Sheet'!AZ10</f>
        <v>1935.7670000000001</v>
      </c>
      <c r="BA377" s="59">
        <f>'Balance Sheet'!BA10</f>
        <v>1952.1189999999999</v>
      </c>
      <c r="BB377" s="59">
        <f>'Balance Sheet'!BB10</f>
        <v>2432</v>
      </c>
      <c r="BC377" s="59">
        <f t="shared" si="264"/>
        <v>2432</v>
      </c>
      <c r="BD377" s="244"/>
      <c r="BE377" s="59">
        <f>'Balance Sheet'!BE10</f>
        <v>1759.8789999999999</v>
      </c>
      <c r="BF377" s="59">
        <f>'Balance Sheet'!BF10</f>
        <v>1812.6179999999999</v>
      </c>
      <c r="BG377" s="59">
        <f>'Balance Sheet'!BG10</f>
        <v>1621.413</v>
      </c>
      <c r="BH377" s="59">
        <f>'Balance Sheet'!BH10</f>
        <v>2036</v>
      </c>
      <c r="BI377" s="59">
        <f t="shared" si="265"/>
        <v>2036</v>
      </c>
      <c r="BJ377" s="244"/>
      <c r="BK377" s="59">
        <f>'Balance Sheet'!BK10</f>
        <v>1362</v>
      </c>
      <c r="BL377" s="59">
        <f>'Balance Sheet'!BL10</f>
        <v>1529</v>
      </c>
      <c r="BM377" s="59">
        <f>'Balance Sheet'!BM10</f>
        <v>1421</v>
      </c>
      <c r="BN377" s="59">
        <f>'Balance Sheet'!BN10</f>
        <v>1920</v>
      </c>
      <c r="BO377" s="59">
        <f t="shared" si="266"/>
        <v>1920</v>
      </c>
      <c r="BP377" s="244"/>
      <c r="BQ377" s="59">
        <f>'Balance Sheet'!BQ10</f>
        <v>1346</v>
      </c>
      <c r="BR377" s="59">
        <f>'Balance Sheet'!BR10</f>
        <v>1547</v>
      </c>
      <c r="BS377" s="59">
        <f>'Balance Sheet'!BS10</f>
        <v>1545</v>
      </c>
      <c r="BT377" s="59">
        <f>'Balance Sheet'!BT10</f>
        <v>2012</v>
      </c>
      <c r="BU377" s="59">
        <f t="shared" si="267"/>
        <v>2012</v>
      </c>
      <c r="BV377" s="244"/>
      <c r="BW377" s="59">
        <f>'Balance Sheet'!BW10</f>
        <v>1233</v>
      </c>
      <c r="BX377" s="59">
        <f>'Balance Sheet'!BX10</f>
        <v>1532</v>
      </c>
      <c r="BY377" s="59">
        <f>'Balance Sheet'!BY10</f>
        <v>1856</v>
      </c>
      <c r="BZ377" s="59">
        <f>'Balance Sheet'!BZ10</f>
        <v>2570</v>
      </c>
      <c r="CA377" s="59">
        <f t="shared" si="268"/>
        <v>2570</v>
      </c>
      <c r="CB377" s="244"/>
      <c r="CC377" s="59">
        <f>'Balance Sheet'!CC10</f>
        <v>1651</v>
      </c>
      <c r="CD377" s="59">
        <f>'Balance Sheet'!CD10</f>
        <v>1976</v>
      </c>
      <c r="CE377" s="59">
        <f>'Balance Sheet'!CE10</f>
        <v>2201</v>
      </c>
      <c r="CF377" s="59">
        <f>'Balance Sheet'!CF10</f>
        <v>3022</v>
      </c>
      <c r="CG377" s="168">
        <f t="shared" si="269"/>
        <v>3022</v>
      </c>
      <c r="CH377" s="244"/>
      <c r="CI377" s="59">
        <f>'Balance Sheet'!CI10</f>
        <v>2118</v>
      </c>
      <c r="CJ377" s="59">
        <f>'Balance Sheet'!CJ10</f>
        <v>2543</v>
      </c>
      <c r="CK377" s="59">
        <f>'Balance Sheet'!CK10</f>
        <v>2795</v>
      </c>
      <c r="CL377" s="59">
        <f>'Balance Sheet'!CL10</f>
        <v>4074</v>
      </c>
      <c r="CM377" s="168">
        <f t="shared" si="270"/>
        <v>4074</v>
      </c>
      <c r="CN377" s="244"/>
      <c r="CO377" s="59">
        <f>'Balance Sheet'!CO10</f>
        <v>2735</v>
      </c>
      <c r="CP377" s="59">
        <f>'Balance Sheet'!CP10</f>
        <v>3264</v>
      </c>
      <c r="CQ377" s="59">
        <f>'Balance Sheet'!CQ10</f>
        <v>3235</v>
      </c>
      <c r="CR377" s="59">
        <f>'Balance Sheet'!CR10</f>
        <v>5127</v>
      </c>
      <c r="CS377" s="168">
        <f t="shared" si="271"/>
        <v>5127</v>
      </c>
      <c r="CT377" s="244"/>
      <c r="CU377" s="59">
        <f>'Balance Sheet'!CU10</f>
        <v>3260</v>
      </c>
      <c r="CV377" s="59">
        <f>'Balance Sheet'!CV10</f>
        <v>3253</v>
      </c>
      <c r="CW377" s="59">
        <f>'Balance Sheet'!CW10</f>
        <v>3025</v>
      </c>
      <c r="CX377" s="59">
        <f>'Balance Sheet'!CX10</f>
        <v>4430</v>
      </c>
      <c r="CY377" s="168">
        <f t="shared" si="272"/>
        <v>4430</v>
      </c>
      <c r="CZ377" s="244"/>
      <c r="DA377" s="59">
        <f>'Balance Sheet'!DA10</f>
        <v>2584</v>
      </c>
      <c r="DB377" s="59">
        <f>'Balance Sheet'!DB10</f>
        <v>3086</v>
      </c>
      <c r="DC377" s="59">
        <f>'Balance Sheet'!DC10</f>
        <v>3898</v>
      </c>
      <c r="DD377" s="59">
        <f>'Balance Sheet'!DD10</f>
        <v>5585</v>
      </c>
      <c r="DE377" s="168">
        <f t="shared" si="273"/>
        <v>5585</v>
      </c>
      <c r="DF377" s="244"/>
      <c r="DG377" s="59">
        <f>'Balance Sheet'!DG10</f>
        <v>3721</v>
      </c>
      <c r="DH377" s="59">
        <f>'Balance Sheet'!DH10</f>
        <v>4406</v>
      </c>
      <c r="DI377" s="59">
        <f>'Balance Sheet'!DI10</f>
        <v>4495</v>
      </c>
      <c r="DJ377" s="59">
        <f>'Balance Sheet'!DJ10</f>
        <v>6628</v>
      </c>
      <c r="DK377" s="168">
        <f>DJ377</f>
        <v>6628</v>
      </c>
      <c r="DL377" s="244"/>
      <c r="DM377" s="59">
        <f>'Balance Sheet'!DM10</f>
        <v>4194</v>
      </c>
      <c r="DN377" s="59">
        <f>'Balance Sheet'!DN10</f>
        <v>4434</v>
      </c>
      <c r="DO377" s="59">
        <f>'Balance Sheet'!DO10</f>
        <v>4656</v>
      </c>
      <c r="DP377" s="59">
        <f>'Balance Sheet'!DP10</f>
        <v>6377</v>
      </c>
      <c r="DQ377" s="168">
        <f>DP377</f>
        <v>6377</v>
      </c>
      <c r="DR377" s="244"/>
      <c r="DS377" s="59">
        <f>'Balance Sheet'!DS10</f>
        <v>3775</v>
      </c>
      <c r="DT377" s="59">
        <f>'Balance Sheet'!DT10</f>
        <v>4401</v>
      </c>
      <c r="DU377" s="59">
        <f>'Balance Sheet'!DU10</f>
        <v>4169</v>
      </c>
      <c r="DV377" s="59">
        <f>'Balance Sheet'!DV10</f>
        <v>6049</v>
      </c>
      <c r="DW377" s="168">
        <f>DV377</f>
        <v>6049</v>
      </c>
      <c r="DX377" s="244"/>
      <c r="DY377" s="59">
        <f>'Balance Sheet'!DY10</f>
        <v>3450</v>
      </c>
      <c r="DZ377" s="59">
        <f>'Balance Sheet'!DZ10</f>
        <v>4192</v>
      </c>
      <c r="EA377" s="59">
        <f>'Balance Sheet'!EA10</f>
        <v>4071</v>
      </c>
      <c r="EB377" s="59">
        <f>'Balance Sheet'!EB10</f>
        <v>6087</v>
      </c>
      <c r="EC377" s="168">
        <f>EB377</f>
        <v>6087</v>
      </c>
      <c r="ED377" s="244"/>
      <c r="EE377" s="59">
        <f>'Balance Sheet'!EE10</f>
        <v>3551</v>
      </c>
      <c r="EF377" s="59">
        <f>'Balance Sheet'!EF10</f>
        <v>4326</v>
      </c>
      <c r="EG377" s="59">
        <f>'Balance Sheet'!EG10</f>
        <v>4178</v>
      </c>
      <c r="EH377" s="59">
        <f>'Balance Sheet'!EH10</f>
        <v>5618</v>
      </c>
      <c r="EI377" s="168">
        <f>EH377</f>
        <v>5618</v>
      </c>
      <c r="EJ377" s="244"/>
      <c r="EK377" s="59">
        <f>'Balance Sheet'!EK10</f>
        <v>3475</v>
      </c>
      <c r="EL377" s="59">
        <f>'Balance Sheet'!EL10</f>
        <v>3956</v>
      </c>
      <c r="EM377" s="59">
        <f>'Balance Sheet'!EM10</f>
        <v>3844</v>
      </c>
      <c r="EN377" s="59">
        <f>'Balance Sheet'!EN10</f>
        <v>5385</v>
      </c>
      <c r="EO377" s="168">
        <f>EN377</f>
        <v>5385</v>
      </c>
      <c r="EP377" s="244"/>
      <c r="EQ377" s="59">
        <f>'Balance Sheet'!EQ10</f>
        <v>3407</v>
      </c>
      <c r="ER377" s="59">
        <f>'Balance Sheet'!ER10</f>
        <v>3690</v>
      </c>
      <c r="ES377" s="59">
        <f>'Balance Sheet'!ES10</f>
        <v>3721</v>
      </c>
      <c r="ET377" s="59">
        <f>'Balance Sheet'!ET10</f>
        <v>5300</v>
      </c>
      <c r="EU377" s="168">
        <f>ET377</f>
        <v>5300</v>
      </c>
      <c r="EV377" s="244"/>
      <c r="EW377" s="59">
        <f>'Balance Sheet'!EW10</f>
        <v>3591</v>
      </c>
      <c r="EX377" s="59">
        <f>'Balance Sheet'!EX10</f>
        <v>3798</v>
      </c>
      <c r="EY377" s="59">
        <f>'Balance Sheet'!EY10</f>
        <v>3902</v>
      </c>
      <c r="EZ377" s="59">
        <f>'Balance Sheet'!EZ10</f>
        <v>5544.7908177887321</v>
      </c>
      <c r="FA377" s="168">
        <f>EZ377</f>
        <v>5544.7908177887321</v>
      </c>
      <c r="FB377" s="244"/>
      <c r="FC377" s="59">
        <f>'Balance Sheet'!FC10</f>
        <v>3828.6267712162062</v>
      </c>
      <c r="FD377" s="59">
        <f>'Balance Sheet'!FD10</f>
        <v>4047.6874153901058</v>
      </c>
      <c r="FE377" s="59">
        <f>'Balance Sheet'!FE10</f>
        <v>4140.1943213442692</v>
      </c>
      <c r="FF377" s="59">
        <f>'Balance Sheet'!FF10</f>
        <v>5777.4421468946211</v>
      </c>
      <c r="FG377" s="168">
        <f>FF377</f>
        <v>5777.4421468946211</v>
      </c>
      <c r="FH377" s="244"/>
      <c r="FI377" s="59">
        <f>'Balance Sheet'!FI10</f>
        <v>4095.5090540998053</v>
      </c>
      <c r="FJ377" s="59">
        <f>'Balance Sheet'!FJ10</f>
        <v>4308.9853225638781</v>
      </c>
      <c r="FK377" s="59">
        <f>'Balance Sheet'!FK10</f>
        <v>4399.032880844894</v>
      </c>
      <c r="FL377" s="59">
        <f>'Balance Sheet'!FL10</f>
        <v>6045.4530023826856</v>
      </c>
      <c r="FM377" s="168">
        <f>FL377</f>
        <v>6045.4530023826856</v>
      </c>
      <c r="FN377" s="27"/>
      <c r="FO377" s="27"/>
      <c r="FP377" s="27"/>
      <c r="FQ377" s="27"/>
      <c r="FR377" s="27"/>
      <c r="FS377" s="27"/>
      <c r="FT377" s="27"/>
      <c r="FU377" s="27"/>
      <c r="FV377" s="27"/>
      <c r="FW377" s="27"/>
      <c r="FX377" s="27"/>
      <c r="FY377" s="27"/>
      <c r="FZ377" s="27"/>
      <c r="GA377" s="27"/>
      <c r="GB377" s="27"/>
      <c r="GC377" s="27"/>
      <c r="GD377" s="27"/>
      <c r="GE377" s="27"/>
      <c r="GF377" s="27"/>
      <c r="GG377" s="27"/>
      <c r="GH377" s="27"/>
      <c r="GI377"/>
      <c r="GJ377"/>
      <c r="GK377"/>
      <c r="GL377"/>
      <c r="GM377"/>
      <c r="GN377"/>
      <c r="GO377" s="27"/>
      <c r="GP377"/>
      <c r="GQ377"/>
      <c r="GR377"/>
      <c r="GS377"/>
      <c r="GT377"/>
      <c r="GU377"/>
      <c r="GV377"/>
      <c r="GW377"/>
      <c r="GX377"/>
      <c r="GY377"/>
      <c r="GZ377"/>
      <c r="HA377"/>
      <c r="HB377"/>
      <c r="HC377"/>
      <c r="HD377"/>
      <c r="HE377"/>
      <c r="HF377"/>
      <c r="HG377"/>
      <c r="HH377"/>
      <c r="HI377"/>
      <c r="HJ377"/>
      <c r="HK377"/>
      <c r="HL377"/>
      <c r="HM377"/>
      <c r="HN377"/>
      <c r="HO377"/>
      <c r="HP377"/>
      <c r="HQ377"/>
      <c r="HR377"/>
      <c r="HS377"/>
      <c r="HT377"/>
      <c r="HU377"/>
      <c r="HV377"/>
      <c r="HW377"/>
      <c r="HX377"/>
      <c r="HY377"/>
      <c r="HZ377"/>
      <c r="IA377"/>
      <c r="IB377"/>
      <c r="IC377"/>
      <c r="ID377"/>
      <c r="IE377"/>
      <c r="IF377"/>
      <c r="IG377"/>
      <c r="IH377"/>
      <c r="II377"/>
      <c r="IJ377"/>
      <c r="IK377"/>
      <c r="IL377"/>
      <c r="IM377"/>
      <c r="IN377"/>
      <c r="IO377"/>
      <c r="IP377"/>
      <c r="IQ377"/>
      <c r="IR377"/>
      <c r="IS377"/>
      <c r="IT377"/>
      <c r="IU377"/>
      <c r="IV377"/>
      <c r="IW377"/>
      <c r="IX377"/>
      <c r="IY377"/>
      <c r="IZ377"/>
      <c r="JA377"/>
      <c r="JB377"/>
      <c r="JC377"/>
      <c r="JD377"/>
      <c r="JE377"/>
      <c r="JF377"/>
      <c r="JG377"/>
      <c r="JH377"/>
      <c r="JI377"/>
      <c r="JJ377"/>
      <c r="JK377"/>
      <c r="JL377"/>
      <c r="JM377"/>
      <c r="JN377"/>
      <c r="JO377"/>
      <c r="JP377"/>
      <c r="JQ377"/>
      <c r="JR377"/>
      <c r="JS377"/>
      <c r="JT377"/>
      <c r="JU377"/>
    </row>
    <row r="378" spans="1:281" s="24" customFormat="1" hidden="1" outlineLevel="1" x14ac:dyDescent="0.2">
      <c r="A378" s="273" t="s">
        <v>400</v>
      </c>
      <c r="B378" s="954" t="s">
        <v>736</v>
      </c>
      <c r="C378" s="59" t="s">
        <v>945</v>
      </c>
      <c r="D378" s="59">
        <f>'Balance Sheet'!D8+'Balance Sheet'!D9</f>
        <v>0.59899999999999998</v>
      </c>
      <c r="E378" s="59">
        <f>'Balance Sheet'!E8+'Balance Sheet'!E9</f>
        <v>12.523999999999999</v>
      </c>
      <c r="F378" s="59">
        <f>'Balance Sheet'!F8+'Balance Sheet'!F9</f>
        <v>37.557000000000002</v>
      </c>
      <c r="G378" s="59">
        <f>'Balance Sheet'!G8+'Balance Sheet'!G9</f>
        <v>48.61</v>
      </c>
      <c r="H378" s="59">
        <f>'Balance Sheet'!H8+'Balance Sheet'!H9</f>
        <v>49.393000000000001</v>
      </c>
      <c r="I378" s="59">
        <f>'Balance Sheet'!I8+'Balance Sheet'!I9</f>
        <v>49.828000000000003</v>
      </c>
      <c r="J378" s="59">
        <f>'Balance Sheet'!J8+'Balance Sheet'!J9</f>
        <v>101.48099999999999</v>
      </c>
      <c r="K378" s="59">
        <f>'Balance Sheet'!K8+'Balance Sheet'!K9</f>
        <v>176.50099999999998</v>
      </c>
      <c r="L378" s="59">
        <f>'Balance Sheet'!L8+'Balance Sheet'!L9</f>
        <v>357.77499999999998</v>
      </c>
      <c r="M378" s="59">
        <f>'Balance Sheet'!M8+'Balance Sheet'!M9</f>
        <v>464.75799999999998</v>
      </c>
      <c r="N378" s="244"/>
      <c r="O378" s="59">
        <f>'Balance Sheet'!O8+'Balance Sheet'!O9</f>
        <v>493.291</v>
      </c>
      <c r="P378" s="59">
        <f>'Balance Sheet'!P8+'Balance Sheet'!P9</f>
        <v>329.447</v>
      </c>
      <c r="Q378" s="59">
        <f>'Balance Sheet'!Q8+'Balance Sheet'!Q9</f>
        <v>402.54700000000003</v>
      </c>
      <c r="R378" s="59">
        <f>'Balance Sheet'!R8+'Balance Sheet'!R9</f>
        <v>585.81799999999998</v>
      </c>
      <c r="S378" s="59">
        <f t="shared" si="258"/>
        <v>585.81799999999998</v>
      </c>
      <c r="T378" s="244"/>
      <c r="U378" s="59">
        <f>'Balance Sheet'!U8+'Balance Sheet'!U9</f>
        <v>577.29999999999995</v>
      </c>
      <c r="V378" s="59">
        <f>'Balance Sheet'!V8+'Balance Sheet'!V9</f>
        <v>554.46199999999999</v>
      </c>
      <c r="W378" s="59">
        <f>'Balance Sheet'!W8+'Balance Sheet'!W9</f>
        <v>709.745</v>
      </c>
      <c r="X378" s="59">
        <f>'Balance Sheet'!X8+'Balance Sheet'!X9</f>
        <v>840.9079999999999</v>
      </c>
      <c r="Y378" s="59">
        <f t="shared" si="259"/>
        <v>840.9079999999999</v>
      </c>
      <c r="Z378" s="244"/>
      <c r="AA378" s="59">
        <f>'Balance Sheet'!AA8+'Balance Sheet'!AA9</f>
        <v>995.78700000000003</v>
      </c>
      <c r="AB378" s="59">
        <f>'Balance Sheet'!AB8+'Balance Sheet'!AB9</f>
        <v>878.67200000000003</v>
      </c>
      <c r="AC378" s="59">
        <f>'Balance Sheet'!AC8+'Balance Sheet'!AC9</f>
        <v>1043.068</v>
      </c>
      <c r="AD378" s="59">
        <f>'Balance Sheet'!AD8+'Balance Sheet'!AD9</f>
        <v>1213.19</v>
      </c>
      <c r="AE378" s="59">
        <f t="shared" si="260"/>
        <v>1213.19</v>
      </c>
      <c r="AF378" s="244"/>
      <c r="AG378" s="59">
        <f>'Balance Sheet'!AG8+'Balance Sheet'!AG9</f>
        <v>1488.326</v>
      </c>
      <c r="AH378" s="59">
        <f>'Balance Sheet'!AH8+'Balance Sheet'!AH9</f>
        <v>1514.395</v>
      </c>
      <c r="AI378" s="59">
        <f>'Balance Sheet'!AI8+'Balance Sheet'!AI9</f>
        <v>1516.819</v>
      </c>
      <c r="AJ378" s="59">
        <f>'Balance Sheet'!AJ8+'Balance Sheet'!AJ9</f>
        <v>1919.1990000000001</v>
      </c>
      <c r="AK378" s="59">
        <f t="shared" si="261"/>
        <v>1919.1990000000001</v>
      </c>
      <c r="AL378" s="244"/>
      <c r="AM378" s="59">
        <f>'Balance Sheet'!AM8+'Balance Sheet'!AM9</f>
        <v>2301.8960000000002</v>
      </c>
      <c r="AN378" s="59">
        <f>'Balance Sheet'!AN8+'Balance Sheet'!AN9</f>
        <v>1908.067</v>
      </c>
      <c r="AO378" s="59">
        <f>'Balance Sheet'!AO8+'Balance Sheet'!AO9</f>
        <v>2188.8609999999999</v>
      </c>
      <c r="AP378" s="59">
        <f>'Balance Sheet'!AP8+'Balance Sheet'!AP9</f>
        <v>2562.7640000000001</v>
      </c>
      <c r="AQ378" s="59">
        <f t="shared" si="262"/>
        <v>2562.7640000000001</v>
      </c>
      <c r="AR378" s="244"/>
      <c r="AS378" s="59">
        <f>'Balance Sheet'!AS8+'Balance Sheet'!AS9</f>
        <v>2721.7490000000003</v>
      </c>
      <c r="AT378" s="59">
        <f>'Balance Sheet'!AT8+'Balance Sheet'!AT9</f>
        <v>2133.7559999999999</v>
      </c>
      <c r="AU378" s="59">
        <f>'Balance Sheet'!AU8+'Balance Sheet'!AU9</f>
        <v>2767.6010000000001</v>
      </c>
      <c r="AV378" s="59">
        <f>'Balance Sheet'!AV8+'Balance Sheet'!AV9</f>
        <v>7761.9980000000005</v>
      </c>
      <c r="AW378" s="59">
        <f t="shared" si="263"/>
        <v>7761.9980000000005</v>
      </c>
      <c r="AX378" s="244"/>
      <c r="AY378" s="59">
        <f>'Balance Sheet'!AY8+'Balance Sheet'!AY9</f>
        <v>5062.5720000000001</v>
      </c>
      <c r="AZ378" s="59">
        <f>'Balance Sheet'!AZ8+'Balance Sheet'!AZ9</f>
        <v>4356.165</v>
      </c>
      <c r="BA378" s="59">
        <f>'Balance Sheet'!BA8+'Balance Sheet'!BA9</f>
        <v>4985.2379999999994</v>
      </c>
      <c r="BB378" s="59">
        <f>'Balance Sheet'!BB8+'Balance Sheet'!BB9</f>
        <v>5887</v>
      </c>
      <c r="BC378" s="59">
        <f t="shared" si="264"/>
        <v>5887</v>
      </c>
      <c r="BD378" s="244"/>
      <c r="BE378" s="59">
        <f>'Balance Sheet'!BE8+'Balance Sheet'!BE9</f>
        <v>6051.4310000000005</v>
      </c>
      <c r="BF378" s="59">
        <f>'Balance Sheet'!BF8+'Balance Sheet'!BF9</f>
        <v>4959.5280000000002</v>
      </c>
      <c r="BG378" s="59">
        <f>'Balance Sheet'!BG8+'Balance Sheet'!BG9</f>
        <v>5610.9740000000002</v>
      </c>
      <c r="BH378" s="59">
        <f>'Balance Sheet'!BH8+'Balance Sheet'!BH9</f>
        <v>5841</v>
      </c>
      <c r="BI378" s="59">
        <f t="shared" si="265"/>
        <v>5841</v>
      </c>
      <c r="BJ378" s="244"/>
      <c r="BK378" s="59">
        <f>'Balance Sheet'!BK8+'Balance Sheet'!BK9</f>
        <v>6419</v>
      </c>
      <c r="BL378" s="59">
        <f>'Balance Sheet'!BL8+'Balance Sheet'!BL9</f>
        <v>5481</v>
      </c>
      <c r="BM378" s="59">
        <f>'Balance Sheet'!BM8+'Balance Sheet'!BM9</f>
        <v>6040</v>
      </c>
      <c r="BN378" s="59">
        <f>'Balance Sheet'!BN8+'Balance Sheet'!BN9</f>
        <v>6519</v>
      </c>
      <c r="BO378" s="59">
        <f t="shared" si="266"/>
        <v>6519</v>
      </c>
      <c r="BP378" s="244"/>
      <c r="BQ378" s="59">
        <f>'Balance Sheet'!BQ8+'Balance Sheet'!BQ9</f>
        <v>7404</v>
      </c>
      <c r="BR378" s="59">
        <f>'Balance Sheet'!BR8+'Balance Sheet'!BR9</f>
        <v>8074</v>
      </c>
      <c r="BS378" s="59">
        <f>'Balance Sheet'!BS8+'Balance Sheet'!BS9</f>
        <v>8018</v>
      </c>
      <c r="BT378" s="59">
        <f>'Balance Sheet'!BT8+'Balance Sheet'!BT9</f>
        <v>8587</v>
      </c>
      <c r="BU378" s="59">
        <f t="shared" si="267"/>
        <v>8587</v>
      </c>
      <c r="BV378" s="244"/>
      <c r="BW378" s="59">
        <f>'Balance Sheet'!BW8+'Balance Sheet'!BW9</f>
        <v>9445.2056000000011</v>
      </c>
      <c r="BX378" s="59">
        <f>'Balance Sheet'!BX8+'Balance Sheet'!BX9</f>
        <v>9436</v>
      </c>
      <c r="BY378" s="59">
        <f>'Balance Sheet'!BY8+'Balance Sheet'!BY9</f>
        <v>9132</v>
      </c>
      <c r="BZ378" s="59">
        <f>'Balance Sheet'!BZ8+'Balance Sheet'!BZ9</f>
        <v>4771</v>
      </c>
      <c r="CA378" s="59">
        <f t="shared" si="268"/>
        <v>4771</v>
      </c>
      <c r="CB378" s="244"/>
      <c r="CC378" s="59">
        <f>'Balance Sheet'!CC8+'Balance Sheet'!CC9</f>
        <v>4632</v>
      </c>
      <c r="CD378" s="59">
        <f>'Balance Sheet'!CD8+'Balance Sheet'!CD9</f>
        <v>3403</v>
      </c>
      <c r="CE378" s="59">
        <f>'Balance Sheet'!CE8+'Balance Sheet'!CE9</f>
        <v>7764</v>
      </c>
      <c r="CF378" s="59">
        <f>'Balance Sheet'!CF8+'Balance Sheet'!CF9</f>
        <v>7605</v>
      </c>
      <c r="CG378" s="168">
        <f t="shared" si="269"/>
        <v>7605</v>
      </c>
      <c r="CH378" s="244"/>
      <c r="CI378" s="59">
        <f>'Balance Sheet'!CI8+'Balance Sheet'!CI9</f>
        <v>8298</v>
      </c>
      <c r="CJ378" s="59">
        <f>'Balance Sheet'!CJ8+'Balance Sheet'!CJ9</f>
        <v>7825</v>
      </c>
      <c r="CK378" s="59">
        <f>'Balance Sheet'!CK8+'Balance Sheet'!CK9</f>
        <v>6445</v>
      </c>
      <c r="CL378" s="59">
        <f>'Balance Sheet'!CL8+'Balance Sheet'!CL9</f>
        <v>7020</v>
      </c>
      <c r="CM378" s="168">
        <f t="shared" si="270"/>
        <v>7020</v>
      </c>
      <c r="CN378" s="244"/>
      <c r="CO378" s="59">
        <f>'Balance Sheet'!CO8+'Balance Sheet'!CO9</f>
        <v>7743</v>
      </c>
      <c r="CP378" s="59">
        <f>'Balance Sheet'!CP8+'Balance Sheet'!CP9</f>
        <v>8432</v>
      </c>
      <c r="CQ378" s="59">
        <f>'Balance Sheet'!CQ8+'Balance Sheet'!CQ9</f>
        <v>10506</v>
      </c>
      <c r="CR378" s="59">
        <f>'Balance Sheet'!CR8+'Balance Sheet'!CR9</f>
        <v>11043</v>
      </c>
      <c r="CS378" s="168">
        <f t="shared" si="271"/>
        <v>11043</v>
      </c>
      <c r="CT378" s="244"/>
      <c r="CU378" s="59">
        <f>'Balance Sheet'!CU8+'Balance Sheet'!CU9</f>
        <v>13021</v>
      </c>
      <c r="CV378" s="59">
        <f>'Balance Sheet'!CV8+'Balance Sheet'!CV9</f>
        <v>10646</v>
      </c>
      <c r="CW378" s="59">
        <f>'Balance Sheet'!CW8+'Balance Sheet'!CW9</f>
        <v>11294</v>
      </c>
      <c r="CX378" s="59">
        <f>'Balance Sheet'!CX8+'Balance Sheet'!CX9</f>
        <v>12624</v>
      </c>
      <c r="CY378" s="168">
        <f t="shared" si="272"/>
        <v>12624</v>
      </c>
      <c r="CZ378" s="244"/>
      <c r="DA378" s="59">
        <f>'Balance Sheet'!DA8+'Balance Sheet'!DA9</f>
        <v>20565</v>
      </c>
      <c r="DB378" s="59">
        <f>'Balance Sheet'!DB8+'Balance Sheet'!DB9</f>
        <v>20784</v>
      </c>
      <c r="DC378" s="59">
        <f>'Balance Sheet'!DC8+'Balance Sheet'!DC9</f>
        <v>17489</v>
      </c>
      <c r="DD378" s="59">
        <f>'Balance Sheet'!DD8+'Balance Sheet'!DD9</f>
        <v>18469</v>
      </c>
      <c r="DE378" s="168">
        <f t="shared" si="273"/>
        <v>18469</v>
      </c>
      <c r="DF378" s="244"/>
      <c r="DG378" s="59">
        <f>'Balance Sheet'!DG8+'Balance Sheet'!DG9</f>
        <v>23637</v>
      </c>
      <c r="DH378" s="59">
        <f>'Balance Sheet'!DH8+'Balance Sheet'!DH9</f>
        <v>24845</v>
      </c>
      <c r="DI378" s="59">
        <f>'Balance Sheet'!DI8+'Balance Sheet'!DI9</f>
        <v>24355</v>
      </c>
      <c r="DJ378" s="59">
        <f>'Balance Sheet'!DJ8+'Balance Sheet'!DJ9</f>
        <v>28848</v>
      </c>
      <c r="DK378" s="168">
        <f>DJ378</f>
        <v>28848</v>
      </c>
      <c r="DL378" s="244"/>
      <c r="DM378" s="59">
        <f>'Balance Sheet'!DM8+'Balance Sheet'!DM9</f>
        <v>31660</v>
      </c>
      <c r="DN378" s="59">
        <f>'Balance Sheet'!DN8+'Balance Sheet'!DN9</f>
        <v>31012</v>
      </c>
      <c r="DO378" s="59">
        <f>'Balance Sheet'!DO8+'Balance Sheet'!DO9</f>
        <v>29742</v>
      </c>
      <c r="DP378" s="59">
        <f>'Balance Sheet'!DP8+'Balance Sheet'!DP9</f>
        <v>30676</v>
      </c>
      <c r="DQ378" s="168">
        <f>DP378</f>
        <v>30676</v>
      </c>
      <c r="DR378" s="244"/>
      <c r="DS378" s="59">
        <f>'Balance Sheet'!DS8+'Balance Sheet'!DS9</f>
        <v>31607</v>
      </c>
      <c r="DT378" s="59">
        <f>'Balance Sheet'!DT8+'Balance Sheet'!DT9</f>
        <v>33695</v>
      </c>
      <c r="DU378" s="59">
        <f>'Balance Sheet'!DU8+'Balance Sheet'!DU9</f>
        <v>33407</v>
      </c>
      <c r="DV378" s="59">
        <f>'Balance Sheet'!DV8+'Balance Sheet'!DV9</f>
        <v>32216</v>
      </c>
      <c r="DW378" s="168">
        <f>DV378</f>
        <v>32216</v>
      </c>
      <c r="DX378" s="244"/>
      <c r="DY378" s="59">
        <f>'Balance Sheet'!DY8+'Balance Sheet'!DY9</f>
        <v>39104</v>
      </c>
      <c r="DZ378" s="59">
        <f>'Balance Sheet'!DZ8+'Balance Sheet'!DZ9</f>
        <v>36974</v>
      </c>
      <c r="EA378" s="59">
        <f>'Balance Sheet'!EA8+'Balance Sheet'!EA9</f>
        <v>37225</v>
      </c>
      <c r="EB378" s="59">
        <f>'Balance Sheet'!EB8+'Balance Sheet'!EB9</f>
        <v>38819</v>
      </c>
      <c r="EC378" s="168">
        <f>EB378</f>
        <v>38819</v>
      </c>
      <c r="ED378" s="244"/>
      <c r="EE378" s="59">
        <f>'Balance Sheet'!EE8+'Balance Sheet'!EE9</f>
        <v>51616</v>
      </c>
      <c r="EF378" s="59">
        <f>'Balance Sheet'!EF8+'Balance Sheet'!EF9</f>
        <v>44733</v>
      </c>
      <c r="EG378" s="59">
        <f>'Balance Sheet'!EG8+'Balance Sheet'!EG9</f>
        <v>43777</v>
      </c>
      <c r="EH378" s="59">
        <f>'Balance Sheet'!EH8+'Balance Sheet'!EH9</f>
        <v>54368</v>
      </c>
      <c r="EI378" s="168">
        <f>EH378</f>
        <v>54368</v>
      </c>
      <c r="EJ378" s="244"/>
      <c r="EK378" s="59">
        <f>'Balance Sheet'!EK8+'Balance Sheet'!EK9</f>
        <v>55930</v>
      </c>
      <c r="EL378" s="59">
        <f>'Balance Sheet'!EL8+'Balance Sheet'!EL9</f>
        <v>52335</v>
      </c>
      <c r="EM378" s="59">
        <f>'Balance Sheet'!EM8+'Balance Sheet'!EM9</f>
        <v>50767</v>
      </c>
      <c r="EN378" s="59">
        <f>'Balance Sheet'!EN8+'Balance Sheet'!EN9</f>
        <v>56125</v>
      </c>
      <c r="EO378" s="168">
        <f>EN378</f>
        <v>56125</v>
      </c>
      <c r="EP378" s="244"/>
      <c r="EQ378" s="59">
        <f>'Balance Sheet'!EQ8+'Balance Sheet'!EQ9</f>
        <v>68396</v>
      </c>
      <c r="ER378" s="59">
        <f>'Balance Sheet'!ER8+'Balance Sheet'!ER9</f>
        <v>58206</v>
      </c>
      <c r="ES378" s="59">
        <f>'Balance Sheet'!ES8+'Balance Sheet'!ES9</f>
        <v>59352</v>
      </c>
      <c r="ET378" s="59">
        <f>'Balance Sheet'!ET8+'Balance Sheet'!ET9</f>
        <v>66078</v>
      </c>
      <c r="EU378" s="168">
        <f>ET378</f>
        <v>66078</v>
      </c>
      <c r="EV378" s="244"/>
      <c r="EW378" s="59">
        <f>'Balance Sheet'!EW8+'Balance Sheet'!EW9</f>
        <v>66897</v>
      </c>
      <c r="EX378" s="59">
        <f>'Balance Sheet'!EX8+'Balance Sheet'!EX9</f>
        <v>71580</v>
      </c>
      <c r="EY378" s="59">
        <f>'Balance Sheet'!EY8+'Balance Sheet'!EY9</f>
        <v>70455</v>
      </c>
      <c r="EZ378" s="59">
        <f>'Balance Sheet'!EZ8+'Balance Sheet'!EZ9</f>
        <v>70578.645629562176</v>
      </c>
      <c r="FA378" s="168">
        <f>EZ378</f>
        <v>70578.645629562176</v>
      </c>
      <c r="FB378" s="244"/>
      <c r="FC378" s="59">
        <f>'Balance Sheet'!FC8+'Balance Sheet'!FC9</f>
        <v>71359.682075827033</v>
      </c>
      <c r="FD378" s="59">
        <f>'Balance Sheet'!FD8+'Balance Sheet'!FD9</f>
        <v>69592.795395241672</v>
      </c>
      <c r="FE378" s="59">
        <f>'Balance Sheet'!FE8+'Balance Sheet'!FE9</f>
        <v>71141.373558817228</v>
      </c>
      <c r="FF378" s="59">
        <f>'Balance Sheet'!FF8+'Balance Sheet'!FF9</f>
        <v>71614.480472891431</v>
      </c>
      <c r="FG378" s="168">
        <f>FF378</f>
        <v>71614.480472891431</v>
      </c>
      <c r="FH378" s="244"/>
      <c r="FI378" s="59">
        <f>'Balance Sheet'!FI8+'Balance Sheet'!FI9</f>
        <v>75505.695139864882</v>
      </c>
      <c r="FJ378" s="59">
        <f>'Balance Sheet'!FJ8+'Balance Sheet'!FJ9</f>
        <v>71465.56314334675</v>
      </c>
      <c r="FK378" s="59">
        <f>'Balance Sheet'!FK8+'Balance Sheet'!FK9</f>
        <v>71296.852006080095</v>
      </c>
      <c r="FL378" s="59">
        <f>'Balance Sheet'!FL8+'Balance Sheet'!FL9</f>
        <v>74826.658980066015</v>
      </c>
      <c r="FM378" s="168">
        <f>FL378</f>
        <v>74826.658980066015</v>
      </c>
      <c r="FN378" s="27"/>
      <c r="FO378" s="27"/>
      <c r="FP378" s="27"/>
      <c r="FQ378" s="27"/>
      <c r="FR378" s="27"/>
      <c r="FS378" s="27"/>
      <c r="FT378" s="27"/>
      <c r="FU378" s="27"/>
      <c r="FV378" s="27"/>
      <c r="FW378" s="27"/>
      <c r="FX378" s="27"/>
      <c r="FY378" s="27"/>
      <c r="FZ378" s="27"/>
      <c r="GA378" s="27"/>
      <c r="GB378" s="27"/>
      <c r="GC378" s="27"/>
      <c r="GD378" s="27"/>
      <c r="GE378" s="27"/>
      <c r="GF378" s="27"/>
      <c r="GG378" s="27"/>
      <c r="GH378" s="27"/>
      <c r="GI378"/>
      <c r="GJ378"/>
      <c r="GK378"/>
      <c r="GL378"/>
      <c r="GM378"/>
      <c r="GN378"/>
      <c r="GO378" s="27"/>
      <c r="GP378"/>
      <c r="GQ378"/>
      <c r="GR378"/>
      <c r="GS378"/>
      <c r="GT378"/>
      <c r="GU378"/>
      <c r="GV378"/>
      <c r="GW378"/>
      <c r="GX378"/>
      <c r="GY378"/>
      <c r="GZ378"/>
      <c r="HA378"/>
      <c r="HB378"/>
      <c r="HC378"/>
      <c r="HD378"/>
      <c r="HE378"/>
      <c r="HF378"/>
      <c r="HG378"/>
      <c r="HH378"/>
      <c r="HI378"/>
      <c r="HJ378"/>
      <c r="HK378"/>
      <c r="HL378"/>
      <c r="HM378"/>
      <c r="HN378"/>
      <c r="HO378"/>
      <c r="HP378"/>
      <c r="HQ378"/>
      <c r="HR378"/>
      <c r="HS378"/>
      <c r="HT378"/>
      <c r="HU378"/>
      <c r="HV378"/>
      <c r="HW378"/>
      <c r="HX378"/>
      <c r="HY378"/>
      <c r="HZ378"/>
      <c r="IA378"/>
      <c r="IB378"/>
      <c r="IC378"/>
      <c r="ID378"/>
      <c r="IE378"/>
      <c r="IF378"/>
      <c r="IG378"/>
      <c r="IH378"/>
      <c r="II378"/>
      <c r="IJ378"/>
      <c r="IK378"/>
      <c r="IL378"/>
      <c r="IM378"/>
      <c r="IN378"/>
      <c r="IO378"/>
      <c r="IP378"/>
      <c r="IQ378"/>
      <c r="IR378"/>
      <c r="IS378"/>
      <c r="IT378"/>
      <c r="IU378"/>
      <c r="IV378"/>
      <c r="IW378"/>
      <c r="IX378"/>
      <c r="IY378"/>
      <c r="IZ378"/>
      <c r="JA378"/>
      <c r="JB378"/>
      <c r="JC378"/>
      <c r="JD378"/>
      <c r="JE378"/>
      <c r="JF378"/>
      <c r="JG378"/>
      <c r="JH378"/>
      <c r="JI378"/>
      <c r="JJ378"/>
      <c r="JK378"/>
      <c r="JL378"/>
      <c r="JM378"/>
      <c r="JN378"/>
      <c r="JO378"/>
      <c r="JP378"/>
      <c r="JQ378"/>
      <c r="JR378"/>
      <c r="JS378"/>
      <c r="JT378"/>
      <c r="JU378"/>
    </row>
    <row r="379" spans="1:281" s="24" customFormat="1" hidden="1" outlineLevel="1" x14ac:dyDescent="0.2">
      <c r="A379" s="244" t="s">
        <v>401</v>
      </c>
      <c r="B379" s="954" t="s">
        <v>468</v>
      </c>
      <c r="C379" s="59">
        <f>SUM('Balance Sheet'!C25,'Balance Sheet'!C32)</f>
        <v>0</v>
      </c>
      <c r="D379" s="59">
        <f>SUM('Balance Sheet'!D25,'Balance Sheet'!D32)</f>
        <v>2.0670000000000002</v>
      </c>
      <c r="E379" s="59">
        <f>SUM('Balance Sheet'!E25,'Balance Sheet'!E32)</f>
        <v>8.8049999999999997</v>
      </c>
      <c r="F379" s="59">
        <f>SUM('Balance Sheet'!F25,'Balance Sheet'!F32)</f>
        <v>14.221</v>
      </c>
      <c r="G379" s="59">
        <f>SUM('Balance Sheet'!G25,'Balance Sheet'!G32)</f>
        <v>11.870000000000001</v>
      </c>
      <c r="H379" s="59">
        <f>SUM('Balance Sheet'!H25,'Balance Sheet'!H32)</f>
        <v>56.84</v>
      </c>
      <c r="I379" s="59">
        <f>SUM('Balance Sheet'!I25,'Balance Sheet'!I32)</f>
        <v>131.63</v>
      </c>
      <c r="J379" s="59">
        <f>SUM('Balance Sheet'!J25,'Balance Sheet'!J32)</f>
        <v>198.05599999999998</v>
      </c>
      <c r="K379" s="59">
        <f>SUM('Balance Sheet'!K25,'Balance Sheet'!K32)</f>
        <v>112.447</v>
      </c>
      <c r="L379" s="59">
        <f>SUM('Balance Sheet'!L25,'Balance Sheet'!L32)</f>
        <v>97.063999999999993</v>
      </c>
      <c r="M379" s="59">
        <f>SUM('Balance Sheet'!M25,'Balance Sheet'!M32)</f>
        <v>89.742999999999995</v>
      </c>
      <c r="N379" s="244"/>
      <c r="O379" s="59">
        <f>SUM('Balance Sheet'!O25,'Balance Sheet'!O32)</f>
        <v>95.299000000000007</v>
      </c>
      <c r="P379" s="59">
        <f>SUM('Balance Sheet'!P25,'Balance Sheet'!P32)</f>
        <v>90.974999999999994</v>
      </c>
      <c r="Q379" s="59">
        <f>SUM('Balance Sheet'!Q25,'Balance Sheet'!Q32)</f>
        <v>91.835999999999999</v>
      </c>
      <c r="R379" s="59">
        <f>SUM('Balance Sheet'!R25,'Balance Sheet'!R32)</f>
        <v>91.320000000000007</v>
      </c>
      <c r="S379" s="59">
        <f>R379</f>
        <v>91.320000000000007</v>
      </c>
      <c r="T379" s="244"/>
      <c r="U379" s="59">
        <f>SUM('Balance Sheet'!U25,'Balance Sheet'!U32)</f>
        <v>91.731999999999999</v>
      </c>
      <c r="V379" s="59">
        <f>SUM('Balance Sheet'!V25,'Balance Sheet'!V32)</f>
        <v>91.137999999999991</v>
      </c>
      <c r="W379" s="59">
        <f>SUM('Balance Sheet'!W25,'Balance Sheet'!W32)</f>
        <v>90.968000000000004</v>
      </c>
      <c r="X379" s="59">
        <f>SUM('Balance Sheet'!X25,'Balance Sheet'!X32)</f>
        <v>6.52</v>
      </c>
      <c r="Y379" s="59">
        <f>X379</f>
        <v>6.52</v>
      </c>
      <c r="Z379" s="244"/>
      <c r="AA379" s="59">
        <f>SUM('Balance Sheet'!AA25,'Balance Sheet'!AA32)</f>
        <v>6.6479999999999997</v>
      </c>
      <c r="AB379" s="59">
        <f>SUM('Balance Sheet'!AB25,'Balance Sheet'!AB32)</f>
        <v>13.049000000000001</v>
      </c>
      <c r="AC379" s="59">
        <f>SUM('Balance Sheet'!AC25,'Balance Sheet'!AC32)</f>
        <v>311.3</v>
      </c>
      <c r="AD379" s="59">
        <f>SUM('Balance Sheet'!AD25,'Balance Sheet'!AD32)</f>
        <v>305.14</v>
      </c>
      <c r="AE379" s="59">
        <f>AD379</f>
        <v>305.14</v>
      </c>
      <c r="AF379" s="244"/>
      <c r="AG379" s="59">
        <f>SUM('Balance Sheet'!AG25,'Balance Sheet'!AG32)</f>
        <v>305.65500000000003</v>
      </c>
      <c r="AH379" s="59">
        <f>SUM('Balance Sheet'!AH25,'Balance Sheet'!AH32)</f>
        <v>314.59399999999999</v>
      </c>
      <c r="AI379" s="59">
        <f>SUM('Balance Sheet'!AI25,'Balance Sheet'!AI32)</f>
        <v>317.90699999999998</v>
      </c>
      <c r="AJ379" s="59">
        <f>SUM('Balance Sheet'!AJ25,'Balance Sheet'!AJ32)</f>
        <v>307.26099999999997</v>
      </c>
      <c r="AK379" s="59">
        <f>AJ379</f>
        <v>307.26099999999997</v>
      </c>
      <c r="AL379" s="244"/>
      <c r="AM379" s="59">
        <f>SUM('Balance Sheet'!AM25,'Balance Sheet'!AM32)</f>
        <v>307.80400000000003</v>
      </c>
      <c r="AN379" s="59">
        <f>SUM('Balance Sheet'!AN25,'Balance Sheet'!AN32)</f>
        <v>312.07900000000001</v>
      </c>
      <c r="AO379" s="59">
        <f>SUM('Balance Sheet'!AO25,'Balance Sheet'!AO32)</f>
        <v>306.74099999999999</v>
      </c>
      <c r="AP379" s="59">
        <f>SUM('Balance Sheet'!AP25,'Balance Sheet'!AP32)</f>
        <v>307.77799999999996</v>
      </c>
      <c r="AQ379" s="59">
        <f>AP379</f>
        <v>307.77799999999996</v>
      </c>
      <c r="AR379" s="244"/>
      <c r="AS379" s="59">
        <f>SUM('Balance Sheet'!AS25,'Balance Sheet'!AS32)</f>
        <v>304.38599999999997</v>
      </c>
      <c r="AT379" s="59">
        <f>SUM('Balance Sheet'!AT25,'Balance Sheet'!AT32)</f>
        <v>303.846</v>
      </c>
      <c r="AU379" s="59">
        <f>SUM('Balance Sheet'!AU25,'Balance Sheet'!AU32)</f>
        <v>307.00599999999997</v>
      </c>
      <c r="AV379" s="59">
        <f>SUM('Balance Sheet'!AV25,'Balance Sheet'!AV32)</f>
        <v>301.46099999999996</v>
      </c>
      <c r="AW379" s="59">
        <f>AV379</f>
        <v>301.46099999999996</v>
      </c>
      <c r="AX379" s="244"/>
      <c r="AY379" s="59">
        <f>SUM('Balance Sheet'!AY25,'Balance Sheet'!AY32)</f>
        <v>304.39100000000002</v>
      </c>
      <c r="AZ379" s="59">
        <f>SUM('Balance Sheet'!AZ25,'Balance Sheet'!AZ32)</f>
        <v>303.39800000000002</v>
      </c>
      <c r="BA379" s="59">
        <f>SUM('Balance Sheet'!BA25,'Balance Sheet'!BA32)</f>
        <v>303.745</v>
      </c>
      <c r="BB379" s="59">
        <f>SUM('Balance Sheet'!BB25,'Balance Sheet'!BB32)</f>
        <v>304</v>
      </c>
      <c r="BC379" s="59">
        <f>BB379</f>
        <v>304</v>
      </c>
      <c r="BD379" s="244"/>
      <c r="BE379" s="59">
        <f>SUM('Balance Sheet'!BE25,'Balance Sheet'!BE32)</f>
        <v>304.399</v>
      </c>
      <c r="BF379" s="59">
        <f>SUM('Balance Sheet'!BF25,'Balance Sheet'!BF32)</f>
        <v>301.96899999999999</v>
      </c>
      <c r="BG379" s="59">
        <f>SUM('Balance Sheet'!BG25,'Balance Sheet'!BG32)</f>
        <v>302.94900000000001</v>
      </c>
      <c r="BH379" s="59">
        <f>SUM('Balance Sheet'!BH25,'Balance Sheet'!BH32)</f>
        <v>298</v>
      </c>
      <c r="BI379" s="59">
        <f>BH379</f>
        <v>298</v>
      </c>
      <c r="BJ379" s="244"/>
      <c r="BK379" s="59">
        <f>SUM('Balance Sheet'!BK25,'Balance Sheet'!BK32)</f>
        <v>311</v>
      </c>
      <c r="BL379" s="59">
        <f>SUM('Balance Sheet'!BL25,'Balance Sheet'!BL32)</f>
        <v>313</v>
      </c>
      <c r="BM379" s="59">
        <f>SUM('Balance Sheet'!BM25,'Balance Sheet'!BM32)</f>
        <v>315</v>
      </c>
      <c r="BN379" s="59">
        <f>SUM('Balance Sheet'!BN25,'Balance Sheet'!BN32)</f>
        <v>328</v>
      </c>
      <c r="BO379" s="59">
        <f>BN379</f>
        <v>328</v>
      </c>
      <c r="BP379" s="244"/>
      <c r="BQ379" s="59">
        <f>SUM('Balance Sheet'!BQ25,'Balance Sheet'!BQ32)</f>
        <v>320</v>
      </c>
      <c r="BR379" s="59">
        <f>SUM('Balance Sheet'!BR25,'Balance Sheet'!BR32)</f>
        <v>321</v>
      </c>
      <c r="BS379" s="59">
        <f>SUM('Balance Sheet'!BS25,'Balance Sheet'!BS32)</f>
        <v>170</v>
      </c>
      <c r="BT379" s="59">
        <f>SUM('Balance Sheet'!BT25,'Balance Sheet'!BT32)</f>
        <v>172</v>
      </c>
      <c r="BU379" s="59">
        <f>BT379</f>
        <v>172</v>
      </c>
      <c r="BV379" s="244"/>
      <c r="BW379" s="59">
        <f>SUM('Balance Sheet'!BW25,'Balance Sheet'!BW32)</f>
        <v>172</v>
      </c>
      <c r="BX379" s="59">
        <f>SUM('Balance Sheet'!BX25,'Balance Sheet'!BX32)</f>
        <v>171</v>
      </c>
      <c r="BY379" s="59">
        <f>SUM('Balance Sheet'!BY25,'Balance Sheet'!BY32)</f>
        <v>7368</v>
      </c>
      <c r="BZ379" s="59">
        <f>SUM('Balance Sheet'!BZ25,'Balance Sheet'!BZ32)</f>
        <v>2852</v>
      </c>
      <c r="CA379" s="59">
        <f>BZ379</f>
        <v>2852</v>
      </c>
      <c r="CB379" s="244"/>
      <c r="CC379" s="59">
        <f>SUM('Balance Sheet'!CC25,'Balance Sheet'!CC32)</f>
        <v>1679</v>
      </c>
      <c r="CD379" s="59">
        <f>SUM('Balance Sheet'!CD25,'Balance Sheet'!CD32)</f>
        <v>1063</v>
      </c>
      <c r="CE379" s="59">
        <f>SUM('Balance Sheet'!CE25,'Balance Sheet'!CE32)</f>
        <v>6082</v>
      </c>
      <c r="CF379" s="59">
        <f>SUM('Balance Sheet'!CF25,'Balance Sheet'!CF32)</f>
        <v>5894</v>
      </c>
      <c r="CG379" s="168">
        <f>CF379</f>
        <v>5894</v>
      </c>
      <c r="CH379" s="244"/>
      <c r="CI379" s="59">
        <f>SUM('Balance Sheet'!CI25,'Balance Sheet'!CI32)</f>
        <v>5903</v>
      </c>
      <c r="CJ379" s="59">
        <f>SUM('Balance Sheet'!CJ25,'Balance Sheet'!CJ32)</f>
        <v>5903</v>
      </c>
      <c r="CK379" s="59">
        <f>SUM('Balance Sheet'!CK25,'Balance Sheet'!CK32)</f>
        <v>5739</v>
      </c>
      <c r="CL379" s="59">
        <f>SUM('Balance Sheet'!CL25,'Balance Sheet'!CL32)</f>
        <v>7593</v>
      </c>
      <c r="CM379" s="168">
        <f>CL379</f>
        <v>7593</v>
      </c>
      <c r="CN379" s="244"/>
      <c r="CO379" s="59">
        <f>SUM('Balance Sheet'!CO25,'Balance Sheet'!CO32)</f>
        <v>6238</v>
      </c>
      <c r="CP379" s="59">
        <f>SUM('Balance Sheet'!CP25,'Balance Sheet'!CP32)</f>
        <v>6238</v>
      </c>
      <c r="CQ379" s="59">
        <f>SUM('Balance Sheet'!CQ25,'Balance Sheet'!CQ32)</f>
        <v>6238</v>
      </c>
      <c r="CR379" s="59">
        <f>SUM('Balance Sheet'!CR25,'Balance Sheet'!CR32)</f>
        <v>11236</v>
      </c>
      <c r="CS379" s="168">
        <f>CR379</f>
        <v>11236</v>
      </c>
      <c r="CT379" s="244"/>
      <c r="CU379" s="59">
        <f>SUM('Balance Sheet'!CU25,'Balance Sheet'!CU32)</f>
        <v>11237</v>
      </c>
      <c r="CV379" s="59">
        <f>SUM('Balance Sheet'!CV25,'Balance Sheet'!CV32)</f>
        <v>11238</v>
      </c>
      <c r="CW379" s="59">
        <f>SUM('Balance Sheet'!CW25,'Balance Sheet'!CW32)</f>
        <v>11238</v>
      </c>
      <c r="CX379" s="59">
        <f>SUM('Balance Sheet'!CX25,'Balance Sheet'!CX32)</f>
        <v>10238</v>
      </c>
      <c r="CY379" s="168">
        <f>CX379</f>
        <v>10238</v>
      </c>
      <c r="CZ379" s="244"/>
      <c r="DA379" s="59">
        <f>SUM('Balance Sheet'!DA25,'Balance Sheet'!DA32)</f>
        <v>14724</v>
      </c>
      <c r="DB379" s="59">
        <f>SUM('Balance Sheet'!DB25,'Balance Sheet'!DB32)</f>
        <v>14752</v>
      </c>
      <c r="DC379" s="59">
        <f>SUM('Balance Sheet'!DC25,'Balance Sheet'!DC32)</f>
        <v>15718</v>
      </c>
      <c r="DD379" s="59">
        <f>SUM('Balance Sheet'!DD25,'Balance Sheet'!DD32)</f>
        <v>14655</v>
      </c>
      <c r="DE379" s="168">
        <f>DD379</f>
        <v>14655</v>
      </c>
      <c r="DF379" s="244"/>
      <c r="DG379" s="59">
        <f>SUM('Balance Sheet'!DG25,'Balance Sheet'!DG32)</f>
        <v>17038</v>
      </c>
      <c r="DH379" s="59">
        <f>SUM('Balance Sheet'!DH25,'Balance Sheet'!DH32)</f>
        <v>17035</v>
      </c>
      <c r="DI379" s="59">
        <f>SUM('Balance Sheet'!DI25,'Balance Sheet'!DI32)</f>
        <v>14752</v>
      </c>
      <c r="DJ379" s="59">
        <f>SUM('Balance Sheet'!DJ25,'Balance Sheet'!DJ32)</f>
        <v>15922</v>
      </c>
      <c r="DK379" s="168">
        <f>DJ379</f>
        <v>15922</v>
      </c>
      <c r="DL379" s="244"/>
      <c r="DM379" s="59">
        <f>SUM('Balance Sheet'!DM25,'Balance Sheet'!DM32)</f>
        <v>14789</v>
      </c>
      <c r="DN379" s="59">
        <f>SUM('Balance Sheet'!DN25,'Balance Sheet'!DN32)</f>
        <v>14778</v>
      </c>
      <c r="DO379" s="59">
        <f>SUM('Balance Sheet'!DO25,'Balance Sheet'!DO32)</f>
        <v>14777</v>
      </c>
      <c r="DP379" s="59">
        <f>SUM('Balance Sheet'!DP25,'Balance Sheet'!DP32)</f>
        <v>16474</v>
      </c>
      <c r="DQ379" s="168">
        <f>DP379</f>
        <v>16474</v>
      </c>
      <c r="DR379" s="244"/>
      <c r="DS379" s="59">
        <f>SUM('Balance Sheet'!DS25,'Balance Sheet'!DS32)</f>
        <v>14771</v>
      </c>
      <c r="DT379" s="59">
        <f>SUM('Balance Sheet'!DT25,'Balance Sheet'!DT32)</f>
        <v>19757</v>
      </c>
      <c r="DU379" s="59">
        <f>SUM('Balance Sheet'!DU25,'Balance Sheet'!DU32)</f>
        <v>19752</v>
      </c>
      <c r="DV379" s="59">
        <f>SUM('Balance Sheet'!DV25,'Balance Sheet'!DV32)</f>
        <v>18494</v>
      </c>
      <c r="DW379" s="168">
        <f>DV379</f>
        <v>18494</v>
      </c>
      <c r="DX379" s="244"/>
      <c r="DY379" s="59">
        <f>SUM('Balance Sheet'!DY25,'Balance Sheet'!DY32)</f>
        <v>24108</v>
      </c>
      <c r="DZ379" s="59">
        <f>SUM('Balance Sheet'!DZ25,'Balance Sheet'!DZ32)</f>
        <v>24166</v>
      </c>
      <c r="EA379" s="59">
        <f>SUM('Balance Sheet'!EA25,'Balance Sheet'!EA32)</f>
        <v>24193</v>
      </c>
      <c r="EB379" s="59">
        <f>SUM('Balance Sheet'!EB25,'Balance Sheet'!EB32)</f>
        <v>24175</v>
      </c>
      <c r="EC379" s="168">
        <f>EB379</f>
        <v>24175</v>
      </c>
      <c r="ED379" s="244"/>
      <c r="EE379" s="59">
        <f>SUM('Balance Sheet'!EE25,'Balance Sheet'!EE32)</f>
        <v>32567</v>
      </c>
      <c r="EF379" s="59">
        <f>SUM('Balance Sheet'!EF25,'Balance Sheet'!EF32)</f>
        <v>32456</v>
      </c>
      <c r="EG379" s="59">
        <f>SUM('Balance Sheet'!EG25,'Balance Sheet'!EG32)</f>
        <v>32257</v>
      </c>
      <c r="EH379" s="59">
        <f>SUM('Balance Sheet'!EH25,'Balance Sheet'!EH32)</f>
        <v>41958</v>
      </c>
      <c r="EI379" s="168">
        <f>EH379</f>
        <v>41958</v>
      </c>
      <c r="EJ379" s="244"/>
      <c r="EK379" s="59">
        <f>SUM('Balance Sheet'!EK25,'Balance Sheet'!EK32)</f>
        <v>42050</v>
      </c>
      <c r="EL379" s="59">
        <f>SUM('Balance Sheet'!EL25,'Balance Sheet'!EL32)</f>
        <v>41940</v>
      </c>
      <c r="EM379" s="59">
        <f>SUM('Balance Sheet'!EM25,'Balance Sheet'!EM32)</f>
        <v>40106</v>
      </c>
      <c r="EN379" s="59">
        <f>SUM('Balance Sheet'!EN25,'Balance Sheet'!EN32)</f>
        <v>43855</v>
      </c>
      <c r="EO379" s="168">
        <f>EN379</f>
        <v>43855</v>
      </c>
      <c r="EP379" s="244"/>
      <c r="EQ379" s="59">
        <f>SUM('Balance Sheet'!EQ25,'Balance Sheet'!EQ32)</f>
        <v>54056</v>
      </c>
      <c r="ER379" s="59">
        <f>SUM('Balance Sheet'!ER25,'Balance Sheet'!ER32)</f>
        <v>54327</v>
      </c>
      <c r="ES379" s="59">
        <f>SUM('Balance Sheet'!ES25,'Balance Sheet'!ES32)</f>
        <v>53967</v>
      </c>
      <c r="ET379" s="59">
        <f>SUM('Balance Sheet'!ET25,'Balance Sheet'!ET32)</f>
        <v>57909</v>
      </c>
      <c r="EU379" s="168">
        <f>ET379</f>
        <v>57909</v>
      </c>
      <c r="EV379" s="244"/>
      <c r="EW379" s="59">
        <f>SUM('Balance Sheet'!EW25,'Balance Sheet'!EW32)</f>
        <v>53291</v>
      </c>
      <c r="EX379" s="59">
        <f>SUM('Balance Sheet'!EX25,'Balance Sheet'!EX32)</f>
        <v>60669</v>
      </c>
      <c r="EY379" s="59">
        <f>SUM('Balance Sheet'!EY25,'Balance Sheet'!EY32)</f>
        <v>60715</v>
      </c>
      <c r="EZ379" s="59">
        <f>SUM('Balance Sheet'!EZ25,'Balance Sheet'!EZ32)</f>
        <v>60730</v>
      </c>
      <c r="FA379" s="168">
        <f>EZ379</f>
        <v>60730</v>
      </c>
      <c r="FB379" s="244"/>
      <c r="FC379" s="59">
        <f>SUM('Balance Sheet'!FC25,'Balance Sheet'!FC32)</f>
        <v>58230</v>
      </c>
      <c r="FD379" s="59">
        <f>SUM('Balance Sheet'!FD25,'Balance Sheet'!FD32)</f>
        <v>58230</v>
      </c>
      <c r="FE379" s="59">
        <f>SUM('Balance Sheet'!FE25,'Balance Sheet'!FE32)</f>
        <v>58230</v>
      </c>
      <c r="FF379" s="59">
        <f>SUM('Balance Sheet'!FF25,'Balance Sheet'!FF32)</f>
        <v>56230</v>
      </c>
      <c r="FG379" s="168">
        <f>FF379</f>
        <v>56230</v>
      </c>
      <c r="FH379" s="244"/>
      <c r="FI379" s="59">
        <f>SUM('Balance Sheet'!FI25,'Balance Sheet'!FI32)</f>
        <v>56230</v>
      </c>
      <c r="FJ379" s="59">
        <f>SUM('Balance Sheet'!FJ25,'Balance Sheet'!FJ32)</f>
        <v>53730</v>
      </c>
      <c r="FK379" s="59">
        <f>SUM('Balance Sheet'!FK25,'Balance Sheet'!FK32)</f>
        <v>51730</v>
      </c>
      <c r="FL379" s="59">
        <f>SUM('Balance Sheet'!FL25,'Balance Sheet'!FL32)</f>
        <v>51730</v>
      </c>
      <c r="FM379" s="168">
        <f>FL379</f>
        <v>51730</v>
      </c>
      <c r="FN379" s="27"/>
      <c r="FO379" s="27"/>
      <c r="FP379" s="27"/>
      <c r="FQ379" s="27"/>
      <c r="FR379" s="27"/>
      <c r="FS379" s="27"/>
      <c r="FT379" s="27"/>
      <c r="FU379" s="27"/>
      <c r="FV379" s="27"/>
      <c r="FW379" s="27"/>
      <c r="FX379" s="27"/>
      <c r="FY379" s="27"/>
      <c r="FZ379" s="27"/>
      <c r="GA379" s="27"/>
      <c r="GB379" s="27"/>
      <c r="GC379" s="27"/>
      <c r="GD379" s="27"/>
      <c r="GE379" s="27"/>
      <c r="GF379" s="27"/>
      <c r="GG379" s="27"/>
      <c r="GH379" s="27"/>
      <c r="GI379"/>
      <c r="GJ379"/>
      <c r="GK379"/>
      <c r="GL379"/>
      <c r="GM379"/>
      <c r="GN379"/>
      <c r="GO379" s="27"/>
      <c r="GP379"/>
      <c r="GQ379"/>
      <c r="GR379"/>
      <c r="GS379"/>
      <c r="GT379"/>
      <c r="GU379"/>
      <c r="GV379"/>
      <c r="GW379"/>
      <c r="GX379"/>
      <c r="GY379"/>
      <c r="GZ379"/>
      <c r="HA379"/>
      <c r="HB379"/>
      <c r="HC379"/>
      <c r="HD379"/>
      <c r="HE379"/>
      <c r="HF379"/>
      <c r="HG379"/>
      <c r="HH379"/>
      <c r="HI379"/>
      <c r="HJ379"/>
      <c r="HK379"/>
      <c r="HL379"/>
      <c r="HM379"/>
      <c r="HN379"/>
      <c r="HO379"/>
      <c r="HP379"/>
      <c r="HQ379"/>
      <c r="HR379"/>
      <c r="HS379"/>
      <c r="HT379"/>
      <c r="HU379"/>
      <c r="HV379"/>
      <c r="HW379"/>
      <c r="HX379"/>
      <c r="HY379"/>
      <c r="HZ379"/>
      <c r="IA379"/>
      <c r="IB379"/>
      <c r="IC379"/>
      <c r="ID379"/>
      <c r="IE379"/>
      <c r="IF379"/>
      <c r="IG379"/>
      <c r="IH379"/>
      <c r="II379"/>
      <c r="IJ379"/>
      <c r="IK379"/>
      <c r="IL379"/>
      <c r="IM379"/>
      <c r="IN379"/>
      <c r="IO379"/>
      <c r="IP379"/>
      <c r="IQ379"/>
      <c r="IR379"/>
      <c r="IS379"/>
      <c r="IT379"/>
      <c r="IU379"/>
      <c r="IV379"/>
      <c r="IW379"/>
      <c r="IX379"/>
      <c r="IY379"/>
      <c r="IZ379"/>
      <c r="JA379"/>
      <c r="JB379"/>
      <c r="JC379"/>
      <c r="JD379"/>
      <c r="JE379"/>
      <c r="JF379"/>
      <c r="JG379"/>
      <c r="JH379"/>
      <c r="JI379"/>
      <c r="JJ379"/>
      <c r="JK379"/>
      <c r="JL379"/>
      <c r="JM379"/>
      <c r="JN379"/>
      <c r="JO379"/>
      <c r="JP379"/>
      <c r="JQ379"/>
      <c r="JR379"/>
      <c r="JS379"/>
      <c r="JT379"/>
      <c r="JU379"/>
    </row>
    <row r="380" spans="1:281" s="24" customFormat="1" hidden="1" outlineLevel="1" x14ac:dyDescent="0.2">
      <c r="A380" s="244" t="s">
        <v>1046</v>
      </c>
      <c r="B380" s="954" t="s">
        <v>737</v>
      </c>
      <c r="C380" s="59" t="str">
        <f>'Balance Sheet'!C33</f>
        <v>-</v>
      </c>
      <c r="D380" s="59">
        <f>'Balance Sheet'!D40</f>
        <v>7.367</v>
      </c>
      <c r="E380" s="59">
        <f>'Balance Sheet'!E40</f>
        <v>28.651</v>
      </c>
      <c r="F380" s="59">
        <f>'Balance Sheet'!F40</f>
        <v>82.655999999999992</v>
      </c>
      <c r="G380" s="59">
        <f>'Balance Sheet'!G40</f>
        <v>134.643</v>
      </c>
      <c r="H380" s="59">
        <f>'Balance Sheet'!H40</f>
        <v>230.55399999999997</v>
      </c>
      <c r="I380" s="59">
        <f>'Balance Sheet'!I40</f>
        <v>387.58500000000004</v>
      </c>
      <c r="J380" s="59">
        <f>'Balance Sheet'!J40</f>
        <v>344.685</v>
      </c>
      <c r="K380" s="59">
        <f>'Balance Sheet'!K40</f>
        <v>435.03399999999999</v>
      </c>
      <c r="L380" s="59">
        <f>'Balance Sheet'!L40</f>
        <v>528.03899999999999</v>
      </c>
      <c r="M380" s="59">
        <f>'Balance Sheet'!M40</f>
        <v>740.55300000000011</v>
      </c>
      <c r="N380" s="244"/>
      <c r="O380" s="59">
        <f>'Balance Sheet'!O40</f>
        <v>780.06100000000004</v>
      </c>
      <c r="P380" s="59">
        <f>'Balance Sheet'!P40</f>
        <v>822.72699999999998</v>
      </c>
      <c r="Q380" s="59">
        <f>'Balance Sheet'!Q40</f>
        <v>943.01900000000001</v>
      </c>
      <c r="R380" s="59">
        <f>'Balance Sheet'!R40</f>
        <v>1211.3579999999999</v>
      </c>
      <c r="S380" s="59">
        <f t="shared" si="258"/>
        <v>1211.3579999999999</v>
      </c>
      <c r="T380" s="244"/>
      <c r="U380" s="59">
        <f>'Balance Sheet'!U40</f>
        <v>1305.902</v>
      </c>
      <c r="V380" s="59">
        <f>'Balance Sheet'!V40</f>
        <v>1461.6959999999999</v>
      </c>
      <c r="W380" s="59">
        <f>'Balance Sheet'!W40</f>
        <v>1591.153</v>
      </c>
      <c r="X380" s="59">
        <f>'Balance Sheet'!X40</f>
        <v>1870.4490000000001</v>
      </c>
      <c r="Y380" s="59">
        <f t="shared" si="259"/>
        <v>1870.4490000000001</v>
      </c>
      <c r="Z380" s="244"/>
      <c r="AA380" s="59">
        <f>'Balance Sheet'!AA40</f>
        <v>1995.8530000000001</v>
      </c>
      <c r="AB380" s="59">
        <f>'Balance Sheet'!AB40</f>
        <v>2135.9360000000001</v>
      </c>
      <c r="AC380" s="59">
        <f>'Balance Sheet'!AC40</f>
        <v>2067.8969999999999</v>
      </c>
      <c r="AD380" s="59">
        <f>'Balance Sheet'!AD40</f>
        <v>2368.8220000000001</v>
      </c>
      <c r="AE380" s="59">
        <f t="shared" si="260"/>
        <v>2368.8220000000001</v>
      </c>
      <c r="AF380" s="244"/>
      <c r="AG380" s="59">
        <f>'Balance Sheet'!AG40</f>
        <v>2445.2919999999999</v>
      </c>
      <c r="AH380" s="59">
        <f>'Balance Sheet'!AH40</f>
        <v>2668.5749999999998</v>
      </c>
      <c r="AI380" s="59">
        <f>'Balance Sheet'!AI40</f>
        <v>2577.0340000000001</v>
      </c>
      <c r="AJ380" s="59">
        <f>'Balance Sheet'!AJ40</f>
        <v>2957.558</v>
      </c>
      <c r="AK380" s="59">
        <f t="shared" si="261"/>
        <v>2957.558</v>
      </c>
      <c r="AL380" s="244"/>
      <c r="AM380" s="59">
        <f>'Balance Sheet'!AM40</f>
        <v>3081.1990000000001</v>
      </c>
      <c r="AN380" s="59">
        <f>'Balance Sheet'!AN40</f>
        <v>3015.31</v>
      </c>
      <c r="AO380" s="59">
        <f>'Balance Sheet'!AO40</f>
        <v>3341.6489999999999</v>
      </c>
      <c r="AP380" s="59">
        <f>'Balance Sheet'!AP40</f>
        <v>3695.2669999999998</v>
      </c>
      <c r="AQ380" s="59">
        <f t="shared" si="262"/>
        <v>3695.2669999999998</v>
      </c>
      <c r="AR380" s="244"/>
      <c r="AS380" s="59">
        <f>'Balance Sheet'!AS40</f>
        <v>3500.4749999999999</v>
      </c>
      <c r="AT380" s="59">
        <f>'Balance Sheet'!AT40</f>
        <v>3400.556</v>
      </c>
      <c r="AU380" s="59">
        <f>'Balance Sheet'!AU40</f>
        <v>3984.288</v>
      </c>
      <c r="AV380" s="59">
        <f>'Balance Sheet'!AV40</f>
        <v>6457</v>
      </c>
      <c r="AW380" s="59">
        <f t="shared" si="263"/>
        <v>6457</v>
      </c>
      <c r="AX380" s="244"/>
      <c r="AY380" s="59">
        <f>'Balance Sheet'!AY40</f>
        <v>5370.8980000000001</v>
      </c>
      <c r="AZ380" s="59">
        <f>'Balance Sheet'!AZ40</f>
        <v>4926.4629999999997</v>
      </c>
      <c r="BA380" s="59">
        <f>'Balance Sheet'!BA40</f>
        <v>5324.0720000000001</v>
      </c>
      <c r="BB380" s="59">
        <f>'Balance Sheet'!BB40</f>
        <v>6276.55</v>
      </c>
      <c r="BC380" s="59">
        <f t="shared" si="264"/>
        <v>6276.55</v>
      </c>
      <c r="BD380" s="244"/>
      <c r="BE380" s="59">
        <f>'Balance Sheet'!BE40</f>
        <v>6219.3230000000003</v>
      </c>
      <c r="BF380" s="59">
        <f>'Balance Sheet'!BF40</f>
        <v>5705.1319999999996</v>
      </c>
      <c r="BG380" s="59">
        <f>'Balance Sheet'!BG40</f>
        <v>5989.7009999999991</v>
      </c>
      <c r="BH380" s="59">
        <f>'Balance Sheet'!BH40</f>
        <v>6117</v>
      </c>
      <c r="BI380" s="59">
        <f t="shared" si="265"/>
        <v>6117</v>
      </c>
      <c r="BJ380" s="244"/>
      <c r="BK380" s="59">
        <f>'Balance Sheet'!BK40</f>
        <v>5735</v>
      </c>
      <c r="BL380" s="59">
        <f>'Balance Sheet'!BL40</f>
        <v>5298</v>
      </c>
      <c r="BM380" s="59">
        <f>'Balance Sheet'!BM40</f>
        <v>5584</v>
      </c>
      <c r="BN380" s="59">
        <f>'Balance Sheet'!BN40</f>
        <v>6320</v>
      </c>
      <c r="BO380" s="59">
        <f t="shared" si="266"/>
        <v>6320</v>
      </c>
      <c r="BP380" s="244"/>
      <c r="BQ380" s="59">
        <f>'Balance Sheet'!BQ40</f>
        <v>6502</v>
      </c>
      <c r="BR380" s="59">
        <f>'Balance Sheet'!BR40</f>
        <v>7199</v>
      </c>
      <c r="BS380" s="59">
        <f>'Balance Sheet'!BS40</f>
        <v>7406</v>
      </c>
      <c r="BT380" s="59">
        <f>'Balance Sheet'!BT40</f>
        <v>7995</v>
      </c>
      <c r="BU380" s="59">
        <f t="shared" si="267"/>
        <v>7995</v>
      </c>
      <c r="BV380" s="244"/>
      <c r="BW380" s="59">
        <f>'Balance Sheet'!BW40</f>
        <v>8016</v>
      </c>
      <c r="BX380" s="59">
        <f>'Balance Sheet'!BX40</f>
        <v>8599</v>
      </c>
      <c r="BY380" s="59">
        <f>'Balance Sheet'!BY40</f>
        <v>9870</v>
      </c>
      <c r="BZ380" s="59">
        <f>'Balance Sheet'!BZ40</f>
        <v>10837</v>
      </c>
      <c r="CA380" s="59">
        <f t="shared" si="268"/>
        <v>10837</v>
      </c>
      <c r="CB380" s="244"/>
      <c r="CC380" s="59">
        <f>'Balance Sheet'!CC40</f>
        <v>11331</v>
      </c>
      <c r="CD380" s="59">
        <f>'Balance Sheet'!CD40</f>
        <v>12115</v>
      </c>
      <c r="CE380" s="59">
        <f>'Balance Sheet'!CE40</f>
        <v>15043</v>
      </c>
      <c r="CF380" s="59">
        <f>'Balance Sheet'!CF40</f>
        <v>15012</v>
      </c>
      <c r="CG380" s="168">
        <f t="shared" si="269"/>
        <v>15012</v>
      </c>
      <c r="CH380" s="244"/>
      <c r="CI380" s="59">
        <f>'Balance Sheet'!CI40</f>
        <v>14899</v>
      </c>
      <c r="CJ380" s="59">
        <f>'Balance Sheet'!CJ40</f>
        <v>15514</v>
      </c>
      <c r="CK380" s="59">
        <f>'Balance Sheet'!CK40</f>
        <v>15791</v>
      </c>
      <c r="CL380" s="59">
        <f>'Balance Sheet'!CL40</f>
        <v>16919</v>
      </c>
      <c r="CM380" s="168">
        <f t="shared" si="270"/>
        <v>16919</v>
      </c>
      <c r="CN380" s="244"/>
      <c r="CO380" s="59">
        <f>'Balance Sheet'!CO40</f>
        <v>17785</v>
      </c>
      <c r="CP380" s="59">
        <f>'Balance Sheet'!CP40</f>
        <v>19295</v>
      </c>
      <c r="CQ380" s="59">
        <f>'Balance Sheet'!CQ40</f>
        <v>20815</v>
      </c>
      <c r="CR380" s="59">
        <f>'Balance Sheet'!CR40</f>
        <v>23025</v>
      </c>
      <c r="CS380" s="168">
        <f t="shared" si="271"/>
        <v>23025</v>
      </c>
      <c r="CT380" s="244"/>
      <c r="CU380" s="59">
        <f>'Balance Sheet'!CU40</f>
        <v>23816</v>
      </c>
      <c r="CV380" s="59">
        <f>'Balance Sheet'!CV40</f>
        <v>22821</v>
      </c>
      <c r="CW380" s="59">
        <f>'Balance Sheet'!CW40</f>
        <v>23077</v>
      </c>
      <c r="CX380" s="59">
        <f>'Balance Sheet'!CX40</f>
        <v>25090</v>
      </c>
      <c r="CY380" s="168">
        <f t="shared" si="272"/>
        <v>25090</v>
      </c>
      <c r="CZ380" s="244"/>
      <c r="DA380" s="59">
        <f>'Balance Sheet'!DA40</f>
        <v>26143</v>
      </c>
      <c r="DB380" s="59">
        <f>'Balance Sheet'!DB40</f>
        <v>27531</v>
      </c>
      <c r="DC380" s="59">
        <f>'Balance Sheet'!DC40</f>
        <v>28476</v>
      </c>
      <c r="DD380" s="59">
        <f>'Balance Sheet'!DD40</f>
        <v>30798</v>
      </c>
      <c r="DE380" s="168">
        <f t="shared" si="273"/>
        <v>30798</v>
      </c>
      <c r="DF380" s="244"/>
      <c r="DG380" s="59">
        <f>'Balance Sheet'!DG40</f>
        <v>32106</v>
      </c>
      <c r="DH380" s="59">
        <f>'Balance Sheet'!DH40</f>
        <v>34412</v>
      </c>
      <c r="DI380" s="59">
        <f>'Balance Sheet'!DI40</f>
        <v>36617</v>
      </c>
      <c r="DJ380" s="59">
        <f>'Balance Sheet'!DJ40</f>
        <v>39776</v>
      </c>
      <c r="DK380" s="168">
        <f>DJ380</f>
        <v>39776</v>
      </c>
      <c r="DL380" s="244"/>
      <c r="DM380" s="59">
        <f>'Balance Sheet'!DM40</f>
        <v>40892</v>
      </c>
      <c r="DN380" s="59">
        <f>'Balance Sheet'!DN40</f>
        <v>41920</v>
      </c>
      <c r="DO380" s="59">
        <f>'Balance Sheet'!DO40</f>
        <v>42873</v>
      </c>
      <c r="DP380" s="59">
        <f>'Balance Sheet'!DP40</f>
        <v>43694</v>
      </c>
      <c r="DQ380" s="168">
        <f>DP380</f>
        <v>43694</v>
      </c>
      <c r="DR380" s="244"/>
      <c r="DS380" s="59">
        <f>'Balance Sheet'!DS40</f>
        <v>43329</v>
      </c>
      <c r="DT380" s="59">
        <f>'Balance Sheet'!DT40</f>
        <v>42983</v>
      </c>
      <c r="DU380" s="59">
        <f>'Balance Sheet'!DU40</f>
        <v>43348</v>
      </c>
      <c r="DV380" s="59">
        <f>'Balance Sheet'!DV40</f>
        <v>44648</v>
      </c>
      <c r="DW380" s="168">
        <f>DV380</f>
        <v>44648</v>
      </c>
      <c r="DX380" s="244"/>
      <c r="DY380" s="59">
        <f>'Balance Sheet'!DY40</f>
        <v>43541</v>
      </c>
      <c r="DZ380" s="59">
        <f>'Balance Sheet'!DZ40</f>
        <v>43563</v>
      </c>
      <c r="EA380" s="59">
        <f>'Balance Sheet'!EA40</f>
        <v>44707</v>
      </c>
      <c r="EB380" s="59">
        <f>'Balance Sheet'!EB40</f>
        <v>46878</v>
      </c>
      <c r="EC380" s="168">
        <f>EB380</f>
        <v>46878</v>
      </c>
      <c r="ED380" s="244"/>
      <c r="EE380" s="59">
        <f>'Balance Sheet'!EE40</f>
        <v>47354</v>
      </c>
      <c r="EF380" s="59">
        <f>'Balance Sheet'!EF40</f>
        <v>47543</v>
      </c>
      <c r="EG380" s="59">
        <f>'Balance Sheet'!EG40</f>
        <v>48095</v>
      </c>
      <c r="EH380" s="59">
        <f>'Balance Sheet'!EH40</f>
        <v>48663</v>
      </c>
      <c r="EI380" s="168">
        <f>EH380</f>
        <v>48663</v>
      </c>
      <c r="EJ380" s="244"/>
      <c r="EK380" s="59">
        <f>'Balance Sheet'!EK40</f>
        <v>47097</v>
      </c>
      <c r="EL380" s="59">
        <f>'Balance Sheet'!EL40</f>
        <v>45924</v>
      </c>
      <c r="EM380" s="59">
        <f>'Balance Sheet'!EM40</f>
        <v>45870</v>
      </c>
      <c r="EN380" s="59">
        <f>'Balance Sheet'!EN40</f>
        <v>47289</v>
      </c>
      <c r="EO380" s="168">
        <f>EN380</f>
        <v>47289</v>
      </c>
      <c r="EP380" s="244"/>
      <c r="EQ380" s="59">
        <f>'Balance Sheet'!EQ40</f>
        <v>47435</v>
      </c>
      <c r="ER380" s="59">
        <f>'Balance Sheet'!ER40</f>
        <v>48462</v>
      </c>
      <c r="ES380" s="59">
        <f>'Balance Sheet'!ES40</f>
        <v>50615</v>
      </c>
      <c r="ET380" s="59">
        <f>'Balance Sheet'!ET40</f>
        <v>53860</v>
      </c>
      <c r="EU380" s="168">
        <f>ET380</f>
        <v>53860</v>
      </c>
      <c r="EV380" s="244"/>
      <c r="EW380" s="59">
        <f>'Balance Sheet'!EW40</f>
        <v>55959</v>
      </c>
      <c r="EX380" s="59">
        <f>'Balance Sheet'!EX40</f>
        <v>55868</v>
      </c>
      <c r="EY380" s="59">
        <f>'Balance Sheet'!EY40</f>
        <v>47840</v>
      </c>
      <c r="EZ380" s="59">
        <f>'Balance Sheet'!EZ40</f>
        <v>47629.482143270929</v>
      </c>
      <c r="FA380" s="168">
        <f>EZ380</f>
        <v>47629.482143270929</v>
      </c>
      <c r="FB380" s="244"/>
      <c r="FC380" s="59">
        <f>'Balance Sheet'!FC40</f>
        <v>48261.106556599872</v>
      </c>
      <c r="FD380" s="59">
        <f>'Balance Sheet'!FD40</f>
        <v>49226.737192856221</v>
      </c>
      <c r="FE380" s="59">
        <f>'Balance Sheet'!FE40</f>
        <v>50264.042038576445</v>
      </c>
      <c r="FF380" s="59">
        <f>'Balance Sheet'!FF40</f>
        <v>51955.390558225015</v>
      </c>
      <c r="FG380" s="168">
        <f>FF380</f>
        <v>51955.390558225015</v>
      </c>
      <c r="FH380" s="244"/>
      <c r="FI380" s="59">
        <f>'Balance Sheet'!FI40</f>
        <v>53047.344422445633</v>
      </c>
      <c r="FJ380" s="59">
        <f>'Balance Sheet'!FJ40</f>
        <v>54462.064837735132</v>
      </c>
      <c r="FK380" s="59">
        <f>'Balance Sheet'!FK40</f>
        <v>55923.668625392544</v>
      </c>
      <c r="FL380" s="59">
        <f>'Balance Sheet'!FL40</f>
        <v>57940.312000200822</v>
      </c>
      <c r="FM380" s="168">
        <f>FL380</f>
        <v>57940.312000200822</v>
      </c>
      <c r="FN380" s="27"/>
      <c r="FO380" s="27"/>
      <c r="FP380" s="27"/>
      <c r="FQ380" s="27"/>
      <c r="FR380" s="27"/>
      <c r="FS380" s="27"/>
      <c r="FT380" s="27"/>
      <c r="FU380" s="27"/>
      <c r="FV380" s="27"/>
      <c r="FW380" s="27"/>
      <c r="FX380" s="27"/>
      <c r="FY380" s="27"/>
      <c r="FZ380" s="27"/>
      <c r="GA380" s="27"/>
      <c r="GB380" s="27"/>
      <c r="GC380" s="27"/>
      <c r="GD380" s="27"/>
      <c r="GE380" s="27"/>
      <c r="GF380" s="27"/>
      <c r="GG380" s="27"/>
      <c r="GH380" s="27"/>
      <c r="GI380"/>
      <c r="GJ380"/>
      <c r="GK380"/>
      <c r="GL380"/>
      <c r="GM380"/>
      <c r="GN380"/>
      <c r="GO380" s="27"/>
      <c r="GP380"/>
      <c r="GQ380"/>
      <c r="GR380"/>
      <c r="GS380"/>
      <c r="GT380"/>
      <c r="GU380"/>
      <c r="GV380"/>
      <c r="GW380"/>
      <c r="GX380"/>
      <c r="GY380"/>
      <c r="GZ380"/>
      <c r="HA380"/>
      <c r="HB380"/>
      <c r="HC380"/>
      <c r="HD380"/>
      <c r="HE380"/>
      <c r="HF380"/>
      <c r="HG380"/>
      <c r="HH380"/>
      <c r="HI380"/>
      <c r="HJ380"/>
      <c r="HK380"/>
      <c r="HL380"/>
      <c r="HM380"/>
      <c r="HN380"/>
      <c r="HO380"/>
      <c r="HP380"/>
      <c r="HQ380"/>
      <c r="HR380"/>
      <c r="HS380"/>
      <c r="HT380"/>
      <c r="HU380"/>
      <c r="HV380"/>
      <c r="HW380"/>
      <c r="HX380"/>
      <c r="HY380"/>
      <c r="HZ380"/>
      <c r="IA380"/>
      <c r="IB380"/>
      <c r="IC380"/>
      <c r="ID380"/>
      <c r="IE380"/>
      <c r="IF380"/>
      <c r="IG380"/>
      <c r="IH380"/>
      <c r="II380"/>
      <c r="IJ380"/>
      <c r="IK380"/>
      <c r="IL380"/>
      <c r="IM380"/>
      <c r="IN380"/>
      <c r="IO380"/>
      <c r="IP380"/>
      <c r="IQ380"/>
      <c r="IR380"/>
      <c r="IS380"/>
      <c r="IT380"/>
      <c r="IU380"/>
      <c r="IV380"/>
      <c r="IW380"/>
      <c r="IX380"/>
      <c r="IY380"/>
      <c r="IZ380"/>
      <c r="JA380"/>
      <c r="JB380"/>
      <c r="JC380"/>
      <c r="JD380"/>
      <c r="JE380"/>
      <c r="JF380"/>
      <c r="JG380"/>
      <c r="JH380"/>
      <c r="JI380"/>
      <c r="JJ380"/>
      <c r="JK380"/>
      <c r="JL380"/>
      <c r="JM380"/>
      <c r="JN380"/>
      <c r="JO380"/>
      <c r="JP380"/>
      <c r="JQ380"/>
      <c r="JR380"/>
      <c r="JS380"/>
      <c r="JT380"/>
      <c r="JU380"/>
    </row>
    <row r="381" spans="1:281" s="24" customFormat="1" hidden="1" outlineLevel="1" x14ac:dyDescent="0.2">
      <c r="A381" s="244" t="s">
        <v>738</v>
      </c>
      <c r="B381" s="954" t="s">
        <v>739</v>
      </c>
      <c r="C381" s="59"/>
      <c r="D381" s="59"/>
      <c r="E381" s="59"/>
      <c r="F381" s="59"/>
      <c r="G381" s="59"/>
      <c r="H381" s="59"/>
      <c r="I381" s="59"/>
      <c r="J381" s="59"/>
      <c r="K381" s="59"/>
      <c r="L381" s="59"/>
      <c r="M381" s="59"/>
      <c r="N381" s="244"/>
      <c r="O381" s="59"/>
      <c r="P381" s="59"/>
      <c r="Q381" s="59"/>
      <c r="R381" s="59"/>
      <c r="S381" s="59"/>
      <c r="T381" s="244"/>
      <c r="U381" s="59"/>
      <c r="V381" s="59"/>
      <c r="W381" s="59"/>
      <c r="X381" s="59"/>
      <c r="Y381" s="59"/>
      <c r="Z381" s="244"/>
      <c r="AA381" s="59">
        <f>Metrics!AA412</f>
        <v>0.1640643834645111</v>
      </c>
      <c r="AB381" s="59">
        <f>Metrics!AB412</f>
        <v>0.1442757708335799</v>
      </c>
      <c r="AC381" s="59">
        <f>Metrics!AC412</f>
        <v>0.12248851811468978</v>
      </c>
      <c r="AD381" s="59">
        <f>Metrics!AD412</f>
        <v>0.15164016985087189</v>
      </c>
      <c r="AE381" s="59">
        <f>Metrics!AE412</f>
        <v>0.15065862805225433</v>
      </c>
      <c r="AF381" s="244"/>
      <c r="AG381" s="59">
        <f>Metrics!AG412</f>
        <v>0.19669815602103885</v>
      </c>
      <c r="AH381" s="59">
        <f>Metrics!AH412</f>
        <v>0.1999212406888515</v>
      </c>
      <c r="AI381" s="59">
        <f>Metrics!AI412</f>
        <v>0.20375629763987246</v>
      </c>
      <c r="AJ381" s="59">
        <f>Metrics!AJ412</f>
        <v>0.27119498553727062</v>
      </c>
      <c r="AK381" s="59">
        <f>Metrics!AK412</f>
        <v>0.26921761177069964</v>
      </c>
      <c r="AL381" s="244"/>
      <c r="AM381" s="59">
        <f>Metrics!AM412</f>
        <v>0.33660112547924192</v>
      </c>
      <c r="AN381" s="59">
        <f>Metrics!AN412</f>
        <v>0.27185920449113671</v>
      </c>
      <c r="AO381" s="59">
        <f>Metrics!AO412</f>
        <v>0.31507391366274345</v>
      </c>
      <c r="AP381" s="59">
        <f>Metrics!AP412</f>
        <v>0.38080157323026775</v>
      </c>
      <c r="AQ381" s="59">
        <f>Metrics!AQ412</f>
        <v>0.38043837198833702</v>
      </c>
      <c r="AR381" s="244"/>
      <c r="AS381" s="59">
        <f>Metrics!AS412</f>
        <v>0.4058713412879954</v>
      </c>
      <c r="AT381" s="59">
        <f>Metrics!AT412</f>
        <v>0.30487542826730529</v>
      </c>
      <c r="AU381" s="59">
        <f>Metrics!AU412</f>
        <v>0.41071943763385166</v>
      </c>
      <c r="AV381" s="59">
        <f>Metrics!AV412</f>
        <v>1.2418872115317097</v>
      </c>
      <c r="AW381" s="59">
        <f>Metrics!AW412</f>
        <v>1.2447339339495607</v>
      </c>
      <c r="AX381" s="244"/>
      <c r="AY381" s="59">
        <f>Metrics!AY412</f>
        <v>0.8026201484273211</v>
      </c>
      <c r="AZ381" s="59">
        <f>Metrics!AZ412</f>
        <v>0.69027608061090173</v>
      </c>
      <c r="BA381" s="59">
        <f>Metrics!BA412</f>
        <v>0.80055382252215013</v>
      </c>
      <c r="BB381" s="59">
        <f>Metrics!BB412</f>
        <v>0.96309813463098137</v>
      </c>
      <c r="BC381" s="59">
        <f>Metrics!BC412</f>
        <v>0.9524612538301569</v>
      </c>
      <c r="BD381" s="244"/>
      <c r="BE381" s="59">
        <f>Metrics!BE412</f>
        <v>0.99490295881329127</v>
      </c>
      <c r="BF381" s="59">
        <f>Metrics!BF412</f>
        <v>0.81792688022528659</v>
      </c>
      <c r="BG381" s="59">
        <f>Metrics!BG412</f>
        <v>0.9366327685050837</v>
      </c>
      <c r="BH381" s="59">
        <f>Metrics!BH412</f>
        <v>0.98794679951934061</v>
      </c>
      <c r="BI381" s="59">
        <f>Metrics!BI412</f>
        <v>0.97434328945888171</v>
      </c>
      <c r="BJ381" s="244"/>
      <c r="BK381" s="59">
        <f>Metrics!BK412</f>
        <v>1.1075249320036264</v>
      </c>
      <c r="BL381" s="59">
        <f>Metrics!BL412</f>
        <v>0.95350553505535052</v>
      </c>
      <c r="BM381" s="59">
        <f>Metrics!BM412</f>
        <v>1.0919561582760542</v>
      </c>
      <c r="BN381" s="59">
        <f>Metrics!BN412</f>
        <v>1.1844660194174756</v>
      </c>
      <c r="BO381" s="59">
        <f>Metrics!BO412</f>
        <v>1.1709117755629384</v>
      </c>
      <c r="BP381" s="244"/>
      <c r="BQ381" s="59">
        <f>Metrics!BQ412</f>
        <v>1.3532822143257901</v>
      </c>
      <c r="BR381" s="59">
        <f>Metrics!BR412</f>
        <v>1.4811691961776279</v>
      </c>
      <c r="BS381" s="59">
        <f>Metrics!BS412</f>
        <v>1.4704890387858347</v>
      </c>
      <c r="BT381" s="59">
        <f>Metrics!BT412</f>
        <v>1.594548551959114</v>
      </c>
      <c r="BU381" s="59">
        <f>Metrics!BU412</f>
        <v>1.5816748028539243</v>
      </c>
      <c r="BV381" s="244"/>
      <c r="BW381" s="59">
        <f>Metrics!BW412</f>
        <v>1.7710752909750049</v>
      </c>
      <c r="BX381" s="59">
        <f>Metrics!BX412</f>
        <v>1.7773093139133769</v>
      </c>
      <c r="BY381" s="59">
        <f>Metrics!BY412</f>
        <v>1.7156787762906309</v>
      </c>
      <c r="BZ381" s="59">
        <f>Metrics!BZ412</f>
        <v>0.8811616354604509</v>
      </c>
      <c r="CA381" s="59">
        <f>Metrics!CA412</f>
        <v>0.88170912393060263</v>
      </c>
      <c r="CB381" s="244"/>
      <c r="CC381" s="59">
        <f>Metrics!CC412</f>
        <v>0.85335621662852779</v>
      </c>
      <c r="CD381" s="59">
        <f>Metrics!CD412</f>
        <v>0.61989308896525397</v>
      </c>
      <c r="CE381" s="59">
        <f>Metrics!CE412</f>
        <v>0.38141025641025639</v>
      </c>
      <c r="CF381" s="59">
        <f>Metrics!CF412</f>
        <v>0.34803647868974502</v>
      </c>
      <c r="CG381" s="168">
        <f>Metrics!CG412</f>
        <v>0.35351387116593413</v>
      </c>
      <c r="CH381" s="244"/>
      <c r="CI381" s="59">
        <f>Metrics!CI412</f>
        <v>0.48257019031467874</v>
      </c>
      <c r="CJ381" s="59">
        <f>Metrics!CJ412</f>
        <v>0.39411653780878747</v>
      </c>
      <c r="CK381" s="59">
        <f>Metrics!CK412</f>
        <v>0.13473964272139871</v>
      </c>
      <c r="CL381" s="59">
        <f>Metrics!CL412</f>
        <v>0.15026799387442571</v>
      </c>
      <c r="CM381" s="168">
        <f>Metrics!CM412</f>
        <v>0.14884338263177854</v>
      </c>
      <c r="CN381" s="244"/>
      <c r="CO381" s="59">
        <f>Metrics!CO412</f>
        <v>0.28869731800766285</v>
      </c>
      <c r="CP381" s="59">
        <f>Metrics!CP412</f>
        <v>0.41964456334798395</v>
      </c>
      <c r="CQ381" s="59">
        <f>Metrics!CQ412</f>
        <v>0.82301908617698094</v>
      </c>
      <c r="CR381" s="59">
        <f>Metrics!CR412</f>
        <v>0.15440473915536021</v>
      </c>
      <c r="CS381" s="168">
        <f>Metrics!CS412</f>
        <v>0.15484118238873185</v>
      </c>
      <c r="CT381" s="244"/>
      <c r="CU381" s="59">
        <f>Metrics!CU412</f>
        <v>0.53199617956064948</v>
      </c>
      <c r="CV381" s="59">
        <f>Metrics!CV412</f>
        <v>7.9043763254289565E-2</v>
      </c>
      <c r="CW381" s="59">
        <f>Metrics!CW412</f>
        <v>0.20925632911392406</v>
      </c>
      <c r="CX381" s="59">
        <f>Metrics!CX412</f>
        <v>0.67162403331350384</v>
      </c>
      <c r="CY381" s="168">
        <f>Metrics!CY412</f>
        <v>0.66020174455435898</v>
      </c>
      <c r="CZ381" s="244"/>
      <c r="DA381" s="59">
        <f>Metrics!DA412</f>
        <v>1.3513727039304759</v>
      </c>
      <c r="DB381" s="59">
        <f>Metrics!DB412</f>
        <v>1.3888230647709321</v>
      </c>
      <c r="DC381" s="59">
        <f>Metrics!DC412</f>
        <v>1.1802600472813238</v>
      </c>
      <c r="DD381" s="59">
        <f>Metrics!DD412</f>
        <v>1.3671905697445972</v>
      </c>
      <c r="DE381" s="168">
        <f>Metrics!DE412</f>
        <v>1.3717045286552012</v>
      </c>
      <c r="DF381" s="244"/>
      <c r="DG381" s="59">
        <f>Metrics!DG412</f>
        <v>1.7428683848121189</v>
      </c>
      <c r="DH381" s="59">
        <f>Metrics!DH412</f>
        <v>1.9669728356458862</v>
      </c>
      <c r="DI381" s="59">
        <f>Metrics!DI412</f>
        <v>1.8650223344338706</v>
      </c>
      <c r="DJ381" s="59">
        <f>Metrics!DJ412</f>
        <v>2.7257939581719599</v>
      </c>
      <c r="DK381" s="168">
        <f>Metrics!DK412</f>
        <v>2.7447959830351483</v>
      </c>
      <c r="DL381" s="244"/>
      <c r="DM381" s="59">
        <f>Metrics!DM412</f>
        <v>3.2759223300970874</v>
      </c>
      <c r="DN381" s="59">
        <f>Metrics!DN412</f>
        <v>3.1688463790747607</v>
      </c>
      <c r="DO381" s="59">
        <f>Metrics!DO412</f>
        <v>2.9458661417322833</v>
      </c>
      <c r="DP381" s="59">
        <f>Metrics!DP412</f>
        <v>3.4119753332007163</v>
      </c>
      <c r="DQ381" s="168">
        <f>Metrics!DQ412</f>
        <v>3.3664376840039254</v>
      </c>
      <c r="DR381" s="244"/>
      <c r="DS381" s="59">
        <f>Metrics!DS412</f>
        <v>3.6618748734561652</v>
      </c>
      <c r="DT381" s="59">
        <f>Metrics!DT412</f>
        <v>3.1199671322925226</v>
      </c>
      <c r="DU381" s="59">
        <f>Metrics!DU412</f>
        <v>3.097464671654198</v>
      </c>
      <c r="DV381" s="59">
        <f>Metrics!DV412</f>
        <v>2.8851976450798991</v>
      </c>
      <c r="DW381" s="168">
        <f>Metrics!DW412</f>
        <v>2.8329290322580647</v>
      </c>
      <c r="DX381" s="244"/>
      <c r="DY381" s="59">
        <f>Metrics!DY412</f>
        <v>3.5363714163457423</v>
      </c>
      <c r="DZ381" s="59">
        <f>Metrics!DZ412</f>
        <v>3.1158695652173911</v>
      </c>
      <c r="EA381" s="59">
        <f>Metrics!EA412</f>
        <v>3.1798907103825136</v>
      </c>
      <c r="EB381" s="59">
        <f>Metrics!EB412</f>
        <v>3.5351280367695339</v>
      </c>
      <c r="EC381" s="168">
        <f>Metrics!EC412</f>
        <v>3.334606451612903</v>
      </c>
      <c r="ED381" s="244"/>
      <c r="EE381" s="59">
        <f>Metrics!EE412</f>
        <v>4.1884344766930521</v>
      </c>
      <c r="EF381" s="59">
        <f>Metrics!EF412</f>
        <v>2.7251942286348503</v>
      </c>
      <c r="EG381" s="59">
        <f>Metrics!EG412</f>
        <v>3.0082331998219849</v>
      </c>
      <c r="EH381" s="59">
        <f>Metrics!EH412</f>
        <v>3.2285458211965046</v>
      </c>
      <c r="EI381" s="168">
        <f>Metrics!EI412</f>
        <v>2.9747612903225806</v>
      </c>
      <c r="EJ381" s="244"/>
      <c r="EK381" s="59">
        <f>Metrics!EK412</f>
        <v>3.4916446789797715</v>
      </c>
      <c r="EL381" s="59">
        <f>Metrics!EL412</f>
        <v>2.7513873473917867</v>
      </c>
      <c r="EM381" s="59">
        <f>Metrics!EM412</f>
        <v>2.5049342105263159</v>
      </c>
      <c r="EN381" s="59">
        <f>Metrics!EN412</f>
        <v>3.7800849457291177</v>
      </c>
      <c r="EO381" s="168">
        <f>Metrics!EO412</f>
        <v>3.3073548387096774</v>
      </c>
      <c r="EP381" s="244"/>
      <c r="EQ381" s="59">
        <f>Metrics!EQ412</f>
        <v>3.3726912928759893</v>
      </c>
      <c r="ER381" s="59">
        <f>Metrics!ER412</f>
        <v>1.8395709177592372</v>
      </c>
      <c r="ES381" s="59">
        <f>Metrics!ES412</f>
        <v>2.1129876308277828</v>
      </c>
      <c r="ET381" s="59">
        <f>Metrics!ET412</f>
        <v>4.2292843691148772</v>
      </c>
      <c r="EU381" s="168">
        <f>Metrics!EU412</f>
        <v>4.2603746739388191</v>
      </c>
      <c r="EV381" s="244"/>
      <c r="EW381" s="59">
        <f>Metrics!EW412</f>
        <v>4.3426704014939306</v>
      </c>
      <c r="EX381" s="59">
        <f>Metrics!EX412</f>
        <v>3.1309829558720521</v>
      </c>
      <c r="EY381" s="59">
        <f>Metrics!EY412</f>
        <v>3.3595372993389989</v>
      </c>
      <c r="EZ381" s="59">
        <f>Metrics!EZ412</f>
        <v>2.3483888625381035</v>
      </c>
      <c r="FA381" s="168">
        <f>Metrics!FA412</f>
        <v>2.3177662701645172</v>
      </c>
      <c r="FB381" s="244"/>
      <c r="FC381" s="59">
        <f>Metrics!FC412</f>
        <v>3.0648184117243309</v>
      </c>
      <c r="FD381" s="59">
        <f>Metrics!FD412</f>
        <v>2.6529991583566828</v>
      </c>
      <c r="FE381" s="59">
        <f>Metrics!FE412</f>
        <v>3.0480107551504316</v>
      </c>
      <c r="FF381" s="59">
        <f>Metrics!FF412</f>
        <v>3.6683970524868288</v>
      </c>
      <c r="FG381" s="168">
        <f>Metrics!FG412</f>
        <v>3.6205617772499337</v>
      </c>
      <c r="FH381" s="244"/>
      <c r="FI381" s="59">
        <f>Metrics!FI412</f>
        <v>4.4994619840954435</v>
      </c>
      <c r="FJ381" s="59">
        <f>Metrics!FJ412</f>
        <v>4.1409206498591526</v>
      </c>
      <c r="FK381" s="59">
        <f>Metrics!FK412</f>
        <v>4.6191813045514856</v>
      </c>
      <c r="FL381" s="59">
        <f>Metrics!FL412</f>
        <v>5.5073498175036839</v>
      </c>
      <c r="FM381" s="168">
        <f>Metrics!FM412</f>
        <v>5.4355349101812713</v>
      </c>
      <c r="FN381" s="27"/>
      <c r="FO381" s="27"/>
      <c r="FP381" s="27"/>
      <c r="FQ381" s="27"/>
      <c r="FR381" s="27"/>
      <c r="FS381" s="27"/>
      <c r="FT381" s="27"/>
      <c r="FU381" s="27"/>
      <c r="FV381" s="27"/>
      <c r="FW381" s="27"/>
      <c r="FX381" s="27"/>
      <c r="FY381" s="27"/>
      <c r="FZ381" s="27"/>
      <c r="GA381" s="27"/>
      <c r="GB381" s="27"/>
      <c r="GC381" s="27"/>
      <c r="GD381" s="27"/>
      <c r="GE381" s="27"/>
      <c r="GF381" s="27"/>
      <c r="GG381" s="27"/>
      <c r="GH381" s="27"/>
      <c r="GI381"/>
      <c r="GJ381"/>
      <c r="GK381"/>
      <c r="GL381"/>
      <c r="GM381"/>
      <c r="GN381"/>
      <c r="GO381" s="27"/>
      <c r="GP381"/>
      <c r="GQ381"/>
      <c r="GR381"/>
      <c r="GS381"/>
      <c r="GT381"/>
      <c r="GU381"/>
      <c r="GV381"/>
      <c r="GW381"/>
      <c r="GX381"/>
      <c r="GY381"/>
      <c r="GZ381"/>
      <c r="HA381"/>
      <c r="HB381"/>
      <c r="HC381"/>
      <c r="HD381"/>
      <c r="HE381"/>
      <c r="HF381"/>
      <c r="HG381"/>
      <c r="HH381"/>
      <c r="HI381"/>
      <c r="HJ381"/>
      <c r="HK381"/>
      <c r="HL381"/>
      <c r="HM381"/>
      <c r="HN381"/>
      <c r="HO381"/>
      <c r="HP381"/>
      <c r="HQ381"/>
      <c r="HR381"/>
      <c r="HS381"/>
      <c r="HT381"/>
      <c r="HU381"/>
      <c r="HV381"/>
      <c r="HW381"/>
      <c r="HX381"/>
      <c r="HY381"/>
      <c r="HZ381"/>
      <c r="IA381"/>
      <c r="IB381"/>
      <c r="IC381"/>
      <c r="ID381"/>
      <c r="IE381"/>
      <c r="IF381"/>
      <c r="IG381"/>
      <c r="IH381"/>
      <c r="II381"/>
      <c r="IJ381"/>
      <c r="IK381"/>
      <c r="IL381"/>
      <c r="IM381"/>
      <c r="IN381"/>
      <c r="IO381"/>
      <c r="IP381"/>
      <c r="IQ381"/>
      <c r="IR381"/>
      <c r="IS381"/>
      <c r="IT381"/>
      <c r="IU381"/>
      <c r="IV381"/>
      <c r="IW381"/>
      <c r="IX381"/>
      <c r="IY381"/>
      <c r="IZ381"/>
      <c r="JA381"/>
      <c r="JB381"/>
      <c r="JC381"/>
      <c r="JD381"/>
      <c r="JE381"/>
      <c r="JF381"/>
      <c r="JG381"/>
      <c r="JH381"/>
      <c r="JI381"/>
      <c r="JJ381"/>
      <c r="JK381"/>
      <c r="JL381"/>
      <c r="JM381"/>
      <c r="JN381"/>
      <c r="JO381"/>
      <c r="JP381"/>
      <c r="JQ381"/>
      <c r="JR381"/>
      <c r="JS381"/>
      <c r="JT381"/>
      <c r="JU381"/>
    </row>
    <row r="382" spans="1:281" s="24" customFormat="1" hidden="1" outlineLevel="1" x14ac:dyDescent="0.2">
      <c r="A382" s="244" t="s">
        <v>762</v>
      </c>
      <c r="B382" s="954" t="s">
        <v>740</v>
      </c>
      <c r="C382" s="59"/>
      <c r="D382" s="59"/>
      <c r="E382" s="59">
        <f>'Cash Flow'!E83</f>
        <v>-11.334</v>
      </c>
      <c r="F382" s="59">
        <f>'Cash Flow'!F83</f>
        <v>-15.411</v>
      </c>
      <c r="G382" s="59">
        <f>'Cash Flow'!G83</f>
        <v>-30.959</v>
      </c>
      <c r="H382" s="59">
        <f>'Cash Flow'!H83</f>
        <v>-68.427999999999997</v>
      </c>
      <c r="I382" s="59">
        <f>'Cash Flow'!I83</f>
        <v>-27.638999999999999</v>
      </c>
      <c r="J382" s="59">
        <f>'Cash Flow'!J83</f>
        <v>-47.844999999999999</v>
      </c>
      <c r="K382" s="59">
        <f>'Cash Flow'!K83</f>
        <v>-41.825000000000003</v>
      </c>
      <c r="L382" s="59">
        <f>'Cash Flow'!L83</f>
        <v>-41.313000000000002</v>
      </c>
      <c r="M382" s="59">
        <f>'Cash Flow'!M83</f>
        <v>-250.65</v>
      </c>
      <c r="N382" s="244"/>
      <c r="O382" s="59">
        <f>'Cash Flow'!O83</f>
        <v>-30.135000000000002</v>
      </c>
      <c r="P382" s="59">
        <f>'Cash Flow'!P83</f>
        <v>-77.806999999999988</v>
      </c>
      <c r="Q382" s="59">
        <f>'Cash Flow'!Q83</f>
        <v>-71.710999999999999</v>
      </c>
      <c r="R382" s="59">
        <f>'Cash Flow'!R83</f>
        <v>-82.392999999999986</v>
      </c>
      <c r="S382" s="59">
        <f>'Cash Flow'!S83</f>
        <v>-262.04599999999999</v>
      </c>
      <c r="T382" s="244"/>
      <c r="U382" s="59">
        <f>'Cash Flow'!U83</f>
        <v>-59.667000000000002</v>
      </c>
      <c r="V382" s="59">
        <f>'Cash Flow'!V83</f>
        <v>-80.949999999999989</v>
      </c>
      <c r="W382" s="59">
        <f>'Cash Flow'!W83</f>
        <v>-79.405000000000001</v>
      </c>
      <c r="X382" s="59">
        <f>'Cash Flow'!X83</f>
        <v>-88.37</v>
      </c>
      <c r="Y382" s="59">
        <f>'Cash Flow'!Y83</f>
        <v>-308.392</v>
      </c>
      <c r="Z382" s="244"/>
      <c r="AA382" s="59">
        <f>'Cash Flow'!AA83</f>
        <v>-88.975999999999999</v>
      </c>
      <c r="AB382" s="59">
        <f>'Cash Flow'!AB83</f>
        <v>-84.87700000000001</v>
      </c>
      <c r="AC382" s="59">
        <f>'Cash Flow'!AC83</f>
        <v>-66.544999999999987</v>
      </c>
      <c r="AD382" s="59">
        <f>'Cash Flow'!AD83</f>
        <v>-150.34300000000002</v>
      </c>
      <c r="AE382" s="59">
        <f>'Cash Flow'!AE83</f>
        <v>-390.74099999999999</v>
      </c>
      <c r="AF382" s="244"/>
      <c r="AG382" s="59">
        <f>'Cash Flow'!AG83</f>
        <v>-77.483999999999995</v>
      </c>
      <c r="AH382" s="59">
        <f>'Cash Flow'!AH83</f>
        <v>-77.810000000000016</v>
      </c>
      <c r="AI382" s="59">
        <f>'Cash Flow'!AI83</f>
        <v>-85.286999999999964</v>
      </c>
      <c r="AJ382" s="59">
        <f>'Cash Flow'!AJ83</f>
        <v>-87.777000000000029</v>
      </c>
      <c r="AK382" s="59">
        <f>'Cash Flow'!AK83</f>
        <v>-328.358</v>
      </c>
      <c r="AL382" s="244"/>
      <c r="AM382" s="59">
        <f>'Cash Flow'!AM83</f>
        <v>-88.319000000000003</v>
      </c>
      <c r="AN382" s="59">
        <f>'Cash Flow'!AN83</f>
        <v>-84.612999999999985</v>
      </c>
      <c r="AO382" s="59">
        <f>'Cash Flow'!AO83</f>
        <v>-86.027000000000001</v>
      </c>
      <c r="AP382" s="59">
        <f>'Cash Flow'!AP83</f>
        <v>-87.632999999999996</v>
      </c>
      <c r="AQ382" s="59">
        <f>'Cash Flow'!AQ83</f>
        <v>-346.59199999999998</v>
      </c>
      <c r="AR382" s="244"/>
      <c r="AS382" s="59">
        <f>'Cash Flow'!AS83</f>
        <v>-54.892000000000003</v>
      </c>
      <c r="AT382" s="59">
        <f>'Cash Flow'!AT83</f>
        <v>-69.567999999999984</v>
      </c>
      <c r="AU382" s="59">
        <f>'Cash Flow'!AU83</f>
        <v>-95.053000000000026</v>
      </c>
      <c r="AV382" s="59">
        <f>'Cash Flow'!AV83</f>
        <v>-43.929999999999971</v>
      </c>
      <c r="AW382" s="59">
        <f>'Cash Flow'!AW83</f>
        <v>-263.44299999999998</v>
      </c>
      <c r="AX382" s="244"/>
      <c r="AY382" s="59">
        <f>'Cash Flow'!AY83</f>
        <v>-73.397000000000006</v>
      </c>
      <c r="AZ382" s="59">
        <f>'Cash Flow'!AZ83</f>
        <v>-80.600000000000009</v>
      </c>
      <c r="BA382" s="59">
        <f>'Cash Flow'!BA83</f>
        <v>-62.691999999999993</v>
      </c>
      <c r="BB382" s="59">
        <f>'Cash Flow'!BB83</f>
        <v>-96.310999999999964</v>
      </c>
      <c r="BC382" s="59">
        <f>'Cash Flow'!BC83</f>
        <v>-313</v>
      </c>
      <c r="BD382" s="244"/>
      <c r="BE382" s="59">
        <f>'Cash Flow'!BE83</f>
        <v>-112.547</v>
      </c>
      <c r="BF382" s="59">
        <f>'Cash Flow'!BF83</f>
        <v>-47.453000000000003</v>
      </c>
      <c r="BG382" s="59">
        <f>'Cash Flow'!BG83</f>
        <v>-39</v>
      </c>
      <c r="BH382" s="59">
        <f>'Cash Flow'!BH83</f>
        <v>-79</v>
      </c>
      <c r="BI382" s="59">
        <f>'Cash Flow'!BI83</f>
        <v>-278</v>
      </c>
      <c r="BJ382" s="244"/>
      <c r="BK382" s="59">
        <f>'Cash Flow'!BK83</f>
        <v>-43</v>
      </c>
      <c r="BL382" s="59">
        <f>'Cash Flow'!BL83</f>
        <v>-32</v>
      </c>
      <c r="BM382" s="59">
        <f>'Cash Flow'!BM83</f>
        <v>-13</v>
      </c>
      <c r="BN382" s="59">
        <f>'Cash Flow'!BN83</f>
        <v>-203</v>
      </c>
      <c r="BO382" s="59">
        <f>'Cash Flow'!BO83</f>
        <v>-291</v>
      </c>
      <c r="BP382" s="244"/>
      <c r="BQ382" s="59">
        <f>'Cash Flow'!BQ83</f>
        <v>-76</v>
      </c>
      <c r="BR382" s="59">
        <f>'Cash Flow'!BR83</f>
        <v>-27</v>
      </c>
      <c r="BS382" s="59">
        <f>'Cash Flow'!BS83</f>
        <v>-41</v>
      </c>
      <c r="BT382" s="59">
        <f>'Cash Flow'!BT83</f>
        <v>-45</v>
      </c>
      <c r="BU382" s="59">
        <f>'Cash Flow'!BU83</f>
        <v>-189</v>
      </c>
      <c r="BV382" s="244"/>
      <c r="BW382" s="59">
        <f>'Cash Flow'!BW83</f>
        <v>-34</v>
      </c>
      <c r="BX382" s="59">
        <f>'Cash Flow'!BX83</f>
        <v>-58</v>
      </c>
      <c r="BY382" s="59">
        <f>'Cash Flow'!BY83</f>
        <v>-58</v>
      </c>
      <c r="BZ382" s="59">
        <f>'Cash Flow'!BZ83</f>
        <v>-38</v>
      </c>
      <c r="CA382" s="59">
        <f>'Cash Flow'!CA83</f>
        <v>-188</v>
      </c>
      <c r="CB382" s="244"/>
      <c r="CC382" s="59">
        <f>'Cash Flow'!CC83</f>
        <v>-52</v>
      </c>
      <c r="CD382" s="59">
        <f>'Cash Flow'!CD83</f>
        <v>-34</v>
      </c>
      <c r="CE382" s="59">
        <f>'Cash Flow'!CE83</f>
        <v>-75</v>
      </c>
      <c r="CF382" s="59">
        <f>'Cash Flow'!CF83</f>
        <v>-75</v>
      </c>
      <c r="CG382" s="168">
        <f>'Cash Flow'!CG83</f>
        <v>-236</v>
      </c>
      <c r="CH382" s="244"/>
      <c r="CI382" s="59">
        <f>'Cash Flow'!CI83</f>
        <v>-49</v>
      </c>
      <c r="CJ382" s="59">
        <f>'Cash Flow'!CJ83</f>
        <v>-57</v>
      </c>
      <c r="CK382" s="59">
        <f>'Cash Flow'!CK83</f>
        <v>-77</v>
      </c>
      <c r="CL382" s="59">
        <f>'Cash Flow'!CL83</f>
        <v>-136</v>
      </c>
      <c r="CM382" s="168">
        <f>'Cash Flow'!CM83</f>
        <v>-319</v>
      </c>
      <c r="CN382" s="244"/>
      <c r="CO382" s="59">
        <f>'Cash Flow'!CO83</f>
        <v>-87</v>
      </c>
      <c r="CP382" s="59">
        <f>'Cash Flow'!CP83</f>
        <v>-69</v>
      </c>
      <c r="CQ382" s="59">
        <f>'Cash Flow'!CQ83</f>
        <v>-39</v>
      </c>
      <c r="CR382" s="59">
        <f>'Cash Flow'!CR83</f>
        <v>-48</v>
      </c>
      <c r="CS382" s="168">
        <f>'Cash Flow'!CS83</f>
        <v>-243</v>
      </c>
      <c r="CT382" s="244"/>
      <c r="CU382" s="59">
        <f>'Cash Flow'!CU83</f>
        <v>-323</v>
      </c>
      <c r="CV382" s="59">
        <f>'Cash Flow'!CV83</f>
        <v>-76</v>
      </c>
      <c r="CW382" s="59">
        <f>'Cash Flow'!CW83</f>
        <v>-92</v>
      </c>
      <c r="CX382" s="59">
        <f>'Cash Flow'!CX83</f>
        <v>-38</v>
      </c>
      <c r="CY382" s="168">
        <f>'Cash Flow'!CY83</f>
        <v>-529</v>
      </c>
      <c r="CZ382" s="244"/>
      <c r="DA382" s="59">
        <f>'Cash Flow'!DA83</f>
        <v>-55</v>
      </c>
      <c r="DB382" s="59">
        <f>'Cash Flow'!DB83</f>
        <v>-45</v>
      </c>
      <c r="DC382" s="59">
        <f>'Cash Flow'!DC83</f>
        <v>-61</v>
      </c>
      <c r="DD382" s="59">
        <f>'Cash Flow'!DD83</f>
        <v>-69</v>
      </c>
      <c r="DE382" s="168">
        <f>'Cash Flow'!DE83</f>
        <v>-230</v>
      </c>
      <c r="DF382" s="244"/>
      <c r="DG382" s="59">
        <f>'Cash Flow'!DG83</f>
        <v>-118</v>
      </c>
      <c r="DH382" s="59">
        <f>'Cash Flow'!DH83</f>
        <v>-121</v>
      </c>
      <c r="DI382" s="59">
        <f>'Cash Flow'!DI83</f>
        <v>-133</v>
      </c>
      <c r="DJ382" s="59">
        <f>'Cash Flow'!DJ83</f>
        <v>-78</v>
      </c>
      <c r="DK382" s="168">
        <f>'Cash Flow'!DK83</f>
        <v>-450</v>
      </c>
      <c r="DL382" s="244"/>
      <c r="DM382" s="59">
        <f>'Cash Flow'!DM83</f>
        <v>-160</v>
      </c>
      <c r="DN382" s="59">
        <f>'Cash Flow'!DN83</f>
        <v>-109</v>
      </c>
      <c r="DO382" s="59">
        <f>'Cash Flow'!DO83</f>
        <v>-162</v>
      </c>
      <c r="DP382" s="59">
        <f>'Cash Flow'!DP83</f>
        <v>-217</v>
      </c>
      <c r="DQ382" s="168">
        <f>'Cash Flow'!DQ83</f>
        <v>-648</v>
      </c>
      <c r="DR382" s="244"/>
      <c r="DS382" s="59">
        <f>'Cash Flow'!DS83</f>
        <v>-139</v>
      </c>
      <c r="DT382" s="59">
        <f>'Cash Flow'!DT83</f>
        <v>-212</v>
      </c>
      <c r="DU382" s="59">
        <f>'Cash Flow'!DU83</f>
        <v>-116</v>
      </c>
      <c r="DV382" s="59">
        <f>'Cash Flow'!DV83</f>
        <v>-183</v>
      </c>
      <c r="DW382" s="168">
        <f>'Cash Flow'!DW83</f>
        <v>-650</v>
      </c>
      <c r="DX382" s="244"/>
      <c r="DY382" s="59">
        <f>'Cash Flow'!DY83</f>
        <v>-153</v>
      </c>
      <c r="DZ382" s="59">
        <f>'Cash Flow'!DZ83</f>
        <v>-126</v>
      </c>
      <c r="EA382" s="59">
        <f>'Cash Flow'!EA83</f>
        <v>-147</v>
      </c>
      <c r="EB382" s="59">
        <f>'Cash Flow'!EB83</f>
        <v>-154</v>
      </c>
      <c r="EC382" s="168">
        <f>'Cash Flow'!EC83</f>
        <v>-580</v>
      </c>
      <c r="ED382" s="244"/>
      <c r="EE382" s="59">
        <f>'Cash Flow'!EE83</f>
        <v>-201</v>
      </c>
      <c r="EF382" s="59">
        <f>'Cash Flow'!EF83</f>
        <v>-225</v>
      </c>
      <c r="EG382" s="59">
        <f>'Cash Flow'!EG83</f>
        <v>-368</v>
      </c>
      <c r="EH382" s="59">
        <f>'Cash Flow'!EH83</f>
        <v>-597</v>
      </c>
      <c r="EI382" s="168">
        <f>'Cash Flow'!EI83</f>
        <v>-1391</v>
      </c>
      <c r="EJ382" s="244"/>
      <c r="EK382" s="59">
        <f>'Cash Flow'!EK83</f>
        <v>-446</v>
      </c>
      <c r="EL382" s="59">
        <f>'Cash Flow'!EL83</f>
        <v>-195</v>
      </c>
      <c r="EM382" s="59">
        <f>'Cash Flow'!EM83</f>
        <v>-368</v>
      </c>
      <c r="EN382" s="59">
        <f>'Cash Flow'!EN83</f>
        <v>-180</v>
      </c>
      <c r="EO382" s="168">
        <f>'Cash Flow'!EO83</f>
        <v>-1189</v>
      </c>
      <c r="EP382" s="244"/>
      <c r="EQ382" s="59">
        <f>'Cash Flow'!EQ83</f>
        <v>-299</v>
      </c>
      <c r="ER382" s="59">
        <f>'Cash Flow'!ER83</f>
        <v>-757</v>
      </c>
      <c r="ES382" s="59">
        <f>'Cash Flow'!ES83</f>
        <v>-440</v>
      </c>
      <c r="ET382" s="59">
        <f>'Cash Flow'!ET83</f>
        <v>-525</v>
      </c>
      <c r="EU382" s="168">
        <f>'Cash Flow'!EU83</f>
        <v>-2021</v>
      </c>
      <c r="EV382" s="244"/>
      <c r="EW382" s="59">
        <f>'Cash Flow'!EW83</f>
        <v>-473</v>
      </c>
      <c r="EX382" s="59">
        <f>'Cash Flow'!EX83</f>
        <v>-599</v>
      </c>
      <c r="EY382" s="59">
        <f>'Cash Flow'!EY83</f>
        <v>-286</v>
      </c>
      <c r="EZ382" s="59">
        <f>'Cash Flow'!EZ83</f>
        <v>-477.6920719931727</v>
      </c>
      <c r="FA382" s="168">
        <f>'Cash Flow'!FA83</f>
        <v>-1835.6920719931727</v>
      </c>
      <c r="FB382" s="244"/>
      <c r="FC382" s="59">
        <f>'Cash Flow'!FC83</f>
        <v>-461.66827423997353</v>
      </c>
      <c r="FD382" s="59">
        <f>'Cash Flow'!FD83</f>
        <v>-465.71486010870007</v>
      </c>
      <c r="FE382" s="59">
        <f>'Cash Flow'!FE83</f>
        <v>-469.34696826164054</v>
      </c>
      <c r="FF382" s="59">
        <f>'Cash Flow'!FF83</f>
        <v>-471.80572028937695</v>
      </c>
      <c r="FG382" s="168">
        <f>'Cash Flow'!FG83</f>
        <v>-1868.5358228996911</v>
      </c>
      <c r="FH382" s="244"/>
      <c r="FI382" s="59">
        <f>'Cash Flow'!FI83</f>
        <v>-476.29301883151368</v>
      </c>
      <c r="FJ382" s="59">
        <f>'Cash Flow'!FJ83</f>
        <v>-480.44424940030865</v>
      </c>
      <c r="FK382" s="59">
        <f>'Cash Flow'!FK83</f>
        <v>-484.44823461305987</v>
      </c>
      <c r="FL382" s="59">
        <f>'Cash Flow'!FL83</f>
        <v>-487.58684330970232</v>
      </c>
      <c r="FM382" s="168">
        <f>'Cash Flow'!FM83</f>
        <v>-1928.7723461545845</v>
      </c>
      <c r="FN382" s="27"/>
      <c r="FO382" s="27"/>
      <c r="FP382" s="27"/>
      <c r="FQ382" s="27"/>
      <c r="FR382" s="27"/>
      <c r="FS382" s="27"/>
      <c r="FT382" s="27"/>
      <c r="FU382" s="27"/>
      <c r="FV382" s="27"/>
      <c r="FW382" s="27"/>
      <c r="FX382" s="27"/>
      <c r="FY382" s="27"/>
      <c r="FZ382" s="27"/>
      <c r="GA382" s="27"/>
      <c r="GB382" s="27"/>
      <c r="GC382" s="27"/>
      <c r="GD382" s="27"/>
      <c r="GE382" s="27"/>
      <c r="GF382" s="27"/>
      <c r="GG382" s="27"/>
      <c r="GH382" s="27"/>
      <c r="GI382"/>
      <c r="GJ382"/>
      <c r="GK382"/>
      <c r="GL382"/>
      <c r="GM382"/>
      <c r="GN382"/>
      <c r="GO382" s="27"/>
      <c r="GP382"/>
      <c r="GQ382"/>
      <c r="GR382"/>
      <c r="GS382"/>
      <c r="GT382"/>
      <c r="GU382"/>
      <c r="GV382"/>
      <c r="GW382"/>
      <c r="GX382"/>
      <c r="GY382"/>
      <c r="GZ382"/>
      <c r="HA382"/>
      <c r="HB382"/>
      <c r="HC382"/>
      <c r="HD382"/>
      <c r="HE382"/>
      <c r="HF382"/>
      <c r="HG382"/>
      <c r="HH382"/>
      <c r="HI382"/>
      <c r="HJ382"/>
      <c r="HK382"/>
      <c r="HL382"/>
      <c r="HM382"/>
      <c r="HN382"/>
      <c r="HO382"/>
      <c r="HP382"/>
      <c r="HQ382"/>
      <c r="HR382"/>
      <c r="HS382"/>
      <c r="HT382"/>
      <c r="HU382"/>
      <c r="HV382"/>
      <c r="HW382"/>
      <c r="HX382"/>
      <c r="HY382"/>
      <c r="HZ382"/>
      <c r="IA382"/>
      <c r="IB382"/>
      <c r="IC382"/>
      <c r="ID382"/>
      <c r="IE382"/>
      <c r="IF382"/>
      <c r="IG382"/>
      <c r="IH382"/>
      <c r="II382"/>
      <c r="IJ382"/>
      <c r="IK382"/>
      <c r="IL382"/>
      <c r="IM382"/>
      <c r="IN382"/>
      <c r="IO382"/>
      <c r="IP382"/>
      <c r="IQ382"/>
      <c r="IR382"/>
      <c r="IS382"/>
      <c r="IT382"/>
      <c r="IU382"/>
      <c r="IV382"/>
      <c r="IW382"/>
      <c r="IX382"/>
      <c r="IY382"/>
      <c r="IZ382"/>
      <c r="JA382"/>
      <c r="JB382"/>
      <c r="JC382"/>
      <c r="JD382"/>
      <c r="JE382"/>
      <c r="JF382"/>
      <c r="JG382"/>
      <c r="JH382"/>
      <c r="JI382"/>
      <c r="JJ382"/>
      <c r="JK382"/>
      <c r="JL382"/>
      <c r="JM382"/>
      <c r="JN382"/>
      <c r="JO382"/>
      <c r="JP382"/>
      <c r="JQ382"/>
      <c r="JR382"/>
      <c r="JS382"/>
      <c r="JT382"/>
      <c r="JU382"/>
    </row>
    <row r="383" spans="1:281" s="24" customFormat="1" hidden="1" outlineLevel="1" x14ac:dyDescent="0.2">
      <c r="A383" s="244" t="s">
        <v>741</v>
      </c>
      <c r="B383" s="954" t="s">
        <v>742</v>
      </c>
      <c r="C383" s="59"/>
      <c r="D383" s="59"/>
      <c r="E383" s="59"/>
      <c r="F383" s="59"/>
      <c r="G383" s="59"/>
      <c r="H383" s="59"/>
      <c r="I383" s="59"/>
      <c r="J383" s="59"/>
      <c r="K383" s="59"/>
      <c r="L383" s="59"/>
      <c r="M383" s="59"/>
      <c r="N383" s="244"/>
      <c r="O383" s="59"/>
      <c r="P383" s="59"/>
      <c r="Q383" s="59"/>
      <c r="R383" s="59"/>
      <c r="S383" s="59"/>
      <c r="T383" s="244"/>
      <c r="U383" s="59"/>
      <c r="V383" s="59"/>
      <c r="W383" s="59"/>
      <c r="X383" s="59"/>
      <c r="Y383" s="59"/>
      <c r="Z383" s="244"/>
      <c r="AA383" s="59">
        <f>'Cash Flow'!AA76</f>
        <v>234.09899999999993</v>
      </c>
      <c r="AB383" s="59">
        <f>'Cash Flow'!AB76</f>
        <v>14.643999999999998</v>
      </c>
      <c r="AC383" s="59">
        <f>'Cash Flow'!AC76</f>
        <v>254.41300000000004</v>
      </c>
      <c r="AD383" s="59">
        <f>'Cash Flow'!AD76</f>
        <v>527.34799999999996</v>
      </c>
      <c r="AE383" s="59">
        <f>SUM(AA383:AD383)</f>
        <v>1030.5039999999999</v>
      </c>
      <c r="AF383" s="244"/>
      <c r="AG383" s="59">
        <f>'Cash Flow'!AG76</f>
        <v>446.83899999999994</v>
      </c>
      <c r="AH383" s="59">
        <f>'Cash Flow'!AH76</f>
        <v>170.97699999999989</v>
      </c>
      <c r="AI383" s="59">
        <f>'Cash Flow'!AI76</f>
        <v>361.12100000000015</v>
      </c>
      <c r="AJ383" s="59">
        <f>'Cash Flow'!AJ76</f>
        <v>635.64199999999994</v>
      </c>
      <c r="AK383" s="59">
        <f>SUM(AG383:AJ383)</f>
        <v>1614.5789999999997</v>
      </c>
      <c r="AL383" s="244"/>
      <c r="AM383" s="59">
        <f>'Cash Flow'!AM76</f>
        <v>597.56799999999998</v>
      </c>
      <c r="AN383" s="59">
        <f>'Cash Flow'!AN76</f>
        <v>28.809000000000026</v>
      </c>
      <c r="AO383" s="59">
        <f>'Cash Flow'!AO76</f>
        <v>444.65800000000007</v>
      </c>
      <c r="AP383" s="59">
        <f>'Cash Flow'!AP76</f>
        <v>736.06400000000008</v>
      </c>
      <c r="AQ383" s="59">
        <f>SUM(AM383:AP383)</f>
        <v>1807.0990000000002</v>
      </c>
      <c r="AR383" s="244"/>
      <c r="AS383" s="59">
        <f>'Cash Flow'!AS76</f>
        <v>656.11659999999995</v>
      </c>
      <c r="AT383" s="59">
        <f>'Cash Flow'!AT76</f>
        <v>111.97540000000004</v>
      </c>
      <c r="AU383" s="59">
        <f>'Cash Flow'!AU76</f>
        <v>986.41300000000001</v>
      </c>
      <c r="AV383" s="59">
        <f>'Cash Flow'!AV76</f>
        <v>1169.0590000000009</v>
      </c>
      <c r="AW383" s="59">
        <f>SUM(AS383:AV383)</f>
        <v>2923.5640000000012</v>
      </c>
      <c r="AX383" s="244"/>
      <c r="AY383" s="59">
        <f>'Cash Flow'!AY76</f>
        <v>-873.80699999999979</v>
      </c>
      <c r="AZ383" s="59">
        <f>'Cash Flow'!AZ76</f>
        <v>607.97099999999978</v>
      </c>
      <c r="BA383" s="59">
        <f>'Cash Flow'!BA76</f>
        <v>1008.7269999999999</v>
      </c>
      <c r="BB383" s="59">
        <f>'Cash Flow'!BB76</f>
        <v>1436.1090000000002</v>
      </c>
      <c r="BC383" s="59">
        <f>SUM(AY383:BB383)</f>
        <v>2179</v>
      </c>
      <c r="BD383" s="244"/>
      <c r="BE383" s="59">
        <f>'Cash Flow'!BE76</f>
        <v>1263.568</v>
      </c>
      <c r="BF383" s="59">
        <f>'Cash Flow'!BF76</f>
        <v>246.43199999999999</v>
      </c>
      <c r="BG383" s="59">
        <f>'Cash Flow'!BG76</f>
        <v>648</v>
      </c>
      <c r="BH383" s="59">
        <f>'Cash Flow'!BH76</f>
        <v>977</v>
      </c>
      <c r="BI383" s="59">
        <f>SUM(BE383:BH383)</f>
        <v>3135</v>
      </c>
      <c r="BJ383" s="244"/>
      <c r="BK383" s="59">
        <f>'Cash Flow'!BK76</f>
        <v>1218</v>
      </c>
      <c r="BL383" s="59">
        <f>'Cash Flow'!BL76</f>
        <v>251</v>
      </c>
      <c r="BM383" s="59">
        <f>'Cash Flow'!BM76</f>
        <v>728</v>
      </c>
      <c r="BN383" s="59">
        <f>'Cash Flow'!BN76</f>
        <v>826</v>
      </c>
      <c r="BO383" s="59">
        <f>SUM(BK383:BN383)</f>
        <v>3023</v>
      </c>
      <c r="BP383" s="244"/>
      <c r="BQ383" s="59">
        <f>'Cash Flow'!BQ76</f>
        <v>1251</v>
      </c>
      <c r="BR383" s="59">
        <f>'Cash Flow'!BR76</f>
        <v>349</v>
      </c>
      <c r="BS383" s="59">
        <f>'Cash Flow'!BS76</f>
        <v>559</v>
      </c>
      <c r="BT383" s="59">
        <f>'Cash Flow'!BT76</f>
        <v>1036</v>
      </c>
      <c r="BU383" s="59">
        <f>SUM(BQ383:BT383)</f>
        <v>3195</v>
      </c>
      <c r="BV383" s="244"/>
      <c r="BW383" s="59">
        <f>'Cash Flow'!BW76</f>
        <v>1414</v>
      </c>
      <c r="BX383" s="59">
        <f>'Cash Flow'!BX76</f>
        <v>385</v>
      </c>
      <c r="BY383" s="59">
        <f>'Cash Flow'!BY76</f>
        <v>758</v>
      </c>
      <c r="BZ383" s="59">
        <f>'Cash Flow'!BZ76</f>
        <v>994.92250000000013</v>
      </c>
      <c r="CA383" s="59">
        <f>SUM(BW383:BZ383)</f>
        <v>3551.9225000000001</v>
      </c>
      <c r="CB383" s="244"/>
      <c r="CC383" s="59">
        <f>'Cash Flow'!CC76</f>
        <v>1458</v>
      </c>
      <c r="CD383" s="59">
        <f>'Cash Flow'!CD76</f>
        <v>298</v>
      </c>
      <c r="CE383" s="59">
        <f>'Cash Flow'!CE76</f>
        <v>1106</v>
      </c>
      <c r="CF383" s="59">
        <f>'Cash Flow'!CF76</f>
        <v>1679</v>
      </c>
      <c r="CG383" s="168">
        <f>SUM(CC383:CF383)</f>
        <v>4541</v>
      </c>
      <c r="CH383" s="244"/>
      <c r="CI383" s="59">
        <f>'Cash Flow'!CI76</f>
        <v>1625</v>
      </c>
      <c r="CJ383" s="59">
        <f>'Cash Flow'!CJ76</f>
        <v>241</v>
      </c>
      <c r="CK383" s="59">
        <f>'Cash Flow'!CK76</f>
        <v>1439</v>
      </c>
      <c r="CL383" s="59">
        <f>'Cash Flow'!CL76</f>
        <v>2215</v>
      </c>
      <c r="CM383" s="168">
        <f>SUM(CI383:CL383)</f>
        <v>5520</v>
      </c>
      <c r="CN383" s="244"/>
      <c r="CO383" s="59">
        <f>'Cash Flow'!CO76</f>
        <v>2701</v>
      </c>
      <c r="CP383" s="59">
        <f>'Cash Flow'!CP76</f>
        <v>602</v>
      </c>
      <c r="CQ383" s="59">
        <f>'Cash Flow'!CQ76</f>
        <v>1804</v>
      </c>
      <c r="CR383" s="59">
        <f>'Cash Flow'!CR76</f>
        <v>2295</v>
      </c>
      <c r="CS383" s="168">
        <f>SUM(CO383:CR383)</f>
        <v>7402</v>
      </c>
      <c r="CT383" s="244"/>
      <c r="CU383" s="59">
        <f>'Cash Flow'!CU76</f>
        <v>3240</v>
      </c>
      <c r="CV383" s="59">
        <f>'Cash Flow'!CV76</f>
        <v>750</v>
      </c>
      <c r="CW383" s="59">
        <f>'Cash Flow'!CW76</f>
        <v>2257</v>
      </c>
      <c r="CX383" s="59">
        <f>'Cash Flow'!CX76</f>
        <v>2008</v>
      </c>
      <c r="CY383" s="168">
        <f>SUM(CU383:CX383)</f>
        <v>8255</v>
      </c>
      <c r="CZ383" s="244"/>
      <c r="DA383" s="59">
        <f>'Cash Flow'!DA76</f>
        <v>3738</v>
      </c>
      <c r="DB383" s="59">
        <f>'Cash Flow'!DB76</f>
        <v>651</v>
      </c>
      <c r="DC383" s="59">
        <f>'Cash Flow'!DC76</f>
        <v>1781</v>
      </c>
      <c r="DD383" s="59">
        <f>'Cash Flow'!DD76</f>
        <v>2511</v>
      </c>
      <c r="DE383" s="168">
        <f>SUM(DA383:DD383)</f>
        <v>8681</v>
      </c>
      <c r="DF383" s="244"/>
      <c r="DG383" s="59">
        <f>'Cash Flow'!DG76</f>
        <v>3817</v>
      </c>
      <c r="DH383" s="59">
        <f>'Cash Flow'!DH76</f>
        <v>944</v>
      </c>
      <c r="DI383" s="59">
        <f>'Cash Flow'!DI76</f>
        <v>2676</v>
      </c>
      <c r="DJ383" s="59">
        <f>'Cash Flow'!DJ76</f>
        <v>3777</v>
      </c>
      <c r="DK383" s="168">
        <f>SUM(DG383:DJ383)</f>
        <v>11214</v>
      </c>
      <c r="DL383" s="244"/>
      <c r="DM383" s="59">
        <f>'Cash Flow'!DM76</f>
        <v>5421</v>
      </c>
      <c r="DN383" s="59">
        <f>'Cash Flow'!DN76</f>
        <v>1255</v>
      </c>
      <c r="DO383" s="59">
        <f>'Cash Flow'!DO76</f>
        <v>3010</v>
      </c>
      <c r="DP383" s="59">
        <f>'Cash Flow'!DP76</f>
        <v>4057</v>
      </c>
      <c r="DQ383" s="168">
        <f>SUM(DM383:DP383)</f>
        <v>13743</v>
      </c>
      <c r="DR383" s="244"/>
      <c r="DS383" s="59">
        <f>'Cash Flow'!DS76</f>
        <v>5671</v>
      </c>
      <c r="DT383" s="59">
        <f>'Cash Flow'!DT76</f>
        <v>795</v>
      </c>
      <c r="DU383" s="59">
        <f>'Cash Flow'!DU76</f>
        <v>3194</v>
      </c>
      <c r="DV383" s="59">
        <f>'Cash Flow'!DV76</f>
        <v>4564</v>
      </c>
      <c r="DW383" s="168">
        <f>SUM(DS383:DV383)</f>
        <v>14224</v>
      </c>
      <c r="DX383" s="244"/>
      <c r="DY383" s="59">
        <f>'Cash Flow'!DY76</f>
        <v>6292</v>
      </c>
      <c r="DZ383" s="59">
        <f>'Cash Flow'!DZ76</f>
        <v>1146</v>
      </c>
      <c r="EA383" s="59">
        <f>'Cash Flow'!EA76</f>
        <v>3027</v>
      </c>
      <c r="EB383" s="59">
        <f>'Cash Flow'!EB76</f>
        <v>4456</v>
      </c>
      <c r="EC383" s="168">
        <f>SUM(DY383:EB383)</f>
        <v>14921</v>
      </c>
      <c r="ED383" s="244"/>
      <c r="EE383" s="59">
        <f>'Cash Flow'!EE76</f>
        <v>6728</v>
      </c>
      <c r="EF383" s="59">
        <f>'Cash Flow'!EF76</f>
        <v>1062</v>
      </c>
      <c r="EG383" s="59">
        <f>'Cash Flow'!EG76</f>
        <v>2263</v>
      </c>
      <c r="EH383" s="59">
        <f>'Cash Flow'!EH76</f>
        <v>4283</v>
      </c>
      <c r="EI383" s="168">
        <f>SUM(EE383:EH383)</f>
        <v>14336</v>
      </c>
      <c r="EJ383" s="244"/>
      <c r="EK383" s="59">
        <f>'Cash Flow'!EK76</f>
        <v>5856</v>
      </c>
      <c r="EL383" s="59">
        <f>'Cash Flow'!EL76</f>
        <v>501</v>
      </c>
      <c r="EM383" s="59">
        <f>'Cash Flow'!EM76</f>
        <v>3474</v>
      </c>
      <c r="EN383" s="59">
        <f>'Cash Flow'!EN76</f>
        <v>3730</v>
      </c>
      <c r="EO383" s="168">
        <f>SUM(EK383:EN383)</f>
        <v>13561</v>
      </c>
      <c r="EP383" s="244"/>
      <c r="EQ383" s="59">
        <f>'Cash Flow'!EQ76</f>
        <v>5875</v>
      </c>
      <c r="ER383" s="59">
        <f>'Cash Flow'!ER76</f>
        <v>1086</v>
      </c>
      <c r="ES383" s="59">
        <f>'Cash Flow'!ES76</f>
        <v>2699</v>
      </c>
      <c r="ET383" s="59">
        <f>'Cash Flow'!ET76</f>
        <v>4466</v>
      </c>
      <c r="EU383" s="168">
        <f>SUM(EQ383:ET383)</f>
        <v>14126</v>
      </c>
      <c r="EV383" s="244"/>
      <c r="EW383" s="59">
        <f>'Cash Flow'!EW76</f>
        <v>6566</v>
      </c>
      <c r="EX383" s="59">
        <f>'Cash Flow'!EX76</f>
        <v>850</v>
      </c>
      <c r="EY383" s="59">
        <f>'Cash Flow'!EY76</f>
        <v>3310</v>
      </c>
      <c r="EZ383" s="59">
        <f>'Cash Flow'!EZ76</f>
        <v>4375.7021005192146</v>
      </c>
      <c r="FA383" s="168">
        <f>SUM(EW383:EZ383)</f>
        <v>15101.702100519215</v>
      </c>
      <c r="FB383" s="244"/>
      <c r="FC383" s="59">
        <f>'Cash Flow'!FC76</f>
        <v>5896.4558405650396</v>
      </c>
      <c r="FD383" s="59">
        <f>'Cash Flow'!FD76</f>
        <v>846.58791287890062</v>
      </c>
      <c r="FE383" s="59">
        <f>'Cash Flow'!FE76</f>
        <v>4159.8586850644215</v>
      </c>
      <c r="FF383" s="59">
        <f>'Cash Flow'!FF76</f>
        <v>5081.1827725622643</v>
      </c>
      <c r="FG383" s="168">
        <f>SUM(FC383:FF383)</f>
        <v>15984.085211070626</v>
      </c>
      <c r="FH383" s="244"/>
      <c r="FI383" s="59">
        <f>'Cash Flow'!FI76</f>
        <v>6310.2773968454549</v>
      </c>
      <c r="FJ383" s="59">
        <f>'Cash Flow'!FJ76</f>
        <v>877.96305883177638</v>
      </c>
      <c r="FK383" s="59">
        <f>'Cash Flow'!FK76</f>
        <v>4248.4246532360185</v>
      </c>
      <c r="FL383" s="59">
        <f>'Cash Flow'!FL76</f>
        <v>5945.2714778355239</v>
      </c>
      <c r="FM383" s="168">
        <f>SUM(FI383:FL383)</f>
        <v>17381.936586748772</v>
      </c>
      <c r="FN383" s="27"/>
      <c r="FO383" s="27"/>
      <c r="FP383" s="27"/>
      <c r="FQ383" s="27"/>
      <c r="FR383" s="27"/>
      <c r="FS383" s="27"/>
      <c r="FT383" s="27"/>
      <c r="FU383" s="27"/>
      <c r="FV383" s="27"/>
      <c r="FW383" s="27"/>
      <c r="FX383" s="27"/>
      <c r="FY383" s="27"/>
      <c r="FZ383" s="27"/>
      <c r="GA383" s="27"/>
      <c r="GB383" s="27"/>
      <c r="GC383" s="27"/>
      <c r="GD383" s="27"/>
      <c r="GE383" s="27"/>
      <c r="GF383" s="27"/>
      <c r="GG383" s="27"/>
      <c r="GH383" s="27"/>
      <c r="GI383"/>
      <c r="GJ383"/>
      <c r="GK383"/>
      <c r="GL383"/>
      <c r="GM383"/>
      <c r="GN383"/>
      <c r="GO383" s="27"/>
      <c r="GP383"/>
      <c r="GQ383"/>
      <c r="GR383"/>
      <c r="GS383"/>
      <c r="GT383"/>
      <c r="GU383"/>
      <c r="GV383"/>
      <c r="GW383"/>
      <c r="GX383"/>
      <c r="GY383"/>
      <c r="GZ383"/>
      <c r="HA383"/>
      <c r="HB383"/>
      <c r="HC383"/>
      <c r="HD383"/>
      <c r="HE383"/>
      <c r="HF383"/>
      <c r="HG383"/>
      <c r="HH383"/>
      <c r="HI383"/>
      <c r="HJ383"/>
      <c r="HK383"/>
      <c r="HL383"/>
      <c r="HM383"/>
      <c r="HN383"/>
      <c r="HO383"/>
      <c r="HP383"/>
      <c r="HQ383"/>
      <c r="HR383"/>
      <c r="HS383"/>
      <c r="HT383"/>
      <c r="HU383"/>
      <c r="HV383"/>
      <c r="HW383"/>
      <c r="HX383"/>
      <c r="HY383"/>
      <c r="HZ383"/>
      <c r="IA383"/>
      <c r="IB383"/>
      <c r="IC383"/>
      <c r="ID383"/>
      <c r="IE383"/>
      <c r="IF383"/>
      <c r="IG383"/>
      <c r="IH383"/>
      <c r="II383"/>
      <c r="IJ383"/>
      <c r="IK383"/>
      <c r="IL383"/>
      <c r="IM383"/>
      <c r="IN383"/>
      <c r="IO383"/>
      <c r="IP383"/>
      <c r="IQ383"/>
      <c r="IR383"/>
      <c r="IS383"/>
      <c r="IT383"/>
      <c r="IU383"/>
      <c r="IV383"/>
      <c r="IW383"/>
      <c r="IX383"/>
      <c r="IY383"/>
      <c r="IZ383"/>
      <c r="JA383"/>
      <c r="JB383"/>
      <c r="JC383"/>
      <c r="JD383"/>
      <c r="JE383"/>
      <c r="JF383"/>
      <c r="JG383"/>
      <c r="JH383"/>
      <c r="JI383"/>
      <c r="JJ383"/>
      <c r="JK383"/>
      <c r="JL383"/>
      <c r="JM383"/>
      <c r="JN383"/>
      <c r="JO383"/>
      <c r="JP383"/>
      <c r="JQ383"/>
      <c r="JR383"/>
      <c r="JS383"/>
      <c r="JT383"/>
      <c r="JU383"/>
    </row>
    <row r="384" spans="1:281" s="24" customFormat="1" hidden="1" outlineLevel="1" x14ac:dyDescent="0.2">
      <c r="A384" s="405" t="str">
        <f>'Cash Flow'!A63</f>
        <v>Depreciation</v>
      </c>
      <c r="B384" s="954" t="s">
        <v>839</v>
      </c>
      <c r="C384" s="59">
        <f>'Cash Flow'!C63</f>
        <v>0</v>
      </c>
      <c r="D384" s="59">
        <f>'Cash Flow'!D63</f>
        <v>0</v>
      </c>
      <c r="E384" s="59">
        <f>'Cash Flow'!E63</f>
        <v>0</v>
      </c>
      <c r="F384" s="59">
        <f>'Cash Flow'!F63</f>
        <v>5.3330000000000002</v>
      </c>
      <c r="G384" s="59">
        <f>'Cash Flow'!G63</f>
        <v>12.973000000000001</v>
      </c>
      <c r="H384" s="59">
        <f>'Cash Flow'!H63</f>
        <v>23.155999999999999</v>
      </c>
      <c r="I384" s="59">
        <f>'Cash Flow'!I63</f>
        <v>44.078000000000003</v>
      </c>
      <c r="J384" s="59">
        <f>'Cash Flow'!J63</f>
        <v>70.727000000000004</v>
      </c>
      <c r="K384" s="59">
        <f>'Cash Flow'!K63</f>
        <v>65.778000000000006</v>
      </c>
      <c r="L384" s="59">
        <f>'Cash Flow'!L63</f>
        <v>79.203999999999994</v>
      </c>
      <c r="M384" s="59">
        <f>'Cash Flow'!M63</f>
        <v>104.563</v>
      </c>
      <c r="N384" s="244"/>
      <c r="O384" s="59">
        <f>'Cash Flow'!O63</f>
        <v>30.638999999999999</v>
      </c>
      <c r="P384" s="59">
        <f>'Cash Flow'!P63</f>
        <v>34.469000000000008</v>
      </c>
      <c r="Q384" s="59">
        <f>'Cash Flow'!Q63</f>
        <v>37.146999999999991</v>
      </c>
      <c r="R384" s="59">
        <f>'Cash Flow'!R63</f>
        <v>45.516999999999996</v>
      </c>
      <c r="S384" s="59">
        <f>'Cash Flow'!S63</f>
        <v>147.77199999999999</v>
      </c>
      <c r="T384" s="59"/>
      <c r="U384" s="59">
        <f>'Cash Flow'!U63</f>
        <v>50.338999999999999</v>
      </c>
      <c r="V384" s="59">
        <f>'Cash Flow'!V63</f>
        <v>54.507999999999996</v>
      </c>
      <c r="W384" s="59">
        <f>'Cash Flow'!W63</f>
        <v>54.868000000000009</v>
      </c>
      <c r="X384" s="59">
        <f>'Cash Flow'!X63</f>
        <v>59.778999999999982</v>
      </c>
      <c r="Y384" s="59">
        <f>'Cash Flow'!Y63</f>
        <v>219.49399999999997</v>
      </c>
      <c r="Z384" s="244"/>
      <c r="AA384" s="59">
        <f>'Cash Flow'!AA63</f>
        <v>62.765000000000001</v>
      </c>
      <c r="AB384" s="59">
        <f>'Cash Flow'!AB63</f>
        <v>63.915000000000006</v>
      </c>
      <c r="AC384" s="59">
        <f>'Cash Flow'!AC63</f>
        <v>65.747</v>
      </c>
      <c r="AD384" s="59">
        <f>'Cash Flow'!AD63</f>
        <v>72.345999999999989</v>
      </c>
      <c r="AE384" s="59">
        <f>'Cash Flow'!AE63</f>
        <v>264.77300000000002</v>
      </c>
      <c r="AF384" s="244"/>
      <c r="AG384" s="59">
        <f>'Cash Flow'!AG63</f>
        <v>71.137</v>
      </c>
      <c r="AH384" s="59">
        <f>'Cash Flow'!AH63</f>
        <v>84.556999999999988</v>
      </c>
      <c r="AI384" s="59">
        <f>'Cash Flow'!AI63</f>
        <v>55.285000000000025</v>
      </c>
      <c r="AJ384" s="59">
        <f>'Cash Flow'!AJ63</f>
        <v>117.58399999999997</v>
      </c>
      <c r="AK384" s="59">
        <f>'Cash Flow'!AK63</f>
        <v>328.56299999999999</v>
      </c>
      <c r="AL384" s="244"/>
      <c r="AM384" s="59">
        <f>'Cash Flow'!AM63</f>
        <v>81.406000000000006</v>
      </c>
      <c r="AN384" s="59">
        <f>'Cash Flow'!AN63</f>
        <v>88.858000000000004</v>
      </c>
      <c r="AO384" s="59">
        <f>'Cash Flow'!AO63</f>
        <v>63.653999999999996</v>
      </c>
      <c r="AP384" s="59">
        <f>'Cash Flow'!AP63</f>
        <v>85.904999999999973</v>
      </c>
      <c r="AQ384" s="59">
        <f>'Cash Flow'!AQ63</f>
        <v>319.82299999999998</v>
      </c>
      <c r="AR384" s="244"/>
      <c r="AS384" s="59">
        <f>'Cash Flow'!AS63</f>
        <v>76.813000000000002</v>
      </c>
      <c r="AT384" s="59">
        <f>'Cash Flow'!AT63</f>
        <v>77.352999999999994</v>
      </c>
      <c r="AU384" s="59">
        <f>'Cash Flow'!AU63</f>
        <v>82.222999999999999</v>
      </c>
      <c r="AV384" s="59">
        <f>'Cash Flow'!AV63</f>
        <v>77.925999999999974</v>
      </c>
      <c r="AW384" s="59">
        <f>'Cash Flow'!AW63</f>
        <v>314.315</v>
      </c>
      <c r="AX384" s="244"/>
      <c r="AY384" s="59">
        <f>'Cash Flow'!AY63</f>
        <v>73.16</v>
      </c>
      <c r="AZ384" s="59">
        <f>'Cash Flow'!AZ63</f>
        <v>66.079000000000008</v>
      </c>
      <c r="BA384" s="59">
        <f>'Cash Flow'!BA63</f>
        <v>67.16</v>
      </c>
      <c r="BB384" s="59">
        <f>'Cash Flow'!BB63</f>
        <v>68.600999999999999</v>
      </c>
      <c r="BC384" s="59">
        <f>'Cash Flow'!BC63</f>
        <v>275</v>
      </c>
      <c r="BD384" s="244"/>
      <c r="BE384" s="59">
        <f>'Cash Flow'!BE63</f>
        <v>65.641000000000005</v>
      </c>
      <c r="BF384" s="59">
        <f>'Cash Flow'!BF63</f>
        <v>58.358999999999995</v>
      </c>
      <c r="BG384" s="59">
        <f>'Cash Flow'!BG63</f>
        <v>70.000000000000014</v>
      </c>
      <c r="BH384" s="59">
        <f>'Cash Flow'!BH63</f>
        <v>79.000000000000014</v>
      </c>
      <c r="BI384" s="59">
        <f>'Cash Flow'!BI63</f>
        <v>273</v>
      </c>
      <c r="BJ384" s="244"/>
      <c r="BK384" s="59">
        <f>'Cash Flow'!BK63</f>
        <v>62</v>
      </c>
      <c r="BL384" s="59">
        <f>'Cash Flow'!BL63</f>
        <v>60</v>
      </c>
      <c r="BM384" s="59">
        <f>'Cash Flow'!BM63</f>
        <v>71</v>
      </c>
      <c r="BN384" s="59">
        <f>'Cash Flow'!BN63</f>
        <v>50</v>
      </c>
      <c r="BO384" s="59">
        <f>'Cash Flow'!BO63</f>
        <v>243</v>
      </c>
      <c r="BP384" s="244"/>
      <c r="BQ384" s="59">
        <f>'Cash Flow'!BQ63</f>
        <v>50</v>
      </c>
      <c r="BR384" s="59">
        <f>'Cash Flow'!BR63</f>
        <v>50</v>
      </c>
      <c r="BS384" s="59">
        <f>'Cash Flow'!BS63</f>
        <v>50</v>
      </c>
      <c r="BT384" s="59">
        <f>'Cash Flow'!BT63</f>
        <v>48</v>
      </c>
      <c r="BU384" s="59">
        <f>'Cash Flow'!BU63</f>
        <v>198</v>
      </c>
      <c r="BV384" s="244"/>
      <c r="BW384" s="59">
        <f>'Cash Flow'!BW63</f>
        <v>44</v>
      </c>
      <c r="BX384" s="59">
        <f>'Cash Flow'!BX63</f>
        <v>45</v>
      </c>
      <c r="BY384" s="59">
        <f>'Cash Flow'!BY63</f>
        <v>53</v>
      </c>
      <c r="BZ384" s="59">
        <f>'Cash Flow'!BZ63</f>
        <v>64</v>
      </c>
      <c r="CA384" s="59">
        <f>'Cash Flow'!CA63</f>
        <v>206</v>
      </c>
      <c r="CB384" s="244"/>
      <c r="CC384" s="59">
        <f>'Cash Flow'!CC63</f>
        <v>57</v>
      </c>
      <c r="CD384" s="59">
        <f>'Cash Flow'!CD63</f>
        <v>53</v>
      </c>
      <c r="CE384" s="59">
        <f>'Cash Flow'!CE63</f>
        <v>50</v>
      </c>
      <c r="CF384" s="59">
        <f>'Cash Flow'!CF63</f>
        <v>63</v>
      </c>
      <c r="CG384" s="168">
        <f>'Cash Flow'!CG63</f>
        <v>223</v>
      </c>
      <c r="CH384" s="244"/>
      <c r="CI384" s="59">
        <f>'Cash Flow'!CI63</f>
        <v>59</v>
      </c>
      <c r="CJ384" s="59">
        <f>'Cash Flow'!CJ63</f>
        <v>65</v>
      </c>
      <c r="CK384" s="59">
        <f>'Cash Flow'!CK63</f>
        <v>60</v>
      </c>
      <c r="CL384" s="59">
        <f>'Cash Flow'!CL63</f>
        <v>65</v>
      </c>
      <c r="CM384" s="168">
        <f>'Cash Flow'!CM63</f>
        <v>249</v>
      </c>
      <c r="CN384" s="244"/>
      <c r="CO384" s="59">
        <f>'Cash Flow'!CO63</f>
        <v>67</v>
      </c>
      <c r="CP384" s="59">
        <f>'Cash Flow'!CP63</f>
        <v>70</v>
      </c>
      <c r="CQ384" s="59">
        <f>'Cash Flow'!CQ63</f>
        <v>65</v>
      </c>
      <c r="CR384" s="59">
        <f>'Cash Flow'!CR63</f>
        <v>66</v>
      </c>
      <c r="CS384" s="168">
        <f>'Cash Flow'!CS63</f>
        <v>268</v>
      </c>
      <c r="CT384" s="244"/>
      <c r="CU384" s="59">
        <f>'Cash Flow'!CU63</f>
        <v>64</v>
      </c>
      <c r="CV384" s="59">
        <f>'Cash Flow'!CV63</f>
        <v>70</v>
      </c>
      <c r="CW384" s="59">
        <f>'Cash Flow'!CW63</f>
        <v>64</v>
      </c>
      <c r="CX384" s="59">
        <f>'Cash Flow'!CX63</f>
        <v>65</v>
      </c>
      <c r="CY384" s="168">
        <f>'Cash Flow'!CY63</f>
        <v>263</v>
      </c>
      <c r="CZ384" s="244"/>
      <c r="DA384" s="59">
        <f>'Cash Flow'!DA63</f>
        <v>61</v>
      </c>
      <c r="DB384" s="59">
        <f>'Cash Flow'!DB63</f>
        <v>62</v>
      </c>
      <c r="DC384" s="59">
        <f>'Cash Flow'!DC63</f>
        <v>73</v>
      </c>
      <c r="DD384" s="59">
        <f>'Cash Flow'!DD63</f>
        <v>102</v>
      </c>
      <c r="DE384" s="168">
        <f>'Cash Flow'!DE63</f>
        <v>298</v>
      </c>
      <c r="DF384" s="244"/>
      <c r="DG384" s="59">
        <f>'Cash Flow'!DG63</f>
        <v>99</v>
      </c>
      <c r="DH384" s="59">
        <f>'Cash Flow'!DH63</f>
        <v>95</v>
      </c>
      <c r="DI384" s="59">
        <f>'Cash Flow'!DI63</f>
        <v>89</v>
      </c>
      <c r="DJ384" s="59">
        <f>'Cash Flow'!DJ63</f>
        <v>85</v>
      </c>
      <c r="DK384" s="168">
        <f>'Cash Flow'!DK63</f>
        <v>368</v>
      </c>
      <c r="DL384" s="244"/>
      <c r="DM384" s="59">
        <f>'Cash Flow'!DM63</f>
        <v>117</v>
      </c>
      <c r="DN384" s="59">
        <f>'Cash Flow'!DN63</f>
        <v>109</v>
      </c>
      <c r="DO384" s="59">
        <f>'Cash Flow'!DO63</f>
        <v>124</v>
      </c>
      <c r="DP384" s="59">
        <f>'Cash Flow'!DP63</f>
        <v>136</v>
      </c>
      <c r="DQ384" s="168">
        <f>'Cash Flow'!DQ63</f>
        <v>486</v>
      </c>
      <c r="DR384" s="244"/>
      <c r="DS384" s="59">
        <f>'Cash Flow'!DS63</f>
        <v>127</v>
      </c>
      <c r="DT384" s="59">
        <f>'Cash Flow'!DT63</f>
        <v>134</v>
      </c>
      <c r="DU384" s="59">
        <f>'Cash Flow'!DU63</f>
        <v>139</v>
      </c>
      <c r="DV384" s="59">
        <f>'Cash Flow'!DV63</f>
        <v>146</v>
      </c>
      <c r="DW384" s="168">
        <f>'Cash Flow'!DW63</f>
        <v>546</v>
      </c>
      <c r="DX384" s="244"/>
      <c r="DY384" s="59">
        <f>'Cash Flow'!DY63</f>
        <v>150</v>
      </c>
      <c r="DZ384" s="59">
        <f>'Cash Flow'!DZ63</f>
        <v>152</v>
      </c>
      <c r="EA384" s="59">
        <f>'Cash Flow'!EA63</f>
        <v>150</v>
      </c>
      <c r="EB384" s="59">
        <f>'Cash Flow'!EB63</f>
        <v>156</v>
      </c>
      <c r="EC384" s="168">
        <f>'Cash Flow'!EC63</f>
        <v>608</v>
      </c>
      <c r="ED384" s="244"/>
      <c r="EE384" s="59">
        <f>'Cash Flow'!EE63</f>
        <v>160</v>
      </c>
      <c r="EF384" s="59">
        <f>'Cash Flow'!EF63</f>
        <v>164</v>
      </c>
      <c r="EG384" s="59">
        <f>'Cash Flow'!EG63</f>
        <v>178</v>
      </c>
      <c r="EH384" s="59">
        <f>'Cash Flow'!EH63</f>
        <v>210</v>
      </c>
      <c r="EI384" s="168">
        <f>'Cash Flow'!EI63</f>
        <v>712</v>
      </c>
      <c r="EJ384" s="244"/>
      <c r="EK384" s="59">
        <f>'Cash Flow'!EK63</f>
        <v>219</v>
      </c>
      <c r="EL384" s="59">
        <f>'Cash Flow'!EL63</f>
        <v>210</v>
      </c>
      <c r="EM384" s="59">
        <f>'Cash Flow'!EM63</f>
        <v>214</v>
      </c>
      <c r="EN384" s="59">
        <f>'Cash Flow'!EN63</f>
        <v>228</v>
      </c>
      <c r="EO384" s="168">
        <f>'Cash Flow'!EO63</f>
        <v>871</v>
      </c>
      <c r="EP384" s="244"/>
      <c r="EQ384" s="59">
        <f>'Cash Flow'!EQ63</f>
        <v>222</v>
      </c>
      <c r="ER384" s="59">
        <f>'Cash Flow'!ER63</f>
        <v>241</v>
      </c>
      <c r="ES384" s="59">
        <f>'Cash Flow'!ES63</f>
        <v>259</v>
      </c>
      <c r="ET384" s="59">
        <f>'Cash Flow'!ET63</f>
        <v>278</v>
      </c>
      <c r="EU384" s="168">
        <f>'Cash Flow'!EU63</f>
        <v>1000</v>
      </c>
      <c r="EV384" s="244"/>
      <c r="EW384" s="59">
        <f>'Cash Flow'!EW63</f>
        <v>285</v>
      </c>
      <c r="EX384" s="59">
        <f>'Cash Flow'!EX63</f>
        <v>288</v>
      </c>
      <c r="EY384" s="59">
        <f>'Cash Flow'!EY63</f>
        <v>305</v>
      </c>
      <c r="EZ384" s="59">
        <f>'Cash Flow'!EZ63</f>
        <v>294.48384994880394</v>
      </c>
      <c r="FA384" s="168">
        <f>'Cash Flow'!FA63</f>
        <v>1172.4838499488039</v>
      </c>
      <c r="FB384" s="244"/>
      <c r="FC384" s="59">
        <f>'Cash Flow'!FC63</f>
        <v>285.94925186011488</v>
      </c>
      <c r="FD384" s="59">
        <f>'Cash Flow'!FD63</f>
        <v>289.70264881406632</v>
      </c>
      <c r="FE384" s="59">
        <f>'Cash Flow'!FE63</f>
        <v>619.4067158806813</v>
      </c>
      <c r="FF384" s="59">
        <f>'Cash Flow'!FF63</f>
        <v>330.60144670708246</v>
      </c>
      <c r="FG384" s="168">
        <f>'Cash Flow'!FG63</f>
        <v>1525.660063261945</v>
      </c>
      <c r="FH384" s="244"/>
      <c r="FI384" s="59">
        <f>'Cash Flow'!FI63</f>
        <v>338.39441965381172</v>
      </c>
      <c r="FJ384" s="59">
        <f>'Cash Flow'!FJ63</f>
        <v>339.38087946437088</v>
      </c>
      <c r="FK384" s="59">
        <f>'Cash Flow'!FK63</f>
        <v>719.04481725071969</v>
      </c>
      <c r="FL384" s="59">
        <f>'Cash Flow'!FL63</f>
        <v>380.65629175664071</v>
      </c>
      <c r="FM384" s="168">
        <f>'Cash Flow'!FM63</f>
        <v>1777.476408125543</v>
      </c>
      <c r="FN384" s="27"/>
      <c r="FO384" s="27"/>
      <c r="FP384" s="27"/>
      <c r="FQ384" s="27"/>
      <c r="FR384" s="27"/>
      <c r="FS384" s="27"/>
      <c r="FT384" s="27"/>
      <c r="FU384" s="27"/>
      <c r="FV384" s="27"/>
      <c r="FW384" s="27"/>
      <c r="FX384" s="27"/>
      <c r="FY384" s="27"/>
      <c r="FZ384" s="27"/>
      <c r="GA384" s="27"/>
      <c r="GB384" s="27"/>
      <c r="GC384" s="27"/>
      <c r="GD384" s="27"/>
      <c r="GE384" s="27"/>
      <c r="GF384" s="27"/>
      <c r="GG384" s="27"/>
      <c r="GH384" s="27"/>
      <c r="GI384"/>
      <c r="GJ384"/>
      <c r="GK384"/>
      <c r="GL384"/>
      <c r="GM384"/>
      <c r="GN384"/>
      <c r="GO384" s="27"/>
      <c r="GP384"/>
      <c r="GQ384"/>
      <c r="GR384"/>
      <c r="GS384"/>
      <c r="GT384"/>
      <c r="GU384"/>
      <c r="GV384"/>
      <c r="GW384"/>
      <c r="GX384"/>
      <c r="GY384"/>
      <c r="GZ384"/>
      <c r="HA384"/>
      <c r="HB384"/>
      <c r="HC384"/>
      <c r="HD384"/>
      <c r="HE384"/>
      <c r="HF384"/>
      <c r="HG384"/>
      <c r="HH384"/>
      <c r="HI384"/>
      <c r="HJ384"/>
      <c r="HK384"/>
      <c r="HL384"/>
      <c r="HM384"/>
      <c r="HN384"/>
      <c r="HO384"/>
      <c r="HP384"/>
      <c r="HQ384"/>
      <c r="HR384"/>
      <c r="HS384"/>
      <c r="HT384"/>
      <c r="HU384"/>
      <c r="HV384"/>
      <c r="HW384"/>
      <c r="HX384"/>
      <c r="HY384"/>
      <c r="HZ384"/>
      <c r="IA384"/>
      <c r="IB384"/>
      <c r="IC384"/>
      <c r="ID384"/>
      <c r="IE384"/>
      <c r="IF384"/>
      <c r="IG384"/>
      <c r="IH384"/>
      <c r="II384"/>
      <c r="IJ384"/>
      <c r="IK384"/>
      <c r="IL384"/>
      <c r="IM384"/>
      <c r="IN384"/>
      <c r="IO384"/>
      <c r="IP384"/>
      <c r="IQ384"/>
      <c r="IR384"/>
      <c r="IS384"/>
      <c r="IT384"/>
      <c r="IU384"/>
      <c r="IV384"/>
      <c r="IW384"/>
      <c r="IX384"/>
      <c r="IY384"/>
      <c r="IZ384"/>
      <c r="JA384"/>
      <c r="JB384"/>
      <c r="JC384"/>
      <c r="JD384"/>
      <c r="JE384"/>
      <c r="JF384"/>
      <c r="JG384"/>
      <c r="JH384"/>
      <c r="JI384"/>
      <c r="JJ384"/>
      <c r="JK384"/>
      <c r="JL384"/>
      <c r="JM384"/>
      <c r="JN384"/>
      <c r="JO384"/>
      <c r="JP384"/>
      <c r="JQ384"/>
      <c r="JR384"/>
      <c r="JS384"/>
      <c r="JT384"/>
      <c r="JU384"/>
    </row>
    <row r="385" spans="1:281" s="24" customFormat="1" hidden="1" outlineLevel="1" x14ac:dyDescent="0.2">
      <c r="A385" s="244" t="s">
        <v>541</v>
      </c>
      <c r="B385" s="954" t="s">
        <v>307</v>
      </c>
      <c r="C385" s="59" t="str">
        <f>'Balance Sheet'!C34</f>
        <v>-</v>
      </c>
      <c r="D385" s="59" t="str">
        <f>'Balance Sheet'!D102</f>
        <v>-</v>
      </c>
      <c r="E385" s="59" t="str">
        <f>'Balance Sheet'!E102</f>
        <v>-</v>
      </c>
      <c r="F385" s="59" t="str">
        <f>'Balance Sheet'!F102</f>
        <v>-</v>
      </c>
      <c r="G385" s="59" t="str">
        <f>'Balance Sheet'!G102</f>
        <v>-</v>
      </c>
      <c r="H385" s="59" t="str">
        <f>'Balance Sheet'!H102</f>
        <v>-</v>
      </c>
      <c r="I385" s="59" t="str">
        <f>'Balance Sheet'!I102</f>
        <v>-</v>
      </c>
      <c r="J385" s="59" t="str">
        <f>'Balance Sheet'!J102</f>
        <v>-</v>
      </c>
      <c r="K385" s="59" t="str">
        <f>'Balance Sheet'!K102</f>
        <v>-</v>
      </c>
      <c r="L385" s="59" t="str">
        <f>'Balance Sheet'!L102</f>
        <v>-</v>
      </c>
      <c r="M385" s="59" t="str">
        <f>'Balance Sheet'!M102</f>
        <v>-</v>
      </c>
      <c r="N385" s="244"/>
      <c r="O385" s="59">
        <f>'Balance Sheet'!O102</f>
        <v>70.544859238706579</v>
      </c>
      <c r="P385" s="59">
        <f>'Balance Sheet'!P102</f>
        <v>72.408053350838472</v>
      </c>
      <c r="Q385" s="59">
        <f>'Balance Sheet'!Q102</f>
        <v>69.615310594050499</v>
      </c>
      <c r="R385" s="59">
        <f>'Balance Sheet'!R102</f>
        <v>67.617133274190735</v>
      </c>
      <c r="S385" s="59">
        <f t="shared" si="258"/>
        <v>67.617133274190735</v>
      </c>
      <c r="T385" s="244"/>
      <c r="U385" s="59">
        <f>'Balance Sheet'!U102</f>
        <v>71.256097734784646</v>
      </c>
      <c r="V385" s="59">
        <f>'Balance Sheet'!V102</f>
        <v>71.378097207859355</v>
      </c>
      <c r="W385" s="59">
        <f>'Balance Sheet'!W102</f>
        <v>68.324255395059396</v>
      </c>
      <c r="X385" s="59">
        <f>'Balance Sheet'!X102</f>
        <v>66.688719286047018</v>
      </c>
      <c r="Y385" s="59">
        <f t="shared" si="259"/>
        <v>66.688719286047018</v>
      </c>
      <c r="Z385" s="244"/>
      <c r="AA385" s="59">
        <f>'Balance Sheet'!AA102</f>
        <v>76.96789661690039</v>
      </c>
      <c r="AB385" s="59">
        <f>'Balance Sheet'!AB102</f>
        <v>74.395034822281687</v>
      </c>
      <c r="AC385" s="59">
        <f>'Balance Sheet'!AC102</f>
        <v>72.267820572878165</v>
      </c>
      <c r="AD385" s="59">
        <f>'Balance Sheet'!AD102</f>
        <v>71.170479319887619</v>
      </c>
      <c r="AE385" s="59">
        <f t="shared" si="260"/>
        <v>71.170479319887619</v>
      </c>
      <c r="AF385" s="244"/>
      <c r="AG385" s="59">
        <f>'Balance Sheet'!AG102</f>
        <v>77.808694737395783</v>
      </c>
      <c r="AH385" s="59">
        <f>'Balance Sheet'!AH102</f>
        <v>73.694695571183971</v>
      </c>
      <c r="AI385" s="59">
        <f>'Balance Sheet'!AI102</f>
        <v>68.077091328297755</v>
      </c>
      <c r="AJ385" s="59">
        <f>'Balance Sheet'!AJ102</f>
        <v>69.293068380259427</v>
      </c>
      <c r="AK385" s="59">
        <f t="shared" si="261"/>
        <v>69.293068380259427</v>
      </c>
      <c r="AL385" s="244"/>
      <c r="AM385" s="59">
        <f>'Balance Sheet'!AM102</f>
        <v>69.536758694421735</v>
      </c>
      <c r="AN385" s="59">
        <f>'Balance Sheet'!AN102</f>
        <v>70.230628849813016</v>
      </c>
      <c r="AO385" s="59">
        <f>'Balance Sheet'!AO102</f>
        <v>67.701869239797588</v>
      </c>
      <c r="AP385" s="59">
        <f>'Balance Sheet'!AP102</f>
        <v>68.440140550773677</v>
      </c>
      <c r="AQ385" s="59">
        <f t="shared" si="262"/>
        <v>68.440140550773677</v>
      </c>
      <c r="AR385" s="244"/>
      <c r="AS385" s="59">
        <f>'Balance Sheet'!AS102</f>
        <v>68.665851690864827</v>
      </c>
      <c r="AT385" s="59">
        <f>'Balance Sheet'!AT102</f>
        <v>68.566013016159744</v>
      </c>
      <c r="AU385" s="59">
        <f>'Balance Sheet'!AU102</f>
        <v>67.928336445637299</v>
      </c>
      <c r="AV385" s="59">
        <f>'Balance Sheet'!AV102</f>
        <v>67.586190954595153</v>
      </c>
      <c r="AW385" s="59">
        <f t="shared" si="263"/>
        <v>67.586190954595153</v>
      </c>
      <c r="AX385" s="244"/>
      <c r="AY385" s="59">
        <f>'Balance Sheet'!AY102</f>
        <v>66.726107433942062</v>
      </c>
      <c r="AZ385" s="59">
        <f>'Balance Sheet'!AZ102</f>
        <v>64.852036622880817</v>
      </c>
      <c r="BA385" s="59">
        <f>'Balance Sheet'!BA102</f>
        <v>65.165678682463536</v>
      </c>
      <c r="BB385" s="59">
        <f>'Balance Sheet'!BB102</f>
        <v>66.524224750245423</v>
      </c>
      <c r="BC385" s="59">
        <f t="shared" si="264"/>
        <v>66.524224750245423</v>
      </c>
      <c r="BD385" s="244"/>
      <c r="BE385" s="59">
        <f>'Balance Sheet'!BE102</f>
        <v>69.927268874265749</v>
      </c>
      <c r="BF385" s="59">
        <f>'Balance Sheet'!BF102</f>
        <v>68.531794792300744</v>
      </c>
      <c r="BG385" s="59">
        <f>'Balance Sheet'!BG102</f>
        <v>64.760961603323111</v>
      </c>
      <c r="BH385" s="59">
        <f>'Balance Sheet'!BH102</f>
        <v>66.056688924689823</v>
      </c>
      <c r="BI385" s="59">
        <f t="shared" si="265"/>
        <v>66.056688924689823</v>
      </c>
      <c r="BJ385" s="244"/>
      <c r="BK385" s="59">
        <f>'Balance Sheet'!BK102</f>
        <v>60.443786982248518</v>
      </c>
      <c r="BL385" s="59">
        <f>'Balance Sheet'!BL102</f>
        <v>59.597228237332182</v>
      </c>
      <c r="BM385" s="59">
        <f>'Balance Sheet'!BM102</f>
        <v>55.435630689206761</v>
      </c>
      <c r="BN385" s="59">
        <f>'Balance Sheet'!BN102</f>
        <v>61.029879211697391</v>
      </c>
      <c r="BO385" s="59">
        <f t="shared" si="266"/>
        <v>61.029879211697391</v>
      </c>
      <c r="BP385" s="244"/>
      <c r="BQ385" s="59">
        <f>'Balance Sheet'!BQ102</f>
        <v>58.465250965250966</v>
      </c>
      <c r="BR385" s="59">
        <f>'Balance Sheet'!BR102</f>
        <v>55.736589271417131</v>
      </c>
      <c r="BS385" s="59">
        <f>'Balance Sheet'!BS102</f>
        <v>55.420486249501792</v>
      </c>
      <c r="BT385" s="59">
        <f>'Balance Sheet'!BT102</f>
        <v>58.849528761780952</v>
      </c>
      <c r="BU385" s="59">
        <f t="shared" si="267"/>
        <v>58.849528761780952</v>
      </c>
      <c r="BV385" s="244"/>
      <c r="BW385" s="59">
        <f>'Balance Sheet'!BW102</f>
        <v>50.099322799097067</v>
      </c>
      <c r="BX385" s="59">
        <f>'Balance Sheet'!BX102</f>
        <v>50.029027576197386</v>
      </c>
      <c r="BY385" s="59">
        <f>'Balance Sheet'!BY102</f>
        <v>54.005819592628519</v>
      </c>
      <c r="BZ385" s="59">
        <f>'Balance Sheet'!BZ102</f>
        <v>57.040690505548703</v>
      </c>
      <c r="CA385" s="59">
        <f t="shared" si="268"/>
        <v>57.040690505548703</v>
      </c>
      <c r="CB385" s="244"/>
      <c r="CC385" s="59">
        <f>'Balance Sheet'!CC102</f>
        <v>51.11455108359133</v>
      </c>
      <c r="CD385" s="59">
        <f>'Balance Sheet'!CD102</f>
        <v>52.398350029463757</v>
      </c>
      <c r="CE385" s="59">
        <f>'Balance Sheet'!CE102</f>
        <v>56.046287913082843</v>
      </c>
      <c r="CF385" s="59">
        <f>'Balance Sheet'!CF102</f>
        <v>55.090135709945308</v>
      </c>
      <c r="CG385" s="168">
        <f t="shared" si="269"/>
        <v>55.090135709945308</v>
      </c>
      <c r="CH385" s="244"/>
      <c r="CI385" s="59">
        <f>'Balance Sheet'!CI102</f>
        <v>52.067741054356731</v>
      </c>
      <c r="CJ385" s="59">
        <f>'Balance Sheet'!CJ102</f>
        <v>54.286053130929794</v>
      </c>
      <c r="CK385" s="59">
        <f>'Balance Sheet'!CK102</f>
        <v>56.540795684423465</v>
      </c>
      <c r="CL385" s="59">
        <f>'Balance Sheet'!CL102</f>
        <v>62.325344212136663</v>
      </c>
      <c r="CM385" s="168">
        <f t="shared" si="270"/>
        <v>62.325344212136663</v>
      </c>
      <c r="CN385" s="244"/>
      <c r="CO385" s="59">
        <f>'Balance Sheet'!CO102</f>
        <v>53.592423252775966</v>
      </c>
      <c r="CP385" s="59">
        <f>'Balance Sheet'!CP102</f>
        <v>54.765100671140942</v>
      </c>
      <c r="CQ385" s="59">
        <f>'Balance Sheet'!CQ102</f>
        <v>54.207782535840629</v>
      </c>
      <c r="CR385" s="59">
        <f>'Balance Sheet'!CR102</f>
        <v>63.374536464771325</v>
      </c>
      <c r="CS385" s="168">
        <f t="shared" si="271"/>
        <v>63.374536464771325</v>
      </c>
      <c r="CT385" s="244"/>
      <c r="CU385" s="59">
        <f>'Balance Sheet'!CU102</f>
        <v>54.11287347842125</v>
      </c>
      <c r="CV385" s="59">
        <f>'Balance Sheet'!CV102</f>
        <v>51.480569720414984</v>
      </c>
      <c r="CW385" s="59">
        <f>'Balance Sheet'!CW102</f>
        <v>49.464026162790695</v>
      </c>
      <c r="CX385" s="59">
        <f>'Balance Sheet'!CX102</f>
        <v>57.942159569829968</v>
      </c>
      <c r="CY385" s="168">
        <f t="shared" si="272"/>
        <v>57.942159569829968</v>
      </c>
      <c r="CZ385" s="244"/>
      <c r="DA385" s="59">
        <f>'Balance Sheet'!DA102</f>
        <v>45.93324116136678</v>
      </c>
      <c r="DB385" s="59">
        <f>'Balance Sheet'!DB102</f>
        <v>47.299046321525886</v>
      </c>
      <c r="DC385" s="59">
        <f>'Balance Sheet'!DC102</f>
        <v>54.227594521903114</v>
      </c>
      <c r="DD385" s="59">
        <f>'Balance Sheet'!DD102</f>
        <v>52.190842072474304</v>
      </c>
      <c r="DE385" s="168">
        <f t="shared" si="273"/>
        <v>52.190842072474304</v>
      </c>
      <c r="DF385" s="244"/>
      <c r="DG385" s="59">
        <f>'Balance Sheet'!DG102</f>
        <v>44.134159198734842</v>
      </c>
      <c r="DH385" s="59">
        <f>'Balance Sheet'!DH102</f>
        <v>45.610766045548651</v>
      </c>
      <c r="DI385" s="59">
        <f>'Balance Sheet'!DI102</f>
        <v>45.935051663449528</v>
      </c>
      <c r="DJ385" s="59">
        <f>'Balance Sheet'!DJ102</f>
        <v>55.202665186007771</v>
      </c>
      <c r="DK385" s="168">
        <f>DJ385</f>
        <v>55.202665186007771</v>
      </c>
      <c r="DL385" s="244"/>
      <c r="DM385" s="59">
        <f>'Balance Sheet'!DM102</f>
        <v>44.94641581328888</v>
      </c>
      <c r="DN385" s="59">
        <f>'Balance Sheet'!DN102</f>
        <v>45.291113381001018</v>
      </c>
      <c r="DO385" s="59">
        <f>'Balance Sheet'!DO102</f>
        <v>46.239717003751082</v>
      </c>
      <c r="DP385" s="59">
        <f>'Balance Sheet'!DP102</f>
        <v>52.412934215014232</v>
      </c>
      <c r="DQ385" s="168">
        <f>DP385</f>
        <v>52.412934215014232</v>
      </c>
      <c r="DR385" s="244"/>
      <c r="DS385" s="59">
        <f>'Balance Sheet'!DS102</f>
        <v>41.387501522718964</v>
      </c>
      <c r="DT385" s="59">
        <f>'Balance Sheet'!DT102</f>
        <v>43.464281795237575</v>
      </c>
      <c r="DU385" s="59">
        <f>'Balance Sheet'!DU102</f>
        <v>41.829431438127088</v>
      </c>
      <c r="DV385" s="59">
        <f>'Balance Sheet'!DV102</f>
        <v>49.667913511540917</v>
      </c>
      <c r="DW385" s="168">
        <f>DV385</f>
        <v>49.667913511540917</v>
      </c>
      <c r="DX385" s="244"/>
      <c r="DY385" s="59">
        <f>'Balance Sheet'!DY102</f>
        <v>37.048084954062759</v>
      </c>
      <c r="DZ385" s="59">
        <f>'Balance Sheet'!DZ102</f>
        <v>40.642033825272001</v>
      </c>
      <c r="EA385" s="59">
        <f>'Balance Sheet'!EA102</f>
        <v>39.333333333333336</v>
      </c>
      <c r="EB385" s="59">
        <f>'Balance Sheet'!EB102</f>
        <v>48.369238919300727</v>
      </c>
      <c r="EC385" s="168">
        <f>EB385</f>
        <v>48.369238919300727</v>
      </c>
      <c r="ED385" s="244"/>
      <c r="EE385" s="59">
        <f>'Balance Sheet'!EE102</f>
        <v>37.165949529015002</v>
      </c>
      <c r="EF385" s="59">
        <f>'Balance Sheet'!EF102</f>
        <v>40.522481265611987</v>
      </c>
      <c r="EG385" s="59">
        <f>'Balance Sheet'!EG102</f>
        <v>40.284979644311122</v>
      </c>
      <c r="EH385" s="59">
        <f>'Balance Sheet'!EH102</f>
        <v>47.201269604182222</v>
      </c>
      <c r="EI385" s="168">
        <f>EH385</f>
        <v>47.201269604182222</v>
      </c>
      <c r="EJ385" s="244"/>
      <c r="EK385" s="59">
        <f>'Balance Sheet'!EK102</f>
        <v>37.007454739084132</v>
      </c>
      <c r="EL385" s="59">
        <f>'Balance Sheet'!EL102</f>
        <v>39.577590040017789</v>
      </c>
      <c r="EM385" s="59">
        <f>'Balance Sheet'!EM102</f>
        <v>38.380297315287329</v>
      </c>
      <c r="EN385" s="59">
        <f>'Balance Sheet'!EN102</f>
        <v>45.738958097395241</v>
      </c>
      <c r="EO385" s="168">
        <f>EN385</f>
        <v>45.738958097395241</v>
      </c>
      <c r="EP385" s="244"/>
      <c r="EQ385" s="59">
        <f>'Balance Sheet'!EQ102</f>
        <v>35.600835945663533</v>
      </c>
      <c r="ER385" s="59">
        <f>'Balance Sheet'!ER102</f>
        <v>36.616103146934108</v>
      </c>
      <c r="ES385" s="59">
        <f>'Balance Sheet'!ES102</f>
        <v>36.110631874056502</v>
      </c>
      <c r="ET385" s="59">
        <f>'Balance Sheet'!ET102</f>
        <v>43.597477378667399</v>
      </c>
      <c r="EU385" s="168">
        <f>ET385</f>
        <v>43.597477378667399</v>
      </c>
      <c r="EV385" s="244"/>
      <c r="EW385" s="59">
        <f>'Balance Sheet'!EW102</f>
        <v>35.083586626139819</v>
      </c>
      <c r="EX385" s="59">
        <f>'Balance Sheet'!EX102</f>
        <v>35.495327102803735</v>
      </c>
      <c r="EY385" s="59">
        <f>'Balance Sheet'!EY102</f>
        <v>35.922667757774143</v>
      </c>
      <c r="EZ385" s="59">
        <f>'Balance Sheet'!EZ102</f>
        <v>44.597477378667399</v>
      </c>
      <c r="FA385" s="168">
        <f>EZ385</f>
        <v>44.597477378667399</v>
      </c>
      <c r="FB385" s="244"/>
      <c r="FC385" s="59">
        <f>'Balance Sheet'!FC102</f>
        <v>36.083586626139819</v>
      </c>
      <c r="FD385" s="59">
        <f>'Balance Sheet'!FD102</f>
        <v>36.495327102803735</v>
      </c>
      <c r="FE385" s="59">
        <f>'Balance Sheet'!FE102</f>
        <v>36.922667757774143</v>
      </c>
      <c r="FF385" s="59">
        <f>'Balance Sheet'!FF102</f>
        <v>45.597477378667399</v>
      </c>
      <c r="FG385" s="168">
        <f>FF385</f>
        <v>45.597477378667399</v>
      </c>
      <c r="FH385" s="244"/>
      <c r="FI385" s="59">
        <f>'Balance Sheet'!FI102</f>
        <v>37.083586626139819</v>
      </c>
      <c r="FJ385" s="59">
        <f>'Balance Sheet'!FJ102</f>
        <v>37.495327102803735</v>
      </c>
      <c r="FK385" s="59">
        <f>'Balance Sheet'!FK102</f>
        <v>37.922667757774143</v>
      </c>
      <c r="FL385" s="59">
        <f>'Balance Sheet'!FL102</f>
        <v>46.597477378667399</v>
      </c>
      <c r="FM385" s="168">
        <f>FL385</f>
        <v>46.597477378667399</v>
      </c>
      <c r="FN385" s="27"/>
      <c r="FO385" s="27"/>
      <c r="FP385" s="27"/>
      <c r="FQ385" s="27"/>
      <c r="FR385" s="27"/>
      <c r="FS385" s="27"/>
      <c r="FT385" s="27"/>
      <c r="FU385" s="27"/>
      <c r="FV385" s="27"/>
      <c r="FW385" s="27"/>
      <c r="FX385" s="27"/>
      <c r="FY385" s="27"/>
      <c r="FZ385" s="27"/>
      <c r="GA385" s="27"/>
      <c r="GB385" s="27"/>
      <c r="GC385" s="27"/>
      <c r="GD385" s="27"/>
      <c r="GE385" s="27"/>
      <c r="GF385" s="27"/>
      <c r="GG385" s="27"/>
      <c r="GH385" s="27"/>
      <c r="GI385"/>
      <c r="GJ385"/>
      <c r="GK385"/>
      <c r="GL385"/>
      <c r="GM385"/>
      <c r="GN385"/>
      <c r="GO385" s="27"/>
      <c r="GP385"/>
      <c r="GQ385"/>
      <c r="GR385"/>
      <c r="GS385"/>
      <c r="GT385"/>
      <c r="GU385"/>
      <c r="GV385"/>
      <c r="GW385"/>
      <c r="GX385"/>
      <c r="GY385"/>
      <c r="GZ385"/>
      <c r="HA385"/>
      <c r="HB385"/>
      <c r="HC385"/>
      <c r="HD385"/>
      <c r="HE385"/>
      <c r="HF385"/>
      <c r="HG385"/>
      <c r="HH385"/>
      <c r="HI385"/>
      <c r="HJ385"/>
      <c r="HK385"/>
      <c r="HL385"/>
      <c r="HM385"/>
      <c r="HN385"/>
      <c r="HO385"/>
      <c r="HP385"/>
      <c r="HQ385"/>
      <c r="HR385"/>
      <c r="HS385"/>
      <c r="HT385"/>
      <c r="HU385"/>
      <c r="HV385"/>
      <c r="HW385"/>
      <c r="HX385"/>
      <c r="HY385"/>
      <c r="HZ385"/>
      <c r="IA385"/>
      <c r="IB385"/>
      <c r="IC385"/>
      <c r="ID385"/>
      <c r="IE385"/>
      <c r="IF385"/>
      <c r="IG385"/>
      <c r="IH385"/>
      <c r="II385"/>
      <c r="IJ385"/>
      <c r="IK385"/>
      <c r="IL385"/>
      <c r="IM385"/>
      <c r="IN385"/>
      <c r="IO385"/>
      <c r="IP385"/>
      <c r="IQ385"/>
      <c r="IR385"/>
      <c r="IS385"/>
      <c r="IT385"/>
      <c r="IU385"/>
      <c r="IV385"/>
      <c r="IW385"/>
      <c r="IX385"/>
      <c r="IY385"/>
      <c r="IZ385"/>
      <c r="JA385"/>
      <c r="JB385"/>
      <c r="JC385"/>
      <c r="JD385"/>
      <c r="JE385"/>
      <c r="JF385"/>
      <c r="JG385"/>
      <c r="JH385"/>
      <c r="JI385"/>
      <c r="JJ385"/>
      <c r="JK385"/>
      <c r="JL385"/>
      <c r="JM385"/>
      <c r="JN385"/>
      <c r="JO385"/>
      <c r="JP385"/>
      <c r="JQ385"/>
      <c r="JR385"/>
      <c r="JS385"/>
      <c r="JT385"/>
      <c r="JU385"/>
    </row>
    <row r="386" spans="1:281" s="28" customFormat="1" ht="4.5" hidden="1" customHeight="1" outlineLevel="1" x14ac:dyDescent="0.2">
      <c r="A386" s="18"/>
      <c r="B386" s="414"/>
      <c r="CG386" s="416"/>
      <c r="CM386" s="416"/>
      <c r="CS386" s="416"/>
      <c r="CY386" s="416"/>
      <c r="DE386" s="416"/>
      <c r="DK386" s="416"/>
      <c r="DQ386" s="416"/>
      <c r="DW386" s="416"/>
      <c r="EC386" s="416"/>
      <c r="EI386" s="416"/>
      <c r="EO386" s="416"/>
      <c r="EU386" s="416"/>
      <c r="FA386" s="416"/>
      <c r="FG386" s="416"/>
      <c r="FM386" s="416"/>
      <c r="GI386"/>
      <c r="GJ386"/>
      <c r="GK386"/>
      <c r="GL386"/>
      <c r="GM386"/>
      <c r="GN386"/>
      <c r="GP386"/>
      <c r="GQ386"/>
      <c r="GR386"/>
      <c r="GS386"/>
      <c r="GT386"/>
      <c r="GU386"/>
      <c r="GV386"/>
      <c r="GW386"/>
      <c r="GX386"/>
      <c r="GY386"/>
      <c r="GZ386"/>
      <c r="HA386"/>
      <c r="HB386"/>
      <c r="HC386"/>
      <c r="HD386"/>
      <c r="HE386"/>
      <c r="HF386"/>
      <c r="HG386"/>
      <c r="HH386"/>
      <c r="HI386"/>
      <c r="HJ386"/>
      <c r="HK386"/>
      <c r="HL386"/>
      <c r="HM386"/>
      <c r="HN386"/>
      <c r="HO386"/>
      <c r="HP386"/>
      <c r="HQ386"/>
      <c r="HR386"/>
      <c r="HS386"/>
      <c r="HT386"/>
      <c r="HU386"/>
      <c r="HV386"/>
      <c r="HW386"/>
      <c r="HX386"/>
      <c r="HY386"/>
      <c r="HZ386"/>
      <c r="IA386"/>
      <c r="IB386"/>
      <c r="IC386"/>
      <c r="ID386"/>
      <c r="IE386"/>
      <c r="IF386"/>
      <c r="IG386"/>
      <c r="IH386"/>
      <c r="II386"/>
      <c r="IJ386"/>
      <c r="IK386"/>
      <c r="IL386"/>
      <c r="IM386"/>
      <c r="IN386"/>
      <c r="IO386"/>
      <c r="IP386"/>
      <c r="IQ386"/>
      <c r="IR386"/>
      <c r="IS386"/>
      <c r="IT386"/>
      <c r="IU386"/>
      <c r="IV386"/>
      <c r="IW386"/>
      <c r="IX386"/>
      <c r="IY386"/>
      <c r="IZ386"/>
      <c r="JA386"/>
      <c r="JB386"/>
      <c r="JC386"/>
      <c r="JD386"/>
      <c r="JE386"/>
      <c r="JF386"/>
      <c r="JG386"/>
      <c r="JH386"/>
      <c r="JI386"/>
      <c r="JJ386"/>
      <c r="JK386"/>
      <c r="JL386"/>
      <c r="JM386"/>
      <c r="JN386"/>
      <c r="JO386"/>
      <c r="JP386"/>
      <c r="JQ386"/>
      <c r="JR386"/>
      <c r="JS386"/>
      <c r="JT386"/>
      <c r="JU386"/>
    </row>
    <row r="387" spans="1:281" s="24" customFormat="1" hidden="1" outlineLevel="1" x14ac:dyDescent="0.2">
      <c r="A387" s="27" t="s">
        <v>123</v>
      </c>
      <c r="B387" s="413" t="s">
        <v>840</v>
      </c>
      <c r="C387" s="244" t="str">
        <f>Metrics!C282</f>
        <v>-</v>
      </c>
      <c r="D387" s="244" t="str">
        <f>Metrics!D282</f>
        <v>-</v>
      </c>
      <c r="E387" s="244" t="str">
        <f>Metrics!E282</f>
        <v>-</v>
      </c>
      <c r="F387" s="244" t="str">
        <f>Metrics!F282</f>
        <v>-</v>
      </c>
      <c r="G387" s="244" t="str">
        <f>Metrics!G282</f>
        <v>-</v>
      </c>
      <c r="H387" s="244" t="str">
        <f>Metrics!H282</f>
        <v>-</v>
      </c>
      <c r="I387" s="244" t="str">
        <f>Metrics!I282</f>
        <v>-</v>
      </c>
      <c r="J387" s="244">
        <f>Metrics!J282</f>
        <v>7466</v>
      </c>
      <c r="K387" s="244">
        <f>Metrics!K282</f>
        <v>8160</v>
      </c>
      <c r="L387" s="244">
        <f>Metrics!L282</f>
        <v>9247</v>
      </c>
      <c r="M387" s="244">
        <f>Metrics!M282</f>
        <v>12058</v>
      </c>
      <c r="N387" s="342"/>
      <c r="O387" s="244">
        <f>Metrics!O282</f>
        <v>13456</v>
      </c>
      <c r="P387" s="244">
        <f>Metrics!P282</f>
        <v>14830</v>
      </c>
      <c r="Q387" s="244">
        <f>Metrics!Q282</f>
        <v>16083</v>
      </c>
      <c r="R387" s="244">
        <f>Metrics!R282</f>
        <v>16882</v>
      </c>
      <c r="S387" s="244">
        <f>Metrics!S282</f>
        <v>16882</v>
      </c>
      <c r="T387" s="342"/>
      <c r="U387" s="244">
        <f>Metrics!U282</f>
        <v>18499</v>
      </c>
      <c r="V387" s="244">
        <f>Metrics!V282</f>
        <v>19945</v>
      </c>
      <c r="W387" s="244">
        <f>Metrics!W282</f>
        <v>21376</v>
      </c>
      <c r="X387" s="244">
        <f>Metrics!X282</f>
        <v>23113</v>
      </c>
      <c r="Y387" s="244">
        <f>Metrics!Y282</f>
        <v>23113</v>
      </c>
      <c r="Z387" s="342"/>
      <c r="AA387" s="244">
        <f>Metrics!AA282</f>
        <v>25224</v>
      </c>
      <c r="AB387" s="244">
        <f>Metrics!AB282</f>
        <v>27352</v>
      </c>
      <c r="AC387" s="244">
        <f>Metrics!AC282</f>
        <v>28844</v>
      </c>
      <c r="AD387" s="244">
        <f>Metrics!AD282</f>
        <v>29431</v>
      </c>
      <c r="AE387" s="244">
        <f>Metrics!AE282</f>
        <v>29431</v>
      </c>
      <c r="AF387" s="342"/>
      <c r="AG387" s="244">
        <f>Metrics!AG282</f>
        <v>31401</v>
      </c>
      <c r="AH387" s="244">
        <f>Metrics!AH282</f>
        <v>33775</v>
      </c>
      <c r="AI387" s="244">
        <f>Metrics!AI282</f>
        <v>35513</v>
      </c>
      <c r="AJ387" s="244">
        <f>Metrics!AJ282</f>
        <v>36802</v>
      </c>
      <c r="AK387" s="244">
        <f>Metrics!AK282</f>
        <v>36802</v>
      </c>
      <c r="AL387" s="342"/>
      <c r="AM387" s="244">
        <f>Metrics!AM282</f>
        <v>38629</v>
      </c>
      <c r="AN387" s="244">
        <f>Metrics!AN282</f>
        <v>40795</v>
      </c>
      <c r="AO387" s="244">
        <f>Metrics!AO282</f>
        <v>42783</v>
      </c>
      <c r="AP387" s="244">
        <f>Metrics!AP282</f>
        <v>43800</v>
      </c>
      <c r="AQ387" s="244">
        <f>Metrics!AQ282</f>
        <v>43800</v>
      </c>
      <c r="AR387" s="342"/>
      <c r="AS387" s="244">
        <f>Metrics!AS282</f>
        <v>43093</v>
      </c>
      <c r="AT387" s="244">
        <f>Metrics!AT282</f>
        <v>42682</v>
      </c>
      <c r="AU387" s="244">
        <f>Metrics!AU282</f>
        <v>41917</v>
      </c>
      <c r="AV387" s="244">
        <f>Metrics!AV282</f>
        <v>41320</v>
      </c>
      <c r="AW387" s="244">
        <f>Metrics!AW282</f>
        <v>41320</v>
      </c>
      <c r="AX387" s="342"/>
      <c r="AY387" s="244">
        <f>Metrics!AY282</f>
        <v>41170</v>
      </c>
      <c r="AZ387" s="244">
        <f>Metrics!AZ282</f>
        <v>42002</v>
      </c>
      <c r="BA387" s="244">
        <f>Metrics!BA282</f>
        <v>43308</v>
      </c>
      <c r="BB387" s="244">
        <f>Metrics!BB282</f>
        <v>42927</v>
      </c>
      <c r="BC387" s="244">
        <f>Metrics!BC282</f>
        <v>42927</v>
      </c>
      <c r="BD387" s="342"/>
      <c r="BE387" s="244">
        <f>Metrics!BE282</f>
        <v>42299</v>
      </c>
      <c r="BF387" s="244">
        <f>Metrics!BF282</f>
        <v>42443</v>
      </c>
      <c r="BG387" s="244">
        <f>Metrics!BG282</f>
        <v>41935</v>
      </c>
      <c r="BH387" s="244">
        <f>Metrics!BH282</f>
        <v>42006</v>
      </c>
      <c r="BI387" s="244">
        <f>Metrics!BI282</f>
        <v>42006</v>
      </c>
      <c r="BJ387" s="342"/>
      <c r="BK387" s="244">
        <f>Metrics!BK282</f>
        <v>41496</v>
      </c>
      <c r="BL387" s="244">
        <f>Metrics!BL282</f>
        <v>40645</v>
      </c>
      <c r="BM387" s="244">
        <f>Metrics!BM282</f>
        <v>40389</v>
      </c>
      <c r="BN387" s="244">
        <f>Metrics!BN282</f>
        <v>40650</v>
      </c>
      <c r="BO387" s="244">
        <f>Metrics!BO282</f>
        <v>40650</v>
      </c>
      <c r="BP387" s="342"/>
      <c r="BQ387" s="244">
        <f>Metrics!BQ282</f>
        <v>40324</v>
      </c>
      <c r="BR387" s="244">
        <f>Metrics!BR282</f>
        <v>40615</v>
      </c>
      <c r="BS387" s="244">
        <f>Metrics!BS282</f>
        <v>41194</v>
      </c>
      <c r="BT387" s="244">
        <f>Metrics!BT282</f>
        <v>41658</v>
      </c>
      <c r="BU387" s="244">
        <f>Metrics!BU282</f>
        <v>41658</v>
      </c>
      <c r="BV387" s="342"/>
      <c r="BW387" s="244">
        <f>Metrics!BW282</f>
        <v>42068</v>
      </c>
      <c r="BX387" s="244">
        <f>Metrics!BX282</f>
        <v>42580</v>
      </c>
      <c r="BY387" s="244">
        <f>Metrics!BY282</f>
        <v>50881</v>
      </c>
      <c r="BZ387" s="244">
        <f>Metrics!BZ282</f>
        <v>49872</v>
      </c>
      <c r="CA387" s="244">
        <f>Metrics!CA282</f>
        <v>49872</v>
      </c>
      <c r="CB387" s="342"/>
      <c r="CC387" s="244">
        <f>Metrics!CC282</f>
        <v>49516</v>
      </c>
      <c r="CD387" s="244">
        <f>Metrics!CD282</f>
        <v>51154</v>
      </c>
      <c r="CE387" s="244">
        <f>Metrics!CE282</f>
        <v>55582</v>
      </c>
      <c r="CF387" s="244">
        <f>Metrics!CF282</f>
        <v>56133</v>
      </c>
      <c r="CG387" s="171">
        <f>Metrics!CG282</f>
        <v>56133</v>
      </c>
      <c r="CH387" s="342"/>
      <c r="CI387" s="244">
        <f>Metrics!CI282</f>
        <v>65126</v>
      </c>
      <c r="CJ387" s="244">
        <f>Metrics!CJ282</f>
        <v>68434</v>
      </c>
      <c r="CK387" s="244">
        <f>Metrics!CK282</f>
        <v>70481</v>
      </c>
      <c r="CL387" s="244">
        <f>Metrics!CL282</f>
        <v>74674</v>
      </c>
      <c r="CM387" s="171">
        <f>Metrics!CM282</f>
        <v>74674</v>
      </c>
      <c r="CN387" s="342"/>
      <c r="CO387" s="244">
        <f>Metrics!CO282</f>
        <v>77652</v>
      </c>
      <c r="CP387" s="244">
        <f>Metrics!CP282</f>
        <v>79649</v>
      </c>
      <c r="CQ387" s="244">
        <f>Metrics!CQ282</f>
        <v>80219</v>
      </c>
      <c r="CR387" s="244">
        <f>Metrics!CR282</f>
        <v>84233</v>
      </c>
      <c r="CS387" s="171">
        <f>Metrics!CS282</f>
        <v>84233</v>
      </c>
      <c r="CT387" s="342"/>
      <c r="CU387" s="244">
        <f>Metrics!CU282</f>
        <v>85188</v>
      </c>
      <c r="CV387" s="244">
        <f>Metrics!CV282</f>
        <v>86657</v>
      </c>
      <c r="CW387" s="244">
        <f>Metrics!CW282</f>
        <v>86588</v>
      </c>
      <c r="CX387" s="244">
        <f>Metrics!CX282</f>
        <v>85562</v>
      </c>
      <c r="CY387" s="171">
        <f>Metrics!CY282</f>
        <v>85562</v>
      </c>
      <c r="CZ387" s="342"/>
      <c r="DA387" s="244">
        <f>Metrics!DA282</f>
        <v>84639</v>
      </c>
      <c r="DB387" s="244">
        <f>Metrics!DB282</f>
        <v>83366</v>
      </c>
      <c r="DC387" s="244">
        <f>Metrics!DC282</f>
        <v>106492</v>
      </c>
      <c r="DD387" s="244">
        <f>Metrics!DD282</f>
        <v>104569</v>
      </c>
      <c r="DE387" s="171">
        <f>Metrics!DE282</f>
        <v>104569</v>
      </c>
      <c r="DF387" s="342"/>
      <c r="DG387" s="244">
        <f>Metrics!DG282</f>
        <v>105236</v>
      </c>
      <c r="DH387" s="244">
        <f>Metrics!DH282</f>
        <v>105730</v>
      </c>
      <c r="DI387" s="244">
        <f>Metrics!DI282</f>
        <v>107870</v>
      </c>
      <c r="DJ387" s="244">
        <f>Metrics!DJ282</f>
        <v>108000</v>
      </c>
      <c r="DK387" s="171">
        <f>Metrics!DK282</f>
        <v>108000</v>
      </c>
      <c r="DL387" s="342"/>
      <c r="DM387" s="244">
        <f>Metrics!DM282</f>
        <v>109388</v>
      </c>
      <c r="DN387" s="244">
        <f>Metrics!DN282</f>
        <v>111302</v>
      </c>
      <c r="DO387" s="244">
        <f>Metrics!DO282</f>
        <v>113644</v>
      </c>
      <c r="DP387" s="244">
        <f>Metrics!DP282</f>
        <v>115559.19541819993</v>
      </c>
      <c r="DQ387" s="171">
        <f>Metrics!DQ282</f>
        <v>115559.19541819993</v>
      </c>
      <c r="DR387" s="342"/>
      <c r="DS387" s="244">
        <f>Metrics!DS282</f>
        <v>115899</v>
      </c>
      <c r="DT387" s="244">
        <f>Metrics!DT282</f>
        <v>117229</v>
      </c>
      <c r="DU387" s="244">
        <f>Metrics!DU282</f>
        <v>118657</v>
      </c>
      <c r="DV387" s="244">
        <f>Metrics!DV282</f>
        <v>120000</v>
      </c>
      <c r="DW387" s="171">
        <f>Metrics!DW282</f>
        <v>120000</v>
      </c>
      <c r="DX387" s="342"/>
      <c r="DY387" s="244">
        <f>Metrics!DY282</f>
        <v>122327</v>
      </c>
      <c r="DZ387" s="244">
        <f>Metrics!DZ282</f>
        <v>121868</v>
      </c>
      <c r="EA387" s="244">
        <f>Metrics!EA282</f>
        <v>122710</v>
      </c>
      <c r="EB387" s="244">
        <f>Metrics!EB282</f>
        <v>122000</v>
      </c>
      <c r="EC387" s="171">
        <f>Metrics!EC282</f>
        <v>122000</v>
      </c>
      <c r="ED387" s="342"/>
      <c r="EE387" s="244">
        <f>Metrics!EE282</f>
        <v>122918</v>
      </c>
      <c r="EF387" s="244">
        <f>Metrics!EF282</f>
        <v>130552</v>
      </c>
      <c r="EG387" s="244">
        <f>Metrics!EG282</f>
        <v>131562</v>
      </c>
      <c r="EH387" s="244">
        <f>Metrics!EH282</f>
        <v>132000</v>
      </c>
      <c r="EI387" s="171">
        <f>Metrics!EI282</f>
        <v>132000</v>
      </c>
      <c r="EJ387" s="342"/>
      <c r="EK387" s="244">
        <f>Metrics!EK282</f>
        <v>135070</v>
      </c>
      <c r="EL387" s="244">
        <f>Metrics!EL282</f>
        <v>136160</v>
      </c>
      <c r="EM387" s="244">
        <f>Metrics!EM282</f>
        <v>136406</v>
      </c>
      <c r="EN387" s="244">
        <f>Metrics!EN282</f>
        <v>142000</v>
      </c>
      <c r="EO387" s="171">
        <f>Metrics!EO282</f>
        <v>142000</v>
      </c>
      <c r="EP387" s="342"/>
      <c r="EQ387" s="244">
        <f>Metrics!EQ282</f>
        <v>137350</v>
      </c>
      <c r="ER387" s="244">
        <f>Metrics!ER282</f>
        <v>141682</v>
      </c>
      <c r="ES387" s="244">
        <f>Metrics!ES282</f>
        <v>140903</v>
      </c>
      <c r="ET387" s="244">
        <f>Metrics!ET282</f>
        <v>138000</v>
      </c>
      <c r="EU387" s="171">
        <f>Metrics!EU282</f>
        <v>138000</v>
      </c>
      <c r="EV387" s="342"/>
      <c r="EW387" s="244">
        <f>Metrics!EW282</f>
        <v>141470.5</v>
      </c>
      <c r="EX387" s="244">
        <f>Metrics!EX282</f>
        <v>142961.98119999998</v>
      </c>
      <c r="EY387" s="244">
        <f>Metrics!EY282</f>
        <v>144472.68173649997</v>
      </c>
      <c r="EZ387" s="244">
        <f>Metrics!EZ282</f>
        <v>130862.93635552534</v>
      </c>
      <c r="FA387" s="171">
        <f>Metrics!FA282</f>
        <v>130862.93635552534</v>
      </c>
      <c r="FB387" s="342"/>
      <c r="FC387" s="244">
        <f>Metrics!FC282</f>
        <v>146002.87413513995</v>
      </c>
      <c r="FD387" s="244">
        <f>Metrics!FD282</f>
        <v>147552.83493062251</v>
      </c>
      <c r="FE387" s="244">
        <f>Metrics!FE282</f>
        <v>149122.84472645458</v>
      </c>
      <c r="FF387" s="244">
        <f>Metrics!FF282</f>
        <v>136515.56907208645</v>
      </c>
      <c r="FG387" s="171">
        <f>Metrics!FG282</f>
        <v>136515.56907208645</v>
      </c>
      <c r="FH387" s="342"/>
      <c r="FI387" s="244">
        <f>Metrics!FI282</f>
        <v>152324.15444194048</v>
      </c>
      <c r="FJ387" s="244">
        <f>Metrics!FJ282</f>
        <v>153956.03646290544</v>
      </c>
      <c r="FK387" s="244">
        <f>Metrics!FK282</f>
        <v>155609.13181270656</v>
      </c>
      <c r="FL387" s="244">
        <f>Metrics!FL282</f>
        <v>142467.15794091395</v>
      </c>
      <c r="FM387" s="171">
        <f>Metrics!FM282</f>
        <v>142467.15794091395</v>
      </c>
      <c r="FN387" s="27"/>
      <c r="FO387" s="27"/>
      <c r="FP387" s="27"/>
      <c r="FQ387" s="27"/>
      <c r="FR387" s="27"/>
      <c r="FS387" s="27"/>
      <c r="FT387" s="27"/>
      <c r="FU387" s="27"/>
      <c r="FV387" s="27"/>
      <c r="FW387" s="27"/>
      <c r="FX387" s="27"/>
      <c r="FY387" s="27"/>
      <c r="FZ387" s="27"/>
      <c r="GA387" s="27"/>
      <c r="GB387" s="27"/>
      <c r="GC387" s="27"/>
      <c r="GD387" s="27"/>
      <c r="GE387" s="27"/>
      <c r="GF387" s="27"/>
      <c r="GG387" s="27"/>
      <c r="GH387" s="27"/>
      <c r="GI387"/>
      <c r="GJ387"/>
      <c r="GK387"/>
      <c r="GL387"/>
      <c r="GM387"/>
      <c r="GN387"/>
      <c r="GO387" s="27"/>
      <c r="GP387"/>
      <c r="GQ387"/>
      <c r="GR387"/>
      <c r="GS387"/>
      <c r="GT387"/>
      <c r="GU387"/>
      <c r="GV387"/>
      <c r="GW387"/>
      <c r="GX387"/>
      <c r="GY387"/>
      <c r="GZ387"/>
      <c r="HA387"/>
      <c r="HB387"/>
      <c r="HC387"/>
      <c r="HD387"/>
      <c r="HE387"/>
      <c r="HF387"/>
      <c r="HG387"/>
      <c r="HH387"/>
      <c r="HI387"/>
      <c r="HJ387"/>
      <c r="HK387"/>
      <c r="HL387"/>
      <c r="HM387"/>
      <c r="HN387"/>
      <c r="HO387"/>
      <c r="HP387"/>
      <c r="HQ387"/>
      <c r="HR387"/>
      <c r="HS387"/>
      <c r="HT387"/>
      <c r="HU387"/>
      <c r="HV387"/>
      <c r="HW387"/>
      <c r="HX387"/>
      <c r="HY387"/>
      <c r="HZ387"/>
      <c r="IA387"/>
      <c r="IB387"/>
      <c r="IC387"/>
      <c r="ID387"/>
      <c r="IE387"/>
      <c r="IF387"/>
      <c r="IG387"/>
      <c r="IH387"/>
      <c r="II387"/>
      <c r="IJ387"/>
      <c r="IK387"/>
      <c r="IL387"/>
      <c r="IM387"/>
      <c r="IN387"/>
      <c r="IO387"/>
      <c r="IP387"/>
      <c r="IQ387"/>
      <c r="IR387"/>
      <c r="IS387"/>
      <c r="IT387"/>
      <c r="IU387"/>
      <c r="IV387"/>
      <c r="IW387"/>
      <c r="IX387"/>
      <c r="IY387"/>
      <c r="IZ387"/>
      <c r="JA387"/>
      <c r="JB387"/>
      <c r="JC387"/>
      <c r="JD387"/>
      <c r="JE387"/>
      <c r="JF387"/>
      <c r="JG387"/>
      <c r="JH387"/>
      <c r="JI387"/>
      <c r="JJ387"/>
      <c r="JK387"/>
      <c r="JL387"/>
      <c r="JM387"/>
      <c r="JN387"/>
      <c r="JO387"/>
      <c r="JP387"/>
      <c r="JQ387"/>
      <c r="JR387"/>
      <c r="JS387"/>
      <c r="JT387"/>
      <c r="JU387"/>
    </row>
    <row r="388" spans="1:281" s="24" customFormat="1" hidden="1" outlineLevel="1" x14ac:dyDescent="0.2">
      <c r="A388" s="27" t="s">
        <v>841</v>
      </c>
      <c r="B388" s="413" t="s">
        <v>842</v>
      </c>
      <c r="C388" s="244" t="str">
        <f>Metrics!C277</f>
        <v>-</v>
      </c>
      <c r="D388" s="244" t="str">
        <f>Metrics!D277</f>
        <v>-</v>
      </c>
      <c r="E388" s="244" t="str">
        <f>Metrics!E277</f>
        <v>-</v>
      </c>
      <c r="F388" s="244" t="str">
        <f>Metrics!F277</f>
        <v>-</v>
      </c>
      <c r="G388" s="244" t="str">
        <f>Metrics!G277</f>
        <v>-</v>
      </c>
      <c r="H388" s="244" t="str">
        <f>Metrics!H277</f>
        <v>-</v>
      </c>
      <c r="I388" s="244" t="str">
        <f>Metrics!I277</f>
        <v>-</v>
      </c>
      <c r="J388" s="244">
        <f>Metrics!J277</f>
        <v>4993</v>
      </c>
      <c r="K388" s="244">
        <f>Metrics!K277</f>
        <v>5474</v>
      </c>
      <c r="L388" s="244">
        <f>Metrics!L277</f>
        <v>6131</v>
      </c>
      <c r="M388" s="244">
        <f>Metrics!M277</f>
        <v>8254</v>
      </c>
      <c r="N388" s="342"/>
      <c r="O388" s="244">
        <f>Metrics!O277</f>
        <v>9212</v>
      </c>
      <c r="P388" s="244">
        <f>Metrics!P277</f>
        <v>10271</v>
      </c>
      <c r="Q388" s="244">
        <f>Metrics!Q277</f>
        <v>11185</v>
      </c>
      <c r="R388" s="244">
        <f>Metrics!R277</f>
        <v>11775</v>
      </c>
      <c r="S388" s="244">
        <f>Metrics!S277</f>
        <v>11775</v>
      </c>
      <c r="T388" s="342"/>
      <c r="U388" s="244">
        <f>Metrics!U277</f>
        <v>13011</v>
      </c>
      <c r="V388" s="244">
        <f>Metrics!V277</f>
        <v>14236</v>
      </c>
      <c r="W388" s="244">
        <f>Metrics!W277</f>
        <v>15427</v>
      </c>
      <c r="X388" s="244">
        <f>Metrics!X277</f>
        <v>16807</v>
      </c>
      <c r="Y388" s="244">
        <f>Metrics!Y277</f>
        <v>16807</v>
      </c>
      <c r="Z388" s="342"/>
      <c r="AA388" s="244">
        <f>Metrics!AA277</f>
        <v>18447</v>
      </c>
      <c r="AB388" s="244">
        <f>Metrics!AB277</f>
        <v>20127</v>
      </c>
      <c r="AC388" s="244">
        <f>Metrics!AC277</f>
        <v>21164</v>
      </c>
      <c r="AD388" s="244">
        <f>Metrics!AD277</f>
        <v>21617</v>
      </c>
      <c r="AE388" s="244">
        <f>Metrics!AE277</f>
        <v>21617</v>
      </c>
      <c r="AF388" s="342"/>
      <c r="AG388" s="244">
        <f>Metrics!AG277</f>
        <v>22855</v>
      </c>
      <c r="AH388" s="244">
        <f>Metrics!AH277</f>
        <v>25032</v>
      </c>
      <c r="AI388" s="244">
        <f>Metrics!AI277</f>
        <v>26512</v>
      </c>
      <c r="AJ388" s="244">
        <f>Metrics!AJ277</f>
        <v>27523</v>
      </c>
      <c r="AK388" s="244">
        <f>Metrics!AK277</f>
        <v>27523</v>
      </c>
      <c r="AL388" s="342"/>
      <c r="AM388" s="244">
        <f>Metrics!AM277</f>
        <v>29114</v>
      </c>
      <c r="AN388" s="244">
        <f>Metrics!AN277</f>
        <v>31076</v>
      </c>
      <c r="AO388" s="244">
        <f>Metrics!AO277</f>
        <v>32629</v>
      </c>
      <c r="AP388" s="244">
        <f>Metrics!AP277</f>
        <v>33056</v>
      </c>
      <c r="AQ388" s="244">
        <f>Metrics!AQ277</f>
        <v>33056</v>
      </c>
      <c r="AR388" s="342"/>
      <c r="AS388" s="244">
        <f>Metrics!AS277</f>
        <v>31701</v>
      </c>
      <c r="AT388" s="244">
        <f>Metrics!AT277</f>
        <v>31419</v>
      </c>
      <c r="AU388" s="244">
        <f>Metrics!AU277</f>
        <v>30525</v>
      </c>
      <c r="AV388" s="244">
        <f>Metrics!AV277</f>
        <v>29564</v>
      </c>
      <c r="AW388" s="244">
        <f>Metrics!AW277</f>
        <v>29564</v>
      </c>
      <c r="AX388" s="342"/>
      <c r="AY388" s="244">
        <f>Metrics!AY277</f>
        <v>0</v>
      </c>
      <c r="AZ388" s="244">
        <f>Metrics!AZ277</f>
        <v>0</v>
      </c>
      <c r="BA388" s="244">
        <f>Metrics!BA277</f>
        <v>0</v>
      </c>
      <c r="BB388" s="244">
        <f>Metrics!BB277</f>
        <v>29422</v>
      </c>
      <c r="BC388" s="244">
        <f>Metrics!BC277</f>
        <v>29422</v>
      </c>
      <c r="BD388" s="342"/>
      <c r="BE388" s="244">
        <f>Metrics!BE277</f>
        <v>0</v>
      </c>
      <c r="BF388" s="244">
        <f>Metrics!BF277</f>
        <v>0</v>
      </c>
      <c r="BG388" s="244">
        <f>Metrics!BG277</f>
        <v>0</v>
      </c>
      <c r="BH388" s="244">
        <f>Metrics!BH277</f>
        <v>27059</v>
      </c>
      <c r="BI388" s="244">
        <f>Metrics!BI277</f>
        <v>27059</v>
      </c>
      <c r="BJ388" s="342"/>
      <c r="BK388" s="244">
        <f>Metrics!BK277</f>
        <v>0</v>
      </c>
      <c r="BL388" s="244">
        <f>Metrics!BL277</f>
        <v>0</v>
      </c>
      <c r="BM388" s="244">
        <f>Metrics!BM277</f>
        <v>0</v>
      </c>
      <c r="BN388" s="244">
        <f>Metrics!BN277</f>
        <v>25268</v>
      </c>
      <c r="BO388" s="244">
        <f>Metrics!BO277</f>
        <v>25268</v>
      </c>
      <c r="BP388" s="342"/>
      <c r="BQ388" s="244">
        <f>Metrics!BQ277</f>
        <v>0</v>
      </c>
      <c r="BR388" s="244">
        <f>Metrics!BR277</f>
        <v>0</v>
      </c>
      <c r="BS388" s="244">
        <f>Metrics!BS277</f>
        <v>0</v>
      </c>
      <c r="BT388" s="244">
        <f>Metrics!BT277</f>
        <v>24760</v>
      </c>
      <c r="BU388" s="244">
        <f>Metrics!BU277</f>
        <v>24760</v>
      </c>
      <c r="BV388" s="342"/>
      <c r="BW388" s="244">
        <f>Metrics!BW277</f>
        <v>0</v>
      </c>
      <c r="BX388" s="244">
        <f>Metrics!BX277</f>
        <v>0</v>
      </c>
      <c r="BY388" s="244">
        <f>Metrics!BY277</f>
        <v>0</v>
      </c>
      <c r="BZ388" s="244">
        <f>Metrics!BZ277</f>
        <v>29650</v>
      </c>
      <c r="CA388" s="244">
        <f>Metrics!CA277</f>
        <v>29650</v>
      </c>
      <c r="CB388" s="342"/>
      <c r="CC388" s="244">
        <f>Metrics!CC277</f>
        <v>0</v>
      </c>
      <c r="CD388" s="244">
        <f>Metrics!CD277</f>
        <v>0</v>
      </c>
      <c r="CE388" s="244">
        <f>Metrics!CE277</f>
        <v>0</v>
      </c>
      <c r="CF388" s="244">
        <f>Metrics!CF277</f>
        <v>35469</v>
      </c>
      <c r="CG388" s="171">
        <f>Metrics!CG277</f>
        <v>35469</v>
      </c>
      <c r="CH388" s="342"/>
      <c r="CI388" s="244">
        <f>Metrics!CI277</f>
        <v>0</v>
      </c>
      <c r="CJ388" s="244">
        <f>Metrics!CJ277</f>
        <v>0</v>
      </c>
      <c r="CK388" s="244">
        <f>Metrics!CK277</f>
        <v>0</v>
      </c>
      <c r="CL388" s="244">
        <f>Metrics!CL277</f>
        <v>48745</v>
      </c>
      <c r="CM388" s="171">
        <f>Metrics!CM277</f>
        <v>48745</v>
      </c>
      <c r="CN388" s="342"/>
      <c r="CO388" s="244">
        <f>Metrics!CO277</f>
        <v>0</v>
      </c>
      <c r="CP388" s="244">
        <f>Metrics!CP277</f>
        <v>0</v>
      </c>
      <c r="CQ388" s="244">
        <f>Metrics!CQ277</f>
        <v>0</v>
      </c>
      <c r="CR388" s="244">
        <f>Metrics!CR277</f>
        <v>55322</v>
      </c>
      <c r="CS388" s="171">
        <f>Metrics!CS277</f>
        <v>55322</v>
      </c>
      <c r="CT388" s="342"/>
      <c r="CU388" s="244">
        <f>Metrics!CU277</f>
        <v>0</v>
      </c>
      <c r="CV388" s="244">
        <f>Metrics!CV277</f>
        <v>0</v>
      </c>
      <c r="CW388" s="244">
        <f>Metrics!CW277</f>
        <v>0</v>
      </c>
      <c r="CX388" s="244">
        <f>Metrics!CX277</f>
        <v>56000</v>
      </c>
      <c r="CY388" s="171">
        <f>Metrics!CY277</f>
        <v>56000</v>
      </c>
      <c r="CZ388" s="342"/>
      <c r="DA388" s="244">
        <f>Metrics!DA277</f>
        <v>0</v>
      </c>
      <c r="DB388" s="244">
        <f>Metrics!DB277</f>
        <v>0</v>
      </c>
      <c r="DC388" s="244">
        <f>Metrics!DC277</f>
        <v>0</v>
      </c>
      <c r="DD388" s="244">
        <f>Metrics!DD277</f>
        <v>59000</v>
      </c>
      <c r="DE388" s="171">
        <f>Metrics!DE277</f>
        <v>59000</v>
      </c>
      <c r="DF388" s="342"/>
      <c r="DG388" s="244">
        <f>Metrics!DG277</f>
        <v>0</v>
      </c>
      <c r="DH388" s="244">
        <f>Metrics!DH277</f>
        <v>0</v>
      </c>
      <c r="DI388" s="244">
        <f>Metrics!DI277</f>
        <v>0</v>
      </c>
      <c r="DJ388" s="244">
        <f>Metrics!DJ277</f>
        <v>61000</v>
      </c>
      <c r="DK388" s="171">
        <f>Metrics!DK277</f>
        <v>61000</v>
      </c>
      <c r="DL388" s="342"/>
      <c r="DM388" s="244">
        <f>Metrics!DM277</f>
        <v>0</v>
      </c>
      <c r="DN388" s="244">
        <f>Metrics!DN277</f>
        <v>0</v>
      </c>
      <c r="DO388" s="244">
        <f>Metrics!DO277</f>
        <v>0</v>
      </c>
      <c r="DP388" s="244">
        <f>Metrics!DP277</f>
        <v>65559.195418199932</v>
      </c>
      <c r="DQ388" s="171">
        <f>Metrics!DQ277</f>
        <v>65559.195418199932</v>
      </c>
      <c r="DR388" s="342"/>
      <c r="DS388" s="244">
        <f>Metrics!DS277</f>
        <v>0</v>
      </c>
      <c r="DT388" s="244">
        <f>Metrics!DT277</f>
        <v>0</v>
      </c>
      <c r="DU388" s="244">
        <f>Metrics!DU277</f>
        <v>0</v>
      </c>
      <c r="DV388" s="244">
        <f>Metrics!DV277</f>
        <v>67000</v>
      </c>
      <c r="DW388" s="171">
        <f>Metrics!DW277</f>
        <v>67000</v>
      </c>
      <c r="DX388" s="342"/>
      <c r="DY388" s="244">
        <f>Metrics!DY277</f>
        <v>0</v>
      </c>
      <c r="DZ388" s="244">
        <f>Metrics!DZ277</f>
        <v>0</v>
      </c>
      <c r="EA388" s="244">
        <f>Metrics!EA277</f>
        <v>0</v>
      </c>
      <c r="EB388" s="244">
        <f>Metrics!EB277</f>
        <v>63000</v>
      </c>
      <c r="EC388" s="171">
        <f>Metrics!EC277</f>
        <v>63000</v>
      </c>
      <c r="ED388" s="342"/>
      <c r="EE388" s="244">
        <f>Metrics!EE277</f>
        <v>0</v>
      </c>
      <c r="EF388" s="244">
        <f>Metrics!EF277</f>
        <v>0</v>
      </c>
      <c r="EG388" s="244">
        <f>Metrics!EG277</f>
        <v>0</v>
      </c>
      <c r="EH388" s="244">
        <f>Metrics!EH277</f>
        <v>69000</v>
      </c>
      <c r="EI388" s="171">
        <f>Metrics!EI277</f>
        <v>69000</v>
      </c>
      <c r="EJ388" s="342"/>
      <c r="EK388" s="244">
        <f>Metrics!EK277</f>
        <v>0</v>
      </c>
      <c r="EL388" s="244">
        <f>Metrics!EL277</f>
        <v>0</v>
      </c>
      <c r="EM388" s="244">
        <f>Metrics!EM277</f>
        <v>0</v>
      </c>
      <c r="EN388" s="244">
        <f>Metrics!EN277</f>
        <v>71000</v>
      </c>
      <c r="EO388" s="171">
        <f>Metrics!EO277</f>
        <v>71000</v>
      </c>
      <c r="EP388" s="342"/>
      <c r="EQ388" s="244">
        <f>Metrics!EQ277</f>
        <v>0</v>
      </c>
      <c r="ER388" s="244">
        <f>Metrics!ER277</f>
        <v>0</v>
      </c>
      <c r="ES388" s="244">
        <f>Metrics!ES277</f>
        <v>0</v>
      </c>
      <c r="ET388" s="244">
        <f>Metrics!ET277</f>
        <v>72000</v>
      </c>
      <c r="EU388" s="171">
        <f>Metrics!EU277</f>
        <v>72000</v>
      </c>
      <c r="EV388" s="342"/>
      <c r="EW388" s="244">
        <f>Metrics!EW277</f>
        <v>0</v>
      </c>
      <c r="EX388" s="244">
        <f>Metrics!EX277</f>
        <v>0</v>
      </c>
      <c r="EY388" s="244">
        <f>Metrics!EY277</f>
        <v>0</v>
      </c>
      <c r="EZ388" s="244">
        <f>Metrics!EZ277</f>
        <v>75377.051340782593</v>
      </c>
      <c r="FA388" s="171">
        <f>Metrics!FA277</f>
        <v>75377.051340782593</v>
      </c>
      <c r="FB388" s="342"/>
      <c r="FC388" s="244">
        <f>Metrics!FC277</f>
        <v>0</v>
      </c>
      <c r="FD388" s="244">
        <f>Metrics!FD277</f>
        <v>0</v>
      </c>
      <c r="FE388" s="244">
        <f>Metrics!FE277</f>
        <v>0</v>
      </c>
      <c r="FF388" s="244">
        <f>Metrics!FF277</f>
        <v>78632.967785521803</v>
      </c>
      <c r="FG388" s="171">
        <f>Metrics!FG277</f>
        <v>78632.967785521803</v>
      </c>
      <c r="FH388" s="342"/>
      <c r="FI388" s="244">
        <f>Metrics!FI277</f>
        <v>0</v>
      </c>
      <c r="FJ388" s="244">
        <f>Metrics!FJ277</f>
        <v>0</v>
      </c>
      <c r="FK388" s="244">
        <f>Metrics!FK277</f>
        <v>0</v>
      </c>
      <c r="FL388" s="244">
        <f>Metrics!FL277</f>
        <v>82061.082973966433</v>
      </c>
      <c r="FM388" s="171">
        <f>Metrics!FM277</f>
        <v>82061.082973966433</v>
      </c>
      <c r="FN388" s="27"/>
      <c r="FO388" s="27"/>
      <c r="FP388" s="27"/>
      <c r="FQ388" s="27"/>
      <c r="FR388" s="27"/>
      <c r="FS388" s="27"/>
      <c r="FT388" s="27"/>
      <c r="FU388" s="27"/>
      <c r="FV388" s="27"/>
      <c r="FW388" s="27"/>
      <c r="FX388" s="27"/>
      <c r="FY388" s="27"/>
      <c r="FZ388" s="27"/>
      <c r="GA388" s="27"/>
      <c r="GB388" s="27"/>
      <c r="GC388" s="27"/>
      <c r="GD388" s="27"/>
      <c r="GE388" s="27"/>
      <c r="GF388" s="27"/>
      <c r="GG388" s="27"/>
      <c r="GH388" s="27"/>
      <c r="GI388"/>
      <c r="GJ388"/>
      <c r="GK388"/>
      <c r="GL388"/>
      <c r="GM388"/>
      <c r="GN388"/>
      <c r="GO388" s="27"/>
      <c r="GP388"/>
      <c r="GQ388"/>
      <c r="GR388"/>
      <c r="GS388"/>
      <c r="GT388"/>
      <c r="GU388"/>
      <c r="GV388"/>
      <c r="GW388"/>
      <c r="GX388"/>
      <c r="GY388"/>
      <c r="GZ388"/>
      <c r="HA388"/>
      <c r="HB388"/>
      <c r="HC388"/>
      <c r="HD388"/>
      <c r="HE388"/>
      <c r="HF388"/>
      <c r="HG388"/>
      <c r="HH388"/>
      <c r="HI388"/>
      <c r="HJ388"/>
      <c r="HK388"/>
      <c r="HL388"/>
      <c r="HM388"/>
      <c r="HN388"/>
      <c r="HO388"/>
      <c r="HP388"/>
      <c r="HQ388"/>
      <c r="HR388"/>
      <c r="HS388"/>
      <c r="HT388"/>
      <c r="HU388"/>
      <c r="HV388"/>
      <c r="HW388"/>
      <c r="HX388"/>
      <c r="HY388"/>
      <c r="HZ388"/>
      <c r="IA388"/>
      <c r="IB388"/>
      <c r="IC388"/>
      <c r="ID388"/>
      <c r="IE388"/>
      <c r="IF388"/>
      <c r="IG388"/>
      <c r="IH388"/>
      <c r="II388"/>
      <c r="IJ388"/>
      <c r="IK388"/>
      <c r="IL388"/>
      <c r="IM388"/>
      <c r="IN388"/>
      <c r="IO388"/>
      <c r="IP388"/>
      <c r="IQ388"/>
      <c r="IR388"/>
      <c r="IS388"/>
      <c r="IT388"/>
      <c r="IU388"/>
      <c r="IV388"/>
      <c r="IW388"/>
      <c r="IX388"/>
      <c r="IY388"/>
      <c r="IZ388"/>
      <c r="JA388"/>
      <c r="JB388"/>
      <c r="JC388"/>
      <c r="JD388"/>
      <c r="JE388"/>
      <c r="JF388"/>
      <c r="JG388"/>
      <c r="JH388"/>
      <c r="JI388"/>
      <c r="JJ388"/>
      <c r="JK388"/>
      <c r="JL388"/>
      <c r="JM388"/>
      <c r="JN388"/>
      <c r="JO388"/>
      <c r="JP388"/>
      <c r="JQ388"/>
      <c r="JR388"/>
      <c r="JS388"/>
      <c r="JT388"/>
      <c r="JU388"/>
    </row>
    <row r="389" spans="1:281" s="24" customFormat="1" hidden="1" outlineLevel="1" x14ac:dyDescent="0.2">
      <c r="A389" s="27" t="s">
        <v>843</v>
      </c>
      <c r="B389" s="413" t="s">
        <v>844</v>
      </c>
      <c r="C389" s="244" t="str">
        <f>Metrics!C280</f>
        <v>-</v>
      </c>
      <c r="D389" s="244" t="str">
        <f>Metrics!D280</f>
        <v>-</v>
      </c>
      <c r="E389" s="244" t="str">
        <f>Metrics!E280</f>
        <v>-</v>
      </c>
      <c r="F389" s="244" t="str">
        <f>Metrics!F280</f>
        <v>-</v>
      </c>
      <c r="G389" s="244" t="str">
        <f>Metrics!G280</f>
        <v>-</v>
      </c>
      <c r="H389" s="244" t="str">
        <f>Metrics!H280</f>
        <v>-</v>
      </c>
      <c r="I389" s="244" t="str">
        <f>Metrics!I280</f>
        <v>-</v>
      </c>
      <c r="J389" s="244">
        <f>Metrics!J280</f>
        <v>1010</v>
      </c>
      <c r="K389" s="244">
        <f>Metrics!K280</f>
        <v>1147</v>
      </c>
      <c r="L389" s="244">
        <f>Metrics!L280</f>
        <v>1409</v>
      </c>
      <c r="M389" s="244">
        <f>Metrics!M280</f>
        <v>1757</v>
      </c>
      <c r="N389" s="342"/>
      <c r="O389" s="244">
        <f>Metrics!O280</f>
        <v>1939</v>
      </c>
      <c r="P389" s="244">
        <f>Metrics!P280</f>
        <v>2020</v>
      </c>
      <c r="Q389" s="244">
        <f>Metrics!Q280</f>
        <v>2285</v>
      </c>
      <c r="R389" s="244">
        <f>Metrics!R280</f>
        <v>2348</v>
      </c>
      <c r="S389" s="244">
        <f>Metrics!S280</f>
        <v>2348</v>
      </c>
      <c r="T389" s="342"/>
      <c r="U389" s="244">
        <f>Metrics!U280</f>
        <v>2589</v>
      </c>
      <c r="V389" s="244">
        <f>Metrics!V280</f>
        <v>2772</v>
      </c>
      <c r="W389" s="244">
        <f>Metrics!W280</f>
        <v>2912</v>
      </c>
      <c r="X389" s="244">
        <f>Metrics!X280</f>
        <v>3125</v>
      </c>
      <c r="Y389" s="244">
        <f>Metrics!Y280</f>
        <v>3125</v>
      </c>
      <c r="Z389" s="342"/>
      <c r="AA389" s="244">
        <f>Metrics!AA280</f>
        <v>3334</v>
      </c>
      <c r="AB389" s="244">
        <f>Metrics!AB280</f>
        <v>3513</v>
      </c>
      <c r="AC389" s="244">
        <f>Metrics!AC280</f>
        <v>3827</v>
      </c>
      <c r="AD389" s="244">
        <f>Metrics!AD280</f>
        <v>3970</v>
      </c>
      <c r="AE389" s="244">
        <f>Metrics!AE280</f>
        <v>3970</v>
      </c>
      <c r="AF389" s="342"/>
      <c r="AG389" s="244">
        <f>Metrics!AG280</f>
        <v>4523</v>
      </c>
      <c r="AH389" s="244">
        <f>Metrics!AH280</f>
        <v>4613</v>
      </c>
      <c r="AI389" s="244">
        <f>Metrics!AI280</f>
        <v>4710</v>
      </c>
      <c r="AJ389" s="244">
        <f>Metrics!AJ280</f>
        <v>4826</v>
      </c>
      <c r="AK389" s="244">
        <f>Metrics!AK280</f>
        <v>4826</v>
      </c>
      <c r="AL389" s="342"/>
      <c r="AM389" s="244">
        <f>Metrics!AM280</f>
        <v>5024</v>
      </c>
      <c r="AN389" s="244">
        <f>Metrics!AN280</f>
        <v>5180</v>
      </c>
      <c r="AO389" s="244">
        <f>Metrics!AO280</f>
        <v>5396</v>
      </c>
      <c r="AP389" s="244">
        <f>Metrics!AP280</f>
        <v>5781</v>
      </c>
      <c r="AQ389" s="244">
        <f>Metrics!AQ280</f>
        <v>5781</v>
      </c>
      <c r="AR389" s="342"/>
      <c r="AS389" s="244">
        <f>Metrics!AS280</f>
        <v>6070</v>
      </c>
      <c r="AT389" s="244">
        <f>Metrics!AT280</f>
        <v>6281</v>
      </c>
      <c r="AU389" s="244">
        <f>Metrics!AU280</f>
        <v>6455</v>
      </c>
      <c r="AV389" s="244">
        <f>Metrics!AV280</f>
        <v>6650</v>
      </c>
      <c r="AW389" s="244">
        <f>Metrics!AW280</f>
        <v>6650</v>
      </c>
      <c r="AX389" s="342"/>
      <c r="AY389" s="244">
        <f>Metrics!AY280</f>
        <v>0</v>
      </c>
      <c r="AZ389" s="244">
        <f>Metrics!AZ280</f>
        <v>0</v>
      </c>
      <c r="BA389" s="244">
        <f>Metrics!BA280</f>
        <v>0</v>
      </c>
      <c r="BB389" s="244">
        <f>Metrics!BB280</f>
        <v>7926</v>
      </c>
      <c r="BC389" s="244">
        <f>Metrics!BC280</f>
        <v>7926</v>
      </c>
      <c r="BD389" s="342"/>
      <c r="BE389" s="244">
        <f>Metrics!BE280</f>
        <v>0</v>
      </c>
      <c r="BF389" s="244">
        <f>Metrics!BF280</f>
        <v>0</v>
      </c>
      <c r="BG389" s="244">
        <f>Metrics!BG280</f>
        <v>0</v>
      </c>
      <c r="BH389" s="244">
        <f>Metrics!BH280</f>
        <v>8859</v>
      </c>
      <c r="BI389" s="244">
        <f>Metrics!BI280</f>
        <v>8859</v>
      </c>
      <c r="BJ389" s="342"/>
      <c r="BK389" s="244">
        <f>Metrics!BK280</f>
        <v>0</v>
      </c>
      <c r="BL389" s="244">
        <f>Metrics!BL280</f>
        <v>0</v>
      </c>
      <c r="BM389" s="244">
        <f>Metrics!BM280</f>
        <v>0</v>
      </c>
      <c r="BN389" s="244">
        <f>Metrics!BN280</f>
        <v>9429</v>
      </c>
      <c r="BO389" s="244">
        <f>Metrics!BO280</f>
        <v>9429</v>
      </c>
      <c r="BP389" s="342"/>
      <c r="BQ389" s="244">
        <f>Metrics!BQ280</f>
        <v>0</v>
      </c>
      <c r="BR389" s="244">
        <f>Metrics!BR280</f>
        <v>0</v>
      </c>
      <c r="BS389" s="244">
        <f>Metrics!BS280</f>
        <v>0</v>
      </c>
      <c r="BT389" s="244">
        <f>Metrics!BT280</f>
        <v>11436</v>
      </c>
      <c r="BU389" s="244">
        <f>Metrics!BU280</f>
        <v>11436</v>
      </c>
      <c r="BV389" s="342"/>
      <c r="BW389" s="244">
        <f>Metrics!BW280</f>
        <v>0</v>
      </c>
      <c r="BX389" s="244">
        <f>Metrics!BX280</f>
        <v>0</v>
      </c>
      <c r="BY389" s="244">
        <f>Metrics!BY280</f>
        <v>0</v>
      </c>
      <c r="BZ389" s="244">
        <f>Metrics!BZ280</f>
        <v>13114</v>
      </c>
      <c r="CA389" s="244">
        <f>Metrics!CA280</f>
        <v>13114</v>
      </c>
      <c r="CB389" s="342"/>
      <c r="CC389" s="244">
        <f>Metrics!CC280</f>
        <v>0</v>
      </c>
      <c r="CD389" s="244">
        <f>Metrics!CD280</f>
        <v>0</v>
      </c>
      <c r="CE389" s="244">
        <f>Metrics!CE280</f>
        <v>0</v>
      </c>
      <c r="CF389" s="244">
        <f>Metrics!CF280</f>
        <v>14432</v>
      </c>
      <c r="CG389" s="171">
        <f>Metrics!CG280</f>
        <v>14432</v>
      </c>
      <c r="CH389" s="342"/>
      <c r="CI389" s="244">
        <f>Metrics!CI280</f>
        <v>0</v>
      </c>
      <c r="CJ389" s="244">
        <f>Metrics!CJ280</f>
        <v>0</v>
      </c>
      <c r="CK389" s="244">
        <f>Metrics!CK280</f>
        <v>0</v>
      </c>
      <c r="CL389" s="244">
        <f>Metrics!CL280</f>
        <v>18130</v>
      </c>
      <c r="CM389" s="171">
        <f>Metrics!CM280</f>
        <v>18130</v>
      </c>
      <c r="CN389" s="342"/>
      <c r="CO389" s="244">
        <f>Metrics!CO280</f>
        <v>0</v>
      </c>
      <c r="CP389" s="244">
        <f>Metrics!CP280</f>
        <v>0</v>
      </c>
      <c r="CQ389" s="244">
        <f>Metrics!CQ280</f>
        <v>0</v>
      </c>
      <c r="CR389" s="244">
        <f>Metrics!CR280</f>
        <v>20607</v>
      </c>
      <c r="CS389" s="171">
        <f>Metrics!CS280</f>
        <v>20607</v>
      </c>
      <c r="CT389" s="342"/>
      <c r="CU389" s="244">
        <f>Metrics!CU280</f>
        <v>0</v>
      </c>
      <c r="CV389" s="244">
        <f>Metrics!CV280</f>
        <v>0</v>
      </c>
      <c r="CW389" s="244">
        <f>Metrics!CW280</f>
        <v>0</v>
      </c>
      <c r="CX389" s="244">
        <f>Metrics!CX280</f>
        <v>22000</v>
      </c>
      <c r="CY389" s="171">
        <f>Metrics!CY280</f>
        <v>22000</v>
      </c>
      <c r="CZ389" s="342"/>
      <c r="DA389" s="244">
        <f>Metrics!DA280</f>
        <v>0</v>
      </c>
      <c r="DB389" s="244">
        <f>Metrics!DB280</f>
        <v>0</v>
      </c>
      <c r="DC389" s="244">
        <f>Metrics!DC280</f>
        <v>0</v>
      </c>
      <c r="DD389" s="244">
        <f>Metrics!DD280</f>
        <v>28000</v>
      </c>
      <c r="DE389" s="171">
        <f>Metrics!DE280</f>
        <v>28000</v>
      </c>
      <c r="DF389" s="342"/>
      <c r="DG389" s="244">
        <f>Metrics!DG280</f>
        <v>0</v>
      </c>
      <c r="DH389" s="244">
        <f>Metrics!DH280</f>
        <v>0</v>
      </c>
      <c r="DI389" s="244">
        <f>Metrics!DI280</f>
        <v>0</v>
      </c>
      <c r="DJ389" s="244">
        <f>Metrics!DJ280</f>
        <v>30000</v>
      </c>
      <c r="DK389" s="171">
        <f>Metrics!DK280</f>
        <v>30000</v>
      </c>
      <c r="DL389" s="342"/>
      <c r="DM389" s="244">
        <f>Metrics!DM280</f>
        <v>0</v>
      </c>
      <c r="DN389" s="244">
        <f>Metrics!DN280</f>
        <v>0</v>
      </c>
      <c r="DO389" s="244">
        <f>Metrics!DO280</f>
        <v>0</v>
      </c>
      <c r="DP389" s="244">
        <f>Metrics!DP280</f>
        <v>32000</v>
      </c>
      <c r="DQ389" s="171">
        <f>Metrics!DQ280</f>
        <v>32000</v>
      </c>
      <c r="DR389" s="342"/>
      <c r="DS389" s="244">
        <f>Metrics!DS280</f>
        <v>0</v>
      </c>
      <c r="DT389" s="244">
        <f>Metrics!DT280</f>
        <v>0</v>
      </c>
      <c r="DU389" s="244">
        <f>Metrics!DU280</f>
        <v>0</v>
      </c>
      <c r="DV389" s="244">
        <f>Metrics!DV280</f>
        <v>35000</v>
      </c>
      <c r="DW389" s="171">
        <f>Metrics!DW280</f>
        <v>35000</v>
      </c>
      <c r="DX389" s="342"/>
      <c r="DY389" s="244">
        <f>Metrics!DY280</f>
        <v>0</v>
      </c>
      <c r="DZ389" s="244">
        <f>Metrics!DZ280</f>
        <v>0</v>
      </c>
      <c r="EA389" s="244">
        <f>Metrics!EA280</f>
        <v>0</v>
      </c>
      <c r="EB389" s="244">
        <f>Metrics!EB280</f>
        <v>36000</v>
      </c>
      <c r="EC389" s="171">
        <f>Metrics!EC280</f>
        <v>36000</v>
      </c>
      <c r="ED389" s="342"/>
      <c r="EE389" s="244">
        <f>Metrics!EE280</f>
        <v>0</v>
      </c>
      <c r="EF389" s="244">
        <f>Metrics!EF280</f>
        <v>0</v>
      </c>
      <c r="EG389" s="244">
        <f>Metrics!EG280</f>
        <v>0</v>
      </c>
      <c r="EH389" s="244">
        <f>Metrics!EH280</f>
        <v>38000</v>
      </c>
      <c r="EI389" s="171">
        <f>Metrics!EI280</f>
        <v>38000</v>
      </c>
      <c r="EJ389" s="342"/>
      <c r="EK389" s="244">
        <f>Metrics!EK280</f>
        <v>0</v>
      </c>
      <c r="EL389" s="244">
        <f>Metrics!EL280</f>
        <v>0</v>
      </c>
      <c r="EM389" s="244">
        <f>Metrics!EM280</f>
        <v>0</v>
      </c>
      <c r="EN389" s="244">
        <f>Metrics!EN280</f>
        <v>40000</v>
      </c>
      <c r="EO389" s="171">
        <f>Metrics!EO280</f>
        <v>40000</v>
      </c>
      <c r="EP389" s="342"/>
      <c r="EQ389" s="244">
        <f>Metrics!EQ280</f>
        <v>0</v>
      </c>
      <c r="ER389" s="244">
        <f>Metrics!ER280</f>
        <v>0</v>
      </c>
      <c r="ES389" s="244">
        <f>Metrics!ES280</f>
        <v>0</v>
      </c>
      <c r="ET389" s="244">
        <f>Metrics!ET280</f>
        <v>40000</v>
      </c>
      <c r="EU389" s="171">
        <f>Metrics!EU280</f>
        <v>40000</v>
      </c>
      <c r="EV389" s="342"/>
      <c r="EW389" s="244">
        <f>Metrics!EW280</f>
        <v>0</v>
      </c>
      <c r="EX389" s="244">
        <f>Metrics!EX280</f>
        <v>0</v>
      </c>
      <c r="EY389" s="244">
        <f>Metrics!EY280</f>
        <v>0</v>
      </c>
      <c r="EZ389" s="244">
        <f>Metrics!EZ280</f>
        <v>41876.139633768107</v>
      </c>
      <c r="FA389" s="171">
        <f>Metrics!FA280</f>
        <v>41876.139633768107</v>
      </c>
      <c r="FB389" s="342"/>
      <c r="FC389" s="244">
        <f>Metrics!FC280</f>
        <v>0</v>
      </c>
      <c r="FD389" s="244">
        <f>Metrics!FD280</f>
        <v>0</v>
      </c>
      <c r="FE389" s="244">
        <f>Metrics!FE280</f>
        <v>0</v>
      </c>
      <c r="FF389" s="244">
        <f>Metrics!FF280</f>
        <v>43684.982103067669</v>
      </c>
      <c r="FG389" s="171">
        <f>Metrics!FG280</f>
        <v>43684.982103067669</v>
      </c>
      <c r="FH389" s="342"/>
      <c r="FI389" s="244">
        <f>Metrics!FI280</f>
        <v>0</v>
      </c>
      <c r="FJ389" s="244">
        <f>Metrics!FJ280</f>
        <v>0</v>
      </c>
      <c r="FK389" s="244">
        <f>Metrics!FK280</f>
        <v>0</v>
      </c>
      <c r="FL389" s="244">
        <f>Metrics!FL280</f>
        <v>45589.490541092469</v>
      </c>
      <c r="FM389" s="171">
        <f>Metrics!FM280</f>
        <v>45589.490541092469</v>
      </c>
      <c r="FN389" s="27"/>
      <c r="FO389" s="27"/>
      <c r="FP389" s="27"/>
      <c r="FQ389" s="27"/>
      <c r="FR389" s="27"/>
      <c r="FS389" s="27"/>
      <c r="FT389" s="27"/>
      <c r="FU389" s="27"/>
      <c r="FV389" s="27"/>
      <c r="FW389" s="27"/>
      <c r="FX389" s="27"/>
      <c r="FY389" s="27"/>
      <c r="FZ389" s="27"/>
      <c r="GA389" s="27"/>
      <c r="GB389" s="27"/>
      <c r="GC389" s="27"/>
      <c r="GD389" s="27"/>
      <c r="GE389" s="27"/>
      <c r="GF389" s="27"/>
      <c r="GG389" s="27"/>
      <c r="GH389" s="27"/>
      <c r="GI389"/>
      <c r="GJ389"/>
      <c r="GK389"/>
      <c r="GL389"/>
      <c r="GM389"/>
      <c r="GN389"/>
      <c r="GO389" s="27"/>
      <c r="GP389"/>
      <c r="GQ389"/>
      <c r="GR389"/>
      <c r="GS389"/>
      <c r="GT389"/>
      <c r="GU389"/>
      <c r="GV389"/>
      <c r="GW389"/>
      <c r="GX389"/>
      <c r="GY389"/>
      <c r="GZ389"/>
      <c r="HA389"/>
      <c r="HB389"/>
      <c r="HC389"/>
      <c r="HD389"/>
      <c r="HE389"/>
      <c r="HF389"/>
      <c r="HG389"/>
      <c r="HH389"/>
      <c r="HI389"/>
      <c r="HJ389"/>
      <c r="HK389"/>
      <c r="HL389"/>
      <c r="HM389"/>
      <c r="HN389"/>
      <c r="HO389"/>
      <c r="HP389"/>
      <c r="HQ389"/>
      <c r="HR389"/>
      <c r="HS389"/>
      <c r="HT389"/>
      <c r="HU389"/>
      <c r="HV389"/>
      <c r="HW389"/>
      <c r="HX389"/>
      <c r="HY389"/>
      <c r="HZ389"/>
      <c r="IA389"/>
      <c r="IB389"/>
      <c r="IC389"/>
      <c r="ID389"/>
      <c r="IE389"/>
      <c r="IF389"/>
      <c r="IG389"/>
      <c r="IH389"/>
      <c r="II389"/>
      <c r="IJ389"/>
      <c r="IK389"/>
      <c r="IL389"/>
      <c r="IM389"/>
      <c r="IN389"/>
      <c r="IO389"/>
      <c r="IP389"/>
      <c r="IQ389"/>
      <c r="IR389"/>
      <c r="IS389"/>
      <c r="IT389"/>
      <c r="IU389"/>
      <c r="IV389"/>
      <c r="IW389"/>
      <c r="IX389"/>
      <c r="IY389"/>
      <c r="IZ389"/>
      <c r="JA389"/>
      <c r="JB389"/>
      <c r="JC389"/>
      <c r="JD389"/>
      <c r="JE389"/>
      <c r="JF389"/>
      <c r="JG389"/>
      <c r="JH389"/>
      <c r="JI389"/>
      <c r="JJ389"/>
      <c r="JK389"/>
      <c r="JL389"/>
      <c r="JM389"/>
      <c r="JN389"/>
      <c r="JO389"/>
      <c r="JP389"/>
      <c r="JQ389"/>
      <c r="JR389"/>
      <c r="JS389"/>
      <c r="JT389"/>
      <c r="JU389"/>
    </row>
    <row r="390" spans="1:281" s="24" customFormat="1" hidden="1" outlineLevel="1" x14ac:dyDescent="0.2">
      <c r="A390" s="27" t="s">
        <v>33</v>
      </c>
      <c r="B390" s="413" t="s">
        <v>845</v>
      </c>
      <c r="C390" s="244" t="str">
        <f>Metrics!C319</f>
        <v>-</v>
      </c>
      <c r="D390" s="244" t="str">
        <f>Metrics!D319</f>
        <v>-</v>
      </c>
      <c r="E390" s="244" t="str">
        <f>Metrics!E319</f>
        <v>-</v>
      </c>
      <c r="F390" s="244" t="str">
        <f>Metrics!F319</f>
        <v>-</v>
      </c>
      <c r="G390" s="244" t="str">
        <f>Metrics!G319</f>
        <v>-</v>
      </c>
      <c r="H390" s="244" t="str">
        <f>Metrics!H319</f>
        <v>-</v>
      </c>
      <c r="I390" s="244" t="str">
        <f>Metrics!I319</f>
        <v>-</v>
      </c>
      <c r="J390" s="244">
        <f>Metrics!J319</f>
        <v>3480</v>
      </c>
      <c r="K390" s="244">
        <f>Metrics!K319</f>
        <v>3603</v>
      </c>
      <c r="L390" s="244">
        <f>Metrics!L319</f>
        <v>3904</v>
      </c>
      <c r="M390" s="244">
        <f>Metrics!M319</f>
        <v>5022</v>
      </c>
      <c r="N390" s="342"/>
      <c r="O390" s="244">
        <f>Metrics!O319</f>
        <v>5765</v>
      </c>
      <c r="P390" s="244">
        <f>Metrics!P319</f>
        <v>6379</v>
      </c>
      <c r="Q390" s="244">
        <f>Metrics!Q319</f>
        <v>7086</v>
      </c>
      <c r="R390" s="244">
        <f>Metrics!R319</f>
        <v>7493</v>
      </c>
      <c r="S390" s="244">
        <f>Metrics!S319</f>
        <v>7493</v>
      </c>
      <c r="T390" s="342"/>
      <c r="U390" s="244">
        <f>Metrics!U319</f>
        <v>8392</v>
      </c>
      <c r="V390" s="244">
        <f>Metrics!V319</f>
        <v>9222</v>
      </c>
      <c r="W390" s="244">
        <f>Metrics!W319</f>
        <v>9935</v>
      </c>
      <c r="X390" s="244">
        <f>Metrics!X319</f>
        <v>10911</v>
      </c>
      <c r="Y390" s="244">
        <f>Metrics!Y319</f>
        <v>10911</v>
      </c>
      <c r="Z390" s="342"/>
      <c r="AA390" s="244">
        <f>Metrics!AA319</f>
        <v>12078</v>
      </c>
      <c r="AB390" s="244">
        <f>Metrics!AB319</f>
        <v>13158</v>
      </c>
      <c r="AC390" s="244">
        <f>Metrics!AC319</f>
        <v>13905</v>
      </c>
      <c r="AD390" s="244">
        <f>Metrics!AD319</f>
        <v>14181</v>
      </c>
      <c r="AE390" s="244">
        <f>Metrics!AE319</f>
        <v>14181</v>
      </c>
      <c r="AF390" s="342"/>
      <c r="AG390" s="244">
        <f>Metrics!AG319</f>
        <v>15508</v>
      </c>
      <c r="AH390" s="244">
        <f>Metrics!AH319</f>
        <v>16732</v>
      </c>
      <c r="AI390" s="244">
        <f>Metrics!AI319</f>
        <v>17751</v>
      </c>
      <c r="AJ390" s="244">
        <f>Metrics!AJ319</f>
        <v>18339</v>
      </c>
      <c r="AK390" s="244">
        <f>Metrics!AK319</f>
        <v>18339</v>
      </c>
      <c r="AL390" s="342"/>
      <c r="AM390" s="244">
        <f>Metrics!AM319</f>
        <v>19501</v>
      </c>
      <c r="AN390" s="244">
        <f>Metrics!AN319</f>
        <v>20618</v>
      </c>
      <c r="AO390" s="244">
        <f>Metrics!AO319</f>
        <v>21882</v>
      </c>
      <c r="AP390" s="244">
        <f>Metrics!AP319</f>
        <v>22130</v>
      </c>
      <c r="AQ390" s="244">
        <f>Metrics!AQ319</f>
        <v>22130</v>
      </c>
      <c r="AR390" s="342"/>
      <c r="AS390" s="244">
        <f>Metrics!AS319</f>
        <v>21300</v>
      </c>
      <c r="AT390" s="244">
        <f>Metrics!AT319</f>
        <v>20699</v>
      </c>
      <c r="AU390" s="244">
        <f>Metrics!AU319</f>
        <v>20249</v>
      </c>
      <c r="AV390" s="244">
        <f>Metrics!AV319</f>
        <v>19771</v>
      </c>
      <c r="AW390" s="244">
        <f>Metrics!AW319</f>
        <v>19771</v>
      </c>
      <c r="AX390" s="342"/>
      <c r="AY390" s="244">
        <f>Metrics!AY319</f>
        <v>19905</v>
      </c>
      <c r="AZ390" s="244">
        <f>Metrics!AZ319</f>
        <v>20660</v>
      </c>
      <c r="BA390" s="244">
        <f>Metrics!BA319</f>
        <v>21470</v>
      </c>
      <c r="BB390" s="244">
        <f>Metrics!BB319</f>
        <v>20919</v>
      </c>
      <c r="BC390" s="244">
        <f>Metrics!BC319</f>
        <v>20919</v>
      </c>
      <c r="BD390" s="342"/>
      <c r="BE390" s="244">
        <f>Metrics!BE319</f>
        <v>20128</v>
      </c>
      <c r="BF390" s="244">
        <f>Metrics!BF319</f>
        <v>20193</v>
      </c>
      <c r="BG390" s="244">
        <f>Metrics!BG319</f>
        <v>19602</v>
      </c>
      <c r="BH390" s="244">
        <f>Metrics!BH319</f>
        <v>19470</v>
      </c>
      <c r="BI390" s="244">
        <f>Metrics!BI319</f>
        <v>19470</v>
      </c>
      <c r="BJ390" s="342"/>
      <c r="BK390" s="244">
        <f>Metrics!BK319</f>
        <v>18893</v>
      </c>
      <c r="BL390" s="244">
        <f>Metrics!BL319</f>
        <v>18420</v>
      </c>
      <c r="BM390" s="244">
        <f>Metrics!BM319</f>
        <v>18129</v>
      </c>
      <c r="BN390" s="244">
        <f>Metrics!BN319</f>
        <v>17968</v>
      </c>
      <c r="BO390" s="244">
        <f>Metrics!BO319</f>
        <v>17968</v>
      </c>
      <c r="BP390" s="342"/>
      <c r="BQ390" s="244">
        <f>Metrics!BQ319</f>
        <v>17437</v>
      </c>
      <c r="BR390" s="244">
        <f>Metrics!BR319</f>
        <v>17056</v>
      </c>
      <c r="BS390" s="244">
        <f>Metrics!BS319</f>
        <v>16908</v>
      </c>
      <c r="BT390" s="244">
        <f>Metrics!BT319</f>
        <v>16659</v>
      </c>
      <c r="BU390" s="244">
        <f>Metrics!BU319</f>
        <v>16659</v>
      </c>
      <c r="BV390" s="342"/>
      <c r="BW390" s="244">
        <f>Metrics!BW319</f>
        <v>16458</v>
      </c>
      <c r="BX390" s="244">
        <f>Metrics!BX319</f>
        <v>16347</v>
      </c>
      <c r="BY390" s="244">
        <f>Metrics!BY319</f>
        <v>21774</v>
      </c>
      <c r="BZ390" s="244">
        <f>Metrics!BZ319</f>
        <v>21544</v>
      </c>
      <c r="CA390" s="244">
        <f>Metrics!CA319</f>
        <v>21544</v>
      </c>
      <c r="CB390" s="342"/>
      <c r="CC390" s="244">
        <f>Metrics!CC319</f>
        <v>21198</v>
      </c>
      <c r="CD390" s="244">
        <f>Metrics!CD319</f>
        <v>21133</v>
      </c>
      <c r="CE390" s="244">
        <f>Metrics!CE319</f>
        <v>23256</v>
      </c>
      <c r="CF390" s="244">
        <f>Metrics!CF319</f>
        <v>23209</v>
      </c>
      <c r="CG390" s="171">
        <f>Metrics!CG319</f>
        <v>23209</v>
      </c>
      <c r="CH390" s="342"/>
      <c r="CI390" s="244">
        <f>Metrics!CI319</f>
        <v>23503</v>
      </c>
      <c r="CJ390" s="244">
        <f>Metrics!CJ319</f>
        <v>24054</v>
      </c>
      <c r="CK390" s="244">
        <f>Metrics!CK319</f>
        <v>24253</v>
      </c>
      <c r="CL390" s="244">
        <f>Metrics!CL319</f>
        <v>29830</v>
      </c>
      <c r="CM390" s="171">
        <f>Metrics!CM319</f>
        <v>29830</v>
      </c>
      <c r="CN390" s="342"/>
      <c r="CO390" s="244">
        <f>Metrics!CO319</f>
        <v>30455</v>
      </c>
      <c r="CP390" s="244">
        <f>Metrics!CP319</f>
        <v>30654</v>
      </c>
      <c r="CQ390" s="244">
        <f>Metrics!CQ319</f>
        <v>30624</v>
      </c>
      <c r="CR390" s="244">
        <f>Metrics!CR319</f>
        <v>32608</v>
      </c>
      <c r="CS390" s="171">
        <f>Metrics!CS319</f>
        <v>32608</v>
      </c>
      <c r="CT390" s="342"/>
      <c r="CU390" s="244">
        <f>Metrics!CU319</f>
        <v>32993</v>
      </c>
      <c r="CV390" s="244">
        <f>Metrics!CV319</f>
        <v>33526</v>
      </c>
      <c r="CW390" s="244">
        <f>Metrics!CW319</f>
        <v>32919</v>
      </c>
      <c r="CX390" s="244">
        <f>Metrics!CX319</f>
        <v>32347</v>
      </c>
      <c r="CY390" s="171">
        <f>Metrics!CY319</f>
        <v>32347</v>
      </c>
      <c r="CZ390" s="342"/>
      <c r="DA390" s="244">
        <f>Metrics!DA319</f>
        <v>32034</v>
      </c>
      <c r="DB390" s="244">
        <f>Metrics!DB319</f>
        <v>31849</v>
      </c>
      <c r="DC390" s="244">
        <f>Metrics!DC319</f>
        <v>44554</v>
      </c>
      <c r="DD390" s="244">
        <f>Metrics!DD319</f>
        <v>43968</v>
      </c>
      <c r="DE390" s="171">
        <f>Metrics!DE319</f>
        <v>43968</v>
      </c>
      <c r="DF390" s="342"/>
      <c r="DG390" s="244">
        <f>Metrics!DG319</f>
        <v>44494</v>
      </c>
      <c r="DH390" s="244">
        <f>Metrics!DH319</f>
        <v>44815</v>
      </c>
      <c r="DI390" s="244">
        <f>Metrics!DI319</f>
        <v>45825</v>
      </c>
      <c r="DJ390" s="244">
        <f>Metrics!DJ319</f>
        <v>45887</v>
      </c>
      <c r="DK390" s="171">
        <f>Metrics!DK319</f>
        <v>45887</v>
      </c>
      <c r="DL390" s="342"/>
      <c r="DM390" s="244">
        <f>Metrics!DM319</f>
        <v>46338</v>
      </c>
      <c r="DN390" s="244">
        <f>Metrics!DN319</f>
        <v>46672</v>
      </c>
      <c r="DO390" s="244">
        <f>Metrics!DO319</f>
        <v>47884</v>
      </c>
      <c r="DP390" s="244">
        <f>Metrics!DP319</f>
        <v>48901</v>
      </c>
      <c r="DQ390" s="171">
        <f>Metrics!DQ319</f>
        <v>48901</v>
      </c>
      <c r="DR390" s="342"/>
      <c r="DS390" s="244">
        <f>Metrics!DS319</f>
        <v>49145</v>
      </c>
      <c r="DT390" s="244">
        <f>Metrics!DT319</f>
        <v>49584</v>
      </c>
      <c r="DU390" s="244">
        <f>Metrics!DU319</f>
        <v>50402</v>
      </c>
      <c r="DV390" s="244">
        <f>Metrics!DV319</f>
        <v>51519</v>
      </c>
      <c r="DW390" s="171">
        <f>Metrics!DW319</f>
        <v>51519</v>
      </c>
      <c r="DX390" s="342"/>
      <c r="DY390" s="244">
        <f>Metrics!DY319</f>
        <v>53465</v>
      </c>
      <c r="DZ390" s="244">
        <f>Metrics!DZ319</f>
        <v>53073</v>
      </c>
      <c r="EA390" s="244">
        <f>Metrics!EA319</f>
        <v>53799</v>
      </c>
      <c r="EB390" s="244">
        <f>Metrics!EB319</f>
        <v>53827</v>
      </c>
      <c r="EC390" s="171">
        <f>Metrics!EC319</f>
        <v>53827</v>
      </c>
      <c r="ED390" s="342"/>
      <c r="EE390" s="244">
        <f>Metrics!EE319</f>
        <v>54073</v>
      </c>
      <c r="EF390" s="244">
        <f>Metrics!EF319</f>
        <v>57243</v>
      </c>
      <c r="EG390" s="244">
        <f>Metrics!EG319</f>
        <v>58117</v>
      </c>
      <c r="EH390" s="244">
        <f>Metrics!EH319</f>
        <v>58415</v>
      </c>
      <c r="EI390" s="171">
        <f>Metrics!EI319</f>
        <v>58415</v>
      </c>
      <c r="EJ390" s="342"/>
      <c r="EK390" s="244">
        <f>Metrics!EK319</f>
        <v>59901</v>
      </c>
      <c r="EL390" s="244">
        <f>Metrics!EL319</f>
        <v>59999</v>
      </c>
      <c r="EM390" s="244">
        <f>Metrics!EM319</f>
        <v>60437</v>
      </c>
      <c r="EN390" s="244">
        <f>Metrics!EN319</f>
        <v>60329</v>
      </c>
      <c r="EO390" s="171">
        <f>Metrics!EO319</f>
        <v>60329</v>
      </c>
      <c r="EP390" s="342"/>
      <c r="EQ390" s="244">
        <f>Metrics!EQ319</f>
        <v>61221</v>
      </c>
      <c r="ER390" s="244">
        <f>Metrics!ER319</f>
        <v>63251</v>
      </c>
      <c r="ES390" s="244">
        <f>Metrics!ES319</f>
        <v>62613</v>
      </c>
      <c r="ET390" s="244">
        <f>Metrics!ET319</f>
        <v>51000</v>
      </c>
      <c r="EU390" s="171">
        <f>Metrics!EU319</f>
        <v>51000</v>
      </c>
      <c r="EV390" s="342"/>
      <c r="EW390" s="244">
        <f>Metrics!EW319</f>
        <v>63057.630000000005</v>
      </c>
      <c r="EX390" s="244">
        <f>Metrics!EX319</f>
        <v>63372.918149999998</v>
      </c>
      <c r="EY390" s="244">
        <f>Metrics!EY319</f>
        <v>63689.782740749994</v>
      </c>
      <c r="EZ390" s="244">
        <f>Metrics!EZ319</f>
        <v>63689.782740749994</v>
      </c>
      <c r="FA390" s="171">
        <f>Metrics!FA319</f>
        <v>63689.782740749994</v>
      </c>
      <c r="FB390" s="342"/>
      <c r="FC390" s="244">
        <f>Metrics!FC319</f>
        <v>64008.231654453739</v>
      </c>
      <c r="FD390" s="244">
        <f>Metrics!FD319</f>
        <v>64328.272812725998</v>
      </c>
      <c r="FE390" s="244">
        <f>Metrics!FE319</f>
        <v>64649.914176789622</v>
      </c>
      <c r="FF390" s="244">
        <f>Metrics!FF319</f>
        <v>64973.163747673563</v>
      </c>
      <c r="FG390" s="171">
        <f>Metrics!FG319</f>
        <v>64973.163747673563</v>
      </c>
      <c r="FH390" s="342"/>
      <c r="FI390" s="244">
        <f>Metrics!FI319</f>
        <v>65298.029566411926</v>
      </c>
      <c r="FJ390" s="244">
        <f>Metrics!FJ319</f>
        <v>65624.519714243972</v>
      </c>
      <c r="FK390" s="244">
        <f>Metrics!FK319</f>
        <v>65952.64231281518</v>
      </c>
      <c r="FL390" s="244">
        <f>Metrics!FL319</f>
        <v>66282.405524379254</v>
      </c>
      <c r="FM390" s="171">
        <f>Metrics!FM319</f>
        <v>66282.405524379254</v>
      </c>
      <c r="FN390" s="27"/>
      <c r="FO390" s="27"/>
      <c r="FP390" s="27"/>
      <c r="FQ390" s="27"/>
      <c r="FR390" s="27"/>
      <c r="FS390" s="27"/>
      <c r="FT390" s="27"/>
      <c r="FU390" s="27"/>
      <c r="FV390" s="27"/>
      <c r="FW390" s="27"/>
      <c r="FX390" s="27"/>
      <c r="FY390" s="27"/>
      <c r="FZ390" s="27"/>
      <c r="GA390" s="27"/>
      <c r="GB390" s="27"/>
      <c r="GC390" s="27"/>
      <c r="GD390" s="27"/>
      <c r="GE390" s="27"/>
      <c r="GF390" s="27"/>
      <c r="GG390" s="27"/>
      <c r="GH390" s="27"/>
      <c r="GI390"/>
      <c r="GJ390"/>
      <c r="GK390"/>
      <c r="GL390"/>
      <c r="GM390"/>
      <c r="GN390"/>
      <c r="GO390" s="27"/>
      <c r="GP390"/>
      <c r="GQ390"/>
      <c r="GR390"/>
      <c r="GS390"/>
      <c r="GT390"/>
      <c r="GU390"/>
      <c r="GV390"/>
      <c r="GW390"/>
      <c r="GX390"/>
      <c r="GY390"/>
      <c r="GZ390"/>
      <c r="HA390"/>
      <c r="HB390"/>
      <c r="HC390"/>
      <c r="HD390"/>
      <c r="HE390"/>
      <c r="HF390"/>
      <c r="HG390"/>
      <c r="HH390"/>
      <c r="HI390"/>
      <c r="HJ390"/>
      <c r="HK390"/>
      <c r="HL390"/>
      <c r="HM390"/>
      <c r="HN390"/>
      <c r="HO390"/>
      <c r="HP390"/>
      <c r="HQ390"/>
      <c r="HR390"/>
      <c r="HS390"/>
      <c r="HT390"/>
      <c r="HU390"/>
      <c r="HV390"/>
      <c r="HW390"/>
      <c r="HX390"/>
      <c r="HY390"/>
      <c r="HZ390"/>
      <c r="IA390"/>
      <c r="IB390"/>
      <c r="IC390"/>
      <c r="ID390"/>
      <c r="IE390"/>
      <c r="IF390"/>
      <c r="IG390"/>
      <c r="IH390"/>
      <c r="II390"/>
      <c r="IJ390"/>
      <c r="IK390"/>
      <c r="IL390"/>
      <c r="IM390"/>
      <c r="IN390"/>
      <c r="IO390"/>
      <c r="IP390"/>
      <c r="IQ390"/>
      <c r="IR390"/>
      <c r="IS390"/>
      <c r="IT390"/>
      <c r="IU390"/>
      <c r="IV390"/>
      <c r="IW390"/>
      <c r="IX390"/>
      <c r="IY390"/>
      <c r="IZ390"/>
      <c r="JA390"/>
      <c r="JB390"/>
      <c r="JC390"/>
      <c r="JD390"/>
      <c r="JE390"/>
      <c r="JF390"/>
      <c r="JG390"/>
      <c r="JH390"/>
      <c r="JI390"/>
      <c r="JJ390"/>
      <c r="JK390"/>
      <c r="JL390"/>
      <c r="JM390"/>
      <c r="JN390"/>
      <c r="JO390"/>
      <c r="JP390"/>
      <c r="JQ390"/>
      <c r="JR390"/>
      <c r="JS390"/>
      <c r="JT390"/>
      <c r="JU390"/>
    </row>
    <row r="391" spans="1:281" s="24" customFormat="1" hidden="1" outlineLevel="1" x14ac:dyDescent="0.2">
      <c r="A391" s="27" t="s">
        <v>34</v>
      </c>
      <c r="B391" s="413" t="s">
        <v>846</v>
      </c>
      <c r="C391" s="244" t="str">
        <f>Metrics!C320</f>
        <v>-</v>
      </c>
      <c r="D391" s="244" t="str">
        <f>Metrics!D320</f>
        <v>-</v>
      </c>
      <c r="E391" s="244" t="str">
        <f>Metrics!E320</f>
        <v>-</v>
      </c>
      <c r="F391" s="244" t="str">
        <f>Metrics!F320</f>
        <v>-</v>
      </c>
      <c r="G391" s="244" t="str">
        <f>Metrics!G320</f>
        <v>-</v>
      </c>
      <c r="H391" s="244" t="str">
        <f>Metrics!H320</f>
        <v>-</v>
      </c>
      <c r="I391" s="244" t="str">
        <f>Metrics!I320</f>
        <v>-</v>
      </c>
      <c r="J391" s="244">
        <f>Metrics!J320</f>
        <v>3986</v>
      </c>
      <c r="K391" s="244">
        <f>Metrics!K320</f>
        <v>4557</v>
      </c>
      <c r="L391" s="244">
        <f>Metrics!L320</f>
        <v>5343</v>
      </c>
      <c r="M391" s="244">
        <f>Metrics!M320</f>
        <v>7036</v>
      </c>
      <c r="N391" s="342"/>
      <c r="O391" s="244">
        <f>Metrics!O320</f>
        <v>7691</v>
      </c>
      <c r="P391" s="244">
        <f>Metrics!P320</f>
        <v>8451</v>
      </c>
      <c r="Q391" s="244">
        <f>Metrics!Q320</f>
        <v>8997</v>
      </c>
      <c r="R391" s="244">
        <f>Metrics!R320</f>
        <v>9389</v>
      </c>
      <c r="S391" s="244">
        <f>Metrics!S320</f>
        <v>9389</v>
      </c>
      <c r="T391" s="342"/>
      <c r="U391" s="244">
        <f>Metrics!U320</f>
        <v>10107</v>
      </c>
      <c r="V391" s="244">
        <f>Metrics!V320</f>
        <v>10723</v>
      </c>
      <c r="W391" s="244">
        <f>Metrics!W320</f>
        <v>11441</v>
      </c>
      <c r="X391" s="244">
        <f>Metrics!X320</f>
        <v>12202</v>
      </c>
      <c r="Y391" s="244">
        <f>Metrics!Y320</f>
        <v>12202</v>
      </c>
      <c r="Z391" s="342"/>
      <c r="AA391" s="244">
        <f>Metrics!AA320</f>
        <v>13146</v>
      </c>
      <c r="AB391" s="244">
        <f>Metrics!AB320</f>
        <v>14194</v>
      </c>
      <c r="AC391" s="244">
        <f>Metrics!AC320</f>
        <v>14939</v>
      </c>
      <c r="AD391" s="244">
        <f>Metrics!AD320</f>
        <v>15250</v>
      </c>
      <c r="AE391" s="244">
        <f>Metrics!AE320</f>
        <v>15250</v>
      </c>
      <c r="AF391" s="342"/>
      <c r="AG391" s="244">
        <f>Metrics!AG320</f>
        <v>15893</v>
      </c>
      <c r="AH391" s="244">
        <f>Metrics!AH320</f>
        <v>17043</v>
      </c>
      <c r="AI391" s="244">
        <f>Metrics!AI320</f>
        <v>17762</v>
      </c>
      <c r="AJ391" s="244">
        <f>Metrics!AJ320</f>
        <v>18463</v>
      </c>
      <c r="AK391" s="244">
        <f>Metrics!AK320</f>
        <v>18463</v>
      </c>
      <c r="AL391" s="342"/>
      <c r="AM391" s="244">
        <f>Metrics!AM320</f>
        <v>19128</v>
      </c>
      <c r="AN391" s="244">
        <f>Metrics!AN320</f>
        <v>20177</v>
      </c>
      <c r="AO391" s="244">
        <f>Metrics!AO320</f>
        <v>20901</v>
      </c>
      <c r="AP391" s="244">
        <f>Metrics!AP320</f>
        <v>21670</v>
      </c>
      <c r="AQ391" s="244">
        <f>Metrics!AQ320</f>
        <v>21670</v>
      </c>
      <c r="AR391" s="342"/>
      <c r="AS391" s="244">
        <f>Metrics!AS320</f>
        <v>21793</v>
      </c>
      <c r="AT391" s="244">
        <f>Metrics!AT320</f>
        <v>21983</v>
      </c>
      <c r="AU391" s="244">
        <f>Metrics!AU320</f>
        <v>21668</v>
      </c>
      <c r="AV391" s="244">
        <f>Metrics!AV320</f>
        <v>21549</v>
      </c>
      <c r="AW391" s="244">
        <f>Metrics!AW320</f>
        <v>21549</v>
      </c>
      <c r="AX391" s="342"/>
      <c r="AY391" s="244">
        <f>Metrics!AY320</f>
        <v>21265</v>
      </c>
      <c r="AZ391" s="244">
        <f>Metrics!AZ320</f>
        <v>21342</v>
      </c>
      <c r="BA391" s="244">
        <f>Metrics!BA320</f>
        <v>21838</v>
      </c>
      <c r="BB391" s="244">
        <f>Metrics!BB320</f>
        <v>22008</v>
      </c>
      <c r="BC391" s="244">
        <f>Metrics!BC320</f>
        <v>22008</v>
      </c>
      <c r="BD391" s="342"/>
      <c r="BE391" s="244">
        <f>Metrics!BE320</f>
        <v>22171</v>
      </c>
      <c r="BF391" s="244">
        <f>Metrics!BF320</f>
        <v>22250</v>
      </c>
      <c r="BG391" s="244">
        <f>Metrics!BG320</f>
        <v>22333</v>
      </c>
      <c r="BH391" s="244">
        <f>Metrics!BH320</f>
        <v>22536</v>
      </c>
      <c r="BI391" s="244">
        <f>Metrics!BI320</f>
        <v>22536</v>
      </c>
      <c r="BJ391" s="342"/>
      <c r="BK391" s="244">
        <f>Metrics!BK320</f>
        <v>22603</v>
      </c>
      <c r="BL391" s="244">
        <f>Metrics!BL320</f>
        <v>22225</v>
      </c>
      <c r="BM391" s="244">
        <f>Metrics!BM320</f>
        <v>22260</v>
      </c>
      <c r="BN391" s="244">
        <f>Metrics!BN320</f>
        <v>22682</v>
      </c>
      <c r="BO391" s="244">
        <f>Metrics!BO320</f>
        <v>22682</v>
      </c>
      <c r="BP391" s="342"/>
      <c r="BQ391" s="244">
        <f>Metrics!BQ320</f>
        <v>22887</v>
      </c>
      <c r="BR391" s="244">
        <f>Metrics!BR320</f>
        <v>23559</v>
      </c>
      <c r="BS391" s="244">
        <f>Metrics!BS320</f>
        <v>24286</v>
      </c>
      <c r="BT391" s="244">
        <f>Metrics!BT320</f>
        <v>24999</v>
      </c>
      <c r="BU391" s="244">
        <f>Metrics!BU320</f>
        <v>24999</v>
      </c>
      <c r="BV391" s="342"/>
      <c r="BW391" s="244">
        <f>Metrics!BW320</f>
        <v>25610</v>
      </c>
      <c r="BX391" s="244">
        <f>Metrics!BX320</f>
        <v>26233</v>
      </c>
      <c r="BY391" s="244">
        <f>Metrics!BY320</f>
        <v>29107</v>
      </c>
      <c r="BZ391" s="244">
        <f>Metrics!BZ320</f>
        <v>28328</v>
      </c>
      <c r="CA391" s="244">
        <f>Metrics!CA320</f>
        <v>28328</v>
      </c>
      <c r="CB391" s="342"/>
      <c r="CC391" s="244">
        <f>Metrics!CC320</f>
        <v>28318</v>
      </c>
      <c r="CD391" s="244">
        <f>Metrics!CD320</f>
        <v>30021</v>
      </c>
      <c r="CE391" s="244">
        <f>Metrics!CE320</f>
        <v>32326</v>
      </c>
      <c r="CF391" s="244">
        <f>Metrics!CF320</f>
        <v>32924</v>
      </c>
      <c r="CG391" s="171">
        <f>Metrics!CG320</f>
        <v>32924</v>
      </c>
      <c r="CH391" s="342"/>
      <c r="CI391" s="244">
        <f>Metrics!CI320</f>
        <v>41623</v>
      </c>
      <c r="CJ391" s="244">
        <f>Metrics!CJ320</f>
        <v>44380</v>
      </c>
      <c r="CK391" s="244">
        <f>Metrics!CK320</f>
        <v>46228</v>
      </c>
      <c r="CL391" s="244">
        <f>Metrics!CL320</f>
        <v>44844</v>
      </c>
      <c r="CM391" s="171">
        <f>Metrics!CM320</f>
        <v>44844</v>
      </c>
      <c r="CN391" s="342"/>
      <c r="CO391" s="244">
        <f>Metrics!CO320</f>
        <v>47197</v>
      </c>
      <c r="CP391" s="244">
        <f>Metrics!CP320</f>
        <v>48995</v>
      </c>
      <c r="CQ391" s="244">
        <f>Metrics!CQ320</f>
        <v>49595</v>
      </c>
      <c r="CR391" s="244">
        <f>Metrics!CR320</f>
        <v>51625</v>
      </c>
      <c r="CS391" s="171">
        <f>Metrics!CS320</f>
        <v>51625</v>
      </c>
      <c r="CT391" s="342"/>
      <c r="CU391" s="244">
        <f>Metrics!CU320</f>
        <v>52195</v>
      </c>
      <c r="CV391" s="244">
        <f>Metrics!CV320</f>
        <v>53131</v>
      </c>
      <c r="CW391" s="244">
        <f>Metrics!CW320</f>
        <v>53669</v>
      </c>
      <c r="CX391" s="244">
        <f>Metrics!CX320</f>
        <v>53215</v>
      </c>
      <c r="CY391" s="171">
        <f>Metrics!CY320</f>
        <v>53215</v>
      </c>
      <c r="CZ391" s="342"/>
      <c r="DA391" s="244">
        <f>Metrics!DA320</f>
        <v>52605</v>
      </c>
      <c r="DB391" s="244">
        <f>Metrics!DB320</f>
        <v>51517</v>
      </c>
      <c r="DC391" s="244">
        <f>Metrics!DC320</f>
        <v>61938</v>
      </c>
      <c r="DD391" s="244">
        <f>Metrics!DD320</f>
        <v>60601</v>
      </c>
      <c r="DE391" s="171">
        <f>Metrics!DE320</f>
        <v>60601</v>
      </c>
      <c r="DF391" s="342"/>
      <c r="DG391" s="244">
        <f>Metrics!DG320</f>
        <v>60742</v>
      </c>
      <c r="DH391" s="244">
        <f>Metrics!DH320</f>
        <v>60915</v>
      </c>
      <c r="DI391" s="244">
        <f>Metrics!DI320</f>
        <v>62045</v>
      </c>
      <c r="DJ391" s="244">
        <f>Metrics!DJ320</f>
        <v>62542</v>
      </c>
      <c r="DK391" s="171">
        <f>Metrics!DK320</f>
        <v>62542</v>
      </c>
      <c r="DL391" s="342"/>
      <c r="DM391" s="244">
        <f>Metrics!DM320</f>
        <v>63050</v>
      </c>
      <c r="DN391" s="244">
        <f>Metrics!DN320</f>
        <v>64630</v>
      </c>
      <c r="DO391" s="244">
        <f>Metrics!DO320</f>
        <v>65760</v>
      </c>
      <c r="DP391" s="244">
        <f>Metrics!DP320</f>
        <v>66265</v>
      </c>
      <c r="DQ391" s="171">
        <f>Metrics!DQ320</f>
        <v>66265</v>
      </c>
      <c r="DR391" s="342"/>
      <c r="DS391" s="244">
        <f>Metrics!DS320</f>
        <v>66754</v>
      </c>
      <c r="DT391" s="244">
        <f>Metrics!DT320</f>
        <v>67645</v>
      </c>
      <c r="DU391" s="244">
        <f>Metrics!DU320</f>
        <v>68255</v>
      </c>
      <c r="DV391" s="244">
        <f>Metrics!DV320</f>
        <v>68715</v>
      </c>
      <c r="DW391" s="171">
        <f>Metrics!DW320</f>
        <v>68715</v>
      </c>
      <c r="DX391" s="342"/>
      <c r="DY391" s="244">
        <f>Metrics!DY320</f>
        <v>68862</v>
      </c>
      <c r="DZ391" s="244">
        <f>Metrics!DZ320</f>
        <v>68795</v>
      </c>
      <c r="EA391" s="244">
        <f>Metrics!EA320</f>
        <v>68911</v>
      </c>
      <c r="EB391" s="244">
        <f>Metrics!EB320</f>
        <v>68447</v>
      </c>
      <c r="EC391" s="171">
        <f>Metrics!EC320</f>
        <v>68447</v>
      </c>
      <c r="ED391" s="342"/>
      <c r="EE391" s="244">
        <f>Metrics!EE320</f>
        <v>68845</v>
      </c>
      <c r="EF391" s="244">
        <f>Metrics!EF320</f>
        <v>73309</v>
      </c>
      <c r="EG391" s="244">
        <f>Metrics!EG320</f>
        <v>73445</v>
      </c>
      <c r="EH391" s="244">
        <f>Metrics!EH320</f>
        <v>73950</v>
      </c>
      <c r="EI391" s="171">
        <f>Metrics!EI320</f>
        <v>73950</v>
      </c>
      <c r="EJ391" s="342"/>
      <c r="EK391" s="244">
        <f>Metrics!EK320</f>
        <v>75169</v>
      </c>
      <c r="EL391" s="244">
        <f>Metrics!EL320</f>
        <v>76161</v>
      </c>
      <c r="EM391" s="244">
        <f>Metrics!EM320</f>
        <v>75969</v>
      </c>
      <c r="EN391" s="244">
        <f>Metrics!EN320</f>
        <v>75933</v>
      </c>
      <c r="EO391" s="171">
        <f>Metrics!EO320</f>
        <v>75933</v>
      </c>
      <c r="EP391" s="342"/>
      <c r="EQ391" s="244">
        <f>Metrics!EQ320</f>
        <v>76129</v>
      </c>
      <c r="ER391" s="244">
        <f>Metrics!ER320</f>
        <v>78431</v>
      </c>
      <c r="ES391" s="244">
        <f>Metrics!ES320</f>
        <v>78290</v>
      </c>
      <c r="ET391" s="244">
        <f>Metrics!ET320</f>
        <v>87000</v>
      </c>
      <c r="EU391" s="171">
        <f>Metrics!EU320</f>
        <v>87000</v>
      </c>
      <c r="EV391" s="342"/>
      <c r="EW391" s="244">
        <f>Metrics!EW320</f>
        <v>78412.87</v>
      </c>
      <c r="EX391" s="244">
        <f>Metrics!EX320</f>
        <v>79589.063049999982</v>
      </c>
      <c r="EY391" s="244">
        <f>Metrics!EY320</f>
        <v>80782.898995749973</v>
      </c>
      <c r="EZ391" s="244">
        <f>Metrics!EZ320</f>
        <v>80782.898995749973</v>
      </c>
      <c r="FA391" s="171">
        <f>Metrics!FA320</f>
        <v>80782.898995749973</v>
      </c>
      <c r="FB391" s="342"/>
      <c r="FC391" s="244">
        <f>Metrics!FC320</f>
        <v>81994.64248068622</v>
      </c>
      <c r="FD391" s="244">
        <f>Metrics!FD320</f>
        <v>83224.562117896508</v>
      </c>
      <c r="FE391" s="244">
        <f>Metrics!FE320</f>
        <v>84472.930549664947</v>
      </c>
      <c r="FF391" s="244">
        <f>Metrics!FF320</f>
        <v>85740.024507909911</v>
      </c>
      <c r="FG391" s="171">
        <f>Metrics!FG320</f>
        <v>85740.024507909911</v>
      </c>
      <c r="FH391" s="342"/>
      <c r="FI391" s="244">
        <f>Metrics!FI320</f>
        <v>87026.124875528549</v>
      </c>
      <c r="FJ391" s="244">
        <f>Metrics!FJ320</f>
        <v>88331.516748661466</v>
      </c>
      <c r="FK391" s="244">
        <f>Metrics!FK320</f>
        <v>89656.489499891381</v>
      </c>
      <c r="FL391" s="244">
        <f>Metrics!FL320</f>
        <v>91001.336842389748</v>
      </c>
      <c r="FM391" s="171">
        <f>Metrics!FM320</f>
        <v>91001.336842389748</v>
      </c>
      <c r="FN391" s="27"/>
      <c r="FO391" s="27"/>
      <c r="FP391" s="27"/>
      <c r="FQ391" s="27"/>
      <c r="FR391" s="27"/>
      <c r="FS391" s="27"/>
      <c r="FT391" s="27"/>
      <c r="FU391" s="27"/>
      <c r="FV391" s="27"/>
      <c r="FW391" s="27"/>
      <c r="FX391" s="27"/>
      <c r="FY391" s="27"/>
      <c r="FZ391" s="27"/>
      <c r="GA391" s="27"/>
      <c r="GB391" s="27"/>
      <c r="GC391" s="27"/>
      <c r="GD391" s="27"/>
      <c r="GE391" s="27"/>
      <c r="GF391" s="27"/>
      <c r="GG391" s="27"/>
      <c r="GH391" s="27"/>
      <c r="GI391"/>
      <c r="GJ391"/>
      <c r="GK391"/>
      <c r="GL391"/>
      <c r="GM391"/>
      <c r="GN391"/>
      <c r="GO391" s="27"/>
      <c r="GP391"/>
      <c r="GQ391"/>
      <c r="GR391"/>
      <c r="GS391"/>
      <c r="GT391"/>
      <c r="GU391"/>
      <c r="GV391"/>
      <c r="GW391"/>
      <c r="GX391"/>
      <c r="GY391"/>
      <c r="GZ391"/>
      <c r="HA391"/>
      <c r="HB391"/>
      <c r="HC391"/>
      <c r="HD391"/>
      <c r="HE391"/>
      <c r="HF391"/>
      <c r="HG391"/>
      <c r="HH391"/>
      <c r="HI391"/>
      <c r="HJ391"/>
      <c r="HK391"/>
      <c r="HL391"/>
      <c r="HM391"/>
      <c r="HN391"/>
      <c r="HO391"/>
      <c r="HP391"/>
      <c r="HQ391"/>
      <c r="HR391"/>
      <c r="HS391"/>
      <c r="HT391"/>
      <c r="HU391"/>
      <c r="HV391"/>
      <c r="HW391"/>
      <c r="HX391"/>
      <c r="HY391"/>
      <c r="HZ391"/>
      <c r="IA391"/>
      <c r="IB391"/>
      <c r="IC391"/>
      <c r="ID391"/>
      <c r="IE391"/>
      <c r="IF391"/>
      <c r="IG391"/>
      <c r="IH391"/>
      <c r="II391"/>
      <c r="IJ391"/>
      <c r="IK391"/>
      <c r="IL391"/>
      <c r="IM391"/>
      <c r="IN391"/>
      <c r="IO391"/>
      <c r="IP391"/>
      <c r="IQ391"/>
      <c r="IR391"/>
      <c r="IS391"/>
      <c r="IT391"/>
      <c r="IU391"/>
      <c r="IV391"/>
      <c r="IW391"/>
      <c r="IX391"/>
      <c r="IY391"/>
      <c r="IZ391"/>
      <c r="JA391"/>
      <c r="JB391"/>
      <c r="JC391"/>
      <c r="JD391"/>
      <c r="JE391"/>
      <c r="JF391"/>
      <c r="JG391"/>
      <c r="JH391"/>
      <c r="JI391"/>
      <c r="JJ391"/>
      <c r="JK391"/>
      <c r="JL391"/>
      <c r="JM391"/>
      <c r="JN391"/>
      <c r="JO391"/>
      <c r="JP391"/>
      <c r="JQ391"/>
      <c r="JR391"/>
      <c r="JS391"/>
      <c r="JT391"/>
      <c r="JU391"/>
    </row>
    <row r="392" spans="1:281" s="24" customFormat="1" hidden="1" outlineLevel="1" x14ac:dyDescent="0.2">
      <c r="A392" s="27" t="s">
        <v>847</v>
      </c>
      <c r="B392" s="413" t="s">
        <v>848</v>
      </c>
      <c r="C392" s="406" t="s">
        <v>945</v>
      </c>
      <c r="D392" s="406" t="s">
        <v>945</v>
      </c>
      <c r="E392" s="406" t="s">
        <v>945</v>
      </c>
      <c r="F392" s="406" t="s">
        <v>945</v>
      </c>
      <c r="G392" s="406" t="s">
        <v>945</v>
      </c>
      <c r="H392" s="406" t="s">
        <v>945</v>
      </c>
      <c r="I392" s="406" t="s">
        <v>945</v>
      </c>
      <c r="J392" s="34">
        <f t="shared" ref="J392:M394" si="274">J$365/J387*1000</f>
        <v>137.68403428877579</v>
      </c>
      <c r="K392" s="34">
        <f t="shared" si="274"/>
        <v>144.48529411764704</v>
      </c>
      <c r="L392" s="34">
        <f t="shared" si="274"/>
        <v>162.53920190331999</v>
      </c>
      <c r="M392" s="34">
        <f t="shared" si="274"/>
        <v>165.96010947089067</v>
      </c>
      <c r="N392" s="342"/>
      <c r="O392" s="94" t="s">
        <v>945</v>
      </c>
      <c r="P392" s="94" t="s">
        <v>945</v>
      </c>
      <c r="Q392" s="94" t="s">
        <v>945</v>
      </c>
      <c r="R392" s="34">
        <f t="shared" ref="R392:S394" si="275">R$365/R387*1000</f>
        <v>175.74209216917427</v>
      </c>
      <c r="S392" s="34">
        <f t="shared" si="275"/>
        <v>175.74209216917424</v>
      </c>
      <c r="T392" s="342"/>
      <c r="U392" s="34">
        <f t="shared" ref="U392:Y394" si="276">U$365/U387*1000</f>
        <v>172.02048759392403</v>
      </c>
      <c r="V392" s="34">
        <f t="shared" si="276"/>
        <v>174.42602155928802</v>
      </c>
      <c r="W392" s="34">
        <f t="shared" si="276"/>
        <v>176.68979229041915</v>
      </c>
      <c r="X392" s="34">
        <f t="shared" si="276"/>
        <v>182.71604724613854</v>
      </c>
      <c r="Y392" s="34">
        <f t="shared" si="276"/>
        <v>182.71604724613854</v>
      </c>
      <c r="Z392" s="342"/>
      <c r="AA392" s="34">
        <f t="shared" ref="AA392:AE394" si="277">AA$365/AA387*1000</f>
        <v>178.54551221059307</v>
      </c>
      <c r="AB392" s="34">
        <f t="shared" si="277"/>
        <v>177.24499122550449</v>
      </c>
      <c r="AC392" s="34">
        <f t="shared" si="277"/>
        <v>180.2932672306199</v>
      </c>
      <c r="AD392" s="34">
        <f t="shared" si="277"/>
        <v>193.14110971424685</v>
      </c>
      <c r="AE392" s="34">
        <f t="shared" si="277"/>
        <v>193.14110971424685</v>
      </c>
      <c r="AF392" s="342"/>
      <c r="AG392" s="34">
        <f t="shared" ref="AG392:AK394" si="278">AG$365/AG387*1000</f>
        <v>191.10362727301677</v>
      </c>
      <c r="AH392" s="34">
        <f t="shared" si="278"/>
        <v>186.62321243523311</v>
      </c>
      <c r="AI392" s="34">
        <f t="shared" si="278"/>
        <v>188.08163207839382</v>
      </c>
      <c r="AJ392" s="34">
        <f t="shared" si="278"/>
        <v>194.11621650997228</v>
      </c>
      <c r="AK392" s="34">
        <f t="shared" si="278"/>
        <v>194.11621650997228</v>
      </c>
      <c r="AL392" s="342"/>
      <c r="AM392" s="34">
        <f t="shared" ref="AM392:AQ394" si="279">AM$365/AM387*1000</f>
        <v>194.77975096430143</v>
      </c>
      <c r="AN392" s="34">
        <f t="shared" si="279"/>
        <v>195.27795072925602</v>
      </c>
      <c r="AO392" s="34">
        <f t="shared" si="279"/>
        <v>193.92111352640069</v>
      </c>
      <c r="AP392" s="34">
        <f t="shared" si="279"/>
        <v>201.53543378995434</v>
      </c>
      <c r="AQ392" s="34">
        <f t="shared" si="279"/>
        <v>201.53543378995434</v>
      </c>
      <c r="AR392" s="342"/>
      <c r="AS392" s="34">
        <f t="shared" ref="AS392:AW394" si="280">AS$365/AS387*1000</f>
        <v>210.30466665119624</v>
      </c>
      <c r="AT392" s="34">
        <f t="shared" si="280"/>
        <v>218.5604704559299</v>
      </c>
      <c r="AU392" s="34">
        <f t="shared" si="280"/>
        <v>231.38812415010614</v>
      </c>
      <c r="AV392" s="34">
        <f t="shared" si="280"/>
        <v>245.16282671829623</v>
      </c>
      <c r="AW392" s="34">
        <f t="shared" si="280"/>
        <v>245.16282671829623</v>
      </c>
      <c r="AX392" s="342"/>
      <c r="AY392" s="34">
        <f>AY$365/AY387*1000</f>
        <v>253.42732572261352</v>
      </c>
      <c r="AZ392" s="34">
        <f>AZ$365/AZ387*1000</f>
        <v>257.08604352173705</v>
      </c>
      <c r="BA392" s="34">
        <f>BA$365/BA387*1000</f>
        <v>255.02844740001851</v>
      </c>
      <c r="BB392" s="34">
        <f>BB$365/BB387*1000</f>
        <v>255.33328674260952</v>
      </c>
      <c r="BC392" s="34">
        <f>BC$365/BC387*1000</f>
        <v>255.33328674260952</v>
      </c>
      <c r="BD392" s="342"/>
      <c r="BE392" s="34">
        <f>BE$365/BE387*1000</f>
        <v>258.58188136835383</v>
      </c>
      <c r="BF392" s="34">
        <f>BF$365/BF387*1000</f>
        <v>250.49558231039276</v>
      </c>
      <c r="BG392" s="34">
        <f>BG$365/BG387*1000</f>
        <v>242.97226660307618</v>
      </c>
      <c r="BH392" s="34">
        <f>BH$365/BH387*1000</f>
        <v>230.27169928105511</v>
      </c>
      <c r="BI392" s="34">
        <f>BI$365/BI387*1000</f>
        <v>230.27169928105511</v>
      </c>
      <c r="BJ392" s="342"/>
      <c r="BK392" s="34">
        <f>BK$365/BK387*1000</f>
        <v>227.3890977443609</v>
      </c>
      <c r="BL392" s="34">
        <f>BL$365/BL387*1000</f>
        <v>230.39244679542378</v>
      </c>
      <c r="BM392" s="34">
        <f>BM$365/BM387*1000</f>
        <v>233.18183168684541</v>
      </c>
      <c r="BN392" s="34">
        <f>BN$365/BN387*1000</f>
        <v>233.09717097170972</v>
      </c>
      <c r="BO392" s="34">
        <f>BO$365/BO387*1000</f>
        <v>233.09717097170972</v>
      </c>
      <c r="BP392" s="342"/>
      <c r="BQ392" s="34">
        <f>BQ$365/BQ387*1000</f>
        <v>236.07281023707966</v>
      </c>
      <c r="BR392" s="34">
        <f>BR$365/BR387*1000</f>
        <v>239.03483934506954</v>
      </c>
      <c r="BS392" s="34">
        <f>BS$365/BS387*1000</f>
        <v>240.57872505704714</v>
      </c>
      <c r="BT392" s="34">
        <f>BT$365/BT387*1000</f>
        <v>243.7947092995343</v>
      </c>
      <c r="BU392" s="34">
        <f>BU$365/BU387*1000</f>
        <v>243.7947092995343</v>
      </c>
      <c r="BV392" s="342"/>
      <c r="BW392" s="34">
        <f>BW$365/BW387*1000</f>
        <v>244.81791385376059</v>
      </c>
      <c r="BX392" s="34">
        <f>BX$365/BX387*1000</f>
        <v>247.93330201972756</v>
      </c>
      <c r="BY392" s="34">
        <f>BY$365/BY387*1000</f>
        <v>218.9618914722588</v>
      </c>
      <c r="BZ392" s="34">
        <f>BZ$365/BZ387*1000</f>
        <v>243.00208533846649</v>
      </c>
      <c r="CA392" s="34">
        <f>CA$365/CA387*1000</f>
        <v>243.00208533846649</v>
      </c>
      <c r="CB392" s="342"/>
      <c r="CC392" s="34">
        <f>CC$365/CC387*1000</f>
        <v>258.7244527021569</v>
      </c>
      <c r="CD392" s="34">
        <f>CD$365/CD387*1000</f>
        <v>262.91199124213159</v>
      </c>
      <c r="CE392" s="34">
        <f>CE$365/CE387*1000</f>
        <v>249.90824367601022</v>
      </c>
      <c r="CF392" s="34">
        <f>CF$365/CF387*1000</f>
        <v>263.16783353820387</v>
      </c>
      <c r="CG392" s="228">
        <f>CG$365/CG387*1000</f>
        <v>263.16783353820387</v>
      </c>
      <c r="CH392" s="342"/>
      <c r="CI392" s="34">
        <f>CI$365/CI387*1000</f>
        <v>238.40555231397599</v>
      </c>
      <c r="CJ392" s="34">
        <f>CJ$365/CJ387*1000</f>
        <v>238.89294794984946</v>
      </c>
      <c r="CK392" s="34">
        <f>CK$365/CK387*1000</f>
        <v>244.93125806955067</v>
      </c>
      <c r="CL392" s="34">
        <f>CL$365/CL387*1000</f>
        <v>243.84658649596915</v>
      </c>
      <c r="CM392" s="228">
        <f>CM$365/CM387*1000</f>
        <v>243.84658649596915</v>
      </c>
      <c r="CN392" s="342"/>
      <c r="CO392" s="34">
        <f>CO$365/CO387*1000</f>
        <v>246.49719260289496</v>
      </c>
      <c r="CP392" s="34">
        <f>CP$365/CP387*1000</f>
        <v>254.73012843852405</v>
      </c>
      <c r="CQ392" s="34">
        <f>CQ$365/CQ387*1000</f>
        <v>264.41366758498606</v>
      </c>
      <c r="CR392" s="34">
        <f>CR$365/CR387*1000</f>
        <v>268.41024301639499</v>
      </c>
      <c r="CS392" s="228">
        <f>CS$365/CS387*1000</f>
        <v>268.41024301639499</v>
      </c>
      <c r="CT392" s="342"/>
      <c r="CU392" s="34">
        <f>CU$365/CU387*1000</f>
        <v>275.1326477907686</v>
      </c>
      <c r="CV392" s="34">
        <f>CV$365/CV387*1000</f>
        <v>274.19596801181672</v>
      </c>
      <c r="CW392" s="34">
        <f>CW$365/CW387*1000</f>
        <v>275.95047812629923</v>
      </c>
      <c r="CX392" s="34">
        <f>CX$365/CX387*1000</f>
        <v>274.5845118159931</v>
      </c>
      <c r="CY392" s="228">
        <f>CY$365/CY387*1000</f>
        <v>274.5845118159931</v>
      </c>
      <c r="CZ392" s="342"/>
      <c r="DA392" s="34">
        <f>DA$365/DA387*1000</f>
        <v>273.33735039402643</v>
      </c>
      <c r="DB392" s="34">
        <f>DB$365/DB387*1000</f>
        <v>279.73034570448385</v>
      </c>
      <c r="DC392" s="34">
        <f>DC$365/DC387*1000</f>
        <v>228.04905532809977</v>
      </c>
      <c r="DD392" s="34">
        <f>DD$365/DD387*1000</f>
        <v>258.54125027493808</v>
      </c>
      <c r="DE392" s="228">
        <f>DE$365/DE387*1000</f>
        <v>258.54125027493808</v>
      </c>
      <c r="DF392" s="342"/>
      <c r="DG392" s="34">
        <f>DG$365/DG387*1000</f>
        <v>280.89627123797936</v>
      </c>
      <c r="DH392" s="34">
        <f>DH$365/DH387*1000</f>
        <v>306.27447271351559</v>
      </c>
      <c r="DI392" s="34">
        <f>DI$365/DI387*1000</f>
        <v>321.86891628812458</v>
      </c>
      <c r="DJ392" s="34">
        <f>DJ$365/DJ387*1000</f>
        <v>332.36111111111109</v>
      </c>
      <c r="DK392" s="228">
        <f>DK$365/DK387*1000</f>
        <v>332.36111111111109</v>
      </c>
      <c r="DL392" s="342"/>
      <c r="DM392" s="34">
        <f>DM$365/DM387*1000</f>
        <v>335.5486890700991</v>
      </c>
      <c r="DN392" s="34">
        <f>DN$365/DN387*1000</f>
        <v>330.8296346876067</v>
      </c>
      <c r="DO392" s="34">
        <f>DO$365/DO387*1000</f>
        <v>326.25866037802257</v>
      </c>
      <c r="DP392" s="34">
        <f>DP$365/DP387*1000</f>
        <v>322.09897936116835</v>
      </c>
      <c r="DQ392" s="228">
        <f>DQ$365/DQ387*1000</f>
        <v>322.09897936116835</v>
      </c>
      <c r="DR392" s="342"/>
      <c r="DS392" s="34">
        <f>DS$365/DS387*1000</f>
        <v>319.52388631480852</v>
      </c>
      <c r="DT392" s="34">
        <f>DT$365/DT387*1000</f>
        <v>318.47494135410182</v>
      </c>
      <c r="DU392" s="34">
        <f>DU$365/DU387*1000</f>
        <v>313.86399201058521</v>
      </c>
      <c r="DV392" s="34">
        <f>DV$365/DV387*1000</f>
        <v>310.44166666666666</v>
      </c>
      <c r="DW392" s="228">
        <f>DW$365/DW387*1000</f>
        <v>310.44166666666666</v>
      </c>
      <c r="DX392" s="342"/>
      <c r="DY392" s="34">
        <f>DY$365/DY387*1000</f>
        <v>305.94226949079109</v>
      </c>
      <c r="DZ392" s="34">
        <f>DZ$365/DZ387*1000</f>
        <v>308.48951324383762</v>
      </c>
      <c r="EA392" s="34">
        <f>EA$365/EA387*1000</f>
        <v>309.18425556189391</v>
      </c>
      <c r="EB392" s="34">
        <f>EB$365/EB387*1000</f>
        <v>313.97540983606558</v>
      </c>
      <c r="EC392" s="228">
        <f>EC$365/EC387*1000</f>
        <v>313.97540983606558</v>
      </c>
      <c r="ED392" s="342"/>
      <c r="EE392" s="34">
        <f>EE$365/EE387*1000</f>
        <v>313.40405798987939</v>
      </c>
      <c r="EF392" s="34">
        <f>EF$365/EF387*1000</f>
        <v>297.56725289539798</v>
      </c>
      <c r="EG392" s="34">
        <f>EG$365/EG387*1000</f>
        <v>295.42725102993268</v>
      </c>
      <c r="EH392" s="34">
        <f>EH$365/EH387*1000</f>
        <v>289.7954545454545</v>
      </c>
      <c r="EI392" s="228">
        <f>EI$365/EI387*1000</f>
        <v>289.7954545454545</v>
      </c>
      <c r="EJ392" s="342"/>
      <c r="EK392" s="34">
        <f>EK$365/EK387*1000</f>
        <v>282.11297845561563</v>
      </c>
      <c r="EL392" s="34">
        <f>EL$365/EL387*1000</f>
        <v>275.35987074030555</v>
      </c>
      <c r="EM392" s="34">
        <f>EM$365/EM387*1000</f>
        <v>272.51733794701113</v>
      </c>
      <c r="EN392" s="34">
        <f>EN$365/EN387*1000</f>
        <v>260.96478873239437</v>
      </c>
      <c r="EO392" s="228">
        <f>EO$365/EO387*1000</f>
        <v>260.96478873239437</v>
      </c>
      <c r="EP392" s="342"/>
      <c r="EQ392" s="34">
        <f>EQ$365/EQ387*1000</f>
        <v>270.9792500910084</v>
      </c>
      <c r="ER392" s="34">
        <f>ER$365/ER387*1000</f>
        <v>263.21466382462131</v>
      </c>
      <c r="ES392" s="34">
        <f>ES$365/ES387*1000</f>
        <v>266.51512033100784</v>
      </c>
      <c r="ET392" s="34">
        <f>ET$365/ET387*1000</f>
        <v>274.62159420289856</v>
      </c>
      <c r="EU392" s="228">
        <f>EU$365/EU387*1000</f>
        <v>274.62159420289856</v>
      </c>
      <c r="EV392" s="342"/>
      <c r="EW392" s="34">
        <f>EW$365/EW387*1000</f>
        <v>272.11878094726461</v>
      </c>
      <c r="EX392" s="34">
        <f>EX$365/EX387*1000</f>
        <v>273.19850824786977</v>
      </c>
      <c r="EY392" s="34">
        <f>EY$365/EY387*1000</f>
        <v>273.81647190678336</v>
      </c>
      <c r="EZ392" s="34">
        <f>EZ$365/EZ387*1000</f>
        <v>304.1936378223179</v>
      </c>
      <c r="FA392" s="228">
        <f>FA$365/FA387*1000</f>
        <v>304.1936378223179</v>
      </c>
      <c r="FB392" s="342"/>
      <c r="FC392" s="34">
        <f>FC$365/FC387*1000</f>
        <v>274.9608017172107</v>
      </c>
      <c r="FD392" s="34">
        <f>FD$365/FD387*1000</f>
        <v>274.45724357867755</v>
      </c>
      <c r="FE392" s="34">
        <f>FE$365/FE387*1000</f>
        <v>273.68563095549678</v>
      </c>
      <c r="FF392" s="34">
        <f>FF$365/FF387*1000</f>
        <v>300.52677985267309</v>
      </c>
      <c r="FG392" s="228">
        <f>FG$365/FG387*1000</f>
        <v>300.52677985267309</v>
      </c>
      <c r="FH392" s="342"/>
      <c r="FI392" s="34">
        <f>FI$365/FI387*1000</f>
        <v>271.89899328805996</v>
      </c>
      <c r="FJ392" s="34">
        <f>FJ$365/FJ387*1000</f>
        <v>271.36162879514103</v>
      </c>
      <c r="FK392" s="34">
        <f>FK$365/FK387*1000</f>
        <v>270.71633235070868</v>
      </c>
      <c r="FL392" s="34">
        <f>FL$365/FL387*1000</f>
        <v>297.60442022405186</v>
      </c>
      <c r="FM392" s="228">
        <f>FM$365/FM387*1000</f>
        <v>297.60442022405186</v>
      </c>
      <c r="FN392" s="27"/>
      <c r="FO392" s="27"/>
      <c r="FP392" s="27"/>
      <c r="FQ392" s="27"/>
      <c r="FR392" s="27"/>
      <c r="FS392" s="27"/>
      <c r="FT392" s="27"/>
      <c r="FU392" s="27"/>
      <c r="FV392" s="27"/>
      <c r="FW392" s="27"/>
      <c r="FX392" s="27"/>
      <c r="FY392" s="27"/>
      <c r="FZ392" s="27"/>
      <c r="GA392" s="27"/>
      <c r="GB392" s="27"/>
      <c r="GC392" s="27"/>
      <c r="GD392" s="27"/>
      <c r="GE392" s="27"/>
      <c r="GF392" s="27"/>
      <c r="GG392" s="27"/>
      <c r="GH392" s="27"/>
      <c r="GI392"/>
      <c r="GJ392"/>
      <c r="GK392"/>
      <c r="GL392"/>
      <c r="GM392"/>
      <c r="GN392"/>
      <c r="GO392" s="27"/>
      <c r="GP392"/>
      <c r="GQ392"/>
      <c r="GR392"/>
      <c r="GS392"/>
      <c r="GT392"/>
      <c r="GU392"/>
      <c r="GV392"/>
      <c r="GW392"/>
      <c r="GX392"/>
      <c r="GY392"/>
      <c r="GZ392"/>
      <c r="HA392"/>
      <c r="HB392"/>
      <c r="HC392"/>
      <c r="HD392"/>
      <c r="HE392"/>
      <c r="HF392"/>
      <c r="HG392"/>
      <c r="HH392"/>
      <c r="HI392"/>
      <c r="HJ392"/>
      <c r="HK392"/>
      <c r="HL392"/>
      <c r="HM392"/>
      <c r="HN392"/>
      <c r="HO392"/>
      <c r="HP392"/>
      <c r="HQ392"/>
      <c r="HR392"/>
      <c r="HS392"/>
      <c r="HT392"/>
      <c r="HU392"/>
      <c r="HV392"/>
      <c r="HW392"/>
      <c r="HX392"/>
      <c r="HY392"/>
      <c r="HZ392"/>
      <c r="IA392"/>
      <c r="IB392"/>
      <c r="IC392"/>
      <c r="ID392"/>
      <c r="IE392"/>
      <c r="IF392"/>
      <c r="IG392"/>
      <c r="IH392"/>
      <c r="II392"/>
      <c r="IJ392"/>
      <c r="IK392"/>
      <c r="IL392"/>
      <c r="IM392"/>
      <c r="IN392"/>
      <c r="IO392"/>
      <c r="IP392"/>
      <c r="IQ392"/>
      <c r="IR392"/>
      <c r="IS392"/>
      <c r="IT392"/>
      <c r="IU392"/>
      <c r="IV392"/>
      <c r="IW392"/>
      <c r="IX392"/>
      <c r="IY392"/>
      <c r="IZ392"/>
      <c r="JA392"/>
      <c r="JB392"/>
      <c r="JC392"/>
      <c r="JD392"/>
      <c r="JE392"/>
      <c r="JF392"/>
      <c r="JG392"/>
      <c r="JH392"/>
      <c r="JI392"/>
      <c r="JJ392"/>
      <c r="JK392"/>
      <c r="JL392"/>
      <c r="JM392"/>
      <c r="JN392"/>
      <c r="JO392"/>
      <c r="JP392"/>
      <c r="JQ392"/>
      <c r="JR392"/>
      <c r="JS392"/>
      <c r="JT392"/>
      <c r="JU392"/>
    </row>
    <row r="393" spans="1:281" s="24" customFormat="1" hidden="1" outlineLevel="1" x14ac:dyDescent="0.2">
      <c r="A393" s="27" t="s">
        <v>367</v>
      </c>
      <c r="B393" s="413" t="s">
        <v>368</v>
      </c>
      <c r="C393" s="406" t="s">
        <v>945</v>
      </c>
      <c r="D393" s="406" t="s">
        <v>945</v>
      </c>
      <c r="E393" s="406" t="s">
        <v>945</v>
      </c>
      <c r="F393" s="406" t="s">
        <v>945</v>
      </c>
      <c r="G393" s="406" t="s">
        <v>945</v>
      </c>
      <c r="H393" s="406" t="s">
        <v>945</v>
      </c>
      <c r="I393" s="406" t="s">
        <v>945</v>
      </c>
      <c r="J393" s="34">
        <f t="shared" si="274"/>
        <v>205.87802924093731</v>
      </c>
      <c r="K393" s="34">
        <f t="shared" si="274"/>
        <v>215.3818048958714</v>
      </c>
      <c r="L393" s="34">
        <f t="shared" si="274"/>
        <v>245.14761050399608</v>
      </c>
      <c r="M393" s="34">
        <f t="shared" si="274"/>
        <v>242.44572328567966</v>
      </c>
      <c r="N393" s="342"/>
      <c r="O393" s="94" t="s">
        <v>945</v>
      </c>
      <c r="P393" s="94" t="s">
        <v>945</v>
      </c>
      <c r="Q393" s="94" t="s">
        <v>945</v>
      </c>
      <c r="R393" s="34">
        <f t="shared" si="275"/>
        <v>251.96416135881105</v>
      </c>
      <c r="S393" s="34">
        <f t="shared" si="275"/>
        <v>251.964161358811</v>
      </c>
      <c r="T393" s="342"/>
      <c r="U393" s="34">
        <f t="shared" si="276"/>
        <v>244.57820305895015</v>
      </c>
      <c r="V393" s="34">
        <f t="shared" si="276"/>
        <v>244.37531610002807</v>
      </c>
      <c r="W393" s="34">
        <f t="shared" si="276"/>
        <v>244.82537110261228</v>
      </c>
      <c r="X393" s="34">
        <f t="shared" si="276"/>
        <v>251.27125602427557</v>
      </c>
      <c r="Y393" s="34">
        <f t="shared" si="276"/>
        <v>251.27125602427557</v>
      </c>
      <c r="Z393" s="342"/>
      <c r="AA393" s="34">
        <f t="shared" si="277"/>
        <v>244.13899279015556</v>
      </c>
      <c r="AB393" s="34">
        <f t="shared" si="277"/>
        <v>240.87072092214436</v>
      </c>
      <c r="AC393" s="34">
        <f t="shared" si="277"/>
        <v>245.71815346815345</v>
      </c>
      <c r="AD393" s="34">
        <f t="shared" si="277"/>
        <v>262.9567470046722</v>
      </c>
      <c r="AE393" s="34">
        <f t="shared" si="277"/>
        <v>262.9567470046722</v>
      </c>
      <c r="AF393" s="342"/>
      <c r="AG393" s="34">
        <f t="shared" si="278"/>
        <v>262.56158389849043</v>
      </c>
      <c r="AH393" s="34">
        <f t="shared" si="278"/>
        <v>251.8056487695749</v>
      </c>
      <c r="AI393" s="34">
        <f t="shared" si="278"/>
        <v>251.9365947495474</v>
      </c>
      <c r="AJ393" s="34">
        <f t="shared" si="278"/>
        <v>259.55982269374704</v>
      </c>
      <c r="AK393" s="34">
        <f t="shared" si="278"/>
        <v>259.55982269374704</v>
      </c>
      <c r="AL393" s="342"/>
      <c r="AM393" s="34">
        <f t="shared" si="279"/>
        <v>258.43741842412589</v>
      </c>
      <c r="AN393" s="34">
        <f t="shared" si="279"/>
        <v>256.35101042605226</v>
      </c>
      <c r="AO393" s="34">
        <f t="shared" si="279"/>
        <v>254.26850347850072</v>
      </c>
      <c r="AP393" s="34">
        <f t="shared" si="279"/>
        <v>267.03932720232331</v>
      </c>
      <c r="AQ393" s="34">
        <f t="shared" si="279"/>
        <v>267.03932720232331</v>
      </c>
      <c r="AR393" s="342"/>
      <c r="AS393" s="34">
        <f t="shared" si="280"/>
        <v>285.87927825620642</v>
      </c>
      <c r="AT393" s="34">
        <f t="shared" si="280"/>
        <v>296.90944969604379</v>
      </c>
      <c r="AU393" s="34">
        <f t="shared" si="280"/>
        <v>317.74270270270267</v>
      </c>
      <c r="AV393" s="34">
        <f t="shared" si="280"/>
        <v>342.65079150317956</v>
      </c>
      <c r="AW393" s="34">
        <f t="shared" si="280"/>
        <v>342.65079150317956</v>
      </c>
      <c r="AX393" s="342"/>
      <c r="AY393" s="259" t="s">
        <v>945</v>
      </c>
      <c r="AZ393" s="259" t="s">
        <v>945</v>
      </c>
      <c r="BA393" s="259" t="s">
        <v>945</v>
      </c>
      <c r="BB393" s="34">
        <f>BB$365/BB388*1000</f>
        <v>372.53388620759978</v>
      </c>
      <c r="BC393" s="34">
        <f>BC$365/BC388*1000</f>
        <v>372.53388620759978</v>
      </c>
      <c r="BD393" s="342"/>
      <c r="BE393" s="259" t="s">
        <v>945</v>
      </c>
      <c r="BF393" s="259" t="s">
        <v>945</v>
      </c>
      <c r="BG393" s="259" t="s">
        <v>945</v>
      </c>
      <c r="BH393" s="34">
        <f>BH$365/BH388*1000</f>
        <v>357.4704534535644</v>
      </c>
      <c r="BI393" s="34">
        <f>BI$365/BI388*1000</f>
        <v>357.4704534535644</v>
      </c>
      <c r="BJ393" s="342"/>
      <c r="BK393" s="259" t="s">
        <v>945</v>
      </c>
      <c r="BL393" s="259" t="s">
        <v>945</v>
      </c>
      <c r="BM393" s="259" t="s">
        <v>945</v>
      </c>
      <c r="BN393" s="34">
        <f>BN$365/BN388*1000</f>
        <v>374.99604242520184</v>
      </c>
      <c r="BO393" s="34">
        <f>BO$365/BO388*1000</f>
        <v>374.99604242520184</v>
      </c>
      <c r="BP393" s="342"/>
      <c r="BQ393" s="259" t="s">
        <v>945</v>
      </c>
      <c r="BR393" s="259" t="s">
        <v>945</v>
      </c>
      <c r="BS393" s="259" t="s">
        <v>945</v>
      </c>
      <c r="BT393" s="34">
        <f>BT$365/BT388*1000</f>
        <v>410.17770597738291</v>
      </c>
      <c r="BU393" s="34">
        <f>BU$365/BU388*1000</f>
        <v>410.17770597738291</v>
      </c>
      <c r="BV393" s="342"/>
      <c r="BW393" s="259" t="s">
        <v>945</v>
      </c>
      <c r="BX393" s="259" t="s">
        <v>945</v>
      </c>
      <c r="BY393" s="259" t="s">
        <v>945</v>
      </c>
      <c r="BZ393" s="34">
        <f>BZ$365/BZ388*1000</f>
        <v>408.73524451939289</v>
      </c>
      <c r="CA393" s="34">
        <f>CA$365/CA388*1000</f>
        <v>408.73524451939289</v>
      </c>
      <c r="CB393" s="342"/>
      <c r="CC393" s="259" t="s">
        <v>945</v>
      </c>
      <c r="CD393" s="259" t="s">
        <v>945</v>
      </c>
      <c r="CE393" s="259" t="s">
        <v>945</v>
      </c>
      <c r="CF393" s="34">
        <f>CF$365/CF388*1000</f>
        <v>416.48763709154474</v>
      </c>
      <c r="CG393" s="228">
        <f>CG$365/CG388*1000</f>
        <v>416.48763709154474</v>
      </c>
      <c r="CH393" s="342"/>
      <c r="CI393" s="259" t="s">
        <v>945</v>
      </c>
      <c r="CJ393" s="259" t="s">
        <v>945</v>
      </c>
      <c r="CK393" s="259" t="s">
        <v>945</v>
      </c>
      <c r="CL393" s="34">
        <f>CL$365/CL388*1000</f>
        <v>373.5562621807365</v>
      </c>
      <c r="CM393" s="228">
        <f>CM$365/CM388*1000</f>
        <v>373.5562621807365</v>
      </c>
      <c r="CN393" s="342"/>
      <c r="CO393" s="259" t="s">
        <v>945</v>
      </c>
      <c r="CP393" s="259" t="s">
        <v>945</v>
      </c>
      <c r="CQ393" s="259" t="s">
        <v>945</v>
      </c>
      <c r="CR393" s="34">
        <f>CR$365/CR388*1000</f>
        <v>408.68009110299704</v>
      </c>
      <c r="CS393" s="228">
        <f>CS$365/CS388*1000</f>
        <v>408.68009110299704</v>
      </c>
      <c r="CT393" s="342"/>
      <c r="CU393" s="259" t="s">
        <v>945</v>
      </c>
      <c r="CV393" s="259" t="s">
        <v>945</v>
      </c>
      <c r="CW393" s="259" t="s">
        <v>945</v>
      </c>
      <c r="CX393" s="34">
        <f>CX$365/CX388*1000</f>
        <v>419.53571428571428</v>
      </c>
      <c r="CY393" s="228">
        <f>CY$365/CY388*1000</f>
        <v>419.53571428571428</v>
      </c>
      <c r="CZ393" s="342"/>
      <c r="DA393" s="259" t="s">
        <v>945</v>
      </c>
      <c r="DB393" s="259" t="s">
        <v>945</v>
      </c>
      <c r="DC393" s="259" t="s">
        <v>945</v>
      </c>
      <c r="DD393" s="34">
        <f>DD$365/DD388*1000</f>
        <v>458.22711864406784</v>
      </c>
      <c r="DE393" s="228">
        <f>DE$365/DE388*1000</f>
        <v>458.22711864406784</v>
      </c>
      <c r="DF393" s="342"/>
      <c r="DG393" s="259" t="s">
        <v>945</v>
      </c>
      <c r="DH393" s="259" t="s">
        <v>945</v>
      </c>
      <c r="DI393" s="259" t="s">
        <v>945</v>
      </c>
      <c r="DJ393" s="34">
        <f>DJ$365/DJ388*1000</f>
        <v>588.44262295081978</v>
      </c>
      <c r="DK393" s="228">
        <f>DK$365/DK388*1000</f>
        <v>588.44262295081978</v>
      </c>
      <c r="DL393" s="342"/>
      <c r="DM393" s="259" t="s">
        <v>945</v>
      </c>
      <c r="DN393" s="259" t="s">
        <v>945</v>
      </c>
      <c r="DO393" s="259" t="s">
        <v>945</v>
      </c>
      <c r="DP393" s="34">
        <f>DP$365/DP388*1000</f>
        <v>567.75405284590965</v>
      </c>
      <c r="DQ393" s="228">
        <f>DQ$365/DQ388*1000</f>
        <v>567.75405284590965</v>
      </c>
      <c r="DR393" s="342"/>
      <c r="DS393" s="259" t="s">
        <v>945</v>
      </c>
      <c r="DT393" s="259" t="s">
        <v>945</v>
      </c>
      <c r="DU393" s="259" t="s">
        <v>945</v>
      </c>
      <c r="DV393" s="34">
        <f>DV$365/DV388*1000</f>
        <v>556.01492537313436</v>
      </c>
      <c r="DW393" s="228">
        <f>DW$365/DW388*1000</f>
        <v>556.01492537313436</v>
      </c>
      <c r="DX393" s="342"/>
      <c r="DY393" s="259" t="s">
        <v>945</v>
      </c>
      <c r="DZ393" s="259" t="s">
        <v>945</v>
      </c>
      <c r="EA393" s="259" t="s">
        <v>945</v>
      </c>
      <c r="EB393" s="34">
        <f>EB$365/EB388*1000</f>
        <v>608.01587301587301</v>
      </c>
      <c r="EC393" s="228">
        <f>EC$365/EC388*1000</f>
        <v>608.01587301587301</v>
      </c>
      <c r="ED393" s="342"/>
      <c r="EE393" s="259" t="s">
        <v>945</v>
      </c>
      <c r="EF393" s="259" t="s">
        <v>945</v>
      </c>
      <c r="EG393" s="259" t="s">
        <v>945</v>
      </c>
      <c r="EH393" s="34">
        <f>EH$365/EH388*1000</f>
        <v>554.39130434782612</v>
      </c>
      <c r="EI393" s="228">
        <f>EI$365/EI388*1000</f>
        <v>554.39130434782612</v>
      </c>
      <c r="EJ393" s="342"/>
      <c r="EK393" s="259" t="s">
        <v>945</v>
      </c>
      <c r="EL393" s="259" t="s">
        <v>945</v>
      </c>
      <c r="EM393" s="259" t="s">
        <v>945</v>
      </c>
      <c r="EN393" s="34">
        <f>EN$365/EN388*1000</f>
        <v>521.92957746478874</v>
      </c>
      <c r="EO393" s="228">
        <f>EO$365/EO388*1000</f>
        <v>521.92957746478874</v>
      </c>
      <c r="EP393" s="342"/>
      <c r="EQ393" s="259" t="s">
        <v>945</v>
      </c>
      <c r="ER393" s="259" t="s">
        <v>945</v>
      </c>
      <c r="ES393" s="259" t="s">
        <v>945</v>
      </c>
      <c r="ET393" s="34">
        <f>ET$365/ET388*1000</f>
        <v>526.35805555555555</v>
      </c>
      <c r="EU393" s="228">
        <f>EU$365/EU388*1000</f>
        <v>526.35805555555555</v>
      </c>
      <c r="EV393" s="342"/>
      <c r="EW393" s="259" t="s">
        <v>945</v>
      </c>
      <c r="EX393" s="259" t="s">
        <v>945</v>
      </c>
      <c r="EY393" s="259" t="s">
        <v>945</v>
      </c>
      <c r="EZ393" s="34">
        <f>EZ$365/EZ388*1000</f>
        <v>528.11395455263528</v>
      </c>
      <c r="FA393" s="228">
        <f>FA$365/FA388*1000</f>
        <v>528.11395455263528</v>
      </c>
      <c r="FB393" s="342"/>
      <c r="FC393" s="259" t="s">
        <v>945</v>
      </c>
      <c r="FD393" s="259" t="s">
        <v>945</v>
      </c>
      <c r="FE393" s="259" t="s">
        <v>945</v>
      </c>
      <c r="FF393" s="34">
        <f>FF$365/FF388*1000</f>
        <v>521.74788168866849</v>
      </c>
      <c r="FG393" s="228">
        <f>FG$365/FG388*1000</f>
        <v>521.74788168866849</v>
      </c>
      <c r="FH393" s="342"/>
      <c r="FI393" s="259" t="s">
        <v>945</v>
      </c>
      <c r="FJ393" s="259" t="s">
        <v>945</v>
      </c>
      <c r="FK393" s="259" t="s">
        <v>945</v>
      </c>
      <c r="FL393" s="34">
        <f>FL$365/FL388*1000</f>
        <v>516.67434066675662</v>
      </c>
      <c r="FM393" s="228">
        <f>FM$365/FM388*1000</f>
        <v>516.67434066675662</v>
      </c>
      <c r="FN393" s="27"/>
      <c r="FO393" s="27"/>
      <c r="FP393" s="27"/>
      <c r="FQ393" s="27"/>
      <c r="FR393" s="27"/>
      <c r="FS393" s="27"/>
      <c r="FT393" s="27"/>
      <c r="FU393" s="27"/>
      <c r="FV393" s="27"/>
      <c r="FW393" s="27"/>
      <c r="FX393" s="27"/>
      <c r="FY393" s="27"/>
      <c r="FZ393" s="27"/>
      <c r="GA393" s="27"/>
      <c r="GB393" s="27"/>
      <c r="GC393" s="27"/>
      <c r="GD393" s="27"/>
      <c r="GE393" s="27"/>
      <c r="GF393" s="27"/>
      <c r="GG393" s="27"/>
      <c r="GH393" s="27"/>
      <c r="GI393"/>
      <c r="GJ393"/>
      <c r="GK393"/>
      <c r="GL393"/>
      <c r="GM393"/>
      <c r="GN393"/>
      <c r="GO393" s="27"/>
      <c r="GP393"/>
      <c r="GQ393"/>
      <c r="GR393"/>
      <c r="GS393"/>
      <c r="GT393"/>
      <c r="GU393"/>
      <c r="GV393"/>
      <c r="GW393"/>
      <c r="GX393"/>
      <c r="GY393"/>
      <c r="GZ393"/>
      <c r="HA393"/>
      <c r="HB393"/>
      <c r="HC393"/>
      <c r="HD393"/>
      <c r="HE393"/>
      <c r="HF393"/>
      <c r="HG393"/>
      <c r="HH393"/>
      <c r="HI393"/>
      <c r="HJ393"/>
      <c r="HK393"/>
      <c r="HL393"/>
      <c r="HM393"/>
      <c r="HN393"/>
      <c r="HO393"/>
      <c r="HP393"/>
      <c r="HQ393"/>
      <c r="HR393"/>
      <c r="HS393"/>
      <c r="HT393"/>
      <c r="HU393"/>
      <c r="HV393"/>
      <c r="HW393"/>
      <c r="HX393"/>
      <c r="HY393"/>
      <c r="HZ393"/>
      <c r="IA393"/>
      <c r="IB393"/>
      <c r="IC393"/>
      <c r="ID393"/>
      <c r="IE393"/>
      <c r="IF393"/>
      <c r="IG393"/>
      <c r="IH393"/>
      <c r="II393"/>
      <c r="IJ393"/>
      <c r="IK393"/>
      <c r="IL393"/>
      <c r="IM393"/>
      <c r="IN393"/>
      <c r="IO393"/>
      <c r="IP393"/>
      <c r="IQ393"/>
      <c r="IR393"/>
      <c r="IS393"/>
      <c r="IT393"/>
      <c r="IU393"/>
      <c r="IV393"/>
      <c r="IW393"/>
      <c r="IX393"/>
      <c r="IY393"/>
      <c r="IZ393"/>
      <c r="JA393"/>
      <c r="JB393"/>
      <c r="JC393"/>
      <c r="JD393"/>
      <c r="JE393"/>
      <c r="JF393"/>
      <c r="JG393"/>
      <c r="JH393"/>
      <c r="JI393"/>
      <c r="JJ393"/>
      <c r="JK393"/>
      <c r="JL393"/>
      <c r="JM393"/>
      <c r="JN393"/>
      <c r="JO393"/>
      <c r="JP393"/>
      <c r="JQ393"/>
      <c r="JR393"/>
      <c r="JS393"/>
      <c r="JT393"/>
      <c r="JU393"/>
    </row>
    <row r="394" spans="1:281" s="24" customFormat="1" hidden="1" outlineLevel="1" x14ac:dyDescent="0.2">
      <c r="A394" s="27" t="s">
        <v>369</v>
      </c>
      <c r="B394" s="413" t="s">
        <v>368</v>
      </c>
      <c r="C394" s="406" t="s">
        <v>945</v>
      </c>
      <c r="D394" s="406" t="s">
        <v>945</v>
      </c>
      <c r="E394" s="406" t="s">
        <v>945</v>
      </c>
      <c r="F394" s="406" t="s">
        <v>945</v>
      </c>
      <c r="G394" s="406" t="s">
        <v>945</v>
      </c>
      <c r="H394" s="406" t="s">
        <v>945</v>
      </c>
      <c r="I394" s="406" t="s">
        <v>945</v>
      </c>
      <c r="J394" s="34">
        <f t="shared" si="274"/>
        <v>1017.771287128713</v>
      </c>
      <c r="K394" s="34">
        <f t="shared" si="274"/>
        <v>1027.898866608544</v>
      </c>
      <c r="L394" s="34">
        <f t="shared" si="274"/>
        <v>1066.7139815471967</v>
      </c>
      <c r="M394" s="34">
        <f t="shared" si="274"/>
        <v>1138.9567444507682</v>
      </c>
      <c r="N394" s="342"/>
      <c r="O394" s="94" t="s">
        <v>945</v>
      </c>
      <c r="P394" s="94" t="s">
        <v>945</v>
      </c>
      <c r="Q394" s="94" t="s">
        <v>945</v>
      </c>
      <c r="R394" s="34">
        <f t="shared" si="275"/>
        <v>1263.576660988075</v>
      </c>
      <c r="S394" s="34">
        <f t="shared" si="275"/>
        <v>1263.5766609880748</v>
      </c>
      <c r="T394" s="342"/>
      <c r="U394" s="34">
        <f t="shared" si="276"/>
        <v>1229.1259173426035</v>
      </c>
      <c r="V394" s="34">
        <f t="shared" si="276"/>
        <v>1255.0241702741703</v>
      </c>
      <c r="W394" s="34">
        <f t="shared" si="276"/>
        <v>1297.0195741758241</v>
      </c>
      <c r="X394" s="34">
        <f t="shared" si="276"/>
        <v>1351.3971199999999</v>
      </c>
      <c r="Y394" s="34">
        <f t="shared" si="276"/>
        <v>1351.3971199999999</v>
      </c>
      <c r="Z394" s="342"/>
      <c r="AA394" s="34">
        <f t="shared" si="277"/>
        <v>1350.8194361127771</v>
      </c>
      <c r="AB394" s="34">
        <f t="shared" si="277"/>
        <v>1380.0185027042412</v>
      </c>
      <c r="AC394" s="34">
        <f t="shared" si="277"/>
        <v>1358.8656911418866</v>
      </c>
      <c r="AD394" s="34">
        <f t="shared" si="277"/>
        <v>1431.8226700251889</v>
      </c>
      <c r="AE394" s="34">
        <f t="shared" si="277"/>
        <v>1431.8226700251889</v>
      </c>
      <c r="AF394" s="342"/>
      <c r="AG394" s="34">
        <f t="shared" si="278"/>
        <v>1326.7399955781561</v>
      </c>
      <c r="AH394" s="34">
        <f t="shared" si="278"/>
        <v>1366.3990895295901</v>
      </c>
      <c r="AI394" s="34">
        <f t="shared" si="278"/>
        <v>1418.1195329087047</v>
      </c>
      <c r="AJ394" s="34">
        <f t="shared" si="278"/>
        <v>1480.2869871529217</v>
      </c>
      <c r="AK394" s="34">
        <f t="shared" si="278"/>
        <v>1480.2869871529217</v>
      </c>
      <c r="AL394" s="342"/>
      <c r="AM394" s="34">
        <f t="shared" si="279"/>
        <v>1497.6407245222929</v>
      </c>
      <c r="AN394" s="34">
        <f t="shared" si="279"/>
        <v>1537.9081081081081</v>
      </c>
      <c r="AO394" s="34">
        <f t="shared" si="279"/>
        <v>1537.5328020756117</v>
      </c>
      <c r="AP394" s="34">
        <f t="shared" si="279"/>
        <v>1526.9420515481752</v>
      </c>
      <c r="AQ394" s="34">
        <f t="shared" si="279"/>
        <v>1526.9420515481752</v>
      </c>
      <c r="AR394" s="342"/>
      <c r="AS394" s="34">
        <f t="shared" si="280"/>
        <v>1493.024546952224</v>
      </c>
      <c r="AT394" s="34">
        <f t="shared" si="280"/>
        <v>1485.2090431459958</v>
      </c>
      <c r="AU394" s="34">
        <f t="shared" si="280"/>
        <v>1502.5710302091402</v>
      </c>
      <c r="AV394" s="34">
        <f t="shared" si="280"/>
        <v>1523.3275187969925</v>
      </c>
      <c r="AW394" s="34">
        <f t="shared" si="280"/>
        <v>1523.3275187969925</v>
      </c>
      <c r="AX394" s="342"/>
      <c r="AY394" s="259" t="s">
        <v>945</v>
      </c>
      <c r="AZ394" s="259" t="s">
        <v>945</v>
      </c>
      <c r="BA394" s="259" t="s">
        <v>945</v>
      </c>
      <c r="BB394" s="34">
        <f>BB$365/BB389*1000</f>
        <v>1382.8781226343679</v>
      </c>
      <c r="BC394" s="34">
        <f>BC$365/BC389*1000</f>
        <v>1382.8781226343679</v>
      </c>
      <c r="BD394" s="342"/>
      <c r="BE394" s="259" t="s">
        <v>945</v>
      </c>
      <c r="BF394" s="259" t="s">
        <v>945</v>
      </c>
      <c r="BG394" s="259" t="s">
        <v>945</v>
      </c>
      <c r="BH394" s="34">
        <f>BH$365/BH389*1000</f>
        <v>1091.8605937464724</v>
      </c>
      <c r="BI394" s="34">
        <f>BI$365/BI389*1000</f>
        <v>1091.8605937464724</v>
      </c>
      <c r="BJ394" s="342"/>
      <c r="BK394" s="259" t="s">
        <v>945</v>
      </c>
      <c r="BL394" s="259" t="s">
        <v>945</v>
      </c>
      <c r="BM394" s="259" t="s">
        <v>945</v>
      </c>
      <c r="BN394" s="34">
        <f>BN$365/BN389*1000</f>
        <v>1004.9209884399193</v>
      </c>
      <c r="BO394" s="34">
        <f>BO$365/BO389*1000</f>
        <v>1004.9209884399193</v>
      </c>
      <c r="BP394" s="342"/>
      <c r="BQ394" s="259" t="s">
        <v>945</v>
      </c>
      <c r="BR394" s="259" t="s">
        <v>945</v>
      </c>
      <c r="BS394" s="259" t="s">
        <v>945</v>
      </c>
      <c r="BT394" s="34">
        <f>BT$365/BT389*1000</f>
        <v>888.07275271073809</v>
      </c>
      <c r="BU394" s="34">
        <f>BU$365/BU389*1000</f>
        <v>888.07275271073809</v>
      </c>
      <c r="BV394" s="342"/>
      <c r="BW394" s="259" t="s">
        <v>945</v>
      </c>
      <c r="BX394" s="259" t="s">
        <v>945</v>
      </c>
      <c r="BY394" s="259" t="s">
        <v>945</v>
      </c>
      <c r="BZ394" s="34">
        <f>BZ$365/BZ389*1000</f>
        <v>924.1268872960195</v>
      </c>
      <c r="CA394" s="34">
        <f>CA$365/CA389*1000</f>
        <v>924.1268872960195</v>
      </c>
      <c r="CB394" s="342"/>
      <c r="CC394" s="259" t="s">
        <v>945</v>
      </c>
      <c r="CD394" s="259" t="s">
        <v>945</v>
      </c>
      <c r="CE394" s="259" t="s">
        <v>945</v>
      </c>
      <c r="CF394" s="34">
        <f>CF$365/CF389*1000</f>
        <v>1023.5864745011086</v>
      </c>
      <c r="CG394" s="228">
        <f>CG$365/CG389*1000</f>
        <v>1023.5864745011086</v>
      </c>
      <c r="CH394" s="342"/>
      <c r="CI394" s="259" t="s">
        <v>945</v>
      </c>
      <c r="CJ394" s="259" t="s">
        <v>945</v>
      </c>
      <c r="CK394" s="259" t="s">
        <v>945</v>
      </c>
      <c r="CL394" s="34">
        <f>CL$365/CL389*1000</f>
        <v>1004.357418643133</v>
      </c>
      <c r="CM394" s="228">
        <f>CM$365/CM389*1000</f>
        <v>1004.357418643133</v>
      </c>
      <c r="CN394" s="342"/>
      <c r="CO394" s="259" t="s">
        <v>945</v>
      </c>
      <c r="CP394" s="259" t="s">
        <v>945</v>
      </c>
      <c r="CQ394" s="259" t="s">
        <v>945</v>
      </c>
      <c r="CR394" s="34">
        <f>CR$365/CR389*1000</f>
        <v>1097.151453389625</v>
      </c>
      <c r="CS394" s="228">
        <f>CS$365/CS389*1000</f>
        <v>1097.151453389625</v>
      </c>
      <c r="CT394" s="342"/>
      <c r="CU394" s="259" t="s">
        <v>945</v>
      </c>
      <c r="CV394" s="259" t="s">
        <v>945</v>
      </c>
      <c r="CW394" s="259" t="s">
        <v>945</v>
      </c>
      <c r="CX394" s="34">
        <f>CX$365/CX389*1000</f>
        <v>1067.909090909091</v>
      </c>
      <c r="CY394" s="228">
        <f>CY$365/CY389*1000</f>
        <v>1067.909090909091</v>
      </c>
      <c r="CZ394" s="342"/>
      <c r="DA394" s="259" t="s">
        <v>945</v>
      </c>
      <c r="DB394" s="259" t="s">
        <v>945</v>
      </c>
      <c r="DC394" s="259" t="s">
        <v>945</v>
      </c>
      <c r="DD394" s="34">
        <f>DD$365/DD389*1000</f>
        <v>965.55000000000007</v>
      </c>
      <c r="DE394" s="228">
        <f>DE$365/DE389*1000</f>
        <v>965.55000000000007</v>
      </c>
      <c r="DF394" s="342"/>
      <c r="DG394" s="259" t="s">
        <v>945</v>
      </c>
      <c r="DH394" s="259" t="s">
        <v>945</v>
      </c>
      <c r="DI394" s="259" t="s">
        <v>945</v>
      </c>
      <c r="DJ394" s="34">
        <f>DJ$365/DJ389*1000</f>
        <v>1196.5</v>
      </c>
      <c r="DK394" s="228">
        <f>DK$365/DK389*1000</f>
        <v>1196.5</v>
      </c>
      <c r="DL394" s="342"/>
      <c r="DM394" s="259" t="s">
        <v>945</v>
      </c>
      <c r="DN394" s="259" t="s">
        <v>945</v>
      </c>
      <c r="DO394" s="259" t="s">
        <v>945</v>
      </c>
      <c r="DP394" s="34">
        <f>DP$365/DP389*1000</f>
        <v>1163.171840625</v>
      </c>
      <c r="DQ394" s="228">
        <f>DQ$365/DQ389*1000</f>
        <v>1163.171840625</v>
      </c>
      <c r="DR394" s="342"/>
      <c r="DS394" s="259" t="s">
        <v>945</v>
      </c>
      <c r="DT394" s="259" t="s">
        <v>945</v>
      </c>
      <c r="DU394" s="259" t="s">
        <v>945</v>
      </c>
      <c r="DV394" s="34">
        <f>DV$365/DV389*1000</f>
        <v>1064.3714285714286</v>
      </c>
      <c r="DW394" s="228">
        <f>DW$365/DW389*1000</f>
        <v>1064.3714285714286</v>
      </c>
      <c r="DX394" s="342"/>
      <c r="DY394" s="259" t="s">
        <v>945</v>
      </c>
      <c r="DZ394" s="259" t="s">
        <v>945</v>
      </c>
      <c r="EA394" s="259" t="s">
        <v>945</v>
      </c>
      <c r="EB394" s="34">
        <f>EB$365/EB389*1000</f>
        <v>1064.0277777777778</v>
      </c>
      <c r="EC394" s="228">
        <f>EC$365/EC389*1000</f>
        <v>1064.0277777777778</v>
      </c>
      <c r="ED394" s="342"/>
      <c r="EE394" s="259" t="s">
        <v>945</v>
      </c>
      <c r="EF394" s="259" t="s">
        <v>945</v>
      </c>
      <c r="EG394" s="259" t="s">
        <v>945</v>
      </c>
      <c r="EH394" s="34">
        <f>EH$365/EH389*1000</f>
        <v>1006.6578947368421</v>
      </c>
      <c r="EI394" s="228">
        <f>EI$365/EI389*1000</f>
        <v>1006.6578947368421</v>
      </c>
      <c r="EJ394" s="342"/>
      <c r="EK394" s="259" t="s">
        <v>945</v>
      </c>
      <c r="EL394" s="259" t="s">
        <v>945</v>
      </c>
      <c r="EM394" s="259" t="s">
        <v>945</v>
      </c>
      <c r="EN394" s="34">
        <f>EN$365/EN389*1000</f>
        <v>926.42500000000007</v>
      </c>
      <c r="EO394" s="228">
        <f>EO$365/EO389*1000</f>
        <v>926.42500000000007</v>
      </c>
      <c r="EP394" s="342"/>
      <c r="EQ394" s="259" t="s">
        <v>945</v>
      </c>
      <c r="ER394" s="259" t="s">
        <v>945</v>
      </c>
      <c r="ES394" s="259" t="s">
        <v>945</v>
      </c>
      <c r="ET394" s="34">
        <f>ET$365/ET389*1000</f>
        <v>947.44450000000006</v>
      </c>
      <c r="EU394" s="228">
        <f>EU$365/EU389*1000</f>
        <v>947.44450000000006</v>
      </c>
      <c r="EV394" s="342"/>
      <c r="EW394" s="259" t="s">
        <v>945</v>
      </c>
      <c r="EX394" s="259" t="s">
        <v>945</v>
      </c>
      <c r="EY394" s="259" t="s">
        <v>945</v>
      </c>
      <c r="EZ394" s="34">
        <f>EZ$365/EZ389*1000</f>
        <v>950.60511819474345</v>
      </c>
      <c r="FA394" s="228">
        <f>FA$365/FA389*1000</f>
        <v>950.60511819474345</v>
      </c>
      <c r="FB394" s="342"/>
      <c r="FC394" s="259" t="s">
        <v>945</v>
      </c>
      <c r="FD394" s="259" t="s">
        <v>945</v>
      </c>
      <c r="FE394" s="259" t="s">
        <v>945</v>
      </c>
      <c r="FF394" s="34">
        <f>FF$365/FF389*1000</f>
        <v>939.14618703960332</v>
      </c>
      <c r="FG394" s="228">
        <f>FG$365/FG389*1000</f>
        <v>939.14618703960332</v>
      </c>
      <c r="FH394" s="342"/>
      <c r="FI394" s="259" t="s">
        <v>945</v>
      </c>
      <c r="FJ394" s="259" t="s">
        <v>945</v>
      </c>
      <c r="FK394" s="259" t="s">
        <v>945</v>
      </c>
      <c r="FL394" s="34">
        <f>FL$365/FL389*1000</f>
        <v>930.01381320016196</v>
      </c>
      <c r="FM394" s="228">
        <f>FM$365/FM389*1000</f>
        <v>930.01381320016196</v>
      </c>
      <c r="FN394" s="27"/>
      <c r="FO394" s="27"/>
      <c r="FP394" s="27"/>
      <c r="FQ394" s="27"/>
      <c r="FR394" s="27"/>
      <c r="FS394" s="27"/>
      <c r="FT394" s="27"/>
      <c r="FU394" s="27"/>
      <c r="FV394" s="27"/>
      <c r="FW394" s="27"/>
      <c r="FX394" s="27"/>
      <c r="FY394" s="27"/>
      <c r="FZ394" s="27"/>
      <c r="GA394" s="27"/>
      <c r="GB394" s="27"/>
      <c r="GC394" s="27"/>
      <c r="GD394" s="27"/>
      <c r="GE394" s="27"/>
      <c r="GF394" s="27"/>
      <c r="GG394" s="27"/>
      <c r="GH394" s="27"/>
      <c r="GI394"/>
      <c r="GJ394"/>
      <c r="GK394"/>
      <c r="GL394"/>
      <c r="GM394"/>
      <c r="GN394"/>
      <c r="GO394" s="27"/>
      <c r="GP394"/>
      <c r="GQ394"/>
      <c r="GR394"/>
      <c r="GS394"/>
      <c r="GT394"/>
      <c r="GU394"/>
      <c r="GV394"/>
      <c r="GW394"/>
      <c r="GX394"/>
      <c r="GY394"/>
      <c r="GZ394"/>
      <c r="HA394"/>
      <c r="HB394"/>
      <c r="HC394"/>
      <c r="HD394"/>
      <c r="HE394"/>
      <c r="HF394"/>
      <c r="HG394"/>
      <c r="HH394"/>
      <c r="HI394"/>
      <c r="HJ394"/>
      <c r="HK394"/>
      <c r="HL394"/>
      <c r="HM394"/>
      <c r="HN394"/>
      <c r="HO394"/>
      <c r="HP394"/>
      <c r="HQ394"/>
      <c r="HR394"/>
      <c r="HS394"/>
      <c r="HT394"/>
      <c r="HU394"/>
      <c r="HV394"/>
      <c r="HW394"/>
      <c r="HX394"/>
      <c r="HY394"/>
      <c r="HZ394"/>
      <c r="IA394"/>
      <c r="IB394"/>
      <c r="IC394"/>
      <c r="ID394"/>
      <c r="IE394"/>
      <c r="IF394"/>
      <c r="IG394"/>
      <c r="IH394"/>
      <c r="II394"/>
      <c r="IJ394"/>
      <c r="IK394"/>
      <c r="IL394"/>
      <c r="IM394"/>
      <c r="IN394"/>
      <c r="IO394"/>
      <c r="IP394"/>
      <c r="IQ394"/>
      <c r="IR394"/>
      <c r="IS394"/>
      <c r="IT394"/>
      <c r="IU394"/>
      <c r="IV394"/>
      <c r="IW394"/>
      <c r="IX394"/>
      <c r="IY394"/>
      <c r="IZ394"/>
      <c r="JA394"/>
      <c r="JB394"/>
      <c r="JC394"/>
      <c r="JD394"/>
      <c r="JE394"/>
      <c r="JF394"/>
      <c r="JG394"/>
      <c r="JH394"/>
      <c r="JI394"/>
      <c r="JJ394"/>
      <c r="JK394"/>
      <c r="JL394"/>
      <c r="JM394"/>
      <c r="JN394"/>
      <c r="JO394"/>
      <c r="JP394"/>
      <c r="JQ394"/>
      <c r="JR394"/>
      <c r="JS394"/>
      <c r="JT394"/>
      <c r="JU394"/>
    </row>
    <row r="395" spans="1:281" s="28" customFormat="1" ht="4.5" hidden="1" customHeight="1" outlineLevel="1" x14ac:dyDescent="0.2">
      <c r="A395" s="18"/>
      <c r="B395" s="414"/>
      <c r="C395" s="342"/>
      <c r="D395" s="342"/>
      <c r="CG395" s="416"/>
      <c r="CM395" s="416"/>
      <c r="CS395" s="416"/>
      <c r="CY395" s="416"/>
      <c r="DE395" s="416"/>
      <c r="DK395" s="416"/>
      <c r="DQ395" s="416"/>
      <c r="DW395" s="416"/>
      <c r="EC395" s="416"/>
      <c r="EI395" s="416"/>
      <c r="EO395" s="416"/>
      <c r="EU395" s="416"/>
      <c r="FA395" s="416"/>
      <c r="FG395" s="416"/>
      <c r="FM395" s="416"/>
      <c r="GI395"/>
      <c r="GJ395"/>
      <c r="GK395"/>
      <c r="GL395"/>
      <c r="GM395"/>
      <c r="GN395"/>
      <c r="GP395"/>
      <c r="GQ395"/>
      <c r="GR395"/>
      <c r="GS395"/>
      <c r="GT395"/>
      <c r="GU395"/>
      <c r="GV395"/>
      <c r="GW395"/>
      <c r="GX395"/>
      <c r="GY395"/>
      <c r="GZ395"/>
      <c r="HA395"/>
      <c r="HB395"/>
      <c r="HC395"/>
      <c r="HD395"/>
      <c r="HE395"/>
      <c r="HF395"/>
      <c r="HG395"/>
      <c r="HH395"/>
      <c r="HI395"/>
      <c r="HJ395"/>
      <c r="HK395"/>
      <c r="HL395"/>
      <c r="HM395"/>
      <c r="HN395"/>
      <c r="HO395"/>
      <c r="HP395"/>
      <c r="HQ395"/>
      <c r="HR395"/>
      <c r="HS395"/>
      <c r="HT395"/>
      <c r="HU395"/>
      <c r="HV395"/>
      <c r="HW395"/>
      <c r="HX395"/>
      <c r="HY395"/>
      <c r="HZ395"/>
      <c r="IA395"/>
      <c r="IB395"/>
      <c r="IC395"/>
      <c r="ID395"/>
      <c r="IE395"/>
      <c r="IF395"/>
      <c r="IG395"/>
      <c r="IH395"/>
      <c r="II395"/>
      <c r="IJ395"/>
      <c r="IK395"/>
      <c r="IL395"/>
      <c r="IM395"/>
      <c r="IN395"/>
      <c r="IO395"/>
      <c r="IP395"/>
      <c r="IQ395"/>
      <c r="IR395"/>
      <c r="IS395"/>
      <c r="IT395"/>
      <c r="IU395"/>
      <c r="IV395"/>
      <c r="IW395"/>
      <c r="IX395"/>
      <c r="IY395"/>
      <c r="IZ395"/>
      <c r="JA395"/>
      <c r="JB395"/>
      <c r="JC395"/>
      <c r="JD395"/>
      <c r="JE395"/>
      <c r="JF395"/>
      <c r="JG395"/>
      <c r="JH395"/>
      <c r="JI395"/>
      <c r="JJ395"/>
      <c r="JK395"/>
      <c r="JL395"/>
      <c r="JM395"/>
      <c r="JN395"/>
      <c r="JO395"/>
      <c r="JP395"/>
      <c r="JQ395"/>
      <c r="JR395"/>
      <c r="JS395"/>
      <c r="JT395"/>
      <c r="JU395"/>
    </row>
    <row r="396" spans="1:281" s="24" customFormat="1" hidden="1" outlineLevel="1" x14ac:dyDescent="0.2">
      <c r="A396" s="27" t="s">
        <v>683</v>
      </c>
      <c r="B396" s="413" t="s">
        <v>370</v>
      </c>
      <c r="C396" s="94" t="str">
        <f>Metrics!C239</f>
        <v>-</v>
      </c>
      <c r="D396" s="94" t="str">
        <f>Metrics!D239</f>
        <v>-</v>
      </c>
      <c r="E396" s="94" t="str">
        <f>Metrics!E239</f>
        <v>-</v>
      </c>
      <c r="F396" s="94" t="str">
        <f>Metrics!F239</f>
        <v>-</v>
      </c>
      <c r="G396" s="94" t="str">
        <f>Metrics!G239</f>
        <v>-</v>
      </c>
      <c r="H396" s="94" t="str">
        <f>Metrics!H239</f>
        <v>-</v>
      </c>
      <c r="I396" s="94" t="str">
        <f>Metrics!I239</f>
        <v>-</v>
      </c>
      <c r="J396" s="94" t="str">
        <f>Metrics!J239</f>
        <v>-</v>
      </c>
      <c r="K396" s="94" t="str">
        <f>Metrics!K239</f>
        <v>-</v>
      </c>
      <c r="L396" s="94" t="str">
        <f>Metrics!L239</f>
        <v>-</v>
      </c>
      <c r="M396" s="94" t="str">
        <f>Metrics!M239</f>
        <v>-</v>
      </c>
      <c r="N396" s="43"/>
      <c r="O396" s="94" t="str">
        <f>Metrics!O239</f>
        <v>-</v>
      </c>
      <c r="P396" s="94" t="str">
        <f>Metrics!P239</f>
        <v>-</v>
      </c>
      <c r="Q396" s="94" t="str">
        <f>Metrics!Q239</f>
        <v>-</v>
      </c>
      <c r="R396" s="94" t="str">
        <f>Metrics!R239</f>
        <v>-</v>
      </c>
      <c r="S396" s="94" t="str">
        <f>Metrics!S239</f>
        <v>-</v>
      </c>
      <c r="T396" s="43"/>
      <c r="U396" s="94" t="str">
        <f>Metrics!U239</f>
        <v>-</v>
      </c>
      <c r="V396" s="94" t="str">
        <f>Metrics!V239</f>
        <v>-</v>
      </c>
      <c r="W396" s="94" t="str">
        <f>Metrics!W239</f>
        <v>-</v>
      </c>
      <c r="X396" s="94" t="str">
        <f>Metrics!X239</f>
        <v>-</v>
      </c>
      <c r="Y396" s="94" t="str">
        <f>Metrics!Y239</f>
        <v>-</v>
      </c>
      <c r="Z396" s="43"/>
      <c r="AA396" s="94" t="str">
        <f>Metrics!AA239</f>
        <v>-</v>
      </c>
      <c r="AB396" s="94" t="str">
        <f>Metrics!AB239</f>
        <v>-</v>
      </c>
      <c r="AC396" s="94" t="str">
        <f>Metrics!AC239</f>
        <v>-</v>
      </c>
      <c r="AD396" s="94" t="str">
        <f>Metrics!AD239</f>
        <v>-</v>
      </c>
      <c r="AE396" s="94" t="str">
        <f>Metrics!AE239</f>
        <v>-</v>
      </c>
      <c r="AF396" s="43"/>
      <c r="AG396" s="94" t="str">
        <f>Metrics!AG239</f>
        <v>-</v>
      </c>
      <c r="AH396" s="94" t="str">
        <f>Metrics!AH239</f>
        <v>-</v>
      </c>
      <c r="AI396" s="94" t="str">
        <f>Metrics!AI239</f>
        <v>-</v>
      </c>
      <c r="AJ396" s="94" t="str">
        <f>Metrics!AJ239</f>
        <v>-</v>
      </c>
      <c r="AK396" s="94" t="str">
        <f>Metrics!AK239</f>
        <v>-</v>
      </c>
      <c r="AL396" s="43"/>
      <c r="AM396" s="94" t="str">
        <f>Metrics!AM239</f>
        <v>-</v>
      </c>
      <c r="AN396" s="94" t="str">
        <f>Metrics!AN239</f>
        <v>-</v>
      </c>
      <c r="AO396" s="94" t="str">
        <f>Metrics!AO239</f>
        <v>-</v>
      </c>
      <c r="AP396" s="94" t="str">
        <f>Metrics!AP239</f>
        <v>-</v>
      </c>
      <c r="AQ396" s="94" t="str">
        <f>Metrics!AQ239</f>
        <v>-</v>
      </c>
      <c r="AR396" s="43"/>
      <c r="AS396" s="94" t="str">
        <f>Metrics!AS239</f>
        <v>-</v>
      </c>
      <c r="AT396" s="94" t="str">
        <f>Metrics!AT239</f>
        <v>-</v>
      </c>
      <c r="AU396" s="94" t="str">
        <f>Metrics!AU239</f>
        <v>-</v>
      </c>
      <c r="AV396" s="94">
        <f>Metrics!AV239</f>
        <v>0.56000000000000005</v>
      </c>
      <c r="AW396" s="94" t="str">
        <f>Metrics!AW239</f>
        <v>-</v>
      </c>
      <c r="AX396" s="43"/>
      <c r="AY396" s="94">
        <f>Metrics!AY239</f>
        <v>0.34</v>
      </c>
      <c r="AZ396" s="94">
        <f>Metrics!AZ239</f>
        <v>0.45</v>
      </c>
      <c r="BA396" s="94">
        <f>Metrics!BA239</f>
        <v>0.45</v>
      </c>
      <c r="BB396" s="94">
        <f>Metrics!BB239</f>
        <v>0.52</v>
      </c>
      <c r="BC396" s="94">
        <f>Metrics!BC239</f>
        <v>0.44</v>
      </c>
      <c r="BD396" s="43"/>
      <c r="BE396" s="94">
        <f>Metrics!BE239</f>
        <v>0.31</v>
      </c>
      <c r="BF396" s="94">
        <f>Metrics!BF239</f>
        <v>0.38</v>
      </c>
      <c r="BG396" s="94">
        <f>Metrics!BG239</f>
        <v>0.35</v>
      </c>
      <c r="BH396" s="94">
        <f>Metrics!BH239</f>
        <v>0.43</v>
      </c>
      <c r="BI396" s="94">
        <f>Metrics!BI239</f>
        <v>0.36749999999999999</v>
      </c>
      <c r="BJ396" s="43"/>
      <c r="BK396" s="94">
        <f>Metrics!BK239</f>
        <v>0.35</v>
      </c>
      <c r="BL396" s="94">
        <f>Metrics!BL239</f>
        <v>0.32</v>
      </c>
      <c r="BM396" s="94">
        <f>Metrics!BM239</f>
        <v>0.33</v>
      </c>
      <c r="BN396" s="94">
        <f>Metrics!BN239</f>
        <v>0.41</v>
      </c>
      <c r="BO396" s="94">
        <f>Metrics!BO239</f>
        <v>0.3601437308868502</v>
      </c>
      <c r="BP396" s="43"/>
      <c r="BQ396" s="94">
        <f>Metrics!BQ239</f>
        <v>0.32</v>
      </c>
      <c r="BR396" s="94">
        <f>Metrics!BR239</f>
        <v>0.36</v>
      </c>
      <c r="BS396" s="94">
        <f>Metrics!BS239</f>
        <v>0.32</v>
      </c>
      <c r="BT396" s="94">
        <f>Metrics!BT239</f>
        <v>0.44</v>
      </c>
      <c r="BU396" s="94">
        <f>Metrics!BU239</f>
        <v>0.37418808246258117</v>
      </c>
      <c r="BV396" s="43"/>
      <c r="BW396" s="94">
        <f>Metrics!BW239</f>
        <v>0.27</v>
      </c>
      <c r="BX396" s="94">
        <f>Metrics!BX239</f>
        <v>0.4</v>
      </c>
      <c r="BY396" s="94">
        <f>Metrics!BY239</f>
        <v>0.35</v>
      </c>
      <c r="BZ396" s="94">
        <f>Metrics!BZ239</f>
        <v>0.47</v>
      </c>
      <c r="CA396" s="94">
        <f>Metrics!CA239</f>
        <v>0.39806601466992669</v>
      </c>
      <c r="CB396" s="43"/>
      <c r="CC396" s="94">
        <f>Metrics!CC239</f>
        <v>0.28000000000000003</v>
      </c>
      <c r="CD396" s="94">
        <f>Metrics!CD239</f>
        <v>0.41</v>
      </c>
      <c r="CE396" s="94">
        <f>Metrics!CE239</f>
        <v>0.39</v>
      </c>
      <c r="CF396" s="94">
        <f>Metrics!CF239</f>
        <v>0.55000000000000004</v>
      </c>
      <c r="CG396" s="149">
        <f>Metrics!CG239</f>
        <v>0.44940176168338641</v>
      </c>
      <c r="CH396" s="43"/>
      <c r="CI396" s="94">
        <f>Metrics!CI239</f>
        <v>0.34</v>
      </c>
      <c r="CJ396" s="94">
        <f>Metrics!CJ239</f>
        <v>0.41</v>
      </c>
      <c r="CK396" s="94">
        <f>Metrics!CK239</f>
        <v>0.41</v>
      </c>
      <c r="CL396" s="94" t="str">
        <f>Metrics!CL239</f>
        <v>-</v>
      </c>
      <c r="CM396" s="149" t="str">
        <f>Metrics!CM239</f>
        <v>-</v>
      </c>
      <c r="CN396" s="43"/>
      <c r="CO396" s="94" t="str">
        <f>Metrics!CO239</f>
        <v>-</v>
      </c>
      <c r="CP396" s="94" t="str">
        <f>Metrics!CP239</f>
        <v>-</v>
      </c>
      <c r="CQ396" s="94" t="str">
        <f>Metrics!CQ239</f>
        <v>-</v>
      </c>
      <c r="CR396" s="94" t="str">
        <f>Metrics!CR239</f>
        <v>-</v>
      </c>
      <c r="CS396" s="149">
        <f>Metrics!CS239</f>
        <v>0.51</v>
      </c>
      <c r="CT396" s="43"/>
      <c r="CU396" s="94" t="str">
        <f>Metrics!CU239</f>
        <v>-</v>
      </c>
      <c r="CV396" s="94" t="str">
        <f>Metrics!CV239</f>
        <v>-</v>
      </c>
      <c r="CW396" s="94" t="str">
        <f>Metrics!CW239</f>
        <v>-</v>
      </c>
      <c r="CX396" s="94" t="str">
        <f>Metrics!CX239</f>
        <v>-</v>
      </c>
      <c r="CY396" s="149">
        <f>Metrics!CY239</f>
        <v>0.5</v>
      </c>
      <c r="CZ396" s="43"/>
      <c r="DA396" s="94" t="str">
        <f>Metrics!DA239</f>
        <v>-</v>
      </c>
      <c r="DB396" s="94" t="str">
        <f>Metrics!DB239</f>
        <v>-</v>
      </c>
      <c r="DC396" s="94" t="str">
        <f>Metrics!DC239</f>
        <v>-</v>
      </c>
      <c r="DD396" s="94" t="str">
        <f>Metrics!DD239</f>
        <v>-</v>
      </c>
      <c r="DE396" s="149" t="str">
        <f>Metrics!DE239</f>
        <v>-</v>
      </c>
      <c r="DF396" s="43"/>
      <c r="DG396" s="94" t="str">
        <f>Metrics!DG239</f>
        <v>-</v>
      </c>
      <c r="DH396" s="94" t="str">
        <f>Metrics!DH239</f>
        <v>-</v>
      </c>
      <c r="DI396" s="94" t="str">
        <f>Metrics!DI239</f>
        <v>-</v>
      </c>
      <c r="DJ396" s="94" t="str">
        <f>Metrics!DJ239</f>
        <v>-</v>
      </c>
      <c r="DK396" s="149" t="str">
        <f>Metrics!DK239</f>
        <v>-</v>
      </c>
      <c r="DL396" s="43"/>
      <c r="DM396" s="94">
        <f>Metrics!DM239</f>
        <v>0.49</v>
      </c>
      <c r="DN396" s="94" t="str">
        <f>Metrics!DN239</f>
        <v>-</v>
      </c>
      <c r="DO396" s="94" t="str">
        <f>Metrics!DO239</f>
        <v>-</v>
      </c>
      <c r="DP396" s="94" t="str">
        <f>Metrics!DP239</f>
        <v>-</v>
      </c>
      <c r="DQ396" s="149" t="str">
        <f>Metrics!DQ239</f>
        <v>-</v>
      </c>
      <c r="DR396" s="43"/>
      <c r="DS396" s="94" t="str">
        <f>Metrics!DS239</f>
        <v>-</v>
      </c>
      <c r="DT396" s="94" t="str">
        <f>Metrics!DT239</f>
        <v>-</v>
      </c>
      <c r="DU396" s="94" t="str">
        <f>Metrics!DU239</f>
        <v>-</v>
      </c>
      <c r="DV396" s="94" t="str">
        <f>Metrics!DV239</f>
        <v>-</v>
      </c>
      <c r="DW396" s="149" t="str">
        <f>Metrics!DW239</f>
        <v>-</v>
      </c>
      <c r="DX396" s="43"/>
      <c r="DY396" s="94" t="str">
        <f>Metrics!DY239</f>
        <v>-</v>
      </c>
      <c r="DZ396" s="94" t="str">
        <f>Metrics!DZ239</f>
        <v>-</v>
      </c>
      <c r="EA396" s="94" t="str">
        <f>Metrics!EA239</f>
        <v>-</v>
      </c>
      <c r="EB396" s="94" t="str">
        <f>Metrics!EB239</f>
        <v>-</v>
      </c>
      <c r="EC396" s="149" t="str">
        <f>Metrics!EC239</f>
        <v>-</v>
      </c>
      <c r="ED396" s="43"/>
      <c r="EE396" s="94" t="str">
        <f>Metrics!EE239</f>
        <v>-</v>
      </c>
      <c r="EF396" s="94" t="str">
        <f>Metrics!EF239</f>
        <v>-</v>
      </c>
      <c r="EG396" s="94" t="str">
        <f>Metrics!EG239</f>
        <v>-</v>
      </c>
      <c r="EH396" s="94" t="str">
        <f>Metrics!EH239</f>
        <v>-</v>
      </c>
      <c r="EI396" s="149" t="str">
        <f>Metrics!EI239</f>
        <v>-</v>
      </c>
      <c r="EJ396" s="43"/>
      <c r="EK396" s="94" t="str">
        <f>Metrics!EK239</f>
        <v>-</v>
      </c>
      <c r="EL396" s="94">
        <f>Metrics!EL239</f>
        <v>0</v>
      </c>
      <c r="EM396" s="94" t="str">
        <f>Metrics!EM239</f>
        <v>-</v>
      </c>
      <c r="EN396" s="94" t="str">
        <f>Metrics!EN239</f>
        <v>-</v>
      </c>
      <c r="EO396" s="149" t="str">
        <f>Metrics!EO239</f>
        <v>-</v>
      </c>
      <c r="EP396" s="43"/>
      <c r="EQ396" s="94" t="str">
        <f>Metrics!EQ239</f>
        <v>-</v>
      </c>
      <c r="ER396" s="94" t="str">
        <f>Metrics!ER239</f>
        <v>-</v>
      </c>
      <c r="ES396" s="94" t="str">
        <f>Metrics!ES239</f>
        <v>-</v>
      </c>
      <c r="ET396" s="94" t="str">
        <f>Metrics!ET239</f>
        <v>-</v>
      </c>
      <c r="EU396" s="149" t="str">
        <f>Metrics!EU239</f>
        <v>-</v>
      </c>
      <c r="EV396" s="43"/>
      <c r="EW396" s="94" t="str">
        <f>Metrics!EW239</f>
        <v>-</v>
      </c>
      <c r="EX396" s="94" t="str">
        <f>Metrics!EX239</f>
        <v>-</v>
      </c>
      <c r="EY396" s="94" t="str">
        <f>Metrics!EY239</f>
        <v>-</v>
      </c>
      <c r="EZ396" s="94" t="str">
        <f>Metrics!EZ239</f>
        <v>-</v>
      </c>
      <c r="FA396" s="149" t="str">
        <f>Metrics!FA239</f>
        <v>-</v>
      </c>
      <c r="FB396" s="43"/>
      <c r="FC396" s="94" t="str">
        <f>Metrics!FC239</f>
        <v>-</v>
      </c>
      <c r="FD396" s="94" t="str">
        <f>Metrics!FD239</f>
        <v>-</v>
      </c>
      <c r="FE396" s="94" t="str">
        <f>Metrics!FE239</f>
        <v>-</v>
      </c>
      <c r="FF396" s="94" t="str">
        <f>Metrics!FF239</f>
        <v>-</v>
      </c>
      <c r="FG396" s="149" t="str">
        <f>Metrics!FG239</f>
        <v>-</v>
      </c>
      <c r="FH396" s="43"/>
      <c r="FI396" s="94" t="str">
        <f>Metrics!FI239</f>
        <v>-</v>
      </c>
      <c r="FJ396" s="94" t="str">
        <f>Metrics!FJ239</f>
        <v>-</v>
      </c>
      <c r="FK396" s="94" t="str">
        <f>Metrics!FK239</f>
        <v>-</v>
      </c>
      <c r="FL396" s="94" t="str">
        <f>Metrics!FL239</f>
        <v>-</v>
      </c>
      <c r="FM396" s="149" t="str">
        <f>Metrics!FM239</f>
        <v>-</v>
      </c>
      <c r="FN396" s="27"/>
      <c r="FO396" s="27"/>
      <c r="FP396" s="27"/>
      <c r="FQ396" s="27"/>
      <c r="FR396" s="27"/>
      <c r="FS396" s="27"/>
      <c r="FT396" s="27"/>
      <c r="FU396" s="27"/>
      <c r="FV396" s="27"/>
      <c r="FW396" s="27"/>
      <c r="FX396" s="27"/>
      <c r="FY396" s="27"/>
      <c r="FZ396" s="27"/>
      <c r="GA396" s="27"/>
      <c r="GB396" s="27"/>
      <c r="GC396" s="27"/>
      <c r="GD396" s="27"/>
      <c r="GE396" s="27"/>
      <c r="GF396" s="27"/>
      <c r="GG396" s="27"/>
      <c r="GH396" s="27"/>
      <c r="GI396"/>
      <c r="GJ396"/>
      <c r="GK396"/>
      <c r="GL396"/>
      <c r="GM396"/>
      <c r="GN396"/>
      <c r="GO396" s="27"/>
      <c r="GP396"/>
      <c r="GQ396"/>
      <c r="GR396"/>
      <c r="GS396"/>
      <c r="GT396"/>
      <c r="GU396"/>
      <c r="GV396"/>
      <c r="GW396"/>
      <c r="GX396"/>
      <c r="GY396"/>
      <c r="GZ396"/>
      <c r="HA396"/>
      <c r="HB396"/>
      <c r="HC396"/>
      <c r="HD396"/>
      <c r="HE396"/>
      <c r="HF396"/>
      <c r="HG396"/>
      <c r="HH396"/>
      <c r="HI396"/>
      <c r="HJ396"/>
      <c r="HK396"/>
      <c r="HL396"/>
      <c r="HM396"/>
      <c r="HN396"/>
      <c r="HO396"/>
      <c r="HP396"/>
      <c r="HQ396"/>
      <c r="HR396"/>
      <c r="HS396"/>
      <c r="HT396"/>
      <c r="HU396"/>
      <c r="HV396"/>
      <c r="HW396"/>
      <c r="HX396"/>
      <c r="HY396"/>
      <c r="HZ396"/>
      <c r="IA396"/>
      <c r="IB396"/>
      <c r="IC396"/>
      <c r="ID396"/>
      <c r="IE396"/>
      <c r="IF396"/>
      <c r="IG396"/>
      <c r="IH396"/>
      <c r="II396"/>
      <c r="IJ396"/>
      <c r="IK396"/>
      <c r="IL396"/>
      <c r="IM396"/>
      <c r="IN396"/>
      <c r="IO396"/>
      <c r="IP396"/>
      <c r="IQ396"/>
      <c r="IR396"/>
      <c r="IS396"/>
      <c r="IT396"/>
      <c r="IU396"/>
      <c r="IV396"/>
      <c r="IW396"/>
      <c r="IX396"/>
      <c r="IY396"/>
      <c r="IZ396"/>
      <c r="JA396"/>
      <c r="JB396"/>
      <c r="JC396"/>
      <c r="JD396"/>
      <c r="JE396"/>
      <c r="JF396"/>
      <c r="JG396"/>
      <c r="JH396"/>
      <c r="JI396"/>
      <c r="JJ396"/>
      <c r="JK396"/>
      <c r="JL396"/>
      <c r="JM396"/>
      <c r="JN396"/>
      <c r="JO396"/>
      <c r="JP396"/>
      <c r="JQ396"/>
      <c r="JR396"/>
      <c r="JS396"/>
      <c r="JT396"/>
      <c r="JU396"/>
    </row>
    <row r="397" spans="1:281" s="24" customFormat="1" hidden="1" outlineLevel="1" x14ac:dyDescent="0.2">
      <c r="A397" s="27" t="s">
        <v>319</v>
      </c>
      <c r="B397" s="413" t="s">
        <v>371</v>
      </c>
      <c r="C397" s="259"/>
      <c r="D397" s="259"/>
      <c r="E397" s="259"/>
      <c r="F397" s="34"/>
      <c r="G397" s="34"/>
      <c r="H397" s="34"/>
      <c r="I397" s="34"/>
      <c r="J397" s="34"/>
      <c r="K397" s="34"/>
      <c r="L397" s="34"/>
      <c r="M397" s="34"/>
      <c r="N397" s="342"/>
      <c r="O397" s="34"/>
      <c r="P397" s="34"/>
      <c r="Q397" s="34"/>
      <c r="R397" s="34"/>
      <c r="S397" s="34"/>
      <c r="T397" s="342"/>
      <c r="U397" s="34"/>
      <c r="V397" s="34"/>
      <c r="W397" s="34"/>
      <c r="X397" s="34"/>
      <c r="Y397" s="34"/>
      <c r="Z397" s="342"/>
      <c r="AA397" s="34">
        <f>AA383+AA382</f>
        <v>145.12299999999993</v>
      </c>
      <c r="AB397" s="34">
        <f>AB383+AB382</f>
        <v>-70.233000000000004</v>
      </c>
      <c r="AC397" s="34">
        <f>AC383+AC382</f>
        <v>187.86800000000005</v>
      </c>
      <c r="AD397" s="34">
        <f>AD383+AD382</f>
        <v>377.00499999999994</v>
      </c>
      <c r="AE397" s="34">
        <f>AE383+AE382</f>
        <v>639.76299999999992</v>
      </c>
      <c r="AF397" s="342"/>
      <c r="AG397" s="34">
        <f>AG383+AG382</f>
        <v>369.35499999999996</v>
      </c>
      <c r="AH397" s="34">
        <f>AH383+AH382</f>
        <v>93.166999999999874</v>
      </c>
      <c r="AI397" s="34">
        <f>AI383+AI382</f>
        <v>275.83400000000017</v>
      </c>
      <c r="AJ397" s="34">
        <f>AJ383+AJ382</f>
        <v>547.8649999999999</v>
      </c>
      <c r="AK397" s="34">
        <f>AK383+AK382</f>
        <v>1286.2209999999998</v>
      </c>
      <c r="AL397" s="342"/>
      <c r="AM397" s="34">
        <f>AM383+AM382</f>
        <v>509.24899999999997</v>
      </c>
      <c r="AN397" s="34">
        <f>AN383+AN382</f>
        <v>-55.803999999999959</v>
      </c>
      <c r="AO397" s="34">
        <f>AO383+AO382</f>
        <v>358.63100000000009</v>
      </c>
      <c r="AP397" s="34">
        <f>AP383+AP382</f>
        <v>648.43100000000004</v>
      </c>
      <c r="AQ397" s="34">
        <f>AQ383+AQ382</f>
        <v>1460.5070000000001</v>
      </c>
      <c r="AR397" s="342"/>
      <c r="AS397" s="34">
        <f>AS383+AS382</f>
        <v>601.2245999999999</v>
      </c>
      <c r="AT397" s="34">
        <f>AT383+AT382</f>
        <v>42.407400000000052</v>
      </c>
      <c r="AU397" s="34">
        <f>AU383+AU382</f>
        <v>891.36</v>
      </c>
      <c r="AV397" s="34">
        <f>AV383+AV382</f>
        <v>1125.1290000000008</v>
      </c>
      <c r="AW397" s="34">
        <f>AW383+AW382</f>
        <v>2660.121000000001</v>
      </c>
      <c r="AX397" s="342"/>
      <c r="AY397" s="34">
        <f>AY383+AY382</f>
        <v>-947.20399999999984</v>
      </c>
      <c r="AZ397" s="34">
        <f>AZ383+AZ382</f>
        <v>527.37099999999975</v>
      </c>
      <c r="BA397" s="34">
        <f>BA383+BA382</f>
        <v>946.03499999999985</v>
      </c>
      <c r="BB397" s="34">
        <f>BB383+BB382</f>
        <v>1339.7980000000002</v>
      </c>
      <c r="BC397" s="34">
        <f>BC383+BC382</f>
        <v>1866</v>
      </c>
      <c r="BD397" s="342"/>
      <c r="BE397" s="34">
        <f>BE383+BE382</f>
        <v>1151.021</v>
      </c>
      <c r="BF397" s="34">
        <f>BF383+BF382</f>
        <v>198.97899999999998</v>
      </c>
      <c r="BG397" s="34">
        <f>BG383+BG382</f>
        <v>609</v>
      </c>
      <c r="BH397" s="34">
        <f>BH383+BH382</f>
        <v>898</v>
      </c>
      <c r="BI397" s="34">
        <f>BI383+BI382</f>
        <v>2857</v>
      </c>
      <c r="BJ397" s="342"/>
      <c r="BK397" s="34">
        <f>BK383+BK382</f>
        <v>1175</v>
      </c>
      <c r="BL397" s="34">
        <f>BL383+BL382</f>
        <v>219</v>
      </c>
      <c r="BM397" s="34">
        <f>BM383+BM382</f>
        <v>715</v>
      </c>
      <c r="BN397" s="34">
        <f>BN383+BN382</f>
        <v>623</v>
      </c>
      <c r="BO397" s="34">
        <f>BO383+BO382</f>
        <v>2732</v>
      </c>
      <c r="BP397" s="342"/>
      <c r="BQ397" s="34">
        <f>BQ383+BQ382</f>
        <v>1175</v>
      </c>
      <c r="BR397" s="34">
        <f>BR383+BR382</f>
        <v>322</v>
      </c>
      <c r="BS397" s="34">
        <f>BS383+BS382</f>
        <v>518</v>
      </c>
      <c r="BT397" s="34">
        <f>BT383+BT382</f>
        <v>991</v>
      </c>
      <c r="BU397" s="34">
        <f>BU383+BU382</f>
        <v>3006</v>
      </c>
      <c r="BV397" s="342"/>
      <c r="BW397" s="34">
        <f>BW383+BW382</f>
        <v>1380</v>
      </c>
      <c r="BX397" s="34">
        <f>BX383+BX382</f>
        <v>327</v>
      </c>
      <c r="BY397" s="34">
        <f>BY383+BY382</f>
        <v>700</v>
      </c>
      <c r="BZ397" s="34">
        <f>BZ383+BZ382</f>
        <v>956.92250000000013</v>
      </c>
      <c r="CA397" s="34">
        <f>CA383+CA382</f>
        <v>3363.9225000000001</v>
      </c>
      <c r="CB397" s="342"/>
      <c r="CC397" s="244">
        <f>CC383+CC382</f>
        <v>1406</v>
      </c>
      <c r="CD397" s="244">
        <f>CD383+CD382</f>
        <v>264</v>
      </c>
      <c r="CE397" s="244">
        <f>CE383+CE382</f>
        <v>1031</v>
      </c>
      <c r="CF397" s="244">
        <f>CF383+CF382</f>
        <v>1604</v>
      </c>
      <c r="CG397" s="171">
        <f>CG383+CG382</f>
        <v>4305</v>
      </c>
      <c r="CH397" s="244"/>
      <c r="CI397" s="244">
        <f>CI383+CI382</f>
        <v>1576</v>
      </c>
      <c r="CJ397" s="244">
        <f>CJ383+CJ382</f>
        <v>184</v>
      </c>
      <c r="CK397" s="244">
        <f>CK383+CK382</f>
        <v>1362</v>
      </c>
      <c r="CL397" s="244">
        <f>CL383+CL382</f>
        <v>2079</v>
      </c>
      <c r="CM397" s="171">
        <f>CM383+CM382</f>
        <v>5201</v>
      </c>
      <c r="CN397" s="244"/>
      <c r="CO397" s="244">
        <f>CO383+CO382</f>
        <v>2614</v>
      </c>
      <c r="CP397" s="244">
        <f>CP383+CP382</f>
        <v>533</v>
      </c>
      <c r="CQ397" s="244">
        <f>CQ383+CQ382</f>
        <v>1765</v>
      </c>
      <c r="CR397" s="244">
        <f>CR383+CR382</f>
        <v>2247</v>
      </c>
      <c r="CS397" s="171">
        <f>CS383+CS382</f>
        <v>7159</v>
      </c>
      <c r="CT397" s="244"/>
      <c r="CU397" s="244">
        <f>CU383+CU382</f>
        <v>2917</v>
      </c>
      <c r="CV397" s="244">
        <f>CV383+CV382</f>
        <v>674</v>
      </c>
      <c r="CW397" s="244">
        <f>CW383+CW382</f>
        <v>2165</v>
      </c>
      <c r="CX397" s="244">
        <f>CX383+CX382</f>
        <v>1970</v>
      </c>
      <c r="CY397" s="171">
        <f>CY383+CY382</f>
        <v>7726</v>
      </c>
      <c r="CZ397" s="244"/>
      <c r="DA397" s="244">
        <f>DA383+DA382</f>
        <v>3683</v>
      </c>
      <c r="DB397" s="244">
        <f>DB383+DB382</f>
        <v>606</v>
      </c>
      <c r="DC397" s="244">
        <f>DC383+DC382</f>
        <v>1720</v>
      </c>
      <c r="DD397" s="244">
        <f>DD383+DD382</f>
        <v>2442</v>
      </c>
      <c r="DE397" s="171">
        <f>DE383+DE382</f>
        <v>8451</v>
      </c>
      <c r="DF397" s="244"/>
      <c r="DG397" s="244">
        <f>DG383+DG382</f>
        <v>3699</v>
      </c>
      <c r="DH397" s="244">
        <f>DH383+DH382</f>
        <v>823</v>
      </c>
      <c r="DI397" s="244">
        <f>DI383+DI382</f>
        <v>2543</v>
      </c>
      <c r="DJ397" s="244">
        <f>DJ383+DJ382</f>
        <v>3699</v>
      </c>
      <c r="DK397" s="171">
        <f>DK383+DK382</f>
        <v>10764</v>
      </c>
      <c r="DL397" s="244"/>
      <c r="DM397" s="244">
        <f>DM383+DM382</f>
        <v>5261</v>
      </c>
      <c r="DN397" s="244">
        <f>DN383+DN382</f>
        <v>1146</v>
      </c>
      <c r="DO397" s="244">
        <f>DO383+DO382</f>
        <v>2848</v>
      </c>
      <c r="DP397" s="244">
        <f>DP383+DP382</f>
        <v>3840</v>
      </c>
      <c r="DQ397" s="171">
        <f>DQ383+DQ382</f>
        <v>13095</v>
      </c>
      <c r="DR397" s="244"/>
      <c r="DS397" s="244">
        <f>DS383+DS382</f>
        <v>5532</v>
      </c>
      <c r="DT397" s="244">
        <f>DT383+DT382</f>
        <v>583</v>
      </c>
      <c r="DU397" s="244">
        <f>DU383+DU382</f>
        <v>3078</v>
      </c>
      <c r="DV397" s="244">
        <f>DV383+DV382</f>
        <v>4381</v>
      </c>
      <c r="DW397" s="171">
        <f>DW383+DW382</f>
        <v>13574</v>
      </c>
      <c r="DX397" s="244"/>
      <c r="DY397" s="244">
        <f>DY383+DY382</f>
        <v>6139</v>
      </c>
      <c r="DZ397" s="244">
        <f>DZ383+DZ382</f>
        <v>1020</v>
      </c>
      <c r="EA397" s="244">
        <f>EA383+EA382</f>
        <v>2880</v>
      </c>
      <c r="EB397" s="244">
        <f>EB383+EB382</f>
        <v>4302</v>
      </c>
      <c r="EC397" s="171">
        <f>EC383+EC382</f>
        <v>14341</v>
      </c>
      <c r="ED397" s="244"/>
      <c r="EE397" s="244">
        <f>EE383+EE382</f>
        <v>6527</v>
      </c>
      <c r="EF397" s="244">
        <f>EF383+EF382</f>
        <v>837</v>
      </c>
      <c r="EG397" s="244">
        <f>EG383+EG382</f>
        <v>1895</v>
      </c>
      <c r="EH397" s="244">
        <f>EH383+EH382</f>
        <v>3686</v>
      </c>
      <c r="EI397" s="171">
        <f>EI383+EI382</f>
        <v>12945</v>
      </c>
      <c r="EJ397" s="244"/>
      <c r="EK397" s="244">
        <f>EK383+EK382</f>
        <v>5410</v>
      </c>
      <c r="EL397" s="244">
        <f>EL383+EL382</f>
        <v>306</v>
      </c>
      <c r="EM397" s="244">
        <f>EM383+EM382</f>
        <v>3106</v>
      </c>
      <c r="EN397" s="244">
        <f>EN383+EN382</f>
        <v>3550</v>
      </c>
      <c r="EO397" s="171">
        <f>EO383+EO382</f>
        <v>12372</v>
      </c>
      <c r="EP397" s="244"/>
      <c r="EQ397" s="244">
        <f>EQ383+EQ382</f>
        <v>5576</v>
      </c>
      <c r="ER397" s="244">
        <f>ER383+ER382</f>
        <v>329</v>
      </c>
      <c r="ES397" s="244">
        <f>ES383+ES382</f>
        <v>2259</v>
      </c>
      <c r="ET397" s="244">
        <f>ET383+ET382</f>
        <v>3941</v>
      </c>
      <c r="EU397" s="171">
        <f>EU383+EU382</f>
        <v>12105</v>
      </c>
      <c r="EV397" s="244"/>
      <c r="EW397" s="244">
        <f>EW383+EW382</f>
        <v>6093</v>
      </c>
      <c r="EX397" s="244">
        <f>EX383+EX382</f>
        <v>251</v>
      </c>
      <c r="EY397" s="244">
        <f>EY383+EY382</f>
        <v>3024</v>
      </c>
      <c r="EZ397" s="244">
        <f>EZ383+EZ382</f>
        <v>3898.0100285260419</v>
      </c>
      <c r="FA397" s="171">
        <f>FA383+FA382</f>
        <v>13266.010028526041</v>
      </c>
      <c r="FB397" s="244"/>
      <c r="FC397" s="244">
        <f>FC383+FC382</f>
        <v>5434.7875663250661</v>
      </c>
      <c r="FD397" s="244">
        <f>FD383+FD382</f>
        <v>380.87305277020056</v>
      </c>
      <c r="FE397" s="244">
        <f>FE383+FE382</f>
        <v>3690.5117168027809</v>
      </c>
      <c r="FF397" s="244">
        <f>FF383+FF382</f>
        <v>4609.3770522728873</v>
      </c>
      <c r="FG397" s="171">
        <f>FG383+FG382</f>
        <v>14115.549388170934</v>
      </c>
      <c r="FH397" s="244"/>
      <c r="FI397" s="244">
        <f>FI383+FI382</f>
        <v>5833.9843780139408</v>
      </c>
      <c r="FJ397" s="244">
        <f>FJ383+FJ382</f>
        <v>397.51880943146773</v>
      </c>
      <c r="FK397" s="244">
        <f>FK383+FK382</f>
        <v>3763.9764186229586</v>
      </c>
      <c r="FL397" s="244">
        <f>FL383+FL382</f>
        <v>5457.6846345258218</v>
      </c>
      <c r="FM397" s="171">
        <f>FM383+FM382</f>
        <v>15453.164240594188</v>
      </c>
      <c r="FN397" s="27"/>
      <c r="FO397" s="27"/>
      <c r="FP397" s="27"/>
      <c r="FQ397" s="27"/>
      <c r="FR397" s="27"/>
      <c r="FS397" s="27"/>
      <c r="FT397" s="27"/>
      <c r="FU397" s="27"/>
      <c r="FV397" s="27"/>
      <c r="FW397" s="27"/>
      <c r="FX397" s="27"/>
      <c r="FY397" s="27"/>
      <c r="FZ397" s="27"/>
      <c r="GA397" s="27"/>
      <c r="GB397" s="27"/>
      <c r="GC397" s="27"/>
      <c r="GD397" s="27"/>
      <c r="GE397" s="27"/>
      <c r="GF397" s="27"/>
      <c r="GG397" s="27"/>
      <c r="GH397" s="27"/>
      <c r="GI397"/>
      <c r="GJ397"/>
      <c r="GK397"/>
      <c r="GL397"/>
      <c r="GM397"/>
      <c r="GN397"/>
      <c r="GO397" s="27"/>
      <c r="GP397"/>
      <c r="GQ397"/>
      <c r="GR397"/>
      <c r="GS397"/>
      <c r="GT397"/>
      <c r="GU397"/>
      <c r="GV397"/>
      <c r="GW397"/>
      <c r="GX397"/>
      <c r="GY397"/>
      <c r="GZ397"/>
      <c r="HA397"/>
      <c r="HB397"/>
      <c r="HC397"/>
      <c r="HD397"/>
      <c r="HE397"/>
      <c r="HF397"/>
      <c r="HG397"/>
      <c r="HH397"/>
      <c r="HI397"/>
      <c r="HJ397"/>
      <c r="HK397"/>
      <c r="HL397"/>
      <c r="HM397"/>
      <c r="HN397"/>
      <c r="HO397"/>
      <c r="HP397"/>
      <c r="HQ397"/>
      <c r="HR397"/>
      <c r="HS397"/>
      <c r="HT397"/>
      <c r="HU397"/>
      <c r="HV397"/>
      <c r="HW397"/>
      <c r="HX397"/>
      <c r="HY397"/>
      <c r="HZ397"/>
      <c r="IA397"/>
      <c r="IB397"/>
      <c r="IC397"/>
      <c r="ID397"/>
      <c r="IE397"/>
      <c r="IF397"/>
      <c r="IG397"/>
      <c r="IH397"/>
      <c r="II397"/>
      <c r="IJ397"/>
      <c r="IK397"/>
      <c r="IL397"/>
      <c r="IM397"/>
      <c r="IN397"/>
      <c r="IO397"/>
      <c r="IP397"/>
      <c r="IQ397"/>
      <c r="IR397"/>
      <c r="IS397"/>
      <c r="IT397"/>
      <c r="IU397"/>
      <c r="IV397"/>
      <c r="IW397"/>
      <c r="IX397"/>
      <c r="IY397"/>
      <c r="IZ397"/>
      <c r="JA397"/>
      <c r="JB397"/>
      <c r="JC397"/>
      <c r="JD397"/>
      <c r="JE397"/>
      <c r="JF397"/>
      <c r="JG397"/>
      <c r="JH397"/>
      <c r="JI397"/>
      <c r="JJ397"/>
      <c r="JK397"/>
      <c r="JL397"/>
      <c r="JM397"/>
      <c r="JN397"/>
      <c r="JO397"/>
      <c r="JP397"/>
      <c r="JQ397"/>
      <c r="JR397"/>
      <c r="JS397"/>
      <c r="JT397"/>
      <c r="JU397"/>
    </row>
    <row r="398" spans="1:281" s="24" customFormat="1" hidden="1" outlineLevel="1" x14ac:dyDescent="0.2">
      <c r="A398" s="27" t="s">
        <v>415</v>
      </c>
      <c r="B398" s="413" t="s">
        <v>372</v>
      </c>
      <c r="C398" s="259"/>
      <c r="D398" s="259"/>
      <c r="E398" s="259"/>
      <c r="F398" s="34"/>
      <c r="G398" s="34"/>
      <c r="H398" s="34"/>
      <c r="I398" s="34"/>
      <c r="J398" s="34"/>
      <c r="K398" s="34"/>
      <c r="L398" s="34"/>
      <c r="M398" s="34"/>
      <c r="N398" s="342"/>
      <c r="O398" s="34"/>
      <c r="P398" s="34"/>
      <c r="Q398" s="34"/>
      <c r="R398" s="34"/>
      <c r="S398" s="34"/>
      <c r="T398" s="342"/>
      <c r="U398" s="34"/>
      <c r="V398" s="34"/>
      <c r="W398" s="34"/>
      <c r="X398" s="34"/>
      <c r="Y398" s="34"/>
      <c r="Z398" s="342"/>
      <c r="AA398" s="34"/>
      <c r="AB398" s="34"/>
      <c r="AC398" s="34"/>
      <c r="AD398" s="34">
        <f>SUM(AA397:AD397)</f>
        <v>639.76299999999992</v>
      </c>
      <c r="AE398" s="94" t="s">
        <v>945</v>
      </c>
      <c r="AF398" s="342"/>
      <c r="AG398" s="34">
        <f>SUM(AG397,AB397:AD397)</f>
        <v>863.99499999999989</v>
      </c>
      <c r="AH398" s="34">
        <f>SUM(AG397:AH397,AC397:AD397)</f>
        <v>1027.3949999999998</v>
      </c>
      <c r="AI398" s="34">
        <f>SUM(AG397:AI397,AD397)</f>
        <v>1115.3609999999999</v>
      </c>
      <c r="AJ398" s="34">
        <f>SUM(AG397:AJ397)</f>
        <v>1286.221</v>
      </c>
      <c r="AK398" s="94" t="s">
        <v>945</v>
      </c>
      <c r="AL398" s="342"/>
      <c r="AM398" s="34">
        <f>SUM(AM397,AH397:AJ397)</f>
        <v>1426.1149999999998</v>
      </c>
      <c r="AN398" s="34">
        <f>SUM(AM397:AN397,AI397:AJ397)</f>
        <v>1277.1440000000002</v>
      </c>
      <c r="AO398" s="34">
        <f>SUM(AM397:AO397,AJ397)</f>
        <v>1359.9409999999998</v>
      </c>
      <c r="AP398" s="34">
        <f>SUM(AM397:AP397)</f>
        <v>1460.5070000000001</v>
      </c>
      <c r="AQ398" s="94" t="s">
        <v>945</v>
      </c>
      <c r="AR398" s="342"/>
      <c r="AS398" s="34">
        <f>SUM(AS397,AN397:AP397)</f>
        <v>1552.4826</v>
      </c>
      <c r="AT398" s="34">
        <f>SUM(AS397:AT397,AO397:AP397)</f>
        <v>1650.694</v>
      </c>
      <c r="AU398" s="34">
        <f>SUM(AS397:AU397,AP397)</f>
        <v>2183.4229999999998</v>
      </c>
      <c r="AV398" s="34">
        <f>SUM(AS397:AV397)</f>
        <v>2660.121000000001</v>
      </c>
      <c r="AW398" s="94" t="s">
        <v>945</v>
      </c>
      <c r="AX398" s="342"/>
      <c r="AY398" s="34">
        <f>SUM(AY397,AT397:AV397)</f>
        <v>1111.692400000001</v>
      </c>
      <c r="AZ398" s="34">
        <f>SUM(AY397:AZ397,AU397:AV397)</f>
        <v>1596.6560000000009</v>
      </c>
      <c r="BA398" s="34">
        <f>SUM(AY397:BA397,AV397)</f>
        <v>1651.3310000000006</v>
      </c>
      <c r="BB398" s="34">
        <f>SUM(AY397:BB397)</f>
        <v>1866</v>
      </c>
      <c r="BC398" s="94" t="s">
        <v>945</v>
      </c>
      <c r="BD398" s="342"/>
      <c r="BE398" s="34">
        <f>SUM(BE397,AZ397:BB397)</f>
        <v>3964.2249999999999</v>
      </c>
      <c r="BF398" s="34">
        <f>SUM(BE397:BF397,BA397:BB397)</f>
        <v>3635.8330000000001</v>
      </c>
      <c r="BG398" s="34">
        <f>SUM(BE397:BG397,BB397)</f>
        <v>3298.7980000000002</v>
      </c>
      <c r="BH398" s="34">
        <f>SUM(BE397:BH397)</f>
        <v>2857</v>
      </c>
      <c r="BI398" s="94" t="s">
        <v>945</v>
      </c>
      <c r="BJ398" s="342"/>
      <c r="BK398" s="34">
        <f>SUM(BK397,BF397:BH397)</f>
        <v>2880.9790000000003</v>
      </c>
      <c r="BL398" s="34">
        <f>SUM(BK397:BL397,BG397:BH397)</f>
        <v>2901</v>
      </c>
      <c r="BM398" s="34">
        <f>SUM(BK397:BM397,BH397)</f>
        <v>3007</v>
      </c>
      <c r="BN398" s="34">
        <f>SUM(BK397:BN397)</f>
        <v>2732</v>
      </c>
      <c r="BO398" s="94" t="s">
        <v>945</v>
      </c>
      <c r="BP398" s="342"/>
      <c r="BQ398" s="34">
        <f>SUM(BQ397,BL397:BN397)</f>
        <v>2732</v>
      </c>
      <c r="BR398" s="34">
        <f>SUM(BQ397:BR397,BM397:BN397)</f>
        <v>2835</v>
      </c>
      <c r="BS398" s="34">
        <f>SUM(BQ397:BS397,BN397)</f>
        <v>2638</v>
      </c>
      <c r="BT398" s="34">
        <f>SUM(BQ397:BT397)</f>
        <v>3006</v>
      </c>
      <c r="BU398" s="94" t="s">
        <v>945</v>
      </c>
      <c r="BV398" s="342"/>
      <c r="BW398" s="34">
        <f>SUM(BW397,BR397:BT397)</f>
        <v>3211</v>
      </c>
      <c r="BX398" s="34">
        <f>SUM(BW397:BX397,BS397:BT397)</f>
        <v>3216</v>
      </c>
      <c r="BY398" s="34">
        <f>SUM(BW397:BY397,BT397)</f>
        <v>3398</v>
      </c>
      <c r="BZ398" s="34">
        <f>SUM(BW397:BZ397)</f>
        <v>3363.9225000000001</v>
      </c>
      <c r="CA398" s="94" t="s">
        <v>945</v>
      </c>
      <c r="CB398" s="342"/>
      <c r="CC398" s="244">
        <f>SUM(CC397,BX397:BZ397)</f>
        <v>3389.9225000000001</v>
      </c>
      <c r="CD398" s="244">
        <f>SUM(CC397:CD397,BY397:BZ397)</f>
        <v>3326.9225000000001</v>
      </c>
      <c r="CE398" s="244">
        <f>SUM(CC397:CE397,BZ397)</f>
        <v>3657.9225000000001</v>
      </c>
      <c r="CF398" s="244">
        <f>SUM(CC397:CF397)</f>
        <v>4305</v>
      </c>
      <c r="CG398" s="168" t="s">
        <v>945</v>
      </c>
      <c r="CH398" s="244"/>
      <c r="CI398" s="244">
        <f>SUM(CI397,CD397:CF397)</f>
        <v>4475</v>
      </c>
      <c r="CJ398" s="244">
        <f>SUM(CI397:CJ397,CE397:CF397)</f>
        <v>4395</v>
      </c>
      <c r="CK398" s="244">
        <f>SUM(CI397:CK397,CF397)</f>
        <v>4726</v>
      </c>
      <c r="CL398" s="244">
        <f>SUM(CI397:CL397)</f>
        <v>5201</v>
      </c>
      <c r="CM398" s="168" t="s">
        <v>945</v>
      </c>
      <c r="CN398" s="244"/>
      <c r="CO398" s="244">
        <f>SUM(CO397,CJ397:CL397)</f>
        <v>6239</v>
      </c>
      <c r="CP398" s="244">
        <f>SUM(CO397:CP397,CK397:CL397)</f>
        <v>6588</v>
      </c>
      <c r="CQ398" s="244">
        <f>SUM(CO397:CQ397,CL397)</f>
        <v>6991</v>
      </c>
      <c r="CR398" s="244">
        <f>SUM(CO397:CR397)</f>
        <v>7159</v>
      </c>
      <c r="CS398" s="168" t="s">
        <v>945</v>
      </c>
      <c r="CT398" s="244"/>
      <c r="CU398" s="244">
        <f>SUM(CU397,CP397:CR397)</f>
        <v>7462</v>
      </c>
      <c r="CV398" s="244">
        <f>SUM(CU397:CV397,CQ397:CR397)</f>
        <v>7603</v>
      </c>
      <c r="CW398" s="244">
        <f>SUM(CU397:CW397,CR397)</f>
        <v>8003</v>
      </c>
      <c r="CX398" s="244">
        <f>SUM(CU397:CX397)</f>
        <v>7726</v>
      </c>
      <c r="CY398" s="168" t="s">
        <v>945</v>
      </c>
      <c r="CZ398" s="244"/>
      <c r="DA398" s="244">
        <f>SUM(DA397,CV397:CX397)</f>
        <v>8492</v>
      </c>
      <c r="DB398" s="244">
        <f>SUM(DA397:DB397,CW397:CX397)</f>
        <v>8424</v>
      </c>
      <c r="DC398" s="244">
        <f>SUM(DA397:DC397,CX397)</f>
        <v>7979</v>
      </c>
      <c r="DD398" s="244">
        <f>SUM(DA397:DD397)</f>
        <v>8451</v>
      </c>
      <c r="DE398" s="168" t="s">
        <v>945</v>
      </c>
      <c r="DF398" s="244"/>
      <c r="DG398" s="244">
        <f>SUM(DG397,DB397:DD397)</f>
        <v>8467</v>
      </c>
      <c r="DH398" s="244">
        <f>SUM(DG397:DH397,DC397:DD397)</f>
        <v>8684</v>
      </c>
      <c r="DI398" s="244">
        <f>SUM(DG397:DI397,DD397)</f>
        <v>9507</v>
      </c>
      <c r="DJ398" s="244">
        <f>SUM(DG397:DJ397)</f>
        <v>10764</v>
      </c>
      <c r="DK398" s="168" t="s">
        <v>945</v>
      </c>
      <c r="DL398" s="244"/>
      <c r="DM398" s="244">
        <f>SUM(DM397,DH397:DJ397)</f>
        <v>12326</v>
      </c>
      <c r="DN398" s="244">
        <f>SUM(DM397:DN397,DI397:DJ397)</f>
        <v>12649</v>
      </c>
      <c r="DO398" s="244">
        <f>SUM(DM397:DO397,DJ397)</f>
        <v>12954</v>
      </c>
      <c r="DP398" s="244">
        <f>SUM(DM397:DP397)</f>
        <v>13095</v>
      </c>
      <c r="DQ398" s="168" t="s">
        <v>945</v>
      </c>
      <c r="DR398" s="244"/>
      <c r="DS398" s="244">
        <f>SUM(DS397,DN397:DP397)</f>
        <v>13366</v>
      </c>
      <c r="DT398" s="244">
        <f>SUM(DS397:DT397,DO397:DP397)</f>
        <v>12803</v>
      </c>
      <c r="DU398" s="244">
        <f>SUM(DS397:DU397,DP397)</f>
        <v>13033</v>
      </c>
      <c r="DV398" s="244">
        <f>SUM(DS397:DV397)</f>
        <v>13574</v>
      </c>
      <c r="DW398" s="168" t="s">
        <v>945</v>
      </c>
      <c r="DX398" s="244"/>
      <c r="DY398" s="244">
        <f>SUM(DY397,DT397:DV397)</f>
        <v>14181</v>
      </c>
      <c r="DZ398" s="244">
        <f>SUM(DY397:DZ397,DU397:DV397)</f>
        <v>14618</v>
      </c>
      <c r="EA398" s="244">
        <f>SUM(DY397:EA397,DV397)</f>
        <v>14420</v>
      </c>
      <c r="EB398" s="244">
        <f>SUM(DY397:EB397)</f>
        <v>14341</v>
      </c>
      <c r="EC398" s="168" t="s">
        <v>945</v>
      </c>
      <c r="ED398" s="244"/>
      <c r="EE398" s="244">
        <f>SUM(EE397,DZ397:EB397)</f>
        <v>14729</v>
      </c>
      <c r="EF398" s="244">
        <f>SUM(EE397:EF397,EA397:EB397)</f>
        <v>14546</v>
      </c>
      <c r="EG398" s="244">
        <f>SUM(EE397:EG397,EB397)</f>
        <v>13561</v>
      </c>
      <c r="EH398" s="244">
        <f>SUM(EE397:EH397)</f>
        <v>12945</v>
      </c>
      <c r="EI398" s="168" t="s">
        <v>945</v>
      </c>
      <c r="EJ398" s="244"/>
      <c r="EK398" s="244">
        <f>SUM(EK397,EF397:EH397)</f>
        <v>11828</v>
      </c>
      <c r="EL398" s="244">
        <f>SUM(EK397:EL397,EG397:EH397)</f>
        <v>11297</v>
      </c>
      <c r="EM398" s="244">
        <f>SUM(EK397:EM397,EH397)</f>
        <v>12508</v>
      </c>
      <c r="EN398" s="244">
        <f>SUM(EK397:EN397)</f>
        <v>12372</v>
      </c>
      <c r="EO398" s="168" t="s">
        <v>945</v>
      </c>
      <c r="EP398" s="244"/>
      <c r="EQ398" s="244">
        <f>SUM(EQ397,EL397:EN397)</f>
        <v>12538</v>
      </c>
      <c r="ER398" s="244">
        <f>SUM(EQ397:ER397,EM397:EN397)</f>
        <v>12561</v>
      </c>
      <c r="ES398" s="244">
        <f>SUM(EQ397:ES397,EN397)</f>
        <v>11714</v>
      </c>
      <c r="ET398" s="244">
        <f>SUM(EQ397:ET397)</f>
        <v>12105</v>
      </c>
      <c r="EU398" s="168" t="s">
        <v>945</v>
      </c>
      <c r="EV398" s="244"/>
      <c r="EW398" s="244">
        <f>SUM(EW397,ER397:ET397)</f>
        <v>12622</v>
      </c>
      <c r="EX398" s="244">
        <f>SUM(EW397:EX397,ES397:ET397)</f>
        <v>12544</v>
      </c>
      <c r="EY398" s="244">
        <f>SUM(EW397:EY397,ET397)</f>
        <v>13309</v>
      </c>
      <c r="EZ398" s="244">
        <f>SUM(EW397:EZ397)</f>
        <v>13266.010028526041</v>
      </c>
      <c r="FA398" s="168" t="s">
        <v>945</v>
      </c>
      <c r="FB398" s="244"/>
      <c r="FC398" s="244">
        <f>SUM(FC397,EX397:EZ397)</f>
        <v>12607.797594851108</v>
      </c>
      <c r="FD398" s="244">
        <f>SUM(FC397:FD397,EY397:EZ397)</f>
        <v>12737.670647621308</v>
      </c>
      <c r="FE398" s="244">
        <f>SUM(FC397:FE397,EZ397)</f>
        <v>13404.18236442409</v>
      </c>
      <c r="FF398" s="244">
        <f>SUM(FC397:FF397)</f>
        <v>14115.549388170937</v>
      </c>
      <c r="FG398" s="168" t="s">
        <v>945</v>
      </c>
      <c r="FH398" s="244"/>
      <c r="FI398" s="244">
        <f>SUM(FI397,FD397:FF397)</f>
        <v>14514.746199859812</v>
      </c>
      <c r="FJ398" s="244">
        <f>SUM(FI397:FJ397,FE397:FF397)</f>
        <v>14531.391956521078</v>
      </c>
      <c r="FK398" s="244">
        <f>SUM(FI397:FK397,FF397)</f>
        <v>14604.856658341254</v>
      </c>
      <c r="FL398" s="244">
        <f>SUM(FI397:FL397)</f>
        <v>15453.164240594189</v>
      </c>
      <c r="FM398" s="168" t="s">
        <v>945</v>
      </c>
      <c r="FN398" s="27"/>
      <c r="FO398" s="27"/>
      <c r="FP398" s="27"/>
      <c r="FQ398" s="27"/>
      <c r="FR398" s="27"/>
      <c r="FS398" s="27"/>
      <c r="FT398" s="27"/>
      <c r="FU398" s="27"/>
      <c r="FV398" s="27"/>
      <c r="FW398" s="27"/>
      <c r="FX398" s="27"/>
      <c r="FY398" s="27"/>
      <c r="FZ398" s="27"/>
      <c r="GA398" s="27"/>
      <c r="GB398" s="27"/>
      <c r="GC398" s="27"/>
      <c r="GD398" s="27"/>
      <c r="GE398" s="27"/>
      <c r="GF398" s="27"/>
      <c r="GG398" s="27"/>
      <c r="GH398" s="27"/>
      <c r="GI398"/>
      <c r="GJ398"/>
      <c r="GK398"/>
      <c r="GL398"/>
      <c r="GM398"/>
      <c r="GN398"/>
      <c r="GO398" s="27"/>
      <c r="GP398"/>
      <c r="GQ398"/>
      <c r="GR398"/>
      <c r="GS398"/>
      <c r="GT398"/>
      <c r="GU398"/>
      <c r="GV398"/>
      <c r="GW398"/>
      <c r="GX398"/>
      <c r="GY398"/>
      <c r="GZ398"/>
      <c r="HA398"/>
      <c r="HB398"/>
      <c r="HC398"/>
      <c r="HD398"/>
      <c r="HE398"/>
      <c r="HF398"/>
      <c r="HG398"/>
      <c r="HH398"/>
      <c r="HI398"/>
      <c r="HJ398"/>
      <c r="HK398"/>
      <c r="HL398"/>
      <c r="HM398"/>
      <c r="HN398"/>
      <c r="HO398"/>
      <c r="HP398"/>
      <c r="HQ398"/>
      <c r="HR398"/>
      <c r="HS398"/>
      <c r="HT398"/>
      <c r="HU398"/>
      <c r="HV398"/>
      <c r="HW398"/>
      <c r="HX398"/>
      <c r="HY398"/>
      <c r="HZ398"/>
      <c r="IA398"/>
      <c r="IB398"/>
      <c r="IC398"/>
      <c r="ID398"/>
      <c r="IE398"/>
      <c r="IF398"/>
      <c r="IG398"/>
      <c r="IH398"/>
      <c r="II398"/>
      <c r="IJ398"/>
      <c r="IK398"/>
      <c r="IL398"/>
      <c r="IM398"/>
      <c r="IN398"/>
      <c r="IO398"/>
      <c r="IP398"/>
      <c r="IQ398"/>
      <c r="IR398"/>
      <c r="IS398"/>
      <c r="IT398"/>
      <c r="IU398"/>
      <c r="IV398"/>
      <c r="IW398"/>
      <c r="IX398"/>
      <c r="IY398"/>
      <c r="IZ398"/>
      <c r="JA398"/>
      <c r="JB398"/>
      <c r="JC398"/>
      <c r="JD398"/>
      <c r="JE398"/>
      <c r="JF398"/>
      <c r="JG398"/>
      <c r="JH398"/>
      <c r="JI398"/>
      <c r="JJ398"/>
      <c r="JK398"/>
      <c r="JL398"/>
      <c r="JM398"/>
      <c r="JN398"/>
      <c r="JO398"/>
      <c r="JP398"/>
      <c r="JQ398"/>
      <c r="JR398"/>
      <c r="JS398"/>
      <c r="JT398"/>
      <c r="JU398"/>
    </row>
    <row r="399" spans="1:281" s="24" customFormat="1" hidden="1" outlineLevel="1" x14ac:dyDescent="0.2">
      <c r="A399" s="27"/>
      <c r="B399" s="413"/>
      <c r="C399" s="259"/>
      <c r="D399" s="259"/>
      <c r="E399" s="259"/>
      <c r="F399" s="34"/>
      <c r="G399" s="34"/>
      <c r="H399" s="34"/>
      <c r="I399" s="34"/>
      <c r="J399" s="34"/>
      <c r="K399" s="34"/>
      <c r="L399" s="34"/>
      <c r="M399" s="34"/>
      <c r="N399" s="342"/>
      <c r="O399" s="34"/>
      <c r="P399" s="34"/>
      <c r="Q399" s="34"/>
      <c r="R399" s="34"/>
      <c r="S399" s="34"/>
      <c r="T399" s="342"/>
      <c r="U399" s="34"/>
      <c r="V399" s="34"/>
      <c r="W399" s="34"/>
      <c r="X399" s="34"/>
      <c r="Y399" s="34"/>
      <c r="Z399" s="342"/>
      <c r="AA399" s="34"/>
      <c r="AB399" s="34"/>
      <c r="AC399" s="34"/>
      <c r="AD399" s="34"/>
      <c r="AE399" s="34"/>
      <c r="AF399" s="342"/>
      <c r="AG399" s="34"/>
      <c r="AH399" s="34"/>
      <c r="AI399" s="34"/>
      <c r="AJ399" s="34"/>
      <c r="AK399" s="34"/>
      <c r="AL399" s="342"/>
      <c r="AM399" s="34"/>
      <c r="AN399" s="34"/>
      <c r="AO399" s="34"/>
      <c r="AP399" s="34"/>
      <c r="AQ399" s="34"/>
      <c r="AR399" s="342"/>
      <c r="AS399" s="34"/>
      <c r="AT399" s="34"/>
      <c r="AU399" s="34"/>
      <c r="AV399" s="34"/>
      <c r="AW399" s="34"/>
      <c r="AX399" s="342"/>
      <c r="AY399" s="34"/>
      <c r="AZ399" s="34"/>
      <c r="BA399" s="34"/>
      <c r="BB399" s="34"/>
      <c r="BC399" s="34"/>
      <c r="BD399" s="342"/>
      <c r="BE399" s="34"/>
      <c r="BF399" s="34"/>
      <c r="BG399" s="34"/>
      <c r="BH399" s="34"/>
      <c r="BI399" s="34"/>
      <c r="BJ399" s="342"/>
      <c r="BK399" s="34"/>
      <c r="BL399" s="34"/>
      <c r="BM399" s="34"/>
      <c r="BN399" s="34"/>
      <c r="BO399" s="34"/>
      <c r="BP399" s="342"/>
      <c r="BQ399" s="34"/>
      <c r="BR399" s="34"/>
      <c r="BS399" s="34"/>
      <c r="BT399" s="34"/>
      <c r="BU399" s="34"/>
      <c r="BV399" s="342"/>
      <c r="BW399" s="34"/>
      <c r="BX399" s="34"/>
      <c r="BY399" s="34"/>
      <c r="BZ399" s="34"/>
      <c r="CA399" s="34"/>
      <c r="CB399" s="342"/>
      <c r="CC399" s="34"/>
      <c r="CD399" s="34"/>
      <c r="CE399" s="34"/>
      <c r="CF399" s="34"/>
      <c r="CG399" s="228"/>
      <c r="CH399" s="342"/>
      <c r="CI399" s="34"/>
      <c r="CJ399" s="34"/>
      <c r="CK399" s="34"/>
      <c r="CL399" s="34"/>
      <c r="CM399" s="228"/>
      <c r="CN399" s="342"/>
      <c r="CO399" s="34"/>
      <c r="CP399" s="34"/>
      <c r="CQ399" s="34"/>
      <c r="CR399" s="34"/>
      <c r="CS399" s="228"/>
      <c r="CT399" s="342"/>
      <c r="CU399" s="34"/>
      <c r="CV399" s="34"/>
      <c r="CW399" s="34"/>
      <c r="CX399" s="34"/>
      <c r="CY399" s="395">
        <f>CY397/CS397-1</f>
        <v>7.9201005727056906E-2</v>
      </c>
      <c r="CZ399" s="342"/>
      <c r="DA399" s="34"/>
      <c r="DB399" s="34"/>
      <c r="DC399" s="34"/>
      <c r="DD399" s="34"/>
      <c r="DE399" s="395">
        <f>DE397/CY397-1</f>
        <v>9.3838985244628637E-2</v>
      </c>
      <c r="DF399" s="342"/>
      <c r="DG399" s="34"/>
      <c r="DH399" s="34"/>
      <c r="DI399" s="34"/>
      <c r="DJ399" s="34"/>
      <c r="DK399" s="395">
        <f>DK397/DE397-1</f>
        <v>0.27369542066027686</v>
      </c>
      <c r="DL399" s="342"/>
      <c r="DM399" s="34"/>
      <c r="DN399" s="34"/>
      <c r="DO399" s="34"/>
      <c r="DP399" s="34"/>
      <c r="DQ399" s="395">
        <f>DQ397/DK397-1</f>
        <v>0.21655518394648832</v>
      </c>
      <c r="DR399" s="342"/>
      <c r="DS399" s="34"/>
      <c r="DT399" s="34"/>
      <c r="DU399" s="34"/>
      <c r="DV399" s="34"/>
      <c r="DW399" s="395">
        <f>DW397/DQ397-1</f>
        <v>3.6578846888125183E-2</v>
      </c>
      <c r="DX399" s="342"/>
      <c r="DY399" s="34"/>
      <c r="DZ399" s="34"/>
      <c r="EA399" s="34"/>
      <c r="EB399" s="34"/>
      <c r="EC399" s="395">
        <f>EC397/DW397-1</f>
        <v>5.6505083247384791E-2</v>
      </c>
      <c r="ED399" s="342"/>
      <c r="EE399" s="34"/>
      <c r="EF399" s="34"/>
      <c r="EG399" s="34"/>
      <c r="EH399" s="34"/>
      <c r="EI399" s="395">
        <f>EI397/EC397-1</f>
        <v>-9.7343281500592682E-2</v>
      </c>
      <c r="EJ399" s="342"/>
      <c r="EK399" s="34"/>
      <c r="EL399" s="34"/>
      <c r="EM399" s="34"/>
      <c r="EN399" s="34"/>
      <c r="EO399" s="395">
        <f>EO397/EI397-1</f>
        <v>-4.4264194669756618E-2</v>
      </c>
      <c r="EP399" s="342"/>
      <c r="EQ399" s="34"/>
      <c r="ER399" s="34"/>
      <c r="ES399" s="34"/>
      <c r="ET399" s="34"/>
      <c r="EU399" s="395">
        <f>EU397/EO397-1</f>
        <v>-2.1580989330746814E-2</v>
      </c>
      <c r="EV399" s="342"/>
      <c r="EW399" s="34"/>
      <c r="EX399" s="34"/>
      <c r="EY399" s="34"/>
      <c r="EZ399" s="34"/>
      <c r="FA399" s="395">
        <f>FA397/EU397-1</f>
        <v>9.5911609130610698E-2</v>
      </c>
      <c r="FB399" s="342"/>
      <c r="FC399" s="34"/>
      <c r="FD399" s="34"/>
      <c r="FE399" s="34"/>
      <c r="FF399" s="34"/>
      <c r="FG399" s="395">
        <f>FG397/FA397-1</f>
        <v>6.4038799745976371E-2</v>
      </c>
      <c r="FH399" s="342"/>
      <c r="FI399" s="34"/>
      <c r="FJ399" s="34"/>
      <c r="FK399" s="34"/>
      <c r="FL399" s="34"/>
      <c r="FM399" s="395">
        <f>FM397/FG397-1</f>
        <v>9.476179889563463E-2</v>
      </c>
      <c r="FN399" s="27"/>
      <c r="FO399" s="27"/>
      <c r="FP399" s="27"/>
      <c r="FQ399" s="27"/>
      <c r="FR399" s="27"/>
      <c r="FS399" s="27"/>
      <c r="FT399" s="27"/>
      <c r="FU399" s="27"/>
      <c r="FV399" s="27"/>
      <c r="FW399" s="27"/>
      <c r="FX399" s="27"/>
      <c r="FY399" s="27"/>
      <c r="FZ399" s="27"/>
      <c r="GA399" s="27"/>
      <c r="GB399" s="27"/>
      <c r="GC399" s="27"/>
      <c r="GD399" s="27"/>
      <c r="GE399" s="27"/>
      <c r="GF399" s="27"/>
      <c r="GG399" s="27"/>
      <c r="GH399" s="27"/>
      <c r="GI399"/>
      <c r="GJ399"/>
      <c r="GK399"/>
      <c r="GL399"/>
      <c r="GM399"/>
      <c r="GN399"/>
      <c r="GO399" s="27"/>
      <c r="GP399"/>
      <c r="GQ399"/>
      <c r="GR399"/>
      <c r="GS399"/>
      <c r="GT399"/>
      <c r="GU399"/>
      <c r="GV399"/>
      <c r="GW399"/>
      <c r="GX399"/>
      <c r="GY399"/>
      <c r="GZ399"/>
      <c r="HA399"/>
      <c r="HB399"/>
      <c r="HC399"/>
      <c r="HD399"/>
      <c r="HE399"/>
      <c r="HF399"/>
      <c r="HG399"/>
      <c r="HH399"/>
      <c r="HI399"/>
      <c r="HJ399"/>
      <c r="HK399"/>
      <c r="HL399"/>
      <c r="HM399"/>
      <c r="HN399"/>
      <c r="HO399"/>
      <c r="HP399"/>
      <c r="HQ399"/>
      <c r="HR399"/>
      <c r="HS399"/>
      <c r="HT399"/>
      <c r="HU399"/>
      <c r="HV399"/>
      <c r="HW399"/>
      <c r="HX399"/>
      <c r="HY399"/>
      <c r="HZ399"/>
      <c r="IA399"/>
      <c r="IB399"/>
      <c r="IC399"/>
      <c r="ID399"/>
      <c r="IE399"/>
      <c r="IF399"/>
      <c r="IG399"/>
      <c r="IH399"/>
      <c r="II399"/>
      <c r="IJ399"/>
      <c r="IK399"/>
      <c r="IL399"/>
      <c r="IM399"/>
      <c r="IN399"/>
      <c r="IO399"/>
      <c r="IP399"/>
      <c r="IQ399"/>
      <c r="IR399"/>
      <c r="IS399"/>
      <c r="IT399"/>
      <c r="IU399"/>
      <c r="IV399"/>
      <c r="IW399"/>
      <c r="IX399"/>
      <c r="IY399"/>
      <c r="IZ399"/>
      <c r="JA399"/>
      <c r="JB399"/>
      <c r="JC399"/>
      <c r="JD399"/>
      <c r="JE399"/>
      <c r="JF399"/>
      <c r="JG399"/>
      <c r="JH399"/>
      <c r="JI399"/>
      <c r="JJ399"/>
      <c r="JK399"/>
      <c r="JL399"/>
      <c r="JM399"/>
      <c r="JN399"/>
      <c r="JO399"/>
      <c r="JP399"/>
      <c r="JQ399"/>
      <c r="JR399"/>
      <c r="JS399"/>
      <c r="JT399"/>
      <c r="JU399"/>
    </row>
    <row r="400" spans="1:281" s="24" customFormat="1" hidden="1" outlineLevel="1" x14ac:dyDescent="0.2">
      <c r="A400" s="27"/>
      <c r="B400" s="413"/>
      <c r="C400" s="342"/>
      <c r="D400" s="342"/>
      <c r="E400" s="342"/>
      <c r="F400" s="342"/>
      <c r="G400" s="342"/>
      <c r="H400" s="342"/>
      <c r="I400" s="342"/>
      <c r="J400" s="342"/>
      <c r="K400" s="342"/>
      <c r="L400" s="342"/>
      <c r="M400" s="342"/>
      <c r="N400" s="342"/>
      <c r="O400" s="342"/>
      <c r="P400" s="342"/>
      <c r="Q400" s="342"/>
      <c r="R400" s="342"/>
      <c r="S400" s="342"/>
      <c r="T400" s="342"/>
      <c r="U400" s="342"/>
      <c r="V400" s="342"/>
      <c r="W400" s="342"/>
      <c r="X400" s="342"/>
      <c r="Y400" s="342"/>
      <c r="Z400" s="342"/>
      <c r="AA400" s="342"/>
      <c r="AB400" s="342"/>
      <c r="AC400" s="342"/>
      <c r="AD400" s="342"/>
      <c r="AE400" s="342"/>
      <c r="AF400" s="342"/>
      <c r="AG400" s="342"/>
      <c r="AH400" s="342"/>
      <c r="AI400" s="342"/>
      <c r="AJ400" s="342"/>
      <c r="AK400" s="342"/>
      <c r="AL400" s="342"/>
      <c r="AM400" s="342"/>
      <c r="AN400" s="342"/>
      <c r="AO400" s="342"/>
      <c r="AP400" s="342"/>
      <c r="AQ400" s="342"/>
      <c r="AR400" s="342"/>
      <c r="AS400" s="342"/>
      <c r="AT400" s="342"/>
      <c r="AU400" s="342"/>
      <c r="AV400" s="342"/>
      <c r="AW400" s="342"/>
      <c r="AX400" s="342"/>
      <c r="AY400" s="342"/>
      <c r="AZ400" s="342"/>
      <c r="BA400" s="342"/>
      <c r="BB400" s="342"/>
      <c r="BC400" s="342"/>
      <c r="BD400" s="342"/>
      <c r="BE400" s="342"/>
      <c r="BF400" s="342"/>
      <c r="BG400" s="342"/>
      <c r="BH400" s="342"/>
      <c r="BI400" s="342"/>
      <c r="BJ400" s="342"/>
      <c r="BK400" s="342"/>
      <c r="BL400" s="342"/>
      <c r="BM400" s="342"/>
      <c r="BN400" s="342"/>
      <c r="BO400" s="342"/>
      <c r="BP400" s="342"/>
      <c r="BQ400" s="342"/>
      <c r="BR400" s="342"/>
      <c r="BS400" s="342"/>
      <c r="BT400" s="342"/>
      <c r="BU400" s="342"/>
      <c r="BV400" s="342"/>
      <c r="BW400" s="342"/>
      <c r="BX400" s="342"/>
      <c r="BY400" s="342"/>
      <c r="BZ400" s="342"/>
      <c r="CA400" s="342"/>
      <c r="CB400" s="342"/>
      <c r="CC400" s="342"/>
      <c r="CD400" s="342"/>
      <c r="CE400" s="342"/>
      <c r="CF400" s="342"/>
      <c r="CG400" s="147"/>
      <c r="CH400" s="342"/>
      <c r="CI400" s="342"/>
      <c r="CJ400" s="342"/>
      <c r="CK400" s="342"/>
      <c r="CL400" s="342"/>
      <c r="CM400" s="147"/>
      <c r="CN400" s="342"/>
      <c r="CO400" s="342"/>
      <c r="CP400" s="342"/>
      <c r="CQ400" s="342"/>
      <c r="CR400" s="342"/>
      <c r="CS400" s="147"/>
      <c r="CT400" s="342"/>
      <c r="CU400" s="342"/>
      <c r="CV400" s="342"/>
      <c r="CW400" s="342"/>
      <c r="CX400" s="342"/>
      <c r="CY400" s="147"/>
      <c r="CZ400" s="342"/>
      <c r="DA400" s="342"/>
      <c r="DB400" s="342"/>
      <c r="DC400" s="342"/>
      <c r="DD400" s="342"/>
      <c r="DE400" s="147"/>
      <c r="DF400" s="342"/>
      <c r="DG400" s="342"/>
      <c r="DH400" s="342"/>
      <c r="DI400" s="342"/>
      <c r="DJ400" s="342"/>
      <c r="DK400" s="147"/>
      <c r="DL400" s="342"/>
      <c r="DM400" s="342"/>
      <c r="DN400" s="342"/>
      <c r="DO400" s="342"/>
      <c r="DP400" s="342"/>
      <c r="DQ400" s="147"/>
      <c r="DR400" s="342"/>
      <c r="DS400" s="342"/>
      <c r="DT400" s="342"/>
      <c r="DU400" s="342"/>
      <c r="DV400" s="342"/>
      <c r="DW400" s="147"/>
      <c r="DX400" s="342"/>
      <c r="DY400" s="342"/>
      <c r="DZ400" s="342"/>
      <c r="EA400" s="342"/>
      <c r="EB400" s="342"/>
      <c r="EC400" s="147"/>
      <c r="ED400" s="342"/>
      <c r="EE400" s="342"/>
      <c r="EF400" s="342"/>
      <c r="EG400" s="342"/>
      <c r="EH400" s="342"/>
      <c r="EI400" s="147"/>
      <c r="EJ400" s="342"/>
      <c r="EK400" s="342"/>
      <c r="EL400" s="342"/>
      <c r="EM400" s="342"/>
      <c r="EN400" s="342"/>
      <c r="EO400" s="147"/>
      <c r="EP400" s="342"/>
      <c r="EQ400" s="342"/>
      <c r="ER400" s="342"/>
      <c r="ES400" s="342"/>
      <c r="ET400" s="342"/>
      <c r="EU400" s="147"/>
      <c r="EV400" s="342"/>
      <c r="EW400" s="342"/>
      <c r="EX400" s="342"/>
      <c r="EY400" s="342"/>
      <c r="EZ400" s="342"/>
      <c r="FA400" s="147"/>
      <c r="FB400" s="342"/>
      <c r="FC400" s="342"/>
      <c r="FD400" s="342"/>
      <c r="FE400" s="342"/>
      <c r="FF400" s="342"/>
      <c r="FG400" s="147"/>
      <c r="FH400" s="342"/>
      <c r="FI400" s="342"/>
      <c r="FJ400" s="342"/>
      <c r="FK400" s="342"/>
      <c r="FL400" s="342"/>
      <c r="FM400" s="147"/>
      <c r="FN400" s="27"/>
      <c r="FO400" s="27"/>
      <c r="FP400" s="27"/>
      <c r="FQ400" s="27"/>
      <c r="FR400" s="27"/>
      <c r="FS400" s="27"/>
      <c r="FT400" s="27"/>
      <c r="FU400" s="27"/>
      <c r="FV400" s="27"/>
      <c r="FW400" s="27"/>
      <c r="FX400" s="27"/>
      <c r="FY400" s="27"/>
      <c r="FZ400" s="27"/>
      <c r="GA400" s="27"/>
      <c r="GB400" s="27"/>
      <c r="GC400" s="27"/>
      <c r="GD400" s="27"/>
      <c r="GE400" s="27"/>
      <c r="GF400" s="27"/>
      <c r="GG400" s="27"/>
      <c r="GH400" s="27"/>
      <c r="GI400"/>
      <c r="GJ400"/>
      <c r="GK400"/>
      <c r="GL400"/>
      <c r="GM400"/>
      <c r="GN400"/>
      <c r="GO400" s="27"/>
      <c r="GP400"/>
      <c r="GQ400"/>
      <c r="GR400"/>
      <c r="GS400"/>
      <c r="GT400"/>
      <c r="GU400"/>
      <c r="GV400"/>
      <c r="GW400"/>
      <c r="GX400"/>
      <c r="GY400"/>
      <c r="GZ400"/>
      <c r="HA400"/>
      <c r="HB400"/>
      <c r="HC400"/>
      <c r="HD400"/>
      <c r="HE400"/>
      <c r="HF400"/>
      <c r="HG400"/>
      <c r="HH400"/>
      <c r="HI400"/>
      <c r="HJ400"/>
      <c r="HK400"/>
      <c r="HL400"/>
      <c r="HM400"/>
      <c r="HN400"/>
      <c r="HO400"/>
      <c r="HP400"/>
      <c r="HQ400"/>
      <c r="HR400"/>
      <c r="HS400"/>
      <c r="HT400"/>
      <c r="HU400"/>
      <c r="HV400"/>
      <c r="HW400"/>
      <c r="HX400"/>
      <c r="HY400"/>
      <c r="HZ400"/>
      <c r="IA400"/>
      <c r="IB400"/>
      <c r="IC400"/>
      <c r="ID400"/>
      <c r="IE400"/>
      <c r="IF400"/>
      <c r="IG400"/>
      <c r="IH400"/>
      <c r="II400"/>
      <c r="IJ400"/>
      <c r="IK400"/>
      <c r="IL400"/>
      <c r="IM400"/>
      <c r="IN400"/>
      <c r="IO400"/>
      <c r="IP400"/>
      <c r="IQ400"/>
      <c r="IR400"/>
      <c r="IS400"/>
      <c r="IT400"/>
      <c r="IU400"/>
      <c r="IV400"/>
      <c r="IW400"/>
      <c r="IX400"/>
      <c r="IY400"/>
      <c r="IZ400"/>
      <c r="JA400"/>
      <c r="JB400"/>
      <c r="JC400"/>
      <c r="JD400"/>
      <c r="JE400"/>
      <c r="JF400"/>
      <c r="JG400"/>
      <c r="JH400"/>
      <c r="JI400"/>
      <c r="JJ400"/>
      <c r="JK400"/>
      <c r="JL400"/>
      <c r="JM400"/>
      <c r="JN400"/>
      <c r="JO400"/>
      <c r="JP400"/>
      <c r="JQ400"/>
      <c r="JR400"/>
      <c r="JS400"/>
      <c r="JT400"/>
      <c r="JU400"/>
    </row>
    <row r="401" spans="1:281" s="24" customFormat="1" hidden="1" outlineLevel="1" x14ac:dyDescent="0.2">
      <c r="A401" s="353" t="s">
        <v>373</v>
      </c>
      <c r="B401" s="413"/>
      <c r="C401" s="342"/>
      <c r="D401" s="342"/>
      <c r="E401" s="342"/>
      <c r="F401" s="342"/>
      <c r="G401" s="342"/>
      <c r="H401" s="342"/>
      <c r="I401" s="342"/>
      <c r="J401" s="342"/>
      <c r="K401" s="342"/>
      <c r="L401" s="342"/>
      <c r="M401" s="342"/>
      <c r="N401" s="342"/>
      <c r="O401" s="342"/>
      <c r="P401" s="342"/>
      <c r="Q401" s="342"/>
      <c r="R401" s="342"/>
      <c r="S401" s="342"/>
      <c r="T401" s="342"/>
      <c r="U401" s="342"/>
      <c r="V401" s="342"/>
      <c r="W401" s="342"/>
      <c r="X401" s="342"/>
      <c r="Y401" s="342"/>
      <c r="Z401" s="342"/>
      <c r="AA401" s="342"/>
      <c r="AB401" s="342"/>
      <c r="AC401" s="342"/>
      <c r="AD401" s="342"/>
      <c r="AE401" s="342"/>
      <c r="AF401" s="342"/>
      <c r="AG401" s="342"/>
      <c r="AH401" s="342"/>
      <c r="AI401" s="342"/>
      <c r="AJ401" s="342"/>
      <c r="AK401" s="342"/>
      <c r="AL401" s="342"/>
      <c r="AM401" s="342"/>
      <c r="AN401" s="342"/>
      <c r="AO401" s="342"/>
      <c r="AP401" s="342"/>
      <c r="AQ401" s="342"/>
      <c r="AR401" s="342"/>
      <c r="AS401" s="342"/>
      <c r="AT401" s="342"/>
      <c r="AU401" s="342"/>
      <c r="AV401" s="342"/>
      <c r="AW401" s="342"/>
      <c r="AX401" s="342"/>
      <c r="AY401" s="342"/>
      <c r="AZ401" s="342"/>
      <c r="BA401" s="342"/>
      <c r="BB401" s="342"/>
      <c r="BC401" s="342"/>
      <c r="BD401" s="342"/>
      <c r="BE401" s="342"/>
      <c r="BF401" s="342"/>
      <c r="BG401" s="342"/>
      <c r="BH401" s="342"/>
      <c r="BI401" s="342"/>
      <c r="BJ401" s="342"/>
      <c r="BK401" s="342"/>
      <c r="BL401" s="342"/>
      <c r="BM401" s="342"/>
      <c r="BN401" s="342"/>
      <c r="BO401" s="342"/>
      <c r="BP401" s="342"/>
      <c r="BQ401" s="342"/>
      <c r="BR401" s="342"/>
      <c r="BS401" s="342"/>
      <c r="BT401" s="342"/>
      <c r="BU401" s="342"/>
      <c r="BV401" s="342"/>
      <c r="BW401" s="342"/>
      <c r="BX401" s="342"/>
      <c r="BY401" s="342"/>
      <c r="BZ401" s="342"/>
      <c r="CA401" s="342"/>
      <c r="CB401" s="342"/>
      <c r="CC401" s="342"/>
      <c r="CD401" s="342"/>
      <c r="CE401" s="342"/>
      <c r="CF401" s="342"/>
      <c r="CG401" s="147"/>
      <c r="CH401" s="342"/>
      <c r="CI401" s="342"/>
      <c r="CJ401" s="342"/>
      <c r="CK401" s="342"/>
      <c r="CL401" s="342"/>
      <c r="CM401" s="147"/>
      <c r="CN401" s="342"/>
      <c r="CO401" s="342"/>
      <c r="CP401" s="342"/>
      <c r="CQ401" s="342"/>
      <c r="CR401" s="342"/>
      <c r="CS401" s="147"/>
      <c r="CT401" s="342"/>
      <c r="CU401" s="342"/>
      <c r="CV401" s="342"/>
      <c r="CW401" s="342"/>
      <c r="CX401" s="342"/>
      <c r="CY401" s="147"/>
      <c r="CZ401" s="342"/>
      <c r="DA401" s="342"/>
      <c r="DB401" s="342"/>
      <c r="DC401" s="342"/>
      <c r="DD401" s="342"/>
      <c r="DE401" s="147"/>
      <c r="DF401" s="342"/>
      <c r="DG401" s="342"/>
      <c r="DH401" s="342"/>
      <c r="DI401" s="342"/>
      <c r="DJ401" s="342"/>
      <c r="DK401" s="147"/>
      <c r="DL401" s="342"/>
      <c r="DM401" s="342"/>
      <c r="DN401" s="342"/>
      <c r="DO401" s="342"/>
      <c r="DP401" s="342"/>
      <c r="DQ401" s="147"/>
      <c r="DR401" s="342"/>
      <c r="DS401" s="342"/>
      <c r="DT401" s="342"/>
      <c r="DU401" s="342"/>
      <c r="DV401" s="342"/>
      <c r="DW401" s="147"/>
      <c r="DX401" s="342"/>
      <c r="DY401" s="342"/>
      <c r="DZ401" s="342"/>
      <c r="EA401" s="342"/>
      <c r="EB401" s="342"/>
      <c r="EC401" s="147"/>
      <c r="ED401" s="342"/>
      <c r="EE401" s="342"/>
      <c r="EF401" s="342"/>
      <c r="EG401" s="342"/>
      <c r="EH401" s="342"/>
      <c r="EI401" s="147"/>
      <c r="EJ401" s="342"/>
      <c r="EK401" s="342"/>
      <c r="EL401" s="342"/>
      <c r="EM401" s="342"/>
      <c r="EN401" s="342"/>
      <c r="EO401" s="147"/>
      <c r="EP401" s="342"/>
      <c r="EQ401" s="342"/>
      <c r="ER401" s="342"/>
      <c r="ES401" s="342"/>
      <c r="ET401" s="342"/>
      <c r="EU401" s="147"/>
      <c r="EV401" s="342"/>
      <c r="EW401" s="342"/>
      <c r="EX401" s="342"/>
      <c r="EY401" s="342"/>
      <c r="EZ401" s="342"/>
      <c r="FA401" s="147"/>
      <c r="FB401" s="342"/>
      <c r="FC401" s="342"/>
      <c r="FD401" s="342"/>
      <c r="FE401" s="342"/>
      <c r="FF401" s="342"/>
      <c r="FG401" s="147"/>
      <c r="FH401" s="342"/>
      <c r="FI401" s="342"/>
      <c r="FJ401" s="342"/>
      <c r="FK401" s="342"/>
      <c r="FL401" s="342"/>
      <c r="FM401" s="147"/>
      <c r="FN401" s="27"/>
      <c r="FO401" s="27"/>
      <c r="FP401" s="27"/>
      <c r="FQ401" s="27"/>
      <c r="FR401" s="27"/>
      <c r="FS401" s="27"/>
      <c r="FT401" s="27"/>
      <c r="FU401" s="27"/>
      <c r="FV401" s="27"/>
      <c r="FW401" s="27"/>
      <c r="FX401" s="27"/>
      <c r="FY401" s="27"/>
      <c r="FZ401" s="27"/>
      <c r="GA401" s="27"/>
      <c r="GB401" s="27"/>
      <c r="GC401" s="27"/>
      <c r="GD401" s="27"/>
      <c r="GE401" s="27"/>
      <c r="GF401" s="27"/>
      <c r="GG401" s="27"/>
      <c r="GH401" s="27"/>
      <c r="GI401"/>
      <c r="GJ401"/>
      <c r="GK401"/>
      <c r="GL401"/>
      <c r="GM401"/>
      <c r="GN401"/>
      <c r="GO401" s="27"/>
      <c r="GP401"/>
      <c r="GQ401"/>
      <c r="GR401"/>
      <c r="GS401"/>
      <c r="GT401"/>
      <c r="GU401"/>
      <c r="GV401"/>
      <c r="GW401"/>
      <c r="GX401"/>
      <c r="GY401"/>
      <c r="GZ401"/>
      <c r="HA401"/>
      <c r="HB401"/>
      <c r="HC401"/>
      <c r="HD401"/>
      <c r="HE401"/>
      <c r="HF401"/>
      <c r="HG401"/>
      <c r="HH401"/>
      <c r="HI401"/>
      <c r="HJ401"/>
      <c r="HK401"/>
      <c r="HL401"/>
      <c r="HM401"/>
      <c r="HN401"/>
      <c r="HO401"/>
      <c r="HP401"/>
      <c r="HQ401"/>
      <c r="HR401"/>
      <c r="HS401"/>
      <c r="HT401"/>
      <c r="HU401"/>
      <c r="HV401"/>
      <c r="HW401"/>
      <c r="HX401"/>
      <c r="HY401"/>
      <c r="HZ401"/>
      <c r="IA401"/>
      <c r="IB401"/>
      <c r="IC401"/>
      <c r="ID401"/>
      <c r="IE401"/>
      <c r="IF401"/>
      <c r="IG401"/>
      <c r="IH401"/>
      <c r="II401"/>
      <c r="IJ401"/>
      <c r="IK401"/>
      <c r="IL401"/>
      <c r="IM401"/>
      <c r="IN401"/>
      <c r="IO401"/>
      <c r="IP401"/>
      <c r="IQ401"/>
      <c r="IR401"/>
      <c r="IS401"/>
      <c r="IT401"/>
      <c r="IU401"/>
      <c r="IV401"/>
      <c r="IW401"/>
      <c r="IX401"/>
      <c r="IY401"/>
      <c r="IZ401"/>
      <c r="JA401"/>
      <c r="JB401"/>
      <c r="JC401"/>
      <c r="JD401"/>
      <c r="JE401"/>
      <c r="JF401"/>
      <c r="JG401"/>
      <c r="JH401"/>
      <c r="JI401"/>
      <c r="JJ401"/>
      <c r="JK401"/>
      <c r="JL401"/>
      <c r="JM401"/>
      <c r="JN401"/>
      <c r="JO401"/>
      <c r="JP401"/>
      <c r="JQ401"/>
      <c r="JR401"/>
      <c r="JS401"/>
      <c r="JT401"/>
      <c r="JU401"/>
    </row>
    <row r="402" spans="1:281" s="24" customFormat="1" hidden="1" outlineLevel="1" x14ac:dyDescent="0.2">
      <c r="A402" s="342" t="s">
        <v>374</v>
      </c>
      <c r="B402" s="413"/>
      <c r="C402" s="342"/>
      <c r="D402" s="342"/>
      <c r="E402" s="342"/>
      <c r="F402" s="342"/>
      <c r="G402" s="342"/>
      <c r="H402" s="342"/>
      <c r="I402" s="342"/>
      <c r="J402" s="342"/>
      <c r="K402" s="342"/>
      <c r="L402" s="342"/>
      <c r="M402" s="342"/>
      <c r="N402" s="342"/>
      <c r="O402" s="342"/>
      <c r="P402" s="342"/>
      <c r="Q402" s="342"/>
      <c r="R402" s="342"/>
      <c r="S402" s="342"/>
      <c r="T402" s="342"/>
      <c r="U402" s="342"/>
      <c r="V402" s="342"/>
      <c r="W402" s="342"/>
      <c r="X402" s="342"/>
      <c r="Y402" s="342"/>
      <c r="Z402" s="342"/>
      <c r="AA402" s="342"/>
      <c r="AB402" s="342"/>
      <c r="AC402" s="342"/>
      <c r="AD402" s="342"/>
      <c r="AE402" s="342"/>
      <c r="AF402" s="342"/>
      <c r="AG402" s="342"/>
      <c r="AH402" s="342"/>
      <c r="AI402" s="342"/>
      <c r="AJ402" s="342"/>
      <c r="AK402" s="407">
        <f>AK177/AE378</f>
        <v>0</v>
      </c>
      <c r="AL402" s="342"/>
      <c r="AM402" s="342"/>
      <c r="AN402" s="342"/>
      <c r="AO402" s="342"/>
      <c r="AP402" s="342"/>
      <c r="AQ402" s="407">
        <f>AQ177/AK378</f>
        <v>0</v>
      </c>
      <c r="AR402" s="342"/>
      <c r="AS402" s="342"/>
      <c r="AT402" s="342"/>
      <c r="AU402" s="342"/>
      <c r="AV402" s="342"/>
      <c r="AW402" s="407">
        <f>AW177/AQ378</f>
        <v>0</v>
      </c>
      <c r="AX402" s="342"/>
      <c r="AY402" s="342"/>
      <c r="AZ402" s="342"/>
      <c r="BA402" s="342"/>
      <c r="BB402" s="342"/>
      <c r="BC402" s="407">
        <f>BC177/AW378</f>
        <v>3.7232681585334083E-2</v>
      </c>
      <c r="BD402" s="342"/>
      <c r="BE402" s="342"/>
      <c r="BF402" s="342"/>
      <c r="BG402" s="342"/>
      <c r="BH402" s="342"/>
      <c r="BI402" s="407">
        <f>BI177/BC378</f>
        <v>2.8197723798199424E-2</v>
      </c>
      <c r="BJ402" s="342"/>
      <c r="BK402" s="407">
        <f>BK177/BH378*4</f>
        <v>2.2598870056497175E-2</v>
      </c>
      <c r="BL402" s="407">
        <f>BL177/BK378*4</f>
        <v>2.1810250817884406E-2</v>
      </c>
      <c r="BM402" s="407">
        <f>BM177/BL378*4</f>
        <v>2.335340266374749E-2</v>
      </c>
      <c r="BN402" s="407">
        <f>BN177/BM378*4</f>
        <v>1.9205298013245033E-2</v>
      </c>
      <c r="BO402" s="407">
        <f>BO177/BI378</f>
        <v>2.2085259373394967E-2</v>
      </c>
      <c r="BP402" s="342"/>
      <c r="BQ402" s="407">
        <f>BQ177/BN378*4</f>
        <v>1.6566958122411414E-2</v>
      </c>
      <c r="BR402" s="407">
        <f>BR177/BQ378*4</f>
        <v>1.5667206915180983E-2</v>
      </c>
      <c r="BS402" s="407">
        <f>BS177/BR378*4</f>
        <v>1.4367104285360416E-2</v>
      </c>
      <c r="BT402" s="407">
        <f>BT177/BS378*4</f>
        <v>1.6462958343726616E-2</v>
      </c>
      <c r="BU402" s="407">
        <f>BU177/BO378</f>
        <v>1.8100935726338394E-2</v>
      </c>
      <c r="BV402" s="342"/>
      <c r="BW402" s="407">
        <f>BW177/BT378*4</f>
        <v>1.7235355770350531E-2</v>
      </c>
      <c r="BX402" s="407">
        <f>BX177/BW378*4</f>
        <v>1.8210297084480614E-2</v>
      </c>
      <c r="BY402" s="407">
        <f>BY177/BX378*4</f>
        <v>2.4162780839338704E-2</v>
      </c>
      <c r="BZ402" s="407">
        <f>BZ177/BY378*4</f>
        <v>2.1024967148488831E-2</v>
      </c>
      <c r="CA402" s="407">
        <f>CA177/BU378</f>
        <v>2.1544194712938163E-2</v>
      </c>
      <c r="CB402" s="342"/>
      <c r="CC402" s="407">
        <f>CC177/BZ378*4</f>
        <v>2.0959966464053657E-2</v>
      </c>
      <c r="CD402" s="407">
        <f>CD177/CC378*4</f>
        <v>1.8566493955094993E-2</v>
      </c>
      <c r="CE402" s="407">
        <f>CE177/CD378*4</f>
        <v>8.815750808110491E-2</v>
      </c>
      <c r="CF402" s="407">
        <f>CF177/CE378*4</f>
        <v>5.3580628541988667E-2</v>
      </c>
      <c r="CG402" s="407">
        <f>CG177/CA378</f>
        <v>4.7264724376440997E-2</v>
      </c>
      <c r="CH402" s="342"/>
      <c r="CI402" s="407">
        <f>CI177/CF378*4</f>
        <v>4.049967126890204E-2</v>
      </c>
      <c r="CJ402" s="407">
        <f>CJ177/CI378*4</f>
        <v>3.9045553145336226E-2</v>
      </c>
      <c r="CK402" s="407">
        <f>CK177/CJ378*4</f>
        <v>3.424920127795527E-2</v>
      </c>
      <c r="CL402" s="407">
        <f>CL177/CK378*4</f>
        <v>4.9030256012412725E-2</v>
      </c>
      <c r="CM402" s="407">
        <f>CM177/CG378</f>
        <v>3.9973701512163048E-2</v>
      </c>
      <c r="CN402" s="342"/>
      <c r="CO402" s="407">
        <f>CO177/CL378*4</f>
        <v>4.3874643874643876E-2</v>
      </c>
      <c r="CP402" s="407">
        <f>CP177/CO378*4</f>
        <v>6.3024667441560114E-2</v>
      </c>
      <c r="CQ402" s="407">
        <f>CQ177/CP378*4</f>
        <v>3.9848197343453511E-2</v>
      </c>
      <c r="CR402" s="407">
        <f>CR177/CQ378*4</f>
        <v>3.8454216638111556E-2</v>
      </c>
      <c r="CS402" s="407">
        <f>CS177/CM378</f>
        <v>5.4700854700854701E-2</v>
      </c>
      <c r="CT402" s="342"/>
      <c r="CU402" s="407">
        <f>CU177/CR378*4</f>
        <v>2.9702073711853662E-2</v>
      </c>
      <c r="CV402" s="407">
        <f>CV177/CU378*4</f>
        <v>2.4575685431226482E-3</v>
      </c>
      <c r="CW402" s="407">
        <f>CW177/CV378*4</f>
        <v>9.017471350742063E-3</v>
      </c>
      <c r="CX402" s="407">
        <f>CX177/CW378*4</f>
        <v>1.0270940322295023E-2</v>
      </c>
      <c r="CY402" s="407">
        <f>CY177/CS378</f>
        <v>1.2949379697545957E-2</v>
      </c>
      <c r="CZ402" s="342"/>
      <c r="DA402" s="407">
        <f>DA177/CX378*4</f>
        <v>3.1685678073510771E-4</v>
      </c>
      <c r="DB402" s="407">
        <f>DB177/DA378*4</f>
        <v>6.4186725018234867E-3</v>
      </c>
      <c r="DC402" s="407">
        <f>DC177/DB378*4</f>
        <v>-1.4434180138568129E-2</v>
      </c>
      <c r="DD402" s="407">
        <f>DD177/DC378*4</f>
        <v>-5.4891646177597344E-3</v>
      </c>
      <c r="DE402" s="407">
        <f>DE177/CY378</f>
        <v>-5.1489226869455007E-3</v>
      </c>
      <c r="DF402" s="342"/>
      <c r="DG402" s="407">
        <f>DG177/DD378*4</f>
        <v>1.6026855812442471E-2</v>
      </c>
      <c r="DH402" s="407">
        <f>DH177/DG378*4</f>
        <v>1.523035918263739E-2</v>
      </c>
      <c r="DI402" s="407">
        <f>DI177/DH378*4</f>
        <v>2.5759710203260215E-3</v>
      </c>
      <c r="DJ402" s="407">
        <f>DJ177/DI378*4</f>
        <v>9.8542393758981723E-4</v>
      </c>
      <c r="DK402" s="407">
        <f>DK177/DE378</f>
        <v>1.0070929665926688E-2</v>
      </c>
      <c r="DL402" s="342"/>
      <c r="DM402" s="407">
        <f>DM177/DJ378*4</f>
        <v>-2.7731558513588465E-3</v>
      </c>
      <c r="DN402" s="407">
        <f>DN177/DM378*4</f>
        <v>5.180037902716361E-3</v>
      </c>
      <c r="DO402" s="407">
        <f>DO177/DN378*4</f>
        <v>2.7086289178382562E-3</v>
      </c>
      <c r="DP402" s="407">
        <f>DP177/DO378*4</f>
        <v>-2.6897989375294197E-3</v>
      </c>
      <c r="DQ402" s="407">
        <f>DQ177/DK378</f>
        <v>7.6261785912368272E-4</v>
      </c>
      <c r="DR402" s="342"/>
      <c r="DS402" s="407">
        <f>DS177/DP378*4</f>
        <v>1.4343460685878212E-3</v>
      </c>
      <c r="DT402" s="407">
        <f>DT177/DS378*4</f>
        <v>5.0621697725187456E-4</v>
      </c>
      <c r="DU402" s="407">
        <f>DU177/DT378*4</f>
        <v>-4.6297670277489246E-3</v>
      </c>
      <c r="DV402" s="407">
        <f>DV177/DU378*4</f>
        <v>4.1907384679857511E-3</v>
      </c>
      <c r="DW402" s="147"/>
      <c r="DX402" s="342"/>
      <c r="DY402" s="1169">
        <v>5.0000000000000001E-4</v>
      </c>
      <c r="DZ402" s="1169">
        <v>1E-3</v>
      </c>
      <c r="EA402" s="1169">
        <f>DZ402</f>
        <v>1E-3</v>
      </c>
      <c r="EB402" s="1169">
        <f>EA402</f>
        <v>1E-3</v>
      </c>
      <c r="EC402" s="147"/>
      <c r="ED402" s="342"/>
      <c r="EE402" s="1169">
        <f>EB402+0.001</f>
        <v>2E-3</v>
      </c>
      <c r="EF402" s="1169">
        <f>EE402</f>
        <v>2E-3</v>
      </c>
      <c r="EG402" s="1169">
        <f>EF402</f>
        <v>2E-3</v>
      </c>
      <c r="EH402" s="1169">
        <f>EG402</f>
        <v>2E-3</v>
      </c>
      <c r="EI402" s="147"/>
      <c r="EJ402" s="342"/>
      <c r="EK402" s="1169">
        <f>EH402+0.001</f>
        <v>3.0000000000000001E-3</v>
      </c>
      <c r="EL402" s="1169">
        <f>EK402</f>
        <v>3.0000000000000001E-3</v>
      </c>
      <c r="EM402" s="1169">
        <f>EL402</f>
        <v>3.0000000000000001E-3</v>
      </c>
      <c r="EN402" s="1169">
        <f>EM402</f>
        <v>3.0000000000000001E-3</v>
      </c>
      <c r="EO402" s="147"/>
      <c r="EP402" s="342"/>
      <c r="EQ402" s="1169">
        <f>EN402+0.001</f>
        <v>4.0000000000000001E-3</v>
      </c>
      <c r="ER402" s="1169">
        <f>EQ402</f>
        <v>4.0000000000000001E-3</v>
      </c>
      <c r="ES402" s="1169">
        <f>ER402</f>
        <v>4.0000000000000001E-3</v>
      </c>
      <c r="ET402" s="1169">
        <v>0.01</v>
      </c>
      <c r="EU402" s="147"/>
      <c r="EV402" s="342"/>
      <c r="EW402" s="1169">
        <f>ET402</f>
        <v>0.01</v>
      </c>
      <c r="EX402" s="1871">
        <f>EW402+0.3%</f>
        <v>1.3000000000000001E-2</v>
      </c>
      <c r="EY402" s="1169">
        <f>EX402</f>
        <v>1.3000000000000001E-2</v>
      </c>
      <c r="EZ402" s="1169">
        <f>EY402</f>
        <v>1.3000000000000001E-2</v>
      </c>
      <c r="FA402" s="147"/>
      <c r="FB402" s="342"/>
      <c r="FC402" s="1169">
        <f>EZ402</f>
        <v>1.3000000000000001E-2</v>
      </c>
      <c r="FD402" s="1169">
        <f>FC402</f>
        <v>1.3000000000000001E-2</v>
      </c>
      <c r="FE402" s="1169">
        <f>FD402</f>
        <v>1.3000000000000001E-2</v>
      </c>
      <c r="FF402" s="1169">
        <f>FE402+0.0005</f>
        <v>1.3500000000000002E-2</v>
      </c>
      <c r="FG402" s="147"/>
      <c r="FH402" s="342"/>
      <c r="FI402" s="1169">
        <f>FF402+0.0005</f>
        <v>1.4000000000000002E-2</v>
      </c>
      <c r="FJ402" s="1169">
        <f>FI402</f>
        <v>1.4000000000000002E-2</v>
      </c>
      <c r="FK402" s="1169">
        <f>FJ402</f>
        <v>1.4000000000000002E-2</v>
      </c>
      <c r="FL402" s="1169">
        <f>FK402</f>
        <v>1.4000000000000002E-2</v>
      </c>
      <c r="FM402" s="147"/>
      <c r="FN402" s="27"/>
      <c r="FO402" s="27"/>
      <c r="FP402" s="27"/>
      <c r="FQ402" s="27"/>
      <c r="FR402" s="27"/>
      <c r="FS402" s="27"/>
      <c r="FT402" s="27"/>
      <c r="FU402" s="27"/>
      <c r="FV402" s="27"/>
      <c r="FW402" s="27"/>
      <c r="FX402" s="27"/>
      <c r="FY402" s="27"/>
      <c r="FZ402" s="27"/>
      <c r="GA402" s="27"/>
      <c r="GB402" s="27"/>
      <c r="GC402" s="27"/>
      <c r="GD402" s="27"/>
      <c r="GE402" s="27"/>
      <c r="GF402" s="27"/>
      <c r="GG402" s="27"/>
      <c r="GH402" s="27"/>
      <c r="GI402"/>
      <c r="GJ402"/>
      <c r="GK402"/>
      <c r="GL402"/>
      <c r="GM402"/>
      <c r="GN402"/>
      <c r="GO402" s="27"/>
      <c r="GP402"/>
      <c r="GQ402"/>
      <c r="GR402"/>
      <c r="GS402"/>
      <c r="GT402"/>
      <c r="GU402"/>
      <c r="GV402"/>
      <c r="GW402"/>
      <c r="GX402"/>
      <c r="GY402"/>
      <c r="GZ402"/>
      <c r="HA402"/>
      <c r="HB402"/>
      <c r="HC402"/>
      <c r="HD402"/>
      <c r="HE402"/>
      <c r="HF402"/>
      <c r="HG402"/>
      <c r="HH402"/>
      <c r="HI402"/>
      <c r="HJ402"/>
      <c r="HK402"/>
      <c r="HL402"/>
      <c r="HM402"/>
      <c r="HN402"/>
      <c r="HO402"/>
      <c r="HP402"/>
      <c r="HQ402"/>
      <c r="HR402"/>
      <c r="HS402"/>
      <c r="HT402"/>
      <c r="HU402"/>
      <c r="HV402"/>
      <c r="HW402"/>
      <c r="HX402"/>
      <c r="HY402"/>
      <c r="HZ402"/>
      <c r="IA402"/>
      <c r="IB402"/>
      <c r="IC402"/>
      <c r="ID402"/>
      <c r="IE402"/>
      <c r="IF402"/>
      <c r="IG402"/>
      <c r="IH402"/>
      <c r="II402"/>
      <c r="IJ402"/>
      <c r="IK402"/>
      <c r="IL402"/>
      <c r="IM402"/>
      <c r="IN402"/>
      <c r="IO402"/>
      <c r="IP402"/>
      <c r="IQ402"/>
      <c r="IR402"/>
      <c r="IS402"/>
      <c r="IT402"/>
      <c r="IU402"/>
      <c r="IV402"/>
      <c r="IW402"/>
      <c r="IX402"/>
      <c r="IY402"/>
      <c r="IZ402"/>
      <c r="JA402"/>
      <c r="JB402"/>
      <c r="JC402"/>
      <c r="JD402"/>
      <c r="JE402"/>
      <c r="JF402"/>
      <c r="JG402"/>
      <c r="JH402"/>
      <c r="JI402"/>
      <c r="JJ402"/>
      <c r="JK402"/>
      <c r="JL402"/>
      <c r="JM402"/>
      <c r="JN402"/>
      <c r="JO402"/>
      <c r="JP402"/>
      <c r="JQ402"/>
      <c r="JR402"/>
      <c r="JS402"/>
      <c r="JT402"/>
      <c r="JU402"/>
    </row>
    <row r="403" spans="1:281" s="24" customFormat="1" hidden="1" outlineLevel="1" x14ac:dyDescent="0.2">
      <c r="A403" s="27" t="s">
        <v>375</v>
      </c>
      <c r="B403" s="413"/>
      <c r="C403" s="342"/>
      <c r="D403" s="342"/>
      <c r="E403" s="342"/>
      <c r="F403" s="342"/>
      <c r="G403" s="342"/>
      <c r="H403" s="342"/>
      <c r="I403" s="342"/>
      <c r="J403" s="342"/>
      <c r="K403" s="342"/>
      <c r="L403" s="342"/>
      <c r="M403" s="342"/>
      <c r="N403" s="342"/>
      <c r="O403" s="342"/>
      <c r="P403" s="342"/>
      <c r="Q403" s="342"/>
      <c r="R403" s="342"/>
      <c r="S403" s="342"/>
      <c r="T403" s="342"/>
      <c r="U403" s="342"/>
      <c r="V403" s="342"/>
      <c r="W403" s="342"/>
      <c r="X403" s="342"/>
      <c r="Y403" s="342"/>
      <c r="Z403" s="342"/>
      <c r="AA403" s="342"/>
      <c r="AB403" s="342"/>
      <c r="AC403" s="408">
        <f>5.27666666666667/(100)</f>
        <v>5.2766666666666698E-2</v>
      </c>
      <c r="AD403" s="408">
        <f>5.52333333333333/(100)</f>
        <v>5.5233333333333301E-2</v>
      </c>
      <c r="AE403" s="342"/>
      <c r="AF403" s="342"/>
      <c r="AG403" s="408">
        <f>5.53333333333333/(100)</f>
        <v>5.5333333333333297E-2</v>
      </c>
      <c r="AH403" s="408">
        <f>5.50666666666667/(100)</f>
        <v>5.5066666666666701E-2</v>
      </c>
      <c r="AI403" s="408">
        <f>5.52/(100)</f>
        <v>5.5199999999999999E-2</v>
      </c>
      <c r="AJ403" s="407">
        <f>5.5/(100)</f>
        <v>5.5E-2</v>
      </c>
      <c r="AK403" s="407">
        <f>AVERAGE(AG403:AJ403)</f>
        <v>5.5149999999999998E-2</v>
      </c>
      <c r="AL403" s="342"/>
      <c r="AM403" s="408">
        <f>5.53333333333333/(100)</f>
        <v>5.5333333333333297E-2</v>
      </c>
      <c r="AN403" s="408">
        <f>4.86/(100)</f>
        <v>4.8600000000000004E-2</v>
      </c>
      <c r="AO403" s="408">
        <f>4.73333333333333/(100)</f>
        <v>4.7333333333333297E-2</v>
      </c>
      <c r="AP403" s="408">
        <f>4.74666666666667/(100)</f>
        <v>4.7466666666666699E-2</v>
      </c>
      <c r="AQ403" s="407">
        <f>AVERAGE(AM403:AP403)</f>
        <v>4.9683333333333329E-2</v>
      </c>
      <c r="AR403" s="408"/>
      <c r="AS403" s="408">
        <f>5.09333333333333/(100)</f>
        <v>5.0933333333333303E-2</v>
      </c>
      <c r="AT403" s="407">
        <f>5.30666666666667/(100)</f>
        <v>5.3066666666666699E-2</v>
      </c>
      <c r="AU403" s="408">
        <f>5.67666666666667/(100)</f>
        <v>5.6766666666666701E-2</v>
      </c>
      <c r="AV403" s="408">
        <f>6.27333333333333/(100)</f>
        <v>6.2733333333333294E-2</v>
      </c>
      <c r="AW403" s="407">
        <f>AVERAGE(AS403:AV403)</f>
        <v>5.5875000000000008E-2</v>
      </c>
      <c r="AX403" s="408"/>
      <c r="AY403" s="408">
        <f>6.52/(100)</f>
        <v>6.5199999999999994E-2</v>
      </c>
      <c r="AZ403" s="408">
        <f>6.47333333333333/(100)</f>
        <v>6.4733333333333296E-2</v>
      </c>
      <c r="BA403" s="408">
        <f>5.59333333333333/(100)</f>
        <v>5.59333333333333E-2</v>
      </c>
      <c r="BB403" s="407">
        <f>4.32666666666667/(100)</f>
        <v>4.3266666666666696E-2</v>
      </c>
      <c r="BC403" s="407">
        <f>AVERAGE(AY403:BB403)</f>
        <v>5.7283333333333325E-2</v>
      </c>
      <c r="BD403" s="407"/>
      <c r="BE403" s="408">
        <f>3.49666666666667/(100)</f>
        <v>3.4966666666666701E-2</v>
      </c>
      <c r="BF403" s="408">
        <f>2.13333333333333/(100)</f>
        <v>2.1333333333333301E-2</v>
      </c>
      <c r="BG403" s="408">
        <f>1.73333333333333/(100)</f>
        <v>1.7333333333333301E-2</v>
      </c>
      <c r="BH403" s="408">
        <f>1.75/(100)</f>
        <v>1.7500000000000002E-2</v>
      </c>
      <c r="BI403" s="407">
        <f>AVERAGE(BE403:BH403)</f>
        <v>2.2783333333333326E-2</v>
      </c>
      <c r="BJ403" s="408"/>
      <c r="BK403" s="408">
        <f>1.74/(100)</f>
        <v>1.7399999999999999E-2</v>
      </c>
      <c r="BL403" s="407">
        <f>1.44333333333333/(100)</f>
        <v>1.44333333333333E-2</v>
      </c>
      <c r="BM403" s="408">
        <f>1.25/(100)</f>
        <v>1.2500000000000001E-2</v>
      </c>
      <c r="BN403" s="408">
        <f>1.24666666666667/(100)</f>
        <v>1.2466666666666699E-2</v>
      </c>
      <c r="BO403" s="407">
        <f>AVERAGE(BK403:BN403)</f>
        <v>1.4199999999999997E-2</v>
      </c>
      <c r="BP403" s="408"/>
      <c r="BQ403" s="408">
        <f>1.01666666666667/(100)</f>
        <v>1.0166666666666699E-2</v>
      </c>
      <c r="BR403" s="408">
        <f>0.996666666666667/(100)</f>
        <v>9.9666666666666705E-3</v>
      </c>
      <c r="BS403" s="408">
        <f>1/(100)</f>
        <v>0.01</v>
      </c>
      <c r="BT403" s="407">
        <f>1/(100)</f>
        <v>0.01</v>
      </c>
      <c r="BU403" s="407">
        <f>AVERAGE(BQ403:BT403)</f>
        <v>1.0033333333333344E-2</v>
      </c>
      <c r="BV403" s="407"/>
      <c r="BW403" s="408">
        <f>1.25/(100)</f>
        <v>1.2500000000000001E-2</v>
      </c>
      <c r="BX403" s="408">
        <v>1.7500000000000002E-2</v>
      </c>
      <c r="BY403" s="408">
        <v>2.2499999999999999E-2</v>
      </c>
      <c r="BZ403" s="408">
        <v>0.03</v>
      </c>
      <c r="CA403" s="407">
        <f>AVERAGE(BW403:BZ403)</f>
        <v>2.0625000000000001E-2</v>
      </c>
      <c r="CB403" s="408"/>
      <c r="CC403" s="408">
        <v>3.5000000000000003E-2</v>
      </c>
      <c r="CD403" s="407">
        <v>0.04</v>
      </c>
      <c r="CE403" s="408">
        <v>4.7500000000000001E-2</v>
      </c>
      <c r="CF403" s="408">
        <v>4.7500000000000001E-2</v>
      </c>
      <c r="CG403" s="409"/>
      <c r="CH403" s="408"/>
      <c r="CI403" s="408">
        <v>3.5000000000000003E-2</v>
      </c>
      <c r="CJ403" s="407">
        <v>0.04</v>
      </c>
      <c r="CK403" s="408">
        <v>0.05</v>
      </c>
      <c r="CL403" s="408">
        <v>0.05</v>
      </c>
      <c r="CM403" s="409"/>
      <c r="CN403" s="408"/>
      <c r="CO403" s="408">
        <v>0.05</v>
      </c>
      <c r="CP403" s="408">
        <v>0.05</v>
      </c>
      <c r="CQ403" s="408">
        <v>0.05</v>
      </c>
      <c r="CR403" s="408">
        <v>0.05</v>
      </c>
      <c r="CS403" s="409"/>
      <c r="CT403" s="408"/>
      <c r="CU403" s="408">
        <v>0.05</v>
      </c>
      <c r="CV403" s="408">
        <v>0.05</v>
      </c>
      <c r="CW403" s="408">
        <v>0.05</v>
      </c>
      <c r="CX403" s="408">
        <v>0.05</v>
      </c>
      <c r="CY403" s="409"/>
      <c r="CZ403" s="408"/>
      <c r="DA403" s="408">
        <v>0.05</v>
      </c>
      <c r="DB403" s="408">
        <v>0.05</v>
      </c>
      <c r="DC403" s="408">
        <v>0.05</v>
      </c>
      <c r="DD403" s="408">
        <v>0.05</v>
      </c>
      <c r="DE403" s="409"/>
      <c r="DF403" s="408"/>
      <c r="DG403" s="408">
        <v>0.05</v>
      </c>
      <c r="DH403" s="408">
        <v>0.05</v>
      </c>
      <c r="DI403" s="408">
        <v>0.05</v>
      </c>
      <c r="DJ403" s="408">
        <v>0.05</v>
      </c>
      <c r="DK403" s="409"/>
      <c r="DL403" s="408"/>
      <c r="DM403" s="408">
        <v>0.05</v>
      </c>
      <c r="DN403" s="408">
        <v>0.05</v>
      </c>
      <c r="DO403" s="408">
        <v>0.05</v>
      </c>
      <c r="DP403" s="408">
        <v>0.05</v>
      </c>
      <c r="DQ403" s="409"/>
      <c r="DR403" s="408"/>
      <c r="DS403" s="408">
        <v>0.05</v>
      </c>
      <c r="DT403" s="408">
        <v>0.05</v>
      </c>
      <c r="DU403" s="408">
        <v>0.05</v>
      </c>
      <c r="DV403" s="408">
        <v>0.05</v>
      </c>
      <c r="DW403" s="409"/>
      <c r="DX403" s="408"/>
      <c r="DY403" s="408">
        <v>0.05</v>
      </c>
      <c r="DZ403" s="408">
        <v>0.05</v>
      </c>
      <c r="EA403" s="408">
        <v>0.05</v>
      </c>
      <c r="EB403" s="408">
        <v>0.05</v>
      </c>
      <c r="EC403" s="409"/>
      <c r="ED403" s="408"/>
      <c r="EE403" s="408">
        <v>0.05</v>
      </c>
      <c r="EF403" s="408">
        <v>0.05</v>
      </c>
      <c r="EG403" s="408">
        <v>0.05</v>
      </c>
      <c r="EH403" s="408">
        <v>0.05</v>
      </c>
      <c r="EI403" s="409"/>
      <c r="EJ403" s="408"/>
      <c r="EK403" s="408">
        <v>0.05</v>
      </c>
      <c r="EL403" s="408">
        <v>0.05</v>
      </c>
      <c r="EM403" s="408">
        <v>0.05</v>
      </c>
      <c r="EN403" s="408">
        <v>0.05</v>
      </c>
      <c r="EO403" s="409"/>
      <c r="EP403" s="408"/>
      <c r="EQ403" s="408">
        <v>0.05</v>
      </c>
      <c r="ER403" s="408">
        <v>0.05</v>
      </c>
      <c r="ES403" s="408">
        <v>0.05</v>
      </c>
      <c r="ET403" s="408">
        <v>0.05</v>
      </c>
      <c r="EU403" s="409"/>
      <c r="EV403" s="408"/>
      <c r="EW403" s="408">
        <v>0.05</v>
      </c>
      <c r="EX403" s="408">
        <v>0.05</v>
      </c>
      <c r="EY403" s="408">
        <v>0.05</v>
      </c>
      <c r="EZ403" s="408">
        <v>0.05</v>
      </c>
      <c r="FA403" s="409"/>
      <c r="FB403" s="408"/>
      <c r="FC403" s="408">
        <v>0.05</v>
      </c>
      <c r="FD403" s="408">
        <v>0.05</v>
      </c>
      <c r="FE403" s="408">
        <v>0.05</v>
      </c>
      <c r="FF403" s="408">
        <v>0.05</v>
      </c>
      <c r="FG403" s="409"/>
      <c r="FH403" s="408"/>
      <c r="FI403" s="408">
        <v>0.05</v>
      </c>
      <c r="FJ403" s="408">
        <v>0.05</v>
      </c>
      <c r="FK403" s="408">
        <v>0.05</v>
      </c>
      <c r="FL403" s="408">
        <v>0.05</v>
      </c>
      <c r="FM403" s="409"/>
      <c r="FN403" s="27"/>
      <c r="FO403" s="27"/>
      <c r="FP403" s="27"/>
      <c r="FQ403" s="27"/>
      <c r="FR403" s="27"/>
      <c r="FS403" s="27"/>
      <c r="FT403" s="27"/>
      <c r="FU403" s="27"/>
      <c r="FV403" s="27"/>
      <c r="FW403" s="27"/>
      <c r="FX403" s="27"/>
      <c r="FY403" s="27"/>
      <c r="FZ403" s="27"/>
      <c r="GA403" s="27"/>
      <c r="GB403" s="27"/>
      <c r="GC403" s="27"/>
      <c r="GD403" s="27"/>
      <c r="GE403" s="27"/>
      <c r="GF403" s="27"/>
      <c r="GG403" s="27"/>
      <c r="GH403" s="27"/>
      <c r="GI403"/>
      <c r="GJ403"/>
      <c r="GK403"/>
      <c r="GL403"/>
      <c r="GM403"/>
      <c r="GN403"/>
      <c r="GO403" s="27"/>
      <c r="GP403"/>
      <c r="GQ403"/>
      <c r="GR403"/>
      <c r="GS403"/>
      <c r="GT403"/>
      <c r="GU403"/>
      <c r="GV403"/>
      <c r="GW403"/>
      <c r="GX403"/>
      <c r="GY403"/>
      <c r="GZ403"/>
      <c r="HA403"/>
      <c r="HB403"/>
      <c r="HC403"/>
      <c r="HD403"/>
      <c r="HE403"/>
      <c r="HF403"/>
      <c r="HG403"/>
      <c r="HH403"/>
      <c r="HI403"/>
      <c r="HJ403"/>
      <c r="HK403"/>
      <c r="HL403"/>
      <c r="HM403"/>
      <c r="HN403"/>
      <c r="HO403"/>
      <c r="HP403"/>
      <c r="HQ403"/>
      <c r="HR403"/>
      <c r="HS403"/>
      <c r="HT403"/>
      <c r="HU403"/>
      <c r="HV403"/>
      <c r="HW403"/>
      <c r="HX403"/>
      <c r="HY403"/>
      <c r="HZ403"/>
      <c r="IA403"/>
      <c r="IB403"/>
      <c r="IC403"/>
      <c r="ID403"/>
      <c r="IE403"/>
      <c r="IF403"/>
      <c r="IG403"/>
      <c r="IH403"/>
      <c r="II403"/>
      <c r="IJ403"/>
      <c r="IK403"/>
      <c r="IL403"/>
      <c r="IM403"/>
      <c r="IN403"/>
      <c r="IO403"/>
      <c r="IP403"/>
      <c r="IQ403"/>
      <c r="IR403"/>
      <c r="IS403"/>
      <c r="IT403"/>
      <c r="IU403"/>
      <c r="IV403"/>
      <c r="IW403"/>
      <c r="IX403"/>
      <c r="IY403"/>
      <c r="IZ403"/>
      <c r="JA403"/>
      <c r="JB403"/>
      <c r="JC403"/>
      <c r="JD403"/>
      <c r="JE403"/>
      <c r="JF403"/>
      <c r="JG403"/>
      <c r="JH403"/>
      <c r="JI403"/>
      <c r="JJ403"/>
      <c r="JK403"/>
      <c r="JL403"/>
      <c r="JM403"/>
      <c r="JN403"/>
      <c r="JO403"/>
      <c r="JP403"/>
      <c r="JQ403"/>
      <c r="JR403"/>
      <c r="JS403"/>
      <c r="JT403"/>
      <c r="JU403"/>
    </row>
    <row r="404" spans="1:281" s="24" customFormat="1" ht="6" hidden="1" customHeight="1" outlineLevel="1" x14ac:dyDescent="0.2">
      <c r="A404" s="342"/>
      <c r="B404" s="413"/>
      <c r="C404" s="342"/>
      <c r="D404" s="342"/>
      <c r="E404" s="342"/>
      <c r="F404" s="342"/>
      <c r="G404" s="342"/>
      <c r="H404" s="342"/>
      <c r="I404" s="342"/>
      <c r="J404" s="342"/>
      <c r="K404" s="342"/>
      <c r="L404" s="342"/>
      <c r="M404" s="342"/>
      <c r="N404" s="342"/>
      <c r="O404" s="342"/>
      <c r="P404" s="342"/>
      <c r="Q404" s="342"/>
      <c r="R404" s="342"/>
      <c r="S404" s="342"/>
      <c r="T404" s="342"/>
      <c r="U404" s="342"/>
      <c r="V404" s="342"/>
      <c r="W404" s="342"/>
      <c r="X404" s="342"/>
      <c r="Y404" s="342"/>
      <c r="Z404" s="342"/>
      <c r="AA404" s="342"/>
      <c r="AB404" s="342"/>
      <c r="AC404" s="342"/>
      <c r="AD404" s="342"/>
      <c r="AE404" s="342"/>
      <c r="AF404" s="342"/>
      <c r="AG404" s="342"/>
      <c r="AH404" s="342"/>
      <c r="AI404" s="342"/>
      <c r="AJ404" s="342"/>
      <c r="AK404" s="342"/>
      <c r="AL404" s="342"/>
      <c r="AM404" s="342"/>
      <c r="AN404" s="342"/>
      <c r="AO404" s="342"/>
      <c r="AP404" s="342"/>
      <c r="AQ404" s="342"/>
      <c r="AR404" s="342"/>
      <c r="AS404" s="342"/>
      <c r="AT404" s="342"/>
      <c r="AU404" s="342"/>
      <c r="AV404" s="342"/>
      <c r="AW404" s="342"/>
      <c r="AX404" s="342"/>
      <c r="AY404" s="342"/>
      <c r="AZ404" s="342"/>
      <c r="BA404" s="342"/>
      <c r="BB404" s="342"/>
      <c r="BC404" s="342"/>
      <c r="BD404" s="342"/>
      <c r="BE404" s="342"/>
      <c r="BF404" s="342"/>
      <c r="BG404" s="342"/>
      <c r="BH404" s="342"/>
      <c r="BI404" s="342"/>
      <c r="BJ404" s="342"/>
      <c r="BK404" s="342"/>
      <c r="BL404" s="342"/>
      <c r="BM404" s="342"/>
      <c r="BN404" s="342"/>
      <c r="BO404" s="342"/>
      <c r="BP404" s="342"/>
      <c r="BQ404" s="342"/>
      <c r="BR404" s="342"/>
      <c r="BS404" s="342"/>
      <c r="BT404" s="342"/>
      <c r="BU404" s="342"/>
      <c r="BV404" s="342"/>
      <c r="BW404" s="342"/>
      <c r="BX404" s="342"/>
      <c r="BY404" s="342"/>
      <c r="BZ404" s="342"/>
      <c r="CA404" s="342"/>
      <c r="CB404" s="342"/>
      <c r="CC404" s="342"/>
      <c r="CD404" s="342"/>
      <c r="CE404" s="342"/>
      <c r="CF404" s="342"/>
      <c r="CG404" s="147"/>
      <c r="CH404" s="342"/>
      <c r="CI404" s="342"/>
      <c r="CJ404" s="342"/>
      <c r="CK404" s="342"/>
      <c r="CL404" s="342"/>
      <c r="CM404" s="147"/>
      <c r="CN404" s="342"/>
      <c r="CO404" s="342"/>
      <c r="CP404" s="342"/>
      <c r="CQ404" s="342"/>
      <c r="CR404" s="342"/>
      <c r="CS404" s="147"/>
      <c r="CT404" s="342"/>
      <c r="CU404" s="342"/>
      <c r="CV404" s="342"/>
      <c r="CW404" s="342"/>
      <c r="CX404" s="342"/>
      <c r="CY404" s="147"/>
      <c r="CZ404" s="342"/>
      <c r="DA404" s="342"/>
      <c r="DB404" s="342"/>
      <c r="DC404" s="342"/>
      <c r="DD404" s="342"/>
      <c r="DE404" s="147"/>
      <c r="DF404" s="342"/>
      <c r="DG404" s="342"/>
      <c r="DH404" s="342"/>
      <c r="DI404" s="342"/>
      <c r="DJ404" s="342"/>
      <c r="DK404" s="147"/>
      <c r="DL404" s="342"/>
      <c r="DM404" s="342"/>
      <c r="DN404" s="342"/>
      <c r="DO404" s="342"/>
      <c r="DP404" s="342"/>
      <c r="DQ404" s="147"/>
      <c r="DR404" s="342"/>
      <c r="DS404" s="342"/>
      <c r="DT404" s="342"/>
      <c r="DU404" s="342"/>
      <c r="DV404" s="342"/>
      <c r="DW404" s="147"/>
      <c r="DX404" s="342"/>
      <c r="DY404" s="342"/>
      <c r="DZ404" s="342"/>
      <c r="EA404" s="342"/>
      <c r="EB404" s="342"/>
      <c r="EC404" s="147"/>
      <c r="ED404" s="342"/>
      <c r="EE404" s="342"/>
      <c r="EF404" s="342"/>
      <c r="EG404" s="342"/>
      <c r="EH404" s="342"/>
      <c r="EI404" s="147"/>
      <c r="EJ404" s="342"/>
      <c r="EK404" s="342"/>
      <c r="EL404" s="342"/>
      <c r="EM404" s="342"/>
      <c r="EN404" s="342"/>
      <c r="EO404" s="147"/>
      <c r="EP404" s="342"/>
      <c r="EQ404" s="342"/>
      <c r="ER404" s="342"/>
      <c r="ES404" s="342"/>
      <c r="ET404" s="342"/>
      <c r="EU404" s="147"/>
      <c r="EV404" s="342"/>
      <c r="EW404" s="342"/>
      <c r="EX404" s="342"/>
      <c r="EY404" s="342"/>
      <c r="EZ404" s="342"/>
      <c r="FA404" s="147"/>
      <c r="FB404" s="342"/>
      <c r="FC404" s="342"/>
      <c r="FD404" s="342"/>
      <c r="FE404" s="342"/>
      <c r="FF404" s="342"/>
      <c r="FG404" s="147"/>
      <c r="FH404" s="342"/>
      <c r="FI404" s="342"/>
      <c r="FJ404" s="342"/>
      <c r="FK404" s="342"/>
      <c r="FL404" s="342"/>
      <c r="FM404" s="147"/>
      <c r="FN404" s="27"/>
      <c r="FO404" s="27"/>
      <c r="FP404" s="27"/>
      <c r="FQ404" s="27"/>
      <c r="FR404" s="27"/>
      <c r="FS404" s="27"/>
      <c r="FT404" s="27"/>
      <c r="FU404" s="27"/>
      <c r="FV404" s="27"/>
      <c r="FW404" s="27"/>
      <c r="FX404" s="27"/>
      <c r="FY404" s="27"/>
      <c r="FZ404" s="27"/>
      <c r="GA404" s="27"/>
      <c r="GB404" s="27"/>
      <c r="GC404" s="27"/>
      <c r="GD404" s="27"/>
      <c r="GE404" s="27"/>
      <c r="GF404" s="27"/>
      <c r="GG404" s="27"/>
      <c r="GH404" s="27"/>
      <c r="GI404"/>
      <c r="GJ404"/>
      <c r="GK404"/>
      <c r="GL404"/>
      <c r="GM404"/>
      <c r="GN404"/>
      <c r="GO404" s="27"/>
      <c r="GP404"/>
      <c r="GQ404"/>
      <c r="GR404"/>
      <c r="GS404"/>
      <c r="GT404"/>
      <c r="GU404"/>
      <c r="GV404"/>
      <c r="GW404"/>
      <c r="GX404"/>
      <c r="GY404"/>
      <c r="GZ404"/>
      <c r="HA404"/>
      <c r="HB404"/>
      <c r="HC404"/>
      <c r="HD404"/>
      <c r="HE404"/>
      <c r="HF404"/>
      <c r="HG404"/>
      <c r="HH404"/>
      <c r="HI404"/>
      <c r="HJ404"/>
      <c r="HK404"/>
      <c r="HL404"/>
      <c r="HM404"/>
      <c r="HN404"/>
      <c r="HO404"/>
      <c r="HP404"/>
      <c r="HQ404"/>
      <c r="HR404"/>
      <c r="HS404"/>
      <c r="HT404"/>
      <c r="HU404"/>
      <c r="HV404"/>
      <c r="HW404"/>
      <c r="HX404"/>
      <c r="HY404"/>
      <c r="HZ404"/>
      <c r="IA404"/>
      <c r="IB404"/>
      <c r="IC404"/>
      <c r="ID404"/>
      <c r="IE404"/>
      <c r="IF404"/>
      <c r="IG404"/>
      <c r="IH404"/>
      <c r="II404"/>
      <c r="IJ404"/>
      <c r="IK404"/>
      <c r="IL404"/>
      <c r="IM404"/>
      <c r="IN404"/>
      <c r="IO404"/>
      <c r="IP404"/>
      <c r="IQ404"/>
      <c r="IR404"/>
      <c r="IS404"/>
      <c r="IT404"/>
      <c r="IU404"/>
      <c r="IV404"/>
      <c r="IW404"/>
      <c r="IX404"/>
      <c r="IY404"/>
      <c r="IZ404"/>
      <c r="JA404"/>
      <c r="JB404"/>
      <c r="JC404"/>
      <c r="JD404"/>
      <c r="JE404"/>
      <c r="JF404"/>
      <c r="JG404"/>
      <c r="JH404"/>
      <c r="JI404"/>
      <c r="JJ404"/>
      <c r="JK404"/>
      <c r="JL404"/>
      <c r="JM404"/>
      <c r="JN404"/>
      <c r="JO404"/>
      <c r="JP404"/>
      <c r="JQ404"/>
      <c r="JR404"/>
      <c r="JS404"/>
      <c r="JT404"/>
      <c r="JU404"/>
    </row>
    <row r="405" spans="1:281" s="24" customFormat="1" hidden="1" outlineLevel="1" x14ac:dyDescent="0.2">
      <c r="A405" s="342" t="s">
        <v>614</v>
      </c>
      <c r="B405" s="413"/>
      <c r="C405" s="342"/>
      <c r="D405" s="342"/>
      <c r="E405" s="342"/>
      <c r="F405" s="342"/>
      <c r="G405" s="342"/>
      <c r="H405" s="342"/>
      <c r="I405" s="342"/>
      <c r="J405" s="342"/>
      <c r="K405" s="342"/>
      <c r="L405" s="342"/>
      <c r="M405" s="342"/>
      <c r="N405" s="342"/>
      <c r="O405" s="342"/>
      <c r="P405" s="342"/>
      <c r="Q405" s="342"/>
      <c r="R405" s="342"/>
      <c r="S405" s="342"/>
      <c r="T405" s="342"/>
      <c r="U405" s="342"/>
      <c r="V405" s="342"/>
      <c r="W405" s="342"/>
      <c r="X405" s="342"/>
      <c r="Y405" s="342"/>
      <c r="Z405" s="342"/>
      <c r="AA405" s="342"/>
      <c r="AB405" s="342"/>
      <c r="AC405" s="342"/>
      <c r="AD405" s="342"/>
      <c r="AE405" s="342"/>
      <c r="AF405" s="342"/>
      <c r="AG405" s="342"/>
      <c r="AH405" s="342"/>
      <c r="AI405" s="342"/>
      <c r="AJ405" s="342"/>
      <c r="AK405" s="342"/>
      <c r="AL405" s="342"/>
      <c r="AM405" s="342"/>
      <c r="AN405" s="342"/>
      <c r="AO405" s="342"/>
      <c r="AP405" s="342"/>
      <c r="AQ405" s="342"/>
      <c r="AR405" s="342"/>
      <c r="AS405" s="342"/>
      <c r="AT405" s="342"/>
      <c r="AU405" s="342"/>
      <c r="AV405" s="342"/>
      <c r="AW405" s="342"/>
      <c r="AX405" s="342"/>
      <c r="AY405" s="342"/>
      <c r="AZ405" s="342"/>
      <c r="BA405" s="342"/>
      <c r="BB405" s="342"/>
      <c r="BC405" s="83">
        <f>BC402/BC403</f>
        <v>0.64997407480944003</v>
      </c>
      <c r="BD405" s="342"/>
      <c r="BE405" s="342"/>
      <c r="BF405" s="342"/>
      <c r="BG405" s="342"/>
      <c r="BH405" s="342"/>
      <c r="BI405" s="83">
        <f>BI402/BI403</f>
        <v>1.2376469845588631</v>
      </c>
      <c r="BJ405" s="342"/>
      <c r="BK405" s="83">
        <f>BK402/BK403</f>
        <v>1.2987856354308722</v>
      </c>
      <c r="BL405" s="83">
        <f t="shared" ref="BL405:BT405" si="281">BL402/BL403</f>
        <v>1.5111028280289462</v>
      </c>
      <c r="BM405" s="83">
        <f t="shared" si="281"/>
        <v>1.8682722130997991</v>
      </c>
      <c r="BN405" s="83">
        <f t="shared" si="281"/>
        <v>1.5405319261961217</v>
      </c>
      <c r="BO405" s="83">
        <f t="shared" si="281"/>
        <v>1.5552999558728853</v>
      </c>
      <c r="BP405" s="342"/>
      <c r="BQ405" s="83">
        <f t="shared" si="281"/>
        <v>1.6295368644994781</v>
      </c>
      <c r="BR405" s="83">
        <f t="shared" si="281"/>
        <v>1.5719605600516029</v>
      </c>
      <c r="BS405" s="83">
        <f t="shared" si="281"/>
        <v>1.4367104285360417</v>
      </c>
      <c r="BT405" s="83">
        <f t="shared" si="281"/>
        <v>1.6462958343726617</v>
      </c>
      <c r="BU405" s="83">
        <f>BU402/BU403</f>
        <v>1.804079972724755</v>
      </c>
      <c r="BV405" s="342"/>
      <c r="BW405" s="83">
        <f>BW402/BW403</f>
        <v>1.3788284616280424</v>
      </c>
      <c r="BX405" s="83">
        <f>BX402/BX403</f>
        <v>1.0405884048274636</v>
      </c>
      <c r="BY405" s="83">
        <f>BY402/BY403</f>
        <v>1.0739013706372758</v>
      </c>
      <c r="BZ405" s="83">
        <f>BZ402/BZ403</f>
        <v>0.70083223828296104</v>
      </c>
      <c r="CA405" s="83">
        <f>CA402/CA403</f>
        <v>1.0445670163848806</v>
      </c>
      <c r="CB405" s="342"/>
      <c r="CC405" s="83">
        <f>CC402/CC403</f>
        <v>0.59885618468724733</v>
      </c>
      <c r="CD405" s="83">
        <f>CD402/CD403</f>
        <v>0.46416234887737479</v>
      </c>
      <c r="CE405" s="411">
        <v>1</v>
      </c>
      <c r="CF405" s="411">
        <v>1</v>
      </c>
      <c r="CG405" s="412"/>
      <c r="CH405" s="83"/>
      <c r="CI405" s="411">
        <v>0.99</v>
      </c>
      <c r="CJ405" s="411">
        <v>0.99</v>
      </c>
      <c r="CK405" s="411">
        <v>0.99</v>
      </c>
      <c r="CL405" s="411">
        <v>0.99</v>
      </c>
      <c r="CM405" s="147"/>
      <c r="CN405" s="83"/>
      <c r="CO405" s="411">
        <v>1</v>
      </c>
      <c r="CP405" s="411">
        <v>1</v>
      </c>
      <c r="CQ405" s="411">
        <v>1</v>
      </c>
      <c r="CR405" s="411">
        <v>1</v>
      </c>
      <c r="CS405" s="147"/>
      <c r="CT405" s="83"/>
      <c r="CU405" s="411">
        <v>1</v>
      </c>
      <c r="CV405" s="411">
        <v>1</v>
      </c>
      <c r="CW405" s="411">
        <v>1</v>
      </c>
      <c r="CX405" s="411">
        <v>1</v>
      </c>
      <c r="CY405" s="147"/>
      <c r="CZ405" s="83"/>
      <c r="DA405" s="411">
        <v>1</v>
      </c>
      <c r="DB405" s="411">
        <v>1</v>
      </c>
      <c r="DC405" s="411">
        <v>1</v>
      </c>
      <c r="DD405" s="411">
        <v>1</v>
      </c>
      <c r="DE405" s="147"/>
      <c r="DF405" s="83"/>
      <c r="DG405" s="411">
        <v>1</v>
      </c>
      <c r="DH405" s="411">
        <v>1</v>
      </c>
      <c r="DI405" s="411">
        <v>1</v>
      </c>
      <c r="DJ405" s="411">
        <v>1</v>
      </c>
      <c r="DK405" s="147"/>
      <c r="DL405" s="83"/>
      <c r="DM405" s="411">
        <v>1</v>
      </c>
      <c r="DN405" s="411">
        <v>1</v>
      </c>
      <c r="DO405" s="411">
        <v>1</v>
      </c>
      <c r="DP405" s="411">
        <v>1</v>
      </c>
      <c r="DQ405" s="147"/>
      <c r="DR405" s="83"/>
      <c r="DS405" s="411">
        <v>1</v>
      </c>
      <c r="DT405" s="411">
        <v>1</v>
      </c>
      <c r="DU405" s="411">
        <v>1</v>
      </c>
      <c r="DV405" s="411">
        <v>1</v>
      </c>
      <c r="DW405" s="147"/>
      <c r="DX405" s="83"/>
      <c r="DY405" s="411">
        <v>1</v>
      </c>
      <c r="DZ405" s="411">
        <v>1</v>
      </c>
      <c r="EA405" s="411">
        <v>1</v>
      </c>
      <c r="EB405" s="411">
        <v>1</v>
      </c>
      <c r="EC405" s="147"/>
      <c r="ED405" s="83"/>
      <c r="EE405" s="411">
        <v>1</v>
      </c>
      <c r="EF405" s="411">
        <v>1</v>
      </c>
      <c r="EG405" s="411">
        <v>1</v>
      </c>
      <c r="EH405" s="411">
        <v>1</v>
      </c>
      <c r="EI405" s="147"/>
      <c r="EJ405" s="83"/>
      <c r="EK405" s="411">
        <v>1</v>
      </c>
      <c r="EL405" s="411">
        <v>1</v>
      </c>
      <c r="EM405" s="411">
        <v>1</v>
      </c>
      <c r="EN405" s="411">
        <v>1</v>
      </c>
      <c r="EO405" s="147"/>
      <c r="EP405" s="83"/>
      <c r="EQ405" s="411">
        <v>1</v>
      </c>
      <c r="ER405" s="411">
        <v>1</v>
      </c>
      <c r="ES405" s="411">
        <v>1</v>
      </c>
      <c r="ET405" s="411">
        <v>1</v>
      </c>
      <c r="EU405" s="147"/>
      <c r="EV405" s="83"/>
      <c r="EW405" s="411">
        <v>1</v>
      </c>
      <c r="EX405" s="411">
        <v>1</v>
      </c>
      <c r="EY405" s="411">
        <v>1</v>
      </c>
      <c r="EZ405" s="411">
        <v>1</v>
      </c>
      <c r="FA405" s="147"/>
      <c r="FB405" s="83"/>
      <c r="FC405" s="411">
        <v>1</v>
      </c>
      <c r="FD405" s="411">
        <v>1</v>
      </c>
      <c r="FE405" s="411">
        <v>1</v>
      </c>
      <c r="FF405" s="411">
        <v>1</v>
      </c>
      <c r="FG405" s="147"/>
      <c r="FH405" s="83"/>
      <c r="FI405" s="411">
        <v>1</v>
      </c>
      <c r="FJ405" s="411">
        <v>1</v>
      </c>
      <c r="FK405" s="411">
        <v>1</v>
      </c>
      <c r="FL405" s="411">
        <v>1</v>
      </c>
      <c r="FM405" s="147"/>
      <c r="FN405" s="27"/>
      <c r="FO405" s="27"/>
      <c r="FP405" s="27"/>
      <c r="FQ405" s="27"/>
      <c r="FR405" s="27"/>
      <c r="FS405" s="27"/>
      <c r="FT405" s="27"/>
      <c r="FU405" s="27"/>
      <c r="FV405" s="27"/>
      <c r="FW405" s="27"/>
      <c r="FX405" s="27"/>
      <c r="FY405" s="27"/>
      <c r="FZ405" s="27"/>
      <c r="GA405" s="27"/>
      <c r="GB405" s="27"/>
      <c r="GC405" s="27"/>
      <c r="GD405" s="27"/>
      <c r="GE405" s="27"/>
      <c r="GF405" s="27"/>
      <c r="GG405" s="27"/>
      <c r="GH405" s="27"/>
      <c r="GI405"/>
      <c r="GJ405"/>
      <c r="GK405"/>
      <c r="GL405"/>
      <c r="GM405"/>
      <c r="GN405"/>
      <c r="GO405" s="27"/>
      <c r="GP405"/>
      <c r="GQ405"/>
      <c r="GR405"/>
      <c r="GS405"/>
      <c r="GT405"/>
      <c r="GU405"/>
      <c r="GV405"/>
      <c r="GW405"/>
      <c r="GX405"/>
      <c r="GY405"/>
      <c r="GZ405"/>
      <c r="HA405"/>
      <c r="HB405"/>
      <c r="HC405"/>
      <c r="HD405"/>
      <c r="HE405"/>
      <c r="HF405"/>
      <c r="HG405"/>
      <c r="HH405"/>
      <c r="HI405"/>
      <c r="HJ405"/>
      <c r="HK405"/>
      <c r="HL405"/>
      <c r="HM405"/>
      <c r="HN405"/>
      <c r="HO405"/>
      <c r="HP405"/>
      <c r="HQ405"/>
      <c r="HR405"/>
      <c r="HS405"/>
      <c r="HT405"/>
      <c r="HU405"/>
      <c r="HV405"/>
      <c r="HW405"/>
      <c r="HX405"/>
      <c r="HY405"/>
      <c r="HZ405"/>
      <c r="IA405"/>
      <c r="IB405"/>
      <c r="IC405"/>
      <c r="ID405"/>
      <c r="IE405"/>
      <c r="IF405"/>
      <c r="IG405"/>
      <c r="IH405"/>
      <c r="II405"/>
      <c r="IJ405"/>
      <c r="IK405"/>
      <c r="IL405"/>
      <c r="IM405"/>
      <c r="IN405"/>
      <c r="IO405"/>
      <c r="IP405"/>
      <c r="IQ405"/>
      <c r="IR405"/>
      <c r="IS405"/>
      <c r="IT405"/>
      <c r="IU405"/>
      <c r="IV405"/>
      <c r="IW405"/>
      <c r="IX405"/>
      <c r="IY405"/>
      <c r="IZ405"/>
      <c r="JA405"/>
      <c r="JB405"/>
      <c r="JC405"/>
      <c r="JD405"/>
      <c r="JE405"/>
      <c r="JF405"/>
      <c r="JG405"/>
      <c r="JH405"/>
      <c r="JI405"/>
      <c r="JJ405"/>
      <c r="JK405"/>
      <c r="JL405"/>
      <c r="JM405"/>
      <c r="JN405"/>
      <c r="JO405"/>
      <c r="JP405"/>
      <c r="JQ405"/>
      <c r="JR405"/>
      <c r="JS405"/>
      <c r="JT405"/>
      <c r="JU405"/>
    </row>
    <row r="406" spans="1:281" s="24" customFormat="1" ht="6" hidden="1" customHeight="1" outlineLevel="1" x14ac:dyDescent="0.2">
      <c r="A406" s="342"/>
      <c r="B406" s="413"/>
      <c r="C406" s="342"/>
      <c r="D406" s="342"/>
      <c r="E406" s="342"/>
      <c r="F406" s="342"/>
      <c r="G406" s="342"/>
      <c r="H406" s="342"/>
      <c r="I406" s="342"/>
      <c r="J406" s="342"/>
      <c r="K406" s="342"/>
      <c r="L406" s="342"/>
      <c r="M406" s="342"/>
      <c r="N406" s="342"/>
      <c r="O406" s="342"/>
      <c r="P406" s="342"/>
      <c r="Q406" s="342"/>
      <c r="R406" s="342"/>
      <c r="S406" s="342"/>
      <c r="T406" s="342"/>
      <c r="U406" s="342"/>
      <c r="V406" s="342"/>
      <c r="W406" s="342"/>
      <c r="X406" s="342"/>
      <c r="Y406" s="342"/>
      <c r="Z406" s="342"/>
      <c r="AA406" s="342"/>
      <c r="AB406" s="342"/>
      <c r="AC406" s="342"/>
      <c r="AD406" s="342"/>
      <c r="AE406" s="342"/>
      <c r="AF406" s="342"/>
      <c r="AG406" s="342"/>
      <c r="AH406" s="342"/>
      <c r="AI406" s="342"/>
      <c r="AJ406" s="342"/>
      <c r="AK406" s="342"/>
      <c r="AL406" s="342"/>
      <c r="AM406" s="342"/>
      <c r="AN406" s="342"/>
      <c r="AO406" s="342"/>
      <c r="AP406" s="342"/>
      <c r="AQ406" s="342"/>
      <c r="AR406" s="342"/>
      <c r="AS406" s="342"/>
      <c r="AT406" s="342"/>
      <c r="AU406" s="342"/>
      <c r="AV406" s="342"/>
      <c r="AW406" s="342"/>
      <c r="AX406" s="342"/>
      <c r="AY406" s="342"/>
      <c r="AZ406" s="342"/>
      <c r="BA406" s="342"/>
      <c r="BB406" s="342"/>
      <c r="BC406" s="342"/>
      <c r="BD406" s="342"/>
      <c r="BE406" s="342"/>
      <c r="BF406" s="342"/>
      <c r="BG406" s="342"/>
      <c r="BH406" s="342"/>
      <c r="BI406" s="342"/>
      <c r="BJ406" s="342"/>
      <c r="BK406" s="342"/>
      <c r="BL406" s="342"/>
      <c r="BM406" s="342"/>
      <c r="BN406" s="342"/>
      <c r="BO406" s="342"/>
      <c r="BP406" s="342"/>
      <c r="BQ406" s="342"/>
      <c r="BR406" s="342"/>
      <c r="BS406" s="342"/>
      <c r="BT406" s="342"/>
      <c r="BU406" s="342"/>
      <c r="BV406" s="342"/>
      <c r="BW406" s="342"/>
      <c r="BX406" s="342"/>
      <c r="BY406" s="342"/>
      <c r="BZ406" s="342"/>
      <c r="CA406" s="342"/>
      <c r="CB406" s="342"/>
      <c r="CC406" s="342"/>
      <c r="CD406" s="342"/>
      <c r="CE406" s="342"/>
      <c r="CF406" s="342"/>
      <c r="CG406" s="147"/>
      <c r="CH406" s="342"/>
      <c r="CI406" s="410"/>
      <c r="CJ406" s="410"/>
      <c r="CK406" s="410"/>
      <c r="CL406" s="410"/>
      <c r="CM406" s="147"/>
      <c r="CN406" s="342"/>
      <c r="CO406" s="410"/>
      <c r="CP406" s="410"/>
      <c r="CQ406" s="410"/>
      <c r="CR406" s="410"/>
      <c r="CS406" s="147"/>
      <c r="CT406" s="342"/>
      <c r="CU406" s="410"/>
      <c r="CV406" s="410"/>
      <c r="CW406" s="410"/>
      <c r="CX406" s="410"/>
      <c r="CY406" s="147"/>
      <c r="CZ406" s="342"/>
      <c r="DA406" s="410"/>
      <c r="DB406" s="410"/>
      <c r="DC406" s="410"/>
      <c r="DD406" s="410"/>
      <c r="DE406" s="147"/>
      <c r="DF406" s="342"/>
      <c r="DG406" s="410"/>
      <c r="DH406" s="410"/>
      <c r="DI406" s="410"/>
      <c r="DJ406" s="410"/>
      <c r="DK406" s="147"/>
      <c r="DL406" s="342"/>
      <c r="DM406" s="410"/>
      <c r="DN406" s="410"/>
      <c r="DO406" s="410"/>
      <c r="DP406" s="410"/>
      <c r="DQ406" s="147"/>
      <c r="DR406" s="342"/>
      <c r="DS406" s="410"/>
      <c r="DT406" s="410"/>
      <c r="DU406" s="410"/>
      <c r="DV406" s="410"/>
      <c r="DW406" s="147"/>
      <c r="DX406" s="342"/>
      <c r="DY406" s="410"/>
      <c r="DZ406" s="410"/>
      <c r="EA406" s="410"/>
      <c r="EB406" s="410"/>
      <c r="EC406" s="147"/>
      <c r="ED406" s="342"/>
      <c r="EE406" s="410"/>
      <c r="EF406" s="410"/>
      <c r="EG406" s="410"/>
      <c r="EH406" s="410"/>
      <c r="EI406" s="147"/>
      <c r="EJ406" s="342"/>
      <c r="EK406" s="410"/>
      <c r="EL406" s="410"/>
      <c r="EM406" s="410"/>
      <c r="EN406" s="410"/>
      <c r="EO406" s="147"/>
      <c r="EP406" s="342"/>
      <c r="EQ406" s="410"/>
      <c r="ER406" s="410"/>
      <c r="ES406" s="410"/>
      <c r="ET406" s="410"/>
      <c r="EU406" s="147"/>
      <c r="EV406" s="342"/>
      <c r="EW406" s="410"/>
      <c r="EX406" s="410"/>
      <c r="EY406" s="410"/>
      <c r="EZ406" s="410"/>
      <c r="FA406" s="147"/>
      <c r="FB406" s="342"/>
      <c r="FC406" s="410"/>
      <c r="FD406" s="410"/>
      <c r="FE406" s="410"/>
      <c r="FF406" s="410"/>
      <c r="FG406" s="147"/>
      <c r="FH406" s="342"/>
      <c r="FI406" s="410"/>
      <c r="FJ406" s="410"/>
      <c r="FK406" s="410"/>
      <c r="FL406" s="410"/>
      <c r="FM406" s="147"/>
      <c r="FN406" s="27"/>
      <c r="FO406" s="27"/>
      <c r="FP406" s="27"/>
      <c r="FQ406" s="27"/>
      <c r="FR406" s="27"/>
      <c r="FS406" s="27"/>
      <c r="FT406" s="27"/>
      <c r="FU406" s="27"/>
      <c r="FV406" s="27"/>
      <c r="FW406" s="27"/>
      <c r="FX406" s="27"/>
      <c r="FY406" s="27"/>
      <c r="FZ406" s="27"/>
      <c r="GA406" s="27"/>
      <c r="GB406" s="27"/>
      <c r="GC406" s="27"/>
      <c r="GD406" s="27"/>
      <c r="GE406" s="27"/>
      <c r="GF406" s="27"/>
      <c r="GG406" s="27"/>
      <c r="GH406" s="27"/>
      <c r="GI406"/>
      <c r="GJ406"/>
      <c r="GK406"/>
      <c r="GL406"/>
      <c r="GM406"/>
      <c r="GN406"/>
      <c r="GO406" s="27"/>
      <c r="GP406"/>
      <c r="GQ406"/>
      <c r="GR406"/>
      <c r="GS406"/>
      <c r="GT406"/>
      <c r="GU406"/>
      <c r="GV406"/>
      <c r="GW406"/>
      <c r="GX406"/>
      <c r="GY406"/>
      <c r="GZ406"/>
      <c r="HA406"/>
      <c r="HB406"/>
      <c r="HC406"/>
      <c r="HD406"/>
      <c r="HE406"/>
      <c r="HF406"/>
      <c r="HG406"/>
      <c r="HH406"/>
      <c r="HI406"/>
      <c r="HJ406"/>
      <c r="HK406"/>
      <c r="HL406"/>
      <c r="HM406"/>
      <c r="HN406"/>
      <c r="HO406"/>
      <c r="HP406"/>
      <c r="HQ406"/>
      <c r="HR406"/>
      <c r="HS406"/>
      <c r="HT406"/>
      <c r="HU406"/>
      <c r="HV406"/>
      <c r="HW406"/>
      <c r="HX406"/>
      <c r="HY406"/>
      <c r="HZ406"/>
      <c r="IA406"/>
      <c r="IB406"/>
      <c r="IC406"/>
      <c r="ID406"/>
      <c r="IE406"/>
      <c r="IF406"/>
      <c r="IG406"/>
      <c r="IH406"/>
      <c r="II406"/>
      <c r="IJ406"/>
      <c r="IK406"/>
      <c r="IL406"/>
      <c r="IM406"/>
      <c r="IN406"/>
      <c r="IO406"/>
      <c r="IP406"/>
      <c r="IQ406"/>
      <c r="IR406"/>
      <c r="IS406"/>
      <c r="IT406"/>
      <c r="IU406"/>
      <c r="IV406"/>
      <c r="IW406"/>
      <c r="IX406"/>
      <c r="IY406"/>
      <c r="IZ406"/>
      <c r="JA406"/>
      <c r="JB406"/>
      <c r="JC406"/>
      <c r="JD406"/>
      <c r="JE406"/>
      <c r="JF406"/>
      <c r="JG406"/>
      <c r="JH406"/>
      <c r="JI406"/>
      <c r="JJ406"/>
      <c r="JK406"/>
      <c r="JL406"/>
      <c r="JM406"/>
      <c r="JN406"/>
      <c r="JO406"/>
      <c r="JP406"/>
      <c r="JQ406"/>
      <c r="JR406"/>
      <c r="JS406"/>
      <c r="JT406"/>
      <c r="JU406"/>
    </row>
    <row r="407" spans="1:281" s="24" customFormat="1" hidden="1" outlineLevel="1" x14ac:dyDescent="0.2">
      <c r="A407" s="342" t="s">
        <v>615</v>
      </c>
      <c r="B407" s="413"/>
      <c r="C407" s="342"/>
      <c r="D407" s="342"/>
      <c r="E407" s="342"/>
      <c r="F407" s="342"/>
      <c r="G407" s="342"/>
      <c r="H407" s="342"/>
      <c r="I407" s="342"/>
      <c r="J407" s="342"/>
      <c r="K407" s="342"/>
      <c r="L407" s="342"/>
      <c r="M407" s="342"/>
      <c r="N407" s="342"/>
      <c r="O407" s="342"/>
      <c r="P407" s="342"/>
      <c r="Q407" s="342"/>
      <c r="R407" s="342"/>
      <c r="S407" s="342"/>
      <c r="T407" s="342"/>
      <c r="U407" s="342"/>
      <c r="V407" s="342"/>
      <c r="W407" s="342"/>
      <c r="X407" s="342"/>
      <c r="Y407" s="342"/>
      <c r="Z407" s="342"/>
      <c r="AA407" s="342"/>
      <c r="AB407" s="342"/>
      <c r="AC407" s="342"/>
      <c r="AD407" s="342"/>
      <c r="AE407" s="342"/>
      <c r="AF407" s="342"/>
      <c r="AG407" s="342"/>
      <c r="AH407" s="342"/>
      <c r="AI407" s="342"/>
      <c r="AJ407" s="342"/>
      <c r="AK407" s="342"/>
      <c r="AL407" s="342"/>
      <c r="AM407" s="342"/>
      <c r="AN407" s="342"/>
      <c r="AO407" s="342"/>
      <c r="AP407" s="342"/>
      <c r="AQ407" s="342"/>
      <c r="AR407" s="342"/>
      <c r="AS407" s="342"/>
      <c r="AT407" s="342"/>
      <c r="AU407" s="342"/>
      <c r="AV407" s="342"/>
      <c r="AW407" s="342"/>
      <c r="AX407" s="342"/>
      <c r="AY407" s="342"/>
      <c r="AZ407" s="342"/>
      <c r="BA407" s="342"/>
      <c r="BB407" s="342"/>
      <c r="BC407" s="34">
        <f>(BC408-BC403)*10000</f>
        <v>223.2895482334367</v>
      </c>
      <c r="BD407" s="342"/>
      <c r="BE407" s="342"/>
      <c r="BF407" s="342"/>
      <c r="BG407" s="342"/>
      <c r="BH407" s="342"/>
      <c r="BI407" s="34">
        <f>(BI408-BI403)*10000</f>
        <v>430.061403508772</v>
      </c>
      <c r="BJ407" s="342"/>
      <c r="BK407" s="34">
        <f>(BK408-BK403)*10000</f>
        <v>362.91275167785233</v>
      </c>
      <c r="BL407" s="34">
        <f>(BL408-BL403)*10000</f>
        <v>370.13612004287279</v>
      </c>
      <c r="BM407" s="34">
        <f>(BM408-BM403)*10000</f>
        <v>386.1821086261981</v>
      </c>
      <c r="BN407" s="34">
        <f>(BN408-BN403)*10000</f>
        <v>383.26984126984098</v>
      </c>
      <c r="BO407" s="34">
        <f>(BO408-BO403)*10000</f>
        <v>394.91275167785238</v>
      </c>
      <c r="BP407" s="342"/>
      <c r="BQ407" s="34">
        <f>(BQ408-BQ403)*10000</f>
        <v>1239.7967479674794</v>
      </c>
      <c r="BR407" s="34">
        <f>(BR408-BR403)*10000</f>
        <v>275.33333333333326</v>
      </c>
      <c r="BS407" s="34">
        <f>(BS408-BS403)*10000</f>
        <v>398.44236760124608</v>
      </c>
      <c r="BT407" s="34">
        <f>(BT408-BT403)*10000</f>
        <v>605.88235294117646</v>
      </c>
      <c r="BU407" s="34">
        <f>(BU408-BU403)*10000</f>
        <v>539.91056910569091</v>
      </c>
      <c r="BV407" s="342"/>
      <c r="BW407" s="34">
        <f>(BW408-BW403)*10000</f>
        <v>1037.7906976744187</v>
      </c>
      <c r="BX407" s="34">
        <f>(BX408-BX403)*10000</f>
        <v>1220.3488372093022</v>
      </c>
      <c r="BY407" s="34">
        <f>(BY408-BY403)*10000</f>
        <v>13342.251461988304</v>
      </c>
      <c r="BZ407" s="34">
        <f>(BZ408-BZ403)*10000</f>
        <v>58.306188925081464</v>
      </c>
      <c r="CA407" s="34">
        <f>(CA408-CA403)*10000</f>
        <v>7642.5872093023254</v>
      </c>
      <c r="CB407" s="342"/>
      <c r="CC407" s="34">
        <f>(CC408-CC403)*10000</f>
        <v>-55.469845722300178</v>
      </c>
      <c r="CD407" s="34">
        <f>(CD408-CD403)*10000</f>
        <v>-18.820726622989849</v>
      </c>
      <c r="CE407" s="410">
        <v>-20</v>
      </c>
      <c r="CF407" s="410">
        <v>75</v>
      </c>
      <c r="CG407" s="147"/>
      <c r="CH407" s="342"/>
      <c r="CI407" s="410">
        <v>75</v>
      </c>
      <c r="CJ407" s="410">
        <v>75</v>
      </c>
      <c r="CK407" s="410">
        <v>75</v>
      </c>
      <c r="CL407" s="410">
        <v>75</v>
      </c>
      <c r="CM407" s="147"/>
      <c r="CN407" s="342"/>
      <c r="CO407" s="410">
        <v>75</v>
      </c>
      <c r="CP407" s="410">
        <v>75</v>
      </c>
      <c r="CQ407" s="410">
        <v>75</v>
      </c>
      <c r="CR407" s="410">
        <v>75</v>
      </c>
      <c r="CS407" s="147"/>
      <c r="CT407" s="342"/>
      <c r="CU407" s="410">
        <v>75</v>
      </c>
      <c r="CV407" s="410">
        <v>75</v>
      </c>
      <c r="CW407" s="410">
        <v>75</v>
      </c>
      <c r="CX407" s="410">
        <v>75</v>
      </c>
      <c r="CY407" s="147"/>
      <c r="CZ407" s="342"/>
      <c r="DA407" s="410">
        <v>75</v>
      </c>
      <c r="DB407" s="410">
        <v>75</v>
      </c>
      <c r="DC407" s="410">
        <v>75</v>
      </c>
      <c r="DD407" s="410">
        <v>75</v>
      </c>
      <c r="DE407" s="147"/>
      <c r="DF407" s="342"/>
      <c r="DG407" s="410">
        <v>75</v>
      </c>
      <c r="DH407" s="410">
        <v>75</v>
      </c>
      <c r="DI407" s="410">
        <v>75</v>
      </c>
      <c r="DJ407" s="410">
        <v>75</v>
      </c>
      <c r="DK407" s="147"/>
      <c r="DL407" s="342"/>
      <c r="DM407" s="410">
        <v>75</v>
      </c>
      <c r="DN407" s="410">
        <v>75</v>
      </c>
      <c r="DO407" s="410">
        <v>75</v>
      </c>
      <c r="DP407" s="410">
        <v>75</v>
      </c>
      <c r="DQ407" s="147"/>
      <c r="DR407" s="342"/>
      <c r="DS407" s="410">
        <v>75</v>
      </c>
      <c r="DT407" s="410">
        <v>75</v>
      </c>
      <c r="DU407" s="410">
        <v>75</v>
      </c>
      <c r="DV407" s="410">
        <v>75</v>
      </c>
      <c r="DW407" s="147"/>
      <c r="DX407" s="342"/>
      <c r="DY407" s="410">
        <v>75</v>
      </c>
      <c r="DZ407" s="410">
        <v>75</v>
      </c>
      <c r="EA407" s="410">
        <v>75</v>
      </c>
      <c r="EB407" s="410">
        <v>75</v>
      </c>
      <c r="EC407" s="147"/>
      <c r="ED407" s="342"/>
      <c r="EE407" s="410">
        <v>75</v>
      </c>
      <c r="EF407" s="410">
        <v>75</v>
      </c>
      <c r="EG407" s="410">
        <v>75</v>
      </c>
      <c r="EH407" s="410">
        <v>75</v>
      </c>
      <c r="EI407" s="147"/>
      <c r="EJ407" s="342"/>
      <c r="EK407" s="410">
        <v>75</v>
      </c>
      <c r="EL407" s="410">
        <v>75</v>
      </c>
      <c r="EM407" s="410">
        <v>75</v>
      </c>
      <c r="EN407" s="410">
        <v>75</v>
      </c>
      <c r="EO407" s="147"/>
      <c r="EP407" s="342"/>
      <c r="EQ407" s="410">
        <v>75</v>
      </c>
      <c r="ER407" s="410">
        <v>75</v>
      </c>
      <c r="ES407" s="410">
        <v>75</v>
      </c>
      <c r="ET407" s="410">
        <v>75</v>
      </c>
      <c r="EU407" s="147"/>
      <c r="EV407" s="342"/>
      <c r="EW407" s="410">
        <v>75</v>
      </c>
      <c r="EX407" s="410">
        <v>75</v>
      </c>
      <c r="EY407" s="410">
        <v>75</v>
      </c>
      <c r="EZ407" s="410">
        <v>75</v>
      </c>
      <c r="FA407" s="147"/>
      <c r="FB407" s="342"/>
      <c r="FC407" s="410">
        <v>75</v>
      </c>
      <c r="FD407" s="410">
        <v>75</v>
      </c>
      <c r="FE407" s="410">
        <v>75</v>
      </c>
      <c r="FF407" s="410">
        <v>75</v>
      </c>
      <c r="FG407" s="147"/>
      <c r="FH407" s="342"/>
      <c r="FI407" s="410">
        <v>75</v>
      </c>
      <c r="FJ407" s="410">
        <v>75</v>
      </c>
      <c r="FK407" s="410">
        <v>75</v>
      </c>
      <c r="FL407" s="410">
        <v>75</v>
      </c>
      <c r="FM407" s="147"/>
      <c r="FN407" s="27"/>
      <c r="FO407" s="27"/>
      <c r="FP407" s="27"/>
      <c r="FQ407" s="27"/>
      <c r="FR407" s="27"/>
      <c r="FS407" s="27"/>
      <c r="FT407" s="27"/>
      <c r="FU407" s="27"/>
      <c r="FV407" s="27"/>
      <c r="FW407" s="27"/>
      <c r="FX407" s="27"/>
      <c r="FY407" s="27"/>
      <c r="FZ407" s="27"/>
      <c r="GA407" s="27"/>
      <c r="GB407" s="27"/>
      <c r="GC407" s="27"/>
      <c r="GD407" s="27"/>
      <c r="GE407" s="27"/>
      <c r="GF407" s="27"/>
      <c r="GG407" s="27"/>
      <c r="GH407" s="27"/>
      <c r="GI407"/>
      <c r="GJ407"/>
      <c r="GK407"/>
      <c r="GL407"/>
      <c r="GM407"/>
      <c r="GN407"/>
      <c r="GO407" s="27"/>
      <c r="GP407"/>
      <c r="GQ407"/>
      <c r="GR407"/>
      <c r="GS407"/>
      <c r="GT407"/>
      <c r="GU407"/>
      <c r="GV407"/>
      <c r="GW407"/>
      <c r="GX407"/>
      <c r="GY407"/>
      <c r="GZ407"/>
      <c r="HA407"/>
      <c r="HB407"/>
      <c r="HC407"/>
      <c r="HD407"/>
      <c r="HE407"/>
      <c r="HF407"/>
      <c r="HG407"/>
      <c r="HH407"/>
      <c r="HI407"/>
      <c r="HJ407"/>
      <c r="HK407"/>
      <c r="HL407"/>
      <c r="HM407"/>
      <c r="HN407"/>
      <c r="HO407"/>
      <c r="HP407"/>
      <c r="HQ407"/>
      <c r="HR407"/>
      <c r="HS407"/>
      <c r="HT407"/>
      <c r="HU407"/>
      <c r="HV407"/>
      <c r="HW407"/>
      <c r="HX407"/>
      <c r="HY407"/>
      <c r="HZ407"/>
      <c r="IA407"/>
      <c r="IB407"/>
      <c r="IC407"/>
      <c r="ID407"/>
      <c r="IE407"/>
      <c r="IF407"/>
      <c r="IG407"/>
      <c r="IH407"/>
      <c r="II407"/>
      <c r="IJ407"/>
      <c r="IK407"/>
      <c r="IL407"/>
      <c r="IM407"/>
      <c r="IN407"/>
      <c r="IO407"/>
      <c r="IP407"/>
      <c r="IQ407"/>
      <c r="IR407"/>
      <c r="IS407"/>
      <c r="IT407"/>
      <c r="IU407"/>
      <c r="IV407"/>
      <c r="IW407"/>
      <c r="IX407"/>
      <c r="IY407"/>
      <c r="IZ407"/>
      <c r="JA407"/>
      <c r="JB407"/>
      <c r="JC407"/>
      <c r="JD407"/>
      <c r="JE407"/>
      <c r="JF407"/>
      <c r="JG407"/>
      <c r="JH407"/>
      <c r="JI407"/>
      <c r="JJ407"/>
      <c r="JK407"/>
      <c r="JL407"/>
      <c r="JM407"/>
      <c r="JN407"/>
      <c r="JO407"/>
      <c r="JP407"/>
      <c r="JQ407"/>
      <c r="JR407"/>
      <c r="JS407"/>
      <c r="JT407"/>
      <c r="JU407"/>
    </row>
    <row r="408" spans="1:281" s="28" customFormat="1" ht="12" hidden="1" customHeight="1" outlineLevel="1" x14ac:dyDescent="0.2">
      <c r="A408" s="342" t="s">
        <v>616</v>
      </c>
      <c r="B408" s="414"/>
      <c r="AW408" s="69"/>
      <c r="BC408" s="69">
        <f>-BC178/AW379</f>
        <v>7.9612288156676994E-2</v>
      </c>
      <c r="BI408" s="69">
        <f>-BI178/BC379</f>
        <v>6.5789473684210523E-2</v>
      </c>
      <c r="BK408" s="69">
        <f>-BK178/BH379*4</f>
        <v>5.3691275167785234E-2</v>
      </c>
      <c r="BL408" s="69">
        <f>-BL178/BK379*4</f>
        <v>5.1446945337620578E-2</v>
      </c>
      <c r="BM408" s="69">
        <f>-BM178/BL379*4</f>
        <v>5.1118210862619806E-2</v>
      </c>
      <c r="BN408" s="69">
        <f>-BN178/BM379*4</f>
        <v>5.0793650793650794E-2</v>
      </c>
      <c r="BO408" s="69">
        <f>-BO178/BI379</f>
        <v>5.3691275167785234E-2</v>
      </c>
      <c r="BQ408" s="69">
        <f>-BQ178/BN379*4</f>
        <v>0.13414634146341464</v>
      </c>
      <c r="BR408" s="69">
        <f>-BR178/BQ379*4</f>
        <v>3.7499999999999999E-2</v>
      </c>
      <c r="BS408" s="69">
        <f>-BS178/BR379*4</f>
        <v>4.9844236760124609E-2</v>
      </c>
      <c r="BT408" s="69">
        <f>-BT178/BS379*4</f>
        <v>7.0588235294117646E-2</v>
      </c>
      <c r="BU408" s="69">
        <f>-BU178/BO379</f>
        <v>6.402439024390244E-2</v>
      </c>
      <c r="BW408" s="69">
        <f>-BW178/BT379*4</f>
        <v>0.11627906976744186</v>
      </c>
      <c r="BX408" s="69">
        <f>-BX178/BW379*4</f>
        <v>0.13953488372093023</v>
      </c>
      <c r="BY408" s="69">
        <f>-BY178/BX379*4</f>
        <v>1.3567251461988303</v>
      </c>
      <c r="BZ408" s="69">
        <f>-BZ178/BY379*4</f>
        <v>3.5830618892508145E-2</v>
      </c>
      <c r="CA408" s="69">
        <f>-CA178/BU379</f>
        <v>0.78488372093023251</v>
      </c>
      <c r="CB408" s="134"/>
      <c r="CC408" s="69">
        <f>-CC178/BZ379*4</f>
        <v>2.9453015427769985E-2</v>
      </c>
      <c r="CD408" s="69">
        <f>-CD178/CC379*4</f>
        <v>3.8117927337701016E-2</v>
      </c>
      <c r="CE408" s="69">
        <f>-CE178/CD379*4</f>
        <v>0.18438381937911572</v>
      </c>
      <c r="CF408" s="81">
        <f>CF403+(CF407/10000)</f>
        <v>5.5E-2</v>
      </c>
      <c r="CG408" s="415"/>
      <c r="CH408" s="134"/>
      <c r="CI408" s="81">
        <f>CI403+(CI407/10000)</f>
        <v>4.2500000000000003E-2</v>
      </c>
      <c r="CJ408" s="81">
        <f>CJ403+(CJ407/10000)</f>
        <v>4.7500000000000001E-2</v>
      </c>
      <c r="CK408" s="81">
        <f>CK403+(CK407/10000)</f>
        <v>5.7500000000000002E-2</v>
      </c>
      <c r="CL408" s="81">
        <f>CL403+(CL407/10000)</f>
        <v>5.7500000000000002E-2</v>
      </c>
      <c r="CM408" s="416"/>
      <c r="CN408" s="134"/>
      <c r="CO408" s="81">
        <f>CO403+(CO407/10000)</f>
        <v>5.7500000000000002E-2</v>
      </c>
      <c r="CP408" s="81">
        <f>CP403+(CP407/10000)</f>
        <v>5.7500000000000002E-2</v>
      </c>
      <c r="CQ408" s="81">
        <f>CQ403+(CQ407/10000)</f>
        <v>5.7500000000000002E-2</v>
      </c>
      <c r="CR408" s="81">
        <f>CR403+(CR407/10000)</f>
        <v>5.7500000000000002E-2</v>
      </c>
      <c r="CS408" s="416"/>
      <c r="CT408" s="134"/>
      <c r="CU408" s="81">
        <f>CU403+(CU407/10000)</f>
        <v>5.7500000000000002E-2</v>
      </c>
      <c r="CV408" s="81">
        <f>CV403+(CV407/10000)</f>
        <v>5.7500000000000002E-2</v>
      </c>
      <c r="CW408" s="81">
        <f>CW403+(CW407/10000)</f>
        <v>5.7500000000000002E-2</v>
      </c>
      <c r="CX408" s="81">
        <f>CX403+(CX407/10000)</f>
        <v>5.7500000000000002E-2</v>
      </c>
      <c r="CY408" s="416"/>
      <c r="CZ408" s="134"/>
      <c r="DA408" s="81">
        <f>DA403+(DA407/10000)</f>
        <v>5.7500000000000002E-2</v>
      </c>
      <c r="DB408" s="81">
        <f>DB403+(DB407/10000)</f>
        <v>5.7500000000000002E-2</v>
      </c>
      <c r="DC408" s="81">
        <f>DC403+(DC407/10000)</f>
        <v>5.7500000000000002E-2</v>
      </c>
      <c r="DD408" s="81">
        <f>DD403+(DD407/10000)</f>
        <v>5.7500000000000002E-2</v>
      </c>
      <c r="DE408" s="416"/>
      <c r="DF408" s="134"/>
      <c r="DG408" s="81">
        <f>DG403+(DG407/10000)</f>
        <v>5.7500000000000002E-2</v>
      </c>
      <c r="DH408" s="81">
        <f>DH403+(DH407/10000)</f>
        <v>5.7500000000000002E-2</v>
      </c>
      <c r="DI408" s="81">
        <f>DI403+(DI407/10000)</f>
        <v>5.7500000000000002E-2</v>
      </c>
      <c r="DJ408" s="81">
        <f>DJ403+(DJ407/10000)</f>
        <v>5.7500000000000002E-2</v>
      </c>
      <c r="DK408" s="416"/>
      <c r="DL408" s="134"/>
      <c r="DM408" s="81">
        <f>DM403+(DM407/10000)</f>
        <v>5.7500000000000002E-2</v>
      </c>
      <c r="DN408" s="81">
        <f>DN403+(DN407/10000)</f>
        <v>5.7500000000000002E-2</v>
      </c>
      <c r="DO408" s="81">
        <f>DO403+(DO407/10000)</f>
        <v>5.7500000000000002E-2</v>
      </c>
      <c r="DP408" s="81">
        <f>DP403+(DP407/10000)</f>
        <v>5.7500000000000002E-2</v>
      </c>
      <c r="DQ408" s="416"/>
      <c r="DR408" s="134"/>
      <c r="DS408" s="81">
        <f>DS403+(DS407/10000)</f>
        <v>5.7500000000000002E-2</v>
      </c>
      <c r="DT408" s="81">
        <f>DT403+(DT407/10000)</f>
        <v>5.7500000000000002E-2</v>
      </c>
      <c r="DU408" s="81">
        <f>DU403+(DU407/10000)</f>
        <v>5.7500000000000002E-2</v>
      </c>
      <c r="DV408" s="81">
        <f>DV403+(DV407/10000)</f>
        <v>5.7500000000000002E-2</v>
      </c>
      <c r="DW408" s="416"/>
      <c r="DX408" s="134"/>
      <c r="DY408" s="81">
        <f>DY403+(DY407/10000)</f>
        <v>5.7500000000000002E-2</v>
      </c>
      <c r="DZ408" s="81">
        <f>DZ403+(DZ407/10000)</f>
        <v>5.7500000000000002E-2</v>
      </c>
      <c r="EA408" s="81">
        <f>EA403+(EA407/10000)</f>
        <v>5.7500000000000002E-2</v>
      </c>
      <c r="EB408" s="81">
        <f>EB403+(EB407/10000)</f>
        <v>5.7500000000000002E-2</v>
      </c>
      <c r="EC408" s="416"/>
      <c r="ED408" s="134"/>
      <c r="EE408" s="81">
        <f>EE403+(EE407/10000)</f>
        <v>5.7500000000000002E-2</v>
      </c>
      <c r="EF408" s="81">
        <f>EF403+(EF407/10000)</f>
        <v>5.7500000000000002E-2</v>
      </c>
      <c r="EG408" s="81">
        <f>EG403+(EG407/10000)</f>
        <v>5.7500000000000002E-2</v>
      </c>
      <c r="EH408" s="81">
        <f>EH403+(EH407/10000)</f>
        <v>5.7500000000000002E-2</v>
      </c>
      <c r="EI408" s="416"/>
      <c r="EJ408" s="134"/>
      <c r="EK408" s="81">
        <f>EK403+(EK407/10000)</f>
        <v>5.7500000000000002E-2</v>
      </c>
      <c r="EL408" s="81">
        <f>EL403+(EL407/10000)</f>
        <v>5.7500000000000002E-2</v>
      </c>
      <c r="EM408" s="81">
        <f>EM403+(EM407/10000)</f>
        <v>5.7500000000000002E-2</v>
      </c>
      <c r="EN408" s="81">
        <f>EN403+(EN407/10000)</f>
        <v>5.7500000000000002E-2</v>
      </c>
      <c r="EO408" s="416"/>
      <c r="EP408" s="134"/>
      <c r="EQ408" s="81">
        <f>EQ403+(EQ407/10000)</f>
        <v>5.7500000000000002E-2</v>
      </c>
      <c r="ER408" s="81">
        <f>ER403+(ER407/10000)</f>
        <v>5.7500000000000002E-2</v>
      </c>
      <c r="ES408" s="81">
        <f>ES403+(ES407/10000)</f>
        <v>5.7500000000000002E-2</v>
      </c>
      <c r="ET408" s="81">
        <f>ET403+(ET407/10000)</f>
        <v>5.7500000000000002E-2</v>
      </c>
      <c r="EU408" s="416"/>
      <c r="EV408" s="134"/>
      <c r="EW408" s="81">
        <f>EW403+(EW407/10000)</f>
        <v>5.7500000000000002E-2</v>
      </c>
      <c r="EX408" s="81">
        <f>EX403+(EX407/10000)</f>
        <v>5.7500000000000002E-2</v>
      </c>
      <c r="EY408" s="81">
        <f>EY403+(EY407/10000)</f>
        <v>5.7500000000000002E-2</v>
      </c>
      <c r="EZ408" s="81">
        <f>EZ403+(EZ407/10000)</f>
        <v>5.7500000000000002E-2</v>
      </c>
      <c r="FA408" s="416"/>
      <c r="FB408" s="134"/>
      <c r="FC408" s="81">
        <f>FC403+(FC407/10000)</f>
        <v>5.7500000000000002E-2</v>
      </c>
      <c r="FD408" s="81">
        <f>FD403+(FD407/10000)</f>
        <v>5.7500000000000002E-2</v>
      </c>
      <c r="FE408" s="81">
        <f>FE403+(FE407/10000)</f>
        <v>5.7500000000000002E-2</v>
      </c>
      <c r="FF408" s="81">
        <f>FF403+(FF407/10000)</f>
        <v>5.7500000000000002E-2</v>
      </c>
      <c r="FG408" s="416"/>
      <c r="FH408" s="134"/>
      <c r="FI408" s="81">
        <f>FI403+(FI407/10000)</f>
        <v>5.7500000000000002E-2</v>
      </c>
      <c r="FJ408" s="81">
        <f>FJ403+(FJ407/10000)</f>
        <v>5.7500000000000002E-2</v>
      </c>
      <c r="FK408" s="81">
        <f>FK403+(FK407/10000)</f>
        <v>5.7500000000000002E-2</v>
      </c>
      <c r="FL408" s="81">
        <f>FL403+(FL407/10000)</f>
        <v>5.7500000000000002E-2</v>
      </c>
      <c r="FM408" s="416"/>
      <c r="FN408" s="27"/>
      <c r="FO408" s="27"/>
      <c r="FP408" s="27"/>
      <c r="FQ408" s="27"/>
      <c r="FR408" s="27"/>
      <c r="FS408" s="27"/>
      <c r="FT408" s="27"/>
      <c r="FU408" s="27"/>
      <c r="FV408" s="27"/>
      <c r="FW408" s="27"/>
      <c r="FX408" s="27"/>
      <c r="FY408" s="27"/>
      <c r="FZ408" s="27"/>
      <c r="GA408" s="27"/>
      <c r="GB408" s="27"/>
      <c r="GC408" s="27"/>
      <c r="GD408" s="27"/>
      <c r="GE408" s="27"/>
      <c r="GF408" s="27"/>
      <c r="GG408" s="27"/>
      <c r="GH408" s="27"/>
      <c r="GI408"/>
      <c r="GJ408"/>
      <c r="GK408"/>
      <c r="GL408"/>
      <c r="GM408"/>
      <c r="GN408"/>
      <c r="GO408" s="27"/>
      <c r="GP408"/>
      <c r="GQ408"/>
      <c r="GR408"/>
      <c r="GS408"/>
      <c r="GT408"/>
      <c r="GU408"/>
      <c r="GV408"/>
      <c r="GW408"/>
      <c r="GX408"/>
      <c r="GY408"/>
      <c r="GZ408"/>
      <c r="HA408"/>
      <c r="HB408"/>
      <c r="HC408"/>
      <c r="HD408"/>
      <c r="HE408"/>
      <c r="HF408"/>
      <c r="HG408"/>
      <c r="HH408"/>
      <c r="HI408"/>
      <c r="HJ408"/>
      <c r="HK408"/>
      <c r="HL408"/>
      <c r="HM408"/>
      <c r="HN408"/>
      <c r="HO408"/>
      <c r="HP408"/>
      <c r="HQ408"/>
      <c r="HR408"/>
      <c r="HS408"/>
      <c r="HT408"/>
      <c r="HU408"/>
      <c r="HV408"/>
      <c r="HW408"/>
      <c r="HX408"/>
      <c r="HY408"/>
      <c r="HZ408"/>
      <c r="IA408"/>
      <c r="IB408"/>
      <c r="IC408"/>
      <c r="ID408"/>
      <c r="IE408"/>
      <c r="IF408"/>
      <c r="IG408"/>
      <c r="IH408"/>
      <c r="II408"/>
      <c r="IJ408"/>
      <c r="IK408"/>
      <c r="IL408"/>
      <c r="IM408"/>
      <c r="IN408"/>
      <c r="IO408"/>
      <c r="IP408"/>
      <c r="IQ408"/>
      <c r="IR408"/>
      <c r="IS408"/>
      <c r="IT408"/>
      <c r="IU408"/>
      <c r="IV408"/>
      <c r="IW408"/>
      <c r="IX408"/>
      <c r="IY408"/>
      <c r="IZ408"/>
      <c r="JA408"/>
      <c r="JB408"/>
      <c r="JC408"/>
      <c r="JD408"/>
      <c r="JE408"/>
      <c r="JF408"/>
      <c r="JG408"/>
      <c r="JH408"/>
      <c r="JI408"/>
      <c r="JJ408"/>
      <c r="JK408"/>
      <c r="JL408"/>
      <c r="JM408"/>
      <c r="JN408"/>
      <c r="JO408"/>
      <c r="JP408"/>
      <c r="JQ408"/>
      <c r="JR408"/>
      <c r="JS408"/>
      <c r="JT408"/>
      <c r="JU408"/>
    </row>
    <row r="409" spans="1:281" s="28" customFormat="1" ht="12" hidden="1" customHeight="1" outlineLevel="1" x14ac:dyDescent="0.2">
      <c r="A409" s="58" t="s">
        <v>617</v>
      </c>
      <c r="B409" s="414"/>
      <c r="AW409" s="69"/>
      <c r="BC409" s="69"/>
      <c r="BI409" s="69"/>
      <c r="BK409" s="69"/>
      <c r="BL409" s="69"/>
      <c r="BM409" s="69"/>
      <c r="BN409" s="69"/>
      <c r="BO409" s="69"/>
      <c r="BQ409" s="69"/>
      <c r="BR409" s="69"/>
      <c r="BS409" s="69"/>
      <c r="BT409" s="69"/>
      <c r="BU409" s="69"/>
      <c r="BW409" s="69"/>
      <c r="BX409" s="69"/>
      <c r="BY409" s="69"/>
      <c r="BZ409" s="69"/>
      <c r="CA409" s="69"/>
      <c r="CB409" s="134"/>
      <c r="CC409" s="69"/>
      <c r="CD409" s="69"/>
      <c r="CE409" s="69"/>
      <c r="CF409" s="69"/>
      <c r="CG409" s="415"/>
      <c r="CH409" s="134"/>
      <c r="CI409" s="81"/>
      <c r="CJ409" s="81"/>
      <c r="CK409" s="81"/>
      <c r="CL409" s="81"/>
      <c r="CM409" s="416"/>
      <c r="CN409" s="134"/>
      <c r="CO409" s="81"/>
      <c r="CP409" s="81"/>
      <c r="CQ409" s="81"/>
      <c r="CR409" s="81"/>
      <c r="CS409" s="416"/>
      <c r="CT409" s="134"/>
      <c r="CU409" s="81"/>
      <c r="CV409" s="81"/>
      <c r="CW409" s="81"/>
      <c r="CX409" s="81"/>
      <c r="CY409" s="416"/>
      <c r="CZ409" s="134"/>
      <c r="DA409" s="81"/>
      <c r="DB409" s="81"/>
      <c r="DC409" s="81"/>
      <c r="DD409" s="81"/>
      <c r="DE409" s="416"/>
      <c r="DF409" s="134"/>
      <c r="DG409" s="81"/>
      <c r="DH409" s="81"/>
      <c r="DI409" s="81"/>
      <c r="DJ409" s="81"/>
      <c r="DK409" s="416"/>
      <c r="DL409" s="134"/>
      <c r="DM409" s="81"/>
      <c r="DN409" s="81"/>
      <c r="DO409" s="81"/>
      <c r="DP409" s="81"/>
      <c r="DQ409" s="416"/>
      <c r="DR409" s="134"/>
      <c r="DS409" s="81"/>
      <c r="DT409" s="81"/>
      <c r="DU409" s="81"/>
      <c r="DV409" s="81"/>
      <c r="DW409" s="416"/>
      <c r="DX409" s="134"/>
      <c r="DY409" s="81"/>
      <c r="DZ409" s="81"/>
      <c r="EA409" s="81"/>
      <c r="EB409" s="81"/>
      <c r="EC409" s="416"/>
      <c r="ED409" s="134"/>
      <c r="EE409" s="81"/>
      <c r="EF409" s="81"/>
      <c r="EG409" s="81"/>
      <c r="EH409" s="81"/>
      <c r="EI409" s="416"/>
      <c r="EJ409" s="134"/>
      <c r="EK409" s="81"/>
      <c r="EL409" s="81"/>
      <c r="EM409" s="81"/>
      <c r="EN409" s="81"/>
      <c r="EO409" s="416"/>
      <c r="EP409" s="134"/>
      <c r="EQ409" s="81"/>
      <c r="ER409" s="81"/>
      <c r="ES409" s="81"/>
      <c r="ET409" s="81"/>
      <c r="EU409" s="416"/>
      <c r="EV409" s="134"/>
      <c r="EW409" s="81"/>
      <c r="EX409" s="81"/>
      <c r="EY409" s="81"/>
      <c r="EZ409" s="81"/>
      <c r="FA409" s="416"/>
      <c r="FB409" s="134"/>
      <c r="FC409" s="81"/>
      <c r="FD409" s="81"/>
      <c r="FE409" s="81"/>
      <c r="FF409" s="81"/>
      <c r="FG409" s="416"/>
      <c r="FH409" s="134"/>
      <c r="FI409" s="81"/>
      <c r="FJ409" s="81"/>
      <c r="FK409" s="81"/>
      <c r="FL409" s="81"/>
      <c r="FM409" s="416"/>
      <c r="FN409" s="27"/>
      <c r="FO409" s="27"/>
      <c r="FP409" s="27"/>
      <c r="FQ409" s="27"/>
      <c r="FR409" s="27"/>
      <c r="FS409" s="27"/>
      <c r="FT409" s="27"/>
      <c r="FU409" s="27"/>
      <c r="FV409" s="27"/>
      <c r="FW409" s="27"/>
      <c r="FX409" s="27"/>
      <c r="FY409" s="27"/>
      <c r="FZ409" s="27"/>
      <c r="GA409" s="27"/>
      <c r="GB409" s="27"/>
      <c r="GC409" s="27"/>
      <c r="GD409" s="27"/>
      <c r="GE409" s="27"/>
      <c r="GF409" s="27"/>
      <c r="GG409" s="27"/>
      <c r="GH409" s="27"/>
      <c r="GI409"/>
      <c r="GJ409"/>
      <c r="GK409"/>
      <c r="GL409"/>
      <c r="GM409"/>
      <c r="GN409"/>
      <c r="GO409" s="27"/>
      <c r="GP409"/>
      <c r="GQ409"/>
      <c r="GR409"/>
      <c r="GS409"/>
      <c r="GT409"/>
      <c r="GU409"/>
      <c r="GV409"/>
      <c r="GW409"/>
      <c r="GX409"/>
      <c r="GY409"/>
      <c r="GZ409"/>
      <c r="HA409"/>
      <c r="HB409"/>
      <c r="HC409"/>
      <c r="HD409"/>
      <c r="HE409"/>
      <c r="HF409"/>
      <c r="HG409"/>
      <c r="HH409"/>
      <c r="HI409"/>
      <c r="HJ409"/>
      <c r="HK409"/>
      <c r="HL409"/>
      <c r="HM409"/>
      <c r="HN409"/>
      <c r="HO409"/>
      <c r="HP409"/>
      <c r="HQ409"/>
      <c r="HR409"/>
      <c r="HS409"/>
      <c r="HT409"/>
      <c r="HU409"/>
      <c r="HV409"/>
      <c r="HW409"/>
      <c r="HX409"/>
      <c r="HY409"/>
      <c r="HZ409"/>
      <c r="IA409"/>
      <c r="IB409"/>
      <c r="IC409"/>
      <c r="ID409"/>
      <c r="IE409"/>
      <c r="IF409"/>
      <c r="IG409"/>
      <c r="IH409"/>
      <c r="II409"/>
      <c r="IJ409"/>
      <c r="IK409"/>
      <c r="IL409"/>
      <c r="IM409"/>
      <c r="IN409"/>
      <c r="IO409"/>
      <c r="IP409"/>
      <c r="IQ409"/>
      <c r="IR409"/>
      <c r="IS409"/>
      <c r="IT409"/>
      <c r="IU409"/>
      <c r="IV409"/>
      <c r="IW409"/>
      <c r="IX409"/>
      <c r="IY409"/>
      <c r="IZ409"/>
      <c r="JA409"/>
      <c r="JB409"/>
      <c r="JC409"/>
      <c r="JD409"/>
      <c r="JE409"/>
      <c r="JF409"/>
      <c r="JG409"/>
      <c r="JH409"/>
      <c r="JI409"/>
      <c r="JJ409"/>
      <c r="JK409"/>
      <c r="JL409"/>
      <c r="JM409"/>
      <c r="JN409"/>
      <c r="JO409"/>
      <c r="JP409"/>
      <c r="JQ409"/>
      <c r="JR409"/>
      <c r="JS409"/>
      <c r="JT409"/>
      <c r="JU409"/>
    </row>
    <row r="410" spans="1:281" s="28" customFormat="1" ht="12" hidden="1" customHeight="1" outlineLevel="1" x14ac:dyDescent="0.2">
      <c r="A410" s="342" t="s">
        <v>985</v>
      </c>
      <c r="B410" s="414"/>
      <c r="AW410" s="69"/>
      <c r="BC410" s="69"/>
      <c r="BI410" s="69"/>
      <c r="BK410" s="69"/>
      <c r="BL410" s="69"/>
      <c r="BM410" s="69"/>
      <c r="BN410" s="69"/>
      <c r="BO410" s="69"/>
      <c r="BQ410" s="69"/>
      <c r="BR410" s="69"/>
      <c r="BS410" s="69"/>
      <c r="BT410" s="69"/>
      <c r="BU410" s="69"/>
      <c r="BW410" s="69"/>
      <c r="BX410" s="69"/>
      <c r="BY410" s="69"/>
      <c r="BZ410" s="69"/>
      <c r="CA410" s="69"/>
      <c r="CB410" s="134"/>
      <c r="CC410" s="69"/>
      <c r="CD410" s="69"/>
      <c r="CE410" s="69"/>
      <c r="CF410" s="69"/>
      <c r="CG410" s="415"/>
      <c r="CH410" s="134"/>
      <c r="CI410" s="81"/>
      <c r="CJ410" s="81"/>
      <c r="CK410" s="81"/>
      <c r="CL410" s="81"/>
      <c r="CM410" s="416"/>
      <c r="CN410" s="134"/>
      <c r="CO410" s="81"/>
      <c r="CP410" s="81"/>
      <c r="CQ410" s="81"/>
      <c r="CR410" s="81"/>
      <c r="CS410" s="416"/>
      <c r="CT410" s="134"/>
      <c r="CU410" s="81"/>
      <c r="CV410" s="81"/>
      <c r="CW410" s="81"/>
      <c r="CX410" s="81"/>
      <c r="CY410" s="416"/>
      <c r="CZ410" s="134"/>
      <c r="DA410" s="81"/>
      <c r="DB410" s="81"/>
      <c r="DC410" s="81"/>
      <c r="DD410" s="81"/>
      <c r="DE410" s="416"/>
      <c r="DF410" s="134"/>
      <c r="DG410" s="81"/>
      <c r="DH410" s="81"/>
      <c r="DI410" s="81"/>
      <c r="DJ410" s="81"/>
      <c r="DK410" s="416"/>
      <c r="DL410" s="134"/>
      <c r="DM410" s="81"/>
      <c r="DN410" s="81"/>
      <c r="DO410" s="81"/>
      <c r="DP410" s="81"/>
      <c r="DQ410" s="416"/>
      <c r="DR410" s="134"/>
      <c r="DS410" s="81"/>
      <c r="DT410" s="81"/>
      <c r="DU410" s="81"/>
      <c r="DV410" s="81"/>
      <c r="DW410" s="416"/>
      <c r="DX410" s="134"/>
      <c r="DY410" s="81"/>
      <c r="DZ410" s="81"/>
      <c r="EA410" s="81"/>
      <c r="EB410" s="81"/>
      <c r="EC410" s="416"/>
      <c r="ED410" s="134"/>
      <c r="EE410" s="81"/>
      <c r="EF410" s="81"/>
      <c r="EG410" s="81"/>
      <c r="EH410" s="81"/>
      <c r="EI410" s="416"/>
      <c r="EJ410" s="134"/>
      <c r="EK410" s="81"/>
      <c r="EL410" s="81"/>
      <c r="EM410" s="81"/>
      <c r="EN410" s="81"/>
      <c r="EO410" s="416"/>
      <c r="EP410" s="134"/>
      <c r="EQ410" s="81"/>
      <c r="ER410" s="81"/>
      <c r="ES410" s="81"/>
      <c r="ET410" s="81"/>
      <c r="EU410" s="416"/>
      <c r="EV410" s="134"/>
      <c r="EW410" s="81"/>
      <c r="EX410" s="81"/>
      <c r="EY410" s="81"/>
      <c r="EZ410" s="81"/>
      <c r="FA410" s="416"/>
      <c r="FB410" s="134"/>
      <c r="FC410" s="81"/>
      <c r="FD410" s="81"/>
      <c r="FE410" s="81"/>
      <c r="FF410" s="81"/>
      <c r="FG410" s="416"/>
      <c r="FH410" s="134"/>
      <c r="FI410" s="81"/>
      <c r="FJ410" s="81"/>
      <c r="FK410" s="81"/>
      <c r="FL410" s="81"/>
      <c r="FM410" s="416"/>
      <c r="FN410" s="27"/>
      <c r="FO410" s="27"/>
      <c r="FP410" s="27"/>
      <c r="FQ410" s="27"/>
      <c r="FR410" s="27"/>
      <c r="FS410" s="27"/>
      <c r="FT410" s="27"/>
      <c r="FU410" s="27"/>
      <c r="FV410" s="27"/>
      <c r="FW410" s="27"/>
      <c r="FX410" s="27"/>
      <c r="FY410" s="27"/>
      <c r="FZ410" s="27"/>
      <c r="GA410" s="27"/>
      <c r="GB410" s="27"/>
      <c r="GC410" s="27"/>
      <c r="GD410" s="27"/>
      <c r="GE410" s="27"/>
      <c r="GF410" s="27"/>
      <c r="GG410" s="27"/>
      <c r="GH410" s="27"/>
      <c r="GI410"/>
      <c r="GJ410"/>
      <c r="GK410"/>
      <c r="GL410"/>
      <c r="GM410"/>
      <c r="GN410"/>
      <c r="GO410" s="27"/>
      <c r="GP410"/>
      <c r="GQ410"/>
      <c r="GR410"/>
      <c r="GS410"/>
      <c r="GT410"/>
      <c r="GU410"/>
      <c r="GV410"/>
      <c r="GW410"/>
      <c r="GX410"/>
      <c r="GY410"/>
      <c r="GZ410"/>
      <c r="HA410"/>
      <c r="HB410"/>
      <c r="HC410"/>
      <c r="HD410"/>
      <c r="HE410"/>
      <c r="HF410"/>
      <c r="HG410"/>
      <c r="HH410"/>
      <c r="HI410"/>
      <c r="HJ410"/>
      <c r="HK410"/>
      <c r="HL410"/>
      <c r="HM410"/>
      <c r="HN410"/>
      <c r="HO410"/>
      <c r="HP410"/>
      <c r="HQ410"/>
      <c r="HR410"/>
      <c r="HS410"/>
      <c r="HT410"/>
      <c r="HU410"/>
      <c r="HV410"/>
      <c r="HW410"/>
      <c r="HX410"/>
      <c r="HY410"/>
      <c r="HZ410"/>
      <c r="IA410"/>
      <c r="IB410"/>
      <c r="IC410"/>
      <c r="ID410"/>
      <c r="IE410"/>
      <c r="IF410"/>
      <c r="IG410"/>
      <c r="IH410"/>
      <c r="II410"/>
      <c r="IJ410"/>
      <c r="IK410"/>
      <c r="IL410"/>
      <c r="IM410"/>
      <c r="IN410"/>
      <c r="IO410"/>
      <c r="IP410"/>
      <c r="IQ410"/>
      <c r="IR410"/>
      <c r="IS410"/>
      <c r="IT410"/>
      <c r="IU410"/>
      <c r="IV410"/>
      <c r="IW410"/>
      <c r="IX410"/>
      <c r="IY410"/>
      <c r="IZ410"/>
      <c r="JA410"/>
      <c r="JB410"/>
      <c r="JC410"/>
      <c r="JD410"/>
      <c r="JE410"/>
      <c r="JF410"/>
      <c r="JG410"/>
      <c r="JH410"/>
      <c r="JI410"/>
      <c r="JJ410"/>
      <c r="JK410"/>
      <c r="JL410"/>
      <c r="JM410"/>
      <c r="JN410"/>
      <c r="JO410"/>
      <c r="JP410"/>
      <c r="JQ410"/>
      <c r="JR410"/>
      <c r="JS410"/>
      <c r="JT410"/>
      <c r="JU410"/>
    </row>
    <row r="411" spans="1:281" s="28" customFormat="1" ht="12" hidden="1" customHeight="1" outlineLevel="1" x14ac:dyDescent="0.2">
      <c r="A411" s="342" t="str">
        <f>'Balance Sheet'!A50</f>
        <v>Floating rate May '09 notes</v>
      </c>
      <c r="B411" s="414"/>
      <c r="AW411" s="69"/>
      <c r="BC411" s="69"/>
      <c r="BI411" s="69"/>
      <c r="BK411" s="69"/>
      <c r="BL411" s="69"/>
      <c r="BM411" s="69"/>
      <c r="BN411" s="69"/>
      <c r="BO411" s="69"/>
      <c r="BQ411" s="69"/>
      <c r="BR411" s="69"/>
      <c r="BS411" s="69"/>
      <c r="BT411" s="69"/>
      <c r="BU411" s="69"/>
      <c r="BW411" s="69"/>
      <c r="BX411" s="69"/>
      <c r="BY411" s="69"/>
      <c r="BZ411" s="69"/>
      <c r="CA411" s="69"/>
      <c r="CB411" s="134"/>
      <c r="CC411" s="69"/>
      <c r="CD411" s="69"/>
      <c r="CE411" s="69"/>
      <c r="CF411" s="417">
        <f>-1500*CF403/4</f>
        <v>-17.8125</v>
      </c>
      <c r="CG411" s="415"/>
      <c r="CH411" s="134"/>
      <c r="CI411" s="417">
        <f>-1500*CI403/4</f>
        <v>-13.125000000000002</v>
      </c>
      <c r="CJ411" s="417">
        <f>-1500*CJ403/4</f>
        <v>-15</v>
      </c>
      <c r="CK411" s="417">
        <f>-1500*CK403/4</f>
        <v>-18.75</v>
      </c>
      <c r="CL411" s="417">
        <f>-2000*CL403/4</f>
        <v>-25</v>
      </c>
      <c r="CM411" s="416"/>
      <c r="CN411" s="134"/>
      <c r="CO411" s="417">
        <f>-('Balance Sheet'!CO50*0.05)/4</f>
        <v>-12.5</v>
      </c>
      <c r="CP411" s="417">
        <f>-('Balance Sheet'!CP50*0.05)/4</f>
        <v>-12.5</v>
      </c>
      <c r="CQ411" s="417">
        <f>-('Balance Sheet'!CQ50*0.05)/4</f>
        <v>-12.5</v>
      </c>
      <c r="CR411" s="417">
        <f>-('Balance Sheet'!CR50*0.05)/4</f>
        <v>-12.5</v>
      </c>
      <c r="CS411" s="416"/>
      <c r="CT411" s="134"/>
      <c r="CU411" s="417">
        <f>-('Balance Sheet'!CU50*0.05)/4</f>
        <v>-12.5</v>
      </c>
      <c r="CV411" s="417">
        <f>-('Balance Sheet'!CV50*0.05)/4</f>
        <v>-12.5</v>
      </c>
      <c r="CW411" s="417">
        <f>-('Balance Sheet'!CW50*0.05)/4</f>
        <v>-12.5</v>
      </c>
      <c r="CX411" s="417">
        <f>-('Balance Sheet'!CX50*0.05)/4</f>
        <v>0</v>
      </c>
      <c r="CY411" s="416"/>
      <c r="CZ411" s="134"/>
      <c r="DA411" s="417">
        <f>-('Balance Sheet'!DA50*0.05)/4</f>
        <v>0</v>
      </c>
      <c r="DB411" s="417">
        <f>-('Balance Sheet'!DB50*0.05)/4</f>
        <v>0</v>
      </c>
      <c r="DC411" s="417">
        <f>-('Balance Sheet'!DC50*0.05)/4</f>
        <v>0</v>
      </c>
      <c r="DD411" s="417">
        <f>-('Balance Sheet'!DD50*0.05)/4</f>
        <v>0</v>
      </c>
      <c r="DE411" s="416"/>
      <c r="DF411" s="134"/>
      <c r="DG411" s="417">
        <f>-('Balance Sheet'!DG50*0.05)/4</f>
        <v>0</v>
      </c>
      <c r="DH411" s="417">
        <f>-('Balance Sheet'!DH50*0.05)/4</f>
        <v>0</v>
      </c>
      <c r="DI411" s="417">
        <f>-('Balance Sheet'!DI50*0.05)/4</f>
        <v>0</v>
      </c>
      <c r="DJ411" s="417">
        <f>-('Balance Sheet'!DJ50*0.05)/4</f>
        <v>0</v>
      </c>
      <c r="DK411" s="168">
        <f>SUM(DG411:DJ411)</f>
        <v>0</v>
      </c>
      <c r="DL411" s="134"/>
      <c r="DM411" s="417">
        <f>-('Balance Sheet'!DM50*0.05)/4</f>
        <v>0</v>
      </c>
      <c r="DN411" s="417">
        <f>-('Balance Sheet'!DN50*0.05)/4</f>
        <v>0</v>
      </c>
      <c r="DO411" s="417">
        <f>-('Balance Sheet'!DO50*0.05)/4</f>
        <v>0</v>
      </c>
      <c r="DP411" s="417">
        <f>-('Balance Sheet'!DP50*0.05)/4</f>
        <v>0</v>
      </c>
      <c r="DQ411" s="168">
        <f>SUM(DM411:DP411)</f>
        <v>0</v>
      </c>
      <c r="DR411" s="134"/>
      <c r="DS411" s="417">
        <f>-('Balance Sheet'!DS50*0.05)/4</f>
        <v>0</v>
      </c>
      <c r="DT411" s="417">
        <f>-('Balance Sheet'!DT50*0.05)/4</f>
        <v>0</v>
      </c>
      <c r="DU411" s="417">
        <f>-('Balance Sheet'!DU50*0.05)/4</f>
        <v>0</v>
      </c>
      <c r="DV411" s="417">
        <f>-('Balance Sheet'!DV50*0.05)/4</f>
        <v>0</v>
      </c>
      <c r="DW411" s="168">
        <f>SUM(DS411:DV411)</f>
        <v>0</v>
      </c>
      <c r="DX411" s="134"/>
      <c r="DY411" s="417">
        <f>-('Balance Sheet'!DY50*0.05)/4</f>
        <v>0</v>
      </c>
      <c r="DZ411" s="417">
        <f>-('Balance Sheet'!DZ50*0.05)/4</f>
        <v>0</v>
      </c>
      <c r="EA411" s="417">
        <f>-('Balance Sheet'!EA50*0.05)/4</f>
        <v>0</v>
      </c>
      <c r="EB411" s="417">
        <f>-('Balance Sheet'!EB50*0.05)/4</f>
        <v>0</v>
      </c>
      <c r="EC411" s="168">
        <f>SUM(DY411:EB411)</f>
        <v>0</v>
      </c>
      <c r="ED411" s="134"/>
      <c r="EE411" s="417">
        <f>-('Balance Sheet'!EE50*0.05)/4</f>
        <v>0</v>
      </c>
      <c r="EF411" s="417">
        <f>-('Balance Sheet'!EF50*0.05)/4</f>
        <v>0</v>
      </c>
      <c r="EG411" s="417">
        <f>-('Balance Sheet'!EG50*0.05)/4</f>
        <v>0</v>
      </c>
      <c r="EH411" s="417">
        <f>-('Balance Sheet'!EH50*0.05)/4</f>
        <v>0</v>
      </c>
      <c r="EI411" s="168">
        <f>SUM(EE411:EH411)</f>
        <v>0</v>
      </c>
      <c r="EJ411" s="134"/>
      <c r="EK411" s="417">
        <f>-('Balance Sheet'!EK50*0.05)/4</f>
        <v>0</v>
      </c>
      <c r="EL411" s="417">
        <f>-('Balance Sheet'!EL50*0.05)/4</f>
        <v>0</v>
      </c>
      <c r="EM411" s="417">
        <f>-('Balance Sheet'!EM50*0.05)/4</f>
        <v>0</v>
      </c>
      <c r="EN411" s="417">
        <f>-('Balance Sheet'!EN50*0.05)/4</f>
        <v>0</v>
      </c>
      <c r="EO411" s="168">
        <f>SUM(EK411:EN411)</f>
        <v>0</v>
      </c>
      <c r="EP411" s="134"/>
      <c r="EQ411" s="417">
        <f>-('Balance Sheet'!EQ50*0.05)/4</f>
        <v>0</v>
      </c>
      <c r="ER411" s="417">
        <f>-('Balance Sheet'!ER50*0.05)/4</f>
        <v>0</v>
      </c>
      <c r="ES411" s="417">
        <f>-('Balance Sheet'!ES50*0.05)/4</f>
        <v>0</v>
      </c>
      <c r="ET411" s="417">
        <f>-('Balance Sheet'!ET50*0.05)/4</f>
        <v>0</v>
      </c>
      <c r="EU411" s="168">
        <f>SUM(EQ411:ET411)</f>
        <v>0</v>
      </c>
      <c r="EV411" s="134"/>
      <c r="EW411" s="417">
        <f>-('Balance Sheet'!EW50*0.05)/4</f>
        <v>0</v>
      </c>
      <c r="EX411" s="417">
        <f>-('Balance Sheet'!EX50*0.05)/4</f>
        <v>0</v>
      </c>
      <c r="EY411" s="417">
        <f>-('Balance Sheet'!EY50*0.05)/4</f>
        <v>0</v>
      </c>
      <c r="EZ411" s="417">
        <f>-('Balance Sheet'!EZ50*0.05)/4</f>
        <v>0</v>
      </c>
      <c r="FA411" s="168">
        <f>SUM(EW411:EZ411)</f>
        <v>0</v>
      </c>
      <c r="FB411" s="134"/>
      <c r="FC411" s="417">
        <f>-('Balance Sheet'!FC50*0.05)/4</f>
        <v>0</v>
      </c>
      <c r="FD411" s="417">
        <f>-('Balance Sheet'!FD50*0.05)/4</f>
        <v>0</v>
      </c>
      <c r="FE411" s="417">
        <f>-('Balance Sheet'!FE50*0.05)/4</f>
        <v>0</v>
      </c>
      <c r="FF411" s="417">
        <f>-('Balance Sheet'!FF50*0.05)/4</f>
        <v>0</v>
      </c>
      <c r="FG411" s="168">
        <f>SUM(FC411:FF411)</f>
        <v>0</v>
      </c>
      <c r="FH411" s="134"/>
      <c r="FI411" s="417">
        <f>-('Balance Sheet'!FI50*0.05)/4</f>
        <v>0</v>
      </c>
      <c r="FJ411" s="417">
        <f>-('Balance Sheet'!FJ50*0.05)/4</f>
        <v>0</v>
      </c>
      <c r="FK411" s="417">
        <f>-('Balance Sheet'!FK50*0.05)/4</f>
        <v>0</v>
      </c>
      <c r="FL411" s="417">
        <f>-('Balance Sheet'!FL50*0.05)/4</f>
        <v>0</v>
      </c>
      <c r="FM411" s="168">
        <f>SUM(FI411:FL411)</f>
        <v>0</v>
      </c>
      <c r="FN411" s="27"/>
      <c r="FO411" s="27"/>
      <c r="FP411" s="27"/>
      <c r="FQ411" s="27"/>
      <c r="FR411" s="27"/>
      <c r="FS411" s="27"/>
      <c r="FT411" s="27"/>
      <c r="FU411" s="27"/>
      <c r="FV411" s="27"/>
      <c r="FW411" s="27"/>
      <c r="FX411" s="27"/>
      <c r="FY411" s="27"/>
      <c r="FZ411" s="27"/>
      <c r="GA411" s="27"/>
      <c r="GB411" s="27"/>
      <c r="GC411" s="27"/>
      <c r="GD411" s="27"/>
      <c r="GE411" s="27"/>
      <c r="GF411" s="27"/>
      <c r="GG411" s="27"/>
      <c r="GH411" s="27"/>
      <c r="GI411"/>
      <c r="GJ411"/>
      <c r="GK411"/>
      <c r="GL411"/>
      <c r="GM411"/>
      <c r="GN411"/>
      <c r="GO411" s="27"/>
      <c r="GP411"/>
      <c r="GQ411"/>
      <c r="GR411"/>
      <c r="GS411"/>
      <c r="GT411"/>
      <c r="GU411"/>
      <c r="GV411"/>
      <c r="GW411"/>
      <c r="GX411"/>
      <c r="GY411"/>
      <c r="GZ411"/>
      <c r="HA411"/>
      <c r="HB411"/>
      <c r="HC411"/>
      <c r="HD411"/>
      <c r="HE411"/>
      <c r="HF411"/>
      <c r="HG411"/>
      <c r="HH411"/>
      <c r="HI411"/>
      <c r="HJ411"/>
      <c r="HK411"/>
      <c r="HL411"/>
      <c r="HM411"/>
      <c r="HN411"/>
      <c r="HO411"/>
      <c r="HP411"/>
      <c r="HQ411"/>
      <c r="HR411"/>
      <c r="HS411"/>
      <c r="HT411"/>
      <c r="HU411"/>
      <c r="HV411"/>
      <c r="HW411"/>
      <c r="HX411"/>
      <c r="HY411"/>
      <c r="HZ411"/>
      <c r="IA411"/>
      <c r="IB411"/>
      <c r="IC411"/>
      <c r="ID411"/>
      <c r="IE411"/>
      <c r="IF411"/>
      <c r="IG411"/>
      <c r="IH411"/>
      <c r="II411"/>
      <c r="IJ411"/>
      <c r="IK411"/>
      <c r="IL411"/>
      <c r="IM411"/>
      <c r="IN411"/>
      <c r="IO411"/>
      <c r="IP411"/>
      <c r="IQ411"/>
      <c r="IR411"/>
      <c r="IS411"/>
      <c r="IT411"/>
      <c r="IU411"/>
      <c r="IV411"/>
      <c r="IW411"/>
      <c r="IX411"/>
      <c r="IY411"/>
      <c r="IZ411"/>
      <c r="JA411"/>
      <c r="JB411"/>
      <c r="JC411"/>
      <c r="JD411"/>
      <c r="JE411"/>
      <c r="JF411"/>
      <c r="JG411"/>
      <c r="JH411"/>
      <c r="JI411"/>
      <c r="JJ411"/>
      <c r="JK411"/>
      <c r="JL411"/>
      <c r="JM411"/>
      <c r="JN411"/>
      <c r="JO411"/>
      <c r="JP411"/>
      <c r="JQ411"/>
      <c r="JR411"/>
      <c r="JS411"/>
      <c r="JT411"/>
      <c r="JU411"/>
    </row>
    <row r="412" spans="1:281" s="28" customFormat="1" ht="12" hidden="1" customHeight="1" outlineLevel="1" x14ac:dyDescent="0.2">
      <c r="A412" s="342" t="str">
        <f>'Balance Sheet'!A51</f>
        <v>Floating rate May '10 notes</v>
      </c>
      <c r="B412" s="414"/>
      <c r="AW412" s="69"/>
      <c r="BC412" s="69"/>
      <c r="BI412" s="69"/>
      <c r="BK412" s="69"/>
      <c r="BL412" s="69"/>
      <c r="BM412" s="69"/>
      <c r="BN412" s="69"/>
      <c r="BO412" s="69"/>
      <c r="BQ412" s="69"/>
      <c r="BR412" s="69"/>
      <c r="BS412" s="69"/>
      <c r="BT412" s="69"/>
      <c r="BU412" s="69"/>
      <c r="BW412" s="69"/>
      <c r="BX412" s="69"/>
      <c r="BY412" s="69"/>
      <c r="BZ412" s="69"/>
      <c r="CA412" s="69"/>
      <c r="CB412" s="134"/>
      <c r="CC412" s="69"/>
      <c r="CD412" s="69"/>
      <c r="CE412" s="69"/>
      <c r="CF412" s="852"/>
      <c r="CG412" s="415"/>
      <c r="CH412" s="134"/>
      <c r="CI412" s="417"/>
      <c r="CJ412" s="417"/>
      <c r="CK412" s="417"/>
      <c r="CL412" s="417"/>
      <c r="CM412" s="416"/>
      <c r="CN412" s="134"/>
      <c r="CO412" s="417">
        <f>-('Balance Sheet'!CO51*0.05)/4</f>
        <v>-12.5</v>
      </c>
      <c r="CP412" s="417">
        <f>-('Balance Sheet'!CP51*0.05)/4</f>
        <v>-12.5</v>
      </c>
      <c r="CQ412" s="417">
        <f>-('Balance Sheet'!CQ51*0.05)/4</f>
        <v>-12.5</v>
      </c>
      <c r="CR412" s="417">
        <f>-('Balance Sheet'!CR51*0.05)/4</f>
        <v>-12.5</v>
      </c>
      <c r="CS412" s="416"/>
      <c r="CT412" s="134"/>
      <c r="CU412" s="417">
        <f>-('Balance Sheet'!CU51*0.05)/4</f>
        <v>-12.5</v>
      </c>
      <c r="CV412" s="417">
        <f>-('Balance Sheet'!CV51*0.05)/4</f>
        <v>-12.5</v>
      </c>
      <c r="CW412" s="417">
        <f>-('Balance Sheet'!CW51*0.05)/4</f>
        <v>-12.5</v>
      </c>
      <c r="CX412" s="417">
        <f>-('Balance Sheet'!CX51*0.05)/4</f>
        <v>-12.5</v>
      </c>
      <c r="CY412" s="416"/>
      <c r="CZ412" s="134"/>
      <c r="DA412" s="417">
        <f>-('Balance Sheet'!DA51*0.05)/4</f>
        <v>-12.5</v>
      </c>
      <c r="DB412" s="417">
        <f>-('Balance Sheet'!DB51*0.05)/4</f>
        <v>-12.5</v>
      </c>
      <c r="DC412" s="417">
        <f>-('Balance Sheet'!DC51*0.05)/4</f>
        <v>-12.5</v>
      </c>
      <c r="DD412" s="417">
        <f>-('Balance Sheet'!DD51*0.05)/4</f>
        <v>0</v>
      </c>
      <c r="DE412" s="416"/>
      <c r="DF412" s="134"/>
      <c r="DG412" s="417">
        <f>-('Balance Sheet'!DG51*0.05)/4</f>
        <v>0</v>
      </c>
      <c r="DH412" s="417">
        <f>-('Balance Sheet'!DH51*0.05)/4</f>
        <v>0</v>
      </c>
      <c r="DI412" s="417">
        <f>-('Balance Sheet'!DI51*0.05)/4</f>
        <v>0</v>
      </c>
      <c r="DJ412" s="417">
        <f>-('Balance Sheet'!DJ51*0.05)/4</f>
        <v>0</v>
      </c>
      <c r="DK412" s="168">
        <f t="shared" ref="DK412:DK442" si="282">SUM(DG412:DJ412)</f>
        <v>0</v>
      </c>
      <c r="DL412" s="134"/>
      <c r="DM412" s="417">
        <f>-('Balance Sheet'!DM51*0.05)/4</f>
        <v>0</v>
      </c>
      <c r="DN412" s="417">
        <f>-('Balance Sheet'!DN51*0.05)/4</f>
        <v>0</v>
      </c>
      <c r="DO412" s="417">
        <f>-('Balance Sheet'!DO51*0.05)/4</f>
        <v>0</v>
      </c>
      <c r="DP412" s="417">
        <f>-('Balance Sheet'!DP51*0.05)/4</f>
        <v>0</v>
      </c>
      <c r="DQ412" s="168">
        <f t="shared" ref="DQ412:DQ442" si="283">SUM(DM412:DP412)</f>
        <v>0</v>
      </c>
      <c r="DR412" s="134"/>
      <c r="DS412" s="417">
        <f>-('Balance Sheet'!DS51*0.05)/4</f>
        <v>0</v>
      </c>
      <c r="DT412" s="417">
        <f>-('Balance Sheet'!DT51*0.05)/4</f>
        <v>0</v>
      </c>
      <c r="DU412" s="417">
        <f>-('Balance Sheet'!DU51*0.05)/4</f>
        <v>0</v>
      </c>
      <c r="DV412" s="417">
        <f>-('Balance Sheet'!DV51*0.05)/4</f>
        <v>0</v>
      </c>
      <c r="DW412" s="168">
        <f t="shared" ref="DW412:DW442" si="284">SUM(DS412:DV412)</f>
        <v>0</v>
      </c>
      <c r="DX412" s="134"/>
      <c r="DY412" s="417">
        <f>-('Balance Sheet'!DY51*0.05)/4</f>
        <v>0</v>
      </c>
      <c r="DZ412" s="417">
        <f>-('Balance Sheet'!DZ51*0.05)/4</f>
        <v>0</v>
      </c>
      <c r="EA412" s="417">
        <f>-('Balance Sheet'!EA51*0.05)/4</f>
        <v>0</v>
      </c>
      <c r="EB412" s="417">
        <f>-('Balance Sheet'!EB51*0.05)/4</f>
        <v>0</v>
      </c>
      <c r="EC412" s="168">
        <f t="shared" ref="EC412:EC442" si="285">SUM(DY412:EB412)</f>
        <v>0</v>
      </c>
      <c r="ED412" s="134"/>
      <c r="EE412" s="417">
        <f>-('Balance Sheet'!EE51*0.05)/4</f>
        <v>0</v>
      </c>
      <c r="EF412" s="417">
        <f>-('Balance Sheet'!EF51*0.05)/4</f>
        <v>0</v>
      </c>
      <c r="EG412" s="417">
        <f>-('Balance Sheet'!EG51*0.05)/4</f>
        <v>0</v>
      </c>
      <c r="EH412" s="417">
        <f>-('Balance Sheet'!EH51*0.05)/4</f>
        <v>0</v>
      </c>
      <c r="EI412" s="168">
        <f t="shared" ref="EI412:EI442" si="286">SUM(EE412:EH412)</f>
        <v>0</v>
      </c>
      <c r="EJ412" s="134"/>
      <c r="EK412" s="417">
        <f>-('Balance Sheet'!EK51*0.05)/4</f>
        <v>0</v>
      </c>
      <c r="EL412" s="417">
        <f>-('Balance Sheet'!EL51*0.05)/4</f>
        <v>0</v>
      </c>
      <c r="EM412" s="417">
        <f>-('Balance Sheet'!EM51*0.05)/4</f>
        <v>0</v>
      </c>
      <c r="EN412" s="417">
        <f>-('Balance Sheet'!EN51*0.05)/4</f>
        <v>0</v>
      </c>
      <c r="EO412" s="168">
        <f t="shared" ref="EO412:EO442" si="287">SUM(EK412:EN412)</f>
        <v>0</v>
      </c>
      <c r="EP412" s="134"/>
      <c r="EQ412" s="417">
        <f>-('Balance Sheet'!EQ51*0.05)/4</f>
        <v>0</v>
      </c>
      <c r="ER412" s="417">
        <f>-('Balance Sheet'!ER51*0.05)/4</f>
        <v>0</v>
      </c>
      <c r="ES412" s="417">
        <f>-('Balance Sheet'!ES51*0.05)/4</f>
        <v>0</v>
      </c>
      <c r="ET412" s="417">
        <f>-('Balance Sheet'!ET51*0.05)/4</f>
        <v>0</v>
      </c>
      <c r="EU412" s="168">
        <f t="shared" ref="EU412:EU442" si="288">SUM(EQ412:ET412)</f>
        <v>0</v>
      </c>
      <c r="EV412" s="134"/>
      <c r="EW412" s="417">
        <f>-('Balance Sheet'!EW51*0.05)/4</f>
        <v>0</v>
      </c>
      <c r="EX412" s="417">
        <f>-('Balance Sheet'!EX51*0.05)/4</f>
        <v>0</v>
      </c>
      <c r="EY412" s="417">
        <f>-('Balance Sheet'!EY51*0.05)/4</f>
        <v>0</v>
      </c>
      <c r="EZ412" s="417">
        <f>-('Balance Sheet'!EZ51*0.05)/4</f>
        <v>0</v>
      </c>
      <c r="FA412" s="168">
        <f t="shared" ref="FA412:FA442" si="289">SUM(EW412:EZ412)</f>
        <v>0</v>
      </c>
      <c r="FB412" s="134"/>
      <c r="FC412" s="417">
        <f>-('Balance Sheet'!FC51*0.05)/4</f>
        <v>0</v>
      </c>
      <c r="FD412" s="417">
        <f>-('Balance Sheet'!FD51*0.05)/4</f>
        <v>0</v>
      </c>
      <c r="FE412" s="417">
        <f>-('Balance Sheet'!FE51*0.05)/4</f>
        <v>0</v>
      </c>
      <c r="FF412" s="417">
        <f>-('Balance Sheet'!FF51*0.05)/4</f>
        <v>0</v>
      </c>
      <c r="FG412" s="168">
        <f t="shared" ref="FG412:FG424" si="290">SUM(FC412:FF412)</f>
        <v>0</v>
      </c>
      <c r="FH412" s="134"/>
      <c r="FI412" s="417">
        <f>-('Balance Sheet'!FI51*0.05)/4</f>
        <v>0</v>
      </c>
      <c r="FJ412" s="417">
        <f>-('Balance Sheet'!FJ51*0.05)/4</f>
        <v>0</v>
      </c>
      <c r="FK412" s="417">
        <f>-('Balance Sheet'!FK51*0.05)/4</f>
        <v>0</v>
      </c>
      <c r="FL412" s="417">
        <f>-('Balance Sheet'!FL51*0.05)/4</f>
        <v>0</v>
      </c>
      <c r="FM412" s="168">
        <f t="shared" ref="FM412:FM424" si="291">SUM(FI412:FL412)</f>
        <v>0</v>
      </c>
      <c r="FN412" s="27"/>
      <c r="FO412" s="27"/>
      <c r="FP412" s="27"/>
      <c r="FQ412" s="27"/>
      <c r="FR412" s="27"/>
      <c r="FS412" s="27"/>
      <c r="FT412" s="27"/>
      <c r="FU412" s="27"/>
      <c r="FV412" s="27"/>
      <c r="FW412" s="27"/>
      <c r="FX412" s="27"/>
      <c r="FY412" s="27"/>
      <c r="FZ412" s="27"/>
      <c r="GA412" s="27"/>
      <c r="GB412" s="27"/>
      <c r="GC412" s="27"/>
      <c r="GD412" s="27"/>
      <c r="GE412" s="27"/>
      <c r="GF412" s="27"/>
      <c r="GG412" s="27"/>
      <c r="GH412" s="27"/>
      <c r="GI412"/>
      <c r="GJ412"/>
      <c r="GK412"/>
      <c r="GL412"/>
      <c r="GM412"/>
      <c r="GN412"/>
      <c r="GO412" s="27"/>
      <c r="GP412"/>
      <c r="GQ412"/>
      <c r="GR412"/>
      <c r="GS412"/>
      <c r="GT412"/>
      <c r="GU412"/>
      <c r="GV412"/>
      <c r="GW412"/>
      <c r="GX412"/>
      <c r="GY412"/>
      <c r="GZ412"/>
      <c r="HA412"/>
      <c r="HB412"/>
      <c r="HC412"/>
      <c r="HD412"/>
      <c r="HE412"/>
      <c r="HF412"/>
      <c r="HG412"/>
      <c r="HH412"/>
      <c r="HI412"/>
      <c r="HJ412"/>
      <c r="HK412"/>
      <c r="HL412"/>
      <c r="HM412"/>
      <c r="HN412"/>
      <c r="HO412"/>
      <c r="HP412"/>
      <c r="HQ412"/>
      <c r="HR412"/>
      <c r="HS412"/>
      <c r="HT412"/>
      <c r="HU412"/>
      <c r="HV412"/>
      <c r="HW412"/>
      <c r="HX412"/>
      <c r="HY412"/>
      <c r="HZ412"/>
      <c r="IA412"/>
      <c r="IB412"/>
      <c r="IC412"/>
      <c r="ID412"/>
      <c r="IE412"/>
      <c r="IF412"/>
      <c r="IG412"/>
      <c r="IH412"/>
      <c r="II412"/>
      <c r="IJ412"/>
      <c r="IK412"/>
      <c r="IL412"/>
      <c r="IM412"/>
      <c r="IN412"/>
      <c r="IO412"/>
      <c r="IP412"/>
      <c r="IQ412"/>
      <c r="IR412"/>
      <c r="IS412"/>
      <c r="IT412"/>
      <c r="IU412"/>
      <c r="IV412"/>
      <c r="IW412"/>
      <c r="IX412"/>
      <c r="IY412"/>
      <c r="IZ412"/>
      <c r="JA412"/>
      <c r="JB412"/>
      <c r="JC412"/>
      <c r="JD412"/>
      <c r="JE412"/>
      <c r="JF412"/>
      <c r="JG412"/>
      <c r="JH412"/>
      <c r="JI412"/>
      <c r="JJ412"/>
      <c r="JK412"/>
      <c r="JL412"/>
      <c r="JM412"/>
      <c r="JN412"/>
      <c r="JO412"/>
      <c r="JP412"/>
      <c r="JQ412"/>
      <c r="JR412"/>
      <c r="JS412"/>
      <c r="JT412"/>
      <c r="JU412"/>
    </row>
    <row r="413" spans="1:281" s="28" customFormat="1" ht="12" customHeight="1" collapsed="1" x14ac:dyDescent="0.2">
      <c r="A413" s="342" t="str">
        <f>'Balance Sheet'!A52</f>
        <v>Floating rate July '17 notes</v>
      </c>
      <c r="B413" s="414"/>
      <c r="AW413" s="69"/>
      <c r="BC413" s="69"/>
      <c r="BI413" s="69"/>
      <c r="BK413" s="69"/>
      <c r="BL413" s="69"/>
      <c r="BM413" s="69"/>
      <c r="BN413" s="69"/>
      <c r="BO413" s="69"/>
      <c r="BQ413" s="69"/>
      <c r="BR413" s="69"/>
      <c r="BS413" s="69"/>
      <c r="BT413" s="69"/>
      <c r="BU413" s="69"/>
      <c r="BW413" s="69"/>
      <c r="BX413" s="69"/>
      <c r="BY413" s="69"/>
      <c r="BZ413" s="69"/>
      <c r="CA413" s="69"/>
      <c r="CB413" s="134"/>
      <c r="CC413" s="69"/>
      <c r="CD413" s="69"/>
      <c r="CE413" s="69"/>
      <c r="CF413" s="852"/>
      <c r="CG413" s="415"/>
      <c r="CH413" s="134"/>
      <c r="CI413" s="417"/>
      <c r="CJ413" s="417"/>
      <c r="CK413" s="417"/>
      <c r="CL413" s="417"/>
      <c r="CM413" s="416"/>
      <c r="CN413" s="134"/>
      <c r="CO413" s="417"/>
      <c r="CP413" s="417"/>
      <c r="CQ413" s="417"/>
      <c r="CR413" s="417"/>
      <c r="CS413" s="416"/>
      <c r="CT413" s="134"/>
      <c r="CU413" s="417"/>
      <c r="CV413" s="417"/>
      <c r="CW413" s="417"/>
      <c r="CX413" s="417"/>
      <c r="CY413" s="416"/>
      <c r="CZ413" s="134"/>
      <c r="DA413" s="417"/>
      <c r="DB413" s="417"/>
      <c r="DC413" s="417"/>
      <c r="DD413" s="417"/>
      <c r="DE413" s="416"/>
      <c r="DF413" s="134"/>
      <c r="DG413" s="417">
        <f>-('Balance Sheet'!DG52*0.05)/4</f>
        <v>0</v>
      </c>
      <c r="DH413" s="417">
        <f>-('Balance Sheet'!DH52*0.05)/4</f>
        <v>0</v>
      </c>
      <c r="DI413" s="417">
        <f>-('Balance Sheet'!DI52*0.05)/4</f>
        <v>0</v>
      </c>
      <c r="DJ413" s="417">
        <f>-('Balance Sheet'!DJ52*0.05)/4</f>
        <v>0</v>
      </c>
      <c r="DK413" s="168">
        <f t="shared" si="282"/>
        <v>0</v>
      </c>
      <c r="DL413" s="134"/>
      <c r="DM413" s="417">
        <f>-('Balance Sheet'!DM52*0.05)/4</f>
        <v>0</v>
      </c>
      <c r="DN413" s="417">
        <f>-('Balance Sheet'!DN52*0.05)/4</f>
        <v>0</v>
      </c>
      <c r="DO413" s="417">
        <f>-('Balance Sheet'!DO52*0.05)/4</f>
        <v>0</v>
      </c>
      <c r="DP413" s="417">
        <f>-('Balance Sheet'!DP52*0.05)/4</f>
        <v>0</v>
      </c>
      <c r="DQ413" s="168">
        <f t="shared" si="283"/>
        <v>0</v>
      </c>
      <c r="DR413" s="134"/>
      <c r="DS413" s="417">
        <f>-('Balance Sheet'!DS52*0.05)/4</f>
        <v>0</v>
      </c>
      <c r="DT413" s="417">
        <f>-('Balance Sheet'!DT52*0.05)/4</f>
        <v>0</v>
      </c>
      <c r="DU413" s="417">
        <f>-('Balance Sheet'!DU52*0.05)/4</f>
        <v>0</v>
      </c>
      <c r="DV413" s="417">
        <f>-('Balance Sheet'!DV52*0.05)/4</f>
        <v>0</v>
      </c>
      <c r="DW413" s="168">
        <f t="shared" si="284"/>
        <v>0</v>
      </c>
      <c r="DX413" s="134"/>
      <c r="DY413" s="417">
        <f>-('Balance Sheet'!DY52*0.05)/4</f>
        <v>0</v>
      </c>
      <c r="DZ413" s="417">
        <f>-('Balance Sheet'!DZ52*0.05)/4</f>
        <v>0</v>
      </c>
      <c r="EA413" s="417">
        <f>-('Balance Sheet'!EA52*0.05)/4</f>
        <v>0</v>
      </c>
      <c r="EB413" s="417">
        <f>-('Balance Sheet'!EB52*0.05)/4</f>
        <v>0</v>
      </c>
      <c r="EC413" s="168">
        <f t="shared" si="285"/>
        <v>0</v>
      </c>
      <c r="ED413" s="134"/>
      <c r="EE413" s="417">
        <f>-('Balance Sheet'!EE52*0.05)/4</f>
        <v>-12.5</v>
      </c>
      <c r="EF413" s="417">
        <f>-('Balance Sheet'!EF52*0.05)/4</f>
        <v>-12.5</v>
      </c>
      <c r="EG413" s="417">
        <f>-('Balance Sheet'!EG52*0.05)/4</f>
        <v>-12.5</v>
      </c>
      <c r="EH413" s="417">
        <f>-('Balance Sheet'!EH52*0.05)/4</f>
        <v>-12.5</v>
      </c>
      <c r="EI413" s="168">
        <f t="shared" si="286"/>
        <v>-50</v>
      </c>
      <c r="EJ413" s="134"/>
      <c r="EK413" s="417">
        <f>-('Balance Sheet'!EK52*0.05)/4</f>
        <v>-12.5</v>
      </c>
      <c r="EL413" s="417">
        <f>-('Balance Sheet'!EL52*0.05)/4</f>
        <v>-12.5</v>
      </c>
      <c r="EM413" s="417">
        <f>-('Balance Sheet'!EM52*0.05)/4</f>
        <v>-12.5</v>
      </c>
      <c r="EN413" s="417">
        <f>-('Balance Sheet'!EN52*0.05)/4</f>
        <v>-12.5</v>
      </c>
      <c r="EO413" s="168">
        <f t="shared" si="287"/>
        <v>-50</v>
      </c>
      <c r="EP413" s="134"/>
      <c r="EQ413" s="417">
        <f>-('Balance Sheet'!EQ52*0.05)/4</f>
        <v>-12.5</v>
      </c>
      <c r="ER413" s="417">
        <f>-('Balance Sheet'!ER52*0.05)/4</f>
        <v>-12.5</v>
      </c>
      <c r="ES413" s="417">
        <f>-('Balance Sheet'!ES52*0.05)/4</f>
        <v>-12.5</v>
      </c>
      <c r="ET413" s="417">
        <f>-('Balance Sheet'!ET52*0.05)/4</f>
        <v>-12.5</v>
      </c>
      <c r="EU413" s="168">
        <f t="shared" si="288"/>
        <v>-50</v>
      </c>
      <c r="EV413" s="134"/>
      <c r="EW413" s="417">
        <f>-('Balance Sheet'!EW52*0.05)/4</f>
        <v>-12.5</v>
      </c>
      <c r="EX413" s="417">
        <f>-('Balance Sheet'!EX52*0.05)/4</f>
        <v>0</v>
      </c>
      <c r="EY413" s="417">
        <f>-('Balance Sheet'!EY52*0.05)/4</f>
        <v>0</v>
      </c>
      <c r="EZ413" s="417">
        <f>-('Balance Sheet'!EZ52*0.05)/4</f>
        <v>0</v>
      </c>
      <c r="FA413" s="168">
        <f t="shared" si="289"/>
        <v>-12.5</v>
      </c>
      <c r="FB413" s="134"/>
      <c r="FC413" s="417">
        <f>-('Balance Sheet'!FC52*0.05)/4</f>
        <v>0</v>
      </c>
      <c r="FD413" s="417">
        <f>-('Balance Sheet'!FD52*0.05)/4</f>
        <v>0</v>
      </c>
      <c r="FE413" s="417">
        <f>-('Balance Sheet'!FE52*0.05)/4</f>
        <v>0</v>
      </c>
      <c r="FF413" s="417">
        <f>-('Balance Sheet'!FF52*0.05)/4</f>
        <v>0</v>
      </c>
      <c r="FG413" s="168">
        <f t="shared" si="290"/>
        <v>0</v>
      </c>
      <c r="FH413" s="134"/>
      <c r="FI413" s="417">
        <f>-('Balance Sheet'!FI52*0.05)/4</f>
        <v>0</v>
      </c>
      <c r="FJ413" s="417">
        <f>-('Balance Sheet'!FJ52*0.05)/4</f>
        <v>0</v>
      </c>
      <c r="FK413" s="417">
        <f>-('Balance Sheet'!FK52*0.05)/4</f>
        <v>0</v>
      </c>
      <c r="FL413" s="417">
        <f>-('Balance Sheet'!FL52*0.05)/4</f>
        <v>0</v>
      </c>
      <c r="FM413" s="168">
        <f t="shared" si="291"/>
        <v>0</v>
      </c>
      <c r="FN413" s="27"/>
      <c r="FO413" s="27"/>
      <c r="FP413" s="27"/>
      <c r="FQ413" s="27"/>
      <c r="FR413" s="27"/>
      <c r="FS413" s="27"/>
      <c r="FT413" s="27"/>
      <c r="FU413" s="27"/>
      <c r="FV413" s="27"/>
      <c r="FW413" s="27"/>
      <c r="FX413" s="27"/>
      <c r="FY413" s="27"/>
      <c r="FZ413" s="27"/>
      <c r="GA413" s="27"/>
      <c r="GB413" s="27"/>
      <c r="GC413" s="27"/>
      <c r="GD413" s="27"/>
      <c r="GE413" s="27"/>
      <c r="GF413" s="27"/>
      <c r="GG413" s="27"/>
      <c r="GH413" s="27"/>
      <c r="GI413"/>
      <c r="GJ413"/>
      <c r="GK413"/>
      <c r="GL413"/>
      <c r="GM413"/>
      <c r="GN413"/>
      <c r="GO413" s="27"/>
      <c r="GP413"/>
      <c r="GQ413"/>
      <c r="GR413"/>
      <c r="GS413"/>
      <c r="GT413"/>
      <c r="GU413"/>
      <c r="GV413"/>
      <c r="GW413"/>
      <c r="GX413"/>
      <c r="GY413"/>
      <c r="GZ413"/>
      <c r="HA413"/>
      <c r="HB413"/>
      <c r="HC413"/>
      <c r="HD413"/>
      <c r="HE413"/>
      <c r="HF413"/>
      <c r="HG413"/>
      <c r="HH413"/>
      <c r="HI413"/>
      <c r="HJ413"/>
      <c r="HK413"/>
      <c r="HL413"/>
      <c r="HM413"/>
      <c r="HN413"/>
      <c r="HO413"/>
      <c r="HP413"/>
      <c r="HQ413"/>
      <c r="HR413"/>
      <c r="HS413"/>
      <c r="HT413"/>
      <c r="HU413"/>
      <c r="HV413"/>
      <c r="HW413"/>
      <c r="HX413"/>
      <c r="HY413"/>
      <c r="HZ413"/>
      <c r="IA413"/>
      <c r="IB413"/>
      <c r="IC413"/>
      <c r="ID413"/>
      <c r="IE413"/>
      <c r="IF413"/>
      <c r="IG413"/>
      <c r="IH413"/>
      <c r="II413"/>
      <c r="IJ413"/>
      <c r="IK413"/>
      <c r="IL413"/>
      <c r="IM413"/>
      <c r="IN413"/>
      <c r="IO413"/>
      <c r="IP413"/>
      <c r="IQ413"/>
      <c r="IR413"/>
      <c r="IS413"/>
      <c r="IT413"/>
      <c r="IU413"/>
      <c r="IV413"/>
      <c r="IW413"/>
      <c r="IX413"/>
      <c r="IY413"/>
      <c r="IZ413"/>
      <c r="JA413"/>
      <c r="JB413"/>
      <c r="JC413"/>
      <c r="JD413"/>
      <c r="JE413"/>
      <c r="JF413"/>
      <c r="JG413"/>
      <c r="JH413"/>
      <c r="JI413"/>
      <c r="JJ413"/>
      <c r="JK413"/>
      <c r="JL413"/>
      <c r="JM413"/>
      <c r="JN413"/>
      <c r="JO413"/>
      <c r="JP413"/>
      <c r="JQ413"/>
      <c r="JR413"/>
      <c r="JS413"/>
      <c r="JT413"/>
      <c r="JU413"/>
    </row>
    <row r="414" spans="1:281" s="28" customFormat="1" ht="12" hidden="1" customHeight="1" outlineLevel="1" x14ac:dyDescent="0.2">
      <c r="A414" s="342" t="str">
        <f>'Balance Sheet'!A53</f>
        <v>Floating rate Jan '19 notes</v>
      </c>
      <c r="B414" s="414"/>
      <c r="AW414" s="69"/>
      <c r="BC414" s="69"/>
      <c r="BI414" s="69"/>
      <c r="BK414" s="69"/>
      <c r="BL414" s="69"/>
      <c r="BM414" s="69"/>
      <c r="BN414" s="69"/>
      <c r="BO414" s="69"/>
      <c r="BQ414" s="69"/>
      <c r="BR414" s="69"/>
      <c r="BS414" s="69"/>
      <c r="BT414" s="69"/>
      <c r="BU414" s="69"/>
      <c r="BW414" s="69"/>
      <c r="BX414" s="69"/>
      <c r="BY414" s="69"/>
      <c r="BZ414" s="69"/>
      <c r="CA414" s="69"/>
      <c r="CB414" s="134"/>
      <c r="CC414" s="69"/>
      <c r="CD414" s="69"/>
      <c r="CE414" s="69"/>
      <c r="CF414" s="69"/>
      <c r="CG414" s="415"/>
      <c r="CH414" s="134"/>
      <c r="CI414" s="417">
        <f>-2250*0.05/2</f>
        <v>-56.25</v>
      </c>
      <c r="CJ414" s="81"/>
      <c r="CK414" s="417">
        <v>-28.1</v>
      </c>
      <c r="CL414" s="417">
        <v>-28.1</v>
      </c>
      <c r="CM414" s="416"/>
      <c r="CN414" s="134"/>
      <c r="CO414" s="417">
        <f>-('Balance Sheet'!CO55*0.05)/4</f>
        <v>-28.125</v>
      </c>
      <c r="CP414" s="417">
        <f>-('Balance Sheet'!CP55*0.05)/4</f>
        <v>-28.125</v>
      </c>
      <c r="CQ414" s="417">
        <f>-('Balance Sheet'!CQ55*0.05)/4</f>
        <v>-28.125</v>
      </c>
      <c r="CR414" s="417">
        <f>-('Balance Sheet'!CR55*0.05)/4</f>
        <v>-28.075000000000003</v>
      </c>
      <c r="CS414" s="416"/>
      <c r="CT414" s="134"/>
      <c r="CU414" s="417">
        <f>-('Balance Sheet'!CU55*0.05)/4</f>
        <v>-28.075000000000003</v>
      </c>
      <c r="CV414" s="417">
        <f>-('Balance Sheet'!CV55*0.05)/4</f>
        <v>-28.075000000000003</v>
      </c>
      <c r="CW414" s="417">
        <f>-('Balance Sheet'!CW55*0.05)/4</f>
        <v>-28.075000000000003</v>
      </c>
      <c r="CX414" s="417">
        <f>-('Balance Sheet'!CX55*0.05)/4</f>
        <v>-28.087500000000002</v>
      </c>
      <c r="CY414" s="416"/>
      <c r="CZ414" s="134"/>
      <c r="DA414" s="417">
        <f>-('Balance Sheet'!DA55*0.05)/4</f>
        <v>-28.087500000000002</v>
      </c>
      <c r="DB414" s="417">
        <f>-('Balance Sheet'!DB55*0.05)/4</f>
        <v>-28.087500000000002</v>
      </c>
      <c r="DC414" s="417">
        <f>-('Balance Sheet'!DC55*0.05)/4</f>
        <v>-28.087500000000002</v>
      </c>
      <c r="DD414" s="417">
        <f>-('Balance Sheet'!DD55*0.05)/4</f>
        <v>-28.087500000000002</v>
      </c>
      <c r="DE414" s="416"/>
      <c r="DF414" s="134"/>
      <c r="DG414" s="417">
        <f>-('Balance Sheet'!DG53*0.05)/4</f>
        <v>0</v>
      </c>
      <c r="DH414" s="417">
        <f>-('Balance Sheet'!DH53*0.05)/4</f>
        <v>0</v>
      </c>
      <c r="DI414" s="417">
        <f>-('Balance Sheet'!DI53*0.05)/4</f>
        <v>0</v>
      </c>
      <c r="DJ414" s="417">
        <f>-('Balance Sheet'!DJ53*0.05)/4</f>
        <v>0</v>
      </c>
      <c r="DK414" s="168">
        <f t="shared" si="282"/>
        <v>0</v>
      </c>
      <c r="DL414" s="134"/>
      <c r="DM414" s="417">
        <f>-('Balance Sheet'!DM53*0.05)/4</f>
        <v>0</v>
      </c>
      <c r="DN414" s="417">
        <f>-('Balance Sheet'!DN53*0.05)/4</f>
        <v>0</v>
      </c>
      <c r="DO414" s="417">
        <f>-('Balance Sheet'!DO53*0.05)/4</f>
        <v>0</v>
      </c>
      <c r="DP414" s="417">
        <f>-('Balance Sheet'!DP53*0.05)/4</f>
        <v>0</v>
      </c>
      <c r="DQ414" s="168">
        <f t="shared" si="283"/>
        <v>0</v>
      </c>
      <c r="DR414" s="134"/>
      <c r="DS414" s="417">
        <f>-('Balance Sheet'!DS53*0.05)/4</f>
        <v>0</v>
      </c>
      <c r="DT414" s="417">
        <f>-('Balance Sheet'!DT53*0.05)/4</f>
        <v>0</v>
      </c>
      <c r="DU414" s="417">
        <f>-('Balance Sheet'!DU53*0.05)/4</f>
        <v>0</v>
      </c>
      <c r="DV414" s="417">
        <f>-('Balance Sheet'!DV53*0.05)/4</f>
        <v>0</v>
      </c>
      <c r="DW414" s="168">
        <f t="shared" si="284"/>
        <v>0</v>
      </c>
      <c r="DX414" s="134"/>
      <c r="DY414" s="417">
        <f>-('Balance Sheet'!DY53*0.05)/4</f>
        <v>-6.25</v>
      </c>
      <c r="DZ414" s="417">
        <f>-('Balance Sheet'!DZ53*0.05)/4</f>
        <v>-6.25</v>
      </c>
      <c r="EA414" s="417">
        <f>-('Balance Sheet'!EA53*0.05)/4</f>
        <v>-6.25</v>
      </c>
      <c r="EB414" s="417">
        <f>-('Balance Sheet'!EB53*0.05)/4</f>
        <v>-6.25</v>
      </c>
      <c r="EC414" s="168">
        <f t="shared" si="285"/>
        <v>-25</v>
      </c>
      <c r="ED414" s="134"/>
      <c r="EE414" s="417">
        <f>-('Balance Sheet'!EE53*0.05)/4</f>
        <v>-6.25</v>
      </c>
      <c r="EF414" s="417">
        <f>-('Balance Sheet'!EF53*0.05)/4</f>
        <v>-6.25</v>
      </c>
      <c r="EG414" s="417">
        <f>-('Balance Sheet'!EG53*0.05)/4</f>
        <v>-6.25</v>
      </c>
      <c r="EH414" s="417">
        <f>-('Balance Sheet'!EH53*0.05)/4</f>
        <v>-6.25</v>
      </c>
      <c r="EI414" s="168">
        <f t="shared" si="286"/>
        <v>-25</v>
      </c>
      <c r="EJ414" s="134"/>
      <c r="EK414" s="417">
        <f>-('Balance Sheet'!EK53*0.05)/4</f>
        <v>-6.25</v>
      </c>
      <c r="EL414" s="417">
        <f>-('Balance Sheet'!EL53*0.05)/4</f>
        <v>-6.25</v>
      </c>
      <c r="EM414" s="417">
        <f>-('Balance Sheet'!EM53*0.05)/4</f>
        <v>-6.25</v>
      </c>
      <c r="EN414" s="417">
        <f>-('Balance Sheet'!EN53*0.05)/4</f>
        <v>-6.25</v>
      </c>
      <c r="EO414" s="168">
        <f t="shared" si="287"/>
        <v>-25</v>
      </c>
      <c r="EP414" s="134"/>
      <c r="EQ414" s="417">
        <f>-('Balance Sheet'!EQ53*0.05)/4</f>
        <v>-6.25</v>
      </c>
      <c r="ER414" s="417">
        <f>-('Balance Sheet'!ER53*0.05)/4</f>
        <v>-6.25</v>
      </c>
      <c r="ES414" s="417">
        <f>-('Balance Sheet'!ES53*0.05)/4</f>
        <v>-6.25</v>
      </c>
      <c r="ET414" s="417">
        <f>-('Balance Sheet'!ET53*0.05)/4</f>
        <v>-6.25</v>
      </c>
      <c r="EU414" s="168">
        <f t="shared" si="288"/>
        <v>-25</v>
      </c>
      <c r="EV414" s="134"/>
      <c r="EW414" s="417">
        <f>-('Balance Sheet'!EW53*0.05)/4</f>
        <v>-6.25</v>
      </c>
      <c r="EX414" s="417">
        <f>-('Balance Sheet'!EX53*0.05)/4</f>
        <v>-6.25</v>
      </c>
      <c r="EY414" s="417">
        <f>-('Balance Sheet'!EY53*0.05)/4</f>
        <v>-6.25</v>
      </c>
      <c r="EZ414" s="417">
        <f>-('Balance Sheet'!EZ53*0.05)/4</f>
        <v>-6.25</v>
      </c>
      <c r="FA414" s="168">
        <f t="shared" si="289"/>
        <v>-25</v>
      </c>
      <c r="FB414" s="134"/>
      <c r="FC414" s="417">
        <f>-('Balance Sheet'!FC53*0.05)/4</f>
        <v>-6.25</v>
      </c>
      <c r="FD414" s="417">
        <f>-('Balance Sheet'!FD53*0.05)/4</f>
        <v>-6.25</v>
      </c>
      <c r="FE414" s="417">
        <f>-('Balance Sheet'!FE53*0.05)/4</f>
        <v>-6.25</v>
      </c>
      <c r="FF414" s="417">
        <f>-('Balance Sheet'!FF53*0.05)/4</f>
        <v>0</v>
      </c>
      <c r="FG414" s="168">
        <f t="shared" si="290"/>
        <v>-18.75</v>
      </c>
      <c r="FH414" s="134"/>
      <c r="FI414" s="417">
        <f>-('Balance Sheet'!FI53*0.05)/4</f>
        <v>0</v>
      </c>
      <c r="FJ414" s="417">
        <f>-('Balance Sheet'!FJ53*0.05)/4</f>
        <v>0</v>
      </c>
      <c r="FK414" s="417">
        <f>-('Balance Sheet'!FK53*0.05)/4</f>
        <v>0</v>
      </c>
      <c r="FL414" s="417">
        <f>-('Balance Sheet'!FL53*0.05)/4</f>
        <v>0</v>
      </c>
      <c r="FM414" s="168">
        <f t="shared" si="291"/>
        <v>0</v>
      </c>
      <c r="FN414" s="27"/>
      <c r="FO414" s="27"/>
      <c r="FP414" s="27"/>
      <c r="FQ414" s="27"/>
      <c r="FR414" s="27"/>
      <c r="FS414" s="27"/>
      <c r="FT414" s="27"/>
      <c r="FU414" s="27"/>
      <c r="FV414" s="27"/>
      <c r="FW414" s="27"/>
      <c r="FX414" s="27"/>
      <c r="FY414" s="27"/>
      <c r="FZ414" s="27"/>
      <c r="GA414" s="27"/>
      <c r="GB414" s="27"/>
      <c r="GC414" s="27"/>
      <c r="GD414" s="27"/>
      <c r="GE414" s="27"/>
      <c r="GF414" s="27"/>
      <c r="GG414" s="27"/>
      <c r="GH414" s="27"/>
      <c r="GI414"/>
      <c r="GJ414"/>
      <c r="GK414"/>
      <c r="GL414"/>
      <c r="GM414"/>
      <c r="GN414"/>
      <c r="GO414" s="27"/>
      <c r="GP414"/>
      <c r="GQ414"/>
      <c r="GR414"/>
      <c r="GS414"/>
      <c r="GT414"/>
      <c r="GU414"/>
      <c r="GV414"/>
      <c r="GW414"/>
      <c r="GX414"/>
      <c r="GY414"/>
      <c r="GZ414"/>
      <c r="HA414"/>
      <c r="HB414"/>
      <c r="HC414"/>
      <c r="HD414"/>
      <c r="HE414"/>
      <c r="HF414"/>
      <c r="HG414"/>
      <c r="HH414"/>
      <c r="HI414"/>
      <c r="HJ414"/>
      <c r="HK414"/>
      <c r="HL414"/>
      <c r="HM414"/>
      <c r="HN414"/>
      <c r="HO414"/>
      <c r="HP414"/>
      <c r="HQ414"/>
      <c r="HR414"/>
      <c r="HS414"/>
      <c r="HT414"/>
      <c r="HU414"/>
      <c r="HV414"/>
      <c r="HW414"/>
      <c r="HX414"/>
      <c r="HY414"/>
      <c r="HZ414"/>
      <c r="IA414"/>
      <c r="IB414"/>
      <c r="IC414"/>
      <c r="ID414"/>
      <c r="IE414"/>
      <c r="IF414"/>
      <c r="IG414"/>
      <c r="IH414"/>
      <c r="II414"/>
      <c r="IJ414"/>
      <c r="IK414"/>
      <c r="IL414"/>
      <c r="IM414"/>
      <c r="IN414"/>
      <c r="IO414"/>
      <c r="IP414"/>
      <c r="IQ414"/>
      <c r="IR414"/>
      <c r="IS414"/>
      <c r="IT414"/>
      <c r="IU414"/>
      <c r="IV414"/>
      <c r="IW414"/>
      <c r="IX414"/>
      <c r="IY414"/>
      <c r="IZ414"/>
      <c r="JA414"/>
      <c r="JB414"/>
      <c r="JC414"/>
      <c r="JD414"/>
      <c r="JE414"/>
      <c r="JF414"/>
      <c r="JG414"/>
      <c r="JH414"/>
      <c r="JI414"/>
      <c r="JJ414"/>
      <c r="JK414"/>
      <c r="JL414"/>
      <c r="JM414"/>
      <c r="JN414"/>
      <c r="JO414"/>
      <c r="JP414"/>
      <c r="JQ414"/>
      <c r="JR414"/>
      <c r="JS414"/>
      <c r="JT414"/>
      <c r="JU414"/>
    </row>
    <row r="415" spans="1:281" s="28" customFormat="1" ht="12" customHeight="1" collapsed="1" x14ac:dyDescent="0.2">
      <c r="A415" s="342" t="str">
        <f>'Balance Sheet'!A54</f>
        <v>Floating rate Oct '19 notes</v>
      </c>
      <c r="B415" s="414"/>
      <c r="AW415" s="69"/>
      <c r="BC415" s="69"/>
      <c r="BI415" s="69"/>
      <c r="BK415" s="69"/>
      <c r="BL415" s="69"/>
      <c r="BM415" s="69"/>
      <c r="BN415" s="69"/>
      <c r="BO415" s="69"/>
      <c r="BQ415" s="69"/>
      <c r="BR415" s="69"/>
      <c r="BS415" s="69"/>
      <c r="BT415" s="69"/>
      <c r="BU415" s="69"/>
      <c r="BW415" s="69"/>
      <c r="BX415" s="69"/>
      <c r="BY415" s="69"/>
      <c r="BZ415" s="69"/>
      <c r="CA415" s="69"/>
      <c r="CB415" s="134"/>
      <c r="CC415" s="69"/>
      <c r="CD415" s="69"/>
      <c r="CE415" s="69"/>
      <c r="CF415" s="69"/>
      <c r="CG415" s="415"/>
      <c r="CH415" s="134"/>
      <c r="CI415" s="417"/>
      <c r="CJ415" s="81"/>
      <c r="CK415" s="417"/>
      <c r="CL415" s="417"/>
      <c r="CM415" s="416"/>
      <c r="CN415" s="134"/>
      <c r="CO415" s="417"/>
      <c r="CP415" s="417"/>
      <c r="CQ415" s="417"/>
      <c r="CR415" s="417">
        <f>-('Balance Sheet'!CR56*0.0495)/4/2</f>
        <v>-7.734375</v>
      </c>
      <c r="CS415" s="416"/>
      <c r="CT415" s="134"/>
      <c r="CU415" s="417">
        <f>-('Balance Sheet'!CU56*0.0495)/4</f>
        <v>-15.46875</v>
      </c>
      <c r="CV415" s="417">
        <f>-('Balance Sheet'!CV56*0.0495)/4</f>
        <v>-15.46875</v>
      </c>
      <c r="CW415" s="417">
        <f>-('Balance Sheet'!CW56*0.0495)/4</f>
        <v>-15.46875</v>
      </c>
      <c r="CX415" s="417">
        <f>-('Balance Sheet'!CX56*0.0495)/4</f>
        <v>-15.46875</v>
      </c>
      <c r="CY415" s="416"/>
      <c r="CZ415" s="134"/>
      <c r="DA415" s="417">
        <f>-('Balance Sheet'!DA56*0.0495)/4</f>
        <v>-15.46875</v>
      </c>
      <c r="DB415" s="417">
        <f>-('Balance Sheet'!DB56*0.0495)/4</f>
        <v>-15.46875</v>
      </c>
      <c r="DC415" s="417">
        <f>-('Balance Sheet'!DC56*0.0495)/4</f>
        <v>-15.46875</v>
      </c>
      <c r="DD415" s="417">
        <f>-('Balance Sheet'!DD56*0.0495)/4</f>
        <v>-15.46875</v>
      </c>
      <c r="DE415" s="416"/>
      <c r="DF415" s="134"/>
      <c r="DG415" s="417">
        <f>-('Balance Sheet'!DG54*0.05)/4</f>
        <v>0</v>
      </c>
      <c r="DH415" s="417">
        <f>-('Balance Sheet'!DH54*0.05)/4</f>
        <v>0</v>
      </c>
      <c r="DI415" s="417">
        <f>-('Balance Sheet'!DI54*0.05)/4</f>
        <v>0</v>
      </c>
      <c r="DJ415" s="417">
        <f>-('Balance Sheet'!DJ54*0.05)/4</f>
        <v>0</v>
      </c>
      <c r="DK415" s="168">
        <f t="shared" si="282"/>
        <v>0</v>
      </c>
      <c r="DL415" s="134"/>
      <c r="DM415" s="417">
        <f>-('Balance Sheet'!DM54*0.05)/4</f>
        <v>0</v>
      </c>
      <c r="DN415" s="417">
        <f>-('Balance Sheet'!DN54*0.05)/4</f>
        <v>0</v>
      </c>
      <c r="DO415" s="417">
        <f>-('Balance Sheet'!DO54*0.05)/4</f>
        <v>0</v>
      </c>
      <c r="DP415" s="417">
        <f>-('Balance Sheet'!DP54*0.05)/4</f>
        <v>0</v>
      </c>
      <c r="DQ415" s="168">
        <f t="shared" si="283"/>
        <v>0</v>
      </c>
      <c r="DR415" s="134"/>
      <c r="DS415" s="417">
        <f>-('Balance Sheet'!DS54*0.05)/4</f>
        <v>0</v>
      </c>
      <c r="DT415" s="417">
        <f>-('Balance Sheet'!DT54*0.05)/4</f>
        <v>0</v>
      </c>
      <c r="DU415" s="417">
        <f>-('Balance Sheet'!DU54*0.05)/4</f>
        <v>0</v>
      </c>
      <c r="DV415" s="417">
        <f>-('Balance Sheet'!DV54*0.05)/4</f>
        <v>0</v>
      </c>
      <c r="DW415" s="168">
        <f t="shared" si="284"/>
        <v>0</v>
      </c>
      <c r="DX415" s="134"/>
      <c r="DY415" s="417">
        <f>-('Balance Sheet'!DY54*0.05)/4</f>
        <v>0</v>
      </c>
      <c r="DZ415" s="417">
        <f>-('Balance Sheet'!DZ54*0.05)/4</f>
        <v>0</v>
      </c>
      <c r="EA415" s="417">
        <f>-('Balance Sheet'!EA54*0.05)/4</f>
        <v>0</v>
      </c>
      <c r="EB415" s="417">
        <f>-('Balance Sheet'!EB54*0.05)/4</f>
        <v>0</v>
      </c>
      <c r="EC415" s="168">
        <f t="shared" si="285"/>
        <v>0</v>
      </c>
      <c r="ED415" s="134"/>
      <c r="EE415" s="417">
        <f>-('Balance Sheet'!EE54*0.05)/4</f>
        <v>-9.375</v>
      </c>
      <c r="EF415" s="417">
        <f>-('Balance Sheet'!EF54*0.05)/4</f>
        <v>-9.375</v>
      </c>
      <c r="EG415" s="417">
        <f>-('Balance Sheet'!EG54*0.05)/4</f>
        <v>-9.375</v>
      </c>
      <c r="EH415" s="417">
        <f>-('Balance Sheet'!EH54*0.05)/4</f>
        <v>-9.375</v>
      </c>
      <c r="EI415" s="168">
        <f t="shared" si="286"/>
        <v>-37.5</v>
      </c>
      <c r="EJ415" s="134"/>
      <c r="EK415" s="417">
        <f>-('Balance Sheet'!EK54*0.05)/4</f>
        <v>-9.375</v>
      </c>
      <c r="EL415" s="417">
        <f>-('Balance Sheet'!EL54*0.05)/4</f>
        <v>-9.375</v>
      </c>
      <c r="EM415" s="417">
        <f>-('Balance Sheet'!EM54*0.05)/4</f>
        <v>-9.375</v>
      </c>
      <c r="EN415" s="417">
        <f>-('Balance Sheet'!EN54*0.05)/4</f>
        <v>-9.375</v>
      </c>
      <c r="EO415" s="168">
        <f t="shared" si="287"/>
        <v>-37.5</v>
      </c>
      <c r="EP415" s="134"/>
      <c r="EQ415" s="417">
        <f>-('Balance Sheet'!EQ54*0.05)/4</f>
        <v>-9.375</v>
      </c>
      <c r="ER415" s="417">
        <f>-('Balance Sheet'!ER54*0.05)/4</f>
        <v>-9.375</v>
      </c>
      <c r="ES415" s="417">
        <f>-('Balance Sheet'!ES54*0.05)/4</f>
        <v>-9.375</v>
      </c>
      <c r="ET415" s="417">
        <f>-('Balance Sheet'!ET54*0.05)/4</f>
        <v>-9.375</v>
      </c>
      <c r="EU415" s="168">
        <f t="shared" si="288"/>
        <v>-37.5</v>
      </c>
      <c r="EV415" s="134"/>
      <c r="EW415" s="417">
        <f>-('Balance Sheet'!EW54*0.05)/4</f>
        <v>-9.375</v>
      </c>
      <c r="EX415" s="417">
        <f>-('Balance Sheet'!EX54*0.05)/4</f>
        <v>-9.375</v>
      </c>
      <c r="EY415" s="417">
        <f>-('Balance Sheet'!EY54*0.05)/4</f>
        <v>-9.375</v>
      </c>
      <c r="EZ415" s="417">
        <f>-('Balance Sheet'!EZ54*0.05)/4</f>
        <v>-9.375</v>
      </c>
      <c r="FA415" s="168">
        <f t="shared" si="289"/>
        <v>-37.5</v>
      </c>
      <c r="FB415" s="134"/>
      <c r="FC415" s="417">
        <f>-('Balance Sheet'!FC54*0.05)/4</f>
        <v>-9.375</v>
      </c>
      <c r="FD415" s="417">
        <f>-('Balance Sheet'!FD54*0.05)/4</f>
        <v>-9.375</v>
      </c>
      <c r="FE415" s="417">
        <f>-('Balance Sheet'!FE54*0.05)/4</f>
        <v>-9.375</v>
      </c>
      <c r="FF415" s="417">
        <f>-('Balance Sheet'!FF54*0.05)/4</f>
        <v>-9.375</v>
      </c>
      <c r="FG415" s="168">
        <f t="shared" si="290"/>
        <v>-37.5</v>
      </c>
      <c r="FH415" s="134"/>
      <c r="FI415" s="417">
        <f>-('Balance Sheet'!FI54*0.05)/4</f>
        <v>-9.375</v>
      </c>
      <c r="FJ415" s="417">
        <f>-('Balance Sheet'!FJ54*0.05)/4</f>
        <v>0</v>
      </c>
      <c r="FK415" s="417">
        <f>-('Balance Sheet'!FK54*0.05)/4</f>
        <v>0</v>
      </c>
      <c r="FL415" s="417">
        <f>-('Balance Sheet'!FL54*0.05)/4</f>
        <v>0</v>
      </c>
      <c r="FM415" s="168">
        <f t="shared" si="291"/>
        <v>-9.375</v>
      </c>
      <c r="FN415" s="27"/>
      <c r="FO415" s="27"/>
      <c r="FP415" s="27"/>
      <c r="FQ415" s="27"/>
      <c r="FR415" s="27"/>
      <c r="FS415" s="27"/>
      <c r="FT415" s="27"/>
      <c r="FU415" s="27"/>
      <c r="FV415" s="27"/>
      <c r="FW415" s="27"/>
      <c r="FX415" s="27"/>
      <c r="FY415" s="27"/>
      <c r="FZ415" s="27"/>
      <c r="GA415" s="27"/>
      <c r="GB415" s="27"/>
      <c r="GC415" s="27"/>
      <c r="GD415" s="27"/>
      <c r="GE415" s="27"/>
      <c r="GF415" s="27"/>
      <c r="GG415" s="27"/>
      <c r="GH415" s="27"/>
      <c r="GI415"/>
      <c r="GJ415"/>
      <c r="GK415"/>
      <c r="GL415"/>
      <c r="GM415"/>
      <c r="GN415"/>
      <c r="GO415" s="27"/>
      <c r="GP415"/>
      <c r="GQ415"/>
      <c r="GR415"/>
      <c r="GS415"/>
      <c r="GT415"/>
      <c r="GU415"/>
      <c r="GV415"/>
      <c r="GW415"/>
      <c r="GX415"/>
      <c r="GY415"/>
      <c r="GZ415"/>
      <c r="HA415"/>
      <c r="HB415"/>
      <c r="HC415"/>
      <c r="HD415"/>
      <c r="HE415"/>
      <c r="HF415"/>
      <c r="HG415"/>
      <c r="HH415"/>
      <c r="HI415"/>
      <c r="HJ415"/>
      <c r="HK415"/>
      <c r="HL415"/>
      <c r="HM415"/>
      <c r="HN415"/>
      <c r="HO415"/>
      <c r="HP415"/>
      <c r="HQ415"/>
      <c r="HR415"/>
      <c r="HS415"/>
      <c r="HT415"/>
      <c r="HU415"/>
      <c r="HV415"/>
      <c r="HW415"/>
      <c r="HX415"/>
      <c r="HY415"/>
      <c r="HZ415"/>
      <c r="IA415"/>
      <c r="IB415"/>
      <c r="IC415"/>
      <c r="ID415"/>
      <c r="IE415"/>
      <c r="IF415"/>
      <c r="IG415"/>
      <c r="IH415"/>
      <c r="II415"/>
      <c r="IJ415"/>
      <c r="IK415"/>
      <c r="IL415"/>
      <c r="IM415"/>
      <c r="IN415"/>
      <c r="IO415"/>
      <c r="IP415"/>
      <c r="IQ415"/>
      <c r="IR415"/>
      <c r="IS415"/>
      <c r="IT415"/>
      <c r="IU415"/>
      <c r="IV415"/>
      <c r="IW415"/>
      <c r="IX415"/>
      <c r="IY415"/>
      <c r="IZ415"/>
      <c r="JA415"/>
      <c r="JB415"/>
      <c r="JC415"/>
      <c r="JD415"/>
      <c r="JE415"/>
      <c r="JF415"/>
      <c r="JG415"/>
      <c r="JH415"/>
      <c r="JI415"/>
      <c r="JJ415"/>
      <c r="JK415"/>
      <c r="JL415"/>
      <c r="JM415"/>
      <c r="JN415"/>
      <c r="JO415"/>
      <c r="JP415"/>
      <c r="JQ415"/>
      <c r="JR415"/>
      <c r="JS415"/>
      <c r="JT415"/>
      <c r="JU415"/>
    </row>
    <row r="416" spans="1:281" s="28" customFormat="1" ht="12" hidden="1" customHeight="1" outlineLevel="1" x14ac:dyDescent="0.2">
      <c r="A416" s="342" t="str">
        <f>'Balance Sheet'!A55</f>
        <v>Jan 2011 Notes (5%)</v>
      </c>
      <c r="B416" s="414"/>
      <c r="AW416" s="69"/>
      <c r="BC416" s="69"/>
      <c r="BI416" s="69"/>
      <c r="BK416" s="69"/>
      <c r="BL416" s="69"/>
      <c r="BM416" s="69"/>
      <c r="BN416" s="69"/>
      <c r="BO416" s="69"/>
      <c r="BQ416" s="69"/>
      <c r="BR416" s="69"/>
      <c r="BS416" s="69"/>
      <c r="BT416" s="69"/>
      <c r="BU416" s="69"/>
      <c r="BW416" s="69"/>
      <c r="BX416" s="69"/>
      <c r="BY416" s="69"/>
      <c r="BZ416" s="69"/>
      <c r="CA416" s="69"/>
      <c r="CB416" s="134"/>
      <c r="CC416" s="69"/>
      <c r="CD416" s="69"/>
      <c r="CE416" s="69"/>
      <c r="CF416" s="69"/>
      <c r="CG416" s="415"/>
      <c r="CH416" s="134"/>
      <c r="CI416" s="417"/>
      <c r="CJ416" s="81"/>
      <c r="CK416" s="417"/>
      <c r="CL416" s="417"/>
      <c r="CM416" s="416"/>
      <c r="CN416" s="134"/>
      <c r="CO416" s="417"/>
      <c r="CP416" s="417"/>
      <c r="CQ416" s="417"/>
      <c r="CR416" s="417"/>
      <c r="CS416" s="416"/>
      <c r="CT416" s="134"/>
      <c r="CU416" s="417"/>
      <c r="CV416" s="417"/>
      <c r="CW416" s="417"/>
      <c r="CX416" s="417"/>
      <c r="CY416" s="416"/>
      <c r="CZ416" s="134"/>
      <c r="DA416" s="417">
        <v>0</v>
      </c>
      <c r="DB416" s="417">
        <f>-('Balance Sheet'!DB57*0.0375)/4</f>
        <v>-14.0625</v>
      </c>
      <c r="DC416" s="417">
        <f>-('Balance Sheet'!DC57*0.0375)/4</f>
        <v>-14.0625</v>
      </c>
      <c r="DD416" s="417">
        <f>-('Balance Sheet'!DD57*0.0375)/4</f>
        <v>-14.0625</v>
      </c>
      <c r="DE416" s="416"/>
      <c r="DF416" s="134"/>
      <c r="DG416" s="417">
        <f>-('Balance Sheet'!DG55*0.05)/4</f>
        <v>-28.087500000000002</v>
      </c>
      <c r="DH416" s="417">
        <f>-('Balance Sheet'!DH55*0.05)/4</f>
        <v>-28.087500000000002</v>
      </c>
      <c r="DI416" s="417">
        <f>-('Balance Sheet'!DI55*0.05)/4</f>
        <v>0</v>
      </c>
      <c r="DJ416" s="417">
        <f>-('Balance Sheet'!DJ55*0.05)/4</f>
        <v>0</v>
      </c>
      <c r="DK416" s="168">
        <f t="shared" si="282"/>
        <v>-56.175000000000004</v>
      </c>
      <c r="DL416" s="134"/>
      <c r="DM416" s="417">
        <f>-('Balance Sheet'!DM55*0.05)/4</f>
        <v>0</v>
      </c>
      <c r="DN416" s="417">
        <f>-('Balance Sheet'!DN55*0.05)/4</f>
        <v>0</v>
      </c>
      <c r="DO416" s="417">
        <f>-('Balance Sheet'!DO55*0.05)/4</f>
        <v>0</v>
      </c>
      <c r="DP416" s="417">
        <f>-('Balance Sheet'!DP55*0.05)/4</f>
        <v>0</v>
      </c>
      <c r="DQ416" s="168">
        <f t="shared" si="283"/>
        <v>0</v>
      </c>
      <c r="DR416" s="134"/>
      <c r="DS416" s="417">
        <f>-('Balance Sheet'!DS55*0.05)/4</f>
        <v>0</v>
      </c>
      <c r="DT416" s="417">
        <f>-('Balance Sheet'!DT55*0.05)/4</f>
        <v>0</v>
      </c>
      <c r="DU416" s="417">
        <f>-('Balance Sheet'!DU55*0.05)/4</f>
        <v>0</v>
      </c>
      <c r="DV416" s="417">
        <f>-('Balance Sheet'!DV55*0.05)/4</f>
        <v>0</v>
      </c>
      <c r="DW416" s="168">
        <f t="shared" si="284"/>
        <v>0</v>
      </c>
      <c r="DX416" s="134"/>
      <c r="DY416" s="417">
        <f>-('Balance Sheet'!DY55*0.05)/4</f>
        <v>0</v>
      </c>
      <c r="DZ416" s="417">
        <f>-('Balance Sheet'!DZ55*0.05)/4</f>
        <v>0</v>
      </c>
      <c r="EA416" s="417">
        <f>-('Balance Sheet'!EA55*0.05)/4</f>
        <v>0</v>
      </c>
      <c r="EB416" s="417">
        <f>-('Balance Sheet'!EB55*0.05)/4</f>
        <v>0</v>
      </c>
      <c r="EC416" s="168">
        <f t="shared" si="285"/>
        <v>0</v>
      </c>
      <c r="ED416" s="134"/>
      <c r="EE416" s="417">
        <f>-('Balance Sheet'!EE55*0.05)/4</f>
        <v>0</v>
      </c>
      <c r="EF416" s="417">
        <f>-('Balance Sheet'!EF55*0.05)/4</f>
        <v>0</v>
      </c>
      <c r="EG416" s="417">
        <f>-('Balance Sheet'!EG55*0.05)/4</f>
        <v>0</v>
      </c>
      <c r="EH416" s="417">
        <f>-('Balance Sheet'!EH55*0.05)/4</f>
        <v>0</v>
      </c>
      <c r="EI416" s="168">
        <f t="shared" si="286"/>
        <v>0</v>
      </c>
      <c r="EJ416" s="134"/>
      <c r="EK416" s="417">
        <f>-('Balance Sheet'!EK55*0.05)/4</f>
        <v>0</v>
      </c>
      <c r="EL416" s="417">
        <f>-('Balance Sheet'!EL55*0.05)/4</f>
        <v>0</v>
      </c>
      <c r="EM416" s="417">
        <f>-('Balance Sheet'!EM55*0.05)/4</f>
        <v>0</v>
      </c>
      <c r="EN416" s="417">
        <f>-('Balance Sheet'!EN55*0.05)/4</f>
        <v>0</v>
      </c>
      <c r="EO416" s="168">
        <f t="shared" si="287"/>
        <v>0</v>
      </c>
      <c r="EP416" s="134"/>
      <c r="EQ416" s="417">
        <f>-('Balance Sheet'!EQ55*0.05)/4</f>
        <v>0</v>
      </c>
      <c r="ER416" s="417">
        <f>-('Balance Sheet'!ER55*0.05)/4</f>
        <v>0</v>
      </c>
      <c r="ES416" s="417">
        <f>-('Balance Sheet'!ES55*0.05)/4</f>
        <v>0</v>
      </c>
      <c r="ET416" s="417">
        <f>-('Balance Sheet'!ET55*0.05)/4</f>
        <v>0</v>
      </c>
      <c r="EU416" s="168">
        <f t="shared" si="288"/>
        <v>0</v>
      </c>
      <c r="EV416" s="134"/>
      <c r="EW416" s="417">
        <f>-('Balance Sheet'!EW55*0.05)/4</f>
        <v>0</v>
      </c>
      <c r="EX416" s="417">
        <f>-('Balance Sheet'!EX55*0.05)/4</f>
        <v>0</v>
      </c>
      <c r="EY416" s="417">
        <f>-('Balance Sheet'!EY55*0.05)/4</f>
        <v>0</v>
      </c>
      <c r="EZ416" s="417">
        <f>-('Balance Sheet'!EZ55*0.05)/4</f>
        <v>0</v>
      </c>
      <c r="FA416" s="168">
        <f t="shared" si="289"/>
        <v>0</v>
      </c>
      <c r="FB416" s="134"/>
      <c r="FC416" s="417">
        <f>-('Balance Sheet'!FC55*0.05)/4</f>
        <v>0</v>
      </c>
      <c r="FD416" s="417">
        <f>-('Balance Sheet'!FD55*0.05)/4</f>
        <v>0</v>
      </c>
      <c r="FE416" s="417">
        <f>-('Balance Sheet'!FE55*0.05)/4</f>
        <v>0</v>
      </c>
      <c r="FF416" s="417">
        <f>-('Balance Sheet'!FF55*0.05)/4</f>
        <v>0</v>
      </c>
      <c r="FG416" s="168">
        <f t="shared" si="290"/>
        <v>0</v>
      </c>
      <c r="FH416" s="134"/>
      <c r="FI416" s="417">
        <f>-('Balance Sheet'!FI55*0.05)/4</f>
        <v>0</v>
      </c>
      <c r="FJ416" s="417">
        <f>-('Balance Sheet'!FJ55*0.05)/4</f>
        <v>0</v>
      </c>
      <c r="FK416" s="417">
        <f>-('Balance Sheet'!FK55*0.05)/4</f>
        <v>0</v>
      </c>
      <c r="FL416" s="417">
        <f>-('Balance Sheet'!FL55*0.05)/4</f>
        <v>0</v>
      </c>
      <c r="FM416" s="168">
        <f t="shared" si="291"/>
        <v>0</v>
      </c>
      <c r="FN416" s="27"/>
      <c r="FO416" s="27"/>
      <c r="FP416" s="27"/>
      <c r="FQ416" s="27"/>
      <c r="FR416" s="27"/>
      <c r="FS416" s="27"/>
      <c r="FT416" s="27"/>
      <c r="FU416" s="27"/>
      <c r="FV416" s="27"/>
      <c r="FW416" s="27"/>
      <c r="FX416" s="27"/>
      <c r="FY416" s="27"/>
      <c r="FZ416" s="27"/>
      <c r="GA416" s="27"/>
      <c r="GB416" s="27"/>
      <c r="GC416" s="27"/>
      <c r="GD416" s="27"/>
      <c r="GE416" s="27"/>
      <c r="GF416" s="27"/>
      <c r="GG416" s="27"/>
      <c r="GH416" s="27"/>
      <c r="GI416"/>
      <c r="GJ416"/>
      <c r="GK416"/>
      <c r="GL416"/>
      <c r="GM416"/>
      <c r="GN416"/>
      <c r="GO416" s="27"/>
      <c r="GP416"/>
      <c r="GQ416"/>
      <c r="GR416"/>
      <c r="GS416"/>
      <c r="GT416"/>
      <c r="GU416"/>
      <c r="GV416"/>
      <c r="GW416"/>
      <c r="GX416"/>
      <c r="GY416"/>
      <c r="GZ416"/>
      <c r="HA416"/>
      <c r="HB416"/>
      <c r="HC416"/>
      <c r="HD416"/>
      <c r="HE416"/>
      <c r="HF416"/>
      <c r="HG416"/>
      <c r="HH416"/>
      <c r="HI416"/>
      <c r="HJ416"/>
      <c r="HK416"/>
      <c r="HL416"/>
      <c r="HM416"/>
      <c r="HN416"/>
      <c r="HO416"/>
      <c r="HP416"/>
      <c r="HQ416"/>
      <c r="HR416"/>
      <c r="HS416"/>
      <c r="HT416"/>
      <c r="HU416"/>
      <c r="HV416"/>
      <c r="HW416"/>
      <c r="HX416"/>
      <c r="HY416"/>
      <c r="HZ416"/>
      <c r="IA416"/>
      <c r="IB416"/>
      <c r="IC416"/>
      <c r="ID416"/>
      <c r="IE416"/>
      <c r="IF416"/>
      <c r="IG416"/>
      <c r="IH416"/>
      <c r="II416"/>
      <c r="IJ416"/>
      <c r="IK416"/>
      <c r="IL416"/>
      <c r="IM416"/>
      <c r="IN416"/>
      <c r="IO416"/>
      <c r="IP416"/>
      <c r="IQ416"/>
      <c r="IR416"/>
      <c r="IS416"/>
      <c r="IT416"/>
      <c r="IU416"/>
      <c r="IV416"/>
      <c r="IW416"/>
      <c r="IX416"/>
      <c r="IY416"/>
      <c r="IZ416"/>
      <c r="JA416"/>
      <c r="JB416"/>
      <c r="JC416"/>
      <c r="JD416"/>
      <c r="JE416"/>
      <c r="JF416"/>
      <c r="JG416"/>
      <c r="JH416"/>
      <c r="JI416"/>
      <c r="JJ416"/>
      <c r="JK416"/>
      <c r="JL416"/>
      <c r="JM416"/>
      <c r="JN416"/>
      <c r="JO416"/>
      <c r="JP416"/>
      <c r="JQ416"/>
      <c r="JR416"/>
      <c r="JS416"/>
      <c r="JT416"/>
      <c r="JU416"/>
    </row>
    <row r="417" spans="1:281" s="28" customFormat="1" ht="12" hidden="1" customHeight="1" outlineLevel="1" x14ac:dyDescent="0.2">
      <c r="A417" s="342" t="str">
        <f>'Balance Sheet'!A56</f>
        <v>Apr 2013 Notes (4.95%)</v>
      </c>
      <c r="B417" s="414"/>
      <c r="AW417" s="69"/>
      <c r="BC417" s="69"/>
      <c r="BI417" s="69"/>
      <c r="BK417" s="69"/>
      <c r="BL417" s="69"/>
      <c r="BM417" s="69"/>
      <c r="BN417" s="69"/>
      <c r="BO417" s="69"/>
      <c r="BQ417" s="69"/>
      <c r="BR417" s="69"/>
      <c r="BS417" s="69"/>
      <c r="BT417" s="69"/>
      <c r="BU417" s="69"/>
      <c r="BW417" s="69"/>
      <c r="BX417" s="69"/>
      <c r="BY417" s="69"/>
      <c r="BZ417" s="69"/>
      <c r="CA417" s="69"/>
      <c r="CB417" s="134"/>
      <c r="CC417" s="69"/>
      <c r="CD417" s="69"/>
      <c r="CE417" s="69"/>
      <c r="CF417" s="69"/>
      <c r="CG417" s="415"/>
      <c r="CH417" s="134"/>
      <c r="CI417" s="417">
        <f>-2000*0.0525/2</f>
        <v>-52.5</v>
      </c>
      <c r="CJ417" s="81"/>
      <c r="CK417" s="417">
        <v>-26.3</v>
      </c>
      <c r="CL417" s="417">
        <v>-26.3</v>
      </c>
      <c r="CM417" s="416"/>
      <c r="CN417" s="134"/>
      <c r="CO417" s="417">
        <f>-('Balance Sheet'!CO58*0.0525)/4</f>
        <v>-26.25</v>
      </c>
      <c r="CP417" s="417">
        <f>-('Balance Sheet'!CP58*0.0525)/4</f>
        <v>-26.25</v>
      </c>
      <c r="CQ417" s="417">
        <f>-('Balance Sheet'!CQ58*0.0525)/4</f>
        <v>-26.25</v>
      </c>
      <c r="CR417" s="417">
        <f>-('Balance Sheet'!CR58*0.0525)/4</f>
        <v>-26.131874999999997</v>
      </c>
      <c r="CS417" s="416"/>
      <c r="CT417" s="134"/>
      <c r="CU417" s="417">
        <f>-('Balance Sheet'!CU58*0.0525)/4</f>
        <v>-26.131874999999997</v>
      </c>
      <c r="CV417" s="417">
        <f>-('Balance Sheet'!CV58*0.0525)/4</f>
        <v>-26.131874999999997</v>
      </c>
      <c r="CW417" s="417">
        <f>-('Balance Sheet'!CW58*0.0525)/4</f>
        <v>-26.131874999999997</v>
      </c>
      <c r="CX417" s="417">
        <f>-('Balance Sheet'!CX58*0.0525)/4</f>
        <v>-26.158124999999998</v>
      </c>
      <c r="CY417" s="416"/>
      <c r="CZ417" s="134"/>
      <c r="DA417" s="417">
        <f>-('Balance Sheet'!DA58*0.0525)/4</f>
        <v>-26.158124999999998</v>
      </c>
      <c r="DB417" s="417">
        <f>-('Balance Sheet'!DB58*0.0525)/4</f>
        <v>-26.158124999999998</v>
      </c>
      <c r="DC417" s="417">
        <f>-('Balance Sheet'!DC58*0.0525)/4</f>
        <v>-26.158124999999998</v>
      </c>
      <c r="DD417" s="417">
        <f>-('Balance Sheet'!DD58*0.0525)/4</f>
        <v>-26.158124999999998</v>
      </c>
      <c r="DE417" s="416"/>
      <c r="DF417" s="134"/>
      <c r="DG417" s="417">
        <f>-('Balance Sheet'!DG56*0.0495)/4</f>
        <v>-15.46875</v>
      </c>
      <c r="DH417" s="417">
        <f>-('Balance Sheet'!DH56*0.0495)/4</f>
        <v>-15.46875</v>
      </c>
      <c r="DI417" s="417">
        <f>-('Balance Sheet'!DI56*0.0495)/4</f>
        <v>-15.46875</v>
      </c>
      <c r="DJ417" s="417">
        <f>-('Balance Sheet'!DJ56*0.0495)/4</f>
        <v>-15.46875</v>
      </c>
      <c r="DK417" s="168">
        <f t="shared" si="282"/>
        <v>-61.875</v>
      </c>
      <c r="DL417" s="134"/>
      <c r="DM417" s="417">
        <f>-('Balance Sheet'!DM56*0.0495)/4</f>
        <v>-15.46875</v>
      </c>
      <c r="DN417" s="417">
        <f>-('Balance Sheet'!DN56*0.0495)/4</f>
        <v>-15.46875</v>
      </c>
      <c r="DO417" s="417">
        <f>-('Balance Sheet'!DO56*0.0495)/4</f>
        <v>-15.46875</v>
      </c>
      <c r="DP417" s="417">
        <f>-('Balance Sheet'!DP56*0.0495)/4</f>
        <v>-15.46875</v>
      </c>
      <c r="DQ417" s="168">
        <f t="shared" si="283"/>
        <v>-61.875</v>
      </c>
      <c r="DR417" s="134"/>
      <c r="DS417" s="417">
        <f>-('Balance Sheet'!DS56*0.0495)/4</f>
        <v>-15.46875</v>
      </c>
      <c r="DT417" s="417">
        <f>-('Balance Sheet'!DT56*0.0495)/4</f>
        <v>-15.46875</v>
      </c>
      <c r="DU417" s="417">
        <f>-('Balance Sheet'!DU56*0.0495)/4</f>
        <v>-15.46875</v>
      </c>
      <c r="DV417" s="417">
        <f>-('Balance Sheet'!DV56*0.0495)/4</f>
        <v>0</v>
      </c>
      <c r="DW417" s="168">
        <f t="shared" si="284"/>
        <v>-46.40625</v>
      </c>
      <c r="DX417" s="134"/>
      <c r="DY417" s="417">
        <f>-('Balance Sheet'!DY56*0.0495)/4</f>
        <v>0</v>
      </c>
      <c r="DZ417" s="417">
        <f>-('Balance Sheet'!DZ56*0.0495)/4</f>
        <v>0</v>
      </c>
      <c r="EA417" s="417">
        <f>-('Balance Sheet'!EA56*0.0495)/4</f>
        <v>0</v>
      </c>
      <c r="EB417" s="417">
        <f>-('Balance Sheet'!EB56*0.0495)/4</f>
        <v>0</v>
      </c>
      <c r="EC417" s="168">
        <f t="shared" si="285"/>
        <v>0</v>
      </c>
      <c r="ED417" s="134"/>
      <c r="EE417" s="417">
        <f>-('Balance Sheet'!EE56*0.0495)/4</f>
        <v>0</v>
      </c>
      <c r="EF417" s="417">
        <f>-('Balance Sheet'!EF56*0.0495)/4</f>
        <v>0</v>
      </c>
      <c r="EG417" s="417">
        <f>-('Balance Sheet'!EG56*0.0495)/4</f>
        <v>0</v>
      </c>
      <c r="EH417" s="417">
        <f>-('Balance Sheet'!EH56*0.0495)/4</f>
        <v>0</v>
      </c>
      <c r="EI417" s="168">
        <f t="shared" si="286"/>
        <v>0</v>
      </c>
      <c r="EJ417" s="134"/>
      <c r="EK417" s="417">
        <f>-('Balance Sheet'!EK56*0.0495)/4</f>
        <v>0</v>
      </c>
      <c r="EL417" s="417">
        <f>-('Balance Sheet'!EL56*0.0495)/4</f>
        <v>0</v>
      </c>
      <c r="EM417" s="417">
        <f>-('Balance Sheet'!EM56*0.0495)/4</f>
        <v>0</v>
      </c>
      <c r="EN417" s="417">
        <f>-('Balance Sheet'!EN56*0.0495)/4</f>
        <v>0</v>
      </c>
      <c r="EO417" s="168">
        <f t="shared" si="287"/>
        <v>0</v>
      </c>
      <c r="EP417" s="134"/>
      <c r="EQ417" s="417">
        <f>-('Balance Sheet'!EQ56*0.0495)/4</f>
        <v>0</v>
      </c>
      <c r="ER417" s="417">
        <f>-('Balance Sheet'!ER56*0.0495)/4</f>
        <v>0</v>
      </c>
      <c r="ES417" s="417">
        <f>-('Balance Sheet'!ES56*0.0495)/4</f>
        <v>0</v>
      </c>
      <c r="ET417" s="417">
        <f>-('Balance Sheet'!ET56*0.0495)/4</f>
        <v>0</v>
      </c>
      <c r="EU417" s="168">
        <f t="shared" si="288"/>
        <v>0</v>
      </c>
      <c r="EV417" s="134"/>
      <c r="EW417" s="417">
        <f>-('Balance Sheet'!EW56*0.0495)/4</f>
        <v>0</v>
      </c>
      <c r="EX417" s="417">
        <f>-('Balance Sheet'!EX56*0.0495)/4</f>
        <v>0</v>
      </c>
      <c r="EY417" s="417">
        <f>-('Balance Sheet'!EY56*0.0495)/4</f>
        <v>0</v>
      </c>
      <c r="EZ417" s="417">
        <f>-('Balance Sheet'!EZ56*0.0495)/4</f>
        <v>0</v>
      </c>
      <c r="FA417" s="168">
        <f t="shared" si="289"/>
        <v>0</v>
      </c>
      <c r="FB417" s="134"/>
      <c r="FC417" s="417">
        <f>-('Balance Sheet'!FC56*0.0495)/4</f>
        <v>0</v>
      </c>
      <c r="FD417" s="417">
        <f>-('Balance Sheet'!FD56*0.0495)/4</f>
        <v>0</v>
      </c>
      <c r="FE417" s="417">
        <f>-('Balance Sheet'!FE56*0.0495)/4</f>
        <v>0</v>
      </c>
      <c r="FF417" s="417">
        <f>-('Balance Sheet'!FF56*0.0495)/4</f>
        <v>0</v>
      </c>
      <c r="FG417" s="168">
        <f t="shared" si="290"/>
        <v>0</v>
      </c>
      <c r="FH417" s="134"/>
      <c r="FI417" s="417">
        <f>-('Balance Sheet'!FI56*0.0495)/4</f>
        <v>0</v>
      </c>
      <c r="FJ417" s="417">
        <f>-('Balance Sheet'!FJ56*0.0495)/4</f>
        <v>0</v>
      </c>
      <c r="FK417" s="417">
        <f>-('Balance Sheet'!FK56*0.0495)/4</f>
        <v>0</v>
      </c>
      <c r="FL417" s="417">
        <f>-('Balance Sheet'!FL56*0.0495)/4</f>
        <v>0</v>
      </c>
      <c r="FM417" s="168">
        <f t="shared" si="291"/>
        <v>0</v>
      </c>
      <c r="FN417" s="27"/>
      <c r="FO417" s="27"/>
      <c r="FP417" s="27"/>
      <c r="FQ417" s="27"/>
      <c r="FR417" s="27"/>
      <c r="FS417" s="27"/>
      <c r="FT417" s="27"/>
      <c r="FU417" s="27"/>
      <c r="FV417" s="27"/>
      <c r="FW417" s="27"/>
      <c r="FX417" s="27"/>
      <c r="FY417" s="27"/>
      <c r="FZ417" s="27"/>
      <c r="GA417" s="27"/>
      <c r="GB417" s="27"/>
      <c r="GC417" s="27"/>
      <c r="GD417" s="27"/>
      <c r="GE417" s="27"/>
      <c r="GF417" s="27"/>
      <c r="GG417" s="27"/>
      <c r="GH417" s="27"/>
      <c r="GI417"/>
      <c r="GJ417"/>
      <c r="GK417"/>
      <c r="GL417"/>
      <c r="GM417"/>
      <c r="GN417"/>
      <c r="GO417" s="27"/>
      <c r="GP417"/>
      <c r="GQ417"/>
      <c r="GR417"/>
      <c r="GS417"/>
      <c r="GT417"/>
      <c r="GU417"/>
      <c r="GV417"/>
      <c r="GW417"/>
      <c r="GX417"/>
      <c r="GY417"/>
      <c r="GZ417"/>
      <c r="HA417"/>
      <c r="HB417"/>
      <c r="HC417"/>
      <c r="HD417"/>
      <c r="HE417"/>
      <c r="HF417"/>
      <c r="HG417"/>
      <c r="HH417"/>
      <c r="HI417"/>
      <c r="HJ417"/>
      <c r="HK417"/>
      <c r="HL417"/>
      <c r="HM417"/>
      <c r="HN417"/>
      <c r="HO417"/>
      <c r="HP417"/>
      <c r="HQ417"/>
      <c r="HR417"/>
      <c r="HS417"/>
      <c r="HT417"/>
      <c r="HU417"/>
      <c r="HV417"/>
      <c r="HW417"/>
      <c r="HX417"/>
      <c r="HY417"/>
      <c r="HZ417"/>
      <c r="IA417"/>
      <c r="IB417"/>
      <c r="IC417"/>
      <c r="ID417"/>
      <c r="IE417"/>
      <c r="IF417"/>
      <c r="IG417"/>
      <c r="IH417"/>
      <c r="II417"/>
      <c r="IJ417"/>
      <c r="IK417"/>
      <c r="IL417"/>
      <c r="IM417"/>
      <c r="IN417"/>
      <c r="IO417"/>
      <c r="IP417"/>
      <c r="IQ417"/>
      <c r="IR417"/>
      <c r="IS417"/>
      <c r="IT417"/>
      <c r="IU417"/>
      <c r="IV417"/>
      <c r="IW417"/>
      <c r="IX417"/>
      <c r="IY417"/>
      <c r="IZ417"/>
      <c r="JA417"/>
      <c r="JB417"/>
      <c r="JC417"/>
      <c r="JD417"/>
      <c r="JE417"/>
      <c r="JF417"/>
      <c r="JG417"/>
      <c r="JH417"/>
      <c r="JI417"/>
      <c r="JJ417"/>
      <c r="JK417"/>
      <c r="JL417"/>
      <c r="JM417"/>
      <c r="JN417"/>
      <c r="JO417"/>
      <c r="JP417"/>
      <c r="JQ417"/>
      <c r="JR417"/>
      <c r="JS417"/>
      <c r="JT417"/>
      <c r="JU417"/>
    </row>
    <row r="418" spans="1:281" s="28" customFormat="1" ht="12" hidden="1" customHeight="1" outlineLevel="1" x14ac:dyDescent="0.2">
      <c r="A418" s="342" t="str">
        <f>'Balance Sheet'!A57</f>
        <v>July 2014 Notes (3.75%)</v>
      </c>
      <c r="B418" s="414"/>
      <c r="AW418" s="69"/>
      <c r="BC418" s="69"/>
      <c r="BI418" s="69"/>
      <c r="BK418" s="69"/>
      <c r="BL418" s="69"/>
      <c r="BM418" s="69"/>
      <c r="BN418" s="69"/>
      <c r="BO418" s="69"/>
      <c r="BQ418" s="69"/>
      <c r="BR418" s="69"/>
      <c r="BS418" s="69"/>
      <c r="BT418" s="69"/>
      <c r="BU418" s="69"/>
      <c r="BW418" s="69"/>
      <c r="BX418" s="69"/>
      <c r="BY418" s="69"/>
      <c r="BZ418" s="69"/>
      <c r="CA418" s="69"/>
      <c r="CB418" s="134"/>
      <c r="CC418" s="69"/>
      <c r="CD418" s="69"/>
      <c r="CE418" s="69"/>
      <c r="CF418" s="69"/>
      <c r="CG418" s="415"/>
      <c r="CH418" s="134"/>
      <c r="CI418" s="417"/>
      <c r="CJ418" s="81"/>
      <c r="CK418" s="417"/>
      <c r="CL418" s="417"/>
      <c r="CM418" s="416"/>
      <c r="CN418" s="134"/>
      <c r="CO418" s="417"/>
      <c r="CP418" s="417"/>
      <c r="CQ418" s="417"/>
      <c r="CR418" s="417"/>
      <c r="CS418" s="416"/>
      <c r="CT418" s="134"/>
      <c r="CU418" s="417"/>
      <c r="CV418" s="417"/>
      <c r="CW418" s="417"/>
      <c r="CX418" s="417"/>
      <c r="CY418" s="416"/>
      <c r="CZ418" s="134"/>
      <c r="DA418" s="417"/>
      <c r="DB418" s="417"/>
      <c r="DC418" s="417"/>
      <c r="DD418" s="417"/>
      <c r="DE418" s="416"/>
      <c r="DF418" s="134"/>
      <c r="DG418" s="417">
        <f>-('Balance Sheet'!DG57*0.0375)/4</f>
        <v>-14.0625</v>
      </c>
      <c r="DH418" s="417">
        <f>-('Balance Sheet'!DH57*0.0375)/4</f>
        <v>-14.0625</v>
      </c>
      <c r="DI418" s="417">
        <f>-('Balance Sheet'!DI57*0.0375)/4</f>
        <v>-14.0625</v>
      </c>
      <c r="DJ418" s="417">
        <f>-('Balance Sheet'!DJ57*0.0375)/4</f>
        <v>-14.0625</v>
      </c>
      <c r="DK418" s="168">
        <f t="shared" si="282"/>
        <v>-56.25</v>
      </c>
      <c r="DL418" s="134"/>
      <c r="DM418" s="417">
        <f>-('Balance Sheet'!DM57*0.0375)/4</f>
        <v>-14.868749999999999</v>
      </c>
      <c r="DN418" s="417">
        <f>-('Balance Sheet'!DN57*0.0375)/4</f>
        <v>-14.868749999999999</v>
      </c>
      <c r="DO418" s="417">
        <f>-('Balance Sheet'!DO57*0.0375)/4</f>
        <v>-14.868749999999999</v>
      </c>
      <c r="DP418" s="417">
        <f>-('Balance Sheet'!DP57*0.0375)/4</f>
        <v>-14.709375</v>
      </c>
      <c r="DQ418" s="168">
        <f t="shared" si="283"/>
        <v>-59.315624999999997</v>
      </c>
      <c r="DR418" s="134"/>
      <c r="DS418" s="417">
        <f>-('Balance Sheet'!DS57*0.0375)/4</f>
        <v>-14.709375</v>
      </c>
      <c r="DT418" s="417">
        <f>-('Balance Sheet'!DT57*0.0375)/4</f>
        <v>-14.709375</v>
      </c>
      <c r="DU418" s="417">
        <f>-('Balance Sheet'!DU57*0.0375)/4</f>
        <v>-14.709375</v>
      </c>
      <c r="DV418" s="417">
        <f>-('Balance Sheet'!DV57*0.0375)/4</f>
        <v>-14.446874999999999</v>
      </c>
      <c r="DW418" s="168">
        <f t="shared" si="284"/>
        <v>-58.574999999999996</v>
      </c>
      <c r="DX418" s="134"/>
      <c r="DY418" s="417">
        <f>-('Balance Sheet'!DY57*0.0375)/4</f>
        <v>-14.371874999999999</v>
      </c>
      <c r="DZ418" s="417">
        <f>-('Balance Sheet'!DZ57*0.0375)/4</f>
        <v>-14.268749999999999</v>
      </c>
      <c r="EA418" s="417">
        <f>-('Balance Sheet'!EA57*0.0375)/4</f>
        <v>-14.15625</v>
      </c>
      <c r="EB418" s="417">
        <f>-('Balance Sheet'!EB57*0.0375)/4</f>
        <v>-14.137499999999999</v>
      </c>
      <c r="EC418" s="168">
        <f t="shared" si="285"/>
        <v>-56.934375000000003</v>
      </c>
      <c r="ED418" s="134"/>
      <c r="EE418" s="417">
        <f>-('Balance Sheet'!EE57*0.0375)/4</f>
        <v>0</v>
      </c>
      <c r="EF418" s="417">
        <f>-('Balance Sheet'!EF57*0.0375)/4</f>
        <v>0</v>
      </c>
      <c r="EG418" s="417">
        <f>-('Balance Sheet'!EG57*0.0375)/4</f>
        <v>0</v>
      </c>
      <c r="EH418" s="417">
        <f>-('Balance Sheet'!EH57*0.0375)/4</f>
        <v>0</v>
      </c>
      <c r="EI418" s="168">
        <f t="shared" si="286"/>
        <v>0</v>
      </c>
      <c r="EJ418" s="134"/>
      <c r="EK418" s="417">
        <f>-('Balance Sheet'!EK57*0.0375)/4</f>
        <v>0</v>
      </c>
      <c r="EL418" s="417">
        <f>-('Balance Sheet'!EL57*0.0375)/4</f>
        <v>0</v>
      </c>
      <c r="EM418" s="417">
        <f>-('Balance Sheet'!EM57*0.0375)/4</f>
        <v>0</v>
      </c>
      <c r="EN418" s="417">
        <f>-('Balance Sheet'!EN57*0.0375)/4</f>
        <v>0</v>
      </c>
      <c r="EO418" s="168">
        <f t="shared" si="287"/>
        <v>0</v>
      </c>
      <c r="EP418" s="134"/>
      <c r="EQ418" s="417">
        <f>-('Balance Sheet'!EQ57*0.0375)/4</f>
        <v>0</v>
      </c>
      <c r="ER418" s="417">
        <f>-('Balance Sheet'!ER57*0.0375)/4</f>
        <v>0</v>
      </c>
      <c r="ES418" s="417">
        <f>-('Balance Sheet'!ES57*0.0375)/4</f>
        <v>0</v>
      </c>
      <c r="ET418" s="417">
        <f>-('Balance Sheet'!ET57*0.0375)/4</f>
        <v>0</v>
      </c>
      <c r="EU418" s="168">
        <f t="shared" si="288"/>
        <v>0</v>
      </c>
      <c r="EV418" s="134"/>
      <c r="EW418" s="417">
        <f>-('Balance Sheet'!EW57*0.0375)/4</f>
        <v>0</v>
      </c>
      <c r="EX418" s="417">
        <f>-('Balance Sheet'!EX57*0.0375)/4</f>
        <v>0</v>
      </c>
      <c r="EY418" s="417">
        <f>-('Balance Sheet'!EY57*0.0375)/4</f>
        <v>0</v>
      </c>
      <c r="EZ418" s="417">
        <f>-('Balance Sheet'!EZ57*0.0375)/4</f>
        <v>0</v>
      </c>
      <c r="FA418" s="168">
        <f t="shared" si="289"/>
        <v>0</v>
      </c>
      <c r="FB418" s="134"/>
      <c r="FC418" s="417">
        <f>-('Balance Sheet'!FC57*0.0375)/4</f>
        <v>0</v>
      </c>
      <c r="FD418" s="417">
        <f>-('Balance Sheet'!FD57*0.0375)/4</f>
        <v>0</v>
      </c>
      <c r="FE418" s="417">
        <f>-('Balance Sheet'!FE57*0.0375)/4</f>
        <v>0</v>
      </c>
      <c r="FF418" s="417">
        <f>-('Balance Sheet'!FF57*0.0375)/4</f>
        <v>0</v>
      </c>
      <c r="FG418" s="168">
        <f t="shared" si="290"/>
        <v>0</v>
      </c>
      <c r="FH418" s="134"/>
      <c r="FI418" s="417">
        <f>-('Balance Sheet'!FI57*0.0375)/4</f>
        <v>0</v>
      </c>
      <c r="FJ418" s="417">
        <f>-('Balance Sheet'!FJ57*0.0375)/4</f>
        <v>0</v>
      </c>
      <c r="FK418" s="417">
        <f>-('Balance Sheet'!FK57*0.0375)/4</f>
        <v>0</v>
      </c>
      <c r="FL418" s="417">
        <f>-('Balance Sheet'!FL57*0.0375)/4</f>
        <v>0</v>
      </c>
      <c r="FM418" s="168">
        <f t="shared" si="291"/>
        <v>0</v>
      </c>
      <c r="FN418" s="27"/>
      <c r="FO418" s="27"/>
      <c r="FP418" s="27"/>
      <c r="FQ418" s="27"/>
      <c r="FR418" s="27"/>
      <c r="FS418" s="27"/>
      <c r="FT418" s="27"/>
      <c r="FU418" s="27"/>
      <c r="FV418" s="27"/>
      <c r="FW418" s="27"/>
      <c r="FX418" s="27"/>
      <c r="FY418" s="27"/>
      <c r="FZ418" s="27"/>
      <c r="GA418" s="27"/>
      <c r="GB418" s="27"/>
      <c r="GC418" s="27"/>
      <c r="GD418" s="27"/>
      <c r="GE418" s="27"/>
      <c r="GF418" s="27"/>
      <c r="GG418" s="27"/>
      <c r="GH418" s="27"/>
      <c r="GI418"/>
      <c r="GJ418"/>
      <c r="GK418"/>
      <c r="GL418"/>
      <c r="GM418"/>
      <c r="GN418"/>
      <c r="GO418" s="27"/>
      <c r="GP418"/>
      <c r="GQ418"/>
      <c r="GR418"/>
      <c r="GS418"/>
      <c r="GT418"/>
      <c r="GU418"/>
      <c r="GV418"/>
      <c r="GW418"/>
      <c r="GX418"/>
      <c r="GY418"/>
      <c r="GZ418"/>
      <c r="HA418"/>
      <c r="HB418"/>
      <c r="HC418"/>
      <c r="HD418"/>
      <c r="HE418"/>
      <c r="HF418"/>
      <c r="HG418"/>
      <c r="HH418"/>
      <c r="HI418"/>
      <c r="HJ418"/>
      <c r="HK418"/>
      <c r="HL418"/>
      <c r="HM418"/>
      <c r="HN418"/>
      <c r="HO418"/>
      <c r="HP418"/>
      <c r="HQ418"/>
      <c r="HR418"/>
      <c r="HS418"/>
      <c r="HT418"/>
      <c r="HU418"/>
      <c r="HV418"/>
      <c r="HW418"/>
      <c r="HX418"/>
      <c r="HY418"/>
      <c r="HZ418"/>
      <c r="IA418"/>
      <c r="IB418"/>
      <c r="IC418"/>
      <c r="ID418"/>
      <c r="IE418"/>
      <c r="IF418"/>
      <c r="IG418"/>
      <c r="IH418"/>
      <c r="II418"/>
      <c r="IJ418"/>
      <c r="IK418"/>
      <c r="IL418"/>
      <c r="IM418"/>
      <c r="IN418"/>
      <c r="IO418"/>
      <c r="IP418"/>
      <c r="IQ418"/>
      <c r="IR418"/>
      <c r="IS418"/>
      <c r="IT418"/>
      <c r="IU418"/>
      <c r="IV418"/>
      <c r="IW418"/>
      <c r="IX418"/>
      <c r="IY418"/>
      <c r="IZ418"/>
      <c r="JA418"/>
      <c r="JB418"/>
      <c r="JC418"/>
      <c r="JD418"/>
      <c r="JE418"/>
      <c r="JF418"/>
      <c r="JG418"/>
      <c r="JH418"/>
      <c r="JI418"/>
      <c r="JJ418"/>
      <c r="JK418"/>
      <c r="JL418"/>
      <c r="JM418"/>
      <c r="JN418"/>
      <c r="JO418"/>
      <c r="JP418"/>
      <c r="JQ418"/>
      <c r="JR418"/>
      <c r="JS418"/>
      <c r="JT418"/>
      <c r="JU418"/>
    </row>
    <row r="419" spans="1:281" s="28" customFormat="1" ht="12" hidden="1" customHeight="1" outlineLevel="1" x14ac:dyDescent="0.2">
      <c r="A419" s="342" t="str">
        <f>'Balance Sheet'!A58</f>
        <v>Jan 2016 Notes (5.25%)</v>
      </c>
      <c r="B419" s="414"/>
      <c r="AW419" s="69"/>
      <c r="BC419" s="69"/>
      <c r="BI419" s="69"/>
      <c r="BK419" s="69"/>
      <c r="BL419" s="69"/>
      <c r="BM419" s="69"/>
      <c r="BN419" s="69"/>
      <c r="BO419" s="69"/>
      <c r="BQ419" s="69"/>
      <c r="BR419" s="69"/>
      <c r="BS419" s="69"/>
      <c r="BT419" s="69"/>
      <c r="BU419" s="69"/>
      <c r="BW419" s="69"/>
      <c r="BX419" s="69"/>
      <c r="BY419" s="69"/>
      <c r="BZ419" s="69"/>
      <c r="CA419" s="69"/>
      <c r="CB419" s="134"/>
      <c r="CC419" s="69"/>
      <c r="CD419" s="69"/>
      <c r="CE419" s="69"/>
      <c r="CF419" s="69"/>
      <c r="CG419" s="415"/>
      <c r="CH419" s="134"/>
      <c r="CI419" s="417"/>
      <c r="CJ419" s="81"/>
      <c r="CK419" s="417"/>
      <c r="CL419" s="417"/>
      <c r="CM419" s="416"/>
      <c r="CN419" s="134"/>
      <c r="CO419" s="417"/>
      <c r="CP419" s="417"/>
      <c r="CQ419" s="417"/>
      <c r="CR419" s="417">
        <f>-('Balance Sheet'!CR60*0.0575)/4/2</f>
        <v>-17.96875</v>
      </c>
      <c r="CS419" s="416"/>
      <c r="CT419" s="134"/>
      <c r="CU419" s="417">
        <f>-('Balance Sheet'!CU60*0.0575)/4</f>
        <v>-35.9375</v>
      </c>
      <c r="CV419" s="417">
        <f>-('Balance Sheet'!CV60*0.0575)/4</f>
        <v>-35.9375</v>
      </c>
      <c r="CW419" s="417">
        <f>-('Balance Sheet'!CW60*0.0575)/4</f>
        <v>-35.9375</v>
      </c>
      <c r="CX419" s="417">
        <f>-('Balance Sheet'!CX60*0.0575)/4</f>
        <v>-35.9375</v>
      </c>
      <c r="CY419" s="416"/>
      <c r="CZ419" s="134"/>
      <c r="DA419" s="417">
        <f>-('Balance Sheet'!DA60*0.0575)/4</f>
        <v>-35.9375</v>
      </c>
      <c r="DB419" s="417">
        <f>-('Balance Sheet'!DB60*0.0575)/4</f>
        <v>-35.9375</v>
      </c>
      <c r="DC419" s="417">
        <f>-('Balance Sheet'!DC60*0.0575)/4</f>
        <v>-35.9375</v>
      </c>
      <c r="DD419" s="417">
        <f>-('Balance Sheet'!DD60*0.0575)/4</f>
        <v>-35.9375</v>
      </c>
      <c r="DE419" s="416"/>
      <c r="DF419" s="134"/>
      <c r="DG419" s="417">
        <f>-('Balance Sheet'!DG58*0.0525)/4</f>
        <v>-26.158124999999998</v>
      </c>
      <c r="DH419" s="417">
        <f>-('Balance Sheet'!DH58*0.0525)/4</f>
        <v>-26.158124999999998</v>
      </c>
      <c r="DI419" s="417">
        <f>-('Balance Sheet'!DI58*0.0525)/4</f>
        <v>-26.158124999999998</v>
      </c>
      <c r="DJ419" s="417">
        <f>-('Balance Sheet'!DJ58*0.0525)/4</f>
        <v>-26.158124999999998</v>
      </c>
      <c r="DK419" s="168">
        <f t="shared" si="282"/>
        <v>-104.63249999999999</v>
      </c>
      <c r="DL419" s="134"/>
      <c r="DM419" s="417">
        <f>-('Balance Sheet'!DM58*0.0525)/4</f>
        <v>-26.184374999999999</v>
      </c>
      <c r="DN419" s="417">
        <f>-('Balance Sheet'!DN58*0.0525)/4</f>
        <v>-26.184374999999999</v>
      </c>
      <c r="DO419" s="417">
        <f>-('Balance Sheet'!DO58*0.0525)/4</f>
        <v>-26.184374999999999</v>
      </c>
      <c r="DP419" s="417">
        <f>-('Balance Sheet'!DP58*0.0525)/4</f>
        <v>-26.197499999999998</v>
      </c>
      <c r="DQ419" s="168">
        <f t="shared" si="283"/>
        <v>-104.75062499999999</v>
      </c>
      <c r="DR419" s="134"/>
      <c r="DS419" s="417">
        <f>-('Balance Sheet'!DS58*0.0525)/4</f>
        <v>-26.197499999999998</v>
      </c>
      <c r="DT419" s="417">
        <f>-('Balance Sheet'!DT58*0.0525)/4</f>
        <v>-26.197499999999998</v>
      </c>
      <c r="DU419" s="417">
        <f>-('Balance Sheet'!DU58*0.0525)/4</f>
        <v>-26.197499999999998</v>
      </c>
      <c r="DV419" s="417">
        <f>-('Balance Sheet'!DV58*0.0525)/4</f>
        <v>-26.210625</v>
      </c>
      <c r="DW419" s="168">
        <f t="shared" si="284"/>
        <v>-104.80312499999999</v>
      </c>
      <c r="DX419" s="134"/>
      <c r="DY419" s="417">
        <f>-('Balance Sheet'!DY58*0.0525)/4</f>
        <v>-26.210625</v>
      </c>
      <c r="DZ419" s="417">
        <f>-('Balance Sheet'!DZ58*0.0525)/4</f>
        <v>-26.210625</v>
      </c>
      <c r="EA419" s="417">
        <f>-('Balance Sheet'!EA58*0.0525)/4</f>
        <v>-26.210625</v>
      </c>
      <c r="EB419" s="417">
        <f>-('Balance Sheet'!EB58*0.0525)/4</f>
        <v>-26.210625</v>
      </c>
      <c r="EC419" s="168">
        <f t="shared" si="285"/>
        <v>-104.8425</v>
      </c>
      <c r="ED419" s="134"/>
      <c r="EE419" s="417">
        <f>-('Balance Sheet'!EE58*0.0525)/4</f>
        <v>-26.210625</v>
      </c>
      <c r="EF419" s="417">
        <f>-('Balance Sheet'!EF58*0.0525)/4</f>
        <v>-26.210625</v>
      </c>
      <c r="EG419" s="417">
        <f>-('Balance Sheet'!EG58*0.0525)/4</f>
        <v>-26.210625</v>
      </c>
      <c r="EH419" s="417">
        <f>-('Balance Sheet'!EH58*0.0525)/4</f>
        <v>-26.210625</v>
      </c>
      <c r="EI419" s="168">
        <f t="shared" si="286"/>
        <v>-104.8425</v>
      </c>
      <c r="EJ419" s="134"/>
      <c r="EK419" s="417">
        <f>-('Balance Sheet'!EK58*0.0525)/4</f>
        <v>-26.210625</v>
      </c>
      <c r="EL419" s="417">
        <f>-('Balance Sheet'!EL58*0.0525)/4</f>
        <v>-26.210625</v>
      </c>
      <c r="EM419" s="417">
        <f>-('Balance Sheet'!EM58*0.0525)/4</f>
        <v>0</v>
      </c>
      <c r="EN419" s="417">
        <f>-('Balance Sheet'!EN58*0.0525)/4</f>
        <v>0</v>
      </c>
      <c r="EO419" s="168">
        <f t="shared" si="287"/>
        <v>-52.421250000000001</v>
      </c>
      <c r="EP419" s="134"/>
      <c r="EQ419" s="417">
        <f>-('Balance Sheet'!EQ58*0.0525)/4</f>
        <v>0</v>
      </c>
      <c r="ER419" s="417">
        <f>-('Balance Sheet'!ER58*0.0525)/4</f>
        <v>0</v>
      </c>
      <c r="ES419" s="417">
        <f>-('Balance Sheet'!ES58*0.0525)/4</f>
        <v>0</v>
      </c>
      <c r="ET419" s="417">
        <f>-('Balance Sheet'!ET58*0.0525)/4</f>
        <v>0</v>
      </c>
      <c r="EU419" s="168">
        <f t="shared" si="288"/>
        <v>0</v>
      </c>
      <c r="EV419" s="134"/>
      <c r="EW419" s="417">
        <f>-('Balance Sheet'!EW58*0.0525)/4</f>
        <v>0</v>
      </c>
      <c r="EX419" s="417">
        <f>-('Balance Sheet'!EX58*0.0525)/4</f>
        <v>0</v>
      </c>
      <c r="EY419" s="417">
        <f>-('Balance Sheet'!EY58*0.0525)/4</f>
        <v>0</v>
      </c>
      <c r="EZ419" s="417">
        <f>-('Balance Sheet'!EZ58*0.0525)/4</f>
        <v>0</v>
      </c>
      <c r="FA419" s="168">
        <f t="shared" si="289"/>
        <v>0</v>
      </c>
      <c r="FB419" s="134"/>
      <c r="FC419" s="417">
        <f>-('Balance Sheet'!FC58*0.0525)/4</f>
        <v>0</v>
      </c>
      <c r="FD419" s="417">
        <f>-('Balance Sheet'!FD58*0.0525)/4</f>
        <v>0</v>
      </c>
      <c r="FE419" s="417">
        <f>-('Balance Sheet'!FE58*0.0525)/4</f>
        <v>0</v>
      </c>
      <c r="FF419" s="417">
        <f>-('Balance Sheet'!FF58*0.0525)/4</f>
        <v>0</v>
      </c>
      <c r="FG419" s="168">
        <f t="shared" si="290"/>
        <v>0</v>
      </c>
      <c r="FH419" s="134"/>
      <c r="FI419" s="417">
        <f>-('Balance Sheet'!FI58*0.0525)/4</f>
        <v>0</v>
      </c>
      <c r="FJ419" s="417">
        <f>-('Balance Sheet'!FJ58*0.0525)/4</f>
        <v>0</v>
      </c>
      <c r="FK419" s="417">
        <f>-('Balance Sheet'!FK58*0.0525)/4</f>
        <v>0</v>
      </c>
      <c r="FL419" s="417">
        <f>-('Balance Sheet'!FL58*0.0525)/4</f>
        <v>0</v>
      </c>
      <c r="FM419" s="168">
        <f t="shared" si="291"/>
        <v>0</v>
      </c>
      <c r="FN419" s="27"/>
      <c r="FO419" s="27"/>
      <c r="FP419" s="27"/>
      <c r="FQ419" s="27"/>
      <c r="FR419" s="27"/>
      <c r="FS419" s="27"/>
      <c r="FT419" s="27"/>
      <c r="FU419" s="27"/>
      <c r="FV419" s="27"/>
      <c r="FW419" s="27"/>
      <c r="FX419" s="27"/>
      <c r="FY419" s="27"/>
      <c r="FZ419" s="27"/>
      <c r="GA419" s="27"/>
      <c r="GB419" s="27"/>
      <c r="GC419" s="27"/>
      <c r="GD419" s="27"/>
      <c r="GE419" s="27"/>
      <c r="GF419" s="27"/>
      <c r="GG419" s="27"/>
      <c r="GH419" s="27"/>
      <c r="GI419"/>
      <c r="GJ419"/>
      <c r="GK419"/>
      <c r="GL419"/>
      <c r="GM419"/>
      <c r="GN419"/>
      <c r="GO419" s="27"/>
      <c r="GP419"/>
      <c r="GQ419"/>
      <c r="GR419"/>
      <c r="GS419"/>
      <c r="GT419"/>
      <c r="GU419"/>
      <c r="GV419"/>
      <c r="GW419"/>
      <c r="GX419"/>
      <c r="GY419"/>
      <c r="GZ419"/>
      <c r="HA419"/>
      <c r="HB419"/>
      <c r="HC419"/>
      <c r="HD419"/>
      <c r="HE419"/>
      <c r="HF419"/>
      <c r="HG419"/>
      <c r="HH419"/>
      <c r="HI419"/>
      <c r="HJ419"/>
      <c r="HK419"/>
      <c r="HL419"/>
      <c r="HM419"/>
      <c r="HN419"/>
      <c r="HO419"/>
      <c r="HP419"/>
      <c r="HQ419"/>
      <c r="HR419"/>
      <c r="HS419"/>
      <c r="HT419"/>
      <c r="HU419"/>
      <c r="HV419"/>
      <c r="HW419"/>
      <c r="HX419"/>
      <c r="HY419"/>
      <c r="HZ419"/>
      <c r="IA419"/>
      <c r="IB419"/>
      <c r="IC419"/>
      <c r="ID419"/>
      <c r="IE419"/>
      <c r="IF419"/>
      <c r="IG419"/>
      <c r="IH419"/>
      <c r="II419"/>
      <c r="IJ419"/>
      <c r="IK419"/>
      <c r="IL419"/>
      <c r="IM419"/>
      <c r="IN419"/>
      <c r="IO419"/>
      <c r="IP419"/>
      <c r="IQ419"/>
      <c r="IR419"/>
      <c r="IS419"/>
      <c r="IT419"/>
      <c r="IU419"/>
      <c r="IV419"/>
      <c r="IW419"/>
      <c r="IX419"/>
      <c r="IY419"/>
      <c r="IZ419"/>
      <c r="JA419"/>
      <c r="JB419"/>
      <c r="JC419"/>
      <c r="JD419"/>
      <c r="JE419"/>
      <c r="JF419"/>
      <c r="JG419"/>
      <c r="JH419"/>
      <c r="JI419"/>
      <c r="JJ419"/>
      <c r="JK419"/>
      <c r="JL419"/>
      <c r="JM419"/>
      <c r="JN419"/>
      <c r="JO419"/>
      <c r="JP419"/>
      <c r="JQ419"/>
      <c r="JR419"/>
      <c r="JS419"/>
      <c r="JT419"/>
      <c r="JU419"/>
    </row>
    <row r="420" spans="1:281" s="28" customFormat="1" ht="12" hidden="1" customHeight="1" outlineLevel="1" x14ac:dyDescent="0.2">
      <c r="A420" s="342" t="str">
        <f>'Balance Sheet'!A59</f>
        <v>Oct 2017 Notes (1.20%)</v>
      </c>
      <c r="B420" s="414"/>
      <c r="AW420" s="69"/>
      <c r="BC420" s="69"/>
      <c r="BI420" s="69"/>
      <c r="BK420" s="69"/>
      <c r="BL420" s="69"/>
      <c r="BM420" s="69"/>
      <c r="BN420" s="69"/>
      <c r="BO420" s="69"/>
      <c r="BQ420" s="69"/>
      <c r="BR420" s="69"/>
      <c r="BS420" s="69"/>
      <c r="BT420" s="69"/>
      <c r="BU420" s="69"/>
      <c r="BW420" s="69"/>
      <c r="BX420" s="69"/>
      <c r="BY420" s="69"/>
      <c r="BZ420" s="69"/>
      <c r="CA420" s="69"/>
      <c r="CB420" s="134"/>
      <c r="CC420" s="69"/>
      <c r="CD420" s="69"/>
      <c r="CE420" s="69"/>
      <c r="CF420" s="852"/>
      <c r="CG420" s="415"/>
      <c r="CH420" s="134"/>
      <c r="CI420" s="417"/>
      <c r="CJ420" s="417"/>
      <c r="CK420" s="417"/>
      <c r="CL420" s="417"/>
      <c r="CM420" s="416"/>
      <c r="CN420" s="134"/>
      <c r="CO420" s="417"/>
      <c r="CP420" s="417"/>
      <c r="CQ420" s="417"/>
      <c r="CR420" s="417"/>
      <c r="CS420" s="416"/>
      <c r="CT420" s="134"/>
      <c r="CU420" s="417"/>
      <c r="CV420" s="417"/>
      <c r="CW420" s="417"/>
      <c r="CX420" s="417"/>
      <c r="CY420" s="416"/>
      <c r="CZ420" s="134"/>
      <c r="DA420" s="417"/>
      <c r="DB420" s="417"/>
      <c r="DC420" s="417"/>
      <c r="DD420" s="417"/>
      <c r="DE420" s="416"/>
      <c r="DF420" s="134"/>
      <c r="DG420" s="417">
        <f>-('Balance Sheet'!DG59*0.012)/4</f>
        <v>0</v>
      </c>
      <c r="DH420" s="417">
        <f>-('Balance Sheet'!DH59*0.012)/4</f>
        <v>0</v>
      </c>
      <c r="DI420" s="417">
        <f>-('Balance Sheet'!DI59*0.012)/4</f>
        <v>0</v>
      </c>
      <c r="DJ420" s="417">
        <f>-('Balance Sheet'!DJ59*0.012)/4</f>
        <v>0</v>
      </c>
      <c r="DK420" s="168">
        <f t="shared" si="282"/>
        <v>0</v>
      </c>
      <c r="DL420" s="134"/>
      <c r="DM420" s="417">
        <f>-('Balance Sheet'!DM59*0.012)/4</f>
        <v>0</v>
      </c>
      <c r="DN420" s="417">
        <f>-('Balance Sheet'!DN59*0.012)/4</f>
        <v>0</v>
      </c>
      <c r="DO420" s="417">
        <f>-('Balance Sheet'!DO59*0.012)/4</f>
        <v>0</v>
      </c>
      <c r="DP420" s="417">
        <f>-('Balance Sheet'!DP59*0.012)/4</f>
        <v>0</v>
      </c>
      <c r="DQ420" s="168">
        <f t="shared" si="283"/>
        <v>0</v>
      </c>
      <c r="DR420" s="134"/>
      <c r="DS420" s="417">
        <f>-('Balance Sheet'!DS59*0.012)/4</f>
        <v>0</v>
      </c>
      <c r="DT420" s="417">
        <f>-('Balance Sheet'!DT59*0.012)/4</f>
        <v>-7.5</v>
      </c>
      <c r="DU420" s="417">
        <f>-('Balance Sheet'!DU59*0.012)/4</f>
        <v>-7.5</v>
      </c>
      <c r="DV420" s="417">
        <f>-('Balance Sheet'!DV59*0.012)/4</f>
        <v>-7.5</v>
      </c>
      <c r="DW420" s="168">
        <f t="shared" si="284"/>
        <v>-22.5</v>
      </c>
      <c r="DX420" s="134"/>
      <c r="DY420" s="417">
        <f>-('Balance Sheet'!DY59*0.012)/4</f>
        <v>-7.5</v>
      </c>
      <c r="DZ420" s="417">
        <f>-('Balance Sheet'!DZ59*0.012)/4</f>
        <v>-7.5</v>
      </c>
      <c r="EA420" s="417">
        <f>-('Balance Sheet'!EA59*0.012)/4</f>
        <v>-7.5</v>
      </c>
      <c r="EB420" s="417">
        <f>-('Balance Sheet'!EB59*0.012)/4</f>
        <v>-7.5</v>
      </c>
      <c r="EC420" s="168">
        <f t="shared" si="285"/>
        <v>-30</v>
      </c>
      <c r="ED420" s="134"/>
      <c r="EE420" s="417">
        <f>-('Balance Sheet'!EE59*0.012)/4</f>
        <v>-7.5</v>
      </c>
      <c r="EF420" s="417">
        <f>-('Balance Sheet'!EF59*0.012)/4</f>
        <v>-7.5</v>
      </c>
      <c r="EG420" s="417">
        <f>-('Balance Sheet'!EG59*0.012)/4</f>
        <v>-7.5</v>
      </c>
      <c r="EH420" s="417">
        <f>-('Balance Sheet'!EH59*0.012)/4</f>
        <v>-7.5</v>
      </c>
      <c r="EI420" s="168">
        <f t="shared" si="286"/>
        <v>-30</v>
      </c>
      <c r="EJ420" s="134"/>
      <c r="EK420" s="417">
        <f>-('Balance Sheet'!EK59*0.012)/4</f>
        <v>-7.5</v>
      </c>
      <c r="EL420" s="417">
        <f>-('Balance Sheet'!EL59*0.012)/4</f>
        <v>-7.5</v>
      </c>
      <c r="EM420" s="417">
        <f>-('Balance Sheet'!EM59*0.012)/4</f>
        <v>-7.5</v>
      </c>
      <c r="EN420" s="417">
        <f>-('Balance Sheet'!EN59*0.012)/4</f>
        <v>-7.5</v>
      </c>
      <c r="EO420" s="168">
        <f t="shared" si="287"/>
        <v>-30</v>
      </c>
      <c r="EP420" s="134"/>
      <c r="EQ420" s="417">
        <f>-('Balance Sheet'!EQ59*0.012)/4</f>
        <v>-7.5</v>
      </c>
      <c r="ER420" s="417">
        <f>-('Balance Sheet'!ER59*0.012)/4</f>
        <v>-7.5</v>
      </c>
      <c r="ES420" s="417">
        <f>-('Balance Sheet'!ES59*0.012)/4</f>
        <v>-7.5</v>
      </c>
      <c r="ET420" s="417">
        <f>-('Balance Sheet'!ET59*0.012)/4</f>
        <v>-7.5</v>
      </c>
      <c r="EU420" s="168">
        <f t="shared" si="288"/>
        <v>-30</v>
      </c>
      <c r="EV420" s="134"/>
      <c r="EW420" s="417">
        <f>-('Balance Sheet'!EW59*0.012)/4</f>
        <v>-7.5</v>
      </c>
      <c r="EX420" s="417">
        <f>-('Balance Sheet'!EX59*0.012)/4</f>
        <v>-7.5</v>
      </c>
      <c r="EY420" s="417">
        <f>-('Balance Sheet'!EY59*0.012)/4</f>
        <v>0</v>
      </c>
      <c r="EZ420" s="417">
        <f>-('Balance Sheet'!EZ59*0.012)/4</f>
        <v>0</v>
      </c>
      <c r="FA420" s="168">
        <f t="shared" si="289"/>
        <v>-15</v>
      </c>
      <c r="FB420" s="134"/>
      <c r="FC420" s="417">
        <f>-('Balance Sheet'!FC59*0.012)/4</f>
        <v>0</v>
      </c>
      <c r="FD420" s="417">
        <f>-('Balance Sheet'!FD59*0.012)/4</f>
        <v>0</v>
      </c>
      <c r="FE420" s="417">
        <f>-('Balance Sheet'!FE59*0.012)/4</f>
        <v>0</v>
      </c>
      <c r="FF420" s="417">
        <f>-('Balance Sheet'!FF59*0.012)/4</f>
        <v>0</v>
      </c>
      <c r="FG420" s="168">
        <f t="shared" si="290"/>
        <v>0</v>
      </c>
      <c r="FH420" s="134"/>
      <c r="FI420" s="417">
        <f>-('Balance Sheet'!FI59*0.012)/4</f>
        <v>0</v>
      </c>
      <c r="FJ420" s="417">
        <f>-('Balance Sheet'!FJ59*0.012)/4</f>
        <v>0</v>
      </c>
      <c r="FK420" s="417">
        <f>-('Balance Sheet'!FK59*0.012)/4</f>
        <v>0</v>
      </c>
      <c r="FL420" s="417">
        <f>-('Balance Sheet'!FL59*0.012)/4</f>
        <v>0</v>
      </c>
      <c r="FM420" s="168">
        <f t="shared" si="291"/>
        <v>0</v>
      </c>
      <c r="FN420" s="27"/>
      <c r="FO420" s="27"/>
      <c r="FP420" s="27"/>
      <c r="FQ420" s="27"/>
      <c r="FR420" s="27"/>
      <c r="FS420" s="27"/>
      <c r="FT420" s="27"/>
      <c r="FU420" s="27"/>
      <c r="FV420" s="27"/>
      <c r="FW420" s="27"/>
      <c r="FX420" s="27"/>
      <c r="FY420" s="27"/>
      <c r="FZ420" s="27"/>
      <c r="GA420" s="27"/>
      <c r="GB420" s="27"/>
      <c r="GC420" s="27"/>
      <c r="GD420" s="27"/>
      <c r="GE420" s="27"/>
      <c r="GF420" s="27"/>
      <c r="GG420" s="27"/>
      <c r="GH420" s="27"/>
      <c r="GI420"/>
      <c r="GJ420"/>
      <c r="GK420"/>
      <c r="GL420"/>
      <c r="GM420"/>
      <c r="GN420"/>
      <c r="GO420" s="27"/>
      <c r="GP420"/>
      <c r="GQ420"/>
      <c r="GR420"/>
      <c r="GS420"/>
      <c r="GT420"/>
      <c r="GU420"/>
      <c r="GV420"/>
      <c r="GW420"/>
      <c r="GX420"/>
      <c r="GY420"/>
      <c r="GZ420"/>
      <c r="HA420"/>
      <c r="HB420"/>
      <c r="HC420"/>
      <c r="HD420"/>
      <c r="HE420"/>
      <c r="HF420"/>
      <c r="HG420"/>
      <c r="HH420"/>
      <c r="HI420"/>
      <c r="HJ420"/>
      <c r="HK420"/>
      <c r="HL420"/>
      <c r="HM420"/>
      <c r="HN420"/>
      <c r="HO420"/>
      <c r="HP420"/>
      <c r="HQ420"/>
      <c r="HR420"/>
      <c r="HS420"/>
      <c r="HT420"/>
      <c r="HU420"/>
      <c r="HV420"/>
      <c r="HW420"/>
      <c r="HX420"/>
      <c r="HY420"/>
      <c r="HZ420"/>
      <c r="IA420"/>
      <c r="IB420"/>
      <c r="IC420"/>
      <c r="ID420"/>
      <c r="IE420"/>
      <c r="IF420"/>
      <c r="IG420"/>
      <c r="IH420"/>
      <c r="II420"/>
      <c r="IJ420"/>
      <c r="IK420"/>
      <c r="IL420"/>
      <c r="IM420"/>
      <c r="IN420"/>
      <c r="IO420"/>
      <c r="IP420"/>
      <c r="IQ420"/>
      <c r="IR420"/>
      <c r="IS420"/>
      <c r="IT420"/>
      <c r="IU420"/>
      <c r="IV420"/>
      <c r="IW420"/>
      <c r="IX420"/>
      <c r="IY420"/>
      <c r="IZ420"/>
      <c r="JA420"/>
      <c r="JB420"/>
      <c r="JC420"/>
      <c r="JD420"/>
      <c r="JE420"/>
      <c r="JF420"/>
      <c r="JG420"/>
      <c r="JH420"/>
      <c r="JI420"/>
      <c r="JJ420"/>
      <c r="JK420"/>
      <c r="JL420"/>
      <c r="JM420"/>
      <c r="JN420"/>
      <c r="JO420"/>
      <c r="JP420"/>
      <c r="JQ420"/>
      <c r="JR420"/>
      <c r="JS420"/>
      <c r="JT420"/>
      <c r="JU420"/>
    </row>
    <row r="421" spans="1:281" s="28" customFormat="1" ht="12" hidden="1" customHeight="1" outlineLevel="1" x14ac:dyDescent="0.2">
      <c r="A421" s="342" t="str">
        <f>'Balance Sheet'!A60</f>
        <v>Apr 2018 Notes (5.75%)</v>
      </c>
      <c r="B421" s="414"/>
      <c r="AW421" s="69"/>
      <c r="BC421" s="69"/>
      <c r="BI421" s="69"/>
      <c r="BK421" s="69"/>
      <c r="BL421" s="69"/>
      <c r="BM421" s="69"/>
      <c r="BN421" s="69"/>
      <c r="BO421" s="69"/>
      <c r="BQ421" s="69"/>
      <c r="BR421" s="69"/>
      <c r="BS421" s="69"/>
      <c r="BT421" s="69"/>
      <c r="BU421" s="69"/>
      <c r="BW421" s="69"/>
      <c r="BX421" s="69"/>
      <c r="BY421" s="69"/>
      <c r="BZ421" s="69"/>
      <c r="CA421" s="69"/>
      <c r="CB421" s="134"/>
      <c r="CC421" s="69"/>
      <c r="CD421" s="69"/>
      <c r="CE421" s="69"/>
      <c r="CF421" s="852"/>
      <c r="CG421" s="415"/>
      <c r="CH421" s="134"/>
      <c r="CI421" s="417"/>
      <c r="CJ421" s="417"/>
      <c r="CK421" s="417"/>
      <c r="CL421" s="417"/>
      <c r="CM421" s="416"/>
      <c r="CN421" s="134"/>
      <c r="CO421" s="417"/>
      <c r="CP421" s="417"/>
      <c r="CQ421" s="417"/>
      <c r="CR421" s="417"/>
      <c r="CS421" s="416"/>
      <c r="CT421" s="134"/>
      <c r="CU421" s="417"/>
      <c r="CV421" s="417"/>
      <c r="CW421" s="417"/>
      <c r="CX421" s="417"/>
      <c r="CY421" s="416"/>
      <c r="CZ421" s="134"/>
      <c r="DA421" s="417"/>
      <c r="DB421" s="417"/>
      <c r="DC421" s="417"/>
      <c r="DD421" s="417"/>
      <c r="DE421" s="416"/>
      <c r="DF421" s="134"/>
      <c r="DG421" s="417">
        <f>-('Balance Sheet'!DG60*0.0575)/4</f>
        <v>-35.9375</v>
      </c>
      <c r="DH421" s="417">
        <f>-('Balance Sheet'!DH60*0.0575)/4</f>
        <v>-35.9375</v>
      </c>
      <c r="DI421" s="417">
        <f>-('Balance Sheet'!DI60*0.0575)/4</f>
        <v>-35.9375</v>
      </c>
      <c r="DJ421" s="417">
        <f>-('Balance Sheet'!DJ60*0.0575)/4</f>
        <v>-35.9375</v>
      </c>
      <c r="DK421" s="168">
        <f t="shared" si="282"/>
        <v>-143.75</v>
      </c>
      <c r="DL421" s="134"/>
      <c r="DM421" s="417">
        <f>-('Balance Sheet'!DM60*0.0575)/4</f>
        <v>-35.9375</v>
      </c>
      <c r="DN421" s="417">
        <f>-('Balance Sheet'!DN60*0.0575)/4</f>
        <v>-35.9375</v>
      </c>
      <c r="DO421" s="417">
        <f>-('Balance Sheet'!DO60*0.0575)/4</f>
        <v>-35.9375</v>
      </c>
      <c r="DP421" s="417">
        <f>-('Balance Sheet'!DP60*0.0575)/4</f>
        <v>-35.9375</v>
      </c>
      <c r="DQ421" s="168">
        <f t="shared" si="283"/>
        <v>-143.75</v>
      </c>
      <c r="DR421" s="134"/>
      <c r="DS421" s="417">
        <f>-('Balance Sheet'!DS60*0.0575)/4</f>
        <v>-35.9375</v>
      </c>
      <c r="DT421" s="417">
        <f>-('Balance Sheet'!DT60*0.0575)/4</f>
        <v>-35.9375</v>
      </c>
      <c r="DU421" s="417">
        <f>-('Balance Sheet'!DU60*0.0575)/4</f>
        <v>-35.9375</v>
      </c>
      <c r="DV421" s="417">
        <f>-('Balance Sheet'!DV60*0.0575)/4</f>
        <v>-35.9375</v>
      </c>
      <c r="DW421" s="168">
        <f t="shared" si="284"/>
        <v>-143.75</v>
      </c>
      <c r="DX421" s="134"/>
      <c r="DY421" s="417">
        <f>-('Balance Sheet'!DY60*0.0575)/4</f>
        <v>-35.9375</v>
      </c>
      <c r="DZ421" s="417">
        <f>-('Balance Sheet'!DZ60*0.0575)/4</f>
        <v>-35.9375</v>
      </c>
      <c r="EA421" s="417">
        <f>-('Balance Sheet'!EA60*0.0575)/4</f>
        <v>-35.9375</v>
      </c>
      <c r="EB421" s="417">
        <f>-('Balance Sheet'!EB60*0.0575)/4</f>
        <v>-35.9375</v>
      </c>
      <c r="EC421" s="168">
        <f t="shared" si="285"/>
        <v>-143.75</v>
      </c>
      <c r="ED421" s="134"/>
      <c r="EE421" s="417">
        <f>-('Balance Sheet'!EE60*0.0575)/4</f>
        <v>-35.9375</v>
      </c>
      <c r="EF421" s="417">
        <f>-('Balance Sheet'!EF60*0.0575)/4</f>
        <v>-35.9375</v>
      </c>
      <c r="EG421" s="417">
        <f>-('Balance Sheet'!EG60*0.0575)/4</f>
        <v>-35.9375</v>
      </c>
      <c r="EH421" s="417">
        <f>-('Balance Sheet'!EH60*0.0575)/4</f>
        <v>-35.9375</v>
      </c>
      <c r="EI421" s="168">
        <f t="shared" si="286"/>
        <v>-143.75</v>
      </c>
      <c r="EJ421" s="134"/>
      <c r="EK421" s="417">
        <f>-('Balance Sheet'!EK60*0.0575)/4</f>
        <v>-35.9375</v>
      </c>
      <c r="EL421" s="417">
        <f>-('Balance Sheet'!EL60*0.0575)/4</f>
        <v>-35.9375</v>
      </c>
      <c r="EM421" s="417">
        <f>-('Balance Sheet'!EM60*0.0575)/4</f>
        <v>-35.9375</v>
      </c>
      <c r="EN421" s="417">
        <f>-('Balance Sheet'!EN60*0.0575)/4</f>
        <v>-35.9375</v>
      </c>
      <c r="EO421" s="168">
        <f t="shared" si="287"/>
        <v>-143.75</v>
      </c>
      <c r="EP421" s="134"/>
      <c r="EQ421" s="417">
        <f>-('Balance Sheet'!EQ60*0.0575)/4</f>
        <v>-35.9375</v>
      </c>
      <c r="ER421" s="417">
        <f>-('Balance Sheet'!ER60*0.0575)/4</f>
        <v>-35.9375</v>
      </c>
      <c r="ES421" s="417">
        <f>-('Balance Sheet'!ES60*0.0575)/4</f>
        <v>-35.9375</v>
      </c>
      <c r="ET421" s="417">
        <f>-('Balance Sheet'!ET60*0.0575)/4</f>
        <v>-35.9375</v>
      </c>
      <c r="EU421" s="168">
        <f t="shared" si="288"/>
        <v>-143.75</v>
      </c>
      <c r="EV421" s="134"/>
      <c r="EW421" s="417">
        <f>-('Balance Sheet'!EW60*0.0575)/4</f>
        <v>-35.9375</v>
      </c>
      <c r="EX421" s="417">
        <f>-('Balance Sheet'!EX60*0.0575)/4</f>
        <v>-35.9375</v>
      </c>
      <c r="EY421" s="417">
        <f>-('Balance Sheet'!EY60*0.0575)/4</f>
        <v>-35.9375</v>
      </c>
      <c r="EZ421" s="417">
        <f>-('Balance Sheet'!EZ60*0.0575)/4</f>
        <v>-35.9375</v>
      </c>
      <c r="FA421" s="168">
        <f t="shared" si="289"/>
        <v>-143.75</v>
      </c>
      <c r="FB421" s="134"/>
      <c r="FC421" s="417">
        <f>-('Balance Sheet'!FC60*0.0575)/4</f>
        <v>0</v>
      </c>
      <c r="FD421" s="417">
        <f>-('Balance Sheet'!FD60*0.0575)/4</f>
        <v>0</v>
      </c>
      <c r="FE421" s="417">
        <f>-('Balance Sheet'!FE60*0.0575)/4</f>
        <v>0</v>
      </c>
      <c r="FF421" s="417">
        <f>-('Balance Sheet'!FF60*0.0575)/4</f>
        <v>0</v>
      </c>
      <c r="FG421" s="168">
        <f t="shared" si="290"/>
        <v>0</v>
      </c>
      <c r="FH421" s="134"/>
      <c r="FI421" s="417">
        <f>-('Balance Sheet'!FI60*0.0575)/4</f>
        <v>0</v>
      </c>
      <c r="FJ421" s="417">
        <f>-('Balance Sheet'!FJ60*0.0575)/4</f>
        <v>0</v>
      </c>
      <c r="FK421" s="417">
        <f>-('Balance Sheet'!FK60*0.0575)/4</f>
        <v>0</v>
      </c>
      <c r="FL421" s="417">
        <f>-('Balance Sheet'!FL60*0.0575)/4</f>
        <v>0</v>
      </c>
      <c r="FM421" s="168">
        <f t="shared" si="291"/>
        <v>0</v>
      </c>
      <c r="FN421" s="27"/>
      <c r="FO421" s="27"/>
      <c r="FP421" s="27"/>
      <c r="FQ421" s="27"/>
      <c r="FR421" s="27"/>
      <c r="FS421" s="27"/>
      <c r="FT421" s="27"/>
      <c r="FU421" s="27"/>
      <c r="FV421" s="27"/>
      <c r="FW421" s="27"/>
      <c r="FX421" s="27"/>
      <c r="FY421" s="27"/>
      <c r="FZ421" s="27"/>
      <c r="GA421" s="27"/>
      <c r="GB421" s="27"/>
      <c r="GC421" s="27"/>
      <c r="GD421" s="27"/>
      <c r="GE421" s="27"/>
      <c r="GF421" s="27"/>
      <c r="GG421" s="27"/>
      <c r="GH421" s="27"/>
      <c r="GI421"/>
      <c r="GJ421"/>
      <c r="GK421"/>
      <c r="GL421"/>
      <c r="GM421"/>
      <c r="GN421"/>
      <c r="GO421" s="27"/>
      <c r="GP421"/>
      <c r="GQ421"/>
      <c r="GR421"/>
      <c r="GS421"/>
      <c r="GT421"/>
      <c r="GU421"/>
      <c r="GV421"/>
      <c r="GW421"/>
      <c r="GX421"/>
      <c r="GY421"/>
      <c r="GZ421"/>
      <c r="HA421"/>
      <c r="HB421"/>
      <c r="HC421"/>
      <c r="HD421"/>
      <c r="HE421"/>
      <c r="HF421"/>
      <c r="HG421"/>
      <c r="HH421"/>
      <c r="HI421"/>
      <c r="HJ421"/>
      <c r="HK421"/>
      <c r="HL421"/>
      <c r="HM421"/>
      <c r="HN421"/>
      <c r="HO421"/>
      <c r="HP421"/>
      <c r="HQ421"/>
      <c r="HR421"/>
      <c r="HS421"/>
      <c r="HT421"/>
      <c r="HU421"/>
      <c r="HV421"/>
      <c r="HW421"/>
      <c r="HX421"/>
      <c r="HY421"/>
      <c r="HZ421"/>
      <c r="IA421"/>
      <c r="IB421"/>
      <c r="IC421"/>
      <c r="ID421"/>
      <c r="IE421"/>
      <c r="IF421"/>
      <c r="IG421"/>
      <c r="IH421"/>
      <c r="II421"/>
      <c r="IJ421"/>
      <c r="IK421"/>
      <c r="IL421"/>
      <c r="IM421"/>
      <c r="IN421"/>
      <c r="IO421"/>
      <c r="IP421"/>
      <c r="IQ421"/>
      <c r="IR421"/>
      <c r="IS421"/>
      <c r="IT421"/>
      <c r="IU421"/>
      <c r="IV421"/>
      <c r="IW421"/>
      <c r="IX421"/>
      <c r="IY421"/>
      <c r="IZ421"/>
      <c r="JA421"/>
      <c r="JB421"/>
      <c r="JC421"/>
      <c r="JD421"/>
      <c r="JE421"/>
      <c r="JF421"/>
      <c r="JG421"/>
      <c r="JH421"/>
      <c r="JI421"/>
      <c r="JJ421"/>
      <c r="JK421"/>
      <c r="JL421"/>
      <c r="JM421"/>
      <c r="JN421"/>
      <c r="JO421"/>
      <c r="JP421"/>
      <c r="JQ421"/>
      <c r="JR421"/>
      <c r="JS421"/>
      <c r="JT421"/>
      <c r="JU421"/>
    </row>
    <row r="422" spans="1:281" s="28" customFormat="1" ht="12" hidden="1" customHeight="1" outlineLevel="1" x14ac:dyDescent="0.2">
      <c r="A422" s="342" t="str">
        <f>'Balance Sheet'!A61</f>
        <v>January 2019 Notes (2.375%)</v>
      </c>
      <c r="B422" s="414"/>
      <c r="AW422" s="69"/>
      <c r="BC422" s="69"/>
      <c r="BI422" s="69"/>
      <c r="BK422" s="69"/>
      <c r="BL422" s="69"/>
      <c r="BM422" s="69"/>
      <c r="BN422" s="69"/>
      <c r="BO422" s="69"/>
      <c r="BQ422" s="69"/>
      <c r="BR422" s="69"/>
      <c r="BS422" s="69"/>
      <c r="BT422" s="69"/>
      <c r="BU422" s="69"/>
      <c r="BW422" s="69"/>
      <c r="BX422" s="69"/>
      <c r="BY422" s="69"/>
      <c r="BZ422" s="69"/>
      <c r="CA422" s="69"/>
      <c r="CB422" s="134"/>
      <c r="CC422" s="69"/>
      <c r="CD422" s="69"/>
      <c r="CE422" s="69"/>
      <c r="CF422" s="69"/>
      <c r="CG422" s="415"/>
      <c r="CH422" s="134"/>
      <c r="CI422" s="417"/>
      <c r="CJ422" s="81"/>
      <c r="CK422" s="417"/>
      <c r="CL422" s="417"/>
      <c r="CM422" s="416"/>
      <c r="CN422" s="134"/>
      <c r="CO422" s="417"/>
      <c r="CP422" s="417"/>
      <c r="CQ422" s="417"/>
      <c r="CR422" s="417"/>
      <c r="CS422" s="416"/>
      <c r="CT422" s="134"/>
      <c r="CU422" s="417"/>
      <c r="CV422" s="417"/>
      <c r="CW422" s="417"/>
      <c r="CX422" s="417"/>
      <c r="CY422" s="416"/>
      <c r="CZ422" s="134"/>
      <c r="DA422" s="417">
        <v>0</v>
      </c>
      <c r="DB422" s="417">
        <f>-('Balance Sheet'!DB63*0.05)/5</f>
        <v>0</v>
      </c>
      <c r="DC422" s="417">
        <f>-('Balance Sheet'!DC63*0.05)/5</f>
        <v>0</v>
      </c>
      <c r="DD422" s="417">
        <f>-('Balance Sheet'!DD63*0.05)/5</f>
        <v>0</v>
      </c>
      <c r="DE422" s="416"/>
      <c r="DF422" s="134"/>
      <c r="DG422" s="417">
        <f>-('Balance Sheet'!DG61*0.02375)/4</f>
        <v>0</v>
      </c>
      <c r="DH422" s="417">
        <f>-('Balance Sheet'!DH61*0.02375)/4</f>
        <v>0</v>
      </c>
      <c r="DI422" s="417">
        <f>-('Balance Sheet'!DI61*0.02375)/4</f>
        <v>0</v>
      </c>
      <c r="DJ422" s="417">
        <f>-('Balance Sheet'!DJ61*0.02375)/4</f>
        <v>0</v>
      </c>
      <c r="DK422" s="168">
        <f t="shared" si="282"/>
        <v>0</v>
      </c>
      <c r="DL422" s="134"/>
      <c r="DM422" s="417">
        <f>-('Balance Sheet'!DM61*0.02375)/4</f>
        <v>0</v>
      </c>
      <c r="DN422" s="417">
        <f>-('Balance Sheet'!DN61*0.02375)/4</f>
        <v>0</v>
      </c>
      <c r="DO422" s="417">
        <f>-('Balance Sheet'!DO61*0.02375)/4</f>
        <v>0</v>
      </c>
      <c r="DP422" s="417">
        <f>-('Balance Sheet'!DP61*0.02375)/4</f>
        <v>0</v>
      </c>
      <c r="DQ422" s="168">
        <f t="shared" si="283"/>
        <v>0</v>
      </c>
      <c r="DR422" s="134"/>
      <c r="DS422" s="417">
        <f>-('Balance Sheet'!DS61*0.02375)/4</f>
        <v>0</v>
      </c>
      <c r="DT422" s="417">
        <f>-('Balance Sheet'!DT61*0.02375)/4</f>
        <v>0</v>
      </c>
      <c r="DU422" s="417">
        <f>-('Balance Sheet'!DU61*0.02375)/4</f>
        <v>0</v>
      </c>
      <c r="DV422" s="417">
        <f>-('Balance Sheet'!DV61*0.02375)/4</f>
        <v>0</v>
      </c>
      <c r="DW422" s="168">
        <f t="shared" si="284"/>
        <v>0</v>
      </c>
      <c r="DX422" s="134"/>
      <c r="DY422" s="417">
        <f>-('Balance Sheet'!DY61*0.02375)/4</f>
        <v>-8.90625</v>
      </c>
      <c r="DZ422" s="417">
        <f>-('Balance Sheet'!DZ61*0.02375)/4</f>
        <v>-8.90625</v>
      </c>
      <c r="EA422" s="417">
        <f>-('Balance Sheet'!EA61*0.02375)/4</f>
        <v>-8.90625</v>
      </c>
      <c r="EB422" s="417">
        <f>-('Balance Sheet'!EB61*0.02375)/4</f>
        <v>-8.90625</v>
      </c>
      <c r="EC422" s="168">
        <f t="shared" si="285"/>
        <v>-35.625</v>
      </c>
      <c r="ED422" s="134"/>
      <c r="EE422" s="417">
        <f>-('Balance Sheet'!EE61*0.02375)/4</f>
        <v>-8.90625</v>
      </c>
      <c r="EF422" s="417">
        <f>-('Balance Sheet'!EF61*0.02375)/4</f>
        <v>-8.90625</v>
      </c>
      <c r="EG422" s="417">
        <f>-('Balance Sheet'!EG61*0.02375)/4</f>
        <v>-8.90625</v>
      </c>
      <c r="EH422" s="417">
        <f>-('Balance Sheet'!EH61*0.02375)/4</f>
        <v>-8.90625</v>
      </c>
      <c r="EI422" s="168">
        <f t="shared" si="286"/>
        <v>-35.625</v>
      </c>
      <c r="EJ422" s="134"/>
      <c r="EK422" s="417">
        <f>-('Balance Sheet'!EK61*0.02375)/4</f>
        <v>-8.90625</v>
      </c>
      <c r="EL422" s="417">
        <f>-('Balance Sheet'!EL61*0.02375)/4</f>
        <v>-8.90625</v>
      </c>
      <c r="EM422" s="417">
        <f>-('Balance Sheet'!EM61*0.02375)/4</f>
        <v>-8.90625</v>
      </c>
      <c r="EN422" s="417">
        <f>-('Balance Sheet'!EN61*0.02375)/4</f>
        <v>-8.90625</v>
      </c>
      <c r="EO422" s="168">
        <f t="shared" si="287"/>
        <v>-35.625</v>
      </c>
      <c r="EP422" s="134"/>
      <c r="EQ422" s="417">
        <f>-('Balance Sheet'!EQ61*0.02375)/4</f>
        <v>-8.90625</v>
      </c>
      <c r="ER422" s="417">
        <f>-('Balance Sheet'!ER61*0.02375)/4</f>
        <v>-8.90625</v>
      </c>
      <c r="ES422" s="417">
        <f>-('Balance Sheet'!ES61*0.02375)/4</f>
        <v>-8.90625</v>
      </c>
      <c r="ET422" s="417">
        <f>-('Balance Sheet'!ET61*0.02375)/4</f>
        <v>-8.90625</v>
      </c>
      <c r="EU422" s="168">
        <f t="shared" si="288"/>
        <v>-35.625</v>
      </c>
      <c r="EV422" s="134"/>
      <c r="EW422" s="417">
        <f>-('Balance Sheet'!EW61*0.02375)/4</f>
        <v>-8.90625</v>
      </c>
      <c r="EX422" s="417">
        <f>-('Balance Sheet'!EX61*0.02375)/4</f>
        <v>-8.90625</v>
      </c>
      <c r="EY422" s="417">
        <f>-('Balance Sheet'!EY61*0.02375)/4</f>
        <v>-8.90625</v>
      </c>
      <c r="EZ422" s="417">
        <f>-('Balance Sheet'!EZ61*0.02375)/4</f>
        <v>-8.90625</v>
      </c>
      <c r="FA422" s="168">
        <f t="shared" si="289"/>
        <v>-35.625</v>
      </c>
      <c r="FB422" s="134"/>
      <c r="FC422" s="417">
        <f>-('Balance Sheet'!FC61*0.02375)/4</f>
        <v>-8.90625</v>
      </c>
      <c r="FD422" s="417">
        <f>-('Balance Sheet'!FD61*0.02375)/4</f>
        <v>-8.90625</v>
      </c>
      <c r="FE422" s="417">
        <f>-('Balance Sheet'!FE61*0.02375)/4</f>
        <v>-8.90625</v>
      </c>
      <c r="FF422" s="417">
        <f>-('Balance Sheet'!FF61*0.02375)/4</f>
        <v>0</v>
      </c>
      <c r="FG422" s="168">
        <f t="shared" si="290"/>
        <v>-26.71875</v>
      </c>
      <c r="FH422" s="134"/>
      <c r="FI422" s="417">
        <f>-('Balance Sheet'!FI61*0.02375)/4</f>
        <v>0</v>
      </c>
      <c r="FJ422" s="417">
        <f>-('Balance Sheet'!FJ61*0.02375)/4</f>
        <v>0</v>
      </c>
      <c r="FK422" s="417">
        <f>-('Balance Sheet'!FK61*0.02375)/4</f>
        <v>0</v>
      </c>
      <c r="FL422" s="417">
        <f>-('Balance Sheet'!FL61*0.02375)/4</f>
        <v>0</v>
      </c>
      <c r="FM422" s="168">
        <f t="shared" si="291"/>
        <v>0</v>
      </c>
      <c r="FN422" s="27"/>
      <c r="FO422" s="27"/>
      <c r="FP422" s="27"/>
      <c r="FQ422" s="27"/>
      <c r="FR422" s="27"/>
      <c r="FS422" s="27"/>
      <c r="FT422" s="27"/>
      <c r="FU422" s="27"/>
      <c r="FV422" s="27"/>
      <c r="FW422" s="27"/>
      <c r="FX422" s="27"/>
      <c r="FY422" s="27"/>
      <c r="FZ422" s="27"/>
      <c r="GA422" s="27"/>
      <c r="GB422" s="27"/>
      <c r="GC422" s="27"/>
      <c r="GD422" s="27"/>
      <c r="GE422" s="27"/>
      <c r="GF422" s="27"/>
      <c r="GG422" s="27"/>
      <c r="GH422" s="27"/>
      <c r="GI422"/>
      <c r="GJ422"/>
      <c r="GK422"/>
      <c r="GL422"/>
      <c r="GM422"/>
      <c r="GN422"/>
      <c r="GO422" s="27"/>
      <c r="GP422"/>
      <c r="GQ422"/>
      <c r="GR422"/>
      <c r="GS422"/>
      <c r="GT422"/>
      <c r="GU422"/>
      <c r="GV422"/>
      <c r="GW422"/>
      <c r="GX422"/>
      <c r="GY422"/>
      <c r="GZ422"/>
      <c r="HA422"/>
      <c r="HB422"/>
      <c r="HC422"/>
      <c r="HD422"/>
      <c r="HE422"/>
      <c r="HF422"/>
      <c r="HG422"/>
      <c r="HH422"/>
      <c r="HI422"/>
      <c r="HJ422"/>
      <c r="HK422"/>
      <c r="HL422"/>
      <c r="HM422"/>
      <c r="HN422"/>
      <c r="HO422"/>
      <c r="HP422"/>
      <c r="HQ422"/>
      <c r="HR422"/>
      <c r="HS422"/>
      <c r="HT422"/>
      <c r="HU422"/>
      <c r="HV422"/>
      <c r="HW422"/>
      <c r="HX422"/>
      <c r="HY422"/>
      <c r="HZ422"/>
      <c r="IA422"/>
      <c r="IB422"/>
      <c r="IC422"/>
      <c r="ID422"/>
      <c r="IE422"/>
      <c r="IF422"/>
      <c r="IG422"/>
      <c r="IH422"/>
      <c r="II422"/>
      <c r="IJ422"/>
      <c r="IK422"/>
      <c r="IL422"/>
      <c r="IM422"/>
      <c r="IN422"/>
      <c r="IO422"/>
      <c r="IP422"/>
      <c r="IQ422"/>
      <c r="IR422"/>
      <c r="IS422"/>
      <c r="IT422"/>
      <c r="IU422"/>
      <c r="IV422"/>
      <c r="IW422"/>
      <c r="IX422"/>
      <c r="IY422"/>
      <c r="IZ422"/>
      <c r="JA422"/>
      <c r="JB422"/>
      <c r="JC422"/>
      <c r="JD422"/>
      <c r="JE422"/>
      <c r="JF422"/>
      <c r="JG422"/>
      <c r="JH422"/>
      <c r="JI422"/>
      <c r="JJ422"/>
      <c r="JK422"/>
      <c r="JL422"/>
      <c r="JM422"/>
      <c r="JN422"/>
      <c r="JO422"/>
      <c r="JP422"/>
      <c r="JQ422"/>
      <c r="JR422"/>
      <c r="JS422"/>
      <c r="JT422"/>
      <c r="JU422"/>
    </row>
    <row r="423" spans="1:281" s="28" customFormat="1" ht="12" hidden="1" customHeight="1" outlineLevel="1" x14ac:dyDescent="0.2">
      <c r="A423" s="342" t="str">
        <f>'Balance Sheet'!A62</f>
        <v>July 2019 Notes (5.0%)</v>
      </c>
      <c r="B423" s="414"/>
      <c r="AW423" s="69"/>
      <c r="BC423" s="69"/>
      <c r="BI423" s="69"/>
      <c r="BK423" s="69"/>
      <c r="BL423" s="69"/>
      <c r="BM423" s="69"/>
      <c r="BN423" s="69"/>
      <c r="BO423" s="69"/>
      <c r="BQ423" s="69"/>
      <c r="BR423" s="69"/>
      <c r="BS423" s="69"/>
      <c r="BT423" s="69"/>
      <c r="BU423" s="69"/>
      <c r="BW423" s="69"/>
      <c r="BX423" s="69"/>
      <c r="BY423" s="69"/>
      <c r="BZ423" s="69"/>
      <c r="CA423" s="69"/>
      <c r="CB423" s="134"/>
      <c r="CC423" s="69"/>
      <c r="CD423" s="69"/>
      <c r="CE423" s="69"/>
      <c r="CF423" s="69"/>
      <c r="CG423" s="415"/>
      <c r="CH423" s="134"/>
      <c r="CI423" s="417"/>
      <c r="CJ423" s="81"/>
      <c r="CK423" s="417"/>
      <c r="CL423" s="417"/>
      <c r="CM423" s="416"/>
      <c r="CN423" s="134"/>
      <c r="CO423" s="417"/>
      <c r="CP423" s="417"/>
      <c r="CQ423" s="417"/>
      <c r="CR423" s="417"/>
      <c r="CS423" s="416"/>
      <c r="CT423" s="134"/>
      <c r="CU423" s="417"/>
      <c r="CV423" s="417"/>
      <c r="CW423" s="417"/>
      <c r="CX423" s="417"/>
      <c r="CY423" s="416"/>
      <c r="CZ423" s="134"/>
      <c r="DA423" s="417"/>
      <c r="DB423" s="417"/>
      <c r="DC423" s="417">
        <f>-('Balance Sheet'!DC65*0.03875)/4</f>
        <v>0</v>
      </c>
      <c r="DD423" s="417">
        <f>-('Balance Sheet'!DD65*0.03875)/4</f>
        <v>0</v>
      </c>
      <c r="DE423" s="416"/>
      <c r="DF423" s="134"/>
      <c r="DG423" s="417">
        <f>-('Balance Sheet'!DG62*0.05)/4</f>
        <v>-21.875</v>
      </c>
      <c r="DH423" s="417">
        <f>-('Balance Sheet'!DH62*0.05)/4</f>
        <v>-21.875</v>
      </c>
      <c r="DI423" s="417">
        <f>-('Balance Sheet'!DI62*0.05)/4</f>
        <v>-21.875</v>
      </c>
      <c r="DJ423" s="417">
        <f>-('Balance Sheet'!DJ62*0.05)/4</f>
        <v>-21.875</v>
      </c>
      <c r="DK423" s="168">
        <f t="shared" si="282"/>
        <v>-87.5</v>
      </c>
      <c r="DL423" s="134"/>
      <c r="DM423" s="417">
        <f>-('Balance Sheet'!DM62*0.05)/4</f>
        <v>-21.875</v>
      </c>
      <c r="DN423" s="417">
        <f>-('Balance Sheet'!DN62*0.05)/4</f>
        <v>-21.875</v>
      </c>
      <c r="DO423" s="417">
        <f>-('Balance Sheet'!DO62*0.05)/4</f>
        <v>-21.875</v>
      </c>
      <c r="DP423" s="417">
        <f>-('Balance Sheet'!DP62*0.05)/4</f>
        <v>-21.875</v>
      </c>
      <c r="DQ423" s="168">
        <f t="shared" si="283"/>
        <v>-87.5</v>
      </c>
      <c r="DR423" s="134"/>
      <c r="DS423" s="417">
        <f>-('Balance Sheet'!DS62*0.05)/4</f>
        <v>-21.875</v>
      </c>
      <c r="DT423" s="417">
        <f>-('Balance Sheet'!DT62*0.05)/4</f>
        <v>-21.875</v>
      </c>
      <c r="DU423" s="417">
        <f>-('Balance Sheet'!DU62*0.05)/4</f>
        <v>-21.875</v>
      </c>
      <c r="DV423" s="417">
        <f>-('Balance Sheet'!DV62*0.05)/4</f>
        <v>-21.875</v>
      </c>
      <c r="DW423" s="168">
        <f t="shared" si="284"/>
        <v>-87.5</v>
      </c>
      <c r="DX423" s="134"/>
      <c r="DY423" s="417">
        <f>-('Balance Sheet'!DY62*0.05)/4</f>
        <v>-21.875</v>
      </c>
      <c r="DZ423" s="417">
        <f>-('Balance Sheet'!DZ62*0.05)/4</f>
        <v>-21.875</v>
      </c>
      <c r="EA423" s="417">
        <f>-('Balance Sheet'!EA62*0.05)/4</f>
        <v>-21.875</v>
      </c>
      <c r="EB423" s="417">
        <f>-('Balance Sheet'!EB62*0.05)/4</f>
        <v>-21.875</v>
      </c>
      <c r="EC423" s="168">
        <f t="shared" si="285"/>
        <v>-87.5</v>
      </c>
      <c r="ED423" s="134"/>
      <c r="EE423" s="417">
        <f>-('Balance Sheet'!EE62*0.05)/4</f>
        <v>-21.875</v>
      </c>
      <c r="EF423" s="417">
        <f>-('Balance Sheet'!EF62*0.05)/4</f>
        <v>-21.875</v>
      </c>
      <c r="EG423" s="417">
        <f>-('Balance Sheet'!EG62*0.05)/4</f>
        <v>-21.875</v>
      </c>
      <c r="EH423" s="417">
        <f>-('Balance Sheet'!EH62*0.05)/4</f>
        <v>-21.875</v>
      </c>
      <c r="EI423" s="168">
        <f t="shared" si="286"/>
        <v>-87.5</v>
      </c>
      <c r="EJ423" s="134"/>
      <c r="EK423" s="417">
        <f>-('Balance Sheet'!EK62*0.05)/4</f>
        <v>-21.875</v>
      </c>
      <c r="EL423" s="417">
        <f>-('Balance Sheet'!EL62*0.05)/4</f>
        <v>-21.875</v>
      </c>
      <c r="EM423" s="417">
        <f>-('Balance Sheet'!EM62*0.05)/4</f>
        <v>-21.875</v>
      </c>
      <c r="EN423" s="417">
        <f>-('Balance Sheet'!EN62*0.05)/4</f>
        <v>-21.875</v>
      </c>
      <c r="EO423" s="168">
        <f t="shared" si="287"/>
        <v>-87.5</v>
      </c>
      <c r="EP423" s="134"/>
      <c r="EQ423" s="417">
        <f>-('Balance Sheet'!EQ62*0.05)/4</f>
        <v>-21.875</v>
      </c>
      <c r="ER423" s="417">
        <f>-('Balance Sheet'!ER62*0.05)/4</f>
        <v>-21.875</v>
      </c>
      <c r="ES423" s="417">
        <f>-('Balance Sheet'!ES62*0.05)/4</f>
        <v>-21.875</v>
      </c>
      <c r="ET423" s="417">
        <f>-('Balance Sheet'!ET62*0.05)/4</f>
        <v>-21.875</v>
      </c>
      <c r="EU423" s="168">
        <f t="shared" si="288"/>
        <v>-87.5</v>
      </c>
      <c r="EV423" s="134"/>
      <c r="EW423" s="417">
        <f>-('Balance Sheet'!EW62*0.05)/4</f>
        <v>-21.875</v>
      </c>
      <c r="EX423" s="417">
        <f>-('Balance Sheet'!EX62*0.05)/4</f>
        <v>-21.875</v>
      </c>
      <c r="EY423" s="417">
        <f>-('Balance Sheet'!EY62*0.05)/4</f>
        <v>-21.875</v>
      </c>
      <c r="EZ423" s="417">
        <f>-('Balance Sheet'!EZ62*0.05)/4</f>
        <v>-21.875</v>
      </c>
      <c r="FA423" s="168">
        <f t="shared" si="289"/>
        <v>-87.5</v>
      </c>
      <c r="FB423" s="134"/>
      <c r="FC423" s="417">
        <f>-('Balance Sheet'!FC62*0.05)/4</f>
        <v>-21.875</v>
      </c>
      <c r="FD423" s="417">
        <f>-('Balance Sheet'!FD62*0.05)/4</f>
        <v>-21.875</v>
      </c>
      <c r="FE423" s="417">
        <f>-('Balance Sheet'!FE62*0.05)/4</f>
        <v>-21.875</v>
      </c>
      <c r="FF423" s="417">
        <f>-('Balance Sheet'!FF62*0.05)/4</f>
        <v>-21.875</v>
      </c>
      <c r="FG423" s="168">
        <f t="shared" si="290"/>
        <v>-87.5</v>
      </c>
      <c r="FH423" s="134"/>
      <c r="FI423" s="417">
        <f>-('Balance Sheet'!FI62*0.05)/4</f>
        <v>-21.875</v>
      </c>
      <c r="FJ423" s="417">
        <f>-('Balance Sheet'!FJ62*0.05)/4</f>
        <v>0</v>
      </c>
      <c r="FK423" s="417">
        <f>-('Balance Sheet'!FK62*0.05)/4</f>
        <v>0</v>
      </c>
      <c r="FL423" s="417">
        <f>-('Balance Sheet'!FL62*0.05)/4</f>
        <v>0</v>
      </c>
      <c r="FM423" s="168">
        <f t="shared" si="291"/>
        <v>-21.875</v>
      </c>
      <c r="FN423" s="27"/>
      <c r="FO423" s="27"/>
      <c r="FP423" s="27"/>
      <c r="FQ423" s="27"/>
      <c r="FR423" s="27"/>
      <c r="FS423" s="27"/>
      <c r="FT423" s="27"/>
      <c r="FU423" s="27"/>
      <c r="FV423" s="27"/>
      <c r="FW423" s="27"/>
      <c r="FX423" s="27"/>
      <c r="FY423" s="27"/>
      <c r="FZ423" s="27"/>
      <c r="GA423" s="27"/>
      <c r="GB423" s="27"/>
      <c r="GC423" s="27"/>
      <c r="GD423" s="27"/>
      <c r="GE423" s="27"/>
      <c r="GF423" s="27"/>
      <c r="GG423" s="27"/>
      <c r="GH423" s="27"/>
      <c r="GI423"/>
      <c r="GJ423"/>
      <c r="GK423"/>
      <c r="GL423"/>
      <c r="GM423"/>
      <c r="GN423"/>
      <c r="GO423" s="27"/>
      <c r="GP423"/>
      <c r="GQ423"/>
      <c r="GR423"/>
      <c r="GS423"/>
      <c r="GT423"/>
      <c r="GU423"/>
      <c r="GV423"/>
      <c r="GW423"/>
      <c r="GX423"/>
      <c r="GY423"/>
      <c r="GZ423"/>
      <c r="HA423"/>
      <c r="HB423"/>
      <c r="HC423"/>
      <c r="HD423"/>
      <c r="HE423"/>
      <c r="HF423"/>
      <c r="HG423"/>
      <c r="HH423"/>
      <c r="HI423"/>
      <c r="HJ423"/>
      <c r="HK423"/>
      <c r="HL423"/>
      <c r="HM423"/>
      <c r="HN423"/>
      <c r="HO423"/>
      <c r="HP423"/>
      <c r="HQ423"/>
      <c r="HR423"/>
      <c r="HS423"/>
      <c r="HT423"/>
      <c r="HU423"/>
      <c r="HV423"/>
      <c r="HW423"/>
      <c r="HX423"/>
      <c r="HY423"/>
      <c r="HZ423"/>
      <c r="IA423"/>
      <c r="IB423"/>
      <c r="IC423"/>
      <c r="ID423"/>
      <c r="IE423"/>
      <c r="IF423"/>
      <c r="IG423"/>
      <c r="IH423"/>
      <c r="II423"/>
      <c r="IJ423"/>
      <c r="IK423"/>
      <c r="IL423"/>
      <c r="IM423"/>
      <c r="IN423"/>
      <c r="IO423"/>
      <c r="IP423"/>
      <c r="IQ423"/>
      <c r="IR423"/>
      <c r="IS423"/>
      <c r="IT423"/>
      <c r="IU423"/>
      <c r="IV423"/>
      <c r="IW423"/>
      <c r="IX423"/>
      <c r="IY423"/>
      <c r="IZ423"/>
      <c r="JA423"/>
      <c r="JB423"/>
      <c r="JC423"/>
      <c r="JD423"/>
      <c r="JE423"/>
      <c r="JF423"/>
      <c r="JG423"/>
      <c r="JH423"/>
      <c r="JI423"/>
      <c r="JJ423"/>
      <c r="JK423"/>
      <c r="JL423"/>
      <c r="JM423"/>
      <c r="JN423"/>
      <c r="JO423"/>
      <c r="JP423"/>
      <c r="JQ423"/>
      <c r="JR423"/>
      <c r="JS423"/>
      <c r="JT423"/>
      <c r="JU423"/>
    </row>
    <row r="424" spans="1:281" s="28" customFormat="1" ht="12" hidden="1" customHeight="1" outlineLevel="1" x14ac:dyDescent="0.2">
      <c r="A424" s="342" t="str">
        <f>'Balance Sheet'!A63</f>
        <v>Oct 2019 Notes (2.25%)</v>
      </c>
      <c r="B424" s="414"/>
      <c r="AW424" s="69"/>
      <c r="BC424" s="69"/>
      <c r="BI424" s="69"/>
      <c r="BK424" s="69"/>
      <c r="BL424" s="69"/>
      <c r="BM424" s="69"/>
      <c r="BN424" s="69"/>
      <c r="BO424" s="69"/>
      <c r="BQ424" s="69"/>
      <c r="BR424" s="69"/>
      <c r="BS424" s="69"/>
      <c r="BT424" s="69"/>
      <c r="BU424" s="69"/>
      <c r="BW424" s="69"/>
      <c r="BX424" s="69"/>
      <c r="BY424" s="69"/>
      <c r="BZ424" s="69"/>
      <c r="CA424" s="69"/>
      <c r="CB424" s="134"/>
      <c r="CC424" s="69"/>
      <c r="CD424" s="69"/>
      <c r="CE424" s="69"/>
      <c r="CF424" s="69"/>
      <c r="CG424" s="415"/>
      <c r="CH424" s="134"/>
      <c r="CI424" s="417"/>
      <c r="CJ424" s="81"/>
      <c r="CK424" s="417"/>
      <c r="CL424" s="417"/>
      <c r="CM424" s="416"/>
      <c r="CN424" s="134"/>
      <c r="CO424" s="417"/>
      <c r="CP424" s="417"/>
      <c r="CQ424" s="417"/>
      <c r="CR424" s="417"/>
      <c r="CS424" s="416"/>
      <c r="CT424" s="134"/>
      <c r="CU424" s="417"/>
      <c r="CV424" s="417"/>
      <c r="CW424" s="417"/>
      <c r="CX424" s="417"/>
      <c r="CY424" s="416"/>
      <c r="CZ424" s="134"/>
      <c r="DA424" s="417"/>
      <c r="DB424" s="417"/>
      <c r="DC424" s="417"/>
      <c r="DD424" s="417"/>
      <c r="DE424" s="416"/>
      <c r="DF424" s="134"/>
      <c r="DG424" s="417">
        <f>-('Balance Sheet'!DG63*0.025)/4</f>
        <v>0</v>
      </c>
      <c r="DH424" s="417">
        <f>-('Balance Sheet'!DH63*0.025)/4</f>
        <v>0</v>
      </c>
      <c r="DI424" s="417">
        <f>-('Balance Sheet'!DI63*0.025)/4</f>
        <v>0</v>
      </c>
      <c r="DJ424" s="417">
        <f>-('Balance Sheet'!DJ63*0.025)/4</f>
        <v>0</v>
      </c>
      <c r="DK424" s="168">
        <f t="shared" si="282"/>
        <v>0</v>
      </c>
      <c r="DL424" s="134"/>
      <c r="DM424" s="417">
        <f>-('Balance Sheet'!DM63*0.025)/4</f>
        <v>0</v>
      </c>
      <c r="DN424" s="417">
        <f>-('Balance Sheet'!DN63*0.025)/4</f>
        <v>0</v>
      </c>
      <c r="DO424" s="417">
        <f>-('Balance Sheet'!DO63*0.025)/4</f>
        <v>0</v>
      </c>
      <c r="DP424" s="417">
        <f>-('Balance Sheet'!DP63*0.025)/4</f>
        <v>0</v>
      </c>
      <c r="DQ424" s="168">
        <f t="shared" si="283"/>
        <v>0</v>
      </c>
      <c r="DR424" s="134"/>
      <c r="DS424" s="417">
        <f>-('Balance Sheet'!DS63*0.025)/4</f>
        <v>0</v>
      </c>
      <c r="DT424" s="417">
        <f>-('Balance Sheet'!DT63*0.025)/4</f>
        <v>0</v>
      </c>
      <c r="DU424" s="417">
        <f>-('Balance Sheet'!DU63*0.025)/4</f>
        <v>0</v>
      </c>
      <c r="DV424" s="417">
        <f>-('Balance Sheet'!DV63*0.025)/4</f>
        <v>0</v>
      </c>
      <c r="DW424" s="168">
        <f t="shared" si="284"/>
        <v>0</v>
      </c>
      <c r="DX424" s="134"/>
      <c r="DY424" s="417">
        <f>-('Balance Sheet'!DY63*0.025)/4</f>
        <v>0</v>
      </c>
      <c r="DZ424" s="417">
        <f>-('Balance Sheet'!DZ63*0.025)/4</f>
        <v>0</v>
      </c>
      <c r="EA424" s="417">
        <f>-('Balance Sheet'!EA63*0.025)/4</f>
        <v>0</v>
      </c>
      <c r="EB424" s="417">
        <f>-('Balance Sheet'!EB63*0.025)/4</f>
        <v>0</v>
      </c>
      <c r="EC424" s="168">
        <f t="shared" si="285"/>
        <v>0</v>
      </c>
      <c r="ED424" s="134"/>
      <c r="EE424" s="417">
        <f>-('Balance Sheet'!EE63*0.025)/4</f>
        <v>-12.5</v>
      </c>
      <c r="EF424" s="417">
        <f>-('Balance Sheet'!EF63*0.025)/4</f>
        <v>-12.5</v>
      </c>
      <c r="EG424" s="417">
        <f>-('Balance Sheet'!EG63*0.025)/4</f>
        <v>-12.5</v>
      </c>
      <c r="EH424" s="417">
        <f>-('Balance Sheet'!EH63*0.025)/4</f>
        <v>-12.5</v>
      </c>
      <c r="EI424" s="168">
        <f t="shared" si="286"/>
        <v>-50</v>
      </c>
      <c r="EJ424" s="134"/>
      <c r="EK424" s="417">
        <f>-('Balance Sheet'!EK63*0.025)/4</f>
        <v>-12.5</v>
      </c>
      <c r="EL424" s="417">
        <f>-('Balance Sheet'!EL63*0.025)/4</f>
        <v>-12.5</v>
      </c>
      <c r="EM424" s="417">
        <f>-('Balance Sheet'!EM63*0.025)/4</f>
        <v>-12.5</v>
      </c>
      <c r="EN424" s="417">
        <f>-('Balance Sheet'!EN63*0.025)/4</f>
        <v>-12.5</v>
      </c>
      <c r="EO424" s="168">
        <f t="shared" si="287"/>
        <v>-50</v>
      </c>
      <c r="EP424" s="134"/>
      <c r="EQ424" s="417">
        <f>-('Balance Sheet'!EQ63*0.025)/4</f>
        <v>-12.5</v>
      </c>
      <c r="ER424" s="417">
        <f>-('Balance Sheet'!ER63*0.025)/4</f>
        <v>-12.5</v>
      </c>
      <c r="ES424" s="417">
        <f>-('Balance Sheet'!ES63*0.025)/4</f>
        <v>-12.5</v>
      </c>
      <c r="ET424" s="417">
        <f>-('Balance Sheet'!ET63*0.025)/4</f>
        <v>-12.5</v>
      </c>
      <c r="EU424" s="168">
        <f t="shared" si="288"/>
        <v>-50</v>
      </c>
      <c r="EV424" s="134"/>
      <c r="EW424" s="417">
        <f>-('Balance Sheet'!EW63*0.025)/4</f>
        <v>-12.5</v>
      </c>
      <c r="EX424" s="417">
        <f>-('Balance Sheet'!EX63*0.025)/4</f>
        <v>-12.5</v>
      </c>
      <c r="EY424" s="417">
        <f>-('Balance Sheet'!EY63*0.025)/4</f>
        <v>-12.5</v>
      </c>
      <c r="EZ424" s="417">
        <f>-('Balance Sheet'!EZ63*0.025)/4</f>
        <v>-12.5</v>
      </c>
      <c r="FA424" s="168">
        <f t="shared" si="289"/>
        <v>-50</v>
      </c>
      <c r="FB424" s="134"/>
      <c r="FC424" s="417">
        <f>-('Balance Sheet'!FC63*0.025)/4</f>
        <v>-12.5</v>
      </c>
      <c r="FD424" s="417">
        <f>-('Balance Sheet'!FD63*0.025)/4</f>
        <v>-12.5</v>
      </c>
      <c r="FE424" s="417">
        <f>-('Balance Sheet'!FE63*0.025)/4</f>
        <v>-12.5</v>
      </c>
      <c r="FF424" s="417">
        <f>-('Balance Sheet'!FF63*0.025)/4</f>
        <v>-12.5</v>
      </c>
      <c r="FG424" s="168">
        <f t="shared" si="290"/>
        <v>-50</v>
      </c>
      <c r="FH424" s="134"/>
      <c r="FI424" s="417">
        <f>-('Balance Sheet'!FI63*0.025)/4</f>
        <v>-12.5</v>
      </c>
      <c r="FJ424" s="417">
        <f>-('Balance Sheet'!FJ63*0.025)/4</f>
        <v>-12.5</v>
      </c>
      <c r="FK424" s="417">
        <f>-('Balance Sheet'!FK63*0.025)/4</f>
        <v>0</v>
      </c>
      <c r="FL424" s="417">
        <f>-('Balance Sheet'!FL63*0.025)/4</f>
        <v>0</v>
      </c>
      <c r="FM424" s="168">
        <f t="shared" si="291"/>
        <v>-25</v>
      </c>
      <c r="FN424" s="27"/>
      <c r="FO424" s="27"/>
      <c r="FP424" s="27"/>
      <c r="FQ424" s="27"/>
      <c r="FR424" s="27"/>
      <c r="FS424" s="27"/>
      <c r="FT424" s="27"/>
      <c r="FU424" s="27"/>
      <c r="FV424" s="27"/>
      <c r="FW424" s="27"/>
      <c r="FX424" s="27"/>
      <c r="FY424" s="27"/>
      <c r="FZ424" s="27"/>
      <c r="GA424" s="27"/>
      <c r="GB424" s="27"/>
      <c r="GC424" s="27"/>
      <c r="GD424" s="27"/>
      <c r="GE424" s="27"/>
      <c r="GF424" s="27"/>
      <c r="GG424" s="27"/>
      <c r="GH424" s="27"/>
      <c r="GI424"/>
      <c r="GJ424"/>
      <c r="GK424"/>
      <c r="GL424"/>
      <c r="GM424"/>
      <c r="GN424"/>
      <c r="GO424" s="27"/>
      <c r="GP424"/>
      <c r="GQ424"/>
      <c r="GR424"/>
      <c r="GS424"/>
      <c r="GT424"/>
      <c r="GU424"/>
      <c r="GV424"/>
      <c r="GW424"/>
      <c r="GX424"/>
      <c r="GY424"/>
      <c r="GZ424"/>
      <c r="HA424"/>
      <c r="HB424"/>
      <c r="HC424"/>
      <c r="HD424"/>
      <c r="HE424"/>
      <c r="HF424"/>
      <c r="HG424"/>
      <c r="HH424"/>
      <c r="HI424"/>
      <c r="HJ424"/>
      <c r="HK424"/>
      <c r="HL424"/>
      <c r="HM424"/>
      <c r="HN424"/>
      <c r="HO424"/>
      <c r="HP424"/>
      <c r="HQ424"/>
      <c r="HR424"/>
      <c r="HS424"/>
      <c r="HT424"/>
      <c r="HU424"/>
      <c r="HV424"/>
      <c r="HW424"/>
      <c r="HX424"/>
      <c r="HY424"/>
      <c r="HZ424"/>
      <c r="IA424"/>
      <c r="IB424"/>
      <c r="IC424"/>
      <c r="ID424"/>
      <c r="IE424"/>
      <c r="IF424"/>
      <c r="IG424"/>
      <c r="IH424"/>
      <c r="II424"/>
      <c r="IJ424"/>
      <c r="IK424"/>
      <c r="IL424"/>
      <c r="IM424"/>
      <c r="IN424"/>
      <c r="IO424"/>
      <c r="IP424"/>
      <c r="IQ424"/>
      <c r="IR424"/>
      <c r="IS424"/>
      <c r="IT424"/>
      <c r="IU424"/>
      <c r="IV424"/>
      <c r="IW424"/>
      <c r="IX424"/>
      <c r="IY424"/>
      <c r="IZ424"/>
      <c r="JA424"/>
      <c r="JB424"/>
      <c r="JC424"/>
      <c r="JD424"/>
      <c r="JE424"/>
      <c r="JF424"/>
      <c r="JG424"/>
      <c r="JH424"/>
      <c r="JI424"/>
      <c r="JJ424"/>
      <c r="JK424"/>
      <c r="JL424"/>
      <c r="JM424"/>
      <c r="JN424"/>
      <c r="JO424"/>
      <c r="JP424"/>
      <c r="JQ424"/>
      <c r="JR424"/>
      <c r="JS424"/>
      <c r="JT424"/>
      <c r="JU424"/>
    </row>
    <row r="425" spans="1:281" s="28" customFormat="1" ht="12" hidden="1" customHeight="1" outlineLevel="1" x14ac:dyDescent="0.2">
      <c r="A425" s="342" t="str">
        <f>'Balance Sheet'!A64</f>
        <v>July 2020 Notes (3.875%)</v>
      </c>
      <c r="B425" s="414"/>
      <c r="AW425" s="69"/>
      <c r="BC425" s="69"/>
      <c r="BI425" s="69"/>
      <c r="BK425" s="69"/>
      <c r="BL425" s="69"/>
      <c r="BM425" s="69"/>
      <c r="BN425" s="69"/>
      <c r="BO425" s="69"/>
      <c r="BQ425" s="69"/>
      <c r="BR425" s="69"/>
      <c r="BS425" s="69"/>
      <c r="BT425" s="69"/>
      <c r="BU425" s="69"/>
      <c r="BW425" s="69"/>
      <c r="BX425" s="69"/>
      <c r="BY425" s="69"/>
      <c r="BZ425" s="69"/>
      <c r="CA425" s="69"/>
      <c r="CB425" s="134"/>
      <c r="CC425" s="69"/>
      <c r="CD425" s="69"/>
      <c r="CE425" s="69"/>
      <c r="CF425" s="69"/>
      <c r="CG425" s="415"/>
      <c r="CH425" s="134"/>
      <c r="CI425" s="417"/>
      <c r="CJ425" s="81"/>
      <c r="CK425" s="417"/>
      <c r="CL425" s="417"/>
      <c r="CM425" s="416"/>
      <c r="CN425" s="134"/>
      <c r="CO425" s="417"/>
      <c r="CP425" s="417"/>
      <c r="CQ425" s="417"/>
      <c r="CR425" s="417"/>
      <c r="CS425" s="416"/>
      <c r="CT425" s="134"/>
      <c r="CU425" s="417"/>
      <c r="CV425" s="417"/>
      <c r="CW425" s="417"/>
      <c r="CX425" s="417"/>
      <c r="CY425" s="416"/>
      <c r="CZ425" s="134"/>
      <c r="DA425" s="417"/>
      <c r="DB425" s="417"/>
      <c r="DC425" s="417"/>
      <c r="DD425" s="417"/>
      <c r="DE425" s="416"/>
      <c r="DF425" s="134"/>
      <c r="DG425" s="417">
        <f>-('Balance Sheet'!DG64*0.03875)/4</f>
        <v>-9.6875</v>
      </c>
      <c r="DH425" s="417">
        <f>-('Balance Sheet'!DH64*0.03875)/4</f>
        <v>-9.6875</v>
      </c>
      <c r="DI425" s="417">
        <f>-('Balance Sheet'!DI64*0.03875)/4</f>
        <v>-9.6875</v>
      </c>
      <c r="DJ425" s="417">
        <f>-('Balance Sheet'!DJ64*0.03875)/4</f>
        <v>-9.6875</v>
      </c>
      <c r="DK425" s="168">
        <f>SUM(DG425:DJ425)</f>
        <v>-38.75</v>
      </c>
      <c r="DL425" s="134"/>
      <c r="DM425" s="417">
        <f>-('Balance Sheet'!DM64*0.03875)/4</f>
        <v>-9.6875</v>
      </c>
      <c r="DN425" s="417">
        <f>-('Balance Sheet'!DN64*0.03875)/4</f>
        <v>-9.6875</v>
      </c>
      <c r="DO425" s="417">
        <f>-('Balance Sheet'!DO64*0.03875)/4</f>
        <v>-9.6875</v>
      </c>
      <c r="DP425" s="417">
        <f>-('Balance Sheet'!DP64*0.03875)/4</f>
        <v>-9.6875</v>
      </c>
      <c r="DQ425" s="168">
        <f>SUM(DM425:DP425)</f>
        <v>-38.75</v>
      </c>
      <c r="DR425" s="134"/>
      <c r="DS425" s="417">
        <f>-('Balance Sheet'!DS64*0.03875)/4</f>
        <v>-9.6875</v>
      </c>
      <c r="DT425" s="417">
        <f>-('Balance Sheet'!DT64*0.03875)/4</f>
        <v>-9.6875</v>
      </c>
      <c r="DU425" s="417">
        <f>-('Balance Sheet'!DU64*0.03875)/4</f>
        <v>-9.6875</v>
      </c>
      <c r="DV425" s="417">
        <f>-('Balance Sheet'!DV64*0.03875)/4</f>
        <v>-9.6875</v>
      </c>
      <c r="DW425" s="168">
        <f>SUM(DS425:DV425)</f>
        <v>-38.75</v>
      </c>
      <c r="DX425" s="134"/>
      <c r="DY425" s="417">
        <f>-('Balance Sheet'!DY64*0.03875)/4</f>
        <v>-9.6875</v>
      </c>
      <c r="DZ425" s="417">
        <f>-('Balance Sheet'!DZ64*0.03875)/4</f>
        <v>-9.6875</v>
      </c>
      <c r="EA425" s="417">
        <f>-('Balance Sheet'!EA64*0.03875)/4</f>
        <v>-9.6875</v>
      </c>
      <c r="EB425" s="417">
        <f>-('Balance Sheet'!EB64*0.03875)/4</f>
        <v>-9.6875</v>
      </c>
      <c r="EC425" s="168">
        <f>SUM(DY425:EB425)</f>
        <v>-38.75</v>
      </c>
      <c r="ED425" s="134"/>
      <c r="EE425" s="417">
        <f>-('Balance Sheet'!EE64*0.03875)/4</f>
        <v>-9.6875</v>
      </c>
      <c r="EF425" s="417">
        <f>-('Balance Sheet'!EF64*0.03875)/4</f>
        <v>-9.6875</v>
      </c>
      <c r="EG425" s="417">
        <f>-('Balance Sheet'!EG64*0.03875)/4</f>
        <v>-9.6875</v>
      </c>
      <c r="EH425" s="417">
        <f>-('Balance Sheet'!EH64*0.03875)/4</f>
        <v>-9.6875</v>
      </c>
      <c r="EI425" s="168">
        <f>SUM(EE425:EH425)</f>
        <v>-38.75</v>
      </c>
      <c r="EJ425" s="134"/>
      <c r="EK425" s="417">
        <f>-('Balance Sheet'!EK64*0.03875)/4</f>
        <v>-9.6875</v>
      </c>
      <c r="EL425" s="417">
        <f>-('Balance Sheet'!EL64*0.03875)/4</f>
        <v>-9.6875</v>
      </c>
      <c r="EM425" s="417">
        <f>-('Balance Sheet'!EM64*0.03875)/4</f>
        <v>-9.6875</v>
      </c>
      <c r="EN425" s="417">
        <f>-('Balance Sheet'!EN64*0.03875)/4</f>
        <v>-9.6875</v>
      </c>
      <c r="EO425" s="168">
        <f>SUM(EK425:EN425)</f>
        <v>-38.75</v>
      </c>
      <c r="EP425" s="134"/>
      <c r="EQ425" s="417">
        <f>-('Balance Sheet'!EQ64*0.03875)/4</f>
        <v>-9.6875</v>
      </c>
      <c r="ER425" s="417">
        <f>-('Balance Sheet'!ER64*0.03875)/4</f>
        <v>-9.6875</v>
      </c>
      <c r="ES425" s="417">
        <f>-('Balance Sheet'!ES64*0.03875)/4</f>
        <v>-9.6875</v>
      </c>
      <c r="ET425" s="417">
        <f>-('Balance Sheet'!ET64*0.03875)/4</f>
        <v>-9.6875</v>
      </c>
      <c r="EU425" s="168">
        <f>SUM(EQ425:ET425)</f>
        <v>-38.75</v>
      </c>
      <c r="EV425" s="134"/>
      <c r="EW425" s="417">
        <f>-('Balance Sheet'!EW64*0.03875)/4</f>
        <v>-9.6875</v>
      </c>
      <c r="EX425" s="417">
        <f>-('Balance Sheet'!EX64*0.03875)/4</f>
        <v>-9.6875</v>
      </c>
      <c r="EY425" s="417">
        <f>-('Balance Sheet'!EY64*0.03875)/4</f>
        <v>-9.6875</v>
      </c>
      <c r="EZ425" s="417">
        <f>-('Balance Sheet'!EZ64*0.03875)/4</f>
        <v>-9.6875</v>
      </c>
      <c r="FA425" s="168">
        <f>SUM(EW425:EZ425)</f>
        <v>-38.75</v>
      </c>
      <c r="FB425" s="134"/>
      <c r="FC425" s="417">
        <f>-('Balance Sheet'!FC64*0.03875)/4</f>
        <v>-9.6875</v>
      </c>
      <c r="FD425" s="417">
        <f>-('Balance Sheet'!FD64*0.03875)/4</f>
        <v>-9.6875</v>
      </c>
      <c r="FE425" s="417">
        <f>-('Balance Sheet'!FE64*0.03875)/4</f>
        <v>-9.6875</v>
      </c>
      <c r="FF425" s="417">
        <f>-('Balance Sheet'!FF64*0.03875)/4</f>
        <v>-9.6875</v>
      </c>
      <c r="FG425" s="168">
        <f t="shared" ref="FG425:FG434" si="292">SUM(FC425:FF425)</f>
        <v>-38.75</v>
      </c>
      <c r="FH425" s="134"/>
      <c r="FI425" s="417">
        <f>-('Balance Sheet'!FI64*0.03875)/4</f>
        <v>-9.6875</v>
      </c>
      <c r="FJ425" s="417">
        <f>-('Balance Sheet'!FJ64*0.03875)/4</f>
        <v>-9.6875</v>
      </c>
      <c r="FK425" s="417">
        <f>-('Balance Sheet'!FK64*0.03875)/4</f>
        <v>-9.6875</v>
      </c>
      <c r="FL425" s="417">
        <f>-('Balance Sheet'!FL64*0.03875)/4</f>
        <v>-9.6875</v>
      </c>
      <c r="FM425" s="168">
        <f t="shared" ref="FM425:FM434" si="293">SUM(FI425:FL425)</f>
        <v>-38.75</v>
      </c>
      <c r="FN425" s="27"/>
      <c r="FO425" s="27"/>
      <c r="FP425" s="27"/>
      <c r="FQ425" s="27"/>
      <c r="FR425" s="27"/>
      <c r="FS425" s="27"/>
      <c r="FT425" s="27"/>
      <c r="FU425" s="27"/>
      <c r="FV425" s="27"/>
      <c r="FW425" s="27"/>
      <c r="FX425" s="27"/>
      <c r="FY425" s="27"/>
      <c r="FZ425" s="27"/>
      <c r="GA425" s="27"/>
      <c r="GB425" s="27"/>
      <c r="GC425" s="27"/>
      <c r="GD425" s="27"/>
      <c r="GE425" s="27"/>
      <c r="GF425" s="27"/>
      <c r="GG425" s="27"/>
      <c r="GH425" s="27"/>
      <c r="GI425"/>
      <c r="GJ425"/>
      <c r="GK425"/>
      <c r="GL425"/>
      <c r="GM425"/>
      <c r="GN425"/>
      <c r="GO425" s="27"/>
      <c r="GP425"/>
      <c r="GQ425"/>
      <c r="GR425"/>
      <c r="GS425"/>
      <c r="GT425"/>
      <c r="GU425"/>
      <c r="GV425"/>
      <c r="GW425"/>
      <c r="GX425"/>
      <c r="GY425"/>
      <c r="GZ425"/>
      <c r="HA425"/>
      <c r="HB425"/>
      <c r="HC425"/>
      <c r="HD425"/>
      <c r="HE425"/>
      <c r="HF425"/>
      <c r="HG425"/>
      <c r="HH425"/>
      <c r="HI425"/>
      <c r="HJ425"/>
      <c r="HK425"/>
      <c r="HL425"/>
      <c r="HM425"/>
      <c r="HN425"/>
      <c r="HO425"/>
      <c r="HP425"/>
      <c r="HQ425"/>
      <c r="HR425"/>
      <c r="HS425"/>
      <c r="HT425"/>
      <c r="HU425"/>
      <c r="HV425"/>
      <c r="HW425"/>
      <c r="HX425"/>
      <c r="HY425"/>
      <c r="HZ425"/>
      <c r="IA425"/>
      <c r="IB425"/>
      <c r="IC425"/>
      <c r="ID425"/>
      <c r="IE425"/>
      <c r="IF425"/>
      <c r="IG425"/>
      <c r="IH425"/>
      <c r="II425"/>
      <c r="IJ425"/>
      <c r="IK425"/>
      <c r="IL425"/>
      <c r="IM425"/>
      <c r="IN425"/>
      <c r="IO425"/>
      <c r="IP425"/>
      <c r="IQ425"/>
      <c r="IR425"/>
      <c r="IS425"/>
      <c r="IT425"/>
      <c r="IU425"/>
      <c r="IV425"/>
      <c r="IW425"/>
      <c r="IX425"/>
      <c r="IY425"/>
      <c r="IZ425"/>
      <c r="JA425"/>
      <c r="JB425"/>
      <c r="JC425"/>
      <c r="JD425"/>
      <c r="JE425"/>
      <c r="JF425"/>
      <c r="JG425"/>
      <c r="JH425"/>
      <c r="JI425"/>
      <c r="JJ425"/>
      <c r="JK425"/>
      <c r="JL425"/>
      <c r="JM425"/>
      <c r="JN425"/>
      <c r="JO425"/>
      <c r="JP425"/>
      <c r="JQ425"/>
      <c r="JR425"/>
      <c r="JS425"/>
      <c r="JT425"/>
      <c r="JU425"/>
    </row>
    <row r="426" spans="1:281" s="28" customFormat="1" ht="12" hidden="1" customHeight="1" outlineLevel="1" x14ac:dyDescent="0.2">
      <c r="A426" s="342" t="str">
        <f>'Balance Sheet'!A65</f>
        <v>Jan 2021 EUR Notes (2.250%)</v>
      </c>
      <c r="B426" s="414"/>
      <c r="AW426" s="69"/>
      <c r="BC426" s="69"/>
      <c r="BI426" s="69"/>
      <c r="BK426" s="69"/>
      <c r="BL426" s="69"/>
      <c r="BM426" s="69"/>
      <c r="BN426" s="69"/>
      <c r="BO426" s="69"/>
      <c r="BQ426" s="69"/>
      <c r="BR426" s="69"/>
      <c r="BS426" s="69"/>
      <c r="BT426" s="69"/>
      <c r="BU426" s="69"/>
      <c r="BW426" s="69"/>
      <c r="BX426" s="69"/>
      <c r="BY426" s="69"/>
      <c r="BZ426" s="69"/>
      <c r="CA426" s="69"/>
      <c r="CB426" s="134"/>
      <c r="CC426" s="69"/>
      <c r="CD426" s="69"/>
      <c r="CE426" s="69"/>
      <c r="CF426" s="69"/>
      <c r="CG426" s="415"/>
      <c r="CH426" s="134"/>
      <c r="CI426" s="417"/>
      <c r="CJ426" s="81"/>
      <c r="CK426" s="417"/>
      <c r="CL426" s="417"/>
      <c r="CM426" s="416"/>
      <c r="CN426" s="134"/>
      <c r="CO426" s="417"/>
      <c r="CP426" s="417"/>
      <c r="CQ426" s="417"/>
      <c r="CR426" s="417"/>
      <c r="CS426" s="416"/>
      <c r="CT426" s="134"/>
      <c r="CU426" s="417"/>
      <c r="CV426" s="417"/>
      <c r="CW426" s="417"/>
      <c r="CX426" s="417"/>
      <c r="CY426" s="416"/>
      <c r="CZ426" s="134"/>
      <c r="DA426" s="417"/>
      <c r="DB426" s="417"/>
      <c r="DC426" s="417"/>
      <c r="DD426" s="417"/>
      <c r="DE426" s="416"/>
      <c r="DF426" s="134"/>
      <c r="DG426" s="417">
        <f>-('Balance Sheet'!DG65*0.0225)/4</f>
        <v>0</v>
      </c>
      <c r="DH426" s="417">
        <f>-('Balance Sheet'!DH65*0.0225)/4</f>
        <v>0</v>
      </c>
      <c r="DI426" s="417">
        <f>-('Balance Sheet'!DI65*0.0225)/4</f>
        <v>0</v>
      </c>
      <c r="DJ426" s="417">
        <f>-('Balance Sheet'!DJ65*0.0225)/4</f>
        <v>0</v>
      </c>
      <c r="DK426" s="168">
        <f t="shared" si="282"/>
        <v>0</v>
      </c>
      <c r="DL426" s="134"/>
      <c r="DM426" s="417">
        <f>-('Balance Sheet'!DM65*0.0225)/4</f>
        <v>0</v>
      </c>
      <c r="DN426" s="417">
        <f>-('Balance Sheet'!DN65*0.0225)/4</f>
        <v>0</v>
      </c>
      <c r="DO426" s="417">
        <f>-('Balance Sheet'!DO65*0.0225)/4</f>
        <v>0</v>
      </c>
      <c r="DP426" s="417">
        <f>-('Balance Sheet'!DP65*0.0225)/4</f>
        <v>0</v>
      </c>
      <c r="DQ426" s="168">
        <f t="shared" si="283"/>
        <v>0</v>
      </c>
      <c r="DR426" s="134"/>
      <c r="DS426" s="417">
        <f>-('Balance Sheet'!DS65*0.0225)/4</f>
        <v>0</v>
      </c>
      <c r="DT426" s="417">
        <f>-('Balance Sheet'!DT65*0.0225)/4</f>
        <v>0</v>
      </c>
      <c r="DU426" s="417">
        <f>-('Balance Sheet'!DU65*0.0225)/4</f>
        <v>0</v>
      </c>
      <c r="DV426" s="417">
        <f>-('Balance Sheet'!DV65*0.0225)/4</f>
        <v>0</v>
      </c>
      <c r="DW426" s="168">
        <f t="shared" si="284"/>
        <v>0</v>
      </c>
      <c r="DX426" s="134"/>
      <c r="DY426" s="417">
        <f>-('Balance Sheet'!DY65*0.0225)/4</f>
        <v>-9.140625</v>
      </c>
      <c r="DZ426" s="417">
        <f>-('Balance Sheet'!DZ65*0.0225)/4</f>
        <v>-9.140625</v>
      </c>
      <c r="EA426" s="417">
        <f>-('Balance Sheet'!EA65*0.0225)/4</f>
        <v>-9.140625</v>
      </c>
      <c r="EB426" s="417">
        <f>-('Balance Sheet'!EB65*0.0225)/4</f>
        <v>-9.140625</v>
      </c>
      <c r="EC426" s="168">
        <f t="shared" si="285"/>
        <v>-36.5625</v>
      </c>
      <c r="ED426" s="134"/>
      <c r="EE426" s="417">
        <f>-('Balance Sheet'!EE65*0.0225)/4</f>
        <v>-9.140625</v>
      </c>
      <c r="EF426" s="417">
        <f>-('Balance Sheet'!EF65*0.0225)/4</f>
        <v>-9.140625</v>
      </c>
      <c r="EG426" s="417">
        <f>-('Balance Sheet'!EG65*0.0225)/4</f>
        <v>-9.140625</v>
      </c>
      <c r="EH426" s="417">
        <f>-('Balance Sheet'!EH65*0.0225)/4</f>
        <v>-9.140625</v>
      </c>
      <c r="EI426" s="168">
        <f t="shared" si="286"/>
        <v>-36.5625</v>
      </c>
      <c r="EJ426" s="134"/>
      <c r="EK426" s="417">
        <f>-('Balance Sheet'!EK65*0.0225)/4</f>
        <v>-7.8412499999999996</v>
      </c>
      <c r="EL426" s="417">
        <f>-('Balance Sheet'!EL65*0.0225)/4</f>
        <v>-7.8412499999999996</v>
      </c>
      <c r="EM426" s="417">
        <f>-('Balance Sheet'!EM65*0.0225)/4</f>
        <v>-7.8412499999999996</v>
      </c>
      <c r="EN426" s="417">
        <f>-('Balance Sheet'!EN65*0.0225)/4</f>
        <v>-7.8412499999999996</v>
      </c>
      <c r="EO426" s="168">
        <f t="shared" si="287"/>
        <v>-31.364999999999998</v>
      </c>
      <c r="EP426" s="134"/>
      <c r="EQ426" s="417">
        <f>-('Balance Sheet'!EQ65*0.0225)/4</f>
        <v>-7.8412499999999996</v>
      </c>
      <c r="ER426" s="417">
        <f>-('Balance Sheet'!ER65*0.0225)/4</f>
        <v>-7.8412499999999996</v>
      </c>
      <c r="ES426" s="417">
        <f>-('Balance Sheet'!ES65*0.0225)/4</f>
        <v>-7.8412499999999996</v>
      </c>
      <c r="ET426" s="417">
        <f>-('Balance Sheet'!ET65*0.0225)/4</f>
        <v>-7.8412499999999996</v>
      </c>
      <c r="EU426" s="168">
        <f t="shared" si="288"/>
        <v>-31.364999999999998</v>
      </c>
      <c r="EV426" s="134"/>
      <c r="EW426" s="417">
        <f>-('Balance Sheet'!EW65*0.0225)/4</f>
        <v>-7.8412499999999996</v>
      </c>
      <c r="EX426" s="417">
        <f>-('Balance Sheet'!EX65*0.0225)/4</f>
        <v>-7.8412499999999996</v>
      </c>
      <c r="EY426" s="417">
        <f>-('Balance Sheet'!EY65*0.0225)/4</f>
        <v>-7.8412499999999996</v>
      </c>
      <c r="EZ426" s="417">
        <f>-('Balance Sheet'!EZ65*0.0225)/4</f>
        <v>-7.8412499999999996</v>
      </c>
      <c r="FA426" s="168">
        <f t="shared" si="289"/>
        <v>-31.364999999999998</v>
      </c>
      <c r="FB426" s="134"/>
      <c r="FC426" s="417">
        <f>-('Balance Sheet'!FC65*0.0225)/4</f>
        <v>-7.8412499999999996</v>
      </c>
      <c r="FD426" s="417">
        <f>-('Balance Sheet'!FD65*0.0225)/4</f>
        <v>-7.8412499999999996</v>
      </c>
      <c r="FE426" s="417">
        <f>-('Balance Sheet'!FE65*0.0225)/4</f>
        <v>-7.8412499999999996</v>
      </c>
      <c r="FF426" s="417">
        <f>-('Balance Sheet'!FF65*0.0225)/4</f>
        <v>-7.8412499999999996</v>
      </c>
      <c r="FG426" s="168">
        <f t="shared" si="292"/>
        <v>-31.364999999999998</v>
      </c>
      <c r="FH426" s="134"/>
      <c r="FI426" s="417">
        <f>-('Balance Sheet'!FI65*0.0225)/4</f>
        <v>-7.8412499999999996</v>
      </c>
      <c r="FJ426" s="417">
        <f>-('Balance Sheet'!FJ65*0.0225)/4</f>
        <v>-7.8412499999999996</v>
      </c>
      <c r="FK426" s="417">
        <f>-('Balance Sheet'!FK65*0.0225)/4</f>
        <v>-7.8412499999999996</v>
      </c>
      <c r="FL426" s="417">
        <f>-('Balance Sheet'!FL65*0.0225)/4</f>
        <v>-7.8412499999999996</v>
      </c>
      <c r="FM426" s="168">
        <f t="shared" si="293"/>
        <v>-31.364999999999998</v>
      </c>
      <c r="FN426" s="27"/>
      <c r="FO426" s="27"/>
      <c r="FP426" s="27"/>
      <c r="FQ426" s="27"/>
      <c r="FR426" s="27"/>
      <c r="FS426" s="27"/>
      <c r="FT426" s="27"/>
      <c r="FU426" s="27"/>
      <c r="FV426" s="27"/>
      <c r="FW426" s="27"/>
      <c r="FX426" s="27"/>
      <c r="FY426" s="27"/>
      <c r="FZ426" s="27"/>
      <c r="GA426" s="27"/>
      <c r="GB426" s="27"/>
      <c r="GC426" s="27"/>
      <c r="GD426" s="27"/>
      <c r="GE426" s="27"/>
      <c r="GF426" s="27"/>
      <c r="GG426" s="27"/>
      <c r="GH426" s="27"/>
      <c r="GI426"/>
      <c r="GJ426"/>
      <c r="GK426"/>
      <c r="GL426"/>
      <c r="GM426"/>
      <c r="GN426"/>
      <c r="GO426" s="27"/>
      <c r="GP426"/>
      <c r="GQ426"/>
      <c r="GR426"/>
      <c r="GS426"/>
      <c r="GT426"/>
      <c r="GU426"/>
      <c r="GV426"/>
      <c r="GW426"/>
      <c r="GX426"/>
      <c r="GY426"/>
      <c r="GZ426"/>
      <c r="HA426"/>
      <c r="HB426"/>
      <c r="HC426"/>
      <c r="HD426"/>
      <c r="HE426"/>
      <c r="HF426"/>
      <c r="HG426"/>
      <c r="HH426"/>
      <c r="HI426"/>
      <c r="HJ426"/>
      <c r="HK426"/>
      <c r="HL426"/>
      <c r="HM426"/>
      <c r="HN426"/>
      <c r="HO426"/>
      <c r="HP426"/>
      <c r="HQ426"/>
      <c r="HR426"/>
      <c r="HS426"/>
      <c r="HT426"/>
      <c r="HU426"/>
      <c r="HV426"/>
      <c r="HW426"/>
      <c r="HX426"/>
      <c r="HY426"/>
      <c r="HZ426"/>
      <c r="IA426"/>
      <c r="IB426"/>
      <c r="IC426"/>
      <c r="ID426"/>
      <c r="IE426"/>
      <c r="IF426"/>
      <c r="IG426"/>
      <c r="IH426"/>
      <c r="II426"/>
      <c r="IJ426"/>
      <c r="IK426"/>
      <c r="IL426"/>
      <c r="IM426"/>
      <c r="IN426"/>
      <c r="IO426"/>
      <c r="IP426"/>
      <c r="IQ426"/>
      <c r="IR426"/>
      <c r="IS426"/>
      <c r="IT426"/>
      <c r="IU426"/>
      <c r="IV426"/>
      <c r="IW426"/>
      <c r="IX426"/>
      <c r="IY426"/>
      <c r="IZ426"/>
      <c r="JA426"/>
      <c r="JB426"/>
      <c r="JC426"/>
      <c r="JD426"/>
      <c r="JE426"/>
      <c r="JF426"/>
      <c r="JG426"/>
      <c r="JH426"/>
      <c r="JI426"/>
      <c r="JJ426"/>
      <c r="JK426"/>
      <c r="JL426"/>
      <c r="JM426"/>
      <c r="JN426"/>
      <c r="JO426"/>
      <c r="JP426"/>
      <c r="JQ426"/>
      <c r="JR426"/>
      <c r="JS426"/>
      <c r="JT426"/>
      <c r="JU426"/>
    </row>
    <row r="427" spans="1:281" s="28" customFormat="1" ht="12" hidden="1" customHeight="1" outlineLevel="1" x14ac:dyDescent="0.2">
      <c r="A427" s="342" t="str">
        <f>'Balance Sheet'!A66</f>
        <v>July 2021 Notes (2.80%)</v>
      </c>
      <c r="B427" s="414"/>
      <c r="AW427" s="69"/>
      <c r="BC427" s="69"/>
      <c r="BI427" s="69"/>
      <c r="BK427" s="69"/>
      <c r="BL427" s="69"/>
      <c r="BM427" s="69"/>
      <c r="BN427" s="69"/>
      <c r="BO427" s="69"/>
      <c r="BQ427" s="69"/>
      <c r="BR427" s="69"/>
      <c r="BS427" s="69"/>
      <c r="BT427" s="69"/>
      <c r="BU427" s="69"/>
      <c r="BW427" s="69"/>
      <c r="BX427" s="69"/>
      <c r="BY427" s="69"/>
      <c r="BZ427" s="69"/>
      <c r="CA427" s="69"/>
      <c r="CB427" s="134"/>
      <c r="CC427" s="69"/>
      <c r="CD427" s="69"/>
      <c r="CE427" s="69"/>
      <c r="CF427" s="69"/>
      <c r="CG427" s="415"/>
      <c r="CH427" s="134"/>
      <c r="CI427" s="417"/>
      <c r="CJ427" s="81"/>
      <c r="CK427" s="417"/>
      <c r="CL427" s="417"/>
      <c r="CM427" s="416"/>
      <c r="CN427" s="134"/>
      <c r="CO427" s="417"/>
      <c r="CP427" s="417"/>
      <c r="CQ427" s="417"/>
      <c r="CR427" s="417"/>
      <c r="CS427" s="416"/>
      <c r="CT427" s="134"/>
      <c r="CU427" s="417"/>
      <c r="CV427" s="417"/>
      <c r="CW427" s="417"/>
      <c r="CX427" s="417"/>
      <c r="CY427" s="416"/>
      <c r="CZ427" s="134"/>
      <c r="DA427" s="417"/>
      <c r="DB427" s="417"/>
      <c r="DC427" s="417"/>
      <c r="DD427" s="417"/>
      <c r="DE427" s="416"/>
      <c r="DF427" s="134"/>
      <c r="DG427" s="417">
        <f>-('Balance Sheet'!DG66*0.028)/4</f>
        <v>0</v>
      </c>
      <c r="DH427" s="417">
        <f>-('Balance Sheet'!DH66*0.028)/4</f>
        <v>0</v>
      </c>
      <c r="DI427" s="417">
        <f>-('Balance Sheet'!DI66*0.028)/4</f>
        <v>0</v>
      </c>
      <c r="DJ427" s="417">
        <f>-('Balance Sheet'!DJ66*0.028)/4</f>
        <v>0</v>
      </c>
      <c r="DK427" s="168">
        <f t="shared" si="282"/>
        <v>0</v>
      </c>
      <c r="DL427" s="134"/>
      <c r="DM427" s="417">
        <f>-('Balance Sheet'!DM66*0.028)/4</f>
        <v>0</v>
      </c>
      <c r="DN427" s="417">
        <f>-('Balance Sheet'!DN66*0.028)/4</f>
        <v>0</v>
      </c>
      <c r="DO427" s="417">
        <f>-('Balance Sheet'!DO66*0.028)/4</f>
        <v>0</v>
      </c>
      <c r="DP427" s="417">
        <f>-('Balance Sheet'!DP66*0.028)/4</f>
        <v>0</v>
      </c>
      <c r="DQ427" s="168">
        <f t="shared" si="283"/>
        <v>0</v>
      </c>
      <c r="DR427" s="134"/>
      <c r="DS427" s="417">
        <f>-('Balance Sheet'!DS66*0.028)/4</f>
        <v>0</v>
      </c>
      <c r="DT427" s="417">
        <f>-('Balance Sheet'!DT66*0.028)/4</f>
        <v>0</v>
      </c>
      <c r="DU427" s="417">
        <f>-('Balance Sheet'!DU66*0.028)/4</f>
        <v>0</v>
      </c>
      <c r="DV427" s="417">
        <f>-('Balance Sheet'!DV66*0.028)/4</f>
        <v>0</v>
      </c>
      <c r="DW427" s="168">
        <f t="shared" si="284"/>
        <v>0</v>
      </c>
      <c r="DX427" s="134"/>
      <c r="DY427" s="417">
        <f>-('Balance Sheet'!DY66*0.028)/4</f>
        <v>0</v>
      </c>
      <c r="DZ427" s="417">
        <f>-('Balance Sheet'!DZ66*0.028)/4</f>
        <v>0</v>
      </c>
      <c r="EA427" s="417">
        <f>-('Balance Sheet'!EA66*0.028)/4</f>
        <v>0</v>
      </c>
      <c r="EB427" s="417">
        <f>-('Balance Sheet'!EB66*0.028)/4</f>
        <v>0</v>
      </c>
      <c r="EC427" s="168">
        <f t="shared" si="285"/>
        <v>0</v>
      </c>
      <c r="ED427" s="134"/>
      <c r="EE427" s="417">
        <f>-('Balance Sheet'!EE66*0.028)/4</f>
        <v>-10.5</v>
      </c>
      <c r="EF427" s="417">
        <f>-('Balance Sheet'!EF66*0.028)/4</f>
        <v>-10.5</v>
      </c>
      <c r="EG427" s="417">
        <f>-('Balance Sheet'!EG66*0.028)/4</f>
        <v>-10.5</v>
      </c>
      <c r="EH427" s="417">
        <f>-('Balance Sheet'!EH66*0.028)/4</f>
        <v>-10.5</v>
      </c>
      <c r="EI427" s="168">
        <f t="shared" si="286"/>
        <v>-42</v>
      </c>
      <c r="EJ427" s="134"/>
      <c r="EK427" s="417">
        <f>-('Balance Sheet'!EK66*0.028)/4</f>
        <v>-10.5</v>
      </c>
      <c r="EL427" s="417">
        <f>-('Balance Sheet'!EL66*0.028)/4</f>
        <v>-10.5</v>
      </c>
      <c r="EM427" s="417">
        <f>-('Balance Sheet'!EM66*0.028)/4</f>
        <v>-10.5</v>
      </c>
      <c r="EN427" s="417">
        <f>-('Balance Sheet'!EN66*0.028)/4</f>
        <v>-10.5</v>
      </c>
      <c r="EO427" s="168">
        <f t="shared" si="287"/>
        <v>-42</v>
      </c>
      <c r="EP427" s="134"/>
      <c r="EQ427" s="417">
        <f>-('Balance Sheet'!EQ66*0.028)/4</f>
        <v>-10.5</v>
      </c>
      <c r="ER427" s="417">
        <f>-('Balance Sheet'!ER66*0.028)/4</f>
        <v>-10.5</v>
      </c>
      <c r="ES427" s="417">
        <f>-('Balance Sheet'!ES66*0.028)/4</f>
        <v>-10.5</v>
      </c>
      <c r="ET427" s="417">
        <f>-('Balance Sheet'!ET66*0.028)/4</f>
        <v>-10.5</v>
      </c>
      <c r="EU427" s="168">
        <f t="shared" si="288"/>
        <v>-42</v>
      </c>
      <c r="EV427" s="134"/>
      <c r="EW427" s="417">
        <f>-('Balance Sheet'!EW66*0.028)/4</f>
        <v>-10.5</v>
      </c>
      <c r="EX427" s="417">
        <f>-('Balance Sheet'!EX66*0.028)/4</f>
        <v>-10.5</v>
      </c>
      <c r="EY427" s="417">
        <f>-('Balance Sheet'!EY66*0.028)/4</f>
        <v>-10.5</v>
      </c>
      <c r="EZ427" s="417">
        <f>-('Balance Sheet'!EZ66*0.028)/4</f>
        <v>-10.5</v>
      </c>
      <c r="FA427" s="168">
        <f t="shared" si="289"/>
        <v>-42</v>
      </c>
      <c r="FB427" s="134"/>
      <c r="FC427" s="417">
        <f>-('Balance Sheet'!FC66*0.028)/4</f>
        <v>-10.5</v>
      </c>
      <c r="FD427" s="417">
        <f>-('Balance Sheet'!FD66*0.028)/4</f>
        <v>-10.5</v>
      </c>
      <c r="FE427" s="417">
        <f>-('Balance Sheet'!FE66*0.028)/4</f>
        <v>-10.5</v>
      </c>
      <c r="FF427" s="417">
        <f>-('Balance Sheet'!FF66*0.028)/4</f>
        <v>-10.5</v>
      </c>
      <c r="FG427" s="168">
        <f t="shared" si="292"/>
        <v>-42</v>
      </c>
      <c r="FH427" s="134"/>
      <c r="FI427" s="417">
        <f>-('Balance Sheet'!FI66*0.028)/4</f>
        <v>-10.5</v>
      </c>
      <c r="FJ427" s="417">
        <f>-('Balance Sheet'!FJ66*0.028)/4</f>
        <v>-10.5</v>
      </c>
      <c r="FK427" s="417">
        <f>-('Balance Sheet'!FK66*0.028)/4</f>
        <v>-10.5</v>
      </c>
      <c r="FL427" s="417">
        <f>-('Balance Sheet'!FL66*0.028)/4</f>
        <v>-10.5</v>
      </c>
      <c r="FM427" s="168">
        <f t="shared" si="293"/>
        <v>-42</v>
      </c>
      <c r="FN427" s="27"/>
      <c r="FO427" s="27"/>
      <c r="FP427" s="27"/>
      <c r="FQ427" s="27"/>
      <c r="FR427" s="27"/>
      <c r="FS427" s="27"/>
      <c r="FT427" s="27"/>
      <c r="FU427" s="27"/>
      <c r="FV427" s="27"/>
      <c r="FW427" s="27"/>
      <c r="FX427" s="27"/>
      <c r="FY427" s="27"/>
      <c r="FZ427" s="27"/>
      <c r="GA427" s="27"/>
      <c r="GB427" s="27"/>
      <c r="GC427" s="27"/>
      <c r="GD427" s="27"/>
      <c r="GE427" s="27"/>
      <c r="GF427" s="27"/>
      <c r="GG427" s="27"/>
      <c r="GH427" s="27"/>
      <c r="GI427"/>
      <c r="GJ427"/>
      <c r="GK427"/>
      <c r="GL427"/>
      <c r="GM427"/>
      <c r="GN427"/>
      <c r="GO427" s="27"/>
      <c r="GP427"/>
      <c r="GQ427"/>
      <c r="GR427"/>
      <c r="GS427"/>
      <c r="GT427"/>
      <c r="GU427"/>
      <c r="GV427"/>
      <c r="GW427"/>
      <c r="GX427"/>
      <c r="GY427"/>
      <c r="GZ427"/>
      <c r="HA427"/>
      <c r="HB427"/>
      <c r="HC427"/>
      <c r="HD427"/>
      <c r="HE427"/>
      <c r="HF427"/>
      <c r="HG427"/>
      <c r="HH427"/>
      <c r="HI427"/>
      <c r="HJ427"/>
      <c r="HK427"/>
      <c r="HL427"/>
      <c r="HM427"/>
      <c r="HN427"/>
      <c r="HO427"/>
      <c r="HP427"/>
      <c r="HQ427"/>
      <c r="HR427"/>
      <c r="HS427"/>
      <c r="HT427"/>
      <c r="HU427"/>
      <c r="HV427"/>
      <c r="HW427"/>
      <c r="HX427"/>
      <c r="HY427"/>
      <c r="HZ427"/>
      <c r="IA427"/>
      <c r="IB427"/>
      <c r="IC427"/>
      <c r="ID427"/>
      <c r="IE427"/>
      <c r="IF427"/>
      <c r="IG427"/>
      <c r="IH427"/>
      <c r="II427"/>
      <c r="IJ427"/>
      <c r="IK427"/>
      <c r="IL427"/>
      <c r="IM427"/>
      <c r="IN427"/>
      <c r="IO427"/>
      <c r="IP427"/>
      <c r="IQ427"/>
      <c r="IR427"/>
      <c r="IS427"/>
      <c r="IT427"/>
      <c r="IU427"/>
      <c r="IV427"/>
      <c r="IW427"/>
      <c r="IX427"/>
      <c r="IY427"/>
      <c r="IZ427"/>
      <c r="JA427"/>
      <c r="JB427"/>
      <c r="JC427"/>
      <c r="JD427"/>
      <c r="JE427"/>
      <c r="JF427"/>
      <c r="JG427"/>
      <c r="JH427"/>
      <c r="JI427"/>
      <c r="JJ427"/>
      <c r="JK427"/>
      <c r="JL427"/>
      <c r="JM427"/>
      <c r="JN427"/>
      <c r="JO427"/>
      <c r="JP427"/>
      <c r="JQ427"/>
      <c r="JR427"/>
      <c r="JS427"/>
      <c r="JT427"/>
      <c r="JU427"/>
    </row>
    <row r="428" spans="1:281" s="28" customFormat="1" ht="12" hidden="1" customHeight="1" outlineLevel="1" x14ac:dyDescent="0.2">
      <c r="A428" s="342" t="str">
        <f>'Balance Sheet'!A67</f>
        <v>Sep 2021 Notes (1.90%)</v>
      </c>
      <c r="B428" s="414"/>
      <c r="AW428" s="69"/>
      <c r="BC428" s="69"/>
      <c r="BI428" s="69"/>
      <c r="BK428" s="69"/>
      <c r="BL428" s="69"/>
      <c r="BM428" s="69"/>
      <c r="BN428" s="69"/>
      <c r="BO428" s="69"/>
      <c r="BQ428" s="69"/>
      <c r="BR428" s="69"/>
      <c r="BS428" s="69"/>
      <c r="BT428" s="69"/>
      <c r="BU428" s="69"/>
      <c r="BW428" s="69"/>
      <c r="BX428" s="69"/>
      <c r="BY428" s="69"/>
      <c r="BZ428" s="69"/>
      <c r="CA428" s="69"/>
      <c r="CB428" s="134"/>
      <c r="CC428" s="69"/>
      <c r="CD428" s="69"/>
      <c r="CE428" s="69"/>
      <c r="CF428" s="69"/>
      <c r="CG428" s="415"/>
      <c r="CH428" s="134"/>
      <c r="CI428" s="417"/>
      <c r="CJ428" s="81"/>
      <c r="CK428" s="417"/>
      <c r="CL428" s="417"/>
      <c r="CM428" s="416"/>
      <c r="CN428" s="134"/>
      <c r="CO428" s="417"/>
      <c r="CP428" s="417"/>
      <c r="CQ428" s="417"/>
      <c r="CR428" s="417"/>
      <c r="CS428" s="416"/>
      <c r="CT428" s="134"/>
      <c r="CU428" s="417"/>
      <c r="CV428" s="417"/>
      <c r="CW428" s="417"/>
      <c r="CX428" s="417"/>
      <c r="CY428" s="416"/>
      <c r="CZ428" s="134"/>
      <c r="DA428" s="417"/>
      <c r="DB428" s="417"/>
      <c r="DC428" s="417"/>
      <c r="DD428" s="417"/>
      <c r="DE428" s="416"/>
      <c r="DF428" s="134"/>
      <c r="DG428" s="417">
        <f>-('Balance Sheet'!DG67*0.019)/4</f>
        <v>0</v>
      </c>
      <c r="DH428" s="417">
        <f>-('Balance Sheet'!DH67*0.019)/4</f>
        <v>0</v>
      </c>
      <c r="DI428" s="417">
        <f>-('Balance Sheet'!DI67*0.019)/4</f>
        <v>0</v>
      </c>
      <c r="DJ428" s="417">
        <f>-('Balance Sheet'!DJ67*0.019)/4</f>
        <v>0</v>
      </c>
      <c r="DK428" s="168">
        <f t="shared" si="282"/>
        <v>0</v>
      </c>
      <c r="DL428" s="134"/>
      <c r="DM428" s="417">
        <f>-('Balance Sheet'!DM67*0.019)/4</f>
        <v>0</v>
      </c>
      <c r="DN428" s="417">
        <f>-('Balance Sheet'!DN67*0.019)/4</f>
        <v>0</v>
      </c>
      <c r="DO428" s="417">
        <f>-('Balance Sheet'!DO67*0.019)/4</f>
        <v>0</v>
      </c>
      <c r="DP428" s="417">
        <f>-('Balance Sheet'!DP67*0.019)/4</f>
        <v>0</v>
      </c>
      <c r="DQ428" s="168">
        <f t="shared" si="283"/>
        <v>0</v>
      </c>
      <c r="DR428" s="134"/>
      <c r="DS428" s="417">
        <f>-('Balance Sheet'!DS67*0.019)/4</f>
        <v>0</v>
      </c>
      <c r="DT428" s="417">
        <f>-('Balance Sheet'!DT67*0.019)/4</f>
        <v>0</v>
      </c>
      <c r="DU428" s="417">
        <f>-('Balance Sheet'!DU67*0.019)/4</f>
        <v>0</v>
      </c>
      <c r="DV428" s="417">
        <f>-('Balance Sheet'!DV67*0.019)/4</f>
        <v>0</v>
      </c>
      <c r="DW428" s="168">
        <f t="shared" si="284"/>
        <v>0</v>
      </c>
      <c r="DX428" s="134"/>
      <c r="DY428" s="417">
        <f>-('Balance Sheet'!DY67*0.019)/4</f>
        <v>0</v>
      </c>
      <c r="DZ428" s="417">
        <f>-('Balance Sheet'!DZ67*0.019)/4</f>
        <v>0</v>
      </c>
      <c r="EA428" s="417">
        <f>-('Balance Sheet'!EA67*0.019)/4</f>
        <v>0</v>
      </c>
      <c r="EB428" s="417">
        <f>-('Balance Sheet'!EB67*0.019)/4</f>
        <v>0</v>
      </c>
      <c r="EC428" s="168">
        <f t="shared" si="285"/>
        <v>0</v>
      </c>
      <c r="ED428" s="134"/>
      <c r="EE428" s="417">
        <f>-('Balance Sheet'!EE67*0.019)/4</f>
        <v>0</v>
      </c>
      <c r="EF428" s="417">
        <f>-('Balance Sheet'!EF67*0.019)/4</f>
        <v>0</v>
      </c>
      <c r="EG428" s="417">
        <f>-('Balance Sheet'!EG67*0.019)/4</f>
        <v>0</v>
      </c>
      <c r="EH428" s="417">
        <f>-('Balance Sheet'!EH67*0.019)/4</f>
        <v>0</v>
      </c>
      <c r="EI428" s="168">
        <f t="shared" si="286"/>
        <v>0</v>
      </c>
      <c r="EJ428" s="134"/>
      <c r="EK428" s="417">
        <f>-('Balance Sheet'!EK67*0.019)/4</f>
        <v>0</v>
      </c>
      <c r="EL428" s="417">
        <f>-('Balance Sheet'!EL67*0.019)/4</f>
        <v>0</v>
      </c>
      <c r="EM428" s="417">
        <f>-('Balance Sheet'!EM67*0.019)/4</f>
        <v>0</v>
      </c>
      <c r="EN428" s="417">
        <f>-('Balance Sheet'!EN67*0.019)/4</f>
        <v>0</v>
      </c>
      <c r="EO428" s="168">
        <f t="shared" si="287"/>
        <v>0</v>
      </c>
      <c r="EP428" s="134"/>
      <c r="EQ428" s="417">
        <f>-('Balance Sheet'!EQ67*0.019)/4*(2/3)</f>
        <v>-13.458333333333332</v>
      </c>
      <c r="ER428" s="417">
        <f>-('Balance Sheet'!ER67*0.019)/4</f>
        <v>-20.1875</v>
      </c>
      <c r="ES428" s="417">
        <f>-('Balance Sheet'!ES67*0.019)/4</f>
        <v>-20.1875</v>
      </c>
      <c r="ET428" s="417">
        <f>-('Balance Sheet'!ET67*0.019)/4</f>
        <v>-20.1875</v>
      </c>
      <c r="EU428" s="168">
        <f t="shared" si="288"/>
        <v>-74.020833333333329</v>
      </c>
      <c r="EV428" s="134"/>
      <c r="EW428" s="417">
        <f>-('Balance Sheet'!EW67*0.019)/4</f>
        <v>-20.1875</v>
      </c>
      <c r="EX428" s="417">
        <f>-('Balance Sheet'!EX67*0.019)/4</f>
        <v>-20.1875</v>
      </c>
      <c r="EY428" s="417">
        <f>-('Balance Sheet'!EY67*0.019)/4</f>
        <v>-20.1875</v>
      </c>
      <c r="EZ428" s="417">
        <f>-('Balance Sheet'!EZ67*0.019)/4</f>
        <v>-20.1875</v>
      </c>
      <c r="FA428" s="168">
        <f t="shared" si="289"/>
        <v>-80.75</v>
      </c>
      <c r="FB428" s="134"/>
      <c r="FC428" s="417">
        <f>-('Balance Sheet'!FC67*0.019)/4</f>
        <v>-20.1875</v>
      </c>
      <c r="FD428" s="417">
        <f>-('Balance Sheet'!FD67*0.019)/4</f>
        <v>-20.1875</v>
      </c>
      <c r="FE428" s="417">
        <f>-('Balance Sheet'!FE67*0.019)/4</f>
        <v>-20.1875</v>
      </c>
      <c r="FF428" s="417">
        <f>-('Balance Sheet'!FF67*0.019)/4</f>
        <v>-20.1875</v>
      </c>
      <c r="FG428" s="168">
        <f t="shared" si="292"/>
        <v>-80.75</v>
      </c>
      <c r="FH428" s="134"/>
      <c r="FI428" s="417">
        <f>-('Balance Sheet'!FI67*0.019)/4</f>
        <v>-20.1875</v>
      </c>
      <c r="FJ428" s="417">
        <f>-('Balance Sheet'!FJ67*0.019)/4</f>
        <v>-20.1875</v>
      </c>
      <c r="FK428" s="417">
        <f>-('Balance Sheet'!FK67*0.019)/4</f>
        <v>-20.1875</v>
      </c>
      <c r="FL428" s="417">
        <f>-('Balance Sheet'!FL67*0.019)/4</f>
        <v>-20.1875</v>
      </c>
      <c r="FM428" s="168">
        <f t="shared" si="293"/>
        <v>-80.75</v>
      </c>
      <c r="FN428" s="27"/>
      <c r="FO428" s="27"/>
      <c r="FP428" s="27"/>
      <c r="FQ428" s="27"/>
      <c r="FR428" s="27"/>
      <c r="FS428" s="27"/>
      <c r="FT428" s="27"/>
      <c r="FU428" s="27"/>
      <c r="FV428" s="27"/>
      <c r="FW428" s="27"/>
      <c r="FX428" s="27"/>
      <c r="FY428" s="27"/>
      <c r="FZ428" s="27"/>
      <c r="GA428" s="27"/>
      <c r="GB428" s="27"/>
      <c r="GC428" s="27"/>
      <c r="GD428" s="27"/>
      <c r="GE428" s="27"/>
      <c r="GF428" s="27"/>
      <c r="GG428" s="27"/>
      <c r="GH428" s="27"/>
      <c r="GI428"/>
      <c r="GJ428"/>
      <c r="GK428"/>
      <c r="GL428"/>
      <c r="GM428"/>
      <c r="GN428"/>
      <c r="GO428" s="27"/>
      <c r="GP428"/>
      <c r="GQ428"/>
      <c r="GR428"/>
      <c r="GS428"/>
      <c r="GT428"/>
      <c r="GU428"/>
      <c r="GV428"/>
      <c r="GW428"/>
      <c r="GX428"/>
      <c r="GY428"/>
      <c r="GZ428"/>
      <c r="HA428"/>
      <c r="HB428"/>
      <c r="HC428"/>
      <c r="HD428"/>
      <c r="HE428"/>
      <c r="HF428"/>
      <c r="HG428"/>
      <c r="HH428"/>
      <c r="HI428"/>
      <c r="HJ428"/>
      <c r="HK428"/>
      <c r="HL428"/>
      <c r="HM428"/>
      <c r="HN428"/>
      <c r="HO428"/>
      <c r="HP428"/>
      <c r="HQ428"/>
      <c r="HR428"/>
      <c r="HS428"/>
      <c r="HT428"/>
      <c r="HU428"/>
      <c r="HV428"/>
      <c r="HW428"/>
      <c r="HX428"/>
      <c r="HY428"/>
      <c r="HZ428"/>
      <c r="IA428"/>
      <c r="IB428"/>
      <c r="IC428"/>
      <c r="ID428"/>
      <c r="IE428"/>
      <c r="IF428"/>
      <c r="IG428"/>
      <c r="IH428"/>
      <c r="II428"/>
      <c r="IJ428"/>
      <c r="IK428"/>
      <c r="IL428"/>
      <c r="IM428"/>
      <c r="IN428"/>
      <c r="IO428"/>
      <c r="IP428"/>
      <c r="IQ428"/>
      <c r="IR428"/>
      <c r="IS428"/>
      <c r="IT428"/>
      <c r="IU428"/>
      <c r="IV428"/>
      <c r="IW428"/>
      <c r="IX428"/>
      <c r="IY428"/>
      <c r="IZ428"/>
      <c r="JA428"/>
      <c r="JB428"/>
      <c r="JC428"/>
      <c r="JD428"/>
      <c r="JE428"/>
      <c r="JF428"/>
      <c r="JG428"/>
      <c r="JH428"/>
      <c r="JI428"/>
      <c r="JJ428"/>
      <c r="JK428"/>
      <c r="JL428"/>
      <c r="JM428"/>
      <c r="JN428"/>
      <c r="JO428"/>
      <c r="JP428"/>
      <c r="JQ428"/>
      <c r="JR428"/>
      <c r="JS428"/>
      <c r="JT428"/>
      <c r="JU428"/>
    </row>
    <row r="429" spans="1:281" s="28" customFormat="1" ht="12" hidden="1" customHeight="1" outlineLevel="1" x14ac:dyDescent="0.2">
      <c r="A429" s="342" t="str">
        <f>'Balance Sheet'!A68</f>
        <v>May 2022 Notes (2.5%)</v>
      </c>
      <c r="B429" s="414"/>
      <c r="AW429" s="69"/>
      <c r="BC429" s="69"/>
      <c r="BI429" s="69"/>
      <c r="BK429" s="69"/>
      <c r="BL429" s="69"/>
      <c r="BM429" s="69"/>
      <c r="BN429" s="69"/>
      <c r="BO429" s="69"/>
      <c r="BQ429" s="69"/>
      <c r="BR429" s="69"/>
      <c r="BS429" s="69"/>
      <c r="BT429" s="69"/>
      <c r="BU429" s="69"/>
      <c r="BW429" s="69"/>
      <c r="BX429" s="69"/>
      <c r="BY429" s="69"/>
      <c r="BZ429" s="69"/>
      <c r="CA429" s="69"/>
      <c r="CB429" s="134"/>
      <c r="CC429" s="69"/>
      <c r="CD429" s="69"/>
      <c r="CE429" s="69"/>
      <c r="CF429" s="69"/>
      <c r="CG429" s="415"/>
      <c r="CH429" s="134"/>
      <c r="CI429" s="417"/>
      <c r="CJ429" s="81"/>
      <c r="CK429" s="417"/>
      <c r="CL429" s="417"/>
      <c r="CM429" s="416"/>
      <c r="CN429" s="134"/>
      <c r="CO429" s="417"/>
      <c r="CP429" s="417"/>
      <c r="CQ429" s="417"/>
      <c r="CR429" s="417"/>
      <c r="CS429" s="416"/>
      <c r="CT429" s="134"/>
      <c r="CU429" s="417"/>
      <c r="CV429" s="417"/>
      <c r="CW429" s="417"/>
      <c r="CX429" s="417"/>
      <c r="CY429" s="416"/>
      <c r="CZ429" s="134"/>
      <c r="DA429" s="417"/>
      <c r="DB429" s="417"/>
      <c r="DC429" s="417"/>
      <c r="DD429" s="417"/>
      <c r="DE429" s="416"/>
      <c r="DF429" s="134"/>
      <c r="DG429" s="417">
        <f>-('Balance Sheet'!DG68*0.025)/4</f>
        <v>0</v>
      </c>
      <c r="DH429" s="417">
        <f>-('Balance Sheet'!DH68*0.025)/4</f>
        <v>0</v>
      </c>
      <c r="DI429" s="417">
        <f>-('Balance Sheet'!DI68*0.025)/4</f>
        <v>0</v>
      </c>
      <c r="DJ429" s="417">
        <f>-('Balance Sheet'!DJ68*0.025)/4</f>
        <v>0</v>
      </c>
      <c r="DK429" s="168">
        <f>SUM(DG429:DJ429)</f>
        <v>0</v>
      </c>
      <c r="DL429" s="134"/>
      <c r="DM429" s="417">
        <f>-('Balance Sheet'!DM68*0.025)/4</f>
        <v>0</v>
      </c>
      <c r="DN429" s="417">
        <f>-('Balance Sheet'!DN68*0.025)/4</f>
        <v>0</v>
      </c>
      <c r="DO429" s="417">
        <f>-('Balance Sheet'!DO68*0.025)/4</f>
        <v>0</v>
      </c>
      <c r="DP429" s="417">
        <f>-('Balance Sheet'!DP68*0.025)/4</f>
        <v>0</v>
      </c>
      <c r="DQ429" s="168">
        <f>SUM(DM429:DP429)</f>
        <v>0</v>
      </c>
      <c r="DR429" s="134"/>
      <c r="DS429" s="417">
        <f>-('Balance Sheet'!DS68*0.025)/4</f>
        <v>0</v>
      </c>
      <c r="DT429" s="417">
        <f>-('Balance Sheet'!DT68*0.025)/4</f>
        <v>0</v>
      </c>
      <c r="DU429" s="417">
        <f>-('Balance Sheet'!DU68*0.025)/4</f>
        <v>0</v>
      </c>
      <c r="DV429" s="417">
        <f>-('Balance Sheet'!DV68*0.025)/4</f>
        <v>0</v>
      </c>
      <c r="DW429" s="168">
        <f>SUM(DS429:DV429)</f>
        <v>0</v>
      </c>
      <c r="DX429" s="134"/>
      <c r="DY429" s="417">
        <f>-('Balance Sheet'!DY68*0.025)/4</f>
        <v>0</v>
      </c>
      <c r="DZ429" s="417">
        <f>-('Balance Sheet'!DZ68*0.025)/4</f>
        <v>0</v>
      </c>
      <c r="EA429" s="417">
        <f>-('Balance Sheet'!EA68*0.025)/4</f>
        <v>0</v>
      </c>
      <c r="EB429" s="417">
        <f>-('Balance Sheet'!EB68*0.025)/4</f>
        <v>0</v>
      </c>
      <c r="EC429" s="168">
        <f>SUM(DY429:EB429)</f>
        <v>0</v>
      </c>
      <c r="ED429" s="134"/>
      <c r="EE429" s="417">
        <f>-('Balance Sheet'!EE68*0.025)/4</f>
        <v>0</v>
      </c>
      <c r="EF429" s="417">
        <f>-('Balance Sheet'!EF68*0.025)/4</f>
        <v>0</v>
      </c>
      <c r="EG429" s="417">
        <f>-('Balance Sheet'!EG68*0.025)/4</f>
        <v>0</v>
      </c>
      <c r="EH429" s="417">
        <f>-('Balance Sheet'!EH68*0.025)/4</f>
        <v>-15.625</v>
      </c>
      <c r="EI429" s="168">
        <f>SUM(EE429:EH429)</f>
        <v>-15.625</v>
      </c>
      <c r="EJ429" s="134"/>
      <c r="EK429" s="417">
        <f>-('Balance Sheet'!EK68*0.025)/4</f>
        <v>-15.625</v>
      </c>
      <c r="EL429" s="417">
        <f>-('Balance Sheet'!EL68*0.025)/4</f>
        <v>-15.625</v>
      </c>
      <c r="EM429" s="417">
        <f>-('Balance Sheet'!EM68*0.025)/4</f>
        <v>-15.625</v>
      </c>
      <c r="EN429" s="417">
        <f>-('Balance Sheet'!EN68*0.025)/4</f>
        <v>-15.625</v>
      </c>
      <c r="EO429" s="168">
        <f>SUM(EK429:EN429)</f>
        <v>-62.5</v>
      </c>
      <c r="EP429" s="134"/>
      <c r="EQ429" s="417">
        <f>-('Balance Sheet'!EQ68*0.025)/4</f>
        <v>-15.625</v>
      </c>
      <c r="ER429" s="417">
        <f>-('Balance Sheet'!ER68*0.025)/4</f>
        <v>-15.625</v>
      </c>
      <c r="ES429" s="417">
        <f>-('Balance Sheet'!ES68*0.025)/4</f>
        <v>-15.625</v>
      </c>
      <c r="ET429" s="417">
        <f>-('Balance Sheet'!ET68*0.025)/4</f>
        <v>-15.625</v>
      </c>
      <c r="EU429" s="168">
        <f>SUM(EQ429:ET429)</f>
        <v>-62.5</v>
      </c>
      <c r="EV429" s="134"/>
      <c r="EW429" s="417">
        <f>-('Balance Sheet'!EW68*0.025)/4</f>
        <v>-15.625</v>
      </c>
      <c r="EX429" s="417">
        <f>-('Balance Sheet'!EX68*0.025)/4</f>
        <v>-15.625</v>
      </c>
      <c r="EY429" s="417">
        <f>-('Balance Sheet'!EY68*0.025)/4</f>
        <v>-15.625</v>
      </c>
      <c r="EZ429" s="417">
        <f>-('Balance Sheet'!EZ68*0.025)/4</f>
        <v>-15.625</v>
      </c>
      <c r="FA429" s="168">
        <f>SUM(EW429:EZ429)</f>
        <v>-62.5</v>
      </c>
      <c r="FB429" s="134"/>
      <c r="FC429" s="417">
        <f>-('Balance Sheet'!FC68*0.025)/4</f>
        <v>-15.625</v>
      </c>
      <c r="FD429" s="417">
        <f>-('Balance Sheet'!FD68*0.025)/4</f>
        <v>-15.625</v>
      </c>
      <c r="FE429" s="417">
        <f>-('Balance Sheet'!FE68*0.025)/4</f>
        <v>-15.625</v>
      </c>
      <c r="FF429" s="417">
        <f>-('Balance Sheet'!FF68*0.025)/4</f>
        <v>-15.625</v>
      </c>
      <c r="FG429" s="168">
        <f t="shared" si="292"/>
        <v>-62.5</v>
      </c>
      <c r="FH429" s="134"/>
      <c r="FI429" s="417">
        <f>-('Balance Sheet'!FI68*0.025)/4</f>
        <v>-15.625</v>
      </c>
      <c r="FJ429" s="417">
        <f>-('Balance Sheet'!FJ68*0.025)/4</f>
        <v>-15.625</v>
      </c>
      <c r="FK429" s="417">
        <f>-('Balance Sheet'!FK68*0.025)/4</f>
        <v>-15.625</v>
      </c>
      <c r="FL429" s="417">
        <f>-('Balance Sheet'!FL68*0.025)/4</f>
        <v>-15.625</v>
      </c>
      <c r="FM429" s="168">
        <f t="shared" si="293"/>
        <v>-62.5</v>
      </c>
      <c r="FN429" s="27"/>
      <c r="FO429" s="27"/>
      <c r="FP429" s="27"/>
      <c r="FQ429" s="27"/>
      <c r="FR429" s="27"/>
      <c r="FS429" s="27"/>
      <c r="FT429" s="27"/>
      <c r="FU429" s="27"/>
      <c r="FV429" s="27"/>
      <c r="FW429" s="27"/>
      <c r="FX429" s="27"/>
      <c r="FY429" s="27"/>
      <c r="FZ429" s="27"/>
      <c r="GA429" s="27"/>
      <c r="GB429" s="27"/>
      <c r="GC429" s="27"/>
      <c r="GD429" s="27"/>
      <c r="GE429" s="27"/>
      <c r="GF429" s="27"/>
      <c r="GG429" s="27"/>
      <c r="GH429" s="27"/>
      <c r="GI429"/>
      <c r="GJ429"/>
      <c r="GK429"/>
      <c r="GL429"/>
      <c r="GM429"/>
      <c r="GN429"/>
      <c r="GO429" s="27"/>
      <c r="GP429"/>
      <c r="GQ429"/>
      <c r="GR429"/>
      <c r="GS429"/>
      <c r="GT429"/>
      <c r="GU429"/>
      <c r="GV429"/>
      <c r="GW429"/>
      <c r="GX429"/>
      <c r="GY429"/>
      <c r="GZ429"/>
      <c r="HA429"/>
      <c r="HB429"/>
      <c r="HC429"/>
      <c r="HD429"/>
      <c r="HE429"/>
      <c r="HF429"/>
      <c r="HG429"/>
      <c r="HH429"/>
      <c r="HI429"/>
      <c r="HJ429"/>
      <c r="HK429"/>
      <c r="HL429"/>
      <c r="HM429"/>
      <c r="HN429"/>
      <c r="HO429"/>
      <c r="HP429"/>
      <c r="HQ429"/>
      <c r="HR429"/>
      <c r="HS429"/>
      <c r="HT429"/>
      <c r="HU429"/>
      <c r="HV429"/>
      <c r="HW429"/>
      <c r="HX429"/>
      <c r="HY429"/>
      <c r="HZ429"/>
      <c r="IA429"/>
      <c r="IB429"/>
      <c r="IC429"/>
      <c r="ID429"/>
      <c r="IE429"/>
      <c r="IF429"/>
      <c r="IG429"/>
      <c r="IH429"/>
      <c r="II429"/>
      <c r="IJ429"/>
      <c r="IK429"/>
      <c r="IL429"/>
      <c r="IM429"/>
      <c r="IN429"/>
      <c r="IO429"/>
      <c r="IP429"/>
      <c r="IQ429"/>
      <c r="IR429"/>
      <c r="IS429"/>
      <c r="IT429"/>
      <c r="IU429"/>
      <c r="IV429"/>
      <c r="IW429"/>
      <c r="IX429"/>
      <c r="IY429"/>
      <c r="IZ429"/>
      <c r="JA429"/>
      <c r="JB429"/>
      <c r="JC429"/>
      <c r="JD429"/>
      <c r="JE429"/>
      <c r="JF429"/>
      <c r="JG429"/>
      <c r="JH429"/>
      <c r="JI429"/>
      <c r="JJ429"/>
      <c r="JK429"/>
      <c r="JL429"/>
      <c r="JM429"/>
      <c r="JN429"/>
      <c r="JO429"/>
      <c r="JP429"/>
      <c r="JQ429"/>
      <c r="JR429"/>
      <c r="JS429"/>
      <c r="JT429"/>
      <c r="JU429"/>
    </row>
    <row r="430" spans="1:281" s="28" customFormat="1" ht="12" hidden="1" customHeight="1" outlineLevel="1" x14ac:dyDescent="0.2">
      <c r="A430" s="342" t="str">
        <f>'Balance Sheet'!A69</f>
        <v>Oct 2022 Notes (2.5%)</v>
      </c>
      <c r="B430" s="414"/>
      <c r="AW430" s="69"/>
      <c r="BC430" s="69"/>
      <c r="BI430" s="69"/>
      <c r="BK430" s="69"/>
      <c r="BL430" s="69"/>
      <c r="BM430" s="69"/>
      <c r="BN430" s="69"/>
      <c r="BO430" s="69"/>
      <c r="BQ430" s="69"/>
      <c r="BR430" s="69"/>
      <c r="BS430" s="69"/>
      <c r="BT430" s="69"/>
      <c r="BU430" s="69"/>
      <c r="BW430" s="69"/>
      <c r="BX430" s="69"/>
      <c r="BY430" s="69"/>
      <c r="BZ430" s="69"/>
      <c r="CA430" s="69"/>
      <c r="CB430" s="134"/>
      <c r="CC430" s="69"/>
      <c r="CD430" s="69"/>
      <c r="CE430" s="69"/>
      <c r="CF430" s="69"/>
      <c r="CG430" s="415"/>
      <c r="CH430" s="134"/>
      <c r="CI430" s="417"/>
      <c r="CJ430" s="81"/>
      <c r="CK430" s="417"/>
      <c r="CL430" s="417"/>
      <c r="CM430" s="416"/>
      <c r="CN430" s="134"/>
      <c r="CO430" s="417"/>
      <c r="CP430" s="417"/>
      <c r="CQ430" s="417"/>
      <c r="CR430" s="417"/>
      <c r="CS430" s="416"/>
      <c r="CT430" s="134"/>
      <c r="CU430" s="417"/>
      <c r="CV430" s="417"/>
      <c r="CW430" s="417"/>
      <c r="CX430" s="417"/>
      <c r="CY430" s="416"/>
      <c r="CZ430" s="134"/>
      <c r="DA430" s="417"/>
      <c r="DB430" s="417"/>
      <c r="DC430" s="417"/>
      <c r="DD430" s="417"/>
      <c r="DE430" s="416"/>
      <c r="DF430" s="134"/>
      <c r="DG430" s="417">
        <f>-('Balance Sheet'!DG69*0.025)/4</f>
        <v>0</v>
      </c>
      <c r="DH430" s="417">
        <f>-('Balance Sheet'!DH69*0.025)/4</f>
        <v>0</v>
      </c>
      <c r="DI430" s="417">
        <f>-('Balance Sheet'!DI69*0.025)/4</f>
        <v>0</v>
      </c>
      <c r="DJ430" s="417">
        <f>-('Balance Sheet'!DJ69*0.025)/4</f>
        <v>0</v>
      </c>
      <c r="DK430" s="168">
        <f t="shared" si="282"/>
        <v>0</v>
      </c>
      <c r="DL430" s="134"/>
      <c r="DM430" s="417">
        <f>-('Balance Sheet'!DM69*0.025)/4</f>
        <v>0</v>
      </c>
      <c r="DN430" s="417">
        <f>-('Balance Sheet'!DN69*0.025)/4</f>
        <v>0</v>
      </c>
      <c r="DO430" s="417">
        <f>-('Balance Sheet'!DO69*0.025)/4</f>
        <v>0</v>
      </c>
      <c r="DP430" s="417">
        <f>-('Balance Sheet'!DP69*0.025)/4</f>
        <v>0</v>
      </c>
      <c r="DQ430" s="168">
        <f t="shared" si="283"/>
        <v>0</v>
      </c>
      <c r="DR430" s="134"/>
      <c r="DS430" s="417">
        <f>-('Balance Sheet'!DS69*0.025)/4</f>
        <v>0</v>
      </c>
      <c r="DT430" s="417">
        <f>-('Balance Sheet'!DT69*0.025)/4</f>
        <v>-15.625</v>
      </c>
      <c r="DU430" s="417">
        <f>-('Balance Sheet'!DU69*0.025)/4</f>
        <v>-15.625</v>
      </c>
      <c r="DV430" s="417">
        <f>-('Balance Sheet'!DV69*0.025)/4</f>
        <v>-15.625</v>
      </c>
      <c r="DW430" s="168">
        <f t="shared" si="284"/>
        <v>-46.875</v>
      </c>
      <c r="DX430" s="134"/>
      <c r="DY430" s="417">
        <f>-('Balance Sheet'!DY69*0.025)/4</f>
        <v>-15.625</v>
      </c>
      <c r="DZ430" s="417">
        <f>-('Balance Sheet'!DZ69*0.025)/4</f>
        <v>-15.625</v>
      </c>
      <c r="EA430" s="417">
        <f>-('Balance Sheet'!EA69*0.025)/4</f>
        <v>-15.625</v>
      </c>
      <c r="EB430" s="417">
        <f>-('Balance Sheet'!EB69*0.025)/4</f>
        <v>-15.625</v>
      </c>
      <c r="EC430" s="168">
        <f t="shared" si="285"/>
        <v>-62.5</v>
      </c>
      <c r="ED430" s="134"/>
      <c r="EE430" s="417">
        <f>-('Balance Sheet'!EE69*0.025)/4</f>
        <v>-15.625</v>
      </c>
      <c r="EF430" s="417">
        <f>-('Balance Sheet'!EF69*0.025)/4</f>
        <v>-15.625</v>
      </c>
      <c r="EG430" s="417">
        <f>-('Balance Sheet'!EG69*0.025)/4</f>
        <v>-15.625</v>
      </c>
      <c r="EH430" s="417">
        <f>-('Balance Sheet'!EH69*0.025)/4</f>
        <v>-15.625</v>
      </c>
      <c r="EI430" s="168">
        <f t="shared" si="286"/>
        <v>-62.5</v>
      </c>
      <c r="EJ430" s="134"/>
      <c r="EK430" s="417">
        <f>-('Balance Sheet'!EK69*0.025)/4</f>
        <v>-15.625</v>
      </c>
      <c r="EL430" s="417">
        <f>-('Balance Sheet'!EL69*0.025)/4</f>
        <v>-15.625</v>
      </c>
      <c r="EM430" s="417">
        <f>-('Balance Sheet'!EM69*0.025)/4</f>
        <v>-15.625</v>
      </c>
      <c r="EN430" s="417">
        <f>-('Balance Sheet'!EN69*0.025)/4</f>
        <v>-15.625</v>
      </c>
      <c r="EO430" s="168">
        <f t="shared" si="287"/>
        <v>-62.5</v>
      </c>
      <c r="EP430" s="134"/>
      <c r="EQ430" s="417">
        <f>-('Balance Sheet'!EQ69*0.025)/4</f>
        <v>-15.625</v>
      </c>
      <c r="ER430" s="417">
        <f>-('Balance Sheet'!ER69*0.025)/4</f>
        <v>-15.625</v>
      </c>
      <c r="ES430" s="417">
        <f>-('Balance Sheet'!ES69*0.025)/4</f>
        <v>-15.625</v>
      </c>
      <c r="ET430" s="417">
        <f>-('Balance Sheet'!ET69*0.025)/4</f>
        <v>-15.625</v>
      </c>
      <c r="EU430" s="168">
        <f t="shared" si="288"/>
        <v>-62.5</v>
      </c>
      <c r="EV430" s="134"/>
      <c r="EW430" s="417">
        <f>-('Balance Sheet'!EW69*0.025)/4</f>
        <v>-15.625</v>
      </c>
      <c r="EX430" s="417">
        <f>-('Balance Sheet'!EX69*0.025)/4</f>
        <v>-15.625</v>
      </c>
      <c r="EY430" s="417">
        <f>-('Balance Sheet'!EY69*0.025)/4</f>
        <v>-15.625</v>
      </c>
      <c r="EZ430" s="417">
        <f>-('Balance Sheet'!EZ69*0.025)/4</f>
        <v>-15.625</v>
      </c>
      <c r="FA430" s="168">
        <f t="shared" si="289"/>
        <v>-62.5</v>
      </c>
      <c r="FB430" s="134"/>
      <c r="FC430" s="417">
        <f>-('Balance Sheet'!FC69*0.025)/4</f>
        <v>-15.625</v>
      </c>
      <c r="FD430" s="417">
        <f>-('Balance Sheet'!FD69*0.025)/4</f>
        <v>-15.625</v>
      </c>
      <c r="FE430" s="417">
        <f>-('Balance Sheet'!FE69*0.025)/4</f>
        <v>-15.625</v>
      </c>
      <c r="FF430" s="417">
        <f>-('Balance Sheet'!FF69*0.025)/4</f>
        <v>-15.625</v>
      </c>
      <c r="FG430" s="168">
        <f t="shared" si="292"/>
        <v>-62.5</v>
      </c>
      <c r="FH430" s="134"/>
      <c r="FI430" s="417">
        <f>-('Balance Sheet'!FI69*0.025)/4</f>
        <v>-15.625</v>
      </c>
      <c r="FJ430" s="417">
        <f>-('Balance Sheet'!FJ69*0.025)/4</f>
        <v>-15.625</v>
      </c>
      <c r="FK430" s="417">
        <f>-('Balance Sheet'!FK69*0.025)/4</f>
        <v>-15.625</v>
      </c>
      <c r="FL430" s="417">
        <f>-('Balance Sheet'!FL69*0.025)/4</f>
        <v>-15.625</v>
      </c>
      <c r="FM430" s="168">
        <f t="shared" si="293"/>
        <v>-62.5</v>
      </c>
      <c r="FN430" s="27"/>
      <c r="FO430" s="27"/>
      <c r="FP430" s="27"/>
      <c r="FQ430" s="27"/>
      <c r="FR430" s="27"/>
      <c r="FS430" s="27"/>
      <c r="FT430" s="27"/>
      <c r="FU430" s="27"/>
      <c r="FV430" s="27"/>
      <c r="FW430" s="27"/>
      <c r="FX430" s="27"/>
      <c r="FY430" s="27"/>
      <c r="FZ430" s="27"/>
      <c r="GA430" s="27"/>
      <c r="GB430" s="27"/>
      <c r="GC430" s="27"/>
      <c r="GD430" s="27"/>
      <c r="GE430" s="27"/>
      <c r="GF430" s="27"/>
      <c r="GG430" s="27"/>
      <c r="GH430" s="27"/>
      <c r="GI430"/>
      <c r="GJ430"/>
      <c r="GK430"/>
      <c r="GL430"/>
      <c r="GM430"/>
      <c r="GN430"/>
      <c r="GO430" s="27"/>
      <c r="GP430"/>
      <c r="GQ430"/>
      <c r="GR430"/>
      <c r="GS430"/>
      <c r="GT430"/>
      <c r="GU430"/>
      <c r="GV430"/>
      <c r="GW430"/>
      <c r="GX430"/>
      <c r="GY430"/>
      <c r="GZ430"/>
      <c r="HA430"/>
      <c r="HB430"/>
      <c r="HC430"/>
      <c r="HD430"/>
      <c r="HE430"/>
      <c r="HF430"/>
      <c r="HG430"/>
      <c r="HH430"/>
      <c r="HI430"/>
      <c r="HJ430"/>
      <c r="HK430"/>
      <c r="HL430"/>
      <c r="HM430"/>
      <c r="HN430"/>
      <c r="HO430"/>
      <c r="HP430"/>
      <c r="HQ430"/>
      <c r="HR430"/>
      <c r="HS430"/>
      <c r="HT430"/>
      <c r="HU430"/>
      <c r="HV430"/>
      <c r="HW430"/>
      <c r="HX430"/>
      <c r="HY430"/>
      <c r="HZ430"/>
      <c r="IA430"/>
      <c r="IB430"/>
      <c r="IC430"/>
      <c r="ID430"/>
      <c r="IE430"/>
      <c r="IF430"/>
      <c r="IG430"/>
      <c r="IH430"/>
      <c r="II430"/>
      <c r="IJ430"/>
      <c r="IK430"/>
      <c r="IL430"/>
      <c r="IM430"/>
      <c r="IN430"/>
      <c r="IO430"/>
      <c r="IP430"/>
      <c r="IQ430"/>
      <c r="IR430"/>
      <c r="IS430"/>
      <c r="IT430"/>
      <c r="IU430"/>
      <c r="IV430"/>
      <c r="IW430"/>
      <c r="IX430"/>
      <c r="IY430"/>
      <c r="IZ430"/>
      <c r="JA430"/>
      <c r="JB430"/>
      <c r="JC430"/>
      <c r="JD430"/>
      <c r="JE430"/>
      <c r="JF430"/>
      <c r="JG430"/>
      <c r="JH430"/>
      <c r="JI430"/>
      <c r="JJ430"/>
      <c r="JK430"/>
      <c r="JL430"/>
      <c r="JM430"/>
      <c r="JN430"/>
      <c r="JO430"/>
      <c r="JP430"/>
      <c r="JQ430"/>
      <c r="JR430"/>
      <c r="JS430"/>
      <c r="JT430"/>
      <c r="JU430"/>
    </row>
    <row r="431" spans="1:281" s="28" customFormat="1" ht="12" hidden="1" customHeight="1" outlineLevel="1" x14ac:dyDescent="0.2">
      <c r="A431" s="342" t="str">
        <f>'Balance Sheet'!A70</f>
        <v>Feb 2023 Notes (2.625%)</v>
      </c>
      <c r="B431" s="414"/>
      <c r="AW431" s="69"/>
      <c r="BC431" s="69"/>
      <c r="BI431" s="69"/>
      <c r="BK431" s="69"/>
      <c r="BL431" s="69"/>
      <c r="BM431" s="69"/>
      <c r="BN431" s="69"/>
      <c r="BO431" s="69"/>
      <c r="BQ431" s="69"/>
      <c r="BR431" s="69"/>
      <c r="BS431" s="69"/>
      <c r="BT431" s="69"/>
      <c r="BU431" s="69"/>
      <c r="BW431" s="69"/>
      <c r="BX431" s="69"/>
      <c r="BY431" s="69"/>
      <c r="BZ431" s="69"/>
      <c r="CA431" s="69"/>
      <c r="CB431" s="134"/>
      <c r="CC431" s="69"/>
      <c r="CD431" s="69"/>
      <c r="CE431" s="69"/>
      <c r="CF431" s="69"/>
      <c r="CG431" s="415"/>
      <c r="CH431" s="134"/>
      <c r="CI431" s="417"/>
      <c r="CJ431" s="81"/>
      <c r="CK431" s="417"/>
      <c r="CL431" s="417"/>
      <c r="CM431" s="416"/>
      <c r="CN431" s="134"/>
      <c r="CO431" s="417"/>
      <c r="CP431" s="417"/>
      <c r="CQ431" s="417"/>
      <c r="CR431" s="417"/>
      <c r="CS431" s="416"/>
      <c r="CT431" s="134"/>
      <c r="CU431" s="417"/>
      <c r="CV431" s="417"/>
      <c r="CW431" s="417"/>
      <c r="CX431" s="417"/>
      <c r="CY431" s="416"/>
      <c r="CZ431" s="134"/>
      <c r="DA431" s="417"/>
      <c r="DB431" s="417"/>
      <c r="DC431" s="417"/>
      <c r="DD431" s="417"/>
      <c r="DE431" s="416"/>
      <c r="DF431" s="134"/>
      <c r="DG431" s="417"/>
      <c r="DH431" s="417"/>
      <c r="DI431" s="417"/>
      <c r="DJ431" s="417"/>
      <c r="DK431" s="168"/>
      <c r="DL431" s="134"/>
      <c r="DM431" s="417"/>
      <c r="DN431" s="417"/>
      <c r="DO431" s="417"/>
      <c r="DP431" s="417"/>
      <c r="DQ431" s="168"/>
      <c r="DR431" s="134"/>
      <c r="DS431" s="417"/>
      <c r="DT431" s="417"/>
      <c r="DU431" s="417"/>
      <c r="DV431" s="417"/>
      <c r="DW431" s="168"/>
      <c r="DX431" s="134"/>
      <c r="DY431" s="417"/>
      <c r="DZ431" s="417"/>
      <c r="EA431" s="417"/>
      <c r="EB431" s="417"/>
      <c r="EC431" s="168"/>
      <c r="ED431" s="134"/>
      <c r="EE431" s="417"/>
      <c r="EF431" s="417"/>
      <c r="EG431" s="417"/>
      <c r="EH431" s="417"/>
      <c r="EI431" s="168"/>
      <c r="EJ431" s="134"/>
      <c r="EK431" s="417"/>
      <c r="EL431" s="417"/>
      <c r="EM431" s="417"/>
      <c r="EN431" s="417"/>
      <c r="EO431" s="168"/>
      <c r="EP431" s="134"/>
      <c r="EQ431" s="417"/>
      <c r="ER431" s="417"/>
      <c r="ES431" s="417"/>
      <c r="ET431" s="417"/>
      <c r="EU431" s="168"/>
      <c r="EV431" s="134"/>
      <c r="EW431" s="417">
        <f>-('Balance Sheet'!EW70*0.02625)/4</f>
        <v>0</v>
      </c>
      <c r="EX431" s="417">
        <f>-('Balance Sheet'!EX70*0.02625)/4</f>
        <v>-8.203125</v>
      </c>
      <c r="EY431" s="417">
        <f>-('Balance Sheet'!EY70*0.02625)/4</f>
        <v>-8.203125</v>
      </c>
      <c r="EZ431" s="417">
        <f>-('Balance Sheet'!EZ70*0.02625)/4</f>
        <v>-8.203125</v>
      </c>
      <c r="FA431" s="168">
        <f t="shared" ref="FA431" si="294">SUM(EW431:EZ431)</f>
        <v>-24.609375</v>
      </c>
      <c r="FB431" s="134"/>
      <c r="FC431" s="417">
        <f>-('Balance Sheet'!FC70*0.02625)/4</f>
        <v>-8.203125</v>
      </c>
      <c r="FD431" s="417">
        <f>-('Balance Sheet'!FD70*0.02625)/4</f>
        <v>-8.203125</v>
      </c>
      <c r="FE431" s="417">
        <f>-('Balance Sheet'!FE70*0.02625)/4</f>
        <v>-8.203125</v>
      </c>
      <c r="FF431" s="417">
        <f>-('Balance Sheet'!FF70*0.02625)/4</f>
        <v>-8.203125</v>
      </c>
      <c r="FG431" s="168">
        <f t="shared" ref="FG431" si="295">SUM(FC431:FF431)</f>
        <v>-32.8125</v>
      </c>
      <c r="FH431" s="134"/>
      <c r="FI431" s="417">
        <f>-('Balance Sheet'!FI70*0.02625)/4</f>
        <v>-8.203125</v>
      </c>
      <c r="FJ431" s="417">
        <f>-('Balance Sheet'!FJ70*0.02625)/4</f>
        <v>-8.203125</v>
      </c>
      <c r="FK431" s="417">
        <f>-('Balance Sheet'!FK70*0.02625)/4</f>
        <v>-8.203125</v>
      </c>
      <c r="FL431" s="417">
        <f>-('Balance Sheet'!FL70*0.02625)/4</f>
        <v>-8.203125</v>
      </c>
      <c r="FM431" s="168">
        <f t="shared" ref="FM431" si="296">SUM(FI431:FL431)</f>
        <v>-32.8125</v>
      </c>
      <c r="FN431" s="27"/>
      <c r="FO431" s="27"/>
      <c r="FP431" s="27"/>
      <c r="FQ431" s="27"/>
      <c r="FR431" s="27"/>
      <c r="FS431" s="27"/>
      <c r="FT431" s="27"/>
      <c r="FU431" s="27"/>
      <c r="FV431" s="27"/>
      <c r="FW431" s="27"/>
      <c r="FX431" s="27"/>
      <c r="FY431" s="27"/>
      <c r="FZ431" s="27"/>
      <c r="GA431" s="27"/>
      <c r="GB431" s="27"/>
      <c r="GC431" s="27"/>
      <c r="GD431" s="27"/>
      <c r="GE431" s="27"/>
      <c r="GF431" s="27"/>
      <c r="GG431" s="27"/>
      <c r="GH431" s="27"/>
      <c r="GI431"/>
      <c r="GJ431"/>
      <c r="GK431"/>
      <c r="GL431"/>
      <c r="GM431"/>
      <c r="GN431"/>
      <c r="GO431" s="27"/>
      <c r="GP431"/>
      <c r="GQ431"/>
      <c r="GR431"/>
      <c r="GS431"/>
      <c r="GT431"/>
      <c r="GU431"/>
      <c r="GV431"/>
      <c r="GW431"/>
      <c r="GX431"/>
      <c r="GY431"/>
      <c r="GZ431"/>
      <c r="HA431"/>
      <c r="HB431"/>
      <c r="HC431"/>
      <c r="HD431"/>
      <c r="HE431"/>
      <c r="HF431"/>
      <c r="HG431"/>
      <c r="HH431"/>
      <c r="HI431"/>
      <c r="HJ431"/>
      <c r="HK431"/>
      <c r="HL431"/>
      <c r="HM431"/>
      <c r="HN431"/>
      <c r="HO431"/>
      <c r="HP431"/>
      <c r="HQ431"/>
      <c r="HR431"/>
      <c r="HS431"/>
      <c r="HT431"/>
      <c r="HU431"/>
      <c r="HV431"/>
      <c r="HW431"/>
      <c r="HX431"/>
      <c r="HY431"/>
      <c r="HZ431"/>
      <c r="IA431"/>
      <c r="IB431"/>
      <c r="IC431"/>
      <c r="ID431"/>
      <c r="IE431"/>
      <c r="IF431"/>
      <c r="IG431"/>
      <c r="IH431"/>
      <c r="II431"/>
      <c r="IJ431"/>
      <c r="IK431"/>
      <c r="IL431"/>
      <c r="IM431"/>
      <c r="IN431"/>
      <c r="IO431"/>
      <c r="IP431"/>
      <c r="IQ431"/>
      <c r="IR431"/>
      <c r="IS431"/>
      <c r="IT431"/>
      <c r="IU431"/>
      <c r="IV431"/>
      <c r="IW431"/>
      <c r="IX431"/>
      <c r="IY431"/>
      <c r="IZ431"/>
      <c r="JA431"/>
      <c r="JB431"/>
      <c r="JC431"/>
      <c r="JD431"/>
      <c r="JE431"/>
      <c r="JF431"/>
      <c r="JG431"/>
      <c r="JH431"/>
      <c r="JI431"/>
      <c r="JJ431"/>
      <c r="JK431"/>
      <c r="JL431"/>
      <c r="JM431"/>
      <c r="JN431"/>
      <c r="JO431"/>
      <c r="JP431"/>
      <c r="JQ431"/>
      <c r="JR431"/>
      <c r="JS431"/>
      <c r="JT431"/>
      <c r="JU431"/>
    </row>
    <row r="432" spans="1:281" s="28" customFormat="1" ht="12" hidden="1" customHeight="1" outlineLevel="1" x14ac:dyDescent="0.2">
      <c r="A432" s="342" t="str">
        <f>'Balance Sheet'!A71</f>
        <v>July 2023 Notes (3.625%)</v>
      </c>
      <c r="B432" s="414"/>
      <c r="AW432" s="69"/>
      <c r="BC432" s="69"/>
      <c r="BI432" s="69"/>
      <c r="BK432" s="69"/>
      <c r="BL432" s="69"/>
      <c r="BM432" s="69"/>
      <c r="BN432" s="69"/>
      <c r="BO432" s="69"/>
      <c r="BQ432" s="69"/>
      <c r="BR432" s="69"/>
      <c r="BS432" s="69"/>
      <c r="BT432" s="69"/>
      <c r="BU432" s="69"/>
      <c r="BW432" s="69"/>
      <c r="BX432" s="69"/>
      <c r="BY432" s="69"/>
      <c r="BZ432" s="69"/>
      <c r="CA432" s="69"/>
      <c r="CB432" s="134"/>
      <c r="CC432" s="69"/>
      <c r="CD432" s="69"/>
      <c r="CE432" s="69"/>
      <c r="CF432" s="69"/>
      <c r="CG432" s="415"/>
      <c r="CH432" s="134"/>
      <c r="CI432" s="417"/>
      <c r="CJ432" s="81"/>
      <c r="CK432" s="417"/>
      <c r="CL432" s="417"/>
      <c r="CM432" s="416"/>
      <c r="CN432" s="134"/>
      <c r="CO432" s="417"/>
      <c r="CP432" s="417"/>
      <c r="CQ432" s="417"/>
      <c r="CR432" s="417"/>
      <c r="CS432" s="416"/>
      <c r="CT432" s="134"/>
      <c r="CU432" s="417"/>
      <c r="CV432" s="417"/>
      <c r="CW432" s="417"/>
      <c r="CX432" s="417"/>
      <c r="CY432" s="416"/>
      <c r="CZ432" s="134"/>
      <c r="DA432" s="417"/>
      <c r="DB432" s="417"/>
      <c r="DC432" s="417"/>
      <c r="DD432" s="417"/>
      <c r="DE432" s="416"/>
      <c r="DF432" s="134"/>
      <c r="DG432" s="417">
        <f>-('Balance Sheet'!DG71*0.03625)/4</f>
        <v>0</v>
      </c>
      <c r="DH432" s="417">
        <f>-('Balance Sheet'!DH71*0.03625)/4</f>
        <v>0</v>
      </c>
      <c r="DI432" s="417">
        <f>-('Balance Sheet'!DI71*0.03625)/4</f>
        <v>0</v>
      </c>
      <c r="DJ432" s="417">
        <f>-('Balance Sheet'!DJ71*0.03625)/4</f>
        <v>0</v>
      </c>
      <c r="DK432" s="168">
        <f>SUM(DG432:DJ432)</f>
        <v>0</v>
      </c>
      <c r="DL432" s="134"/>
      <c r="DM432" s="417">
        <f>-('Balance Sheet'!DM71*0.03625)/4</f>
        <v>0</v>
      </c>
      <c r="DN432" s="417">
        <f>-('Balance Sheet'!DN71*0.03625)/4</f>
        <v>0</v>
      </c>
      <c r="DO432" s="417">
        <f>-('Balance Sheet'!DO71*0.03625)/4</f>
        <v>0</v>
      </c>
      <c r="DP432" s="417">
        <f>-('Balance Sheet'!DP71*0.03625)/4</f>
        <v>0</v>
      </c>
      <c r="DQ432" s="168">
        <f>SUM(DM432:DP432)</f>
        <v>0</v>
      </c>
      <c r="DR432" s="134"/>
      <c r="DS432" s="417">
        <f>-('Balance Sheet'!DS71*0.03625)/4</f>
        <v>0</v>
      </c>
      <c r="DT432" s="417">
        <f>-('Balance Sheet'!DT71*0.03625)/4</f>
        <v>0</v>
      </c>
      <c r="DU432" s="417">
        <f>-('Balance Sheet'!DU71*0.03625)/4</f>
        <v>0</v>
      </c>
      <c r="DV432" s="417">
        <f>-('Balance Sheet'!DV71*0.03625)/4</f>
        <v>0</v>
      </c>
      <c r="DW432" s="168">
        <f>SUM(DS432:DV432)</f>
        <v>0</v>
      </c>
      <c r="DX432" s="134"/>
      <c r="DY432" s="417">
        <f>-('Balance Sheet'!DY71*0.03625)/4</f>
        <v>-9.0625</v>
      </c>
      <c r="DZ432" s="417">
        <f>-('Balance Sheet'!DZ71*0.03625)/4</f>
        <v>-9.0625</v>
      </c>
      <c r="EA432" s="417">
        <f>-('Balance Sheet'!EA71*0.03625)/4</f>
        <v>-9.0625</v>
      </c>
      <c r="EB432" s="417">
        <f>-('Balance Sheet'!EB71*0.03625)/4</f>
        <v>-9.0625</v>
      </c>
      <c r="EC432" s="168">
        <f>SUM(DY432:EB432)</f>
        <v>-36.25</v>
      </c>
      <c r="ED432" s="134"/>
      <c r="EE432" s="417">
        <f>-('Balance Sheet'!EE71*0.03625)/4</f>
        <v>-9.0625</v>
      </c>
      <c r="EF432" s="417">
        <f>-('Balance Sheet'!EF71*0.03625)/4</f>
        <v>-9.0625</v>
      </c>
      <c r="EG432" s="417">
        <f>-('Balance Sheet'!EG71*0.03625)/4</f>
        <v>-9.0625</v>
      </c>
      <c r="EH432" s="417">
        <f>-('Balance Sheet'!EH71*0.03625)/4</f>
        <v>-9.0625</v>
      </c>
      <c r="EI432" s="168">
        <f>SUM(EE432:EH432)</f>
        <v>-36.25</v>
      </c>
      <c r="EJ432" s="134"/>
      <c r="EK432" s="417">
        <f>-('Balance Sheet'!EK71*0.03625)/4</f>
        <v>-9.0625</v>
      </c>
      <c r="EL432" s="417">
        <f>-('Balance Sheet'!EL71*0.03625)/4</f>
        <v>-9.0625</v>
      </c>
      <c r="EM432" s="417">
        <f>-('Balance Sheet'!EM71*0.03625)/4</f>
        <v>-9.0625</v>
      </c>
      <c r="EN432" s="417">
        <f>-('Balance Sheet'!EN71*0.03625)/4</f>
        <v>-9.0625</v>
      </c>
      <c r="EO432" s="168">
        <f>SUM(EK432:EN432)</f>
        <v>-36.25</v>
      </c>
      <c r="EP432" s="134"/>
      <c r="EQ432" s="417">
        <f>-('Balance Sheet'!EQ71*0.03625)/4</f>
        <v>-9.0625</v>
      </c>
      <c r="ER432" s="417">
        <f>-('Balance Sheet'!ER71*0.03625)/4</f>
        <v>-9.0625</v>
      </c>
      <c r="ES432" s="417">
        <f>-('Balance Sheet'!ES71*0.03625)/4</f>
        <v>-9.0625</v>
      </c>
      <c r="ET432" s="417">
        <f>-('Balance Sheet'!ET71*0.03625)/4</f>
        <v>-9.0625</v>
      </c>
      <c r="EU432" s="168">
        <f>SUM(EQ432:ET432)</f>
        <v>-36.25</v>
      </c>
      <c r="EV432" s="134"/>
      <c r="EW432" s="417">
        <f>-('Balance Sheet'!EW71*0.03625)/4</f>
        <v>-9.0625</v>
      </c>
      <c r="EX432" s="417">
        <f>-('Balance Sheet'!EX71*0.03625)/4</f>
        <v>-9.0625</v>
      </c>
      <c r="EY432" s="417">
        <f>-('Balance Sheet'!EY71*0.03625)/4</f>
        <v>-9.0625</v>
      </c>
      <c r="EZ432" s="417">
        <f>-('Balance Sheet'!EZ71*0.03625)/4</f>
        <v>-9.0625</v>
      </c>
      <c r="FA432" s="168">
        <f>SUM(EW432:EZ432)</f>
        <v>-36.25</v>
      </c>
      <c r="FB432" s="134"/>
      <c r="FC432" s="417">
        <f>-('Balance Sheet'!FC71*0.03625)/4</f>
        <v>-9.0625</v>
      </c>
      <c r="FD432" s="417">
        <f>-('Balance Sheet'!FD71*0.03625)/4</f>
        <v>-9.0625</v>
      </c>
      <c r="FE432" s="417">
        <f>-('Balance Sheet'!FE71*0.03625)/4</f>
        <v>-9.0625</v>
      </c>
      <c r="FF432" s="417">
        <f>-('Balance Sheet'!FF71*0.03625)/4</f>
        <v>-9.0625</v>
      </c>
      <c r="FG432" s="168">
        <f t="shared" si="292"/>
        <v>-36.25</v>
      </c>
      <c r="FH432" s="134"/>
      <c r="FI432" s="417">
        <f>-('Balance Sheet'!FI71*0.03625)/4</f>
        <v>-9.0625</v>
      </c>
      <c r="FJ432" s="417">
        <f>-('Balance Sheet'!FJ71*0.03625)/4</f>
        <v>-9.0625</v>
      </c>
      <c r="FK432" s="417">
        <f>-('Balance Sheet'!FK71*0.03625)/4</f>
        <v>-9.0625</v>
      </c>
      <c r="FL432" s="417">
        <f>-('Balance Sheet'!FL71*0.03625)/4</f>
        <v>-9.0625</v>
      </c>
      <c r="FM432" s="168">
        <f t="shared" si="293"/>
        <v>-36.25</v>
      </c>
      <c r="FN432" s="27"/>
      <c r="FO432" s="27"/>
      <c r="FP432" s="27"/>
      <c r="FQ432" s="27"/>
      <c r="FR432" s="27"/>
      <c r="FS432" s="27"/>
      <c r="FT432" s="27"/>
      <c r="FU432" s="27"/>
      <c r="FV432" s="27"/>
      <c r="FW432" s="27"/>
      <c r="FX432" s="27"/>
      <c r="FY432" s="27"/>
      <c r="FZ432" s="27"/>
      <c r="GA432" s="27"/>
      <c r="GB432" s="27"/>
      <c r="GC432" s="27"/>
      <c r="GD432" s="27"/>
      <c r="GE432" s="27"/>
      <c r="GF432" s="27"/>
      <c r="GG432" s="27"/>
      <c r="GH432" s="27"/>
      <c r="GI432"/>
      <c r="GJ432"/>
      <c r="GK432"/>
      <c r="GL432"/>
      <c r="GM432"/>
      <c r="GN432"/>
      <c r="GO432" s="27"/>
      <c r="GP432"/>
      <c r="GQ432"/>
      <c r="GR432"/>
      <c r="GS432"/>
      <c r="GT432"/>
      <c r="GU432"/>
      <c r="GV432"/>
      <c r="GW432"/>
      <c r="GX432"/>
      <c r="GY432"/>
      <c r="GZ432"/>
      <c r="HA432"/>
      <c r="HB432"/>
      <c r="HC432"/>
      <c r="HD432"/>
      <c r="HE432"/>
      <c r="HF432"/>
      <c r="HG432"/>
      <c r="HH432"/>
      <c r="HI432"/>
      <c r="HJ432"/>
      <c r="HK432"/>
      <c r="HL432"/>
      <c r="HM432"/>
      <c r="HN432"/>
      <c r="HO432"/>
      <c r="HP432"/>
      <c r="HQ432"/>
      <c r="HR432"/>
      <c r="HS432"/>
      <c r="HT432"/>
      <c r="HU432"/>
      <c r="HV432"/>
      <c r="HW432"/>
      <c r="HX432"/>
      <c r="HY432"/>
      <c r="HZ432"/>
      <c r="IA432"/>
      <c r="IB432"/>
      <c r="IC432"/>
      <c r="ID432"/>
      <c r="IE432"/>
      <c r="IF432"/>
      <c r="IG432"/>
      <c r="IH432"/>
      <c r="II432"/>
      <c r="IJ432"/>
      <c r="IK432"/>
      <c r="IL432"/>
      <c r="IM432"/>
      <c r="IN432"/>
      <c r="IO432"/>
      <c r="IP432"/>
      <c r="IQ432"/>
      <c r="IR432"/>
      <c r="IS432"/>
      <c r="IT432"/>
      <c r="IU432"/>
      <c r="IV432"/>
      <c r="IW432"/>
      <c r="IX432"/>
      <c r="IY432"/>
      <c r="IZ432"/>
      <c r="JA432"/>
      <c r="JB432"/>
      <c r="JC432"/>
      <c r="JD432"/>
      <c r="JE432"/>
      <c r="JF432"/>
      <c r="JG432"/>
      <c r="JH432"/>
      <c r="JI432"/>
      <c r="JJ432"/>
      <c r="JK432"/>
      <c r="JL432"/>
      <c r="JM432"/>
      <c r="JN432"/>
      <c r="JO432"/>
      <c r="JP432"/>
      <c r="JQ432"/>
      <c r="JR432"/>
      <c r="JS432"/>
      <c r="JT432"/>
      <c r="JU432"/>
    </row>
    <row r="433" spans="1:281" s="28" customFormat="1" ht="12" hidden="1" customHeight="1" outlineLevel="1" x14ac:dyDescent="0.2">
      <c r="A433" s="342" t="str">
        <f>'Balance Sheet'!A72</f>
        <v>Sep 2023 Notes (2.40%)</v>
      </c>
      <c r="B433" s="414"/>
      <c r="AW433" s="69"/>
      <c r="BC433" s="69"/>
      <c r="BI433" s="69"/>
      <c r="BK433" s="69"/>
      <c r="BL433" s="69"/>
      <c r="BM433" s="69"/>
      <c r="BN433" s="69"/>
      <c r="BO433" s="69"/>
      <c r="BQ433" s="69"/>
      <c r="BR433" s="69"/>
      <c r="BS433" s="69"/>
      <c r="BT433" s="69"/>
      <c r="BU433" s="69"/>
      <c r="BW433" s="69"/>
      <c r="BX433" s="69"/>
      <c r="BY433" s="69"/>
      <c r="BZ433" s="69"/>
      <c r="CA433" s="69"/>
      <c r="CB433" s="134"/>
      <c r="CC433" s="69"/>
      <c r="CD433" s="69"/>
      <c r="CE433" s="69"/>
      <c r="CF433" s="69"/>
      <c r="CG433" s="415"/>
      <c r="CH433" s="134"/>
      <c r="CI433" s="417"/>
      <c r="CJ433" s="81"/>
      <c r="CK433" s="417"/>
      <c r="CL433" s="417"/>
      <c r="CM433" s="416"/>
      <c r="CN433" s="134"/>
      <c r="CO433" s="417"/>
      <c r="CP433" s="417"/>
      <c r="CQ433" s="417"/>
      <c r="CR433" s="417"/>
      <c r="CS433" s="416"/>
      <c r="CT433" s="134"/>
      <c r="CU433" s="417"/>
      <c r="CV433" s="417"/>
      <c r="CW433" s="417"/>
      <c r="CX433" s="417"/>
      <c r="CY433" s="416"/>
      <c r="CZ433" s="134"/>
      <c r="DA433" s="417"/>
      <c r="DB433" s="417"/>
      <c r="DC433" s="417"/>
      <c r="DD433" s="417"/>
      <c r="DE433" s="416"/>
      <c r="DF433" s="134"/>
      <c r="DG433" s="417">
        <f>-('Balance Sheet'!DG72*0.03625)/4</f>
        <v>0</v>
      </c>
      <c r="DH433" s="417">
        <f>-('Balance Sheet'!DH72*0.03625)/4</f>
        <v>0</v>
      </c>
      <c r="DI433" s="417">
        <f>-('Balance Sheet'!DI72*0.03625)/4</f>
        <v>0</v>
      </c>
      <c r="DJ433" s="417">
        <f>-('Balance Sheet'!DJ72*0.03625)/4</f>
        <v>0</v>
      </c>
      <c r="DK433" s="168">
        <f>SUM(DG433:DJ433)</f>
        <v>0</v>
      </c>
      <c r="DL433" s="134"/>
      <c r="DM433" s="417">
        <f>-('Balance Sheet'!DM72*0.03625)/4</f>
        <v>0</v>
      </c>
      <c r="DN433" s="417">
        <f>-('Balance Sheet'!DN72*0.03625)/4</f>
        <v>0</v>
      </c>
      <c r="DO433" s="417">
        <f>-('Balance Sheet'!DO72*0.03625)/4</f>
        <v>0</v>
      </c>
      <c r="DP433" s="417">
        <f>-('Balance Sheet'!DP72*0.03625)/4</f>
        <v>0</v>
      </c>
      <c r="DQ433" s="168">
        <f>SUM(DM433:DP433)</f>
        <v>0</v>
      </c>
      <c r="DR433" s="134"/>
      <c r="DS433" s="417">
        <f>-('Balance Sheet'!DS72*0.024)/4</f>
        <v>0</v>
      </c>
      <c r="DT433" s="417">
        <f>-('Balance Sheet'!DT72*0.024)/4</f>
        <v>0</v>
      </c>
      <c r="DU433" s="417">
        <f>-('Balance Sheet'!DU72*0.024)/4</f>
        <v>0</v>
      </c>
      <c r="DV433" s="417">
        <f>-('Balance Sheet'!DV72*0.024)/4</f>
        <v>0</v>
      </c>
      <c r="DW433" s="168">
        <f>SUM(DS433:DV433)</f>
        <v>0</v>
      </c>
      <c r="DX433" s="134"/>
      <c r="DY433" s="417">
        <f>-('Balance Sheet'!DY72*0.024)/4</f>
        <v>0</v>
      </c>
      <c r="DZ433" s="417">
        <f>-('Balance Sheet'!DZ72*0.024)/4</f>
        <v>0</v>
      </c>
      <c r="EA433" s="417">
        <f>-('Balance Sheet'!EA72*0.024)/4</f>
        <v>0</v>
      </c>
      <c r="EB433" s="417">
        <f>-('Balance Sheet'!EB72*0.024)/4</f>
        <v>0</v>
      </c>
      <c r="EC433" s="168">
        <f>SUM(DY433:EB433)</f>
        <v>0</v>
      </c>
      <c r="ED433" s="134"/>
      <c r="EE433" s="417">
        <f>-('Balance Sheet'!EE72*0.024)/4</f>
        <v>0</v>
      </c>
      <c r="EF433" s="417">
        <f>-('Balance Sheet'!EF72*0.024)/4</f>
        <v>0</v>
      </c>
      <c r="EG433" s="417">
        <f>-('Balance Sheet'!EG72*0.024)/4</f>
        <v>0</v>
      </c>
      <c r="EH433" s="417">
        <f>-('Balance Sheet'!EH72*0.024)/4</f>
        <v>0</v>
      </c>
      <c r="EI433" s="168">
        <f>SUM(EE433:EH433)</f>
        <v>0</v>
      </c>
      <c r="EJ433" s="134"/>
      <c r="EK433" s="417">
        <f>-('Balance Sheet'!EK72*0.024)/4</f>
        <v>0</v>
      </c>
      <c r="EL433" s="417">
        <f>-('Balance Sheet'!EL72*0.024)/4</f>
        <v>0</v>
      </c>
      <c r="EM433" s="417">
        <f>-('Balance Sheet'!EM72*0.024)/4</f>
        <v>0</v>
      </c>
      <c r="EN433" s="417">
        <f>-('Balance Sheet'!EN72*0.024)/4</f>
        <v>0</v>
      </c>
      <c r="EO433" s="168">
        <f>SUM(EK433:EN433)</f>
        <v>0</v>
      </c>
      <c r="EP433" s="134"/>
      <c r="EQ433" s="417">
        <f>-('Balance Sheet'!EQ72*0.024)/4*(2/3)</f>
        <v>-10</v>
      </c>
      <c r="ER433" s="417">
        <f>-('Balance Sheet'!ER72*0.024)/4</f>
        <v>-15</v>
      </c>
      <c r="ES433" s="417">
        <f>-('Balance Sheet'!ES72*0.024)/4</f>
        <v>-15</v>
      </c>
      <c r="ET433" s="417">
        <f>-('Balance Sheet'!ET72*0.024)/4</f>
        <v>-15</v>
      </c>
      <c r="EU433" s="168">
        <f>SUM(EQ433:ET433)</f>
        <v>-55</v>
      </c>
      <c r="EV433" s="134"/>
      <c r="EW433" s="417">
        <f>-('Balance Sheet'!EW72*0.024)/4</f>
        <v>-15</v>
      </c>
      <c r="EX433" s="417">
        <f>-('Balance Sheet'!EX72*0.024)/4</f>
        <v>-15</v>
      </c>
      <c r="EY433" s="417">
        <f>-('Balance Sheet'!EY72*0.024)/4</f>
        <v>-15</v>
      </c>
      <c r="EZ433" s="417">
        <f>-('Balance Sheet'!EZ72*0.024)/4</f>
        <v>-15</v>
      </c>
      <c r="FA433" s="168">
        <f>SUM(EW433:EZ433)</f>
        <v>-60</v>
      </c>
      <c r="FB433" s="134"/>
      <c r="FC433" s="417">
        <f>-('Balance Sheet'!FC72*0.024)/4</f>
        <v>-15</v>
      </c>
      <c r="FD433" s="417">
        <f>-('Balance Sheet'!FD72*0.024)/4</f>
        <v>-15</v>
      </c>
      <c r="FE433" s="417">
        <f>-('Balance Sheet'!FE72*0.024)/4</f>
        <v>-15</v>
      </c>
      <c r="FF433" s="417">
        <f>-('Balance Sheet'!FF72*0.024)/4</f>
        <v>-15</v>
      </c>
      <c r="FG433" s="168">
        <f t="shared" si="292"/>
        <v>-60</v>
      </c>
      <c r="FH433" s="134"/>
      <c r="FI433" s="417">
        <f>-('Balance Sheet'!FI72*0.024)/4</f>
        <v>-15</v>
      </c>
      <c r="FJ433" s="417">
        <f>-('Balance Sheet'!FJ72*0.024)/4</f>
        <v>-15</v>
      </c>
      <c r="FK433" s="417">
        <f>-('Balance Sheet'!FK72*0.024)/4</f>
        <v>-15</v>
      </c>
      <c r="FL433" s="417">
        <f>-('Balance Sheet'!FL72*0.024)/4</f>
        <v>-15</v>
      </c>
      <c r="FM433" s="168">
        <f t="shared" si="293"/>
        <v>-60</v>
      </c>
      <c r="FN433" s="27"/>
      <c r="FO433" s="27"/>
      <c r="FP433" s="27"/>
      <c r="FQ433" s="27"/>
      <c r="FR433" s="27"/>
      <c r="FS433" s="27"/>
      <c r="FT433" s="27"/>
      <c r="FU433" s="27"/>
      <c r="FV433" s="27"/>
      <c r="FW433" s="27"/>
      <c r="FX433" s="27"/>
      <c r="FY433" s="27"/>
      <c r="FZ433" s="27"/>
      <c r="GA433" s="27"/>
      <c r="GB433" s="27"/>
      <c r="GC433" s="27"/>
      <c r="GD433" s="27"/>
      <c r="GE433" s="27"/>
      <c r="GF433" s="27"/>
      <c r="GG433" s="27"/>
      <c r="GH433" s="27"/>
      <c r="GI433"/>
      <c r="GJ433"/>
      <c r="GK433"/>
      <c r="GL433"/>
      <c r="GM433"/>
      <c r="GN433"/>
      <c r="GO433" s="27"/>
      <c r="GP433"/>
      <c r="GQ433"/>
      <c r="GR433"/>
      <c r="GS433"/>
      <c r="GT433"/>
      <c r="GU433"/>
      <c r="GV433"/>
      <c r="GW433"/>
      <c r="GX433"/>
      <c r="GY433"/>
      <c r="GZ433"/>
      <c r="HA433"/>
      <c r="HB433"/>
      <c r="HC433"/>
      <c r="HD433"/>
      <c r="HE433"/>
      <c r="HF433"/>
      <c r="HG433"/>
      <c r="HH433"/>
      <c r="HI433"/>
      <c r="HJ433"/>
      <c r="HK433"/>
      <c r="HL433"/>
      <c r="HM433"/>
      <c r="HN433"/>
      <c r="HO433"/>
      <c r="HP433"/>
      <c r="HQ433"/>
      <c r="HR433"/>
      <c r="HS433"/>
      <c r="HT433"/>
      <c r="HU433"/>
      <c r="HV433"/>
      <c r="HW433"/>
      <c r="HX433"/>
      <c r="HY433"/>
      <c r="HZ433"/>
      <c r="IA433"/>
      <c r="IB433"/>
      <c r="IC433"/>
      <c r="ID433"/>
      <c r="IE433"/>
      <c r="IF433"/>
      <c r="IG433"/>
      <c r="IH433"/>
      <c r="II433"/>
      <c r="IJ433"/>
      <c r="IK433"/>
      <c r="IL433"/>
      <c r="IM433"/>
      <c r="IN433"/>
      <c r="IO433"/>
      <c r="IP433"/>
      <c r="IQ433"/>
      <c r="IR433"/>
      <c r="IS433"/>
      <c r="IT433"/>
      <c r="IU433"/>
      <c r="IV433"/>
      <c r="IW433"/>
      <c r="IX433"/>
      <c r="IY433"/>
      <c r="IZ433"/>
      <c r="JA433"/>
      <c r="JB433"/>
      <c r="JC433"/>
      <c r="JD433"/>
      <c r="JE433"/>
      <c r="JF433"/>
      <c r="JG433"/>
      <c r="JH433"/>
      <c r="JI433"/>
      <c r="JJ433"/>
      <c r="JK433"/>
      <c r="JL433"/>
      <c r="JM433"/>
      <c r="JN433"/>
      <c r="JO433"/>
      <c r="JP433"/>
      <c r="JQ433"/>
      <c r="JR433"/>
      <c r="JS433"/>
      <c r="JT433"/>
      <c r="JU433"/>
    </row>
    <row r="434" spans="1:281" s="28" customFormat="1" ht="12" hidden="1" customHeight="1" outlineLevel="1" x14ac:dyDescent="0.2">
      <c r="A434" s="342" t="str">
        <f>'Balance Sheet'!A73</f>
        <v>July 2024 Notes (3.4%)</v>
      </c>
      <c r="B434" s="414"/>
      <c r="AW434" s="69"/>
      <c r="BC434" s="69"/>
      <c r="BI434" s="69"/>
      <c r="BK434" s="69"/>
      <c r="BL434" s="69"/>
      <c r="BM434" s="69"/>
      <c r="BN434" s="69"/>
      <c r="BO434" s="69"/>
      <c r="BQ434" s="69"/>
      <c r="BR434" s="69"/>
      <c r="BS434" s="69"/>
      <c r="BT434" s="69"/>
      <c r="BU434" s="69"/>
      <c r="BW434" s="69"/>
      <c r="BX434" s="69"/>
      <c r="BY434" s="69"/>
      <c r="BZ434" s="69"/>
      <c r="CA434" s="69"/>
      <c r="CB434" s="134"/>
      <c r="CC434" s="69"/>
      <c r="CD434" s="69"/>
      <c r="CE434" s="69"/>
      <c r="CF434" s="69"/>
      <c r="CG434" s="415"/>
      <c r="CH434" s="134"/>
      <c r="CI434" s="417"/>
      <c r="CJ434" s="81"/>
      <c r="CK434" s="417"/>
      <c r="CL434" s="417"/>
      <c r="CM434" s="416"/>
      <c r="CN434" s="134"/>
      <c r="CO434" s="417"/>
      <c r="CP434" s="417"/>
      <c r="CQ434" s="417"/>
      <c r="CR434" s="417"/>
      <c r="CS434" s="416"/>
      <c r="CT434" s="134"/>
      <c r="CU434" s="417"/>
      <c r="CV434" s="417"/>
      <c r="CW434" s="417"/>
      <c r="CX434" s="417"/>
      <c r="CY434" s="416"/>
      <c r="CZ434" s="134"/>
      <c r="DA434" s="417"/>
      <c r="DB434" s="417"/>
      <c r="DC434" s="417"/>
      <c r="DD434" s="417"/>
      <c r="DE434" s="416"/>
      <c r="DF434" s="134"/>
      <c r="DG434" s="417">
        <f>-('Balance Sheet'!DG73*0.034)/4</f>
        <v>0</v>
      </c>
      <c r="DH434" s="417">
        <f>-('Balance Sheet'!DH73*0.034)/4</f>
        <v>0</v>
      </c>
      <c r="DI434" s="417">
        <f>-('Balance Sheet'!DI73*0.034)/4</f>
        <v>0</v>
      </c>
      <c r="DJ434" s="417">
        <f>-('Balance Sheet'!DJ73*0.034)/4</f>
        <v>0</v>
      </c>
      <c r="DK434" s="168">
        <f>SUM(DG434:DJ434)</f>
        <v>0</v>
      </c>
      <c r="DL434" s="134"/>
      <c r="DM434" s="417">
        <f>-('Balance Sheet'!DM73*0.034)/4</f>
        <v>0</v>
      </c>
      <c r="DN434" s="417">
        <f>-('Balance Sheet'!DN73*0.034)/4</f>
        <v>0</v>
      </c>
      <c r="DO434" s="417">
        <f>-('Balance Sheet'!DO73*0.034)/4</f>
        <v>0</v>
      </c>
      <c r="DP434" s="417">
        <f>-('Balance Sheet'!DP73*0.034)/4</f>
        <v>0</v>
      </c>
      <c r="DQ434" s="168">
        <f>SUM(DM434:DP434)</f>
        <v>0</v>
      </c>
      <c r="DR434" s="134"/>
      <c r="DS434" s="417">
        <f>-('Balance Sheet'!DS73*0.034)/4</f>
        <v>0</v>
      </c>
      <c r="DT434" s="417">
        <f>-('Balance Sheet'!DT73*0.034)/4</f>
        <v>0</v>
      </c>
      <c r="DU434" s="417">
        <f>-('Balance Sheet'!DU73*0.034)/4</f>
        <v>0</v>
      </c>
      <c r="DV434" s="417">
        <f>-('Balance Sheet'!DV73*0.034)/4</f>
        <v>0</v>
      </c>
      <c r="DW434" s="168">
        <f>SUM(DS434:DV434)</f>
        <v>0</v>
      </c>
      <c r="DX434" s="134"/>
      <c r="DY434" s="417">
        <f>-('Balance Sheet'!DY73*0.034)/4</f>
        <v>0</v>
      </c>
      <c r="DZ434" s="417">
        <f>-('Balance Sheet'!DZ73*0.034)/4</f>
        <v>0</v>
      </c>
      <c r="EA434" s="417">
        <f>-('Balance Sheet'!EA73*0.034)/4</f>
        <v>0</v>
      </c>
      <c r="EB434" s="417">
        <f>-('Balance Sheet'!EB73*0.034)/4</f>
        <v>0</v>
      </c>
      <c r="EC434" s="168">
        <f>SUM(DY434:EB434)</f>
        <v>0</v>
      </c>
      <c r="ED434" s="134"/>
      <c r="EE434" s="417">
        <f>-('Balance Sheet'!EE73*0.034)/4</f>
        <v>-17</v>
      </c>
      <c r="EF434" s="417">
        <f>-('Balance Sheet'!EF73*0.034)/4</f>
        <v>-17</v>
      </c>
      <c r="EG434" s="417">
        <f>-('Balance Sheet'!EG73*0.034)/4</f>
        <v>-17</v>
      </c>
      <c r="EH434" s="417">
        <f>-('Balance Sheet'!EH73*0.034)/4</f>
        <v>-17</v>
      </c>
      <c r="EI434" s="168">
        <f>SUM(EE434:EH434)</f>
        <v>-68</v>
      </c>
      <c r="EJ434" s="134"/>
      <c r="EK434" s="417">
        <f>-('Balance Sheet'!EK73*0.034)/4</f>
        <v>-17</v>
      </c>
      <c r="EL434" s="417">
        <f>-('Balance Sheet'!EL73*0.034)/4</f>
        <v>-17</v>
      </c>
      <c r="EM434" s="417">
        <f>-('Balance Sheet'!EM73*0.034)/4</f>
        <v>-17</v>
      </c>
      <c r="EN434" s="417">
        <f>-('Balance Sheet'!EN73*0.034)/4</f>
        <v>-17</v>
      </c>
      <c r="EO434" s="168">
        <f>SUM(EK434:EN434)</f>
        <v>-68</v>
      </c>
      <c r="EP434" s="134"/>
      <c r="EQ434" s="417">
        <f>-('Balance Sheet'!EQ73*0.034)/4</f>
        <v>-17</v>
      </c>
      <c r="ER434" s="417">
        <f>-('Balance Sheet'!ER73*0.034)/4</f>
        <v>-17</v>
      </c>
      <c r="ES434" s="417">
        <f>-('Balance Sheet'!ES73*0.034)/4</f>
        <v>-17</v>
      </c>
      <c r="ET434" s="417">
        <f>-('Balance Sheet'!ET73*0.034)/4</f>
        <v>-17</v>
      </c>
      <c r="EU434" s="168">
        <f>SUM(EQ434:ET434)</f>
        <v>-68</v>
      </c>
      <c r="EV434" s="134"/>
      <c r="EW434" s="417">
        <f>-('Balance Sheet'!EW73*0.034)/4</f>
        <v>-17</v>
      </c>
      <c r="EX434" s="417">
        <f>-('Balance Sheet'!EX73*0.034)/4</f>
        <v>-17</v>
      </c>
      <c r="EY434" s="417">
        <f>-('Balance Sheet'!EY73*0.034)/4</f>
        <v>-17</v>
      </c>
      <c r="EZ434" s="417">
        <f>-('Balance Sheet'!EZ73*0.034)/4</f>
        <v>-17</v>
      </c>
      <c r="FA434" s="168">
        <f>SUM(EW434:EZ434)</f>
        <v>-68</v>
      </c>
      <c r="FB434" s="134"/>
      <c r="FC434" s="417">
        <f>-('Balance Sheet'!FC73*0.034)/4</f>
        <v>-17</v>
      </c>
      <c r="FD434" s="417">
        <f>-('Balance Sheet'!FD73*0.034)/4</f>
        <v>-17</v>
      </c>
      <c r="FE434" s="417">
        <f>-('Balance Sheet'!FE73*0.034)/4</f>
        <v>-17</v>
      </c>
      <c r="FF434" s="417">
        <f>-('Balance Sheet'!FF73*0.034)/4</f>
        <v>-17</v>
      </c>
      <c r="FG434" s="168">
        <f t="shared" si="292"/>
        <v>-68</v>
      </c>
      <c r="FH434" s="134"/>
      <c r="FI434" s="417">
        <f>-('Balance Sheet'!FI73*0.034)/4</f>
        <v>-17</v>
      </c>
      <c r="FJ434" s="417">
        <f>-('Balance Sheet'!FJ73*0.034)/4</f>
        <v>-17</v>
      </c>
      <c r="FK434" s="417">
        <f>-('Balance Sheet'!FK73*0.034)/4</f>
        <v>-17</v>
      </c>
      <c r="FL434" s="417">
        <f>-('Balance Sheet'!FL73*0.034)/4</f>
        <v>-17</v>
      </c>
      <c r="FM434" s="168">
        <f t="shared" si="293"/>
        <v>-68</v>
      </c>
      <c r="FN434" s="27"/>
      <c r="FO434" s="27"/>
      <c r="FP434" s="27"/>
      <c r="FQ434" s="27"/>
      <c r="FR434" s="27"/>
      <c r="FS434" s="27"/>
      <c r="FT434" s="27"/>
      <c r="FU434" s="27"/>
      <c r="FV434" s="27"/>
      <c r="FW434" s="27"/>
      <c r="FX434" s="27"/>
      <c r="FY434" s="27"/>
      <c r="FZ434" s="27"/>
      <c r="GA434" s="27"/>
      <c r="GB434" s="27"/>
      <c r="GC434" s="27"/>
      <c r="GD434" s="27"/>
      <c r="GE434" s="27"/>
      <c r="GF434" s="27"/>
      <c r="GG434" s="27"/>
      <c r="GH434" s="27"/>
      <c r="GI434"/>
      <c r="GJ434"/>
      <c r="GK434"/>
      <c r="GL434"/>
      <c r="GM434"/>
      <c r="GN434"/>
      <c r="GO434" s="27"/>
      <c r="GP434"/>
      <c r="GQ434"/>
      <c r="GR434"/>
      <c r="GS434"/>
      <c r="GT434"/>
      <c r="GU434"/>
      <c r="GV434"/>
      <c r="GW434"/>
      <c r="GX434"/>
      <c r="GY434"/>
      <c r="GZ434"/>
      <c r="HA434"/>
      <c r="HB434"/>
      <c r="HC434"/>
      <c r="HD434"/>
      <c r="HE434"/>
      <c r="HF434"/>
      <c r="HG434"/>
      <c r="HH434"/>
      <c r="HI434"/>
      <c r="HJ434"/>
      <c r="HK434"/>
      <c r="HL434"/>
      <c r="HM434"/>
      <c r="HN434"/>
      <c r="HO434"/>
      <c r="HP434"/>
      <c r="HQ434"/>
      <c r="HR434"/>
      <c r="HS434"/>
      <c r="HT434"/>
      <c r="HU434"/>
      <c r="HV434"/>
      <c r="HW434"/>
      <c r="HX434"/>
      <c r="HY434"/>
      <c r="HZ434"/>
      <c r="IA434"/>
      <c r="IB434"/>
      <c r="IC434"/>
      <c r="ID434"/>
      <c r="IE434"/>
      <c r="IF434"/>
      <c r="IG434"/>
      <c r="IH434"/>
      <c r="II434"/>
      <c r="IJ434"/>
      <c r="IK434"/>
      <c r="IL434"/>
      <c r="IM434"/>
      <c r="IN434"/>
      <c r="IO434"/>
      <c r="IP434"/>
      <c r="IQ434"/>
      <c r="IR434"/>
      <c r="IS434"/>
      <c r="IT434"/>
      <c r="IU434"/>
      <c r="IV434"/>
      <c r="IW434"/>
      <c r="IX434"/>
      <c r="IY434"/>
      <c r="IZ434"/>
      <c r="JA434"/>
      <c r="JB434"/>
      <c r="JC434"/>
      <c r="JD434"/>
      <c r="JE434"/>
      <c r="JF434"/>
      <c r="JG434"/>
      <c r="JH434"/>
      <c r="JI434"/>
      <c r="JJ434"/>
      <c r="JK434"/>
      <c r="JL434"/>
      <c r="JM434"/>
      <c r="JN434"/>
      <c r="JO434"/>
      <c r="JP434"/>
      <c r="JQ434"/>
      <c r="JR434"/>
      <c r="JS434"/>
      <c r="JT434"/>
      <c r="JU434"/>
    </row>
    <row r="435" spans="1:281" s="28" customFormat="1" ht="12" hidden="1" customHeight="1" outlineLevel="1" x14ac:dyDescent="0.2">
      <c r="A435" s="342" t="str">
        <f>'Balance Sheet'!A74</f>
        <v>Nov 2024 Notes (2.950%)</v>
      </c>
      <c r="B435" s="414"/>
      <c r="AW435" s="69"/>
      <c r="BC435" s="69"/>
      <c r="BI435" s="69"/>
      <c r="BK435" s="69"/>
      <c r="BL435" s="69"/>
      <c r="BM435" s="69"/>
      <c r="BN435" s="69"/>
      <c r="BO435" s="69"/>
      <c r="BQ435" s="69"/>
      <c r="BR435" s="69"/>
      <c r="BS435" s="69"/>
      <c r="BT435" s="69"/>
      <c r="BU435" s="69"/>
      <c r="BW435" s="69"/>
      <c r="BX435" s="69"/>
      <c r="BY435" s="69"/>
      <c r="BZ435" s="69"/>
      <c r="CA435" s="69"/>
      <c r="CB435" s="134"/>
      <c r="CC435" s="69"/>
      <c r="CD435" s="69"/>
      <c r="CE435" s="69"/>
      <c r="CF435" s="69"/>
      <c r="CG435" s="415"/>
      <c r="CH435" s="134"/>
      <c r="CI435" s="417"/>
      <c r="CJ435" s="81"/>
      <c r="CK435" s="417"/>
      <c r="CL435" s="417"/>
      <c r="CM435" s="416"/>
      <c r="CN435" s="134"/>
      <c r="CO435" s="417"/>
      <c r="CP435" s="417"/>
      <c r="CQ435" s="417"/>
      <c r="CR435" s="417"/>
      <c r="CS435" s="416"/>
      <c r="CT435" s="134"/>
      <c r="CU435" s="417"/>
      <c r="CV435" s="417"/>
      <c r="CW435" s="417"/>
      <c r="CX435" s="417"/>
      <c r="CY435" s="416"/>
      <c r="CZ435" s="134"/>
      <c r="DA435" s="417"/>
      <c r="DB435" s="417"/>
      <c r="DC435" s="417"/>
      <c r="DD435" s="417"/>
      <c r="DE435" s="416"/>
      <c r="DF435" s="134"/>
      <c r="DG435" s="417"/>
      <c r="DH435" s="417"/>
      <c r="DI435" s="417"/>
      <c r="DJ435" s="417"/>
      <c r="DK435" s="168"/>
      <c r="DL435" s="134"/>
      <c r="DM435" s="417"/>
      <c r="DN435" s="417"/>
      <c r="DO435" s="417"/>
      <c r="DP435" s="417"/>
      <c r="DQ435" s="168"/>
      <c r="DR435" s="134"/>
      <c r="DS435" s="417"/>
      <c r="DT435" s="417"/>
      <c r="DU435" s="417"/>
      <c r="DV435" s="417"/>
      <c r="DW435" s="168"/>
      <c r="DX435" s="134"/>
      <c r="DY435" s="417"/>
      <c r="DZ435" s="417"/>
      <c r="EA435" s="417"/>
      <c r="EB435" s="417"/>
      <c r="EC435" s="168"/>
      <c r="ED435" s="134"/>
      <c r="EE435" s="417"/>
      <c r="EF435" s="417"/>
      <c r="EG435" s="417"/>
      <c r="EH435" s="417"/>
      <c r="EI435" s="168"/>
      <c r="EJ435" s="134"/>
      <c r="EK435" s="417"/>
      <c r="EL435" s="417"/>
      <c r="EM435" s="417"/>
      <c r="EN435" s="417"/>
      <c r="EO435" s="168"/>
      <c r="EP435" s="134"/>
      <c r="EQ435" s="417"/>
      <c r="ER435" s="417"/>
      <c r="ES435" s="417"/>
      <c r="ET435" s="417"/>
      <c r="EU435" s="168"/>
      <c r="EV435" s="134"/>
      <c r="EW435" s="417">
        <f>-('Balance Sheet'!EW74*0.0295)/4</f>
        <v>0</v>
      </c>
      <c r="EX435" s="417">
        <f>-('Balance Sheet'!EX74*0.0295)/4</f>
        <v>-14.75</v>
      </c>
      <c r="EY435" s="417">
        <f>-('Balance Sheet'!EY74*0.0295)/4</f>
        <v>-14.75</v>
      </c>
      <c r="EZ435" s="417">
        <f>-('Balance Sheet'!EZ74*0.0295)/4</f>
        <v>-14.75</v>
      </c>
      <c r="FA435" s="168">
        <f>SUM(EW435:EZ435)</f>
        <v>-44.25</v>
      </c>
      <c r="FB435" s="134"/>
      <c r="FC435" s="417">
        <f>-('Balance Sheet'!FC74*0.0295)/4</f>
        <v>-14.75</v>
      </c>
      <c r="FD435" s="417">
        <f>-('Balance Sheet'!FD74*0.0295)/4</f>
        <v>-14.75</v>
      </c>
      <c r="FE435" s="417">
        <f>-('Balance Sheet'!FE74*0.0295)/4</f>
        <v>-14.75</v>
      </c>
      <c r="FF435" s="417">
        <f>-('Balance Sheet'!FF74*0.0295)/4</f>
        <v>-14.75</v>
      </c>
      <c r="FG435" s="168">
        <f>SUM(FC435:FF435)</f>
        <v>-59</v>
      </c>
      <c r="FH435" s="134"/>
      <c r="FI435" s="417">
        <f>-('Balance Sheet'!FI74*0.0295)/4</f>
        <v>-14.75</v>
      </c>
      <c r="FJ435" s="417">
        <f>-('Balance Sheet'!FJ74*0.0295)/4</f>
        <v>-14.75</v>
      </c>
      <c r="FK435" s="417">
        <f>-('Balance Sheet'!FK74*0.0295)/4</f>
        <v>-14.75</v>
      </c>
      <c r="FL435" s="417">
        <f>-('Balance Sheet'!FL74*0.0295)/4</f>
        <v>-14.75</v>
      </c>
      <c r="FM435" s="168">
        <f>SUM(FI435:FL435)</f>
        <v>-59</v>
      </c>
      <c r="FN435" s="27"/>
      <c r="FO435" s="27"/>
      <c r="FP435" s="27"/>
      <c r="FQ435" s="27"/>
      <c r="FR435" s="27"/>
      <c r="FS435" s="27"/>
      <c r="FT435" s="27"/>
      <c r="FU435" s="27"/>
      <c r="FV435" s="27"/>
      <c r="FW435" s="27"/>
      <c r="FX435" s="27"/>
      <c r="FY435" s="27"/>
      <c r="FZ435" s="27"/>
      <c r="GA435" s="27"/>
      <c r="GB435" s="27"/>
      <c r="GC435" s="27"/>
      <c r="GD435" s="27"/>
      <c r="GE435" s="27"/>
      <c r="GF435" s="27"/>
      <c r="GG435" s="27"/>
      <c r="GH435" s="27"/>
      <c r="GI435"/>
      <c r="GJ435"/>
      <c r="GK435"/>
      <c r="GL435"/>
      <c r="GM435"/>
      <c r="GN435"/>
      <c r="GO435" s="27"/>
      <c r="GP435"/>
      <c r="GQ435"/>
      <c r="GR435"/>
      <c r="GS435"/>
      <c r="GT435"/>
      <c r="GU435"/>
      <c r="GV435"/>
      <c r="GW435"/>
      <c r="GX435"/>
      <c r="GY435"/>
      <c r="GZ435"/>
      <c r="HA435"/>
      <c r="HB435"/>
      <c r="HC435"/>
      <c r="HD435"/>
      <c r="HE435"/>
      <c r="HF435"/>
      <c r="HG435"/>
      <c r="HH435"/>
      <c r="HI435"/>
      <c r="HJ435"/>
      <c r="HK435"/>
      <c r="HL435"/>
      <c r="HM435"/>
      <c r="HN435"/>
      <c r="HO435"/>
      <c r="HP435"/>
      <c r="HQ435"/>
      <c r="HR435"/>
      <c r="HS435"/>
      <c r="HT435"/>
      <c r="HU435"/>
      <c r="HV435"/>
      <c r="HW435"/>
      <c r="HX435"/>
      <c r="HY435"/>
      <c r="HZ435"/>
      <c r="IA435"/>
      <c r="IB435"/>
      <c r="IC435"/>
      <c r="ID435"/>
      <c r="IE435"/>
      <c r="IF435"/>
      <c r="IG435"/>
      <c r="IH435"/>
      <c r="II435"/>
      <c r="IJ435"/>
      <c r="IK435"/>
      <c r="IL435"/>
      <c r="IM435"/>
      <c r="IN435"/>
      <c r="IO435"/>
      <c r="IP435"/>
      <c r="IQ435"/>
      <c r="IR435"/>
      <c r="IS435"/>
      <c r="IT435"/>
      <c r="IU435"/>
      <c r="IV435"/>
      <c r="IW435"/>
      <c r="IX435"/>
      <c r="IY435"/>
      <c r="IZ435"/>
      <c r="JA435"/>
      <c r="JB435"/>
      <c r="JC435"/>
      <c r="JD435"/>
      <c r="JE435"/>
      <c r="JF435"/>
      <c r="JG435"/>
      <c r="JH435"/>
      <c r="JI435"/>
      <c r="JJ435"/>
      <c r="JK435"/>
      <c r="JL435"/>
      <c r="JM435"/>
      <c r="JN435"/>
      <c r="JO435"/>
      <c r="JP435"/>
      <c r="JQ435"/>
      <c r="JR435"/>
      <c r="JS435"/>
      <c r="JT435"/>
      <c r="JU435"/>
    </row>
    <row r="436" spans="1:281" s="28" customFormat="1" ht="12" hidden="1" customHeight="1" outlineLevel="1" x14ac:dyDescent="0.2">
      <c r="A436" s="342" t="str">
        <f>'Balance Sheet'!A75</f>
        <v>May 2025 Notes (2.95%)</v>
      </c>
      <c r="B436" s="414"/>
      <c r="AW436" s="69"/>
      <c r="BC436" s="69"/>
      <c r="BI436" s="69"/>
      <c r="BK436" s="69"/>
      <c r="BL436" s="69"/>
      <c r="BM436" s="69"/>
      <c r="BN436" s="69"/>
      <c r="BO436" s="69"/>
      <c r="BQ436" s="69"/>
      <c r="BR436" s="69"/>
      <c r="BS436" s="69"/>
      <c r="BT436" s="69"/>
      <c r="BU436" s="69"/>
      <c r="BW436" s="69"/>
      <c r="BX436" s="69"/>
      <c r="BY436" s="69"/>
      <c r="BZ436" s="69"/>
      <c r="CA436" s="69"/>
      <c r="CB436" s="134"/>
      <c r="CC436" s="69"/>
      <c r="CD436" s="69"/>
      <c r="CE436" s="69"/>
      <c r="CF436" s="69"/>
      <c r="CG436" s="415"/>
      <c r="CH436" s="134"/>
      <c r="CI436" s="417"/>
      <c r="CJ436" s="81"/>
      <c r="CK436" s="417"/>
      <c r="CL436" s="417"/>
      <c r="CM436" s="416"/>
      <c r="CN436" s="134"/>
      <c r="CO436" s="417"/>
      <c r="CP436" s="417"/>
      <c r="CQ436" s="417"/>
      <c r="CR436" s="417">
        <f>-('Balance Sheet'!CR84*0.065)/4/2</f>
        <v>-10.15625</v>
      </c>
      <c r="CS436" s="416"/>
      <c r="CT436" s="134"/>
      <c r="CU436" s="417">
        <f>-('Balance Sheet'!CU84*0.065)/4</f>
        <v>-20.3125</v>
      </c>
      <c r="CV436" s="417">
        <f>-('Balance Sheet'!CV84*0.065)/4</f>
        <v>-20.3125</v>
      </c>
      <c r="CW436" s="417">
        <f>-('Balance Sheet'!CW84*0.065)/4</f>
        <v>-20.3125</v>
      </c>
      <c r="CX436" s="417">
        <f>-('Balance Sheet'!CX84*0.065)/4</f>
        <v>-20.3125</v>
      </c>
      <c r="CY436" s="416"/>
      <c r="CZ436" s="134"/>
      <c r="DA436" s="417">
        <f>-('Balance Sheet'!DA84*0.065)/4</f>
        <v>-20.3125</v>
      </c>
      <c r="DB436" s="417">
        <f>-('Balance Sheet'!DB84*0.065)/4</f>
        <v>-20.3125</v>
      </c>
      <c r="DC436" s="417">
        <f>-('Balance Sheet'!DC84*0.065)/4</f>
        <v>-20.3125</v>
      </c>
      <c r="DD436" s="417">
        <f>-('Balance Sheet'!DD84*0.065)/4</f>
        <v>-20.3125</v>
      </c>
      <c r="DE436" s="416"/>
      <c r="DF436" s="134"/>
      <c r="DG436" s="417">
        <f>-('Balance Sheet'!DG75*0.0295)/4</f>
        <v>0</v>
      </c>
      <c r="DH436" s="417">
        <f>-('Balance Sheet'!DH75*0.0295)/4</f>
        <v>0</v>
      </c>
      <c r="DI436" s="417">
        <f>-('Balance Sheet'!DI75*0.0295)/4</f>
        <v>0</v>
      </c>
      <c r="DJ436" s="417">
        <f>-('Balance Sheet'!DJ75*0.0295)/4</f>
        <v>0</v>
      </c>
      <c r="DK436" s="168">
        <f t="shared" si="282"/>
        <v>0</v>
      </c>
      <c r="DL436" s="134"/>
      <c r="DM436" s="417">
        <f>-('Balance Sheet'!DM75*0.0295)/4</f>
        <v>0</v>
      </c>
      <c r="DN436" s="417">
        <f>-('Balance Sheet'!DN75*0.0295)/4</f>
        <v>0</v>
      </c>
      <c r="DO436" s="417">
        <f>-('Balance Sheet'!DO75*0.0295)/4</f>
        <v>0</v>
      </c>
      <c r="DP436" s="417">
        <f>-('Balance Sheet'!DP75*0.0295)/4</f>
        <v>0</v>
      </c>
      <c r="DQ436" s="168">
        <f t="shared" si="283"/>
        <v>0</v>
      </c>
      <c r="DR436" s="134"/>
      <c r="DS436" s="417">
        <f>-('Balance Sheet'!DS75*0.0295)/4</f>
        <v>0</v>
      </c>
      <c r="DT436" s="417">
        <f>-('Balance Sheet'!DT75*0.0295)/4</f>
        <v>0</v>
      </c>
      <c r="DU436" s="417">
        <f>-('Balance Sheet'!DU75*0.0295)/4</f>
        <v>0</v>
      </c>
      <c r="DV436" s="417">
        <f>-('Balance Sheet'!DV75*0.0295)/4</f>
        <v>0</v>
      </c>
      <c r="DW436" s="168">
        <f t="shared" si="284"/>
        <v>0</v>
      </c>
      <c r="DX436" s="134"/>
      <c r="DY436" s="417">
        <f>-('Balance Sheet'!DY75*0.0295)/4</f>
        <v>0</v>
      </c>
      <c r="DZ436" s="417">
        <f>-('Balance Sheet'!DZ75*0.0295)/4</f>
        <v>0</v>
      </c>
      <c r="EA436" s="417">
        <f>-('Balance Sheet'!EA75*0.0295)/4</f>
        <v>0</v>
      </c>
      <c r="EB436" s="417">
        <f>-('Balance Sheet'!EB75*0.0295)/4</f>
        <v>0</v>
      </c>
      <c r="EC436" s="168">
        <f t="shared" si="285"/>
        <v>0</v>
      </c>
      <c r="ED436" s="134"/>
      <c r="EE436" s="417">
        <f>-('Balance Sheet'!EE75*0.0295)/4</f>
        <v>0</v>
      </c>
      <c r="EF436" s="417">
        <f>-('Balance Sheet'!EF75*0.0295)/4</f>
        <v>0</v>
      </c>
      <c r="EG436" s="417">
        <f>-('Balance Sheet'!EG75*0.0295)/4</f>
        <v>0</v>
      </c>
      <c r="EH436" s="417">
        <f>-('Balance Sheet'!EH75*0.0295)/4</f>
        <v>-18.4375</v>
      </c>
      <c r="EI436" s="168">
        <f t="shared" si="286"/>
        <v>-18.4375</v>
      </c>
      <c r="EJ436" s="134"/>
      <c r="EK436" s="417">
        <f>-('Balance Sheet'!EK75*0.0295)/4</f>
        <v>-18.4375</v>
      </c>
      <c r="EL436" s="417">
        <f>-('Balance Sheet'!EL75*0.0295)/4</f>
        <v>-18.4375</v>
      </c>
      <c r="EM436" s="417">
        <f>-('Balance Sheet'!EM75*0.0295)/4</f>
        <v>-18.4375</v>
      </c>
      <c r="EN436" s="417">
        <f>-('Balance Sheet'!EN75*0.0295)/4</f>
        <v>-18.4375</v>
      </c>
      <c r="EO436" s="168">
        <f t="shared" si="287"/>
        <v>-73.75</v>
      </c>
      <c r="EP436" s="134"/>
      <c r="EQ436" s="417">
        <f>-('Balance Sheet'!EQ75*0.0295)/4</f>
        <v>-18.4375</v>
      </c>
      <c r="ER436" s="417">
        <f>-('Balance Sheet'!ER75*0.0295)/4</f>
        <v>-18.4375</v>
      </c>
      <c r="ES436" s="417">
        <f>-('Balance Sheet'!ES75*0.0295)/4</f>
        <v>-18.4375</v>
      </c>
      <c r="ET436" s="417">
        <f>-('Balance Sheet'!ET75*0.0295)/4</f>
        <v>-18.4375</v>
      </c>
      <c r="EU436" s="168">
        <f t="shared" si="288"/>
        <v>-73.75</v>
      </c>
      <c r="EV436" s="134"/>
      <c r="EW436" s="417">
        <f>-('Balance Sheet'!EW75*0.0295)/4</f>
        <v>-18.4375</v>
      </c>
      <c r="EX436" s="417">
        <f>-('Balance Sheet'!EX75*0.0295)/4</f>
        <v>-18.4375</v>
      </c>
      <c r="EY436" s="417">
        <f>-('Balance Sheet'!EY75*0.0295)/4</f>
        <v>-18.4375</v>
      </c>
      <c r="EZ436" s="417">
        <f>-('Balance Sheet'!EZ75*0.0295)/4</f>
        <v>-18.4375</v>
      </c>
      <c r="FA436" s="168">
        <f t="shared" si="289"/>
        <v>-73.75</v>
      </c>
      <c r="FB436" s="134"/>
      <c r="FC436" s="417">
        <f>-('Balance Sheet'!FC75*0.0295)/4</f>
        <v>-18.4375</v>
      </c>
      <c r="FD436" s="417">
        <f>-('Balance Sheet'!FD75*0.0295)/4</f>
        <v>-18.4375</v>
      </c>
      <c r="FE436" s="417">
        <f>-('Balance Sheet'!FE75*0.0295)/4</f>
        <v>-18.4375</v>
      </c>
      <c r="FF436" s="417">
        <f>-('Balance Sheet'!FF75*0.0295)/4</f>
        <v>-18.4375</v>
      </c>
      <c r="FG436" s="168">
        <f t="shared" ref="FG436:FG455" si="297">SUM(FC436:FF436)</f>
        <v>-73.75</v>
      </c>
      <c r="FH436" s="134"/>
      <c r="FI436" s="417">
        <f>-('Balance Sheet'!FI75*0.0295)/4</f>
        <v>-18.4375</v>
      </c>
      <c r="FJ436" s="417">
        <f>-('Balance Sheet'!FJ75*0.0295)/4</f>
        <v>-18.4375</v>
      </c>
      <c r="FK436" s="417">
        <f>-('Balance Sheet'!FK75*0.0295)/4</f>
        <v>-18.4375</v>
      </c>
      <c r="FL436" s="417">
        <f>-('Balance Sheet'!FL75*0.0295)/4</f>
        <v>-18.4375</v>
      </c>
      <c r="FM436" s="168">
        <f t="shared" ref="FM436:FM437" si="298">SUM(FI436:FL436)</f>
        <v>-73.75</v>
      </c>
      <c r="FN436" s="27"/>
      <c r="FO436" s="27"/>
      <c r="FP436" s="27"/>
      <c r="FQ436" s="27"/>
      <c r="FR436" s="27"/>
      <c r="FS436" s="27"/>
      <c r="FT436" s="27"/>
      <c r="FU436" s="27"/>
      <c r="FV436" s="27"/>
      <c r="FW436" s="27"/>
      <c r="FX436" s="27"/>
      <c r="FY436" s="27"/>
      <c r="FZ436" s="27"/>
      <c r="GA436" s="27"/>
      <c r="GB436" s="27"/>
      <c r="GC436" s="27"/>
      <c r="GD436" s="27"/>
      <c r="GE436" s="27"/>
      <c r="GF436" s="27"/>
      <c r="GG436" s="27"/>
      <c r="GH436" s="27"/>
      <c r="GI436"/>
      <c r="GJ436"/>
      <c r="GK436"/>
      <c r="GL436"/>
      <c r="GM436"/>
      <c r="GN436"/>
      <c r="GO436" s="27"/>
      <c r="GP436"/>
      <c r="GQ436"/>
      <c r="GR436"/>
      <c r="GS436"/>
      <c r="GT436"/>
      <c r="GU436"/>
      <c r="GV436"/>
      <c r="GW436"/>
      <c r="GX436"/>
      <c r="GY436"/>
      <c r="GZ436"/>
      <c r="HA436"/>
      <c r="HB436"/>
      <c r="HC436"/>
      <c r="HD436"/>
      <c r="HE436"/>
      <c r="HF436"/>
      <c r="HG436"/>
      <c r="HH436"/>
      <c r="HI436"/>
      <c r="HJ436"/>
      <c r="HK436"/>
      <c r="HL436"/>
      <c r="HM436"/>
      <c r="HN436"/>
      <c r="HO436"/>
      <c r="HP436"/>
      <c r="HQ436"/>
      <c r="HR436"/>
      <c r="HS436"/>
      <c r="HT436"/>
      <c r="HU436"/>
      <c r="HV436"/>
      <c r="HW436"/>
      <c r="HX436"/>
      <c r="HY436"/>
      <c r="HZ436"/>
      <c r="IA436"/>
      <c r="IB436"/>
      <c r="IC436"/>
      <c r="ID436"/>
      <c r="IE436"/>
      <c r="IF436"/>
      <c r="IG436"/>
      <c r="IH436"/>
      <c r="II436"/>
      <c r="IJ436"/>
      <c r="IK436"/>
      <c r="IL436"/>
      <c r="IM436"/>
      <c r="IN436"/>
      <c r="IO436"/>
      <c r="IP436"/>
      <c r="IQ436"/>
      <c r="IR436"/>
      <c r="IS436"/>
      <c r="IT436"/>
      <c r="IU436"/>
      <c r="IV436"/>
      <c r="IW436"/>
      <c r="IX436"/>
      <c r="IY436"/>
      <c r="IZ436"/>
      <c r="JA436"/>
      <c r="JB436"/>
      <c r="JC436"/>
      <c r="JD436"/>
      <c r="JE436"/>
      <c r="JF436"/>
      <c r="JG436"/>
      <c r="JH436"/>
      <c r="JI436"/>
      <c r="JJ436"/>
      <c r="JK436"/>
      <c r="JL436"/>
      <c r="JM436"/>
      <c r="JN436"/>
      <c r="JO436"/>
      <c r="JP436"/>
      <c r="JQ436"/>
      <c r="JR436"/>
      <c r="JS436"/>
      <c r="JT436"/>
      <c r="JU436"/>
    </row>
    <row r="437" spans="1:281" s="28" customFormat="1" ht="12" hidden="1" customHeight="1" outlineLevel="1" x14ac:dyDescent="0.2">
      <c r="A437" s="342" t="str">
        <f>'Balance Sheet'!A76</f>
        <v>July 2025 EUR Notes (3.125%)</v>
      </c>
      <c r="B437" s="414"/>
      <c r="AW437" s="69"/>
      <c r="BC437" s="69"/>
      <c r="BI437" s="69"/>
      <c r="BK437" s="69"/>
      <c r="BL437" s="69"/>
      <c r="BM437" s="69"/>
      <c r="BN437" s="69"/>
      <c r="BO437" s="69"/>
      <c r="BQ437" s="69"/>
      <c r="BR437" s="69"/>
      <c r="BS437" s="69"/>
      <c r="BT437" s="69"/>
      <c r="BU437" s="69"/>
      <c r="BW437" s="69"/>
      <c r="BX437" s="69"/>
      <c r="BY437" s="69"/>
      <c r="BZ437" s="69"/>
      <c r="CA437" s="69"/>
      <c r="CB437" s="134"/>
      <c r="CC437" s="69"/>
      <c r="CD437" s="69"/>
      <c r="CE437" s="69"/>
      <c r="CF437" s="69"/>
      <c r="CG437" s="415"/>
      <c r="CH437" s="134"/>
      <c r="CI437" s="417"/>
      <c r="CJ437" s="81"/>
      <c r="CK437" s="417"/>
      <c r="CL437" s="417"/>
      <c r="CM437" s="416"/>
      <c r="CN437" s="134"/>
      <c r="CO437" s="417"/>
      <c r="CP437" s="417"/>
      <c r="CQ437" s="417"/>
      <c r="CR437" s="417"/>
      <c r="CS437" s="416"/>
      <c r="CT437" s="134"/>
      <c r="CU437" s="417"/>
      <c r="CV437" s="417"/>
      <c r="CW437" s="417"/>
      <c r="CX437" s="417"/>
      <c r="CY437" s="416"/>
      <c r="CZ437" s="134"/>
      <c r="DA437" s="417">
        <f>-('Balance Sheet'!DA85*0.06125)/4</f>
        <v>-19.140625</v>
      </c>
      <c r="DB437" s="417">
        <f>-('Balance Sheet'!DB85*0.06125)/4</f>
        <v>-19.140625</v>
      </c>
      <c r="DC437" s="417">
        <f>-('Balance Sheet'!DC85*0.06125)/4</f>
        <v>-19.140625</v>
      </c>
      <c r="DD437" s="417">
        <f>-('Balance Sheet'!DD85*0.06125)/4</f>
        <v>-19.140625</v>
      </c>
      <c r="DE437" s="416"/>
      <c r="DF437" s="134"/>
      <c r="DG437" s="417">
        <f>-('Balance Sheet'!DG76*0.03125)/4</f>
        <v>0</v>
      </c>
      <c r="DH437" s="417">
        <f>-('Balance Sheet'!DH76*0.03125)/4</f>
        <v>0</v>
      </c>
      <c r="DI437" s="417">
        <f>-('Balance Sheet'!DI76*0.03125)/4</f>
        <v>0</v>
      </c>
      <c r="DJ437" s="417">
        <f>-('Balance Sheet'!DJ76*0.03125)/4</f>
        <v>0</v>
      </c>
      <c r="DK437" s="168">
        <f t="shared" si="282"/>
        <v>0</v>
      </c>
      <c r="DL437" s="134"/>
      <c r="DM437" s="417">
        <f>-('Balance Sheet'!DM76*0.03125)/4</f>
        <v>0</v>
      </c>
      <c r="DN437" s="417">
        <f>-('Balance Sheet'!DN76*0.03125)/4</f>
        <v>0</v>
      </c>
      <c r="DO437" s="417">
        <f>-('Balance Sheet'!DO76*0.03125)/4</f>
        <v>0</v>
      </c>
      <c r="DP437" s="417">
        <f>-('Balance Sheet'!DP76*0.03125)/4</f>
        <v>0</v>
      </c>
      <c r="DQ437" s="168">
        <f t="shared" si="283"/>
        <v>0</v>
      </c>
      <c r="DR437" s="134"/>
      <c r="DS437" s="417">
        <f>-('Balance Sheet'!DS76*0.03125)/4</f>
        <v>0</v>
      </c>
      <c r="DT437" s="417">
        <f>-('Balance Sheet'!DT76*0.03125)/4</f>
        <v>0</v>
      </c>
      <c r="DU437" s="417">
        <f>-('Balance Sheet'!DU76*0.03125)/4</f>
        <v>0</v>
      </c>
      <c r="DV437" s="417">
        <f>-('Balance Sheet'!DV76*0.03125)/4</f>
        <v>0</v>
      </c>
      <c r="DW437" s="168">
        <f t="shared" si="284"/>
        <v>0</v>
      </c>
      <c r="DX437" s="134"/>
      <c r="DY437" s="417">
        <f>-('Balance Sheet'!DY76*0.03125)/4</f>
        <v>-7.6171875</v>
      </c>
      <c r="DZ437" s="417">
        <f>-('Balance Sheet'!DZ76*0.03125)/4</f>
        <v>-7.6171875</v>
      </c>
      <c r="EA437" s="417">
        <f>-('Balance Sheet'!EA76*0.03125)/4</f>
        <v>-7.6171875</v>
      </c>
      <c r="EB437" s="417">
        <f>-('Balance Sheet'!EB76*0.03125)/4</f>
        <v>-7.6171875</v>
      </c>
      <c r="EC437" s="168">
        <f t="shared" si="285"/>
        <v>-30.46875</v>
      </c>
      <c r="ED437" s="134"/>
      <c r="EE437" s="417">
        <f>-('Balance Sheet'!EE76*0.03125)/4</f>
        <v>-7.6171875</v>
      </c>
      <c r="EF437" s="417">
        <f>-('Balance Sheet'!EF76*0.03125)/4</f>
        <v>-7.6171875</v>
      </c>
      <c r="EG437" s="417">
        <f>-('Balance Sheet'!EG76*0.03125)/4</f>
        <v>-7.6171875</v>
      </c>
      <c r="EH437" s="417">
        <f>-('Balance Sheet'!EH76*0.03125)/4</f>
        <v>-7.6171875</v>
      </c>
      <c r="EI437" s="168">
        <f t="shared" si="286"/>
        <v>-30.46875</v>
      </c>
      <c r="EJ437" s="134"/>
      <c r="EK437" s="417">
        <f>-('Balance Sheet'!EK76*0.03125)/4</f>
        <v>-6.53125</v>
      </c>
      <c r="EL437" s="417">
        <f>-('Balance Sheet'!EL76*0.03125)/4</f>
        <v>-6.53125</v>
      </c>
      <c r="EM437" s="417">
        <f>-('Balance Sheet'!EM76*0.03125)/4</f>
        <v>-6.53125</v>
      </c>
      <c r="EN437" s="417">
        <f>-('Balance Sheet'!EN76*0.03125)/4</f>
        <v>-6.53125</v>
      </c>
      <c r="EO437" s="168">
        <f t="shared" si="287"/>
        <v>-26.125</v>
      </c>
      <c r="EP437" s="134"/>
      <c r="EQ437" s="417">
        <f>-('Balance Sheet'!EQ76*0.03125)/4</f>
        <v>-6.53125</v>
      </c>
      <c r="ER437" s="417">
        <f>-('Balance Sheet'!ER76*0.03125)/4</f>
        <v>-6.53125</v>
      </c>
      <c r="ES437" s="417">
        <f>-('Balance Sheet'!ES76*0.03125)/4</f>
        <v>-6.53125</v>
      </c>
      <c r="ET437" s="417">
        <f>-('Balance Sheet'!ET76*0.03125)/4</f>
        <v>-6.53125</v>
      </c>
      <c r="EU437" s="168">
        <f t="shared" si="288"/>
        <v>-26.125</v>
      </c>
      <c r="EV437" s="134"/>
      <c r="EW437" s="417">
        <f>-('Balance Sheet'!EW76*0.03125)/4</f>
        <v>-6.53125</v>
      </c>
      <c r="EX437" s="417">
        <f>-('Balance Sheet'!EX76*0.03125)/4</f>
        <v>-6.53125</v>
      </c>
      <c r="EY437" s="417">
        <f>-('Balance Sheet'!EY76*0.03125)/4</f>
        <v>-6.53125</v>
      </c>
      <c r="EZ437" s="417">
        <f>-('Balance Sheet'!EZ76*0.03125)/4</f>
        <v>-6.53125</v>
      </c>
      <c r="FA437" s="168">
        <f t="shared" si="289"/>
        <v>-26.125</v>
      </c>
      <c r="FB437" s="134"/>
      <c r="FC437" s="417">
        <f>-('Balance Sheet'!FC76*0.03125)/4</f>
        <v>-6.53125</v>
      </c>
      <c r="FD437" s="417">
        <f>-('Balance Sheet'!FD76*0.03125)/4</f>
        <v>-6.53125</v>
      </c>
      <c r="FE437" s="417">
        <f>-('Balance Sheet'!FE76*0.03125)/4</f>
        <v>-6.53125</v>
      </c>
      <c r="FF437" s="417">
        <f>-('Balance Sheet'!FF76*0.03125)/4</f>
        <v>-6.53125</v>
      </c>
      <c r="FG437" s="168">
        <f t="shared" si="297"/>
        <v>-26.125</v>
      </c>
      <c r="FH437" s="134"/>
      <c r="FI437" s="417">
        <f>-('Balance Sheet'!FI76*0.03125)/4</f>
        <v>-6.53125</v>
      </c>
      <c r="FJ437" s="417">
        <f>-('Balance Sheet'!FJ76*0.03125)/4</f>
        <v>-6.53125</v>
      </c>
      <c r="FK437" s="417">
        <f>-('Balance Sheet'!FK76*0.03125)/4</f>
        <v>-6.53125</v>
      </c>
      <c r="FL437" s="417">
        <f>-('Balance Sheet'!FL76*0.03125)/4</f>
        <v>-6.53125</v>
      </c>
      <c r="FM437" s="168">
        <f t="shared" si="298"/>
        <v>-26.125</v>
      </c>
      <c r="FN437" s="27"/>
      <c r="FO437" s="27"/>
      <c r="FP437" s="27"/>
      <c r="FQ437" s="27"/>
      <c r="FR437" s="27"/>
      <c r="FS437" s="27"/>
      <c r="FT437" s="27"/>
      <c r="FU437" s="27"/>
      <c r="FV437" s="27"/>
      <c r="FW437" s="27"/>
      <c r="FX437" s="27"/>
      <c r="FY437" s="27"/>
      <c r="FZ437" s="27"/>
      <c r="GA437" s="27"/>
      <c r="GB437" s="27"/>
      <c r="GC437" s="27"/>
      <c r="GD437" s="27"/>
      <c r="GE437" s="27"/>
      <c r="GF437" s="27"/>
      <c r="GG437" s="27"/>
      <c r="GH437" s="27"/>
      <c r="GI437"/>
      <c r="GJ437"/>
      <c r="GK437"/>
      <c r="GL437"/>
      <c r="GM437"/>
      <c r="GN437"/>
      <c r="GO437" s="27"/>
      <c r="GP437"/>
      <c r="GQ437"/>
      <c r="GR437"/>
      <c r="GS437"/>
      <c r="GT437"/>
      <c r="GU437"/>
      <c r="GV437"/>
      <c r="GW437"/>
      <c r="GX437"/>
      <c r="GY437"/>
      <c r="GZ437"/>
      <c r="HA437"/>
      <c r="HB437"/>
      <c r="HC437"/>
      <c r="HD437"/>
      <c r="HE437"/>
      <c r="HF437"/>
      <c r="HG437"/>
      <c r="HH437"/>
      <c r="HI437"/>
      <c r="HJ437"/>
      <c r="HK437"/>
      <c r="HL437"/>
      <c r="HM437"/>
      <c r="HN437"/>
      <c r="HO437"/>
      <c r="HP437"/>
      <c r="HQ437"/>
      <c r="HR437"/>
      <c r="HS437"/>
      <c r="HT437"/>
      <c r="HU437"/>
      <c r="HV437"/>
      <c r="HW437"/>
      <c r="HX437"/>
      <c r="HY437"/>
      <c r="HZ437"/>
      <c r="IA437"/>
      <c r="IB437"/>
      <c r="IC437"/>
      <c r="ID437"/>
      <c r="IE437"/>
      <c r="IF437"/>
      <c r="IG437"/>
      <c r="IH437"/>
      <c r="II437"/>
      <c r="IJ437"/>
      <c r="IK437"/>
      <c r="IL437"/>
      <c r="IM437"/>
      <c r="IN437"/>
      <c r="IO437"/>
      <c r="IP437"/>
      <c r="IQ437"/>
      <c r="IR437"/>
      <c r="IS437"/>
      <c r="IT437"/>
      <c r="IU437"/>
      <c r="IV437"/>
      <c r="IW437"/>
      <c r="IX437"/>
      <c r="IY437"/>
      <c r="IZ437"/>
      <c r="JA437"/>
      <c r="JB437"/>
      <c r="JC437"/>
      <c r="JD437"/>
      <c r="JE437"/>
      <c r="JF437"/>
      <c r="JG437"/>
      <c r="JH437"/>
      <c r="JI437"/>
      <c r="JJ437"/>
      <c r="JK437"/>
      <c r="JL437"/>
      <c r="JM437"/>
      <c r="JN437"/>
      <c r="JO437"/>
      <c r="JP437"/>
      <c r="JQ437"/>
      <c r="JR437"/>
      <c r="JS437"/>
      <c r="JT437"/>
      <c r="JU437"/>
    </row>
    <row r="438" spans="1:281" s="28" customFormat="1" ht="12" hidden="1" customHeight="1" outlineLevel="1" x14ac:dyDescent="0.2">
      <c r="A438" s="342" t="str">
        <f>'Balance Sheet'!A77</f>
        <v>July 2026 Notes (2.65%)</v>
      </c>
      <c r="B438" s="414"/>
      <c r="AW438" s="69"/>
      <c r="BC438" s="69"/>
      <c r="BI438" s="69"/>
      <c r="BK438" s="69"/>
      <c r="BL438" s="69"/>
      <c r="BM438" s="69"/>
      <c r="BN438" s="69"/>
      <c r="BO438" s="69"/>
      <c r="BQ438" s="69"/>
      <c r="BR438" s="69"/>
      <c r="BS438" s="69"/>
      <c r="BT438" s="69"/>
      <c r="BU438" s="69"/>
      <c r="BW438" s="69"/>
      <c r="BX438" s="69"/>
      <c r="BY438" s="69"/>
      <c r="BZ438" s="69"/>
      <c r="CA438" s="69"/>
      <c r="CB438" s="134"/>
      <c r="CC438" s="69"/>
      <c r="CD438" s="69"/>
      <c r="CE438" s="69"/>
      <c r="CF438" s="69"/>
      <c r="CG438" s="415"/>
      <c r="CH438" s="134"/>
      <c r="CI438" s="417"/>
      <c r="CJ438" s="81"/>
      <c r="CK438" s="417"/>
      <c r="CL438" s="417"/>
      <c r="CM438" s="416"/>
      <c r="CN438" s="134"/>
      <c r="CO438" s="417"/>
      <c r="CP438" s="417"/>
      <c r="CQ438" s="417"/>
      <c r="CR438" s="417"/>
      <c r="CS438" s="416"/>
      <c r="CT438" s="134"/>
      <c r="CU438" s="417"/>
      <c r="CV438" s="417"/>
      <c r="CW438" s="417"/>
      <c r="CX438" s="417"/>
      <c r="CY438" s="416"/>
      <c r="CZ438" s="134"/>
      <c r="DA438" s="417">
        <f>-('Balance Sheet'!DA86*0.06125)/4</f>
        <v>0</v>
      </c>
      <c r="DB438" s="417">
        <f>-('Balance Sheet'!DB86*0.06125)/4</f>
        <v>0</v>
      </c>
      <c r="DC438" s="417">
        <f>-('Balance Sheet'!DC86*0.06125)/4</f>
        <v>0</v>
      </c>
      <c r="DD438" s="417">
        <f>-('Balance Sheet'!DD86*0.06125)/4</f>
        <v>0</v>
      </c>
      <c r="DE438" s="416"/>
      <c r="DF438" s="134"/>
      <c r="DG438" s="417">
        <f>-('Balance Sheet'!DG77*0.03125)/4</f>
        <v>0</v>
      </c>
      <c r="DH438" s="417">
        <f>-('Balance Sheet'!DH77*0.03125)/4</f>
        <v>0</v>
      </c>
      <c r="DI438" s="417">
        <f>-('Balance Sheet'!DI77*0.03125)/4</f>
        <v>0</v>
      </c>
      <c r="DJ438" s="417">
        <f>-('Balance Sheet'!DJ77*0.03125)/4</f>
        <v>0</v>
      </c>
      <c r="DK438" s="168">
        <f>SUM(DG438:DJ438)</f>
        <v>0</v>
      </c>
      <c r="DL438" s="134"/>
      <c r="DM438" s="417">
        <f>-('Balance Sheet'!DM77*0.03125)/4</f>
        <v>0</v>
      </c>
      <c r="DN438" s="417">
        <f>-('Balance Sheet'!DN77*0.03125)/4</f>
        <v>0</v>
      </c>
      <c r="DO438" s="417">
        <f>-('Balance Sheet'!DO77*0.03125)/4</f>
        <v>0</v>
      </c>
      <c r="DP438" s="417">
        <f>-('Balance Sheet'!DP77*0.03125)/4</f>
        <v>0</v>
      </c>
      <c r="DQ438" s="168">
        <f>SUM(DM438:DP438)</f>
        <v>0</v>
      </c>
      <c r="DR438" s="134"/>
      <c r="DS438" s="417">
        <f>-('Balance Sheet'!DS77*0.0265)/4</f>
        <v>0</v>
      </c>
      <c r="DT438" s="417">
        <f>-('Balance Sheet'!DT77*0.0265)/4</f>
        <v>0</v>
      </c>
      <c r="DU438" s="417">
        <f>-('Balance Sheet'!DU77*0.0265)/4</f>
        <v>0</v>
      </c>
      <c r="DV438" s="417">
        <f>-('Balance Sheet'!DV77*0.0265)/4</f>
        <v>0</v>
      </c>
      <c r="DW438" s="168">
        <f>SUM(DS438:DV438)</f>
        <v>0</v>
      </c>
      <c r="DX438" s="134"/>
      <c r="DY438" s="417">
        <f>-('Balance Sheet'!DY77*0.0265)/4</f>
        <v>0</v>
      </c>
      <c r="DZ438" s="417">
        <f>-('Balance Sheet'!DZ77*0.0265)/4</f>
        <v>0</v>
      </c>
      <c r="EA438" s="417">
        <f>-('Balance Sheet'!EA77*0.0265)/4</f>
        <v>0</v>
      </c>
      <c r="EB438" s="417">
        <f>-('Balance Sheet'!EB77*0.0265)/4</f>
        <v>0</v>
      </c>
      <c r="EC438" s="168">
        <f>SUM(DY438:EB438)</f>
        <v>0</v>
      </c>
      <c r="ED438" s="134"/>
      <c r="EE438" s="417">
        <f>-('Balance Sheet'!EE77*0.0265)/4</f>
        <v>0</v>
      </c>
      <c r="EF438" s="417">
        <f>-('Balance Sheet'!EF77*0.0265)/4</f>
        <v>0</v>
      </c>
      <c r="EG438" s="417">
        <f>-('Balance Sheet'!EG77*0.0265)/4</f>
        <v>0</v>
      </c>
      <c r="EH438" s="417">
        <f>-('Balance Sheet'!EH77*0.0265)/4</f>
        <v>0</v>
      </c>
      <c r="EI438" s="168">
        <f>SUM(EE438:EH438)</f>
        <v>0</v>
      </c>
      <c r="EJ438" s="134"/>
      <c r="EK438" s="417">
        <f>-('Balance Sheet'!EK77*0.0265)/4</f>
        <v>0</v>
      </c>
      <c r="EL438" s="417">
        <f>-('Balance Sheet'!EL77*0.0265)/4</f>
        <v>0</v>
      </c>
      <c r="EM438" s="417">
        <f>-('Balance Sheet'!EM77*0.0265)/4</f>
        <v>0</v>
      </c>
      <c r="EN438" s="417">
        <f>-('Balance Sheet'!EN77*0.0265)/4</f>
        <v>0</v>
      </c>
      <c r="EO438" s="168">
        <f>SUM(EK438:EN438)</f>
        <v>0</v>
      </c>
      <c r="EP438" s="134"/>
      <c r="EQ438" s="417">
        <f>-('Balance Sheet'!EQ77*0.0265)/4*(2/3)</f>
        <v>-13.25</v>
      </c>
      <c r="ER438" s="417">
        <f>-('Balance Sheet'!ER77*0.0265)/4</f>
        <v>-19.875</v>
      </c>
      <c r="ES438" s="417">
        <f>-('Balance Sheet'!ES77*0.0265)/4</f>
        <v>-19.875</v>
      </c>
      <c r="ET438" s="417">
        <f>-('Balance Sheet'!ET77*0.0265)/4</f>
        <v>-19.875</v>
      </c>
      <c r="EU438" s="168">
        <f>SUM(EQ438:ET438)</f>
        <v>-72.875</v>
      </c>
      <c r="EV438" s="134"/>
      <c r="EW438" s="417">
        <f>-('Balance Sheet'!EW77*0.0265)/4</f>
        <v>-19.875</v>
      </c>
      <c r="EX438" s="417">
        <f>-('Balance Sheet'!EX77*0.0265)/4</f>
        <v>-19.875</v>
      </c>
      <c r="EY438" s="417">
        <f>-('Balance Sheet'!EY77*0.0265)/4</f>
        <v>-19.875</v>
      </c>
      <c r="EZ438" s="417">
        <f>-('Balance Sheet'!EZ77*0.0265)/4</f>
        <v>-19.875</v>
      </c>
      <c r="FA438" s="168">
        <f>SUM(EW438:EZ438)</f>
        <v>-79.5</v>
      </c>
      <c r="FB438" s="134"/>
      <c r="FC438" s="417">
        <f>-('Balance Sheet'!FC77*0.0265)/4</f>
        <v>-19.875</v>
      </c>
      <c r="FD438" s="417">
        <f>-('Balance Sheet'!FD77*0.0265)/4</f>
        <v>-19.875</v>
      </c>
      <c r="FE438" s="417">
        <f>-('Balance Sheet'!FE77*0.0265)/4</f>
        <v>-19.875</v>
      </c>
      <c r="FF438" s="417">
        <f>-('Balance Sheet'!FF77*0.0265)/4</f>
        <v>-19.875</v>
      </c>
      <c r="FG438" s="168">
        <f>SUM(FC438:FF438)</f>
        <v>-79.5</v>
      </c>
      <c r="FH438" s="134"/>
      <c r="FI438" s="417">
        <f>-('Balance Sheet'!FI77*0.0265)/4</f>
        <v>-19.875</v>
      </c>
      <c r="FJ438" s="417">
        <f>-('Balance Sheet'!FJ77*0.0265)/4</f>
        <v>-19.875</v>
      </c>
      <c r="FK438" s="417">
        <f>-('Balance Sheet'!FK77*0.0265)/4</f>
        <v>-19.875</v>
      </c>
      <c r="FL438" s="417">
        <f>-('Balance Sheet'!FL77*0.0265)/4</f>
        <v>-19.875</v>
      </c>
      <c r="FM438" s="168">
        <f>SUM(FI438:FL438)</f>
        <v>-79.5</v>
      </c>
      <c r="FN438" s="27"/>
      <c r="FO438" s="27"/>
      <c r="FP438" s="27"/>
      <c r="FQ438" s="27"/>
      <c r="FR438" s="27"/>
      <c r="FS438" s="27"/>
      <c r="FT438" s="27"/>
      <c r="FU438" s="27"/>
      <c r="FV438" s="27"/>
      <c r="FW438" s="27"/>
      <c r="FX438" s="27"/>
      <c r="FY438" s="27"/>
      <c r="FZ438" s="27"/>
      <c r="GA438" s="27"/>
      <c r="GB438" s="27"/>
      <c r="GC438" s="27"/>
      <c r="GD438" s="27"/>
      <c r="GE438" s="27"/>
      <c r="GF438" s="27"/>
      <c r="GG438" s="27"/>
      <c r="GH438" s="27"/>
      <c r="GI438"/>
      <c r="GJ438"/>
      <c r="GK438"/>
      <c r="GL438"/>
      <c r="GM438"/>
      <c r="GN438"/>
      <c r="GO438" s="27"/>
      <c r="GP438"/>
      <c r="GQ438"/>
      <c r="GR438"/>
      <c r="GS438"/>
      <c r="GT438"/>
      <c r="GU438"/>
      <c r="GV438"/>
      <c r="GW438"/>
      <c r="GX438"/>
      <c r="GY438"/>
      <c r="GZ438"/>
      <c r="HA438"/>
      <c r="HB438"/>
      <c r="HC438"/>
      <c r="HD438"/>
      <c r="HE438"/>
      <c r="HF438"/>
      <c r="HG438"/>
      <c r="HH438"/>
      <c r="HI438"/>
      <c r="HJ438"/>
      <c r="HK438"/>
      <c r="HL438"/>
      <c r="HM438"/>
      <c r="HN438"/>
      <c r="HO438"/>
      <c r="HP438"/>
      <c r="HQ438"/>
      <c r="HR438"/>
      <c r="HS438"/>
      <c r="HT438"/>
      <c r="HU438"/>
      <c r="HV438"/>
      <c r="HW438"/>
      <c r="HX438"/>
      <c r="HY438"/>
      <c r="HZ438"/>
      <c r="IA438"/>
      <c r="IB438"/>
      <c r="IC438"/>
      <c r="ID438"/>
      <c r="IE438"/>
      <c r="IF438"/>
      <c r="IG438"/>
      <c r="IH438"/>
      <c r="II438"/>
      <c r="IJ438"/>
      <c r="IK438"/>
      <c r="IL438"/>
      <c r="IM438"/>
      <c r="IN438"/>
      <c r="IO438"/>
      <c r="IP438"/>
      <c r="IQ438"/>
      <c r="IR438"/>
      <c r="IS438"/>
      <c r="IT438"/>
      <c r="IU438"/>
      <c r="IV438"/>
      <c r="IW438"/>
      <c r="IX438"/>
      <c r="IY438"/>
      <c r="IZ438"/>
      <c r="JA438"/>
      <c r="JB438"/>
      <c r="JC438"/>
      <c r="JD438"/>
      <c r="JE438"/>
      <c r="JF438"/>
      <c r="JG438"/>
      <c r="JH438"/>
      <c r="JI438"/>
      <c r="JJ438"/>
      <c r="JK438"/>
      <c r="JL438"/>
      <c r="JM438"/>
      <c r="JN438"/>
      <c r="JO438"/>
      <c r="JP438"/>
      <c r="JQ438"/>
      <c r="JR438"/>
      <c r="JS438"/>
      <c r="JT438"/>
      <c r="JU438"/>
    </row>
    <row r="439" spans="1:281" s="28" customFormat="1" ht="12" hidden="1" customHeight="1" outlineLevel="1" x14ac:dyDescent="0.2">
      <c r="A439" s="342" t="str">
        <f>'Balance Sheet'!A78</f>
        <v>Nov 2027 Notes (3.250%)</v>
      </c>
      <c r="B439" s="414"/>
      <c r="AW439" s="69"/>
      <c r="BC439" s="69"/>
      <c r="BI439" s="69"/>
      <c r="BK439" s="69"/>
      <c r="BL439" s="69"/>
      <c r="BM439" s="69"/>
      <c r="BN439" s="69"/>
      <c r="BO439" s="69"/>
      <c r="BQ439" s="69"/>
      <c r="BR439" s="69"/>
      <c r="BS439" s="69"/>
      <c r="BT439" s="69"/>
      <c r="BU439" s="69"/>
      <c r="BW439" s="69"/>
      <c r="BX439" s="69"/>
      <c r="BY439" s="69"/>
      <c r="BZ439" s="69"/>
      <c r="CA439" s="69"/>
      <c r="CB439" s="134"/>
      <c r="CC439" s="69"/>
      <c r="CD439" s="69"/>
      <c r="CE439" s="69"/>
      <c r="CF439" s="69"/>
      <c r="CG439" s="415"/>
      <c r="CH439" s="134"/>
      <c r="CI439" s="417"/>
      <c r="CJ439" s="81"/>
      <c r="CK439" s="417"/>
      <c r="CL439" s="417"/>
      <c r="CM439" s="416"/>
      <c r="CN439" s="134"/>
      <c r="CO439" s="417"/>
      <c r="CP439" s="417"/>
      <c r="CQ439" s="417"/>
      <c r="CR439" s="417"/>
      <c r="CS439" s="416"/>
      <c r="CT439" s="134"/>
      <c r="CU439" s="417"/>
      <c r="CV439" s="417"/>
      <c r="CW439" s="417"/>
      <c r="CX439" s="417"/>
      <c r="CY439" s="416"/>
      <c r="CZ439" s="134"/>
      <c r="DA439" s="417"/>
      <c r="DB439" s="417"/>
      <c r="DC439" s="417"/>
      <c r="DD439" s="417"/>
      <c r="DE439" s="416"/>
      <c r="DF439" s="134"/>
      <c r="DG439" s="417"/>
      <c r="DH439" s="417"/>
      <c r="DI439" s="417"/>
      <c r="DJ439" s="417"/>
      <c r="DK439" s="168"/>
      <c r="DL439" s="134"/>
      <c r="DM439" s="417"/>
      <c r="DN439" s="417"/>
      <c r="DO439" s="417"/>
      <c r="DP439" s="417"/>
      <c r="DQ439" s="168"/>
      <c r="DR439" s="134"/>
      <c r="DS439" s="417"/>
      <c r="DT439" s="417"/>
      <c r="DU439" s="417"/>
      <c r="DV439" s="417"/>
      <c r="DW439" s="168"/>
      <c r="DX439" s="134"/>
      <c r="DY439" s="417"/>
      <c r="DZ439" s="417"/>
      <c r="EA439" s="417"/>
      <c r="EB439" s="417"/>
      <c r="EC439" s="168"/>
      <c r="ED439" s="134"/>
      <c r="EE439" s="417"/>
      <c r="EF439" s="417"/>
      <c r="EG439" s="417"/>
      <c r="EH439" s="417"/>
      <c r="EI439" s="168"/>
      <c r="EJ439" s="134"/>
      <c r="EK439" s="417"/>
      <c r="EL439" s="417"/>
      <c r="EM439" s="417"/>
      <c r="EN439" s="417"/>
      <c r="EO439" s="168"/>
      <c r="EP439" s="134"/>
      <c r="EQ439" s="417"/>
      <c r="ER439" s="417"/>
      <c r="ES439" s="417"/>
      <c r="ET439" s="417"/>
      <c r="EU439" s="168"/>
      <c r="EV439" s="134"/>
      <c r="EW439" s="417">
        <f>-('Balance Sheet'!EW78*0.0325)/4</f>
        <v>0</v>
      </c>
      <c r="EX439" s="417">
        <f>-('Balance Sheet'!EX78*0.0325)/4</f>
        <v>-22.34375</v>
      </c>
      <c r="EY439" s="417">
        <f>-('Balance Sheet'!EY78*0.0325)/4</f>
        <v>-22.34375</v>
      </c>
      <c r="EZ439" s="417">
        <f>-('Balance Sheet'!EZ78*0.0325)/4</f>
        <v>-22.34375</v>
      </c>
      <c r="FA439" s="168">
        <f>SUM(EW439:EZ439)</f>
        <v>-67.03125</v>
      </c>
      <c r="FB439" s="134"/>
      <c r="FC439" s="417">
        <f>-('Balance Sheet'!FC78*0.0325)/4</f>
        <v>-22.34375</v>
      </c>
      <c r="FD439" s="417">
        <f>-('Balance Sheet'!FD78*0.0325)/4</f>
        <v>-22.34375</v>
      </c>
      <c r="FE439" s="417">
        <f>-('Balance Sheet'!FE78*0.0325)/4</f>
        <v>-22.34375</v>
      </c>
      <c r="FF439" s="417">
        <f>-('Balance Sheet'!FF78*0.0325)/4</f>
        <v>-22.34375</v>
      </c>
      <c r="FG439" s="168">
        <f>SUM(FC439:FF439)</f>
        <v>-89.375</v>
      </c>
      <c r="FH439" s="134"/>
      <c r="FI439" s="417">
        <f>-('Balance Sheet'!FI78*0.0325)/4</f>
        <v>-22.34375</v>
      </c>
      <c r="FJ439" s="417">
        <f>-('Balance Sheet'!FJ78*0.0325)/4</f>
        <v>-22.34375</v>
      </c>
      <c r="FK439" s="417">
        <f>-('Balance Sheet'!FK78*0.0325)/4</f>
        <v>-22.34375</v>
      </c>
      <c r="FL439" s="417">
        <f>-('Balance Sheet'!FL78*0.0325)/4</f>
        <v>-22.34375</v>
      </c>
      <c r="FM439" s="168">
        <f>SUM(FI439:FL439)</f>
        <v>-89.375</v>
      </c>
      <c r="FN439" s="27"/>
      <c r="FO439" s="27"/>
      <c r="FP439" s="27"/>
      <c r="FQ439" s="27"/>
      <c r="FR439" s="27"/>
      <c r="FS439" s="27"/>
      <c r="FT439" s="27"/>
      <c r="FU439" s="27"/>
      <c r="FV439" s="27"/>
      <c r="FW439" s="27"/>
      <c r="FX439" s="27"/>
      <c r="FY439" s="27"/>
      <c r="FZ439" s="27"/>
      <c r="GA439" s="27"/>
      <c r="GB439" s="27"/>
      <c r="GC439" s="27"/>
      <c r="GD439" s="27"/>
      <c r="GE439" s="27"/>
      <c r="GF439" s="27"/>
      <c r="GG439" s="27"/>
      <c r="GH439" s="27"/>
      <c r="GI439"/>
      <c r="GJ439"/>
      <c r="GK439"/>
      <c r="GL439"/>
      <c r="GM439"/>
      <c r="GN439"/>
      <c r="GO439" s="27"/>
      <c r="GP439"/>
      <c r="GQ439"/>
      <c r="GR439"/>
      <c r="GS439"/>
      <c r="GT439"/>
      <c r="GU439"/>
      <c r="GV439"/>
      <c r="GW439"/>
      <c r="GX439"/>
      <c r="GY439"/>
      <c r="GZ439"/>
      <c r="HA439"/>
      <c r="HB439"/>
      <c r="HC439"/>
      <c r="HD439"/>
      <c r="HE439"/>
      <c r="HF439"/>
      <c r="HG439"/>
      <c r="HH439"/>
      <c r="HI439"/>
      <c r="HJ439"/>
      <c r="HK439"/>
      <c r="HL439"/>
      <c r="HM439"/>
      <c r="HN439"/>
      <c r="HO439"/>
      <c r="HP439"/>
      <c r="HQ439"/>
      <c r="HR439"/>
      <c r="HS439"/>
      <c r="HT439"/>
      <c r="HU439"/>
      <c r="HV439"/>
      <c r="HW439"/>
      <c r="HX439"/>
      <c r="HY439"/>
      <c r="HZ439"/>
      <c r="IA439"/>
      <c r="IB439"/>
      <c r="IC439"/>
      <c r="ID439"/>
      <c r="IE439"/>
      <c r="IF439"/>
      <c r="IG439"/>
      <c r="IH439"/>
      <c r="II439"/>
      <c r="IJ439"/>
      <c r="IK439"/>
      <c r="IL439"/>
      <c r="IM439"/>
      <c r="IN439"/>
      <c r="IO439"/>
      <c r="IP439"/>
      <c r="IQ439"/>
      <c r="IR439"/>
      <c r="IS439"/>
      <c r="IT439"/>
      <c r="IU439"/>
      <c r="IV439"/>
      <c r="IW439"/>
      <c r="IX439"/>
      <c r="IY439"/>
      <c r="IZ439"/>
      <c r="JA439"/>
      <c r="JB439"/>
      <c r="JC439"/>
      <c r="JD439"/>
      <c r="JE439"/>
      <c r="JF439"/>
      <c r="JG439"/>
      <c r="JH439"/>
      <c r="JI439"/>
      <c r="JJ439"/>
      <c r="JK439"/>
      <c r="JL439"/>
      <c r="JM439"/>
      <c r="JN439"/>
      <c r="JO439"/>
      <c r="JP439"/>
      <c r="JQ439"/>
      <c r="JR439"/>
      <c r="JS439"/>
      <c r="JT439"/>
      <c r="JU439"/>
    </row>
    <row r="440" spans="1:281" s="28" customFormat="1" ht="12" hidden="1" customHeight="1" outlineLevel="1" x14ac:dyDescent="0.2">
      <c r="A440" s="342" t="str">
        <f>'Balance Sheet'!A79</f>
        <v>May 2030 Notes (3.25%)</v>
      </c>
      <c r="B440" s="414"/>
      <c r="AW440" s="69"/>
      <c r="BC440" s="69"/>
      <c r="BI440" s="69"/>
      <c r="BK440" s="69"/>
      <c r="BL440" s="69"/>
      <c r="BM440" s="69"/>
      <c r="BN440" s="69"/>
      <c r="BO440" s="69"/>
      <c r="BQ440" s="69"/>
      <c r="BR440" s="69"/>
      <c r="BS440" s="69"/>
      <c r="BT440" s="69"/>
      <c r="BU440" s="69"/>
      <c r="BW440" s="69"/>
      <c r="BX440" s="69"/>
      <c r="BY440" s="69"/>
      <c r="BZ440" s="69"/>
      <c r="CA440" s="69"/>
      <c r="CB440" s="134"/>
      <c r="CC440" s="69"/>
      <c r="CD440" s="69"/>
      <c r="CE440" s="69"/>
      <c r="CF440" s="69"/>
      <c r="CG440" s="415"/>
      <c r="CH440" s="134"/>
      <c r="CI440" s="417"/>
      <c r="CJ440" s="81"/>
      <c r="CK440" s="417"/>
      <c r="CL440" s="417"/>
      <c r="CM440" s="416"/>
      <c r="CN440" s="134"/>
      <c r="CO440" s="417"/>
      <c r="CP440" s="417"/>
      <c r="CQ440" s="417"/>
      <c r="CR440" s="417"/>
      <c r="CS440" s="416"/>
      <c r="CT440" s="134"/>
      <c r="CU440" s="417"/>
      <c r="CV440" s="417"/>
      <c r="CW440" s="417"/>
      <c r="CX440" s="417"/>
      <c r="CY440" s="416"/>
      <c r="CZ440" s="134"/>
      <c r="DA440" s="417"/>
      <c r="DB440" s="417"/>
      <c r="DC440" s="417"/>
      <c r="DD440" s="417"/>
      <c r="DE440" s="416"/>
      <c r="DF440" s="134"/>
      <c r="DG440" s="417">
        <f>-('Balance Sheet'!DG79*0.0325)/4</f>
        <v>0</v>
      </c>
      <c r="DH440" s="417">
        <f>-('Balance Sheet'!DH79*0.0325)/4</f>
        <v>0</v>
      </c>
      <c r="DI440" s="417">
        <f>-('Balance Sheet'!DI79*0.0325)/4</f>
        <v>0</v>
      </c>
      <c r="DJ440" s="417">
        <f>-('Balance Sheet'!DJ79*0.0325)/4</f>
        <v>0</v>
      </c>
      <c r="DK440" s="168">
        <f t="shared" si="282"/>
        <v>0</v>
      </c>
      <c r="DL440" s="134"/>
      <c r="DM440" s="417">
        <f>-('Balance Sheet'!DM79*0.0325)/4</f>
        <v>0</v>
      </c>
      <c r="DN440" s="417">
        <f>-('Balance Sheet'!DN79*0.0325)/4</f>
        <v>0</v>
      </c>
      <c r="DO440" s="417">
        <f>-('Balance Sheet'!DO79*0.0325)/4</f>
        <v>0</v>
      </c>
      <c r="DP440" s="417">
        <f>-('Balance Sheet'!DP79*0.0325)/4</f>
        <v>0</v>
      </c>
      <c r="DQ440" s="168">
        <f t="shared" si="283"/>
        <v>0</v>
      </c>
      <c r="DR440" s="134"/>
      <c r="DS440" s="417">
        <f>-('Balance Sheet'!DS79*0.0325)/4</f>
        <v>0</v>
      </c>
      <c r="DT440" s="417">
        <f>-('Balance Sheet'!DT79*0.0325)/4</f>
        <v>0</v>
      </c>
      <c r="DU440" s="417">
        <f>-('Balance Sheet'!DU79*0.0325)/4</f>
        <v>0</v>
      </c>
      <c r="DV440" s="417">
        <f>-('Balance Sheet'!DV79*0.0325)/4</f>
        <v>0</v>
      </c>
      <c r="DW440" s="168">
        <f t="shared" si="284"/>
        <v>0</v>
      </c>
      <c r="DX440" s="134"/>
      <c r="DY440" s="417">
        <f>-('Balance Sheet'!DY79*0.0325)/4</f>
        <v>0</v>
      </c>
      <c r="DZ440" s="417">
        <f>-('Balance Sheet'!DZ79*0.0325)/4</f>
        <v>0</v>
      </c>
      <c r="EA440" s="417">
        <f>-('Balance Sheet'!EA79*0.0325)/4</f>
        <v>0</v>
      </c>
      <c r="EB440" s="417">
        <f>-('Balance Sheet'!EB79*0.0325)/4</f>
        <v>0</v>
      </c>
      <c r="EC440" s="168">
        <f t="shared" si="285"/>
        <v>0</v>
      </c>
      <c r="ED440" s="134"/>
      <c r="EE440" s="417">
        <f>-('Balance Sheet'!EE79*0.0325)/4</f>
        <v>0</v>
      </c>
      <c r="EF440" s="417">
        <f>-('Balance Sheet'!EF79*0.0325)/4</f>
        <v>0</v>
      </c>
      <c r="EG440" s="417">
        <f>-('Balance Sheet'!EG79*0.0325)/4</f>
        <v>0</v>
      </c>
      <c r="EH440" s="417">
        <f>-('Balance Sheet'!EH79*0.0325)/4</f>
        <v>-4.0625</v>
      </c>
      <c r="EI440" s="168">
        <f t="shared" si="286"/>
        <v>-4.0625</v>
      </c>
      <c r="EJ440" s="134"/>
      <c r="EK440" s="417">
        <f>-('Balance Sheet'!EK79*0.0325)/4</f>
        <v>-4.0625</v>
      </c>
      <c r="EL440" s="417">
        <f>-('Balance Sheet'!EL79*0.0325)/4</f>
        <v>-4.0625</v>
      </c>
      <c r="EM440" s="417">
        <f>-('Balance Sheet'!EM79*0.0325)/4</f>
        <v>-4.0625</v>
      </c>
      <c r="EN440" s="417">
        <f>-('Balance Sheet'!EN79*0.0325)/4</f>
        <v>-4.0625</v>
      </c>
      <c r="EO440" s="168">
        <f t="shared" si="287"/>
        <v>-16.25</v>
      </c>
      <c r="EP440" s="134"/>
      <c r="EQ440" s="417">
        <f>-('Balance Sheet'!EQ79*0.0325)/4</f>
        <v>-4.0625</v>
      </c>
      <c r="ER440" s="417">
        <f>-('Balance Sheet'!ER79*0.0325)/4</f>
        <v>-4.0625</v>
      </c>
      <c r="ES440" s="417">
        <f>-('Balance Sheet'!ES79*0.0325)/4</f>
        <v>-4.0625</v>
      </c>
      <c r="ET440" s="417">
        <f>-('Balance Sheet'!ET79*0.0325)/4</f>
        <v>-4.0625</v>
      </c>
      <c r="EU440" s="168">
        <f t="shared" si="288"/>
        <v>-16.25</v>
      </c>
      <c r="EV440" s="134"/>
      <c r="EW440" s="417">
        <f>-('Balance Sheet'!EW79*0.0325)/4</f>
        <v>-4.0625</v>
      </c>
      <c r="EX440" s="417">
        <f>-('Balance Sheet'!EX79*0.0325)/4</f>
        <v>-4.0625</v>
      </c>
      <c r="EY440" s="417">
        <f>-('Balance Sheet'!EY79*0.0325)/4</f>
        <v>-4.0625</v>
      </c>
      <c r="EZ440" s="417">
        <f>-('Balance Sheet'!EZ79*0.0325)/4</f>
        <v>-4.0625</v>
      </c>
      <c r="FA440" s="168">
        <f t="shared" si="289"/>
        <v>-16.25</v>
      </c>
      <c r="FB440" s="134"/>
      <c r="FC440" s="417">
        <f>-('Balance Sheet'!FC79*0.0325)/4</f>
        <v>-4.0625</v>
      </c>
      <c r="FD440" s="417">
        <f>-('Balance Sheet'!FD79*0.0325)/4</f>
        <v>-4.0625</v>
      </c>
      <c r="FE440" s="417">
        <f>-('Balance Sheet'!FE79*0.0325)/4</f>
        <v>-4.0625</v>
      </c>
      <c r="FF440" s="417">
        <f>-('Balance Sheet'!FF79*0.0325)/4</f>
        <v>-4.0625</v>
      </c>
      <c r="FG440" s="168">
        <f t="shared" si="297"/>
        <v>-16.25</v>
      </c>
      <c r="FH440" s="134"/>
      <c r="FI440" s="417">
        <f>-('Balance Sheet'!FI79*0.0325)/4</f>
        <v>-4.0625</v>
      </c>
      <c r="FJ440" s="417">
        <f>-('Balance Sheet'!FJ79*0.0325)/4</f>
        <v>-4.0625</v>
      </c>
      <c r="FK440" s="417">
        <f>-('Balance Sheet'!FK79*0.0325)/4</f>
        <v>-4.0625</v>
      </c>
      <c r="FL440" s="417">
        <f>-('Balance Sheet'!FL79*0.0325)/4</f>
        <v>-4.0625</v>
      </c>
      <c r="FM440" s="168">
        <f t="shared" ref="FM440:FM442" si="299">SUM(FI440:FL440)</f>
        <v>-16.25</v>
      </c>
      <c r="FN440" s="27"/>
      <c r="FO440" s="27"/>
      <c r="FP440" s="27"/>
      <c r="FQ440" s="27"/>
      <c r="FR440" s="27"/>
      <c r="FS440" s="27"/>
      <c r="FT440" s="27"/>
      <c r="FU440" s="27"/>
      <c r="FV440" s="27"/>
      <c r="FW440" s="27"/>
      <c r="FX440" s="27"/>
      <c r="FY440" s="27"/>
      <c r="FZ440" s="27"/>
      <c r="GA440" s="27"/>
      <c r="GB440" s="27"/>
      <c r="GC440" s="27"/>
      <c r="GD440" s="27"/>
      <c r="GE440" s="27"/>
      <c r="GF440" s="27"/>
      <c r="GG440" s="27"/>
      <c r="GH440" s="27"/>
      <c r="GI440"/>
      <c r="GJ440"/>
      <c r="GK440"/>
      <c r="GL440"/>
      <c r="GM440"/>
      <c r="GN440"/>
      <c r="GO440" s="27"/>
      <c r="GP440"/>
      <c r="GQ440"/>
      <c r="GR440"/>
      <c r="GS440"/>
      <c r="GT440"/>
      <c r="GU440"/>
      <c r="GV440"/>
      <c r="GW440"/>
      <c r="GX440"/>
      <c r="GY440"/>
      <c r="GZ440"/>
      <c r="HA440"/>
      <c r="HB440"/>
      <c r="HC440"/>
      <c r="HD440"/>
      <c r="HE440"/>
      <c r="HF440"/>
      <c r="HG440"/>
      <c r="HH440"/>
      <c r="HI440"/>
      <c r="HJ440"/>
      <c r="HK440"/>
      <c r="HL440"/>
      <c r="HM440"/>
      <c r="HN440"/>
      <c r="HO440"/>
      <c r="HP440"/>
      <c r="HQ440"/>
      <c r="HR440"/>
      <c r="HS440"/>
      <c r="HT440"/>
      <c r="HU440"/>
      <c r="HV440"/>
      <c r="HW440"/>
      <c r="HX440"/>
      <c r="HY440"/>
      <c r="HZ440"/>
      <c r="IA440"/>
      <c r="IB440"/>
      <c r="IC440"/>
      <c r="ID440"/>
      <c r="IE440"/>
      <c r="IF440"/>
      <c r="IG440"/>
      <c r="IH440"/>
      <c r="II440"/>
      <c r="IJ440"/>
      <c r="IK440"/>
      <c r="IL440"/>
      <c r="IM440"/>
      <c r="IN440"/>
      <c r="IO440"/>
      <c r="IP440"/>
      <c r="IQ440"/>
      <c r="IR440"/>
      <c r="IS440"/>
      <c r="IT440"/>
      <c r="IU440"/>
      <c r="IV440"/>
      <c r="IW440"/>
      <c r="IX440"/>
      <c r="IY440"/>
      <c r="IZ440"/>
      <c r="JA440"/>
      <c r="JB440"/>
      <c r="JC440"/>
      <c r="JD440"/>
      <c r="JE440"/>
      <c r="JF440"/>
      <c r="JG440"/>
      <c r="JH440"/>
      <c r="JI440"/>
      <c r="JJ440"/>
      <c r="JK440"/>
      <c r="JL440"/>
      <c r="JM440"/>
      <c r="JN440"/>
      <c r="JO440"/>
      <c r="JP440"/>
      <c r="JQ440"/>
      <c r="JR440"/>
      <c r="JS440"/>
      <c r="JT440"/>
      <c r="JU440"/>
    </row>
    <row r="441" spans="1:281" s="28" customFormat="1" ht="12" hidden="1" customHeight="1" outlineLevel="1" x14ac:dyDescent="0.2">
      <c r="A441" s="342" t="str">
        <f>'Balance Sheet'!A80</f>
        <v>July 2034 (4.3%)</v>
      </c>
      <c r="B441" s="414"/>
      <c r="AW441" s="69"/>
      <c r="BC441" s="69"/>
      <c r="BI441" s="69"/>
      <c r="BK441" s="69"/>
      <c r="BL441" s="69"/>
      <c r="BM441" s="69"/>
      <c r="BN441" s="69"/>
      <c r="BO441" s="69"/>
      <c r="BQ441" s="69"/>
      <c r="BR441" s="69"/>
      <c r="BS441" s="69"/>
      <c r="BT441" s="69"/>
      <c r="BU441" s="69"/>
      <c r="BW441" s="69"/>
      <c r="BX441" s="69"/>
      <c r="BY441" s="69"/>
      <c r="BZ441" s="69"/>
      <c r="CA441" s="69"/>
      <c r="CB441" s="134"/>
      <c r="CC441" s="69"/>
      <c r="CD441" s="69"/>
      <c r="CE441" s="69"/>
      <c r="CF441" s="69"/>
      <c r="CG441" s="415"/>
      <c r="CH441" s="134"/>
      <c r="CI441" s="417"/>
      <c r="CJ441" s="81"/>
      <c r="CK441" s="417"/>
      <c r="CL441" s="417"/>
      <c r="CM441" s="416"/>
      <c r="CN441" s="134"/>
      <c r="CO441" s="417"/>
      <c r="CP441" s="417"/>
      <c r="CQ441" s="417"/>
      <c r="CR441" s="417"/>
      <c r="CS441" s="416"/>
      <c r="CT441" s="134"/>
      <c r="CU441" s="417"/>
      <c r="CV441" s="417"/>
      <c r="CW441" s="417"/>
      <c r="CX441" s="417"/>
      <c r="CY441" s="416"/>
      <c r="CZ441" s="134"/>
      <c r="DA441" s="417"/>
      <c r="DB441" s="417"/>
      <c r="DC441" s="417"/>
      <c r="DD441" s="417"/>
      <c r="DE441" s="416"/>
      <c r="DF441" s="134"/>
      <c r="DG441" s="417">
        <f>-('Balance Sheet'!DG80*0.043)/4</f>
        <v>0</v>
      </c>
      <c r="DH441" s="417">
        <f>-('Balance Sheet'!DH80*0.043)/4</f>
        <v>0</v>
      </c>
      <c r="DI441" s="417">
        <f>-('Balance Sheet'!DI80*0.043)/4</f>
        <v>0</v>
      </c>
      <c r="DJ441" s="417">
        <f>-('Balance Sheet'!DJ80*0.043)/4</f>
        <v>0</v>
      </c>
      <c r="DK441" s="168">
        <f t="shared" si="282"/>
        <v>0</v>
      </c>
      <c r="DL441" s="134"/>
      <c r="DM441" s="417">
        <f>-('Balance Sheet'!DM80*0.043)/4</f>
        <v>0</v>
      </c>
      <c r="DN441" s="417">
        <f>-('Balance Sheet'!DN80*0.043)/4</f>
        <v>0</v>
      </c>
      <c r="DO441" s="417">
        <f>-('Balance Sheet'!DO80*0.043)/4</f>
        <v>0</v>
      </c>
      <c r="DP441" s="417">
        <f>-('Balance Sheet'!DP80*0.043)/4</f>
        <v>0</v>
      </c>
      <c r="DQ441" s="168">
        <f t="shared" si="283"/>
        <v>0</v>
      </c>
      <c r="DR441" s="134"/>
      <c r="DS441" s="417">
        <f>-('Balance Sheet'!DS80*0.043)/4</f>
        <v>0</v>
      </c>
      <c r="DT441" s="417">
        <f>-('Balance Sheet'!DT80*0.043)/4</f>
        <v>0</v>
      </c>
      <c r="DU441" s="417">
        <f>-('Balance Sheet'!DU80*0.043)/4</f>
        <v>0</v>
      </c>
      <c r="DV441" s="417">
        <f>-('Balance Sheet'!DV80*0.043)/4</f>
        <v>0</v>
      </c>
      <c r="DW441" s="168">
        <f t="shared" si="284"/>
        <v>0</v>
      </c>
      <c r="DX441" s="134"/>
      <c r="DY441" s="417">
        <f>-('Balance Sheet'!DY80*0.043)/4</f>
        <v>0</v>
      </c>
      <c r="DZ441" s="417">
        <f>-('Balance Sheet'!DZ80*0.043)/4</f>
        <v>0</v>
      </c>
      <c r="EA441" s="417">
        <f>-('Balance Sheet'!EA80*0.043)/4</f>
        <v>0</v>
      </c>
      <c r="EB441" s="417">
        <f>-('Balance Sheet'!EB80*0.043)/4</f>
        <v>0</v>
      </c>
      <c r="EC441" s="168">
        <f t="shared" si="285"/>
        <v>0</v>
      </c>
      <c r="ED441" s="134"/>
      <c r="EE441" s="417">
        <f>-('Balance Sheet'!EE80*0.043)/4</f>
        <v>0</v>
      </c>
      <c r="EF441" s="417">
        <f>-('Balance Sheet'!EF80*0.043)/4</f>
        <v>0</v>
      </c>
      <c r="EG441" s="417">
        <f>-('Balance Sheet'!EG80*0.043)/4</f>
        <v>0</v>
      </c>
      <c r="EH441" s="417">
        <f>-('Balance Sheet'!EH80*0.043)/4</f>
        <v>0</v>
      </c>
      <c r="EI441" s="168">
        <f t="shared" si="286"/>
        <v>0</v>
      </c>
      <c r="EJ441" s="134"/>
      <c r="EK441" s="417">
        <f>-('Balance Sheet'!EK80*0.043)/4</f>
        <v>-18.8125</v>
      </c>
      <c r="EL441" s="417">
        <f>-('Balance Sheet'!EL80*0.043)/4</f>
        <v>-18.8125</v>
      </c>
      <c r="EM441" s="417">
        <f>-('Balance Sheet'!EM80*0.043)/4</f>
        <v>-18.8125</v>
      </c>
      <c r="EN441" s="417">
        <f>-('Balance Sheet'!EN80*0.043)/4</f>
        <v>-18.8125</v>
      </c>
      <c r="EO441" s="168">
        <f t="shared" si="287"/>
        <v>-75.25</v>
      </c>
      <c r="EP441" s="134"/>
      <c r="EQ441" s="417">
        <f>-('Balance Sheet'!EQ80*0.043)/4</f>
        <v>-18.8125</v>
      </c>
      <c r="ER441" s="417">
        <f>-('Balance Sheet'!ER80*0.043)/4</f>
        <v>-18.8125</v>
      </c>
      <c r="ES441" s="417">
        <f>-('Balance Sheet'!ES80*0.043)/4</f>
        <v>-18.8125</v>
      </c>
      <c r="ET441" s="417">
        <f>-('Balance Sheet'!ET80*0.043)/4</f>
        <v>-18.8125</v>
      </c>
      <c r="EU441" s="168">
        <f t="shared" si="288"/>
        <v>-75.25</v>
      </c>
      <c r="EV441" s="134"/>
      <c r="EW441" s="417">
        <f>-('Balance Sheet'!EW80*0.043)/4</f>
        <v>-18.8125</v>
      </c>
      <c r="EX441" s="417">
        <f>-('Balance Sheet'!EX80*0.043)/4</f>
        <v>-18.8125</v>
      </c>
      <c r="EY441" s="417">
        <f>-('Balance Sheet'!EY80*0.043)/4</f>
        <v>-18.8125</v>
      </c>
      <c r="EZ441" s="417">
        <f>-('Balance Sheet'!EZ80*0.043)/4</f>
        <v>-18.8125</v>
      </c>
      <c r="FA441" s="168">
        <f t="shared" si="289"/>
        <v>-75.25</v>
      </c>
      <c r="FB441" s="134"/>
      <c r="FC441" s="417">
        <f>-('Balance Sheet'!FC80*0.043)/4</f>
        <v>-18.8125</v>
      </c>
      <c r="FD441" s="417">
        <f>-('Balance Sheet'!FD80*0.043)/4</f>
        <v>-18.8125</v>
      </c>
      <c r="FE441" s="417">
        <f>-('Balance Sheet'!FE80*0.043)/4</f>
        <v>-18.8125</v>
      </c>
      <c r="FF441" s="417">
        <f>-('Balance Sheet'!FF80*0.043)/4</f>
        <v>-18.8125</v>
      </c>
      <c r="FG441" s="168">
        <f t="shared" si="297"/>
        <v>-75.25</v>
      </c>
      <c r="FH441" s="134"/>
      <c r="FI441" s="417">
        <f>-('Balance Sheet'!FI80*0.043)/4</f>
        <v>-18.8125</v>
      </c>
      <c r="FJ441" s="417">
        <f>-('Balance Sheet'!FJ80*0.043)/4</f>
        <v>-18.8125</v>
      </c>
      <c r="FK441" s="417">
        <f>-('Balance Sheet'!FK80*0.043)/4</f>
        <v>-18.8125</v>
      </c>
      <c r="FL441" s="417">
        <f>-('Balance Sheet'!FL80*0.043)/4</f>
        <v>-18.8125</v>
      </c>
      <c r="FM441" s="168">
        <f t="shared" si="299"/>
        <v>-75.25</v>
      </c>
      <c r="FN441" s="27"/>
      <c r="FO441" s="27"/>
      <c r="FP441" s="27"/>
      <c r="FQ441" s="27"/>
      <c r="FR441" s="27"/>
      <c r="FS441" s="27"/>
      <c r="FT441" s="27"/>
      <c r="FU441" s="27"/>
      <c r="FV441" s="27"/>
      <c r="FW441" s="27"/>
      <c r="FX441" s="27"/>
      <c r="FY441" s="27"/>
      <c r="FZ441" s="27"/>
      <c r="GA441" s="27"/>
      <c r="GB441" s="27"/>
      <c r="GC441" s="27"/>
      <c r="GD441" s="27"/>
      <c r="GE441" s="27"/>
      <c r="GF441" s="27"/>
      <c r="GG441" s="27"/>
      <c r="GH441" s="27"/>
      <c r="GI441"/>
      <c r="GJ441"/>
      <c r="GK441"/>
      <c r="GL441"/>
      <c r="GM441"/>
      <c r="GN441"/>
      <c r="GO441" s="27"/>
      <c r="GP441"/>
      <c r="GQ441"/>
      <c r="GR441"/>
      <c r="GS441"/>
      <c r="GT441"/>
      <c r="GU441"/>
      <c r="GV441"/>
      <c r="GW441"/>
      <c r="GX441"/>
      <c r="GY441"/>
      <c r="GZ441"/>
      <c r="HA441"/>
      <c r="HB441"/>
      <c r="HC441"/>
      <c r="HD441"/>
      <c r="HE441"/>
      <c r="HF441"/>
      <c r="HG441"/>
      <c r="HH441"/>
      <c r="HI441"/>
      <c r="HJ441"/>
      <c r="HK441"/>
      <c r="HL441"/>
      <c r="HM441"/>
      <c r="HN441"/>
      <c r="HO441"/>
      <c r="HP441"/>
      <c r="HQ441"/>
      <c r="HR441"/>
      <c r="HS441"/>
      <c r="HT441"/>
      <c r="HU441"/>
      <c r="HV441"/>
      <c r="HW441"/>
      <c r="HX441"/>
      <c r="HY441"/>
      <c r="HZ441"/>
      <c r="IA441"/>
      <c r="IB441"/>
      <c r="IC441"/>
      <c r="ID441"/>
      <c r="IE441"/>
      <c r="IF441"/>
      <c r="IG441"/>
      <c r="IH441"/>
      <c r="II441"/>
      <c r="IJ441"/>
      <c r="IK441"/>
      <c r="IL441"/>
      <c r="IM441"/>
      <c r="IN441"/>
      <c r="IO441"/>
      <c r="IP441"/>
      <c r="IQ441"/>
      <c r="IR441"/>
      <c r="IS441"/>
      <c r="IT441"/>
      <c r="IU441"/>
      <c r="IV441"/>
      <c r="IW441"/>
      <c r="IX441"/>
      <c r="IY441"/>
      <c r="IZ441"/>
      <c r="JA441"/>
      <c r="JB441"/>
      <c r="JC441"/>
      <c r="JD441"/>
      <c r="JE441"/>
      <c r="JF441"/>
      <c r="JG441"/>
      <c r="JH441"/>
      <c r="JI441"/>
      <c r="JJ441"/>
      <c r="JK441"/>
      <c r="JL441"/>
      <c r="JM441"/>
      <c r="JN441"/>
      <c r="JO441"/>
      <c r="JP441"/>
      <c r="JQ441"/>
      <c r="JR441"/>
      <c r="JS441"/>
      <c r="JT441"/>
      <c r="JU441"/>
    </row>
    <row r="442" spans="1:281" s="28" customFormat="1" ht="12" hidden="1" customHeight="1" outlineLevel="1" x14ac:dyDescent="0.2">
      <c r="A442" s="342" t="str">
        <f>'Balance Sheet'!A81</f>
        <v>May 2035 Notes (3.9%)</v>
      </c>
      <c r="B442" s="414"/>
      <c r="AW442" s="69"/>
      <c r="BC442" s="69"/>
      <c r="BI442" s="69"/>
      <c r="BK442" s="69"/>
      <c r="BL442" s="69"/>
      <c r="BM442" s="69"/>
      <c r="BN442" s="69"/>
      <c r="BO442" s="69"/>
      <c r="BQ442" s="69"/>
      <c r="BR442" s="69"/>
      <c r="BS442" s="69"/>
      <c r="BT442" s="69"/>
      <c r="BU442" s="69"/>
      <c r="BW442" s="69"/>
      <c r="BX442" s="69"/>
      <c r="BY442" s="69"/>
      <c r="BZ442" s="69"/>
      <c r="CA442" s="69"/>
      <c r="CB442" s="134"/>
      <c r="CC442" s="69"/>
      <c r="CD442" s="69"/>
      <c r="CE442" s="69"/>
      <c r="CF442" s="69"/>
      <c r="CG442" s="415"/>
      <c r="CH442" s="134"/>
      <c r="CI442" s="417"/>
      <c r="CJ442" s="81"/>
      <c r="CK442" s="417"/>
      <c r="CL442" s="417"/>
      <c r="CM442" s="416"/>
      <c r="CN442" s="134"/>
      <c r="CO442" s="417"/>
      <c r="CP442" s="417"/>
      <c r="CQ442" s="417"/>
      <c r="CR442" s="417"/>
      <c r="CS442" s="416"/>
      <c r="CT442" s="134"/>
      <c r="CU442" s="417"/>
      <c r="CV442" s="417"/>
      <c r="CW442" s="417"/>
      <c r="CX442" s="417"/>
      <c r="CY442" s="416"/>
      <c r="CZ442" s="134"/>
      <c r="DA442" s="417"/>
      <c r="DB442" s="417"/>
      <c r="DC442" s="417"/>
      <c r="DD442" s="417"/>
      <c r="DE442" s="416"/>
      <c r="DF442" s="134"/>
      <c r="DG442" s="417">
        <f>-('Balance Sheet'!DG81*0.039)/4</f>
        <v>0</v>
      </c>
      <c r="DH442" s="417">
        <f>-('Balance Sheet'!DH81*0.039)/4</f>
        <v>0</v>
      </c>
      <c r="DI442" s="417">
        <f>-('Balance Sheet'!DI81*0.039)/4</f>
        <v>0</v>
      </c>
      <c r="DJ442" s="417">
        <f>-('Balance Sheet'!DJ81*0.039)/4</f>
        <v>0</v>
      </c>
      <c r="DK442" s="168">
        <f t="shared" si="282"/>
        <v>0</v>
      </c>
      <c r="DL442" s="134"/>
      <c r="DM442" s="417">
        <f>-('Balance Sheet'!DM81*0.039)/4</f>
        <v>0</v>
      </c>
      <c r="DN442" s="417">
        <f>-('Balance Sheet'!DN81*0.039)/4</f>
        <v>0</v>
      </c>
      <c r="DO442" s="417">
        <f>-('Balance Sheet'!DO81*0.039)/4</f>
        <v>0</v>
      </c>
      <c r="DP442" s="417">
        <f>-('Balance Sheet'!DP81*0.039)/4</f>
        <v>0</v>
      </c>
      <c r="DQ442" s="168">
        <f t="shared" si="283"/>
        <v>0</v>
      </c>
      <c r="DR442" s="134"/>
      <c r="DS442" s="417">
        <f>-('Balance Sheet'!DS81*0.039)/4</f>
        <v>0</v>
      </c>
      <c r="DT442" s="417">
        <f>-('Balance Sheet'!DT81*0.039)/4</f>
        <v>0</v>
      </c>
      <c r="DU442" s="417">
        <f>-('Balance Sheet'!DU81*0.039)/4</f>
        <v>0</v>
      </c>
      <c r="DV442" s="417">
        <f>-('Balance Sheet'!DV81*0.039)/4</f>
        <v>0</v>
      </c>
      <c r="DW442" s="168">
        <f t="shared" si="284"/>
        <v>0</v>
      </c>
      <c r="DX442" s="134"/>
      <c r="DY442" s="417">
        <f>-('Balance Sheet'!DY81*0.039)/4</f>
        <v>0</v>
      </c>
      <c r="DZ442" s="417">
        <f>-('Balance Sheet'!DZ81*0.039)/4</f>
        <v>0</v>
      </c>
      <c r="EA442" s="417">
        <f>-('Balance Sheet'!EA81*0.039)/4</f>
        <v>0</v>
      </c>
      <c r="EB442" s="417">
        <f>-('Balance Sheet'!EB81*0.039)/4</f>
        <v>0</v>
      </c>
      <c r="EC442" s="168">
        <f t="shared" si="285"/>
        <v>0</v>
      </c>
      <c r="ED442" s="134"/>
      <c r="EE442" s="417">
        <f>-('Balance Sheet'!EE81*0.039)/4</f>
        <v>0</v>
      </c>
      <c r="EF442" s="417">
        <f>-('Balance Sheet'!EF81*0.039)/4</f>
        <v>0</v>
      </c>
      <c r="EG442" s="417">
        <f>-('Balance Sheet'!EG81*0.039)/4</f>
        <v>0</v>
      </c>
      <c r="EH442" s="417">
        <f>-('Balance Sheet'!EH81*0.039)/4</f>
        <v>0</v>
      </c>
      <c r="EI442" s="168">
        <f t="shared" si="286"/>
        <v>0</v>
      </c>
      <c r="EJ442" s="134"/>
      <c r="EK442" s="417">
        <f>-('Balance Sheet'!EK81*0.039)/4</f>
        <v>-12.1875</v>
      </c>
      <c r="EL442" s="417">
        <f>-('Balance Sheet'!EL81*0.039)/4</f>
        <v>-12.1875</v>
      </c>
      <c r="EM442" s="417">
        <f>-('Balance Sheet'!EM81*0.039)/4</f>
        <v>-12.1875</v>
      </c>
      <c r="EN442" s="417">
        <f>-('Balance Sheet'!EN81*0.039)/4</f>
        <v>-12.1875</v>
      </c>
      <c r="EO442" s="168">
        <f t="shared" si="287"/>
        <v>-48.75</v>
      </c>
      <c r="EP442" s="134"/>
      <c r="EQ442" s="417">
        <f>-('Balance Sheet'!EQ81*0.039)/4</f>
        <v>-12.1875</v>
      </c>
      <c r="ER442" s="417">
        <f>-('Balance Sheet'!ER81*0.039)/4</f>
        <v>-12.1875</v>
      </c>
      <c r="ES442" s="417">
        <f>-('Balance Sheet'!ES81*0.039)/4</f>
        <v>-12.1875</v>
      </c>
      <c r="ET442" s="417">
        <f>-('Balance Sheet'!ET81*0.039)/4</f>
        <v>-12.1875</v>
      </c>
      <c r="EU442" s="168">
        <f t="shared" si="288"/>
        <v>-48.75</v>
      </c>
      <c r="EV442" s="134"/>
      <c r="EW442" s="417">
        <f>-('Balance Sheet'!EW81*0.039)/4</f>
        <v>-12.1875</v>
      </c>
      <c r="EX442" s="417">
        <f>-('Balance Sheet'!EX81*0.039)/4</f>
        <v>-12.1875</v>
      </c>
      <c r="EY442" s="417">
        <f>-('Balance Sheet'!EY81*0.039)/4</f>
        <v>-12.1875</v>
      </c>
      <c r="EZ442" s="417">
        <f>-('Balance Sheet'!EZ81*0.039)/4</f>
        <v>-12.1875</v>
      </c>
      <c r="FA442" s="168">
        <f t="shared" si="289"/>
        <v>-48.75</v>
      </c>
      <c r="FB442" s="134"/>
      <c r="FC442" s="417">
        <f>-('Balance Sheet'!FC81*0.039)/4</f>
        <v>-12.1875</v>
      </c>
      <c r="FD442" s="417">
        <f>-('Balance Sheet'!FD81*0.039)/4</f>
        <v>-12.1875</v>
      </c>
      <c r="FE442" s="417">
        <f>-('Balance Sheet'!FE81*0.039)/4</f>
        <v>-12.1875</v>
      </c>
      <c r="FF442" s="417">
        <f>-('Balance Sheet'!FF81*0.039)/4</f>
        <v>-12.1875</v>
      </c>
      <c r="FG442" s="168">
        <f t="shared" si="297"/>
        <v>-48.75</v>
      </c>
      <c r="FH442" s="134"/>
      <c r="FI442" s="417">
        <f>-('Balance Sheet'!FI81*0.039)/4</f>
        <v>-12.1875</v>
      </c>
      <c r="FJ442" s="417">
        <f>-('Balance Sheet'!FJ81*0.039)/4</f>
        <v>-12.1875</v>
      </c>
      <c r="FK442" s="417">
        <f>-('Balance Sheet'!FK81*0.039)/4</f>
        <v>-12.1875</v>
      </c>
      <c r="FL442" s="417">
        <f>-('Balance Sheet'!FL81*0.039)/4</f>
        <v>-12.1875</v>
      </c>
      <c r="FM442" s="168">
        <f t="shared" si="299"/>
        <v>-48.75</v>
      </c>
      <c r="FN442" s="27"/>
      <c r="FO442" s="27"/>
      <c r="FP442" s="27"/>
      <c r="FQ442" s="27"/>
      <c r="FR442" s="27"/>
      <c r="FS442" s="27"/>
      <c r="FT442" s="27"/>
      <c r="FU442" s="27"/>
      <c r="FV442" s="27"/>
      <c r="FW442" s="27"/>
      <c r="FX442" s="27"/>
      <c r="FY442" s="27"/>
      <c r="FZ442" s="27"/>
      <c r="GA442" s="27"/>
      <c r="GB442" s="27"/>
      <c r="GC442" s="27"/>
      <c r="GD442" s="27"/>
      <c r="GE442" s="27"/>
      <c r="GF442" s="27"/>
      <c r="GG442" s="27"/>
      <c r="GH442" s="27"/>
      <c r="GI442"/>
      <c r="GJ442"/>
      <c r="GK442"/>
      <c r="GL442"/>
      <c r="GM442"/>
      <c r="GN442"/>
      <c r="GO442" s="27"/>
      <c r="GP442"/>
      <c r="GQ442"/>
      <c r="GR442"/>
      <c r="GS442"/>
      <c r="GT442"/>
      <c r="GU442"/>
      <c r="GV442"/>
      <c r="GW442"/>
      <c r="GX442"/>
      <c r="GY442"/>
      <c r="GZ442"/>
      <c r="HA442"/>
      <c r="HB442"/>
      <c r="HC442"/>
      <c r="HD442"/>
      <c r="HE442"/>
      <c r="HF442"/>
      <c r="HG442"/>
      <c r="HH442"/>
      <c r="HI442"/>
      <c r="HJ442"/>
      <c r="HK442"/>
      <c r="HL442"/>
      <c r="HM442"/>
      <c r="HN442"/>
      <c r="HO442"/>
      <c r="HP442"/>
      <c r="HQ442"/>
      <c r="HR442"/>
      <c r="HS442"/>
      <c r="HT442"/>
      <c r="HU442"/>
      <c r="HV442"/>
      <c r="HW442"/>
      <c r="HX442"/>
      <c r="HY442"/>
      <c r="HZ442"/>
      <c r="IA442"/>
      <c r="IB442"/>
      <c r="IC442"/>
      <c r="ID442"/>
      <c r="IE442"/>
      <c r="IF442"/>
      <c r="IG442"/>
      <c r="IH442"/>
      <c r="II442"/>
      <c r="IJ442"/>
      <c r="IK442"/>
      <c r="IL442"/>
      <c r="IM442"/>
      <c r="IN442"/>
      <c r="IO442"/>
      <c r="IP442"/>
      <c r="IQ442"/>
      <c r="IR442"/>
      <c r="IS442"/>
      <c r="IT442"/>
      <c r="IU442"/>
      <c r="IV442"/>
      <c r="IW442"/>
      <c r="IX442"/>
      <c r="IY442"/>
      <c r="IZ442"/>
      <c r="JA442"/>
      <c r="JB442"/>
      <c r="JC442"/>
      <c r="JD442"/>
      <c r="JE442"/>
      <c r="JF442"/>
      <c r="JG442"/>
      <c r="JH442"/>
      <c r="JI442"/>
      <c r="JJ442"/>
      <c r="JK442"/>
      <c r="JL442"/>
      <c r="JM442"/>
      <c r="JN442"/>
      <c r="JO442"/>
      <c r="JP442"/>
      <c r="JQ442"/>
      <c r="JR442"/>
      <c r="JS442"/>
      <c r="JT442"/>
      <c r="JU442"/>
    </row>
    <row r="443" spans="1:281" s="28" customFormat="1" ht="12" hidden="1" customHeight="1" outlineLevel="1" x14ac:dyDescent="0.2">
      <c r="A443" s="342" t="str">
        <f>'Balance Sheet'!A82</f>
        <v>July 2036 Notes (3.85%)</v>
      </c>
      <c r="B443" s="414"/>
      <c r="AW443" s="69"/>
      <c r="BC443" s="69"/>
      <c r="BI443" s="69"/>
      <c r="BK443" s="69"/>
      <c r="BL443" s="69"/>
      <c r="BM443" s="69"/>
      <c r="BN443" s="69"/>
      <c r="BO443" s="69"/>
      <c r="BQ443" s="69"/>
      <c r="BR443" s="69"/>
      <c r="BS443" s="69"/>
      <c r="BT443" s="69"/>
      <c r="BU443" s="69"/>
      <c r="BW443" s="69"/>
      <c r="BX443" s="69"/>
      <c r="BY443" s="69"/>
      <c r="BZ443" s="69"/>
      <c r="CA443" s="69"/>
      <c r="CB443" s="134"/>
      <c r="CC443" s="69"/>
      <c r="CD443" s="69"/>
      <c r="CE443" s="69"/>
      <c r="CF443" s="69"/>
      <c r="CG443" s="415"/>
      <c r="CH443" s="134"/>
      <c r="CI443" s="417"/>
      <c r="CJ443" s="81"/>
      <c r="CK443" s="417"/>
      <c r="CL443" s="417"/>
      <c r="CM443" s="416"/>
      <c r="CN443" s="134"/>
      <c r="CO443" s="417"/>
      <c r="CP443" s="417"/>
      <c r="CQ443" s="417"/>
      <c r="CR443" s="417"/>
      <c r="CS443" s="416"/>
      <c r="CT443" s="134"/>
      <c r="CU443" s="417"/>
      <c r="CV443" s="417"/>
      <c r="CW443" s="417"/>
      <c r="CX443" s="417"/>
      <c r="CY443" s="416"/>
      <c r="CZ443" s="134"/>
      <c r="DA443" s="417"/>
      <c r="DB443" s="417"/>
      <c r="DC443" s="417"/>
      <c r="DD443" s="417"/>
      <c r="DE443" s="416"/>
      <c r="DF443" s="134"/>
      <c r="DG443" s="417">
        <f>-('Balance Sheet'!DG82*0.039)/4</f>
        <v>0</v>
      </c>
      <c r="DH443" s="417">
        <f>-('Balance Sheet'!DH82*0.039)/4</f>
        <v>0</v>
      </c>
      <c r="DI443" s="417">
        <f>-('Balance Sheet'!DI82*0.039)/4</f>
        <v>0</v>
      </c>
      <c r="DJ443" s="417">
        <f>-('Balance Sheet'!DJ82*0.039)/4</f>
        <v>0</v>
      </c>
      <c r="DK443" s="168">
        <f>SUM(DG443:DJ443)</f>
        <v>0</v>
      </c>
      <c r="DL443" s="134"/>
      <c r="DM443" s="417">
        <f>-('Balance Sheet'!DM82*0.039)/4</f>
        <v>0</v>
      </c>
      <c r="DN443" s="417">
        <f>-('Balance Sheet'!DN82*0.039)/4</f>
        <v>0</v>
      </c>
      <c r="DO443" s="417">
        <f>-('Balance Sheet'!DO82*0.039)/4</f>
        <v>0</v>
      </c>
      <c r="DP443" s="417">
        <f>-('Balance Sheet'!DP82*0.039)/4</f>
        <v>0</v>
      </c>
      <c r="DQ443" s="168">
        <f>SUM(DM443:DP443)</f>
        <v>0</v>
      </c>
      <c r="DR443" s="134"/>
      <c r="DS443" s="417">
        <f>-('Balance Sheet'!DS82*0.0385)/4</f>
        <v>0</v>
      </c>
      <c r="DT443" s="417">
        <f>-('Balance Sheet'!DT82*0.0385)/4</f>
        <v>0</v>
      </c>
      <c r="DU443" s="417">
        <f>-('Balance Sheet'!DU82*0.0385)/4</f>
        <v>0</v>
      </c>
      <c r="DV443" s="417">
        <f>-('Balance Sheet'!DV82*0.0385)/4</f>
        <v>0</v>
      </c>
      <c r="DW443" s="168">
        <f>SUM(DS443:DV443)</f>
        <v>0</v>
      </c>
      <c r="DX443" s="134"/>
      <c r="DY443" s="417">
        <f>-('Balance Sheet'!DY82*0.0385)/4</f>
        <v>0</v>
      </c>
      <c r="DZ443" s="417">
        <f>-('Balance Sheet'!DZ82*0.0385)/4</f>
        <v>0</v>
      </c>
      <c r="EA443" s="417">
        <f>-('Balance Sheet'!EA82*0.0385)/4</f>
        <v>0</v>
      </c>
      <c r="EB443" s="417">
        <f>-('Balance Sheet'!EB82*0.0385)/4</f>
        <v>0</v>
      </c>
      <c r="EC443" s="168">
        <f>SUM(DY443:EB443)</f>
        <v>0</v>
      </c>
      <c r="ED443" s="134"/>
      <c r="EE443" s="417">
        <f>-('Balance Sheet'!EE82*0.0385)/4</f>
        <v>0</v>
      </c>
      <c r="EF443" s="417">
        <f>-('Balance Sheet'!EF82*0.0385)/4</f>
        <v>0</v>
      </c>
      <c r="EG443" s="417">
        <f>-('Balance Sheet'!EG82*0.0385)/4</f>
        <v>0</v>
      </c>
      <c r="EH443" s="417">
        <f>-('Balance Sheet'!EH82*0.0385)/4</f>
        <v>0</v>
      </c>
      <c r="EI443" s="168">
        <f>SUM(EE443:EH443)</f>
        <v>0</v>
      </c>
      <c r="EJ443" s="134"/>
      <c r="EK443" s="417">
        <f>-('Balance Sheet'!EK82*0.0385)/4</f>
        <v>0</v>
      </c>
      <c r="EL443" s="417">
        <f>-('Balance Sheet'!EL82*0.0385)/4</f>
        <v>0</v>
      </c>
      <c r="EM443" s="417">
        <f>-('Balance Sheet'!EM82*0.0385)/4</f>
        <v>0</v>
      </c>
      <c r="EN443" s="417">
        <f>-('Balance Sheet'!EN82*0.0385)/4</f>
        <v>0</v>
      </c>
      <c r="EO443" s="168">
        <f>SUM(EK443:EN443)</f>
        <v>0</v>
      </c>
      <c r="EP443" s="134"/>
      <c r="EQ443" s="417">
        <f>-('Balance Sheet'!EQ82*0.0385)/4*(2/3)</f>
        <v>-8.0208333333333321</v>
      </c>
      <c r="ER443" s="417">
        <f>-('Balance Sheet'!ER82*0.0385)/4</f>
        <v>-12.03125</v>
      </c>
      <c r="ES443" s="417">
        <f>-('Balance Sheet'!ES82*0.0385)/4</f>
        <v>-12.03125</v>
      </c>
      <c r="ET443" s="417">
        <f>-('Balance Sheet'!ET82*0.0385)/4</f>
        <v>-12.03125</v>
      </c>
      <c r="EU443" s="168">
        <f>SUM(EQ443:ET443)</f>
        <v>-44.114583333333329</v>
      </c>
      <c r="EV443" s="134"/>
      <c r="EW443" s="417">
        <f>-('Balance Sheet'!EW82*0.0385)/4</f>
        <v>-12.03125</v>
      </c>
      <c r="EX443" s="417">
        <f>-('Balance Sheet'!EX82*0.0385)/4</f>
        <v>-12.03125</v>
      </c>
      <c r="EY443" s="417">
        <f>-('Balance Sheet'!EY82*0.0385)/4</f>
        <v>-12.03125</v>
      </c>
      <c r="EZ443" s="417">
        <f>-('Balance Sheet'!EZ82*0.0385)/4</f>
        <v>-12.03125</v>
      </c>
      <c r="FA443" s="168">
        <f>SUM(EW443:EZ443)</f>
        <v>-48.125</v>
      </c>
      <c r="FB443" s="134"/>
      <c r="FC443" s="417">
        <f>-('Balance Sheet'!FC82*0.0385)/4</f>
        <v>-12.03125</v>
      </c>
      <c r="FD443" s="417">
        <f>-('Balance Sheet'!FD82*0.0385)/4</f>
        <v>-12.03125</v>
      </c>
      <c r="FE443" s="417">
        <f>-('Balance Sheet'!FE82*0.0385)/4</f>
        <v>-12.03125</v>
      </c>
      <c r="FF443" s="417">
        <f>-('Balance Sheet'!FF82*0.0385)/4</f>
        <v>-12.03125</v>
      </c>
      <c r="FG443" s="168">
        <f>SUM(FC443:FF443)</f>
        <v>-48.125</v>
      </c>
      <c r="FH443" s="134"/>
      <c r="FI443" s="417">
        <f>-('Balance Sheet'!FI82*0.0385)/4</f>
        <v>-12.03125</v>
      </c>
      <c r="FJ443" s="417">
        <f>-('Balance Sheet'!FJ82*0.0385)/4</f>
        <v>-12.03125</v>
      </c>
      <c r="FK443" s="417">
        <f>-('Balance Sheet'!FK82*0.0385)/4</f>
        <v>-12.03125</v>
      </c>
      <c r="FL443" s="417">
        <f>-('Balance Sheet'!FL82*0.0385)/4</f>
        <v>-12.03125</v>
      </c>
      <c r="FM443" s="168">
        <f>SUM(FI443:FL443)</f>
        <v>-48.125</v>
      </c>
      <c r="FN443" s="27"/>
      <c r="FO443" s="27"/>
      <c r="FP443" s="27"/>
      <c r="FQ443" s="27"/>
      <c r="FR443" s="27"/>
      <c r="FS443" s="27"/>
      <c r="FT443" s="27"/>
      <c r="FU443" s="27"/>
      <c r="FV443" s="27"/>
      <c r="FW443" s="27"/>
      <c r="FX443" s="27"/>
      <c r="FY443" s="27"/>
      <c r="FZ443" s="27"/>
      <c r="GA443" s="27"/>
      <c r="GB443" s="27"/>
      <c r="GC443" s="27"/>
      <c r="GD443" s="27"/>
      <c r="GE443" s="27"/>
      <c r="GF443" s="27"/>
      <c r="GG443" s="27"/>
      <c r="GH443" s="27"/>
      <c r="GI443"/>
      <c r="GJ443"/>
      <c r="GK443"/>
      <c r="GL443"/>
      <c r="GM443"/>
      <c r="GN443"/>
      <c r="GO443" s="27"/>
      <c r="GP443"/>
      <c r="GQ443"/>
      <c r="GR443"/>
      <c r="GS443"/>
      <c r="GT443"/>
      <c r="GU443"/>
      <c r="GV443"/>
      <c r="GW443"/>
      <c r="GX443"/>
      <c r="GY443"/>
      <c r="GZ443"/>
      <c r="HA443"/>
      <c r="HB443"/>
      <c r="HC443"/>
      <c r="HD443"/>
      <c r="HE443"/>
      <c r="HF443"/>
      <c r="HG443"/>
      <c r="HH443"/>
      <c r="HI443"/>
      <c r="HJ443"/>
      <c r="HK443"/>
      <c r="HL443"/>
      <c r="HM443"/>
      <c r="HN443"/>
      <c r="HO443"/>
      <c r="HP443"/>
      <c r="HQ443"/>
      <c r="HR443"/>
      <c r="HS443"/>
      <c r="HT443"/>
      <c r="HU443"/>
      <c r="HV443"/>
      <c r="HW443"/>
      <c r="HX443"/>
      <c r="HY443"/>
      <c r="HZ443"/>
      <c r="IA443"/>
      <c r="IB443"/>
      <c r="IC443"/>
      <c r="ID443"/>
      <c r="IE443"/>
      <c r="IF443"/>
      <c r="IG443"/>
      <c r="IH443"/>
      <c r="II443"/>
      <c r="IJ443"/>
      <c r="IK443"/>
      <c r="IL443"/>
      <c r="IM443"/>
      <c r="IN443"/>
      <c r="IO443"/>
      <c r="IP443"/>
      <c r="IQ443"/>
      <c r="IR443"/>
      <c r="IS443"/>
      <c r="IT443"/>
      <c r="IU443"/>
      <c r="IV443"/>
      <c r="IW443"/>
      <c r="IX443"/>
      <c r="IY443"/>
      <c r="IZ443"/>
      <c r="JA443"/>
      <c r="JB443"/>
      <c r="JC443"/>
      <c r="JD443"/>
      <c r="JE443"/>
      <c r="JF443"/>
      <c r="JG443"/>
      <c r="JH443"/>
      <c r="JI443"/>
      <c r="JJ443"/>
      <c r="JK443"/>
      <c r="JL443"/>
      <c r="JM443"/>
      <c r="JN443"/>
      <c r="JO443"/>
      <c r="JP443"/>
      <c r="JQ443"/>
      <c r="JR443"/>
      <c r="JS443"/>
      <c r="JT443"/>
      <c r="JU443"/>
    </row>
    <row r="444" spans="1:281" s="28" customFormat="1" ht="12" hidden="1" customHeight="1" outlineLevel="1" x14ac:dyDescent="0.2">
      <c r="A444" s="342" t="str">
        <f>'Balance Sheet'!A83</f>
        <v>Nov 2037 Notes (3.800%)</v>
      </c>
      <c r="B444" s="414"/>
      <c r="AW444" s="69"/>
      <c r="BC444" s="69"/>
      <c r="BI444" s="69"/>
      <c r="BK444" s="69"/>
      <c r="BL444" s="69"/>
      <c r="BM444" s="69"/>
      <c r="BN444" s="69"/>
      <c r="BO444" s="69"/>
      <c r="BQ444" s="69"/>
      <c r="BR444" s="69"/>
      <c r="BS444" s="69"/>
      <c r="BT444" s="69"/>
      <c r="BU444" s="69"/>
      <c r="BW444" s="69"/>
      <c r="BX444" s="69"/>
      <c r="BY444" s="69"/>
      <c r="BZ444" s="69"/>
      <c r="CA444" s="69"/>
      <c r="CB444" s="134"/>
      <c r="CC444" s="69"/>
      <c r="CD444" s="69"/>
      <c r="CE444" s="69"/>
      <c r="CF444" s="69"/>
      <c r="CG444" s="415"/>
      <c r="CH444" s="134"/>
      <c r="CI444" s="417"/>
      <c r="CJ444" s="81"/>
      <c r="CK444" s="417"/>
      <c r="CL444" s="417"/>
      <c r="CM444" s="416"/>
      <c r="CN444" s="134"/>
      <c r="CO444" s="417"/>
      <c r="CP444" s="417"/>
      <c r="CQ444" s="417"/>
      <c r="CR444" s="417"/>
      <c r="CS444" s="416"/>
      <c r="CT444" s="134"/>
      <c r="CU444" s="417"/>
      <c r="CV444" s="417"/>
      <c r="CW444" s="417"/>
      <c r="CX444" s="417"/>
      <c r="CY444" s="416"/>
      <c r="CZ444" s="134"/>
      <c r="DA444" s="417"/>
      <c r="DB444" s="417"/>
      <c r="DC444" s="417"/>
      <c r="DD444" s="417"/>
      <c r="DE444" s="416"/>
      <c r="DF444" s="134"/>
      <c r="DG444" s="417"/>
      <c r="DH444" s="417"/>
      <c r="DI444" s="417"/>
      <c r="DJ444" s="417"/>
      <c r="DK444" s="168"/>
      <c r="DL444" s="134"/>
      <c r="DM444" s="417"/>
      <c r="DN444" s="417"/>
      <c r="DO444" s="417"/>
      <c r="DP444" s="417"/>
      <c r="DQ444" s="168"/>
      <c r="DR444" s="134"/>
      <c r="DS444" s="417"/>
      <c r="DT444" s="417"/>
      <c r="DU444" s="417"/>
      <c r="DV444" s="417"/>
      <c r="DW444" s="168"/>
      <c r="DX444" s="134"/>
      <c r="DY444" s="417"/>
      <c r="DZ444" s="417"/>
      <c r="EA444" s="417"/>
      <c r="EB444" s="417"/>
      <c r="EC444" s="168"/>
      <c r="ED444" s="134"/>
      <c r="EE444" s="417"/>
      <c r="EF444" s="417"/>
      <c r="EG444" s="417"/>
      <c r="EH444" s="417"/>
      <c r="EI444" s="168"/>
      <c r="EJ444" s="134"/>
      <c r="EK444" s="417"/>
      <c r="EL444" s="417"/>
      <c r="EM444" s="417"/>
      <c r="EN444" s="417"/>
      <c r="EO444" s="168"/>
      <c r="EP444" s="134"/>
      <c r="EQ444" s="417"/>
      <c r="ER444" s="417"/>
      <c r="ES444" s="417"/>
      <c r="ET444" s="417"/>
      <c r="EU444" s="168"/>
      <c r="EV444" s="134"/>
      <c r="EW444" s="417">
        <f>-('Balance Sheet'!EW83*0.038)/4</f>
        <v>0</v>
      </c>
      <c r="EX444" s="417">
        <f>-('Balance Sheet'!EX83*0.038)/4</f>
        <v>-16.625</v>
      </c>
      <c r="EY444" s="417">
        <f>-('Balance Sheet'!EY83*0.038)/4</f>
        <v>-16.625</v>
      </c>
      <c r="EZ444" s="417">
        <f>-('Balance Sheet'!EZ83*0.038)/4</f>
        <v>-16.625</v>
      </c>
      <c r="FA444" s="168">
        <f>SUM(EW444:EZ444)</f>
        <v>-49.875</v>
      </c>
      <c r="FB444" s="134"/>
      <c r="FC444" s="417">
        <f>-('Balance Sheet'!FC83*0.038)/4</f>
        <v>-16.625</v>
      </c>
      <c r="FD444" s="417">
        <f>-('Balance Sheet'!FD83*0.038)/4</f>
        <v>-16.625</v>
      </c>
      <c r="FE444" s="417">
        <f>-('Balance Sheet'!FE83*0.038)/4</f>
        <v>-16.625</v>
      </c>
      <c r="FF444" s="417">
        <f>-('Balance Sheet'!FF83*0.038)/4</f>
        <v>-16.625</v>
      </c>
      <c r="FG444" s="168">
        <f>SUM(FC444:FF444)</f>
        <v>-66.5</v>
      </c>
      <c r="FH444" s="134"/>
      <c r="FI444" s="417">
        <f>-('Balance Sheet'!FI83*0.038)/4</f>
        <v>-16.625</v>
      </c>
      <c r="FJ444" s="417">
        <f>-('Balance Sheet'!FJ83*0.038)/4</f>
        <v>-16.625</v>
      </c>
      <c r="FK444" s="417">
        <f>-('Balance Sheet'!FK83*0.038)/4</f>
        <v>-16.625</v>
      </c>
      <c r="FL444" s="417">
        <f>-('Balance Sheet'!FL83*0.038)/4</f>
        <v>-16.625</v>
      </c>
      <c r="FM444" s="168">
        <f>SUM(FI444:FL444)</f>
        <v>-66.5</v>
      </c>
      <c r="FN444" s="27"/>
      <c r="FO444" s="27"/>
      <c r="FP444" s="27"/>
      <c r="FQ444" s="27"/>
      <c r="FR444" s="27"/>
      <c r="FS444" s="27"/>
      <c r="FT444" s="27"/>
      <c r="FU444" s="27"/>
      <c r="FV444" s="27"/>
      <c r="FW444" s="27"/>
      <c r="FX444" s="27"/>
      <c r="FY444" s="27"/>
      <c r="FZ444" s="27"/>
      <c r="GA444" s="27"/>
      <c r="GB444" s="27"/>
      <c r="GC444" s="27"/>
      <c r="GD444" s="27"/>
      <c r="GE444" s="27"/>
      <c r="GF444" s="27"/>
      <c r="GG444" s="27"/>
      <c r="GH444" s="27"/>
      <c r="GI444"/>
      <c r="GJ444"/>
      <c r="GK444"/>
      <c r="GL444"/>
      <c r="GM444"/>
      <c r="GN444"/>
      <c r="GO444" s="27"/>
      <c r="GP444"/>
      <c r="GQ444"/>
      <c r="GR444"/>
      <c r="GS444"/>
      <c r="GT444"/>
      <c r="GU444"/>
      <c r="GV444"/>
      <c r="GW444"/>
      <c r="GX444"/>
      <c r="GY444"/>
      <c r="GZ444"/>
      <c r="HA444"/>
      <c r="HB444"/>
      <c r="HC444"/>
      <c r="HD444"/>
      <c r="HE444"/>
      <c r="HF444"/>
      <c r="HG444"/>
      <c r="HH444"/>
      <c r="HI444"/>
      <c r="HJ444"/>
      <c r="HK444"/>
      <c r="HL444"/>
      <c r="HM444"/>
      <c r="HN444"/>
      <c r="HO444"/>
      <c r="HP444"/>
      <c r="HQ444"/>
      <c r="HR444"/>
      <c r="HS444"/>
      <c r="HT444"/>
      <c r="HU444"/>
      <c r="HV444"/>
      <c r="HW444"/>
      <c r="HX444"/>
      <c r="HY444"/>
      <c r="HZ444"/>
      <c r="IA444"/>
      <c r="IB444"/>
      <c r="IC444"/>
      <c r="ID444"/>
      <c r="IE444"/>
      <c r="IF444"/>
      <c r="IG444"/>
      <c r="IH444"/>
      <c r="II444"/>
      <c r="IJ444"/>
      <c r="IK444"/>
      <c r="IL444"/>
      <c r="IM444"/>
      <c r="IN444"/>
      <c r="IO444"/>
      <c r="IP444"/>
      <c r="IQ444"/>
      <c r="IR444"/>
      <c r="IS444"/>
      <c r="IT444"/>
      <c r="IU444"/>
      <c r="IV444"/>
      <c r="IW444"/>
      <c r="IX444"/>
      <c r="IY444"/>
      <c r="IZ444"/>
      <c r="JA444"/>
      <c r="JB444"/>
      <c r="JC444"/>
      <c r="JD444"/>
      <c r="JE444"/>
      <c r="JF444"/>
      <c r="JG444"/>
      <c r="JH444"/>
      <c r="JI444"/>
      <c r="JJ444"/>
      <c r="JK444"/>
      <c r="JL444"/>
      <c r="JM444"/>
      <c r="JN444"/>
      <c r="JO444"/>
      <c r="JP444"/>
      <c r="JQ444"/>
      <c r="JR444"/>
      <c r="JS444"/>
      <c r="JT444"/>
      <c r="JU444"/>
    </row>
    <row r="445" spans="1:281" s="28" customFormat="1" ht="12" hidden="1" customHeight="1" outlineLevel="1" x14ac:dyDescent="0.2">
      <c r="A445" s="342" t="str">
        <f>'Balance Sheet'!A84</f>
        <v>Apr 2038 Notes (6.5%)</v>
      </c>
      <c r="B445" s="414"/>
      <c r="AW445" s="69"/>
      <c r="BC445" s="69"/>
      <c r="BI445" s="69"/>
      <c r="BK445" s="69"/>
      <c r="BL445" s="69"/>
      <c r="BM445" s="69"/>
      <c r="BN445" s="69"/>
      <c r="BO445" s="69"/>
      <c r="BQ445" s="69"/>
      <c r="BR445" s="69"/>
      <c r="BS445" s="69"/>
      <c r="BT445" s="69"/>
      <c r="BU445" s="69"/>
      <c r="BW445" s="69"/>
      <c r="BX445" s="69"/>
      <c r="BY445" s="69"/>
      <c r="BZ445" s="69"/>
      <c r="CA445" s="69"/>
      <c r="CB445" s="134"/>
      <c r="CC445" s="69"/>
      <c r="CD445" s="69"/>
      <c r="CE445" s="69"/>
      <c r="CF445" s="69"/>
      <c r="CG445" s="415"/>
      <c r="CH445" s="134"/>
      <c r="CI445" s="417"/>
      <c r="CJ445" s="81"/>
      <c r="CK445" s="417"/>
      <c r="CL445" s="417"/>
      <c r="CM445" s="416"/>
      <c r="CN445" s="134"/>
      <c r="CO445" s="417"/>
      <c r="CP445" s="417"/>
      <c r="CQ445" s="417"/>
      <c r="CR445" s="417"/>
      <c r="CS445" s="416"/>
      <c r="CT445" s="134"/>
      <c r="CU445" s="417"/>
      <c r="CV445" s="417"/>
      <c r="CW445" s="417"/>
      <c r="CX445" s="417"/>
      <c r="CY445" s="416"/>
      <c r="CZ445" s="134"/>
      <c r="DA445" s="417"/>
      <c r="DB445" s="417"/>
      <c r="DC445" s="417"/>
      <c r="DD445" s="417"/>
      <c r="DE445" s="416"/>
      <c r="DF445" s="134"/>
      <c r="DG445" s="417">
        <f>-('Balance Sheet'!DG84*0.065)/4</f>
        <v>-20.3125</v>
      </c>
      <c r="DH445" s="417">
        <f>-('Balance Sheet'!DH84*0.065)/4</f>
        <v>-20.3125</v>
      </c>
      <c r="DI445" s="417">
        <f>-('Balance Sheet'!DI84*0.065)/4</f>
        <v>-20.3125</v>
      </c>
      <c r="DJ445" s="417">
        <f>-('Balance Sheet'!DJ84*0.065)/4</f>
        <v>-20.3125</v>
      </c>
      <c r="DK445" s="168">
        <f t="shared" ref="DK445:DK452" si="300">SUM(DG445:DJ445)</f>
        <v>-81.25</v>
      </c>
      <c r="DL445" s="134"/>
      <c r="DM445" s="417">
        <f>-('Balance Sheet'!DM84*0.065)/4</f>
        <v>-20.3125</v>
      </c>
      <c r="DN445" s="417">
        <f>-('Balance Sheet'!DN84*0.065)/4</f>
        <v>-20.3125</v>
      </c>
      <c r="DO445" s="417">
        <f>-('Balance Sheet'!DO84*0.065)/4</f>
        <v>-20.3125</v>
      </c>
      <c r="DP445" s="417">
        <f>-('Balance Sheet'!DP84*0.065)/4</f>
        <v>-20.3125</v>
      </c>
      <c r="DQ445" s="168">
        <f t="shared" ref="DQ445:DQ452" si="301">SUM(DM445:DP445)</f>
        <v>-81.25</v>
      </c>
      <c r="DR445" s="134"/>
      <c r="DS445" s="417">
        <f>-('Balance Sheet'!DS84*0.065)/4</f>
        <v>-20.3125</v>
      </c>
      <c r="DT445" s="417">
        <f>-('Balance Sheet'!DT84*0.065)/4</f>
        <v>-20.3125</v>
      </c>
      <c r="DU445" s="417">
        <f>-('Balance Sheet'!DU84*0.065)/4</f>
        <v>-20.3125</v>
      </c>
      <c r="DV445" s="417">
        <f>-('Balance Sheet'!DV84*0.065)/4</f>
        <v>-20.3125</v>
      </c>
      <c r="DW445" s="168">
        <f t="shared" ref="DW445:DW452" si="302">SUM(DS445:DV445)</f>
        <v>-81.25</v>
      </c>
      <c r="DX445" s="134"/>
      <c r="DY445" s="417">
        <f>-('Balance Sheet'!DY84*0.065)/4</f>
        <v>-20.3125</v>
      </c>
      <c r="DZ445" s="417">
        <f>-('Balance Sheet'!DZ84*0.065)/4</f>
        <v>-20.3125</v>
      </c>
      <c r="EA445" s="417">
        <f>-('Balance Sheet'!EA84*0.065)/4</f>
        <v>-20.3125</v>
      </c>
      <c r="EB445" s="417">
        <f>-('Balance Sheet'!EB84*0.065)/4</f>
        <v>-20.3125</v>
      </c>
      <c r="EC445" s="168">
        <f t="shared" ref="EC445:EC452" si="303">SUM(DY445:EB445)</f>
        <v>-81.25</v>
      </c>
      <c r="ED445" s="134"/>
      <c r="EE445" s="417">
        <f>-('Balance Sheet'!EE84*0.065)/4</f>
        <v>-20.3125</v>
      </c>
      <c r="EF445" s="417">
        <f>-('Balance Sheet'!EF84*0.065)/4</f>
        <v>-20.3125</v>
      </c>
      <c r="EG445" s="417">
        <f>-('Balance Sheet'!EG84*0.065)/4</f>
        <v>-20.3125</v>
      </c>
      <c r="EH445" s="417">
        <f>-('Balance Sheet'!EH84*0.065)/4</f>
        <v>-20.3125</v>
      </c>
      <c r="EI445" s="168">
        <f t="shared" ref="EI445:EI452" si="304">SUM(EE445:EH445)</f>
        <v>-81.25</v>
      </c>
      <c r="EJ445" s="134"/>
      <c r="EK445" s="417">
        <f>-('Balance Sheet'!EK84*0.065)/4</f>
        <v>-20.3125</v>
      </c>
      <c r="EL445" s="417">
        <f>-('Balance Sheet'!EL84*0.065)/4</f>
        <v>-20.3125</v>
      </c>
      <c r="EM445" s="417">
        <f>-('Balance Sheet'!EM84*0.065)/4</f>
        <v>-20.3125</v>
      </c>
      <c r="EN445" s="417">
        <f>-('Balance Sheet'!EN84*0.065)/4</f>
        <v>-20.3125</v>
      </c>
      <c r="EO445" s="168">
        <f t="shared" ref="EO445:EO455" si="305">SUM(EK445:EN445)</f>
        <v>-81.25</v>
      </c>
      <c r="EP445" s="134"/>
      <c r="EQ445" s="417">
        <f>-('Balance Sheet'!EQ84*0.065)/4</f>
        <v>-20.3125</v>
      </c>
      <c r="ER445" s="417">
        <f>-('Balance Sheet'!ER84*0.065)/4</f>
        <v>-20.3125</v>
      </c>
      <c r="ES445" s="417">
        <f>-('Balance Sheet'!ES84*0.065)/4</f>
        <v>-20.3125</v>
      </c>
      <c r="ET445" s="417">
        <f>-('Balance Sheet'!ET84*0.065)/4</f>
        <v>-20.3125</v>
      </c>
      <c r="EU445" s="168">
        <f t="shared" ref="EU445:EU455" si="306">SUM(EQ445:ET445)</f>
        <v>-81.25</v>
      </c>
      <c r="EV445" s="134"/>
      <c r="EW445" s="417">
        <f>-('Balance Sheet'!EW84*0.065)/4</f>
        <v>-20.3125</v>
      </c>
      <c r="EX445" s="417">
        <f>-('Balance Sheet'!EX84*0.065)/4</f>
        <v>-20.3125</v>
      </c>
      <c r="EY445" s="417">
        <f>-('Balance Sheet'!EY84*0.065)/4</f>
        <v>-20.3125</v>
      </c>
      <c r="EZ445" s="417">
        <f>-('Balance Sheet'!EZ84*0.065)/4</f>
        <v>-20.3125</v>
      </c>
      <c r="FA445" s="168">
        <f t="shared" ref="FA445:FA455" si="307">SUM(EW445:EZ445)</f>
        <v>-81.25</v>
      </c>
      <c r="FB445" s="134"/>
      <c r="FC445" s="417">
        <f>-('Balance Sheet'!FC84*0.065)/4</f>
        <v>-20.3125</v>
      </c>
      <c r="FD445" s="417">
        <f>-('Balance Sheet'!FD84*0.065)/4</f>
        <v>-20.3125</v>
      </c>
      <c r="FE445" s="417">
        <f>-('Balance Sheet'!FE84*0.065)/4</f>
        <v>-20.3125</v>
      </c>
      <c r="FF445" s="417">
        <f>-('Balance Sheet'!FF84*0.065)/4</f>
        <v>-20.3125</v>
      </c>
      <c r="FG445" s="168">
        <f t="shared" si="297"/>
        <v>-81.25</v>
      </c>
      <c r="FH445" s="134"/>
      <c r="FI445" s="417">
        <f>-('Balance Sheet'!FI84*0.065)/4</f>
        <v>-20.3125</v>
      </c>
      <c r="FJ445" s="417">
        <f>-('Balance Sheet'!FJ84*0.065)/4</f>
        <v>-20.3125</v>
      </c>
      <c r="FK445" s="417">
        <f>-('Balance Sheet'!FK84*0.065)/4</f>
        <v>-20.3125</v>
      </c>
      <c r="FL445" s="417">
        <f>-('Balance Sheet'!FL84*0.065)/4</f>
        <v>-20.3125</v>
      </c>
      <c r="FM445" s="168">
        <f t="shared" ref="FM445:FM449" si="308">SUM(FI445:FL445)</f>
        <v>-81.25</v>
      </c>
      <c r="FN445" s="27"/>
      <c r="FO445" s="27"/>
      <c r="FP445" s="27"/>
      <c r="FQ445" s="27"/>
      <c r="FR445" s="27"/>
      <c r="FS445" s="27"/>
      <c r="FT445" s="27"/>
      <c r="FU445" s="27"/>
      <c r="FV445" s="27"/>
      <c r="FW445" s="27"/>
      <c r="FX445" s="27"/>
      <c r="FY445" s="27"/>
      <c r="FZ445" s="27"/>
      <c r="GA445" s="27"/>
      <c r="GB445" s="27"/>
      <c r="GC445" s="27"/>
      <c r="GD445" s="27"/>
      <c r="GE445" s="27"/>
      <c r="GF445" s="27"/>
      <c r="GG445" s="27"/>
      <c r="GH445" s="27"/>
      <c r="GI445"/>
      <c r="GJ445"/>
      <c r="GK445"/>
      <c r="GL445"/>
      <c r="GM445"/>
      <c r="GN445"/>
      <c r="GO445" s="27"/>
      <c r="GP445"/>
      <c r="GQ445"/>
      <c r="GR445"/>
      <c r="GS445"/>
      <c r="GT445"/>
      <c r="GU445"/>
      <c r="GV445"/>
      <c r="GW445"/>
      <c r="GX445"/>
      <c r="GY445"/>
      <c r="GZ445"/>
      <c r="HA445"/>
      <c r="HB445"/>
      <c r="HC445"/>
      <c r="HD445"/>
      <c r="HE445"/>
      <c r="HF445"/>
      <c r="HG445"/>
      <c r="HH445"/>
      <c r="HI445"/>
      <c r="HJ445"/>
      <c r="HK445"/>
      <c r="HL445"/>
      <c r="HM445"/>
      <c r="HN445"/>
      <c r="HO445"/>
      <c r="HP445"/>
      <c r="HQ445"/>
      <c r="HR445"/>
      <c r="HS445"/>
      <c r="HT445"/>
      <c r="HU445"/>
      <c r="HV445"/>
      <c r="HW445"/>
      <c r="HX445"/>
      <c r="HY445"/>
      <c r="HZ445"/>
      <c r="IA445"/>
      <c r="IB445"/>
      <c r="IC445"/>
      <c r="ID445"/>
      <c r="IE445"/>
      <c r="IF445"/>
      <c r="IG445"/>
      <c r="IH445"/>
      <c r="II445"/>
      <c r="IJ445"/>
      <c r="IK445"/>
      <c r="IL445"/>
      <c r="IM445"/>
      <c r="IN445"/>
      <c r="IO445"/>
      <c r="IP445"/>
      <c r="IQ445"/>
      <c r="IR445"/>
      <c r="IS445"/>
      <c r="IT445"/>
      <c r="IU445"/>
      <c r="IV445"/>
      <c r="IW445"/>
      <c r="IX445"/>
      <c r="IY445"/>
      <c r="IZ445"/>
      <c r="JA445"/>
      <c r="JB445"/>
      <c r="JC445"/>
      <c r="JD445"/>
      <c r="JE445"/>
      <c r="JF445"/>
      <c r="JG445"/>
      <c r="JH445"/>
      <c r="JI445"/>
      <c r="JJ445"/>
      <c r="JK445"/>
      <c r="JL445"/>
      <c r="JM445"/>
      <c r="JN445"/>
      <c r="JO445"/>
      <c r="JP445"/>
      <c r="JQ445"/>
      <c r="JR445"/>
      <c r="JS445"/>
      <c r="JT445"/>
      <c r="JU445"/>
    </row>
    <row r="446" spans="1:281" s="28" customFormat="1" ht="12" hidden="1" customHeight="1" outlineLevel="1" x14ac:dyDescent="0.2">
      <c r="A446" s="342" t="str">
        <f>'Balance Sheet'!A85</f>
        <v>July 2039 Notes (6.125%)</v>
      </c>
      <c r="B446" s="414"/>
      <c r="AW446" s="69"/>
      <c r="BC446" s="69"/>
      <c r="BI446" s="69"/>
      <c r="BK446" s="69"/>
      <c r="BL446" s="69"/>
      <c r="BM446" s="69"/>
      <c r="BN446" s="69"/>
      <c r="BO446" s="69"/>
      <c r="BQ446" s="69"/>
      <c r="BR446" s="69"/>
      <c r="BS446" s="69"/>
      <c r="BT446" s="69"/>
      <c r="BU446" s="69"/>
      <c r="BW446" s="69"/>
      <c r="BX446" s="69"/>
      <c r="BY446" s="69"/>
      <c r="BZ446" s="69"/>
      <c r="CA446" s="69"/>
      <c r="CB446" s="134"/>
      <c r="CC446" s="69"/>
      <c r="CD446" s="69"/>
      <c r="CE446" s="69"/>
      <c r="CF446" s="69"/>
      <c r="CG446" s="415"/>
      <c r="CH446" s="134"/>
      <c r="CI446" s="417"/>
      <c r="CJ446" s="81"/>
      <c r="CK446" s="417"/>
      <c r="CL446" s="417"/>
      <c r="CM446" s="416"/>
      <c r="CN446" s="134"/>
      <c r="CO446" s="417"/>
      <c r="CP446" s="417"/>
      <c r="CQ446" s="417"/>
      <c r="CR446" s="417"/>
      <c r="CS446" s="416"/>
      <c r="CT446" s="134"/>
      <c r="CU446" s="417"/>
      <c r="CV446" s="417"/>
      <c r="CW446" s="417"/>
      <c r="CX446" s="417"/>
      <c r="CY446" s="416"/>
      <c r="CZ446" s="134"/>
      <c r="DA446" s="417"/>
      <c r="DB446" s="417"/>
      <c r="DC446" s="417"/>
      <c r="DD446" s="417"/>
      <c r="DE446" s="416"/>
      <c r="DF446" s="134"/>
      <c r="DG446" s="417">
        <f>-('Balance Sheet'!DG85*0.06125)/4</f>
        <v>-19.140625</v>
      </c>
      <c r="DH446" s="417">
        <f>-('Balance Sheet'!DH85*0.06125)/4</f>
        <v>-19.140625</v>
      </c>
      <c r="DI446" s="417">
        <f>-('Balance Sheet'!DI85*0.06125)/4</f>
        <v>-19.140625</v>
      </c>
      <c r="DJ446" s="417">
        <f>-('Balance Sheet'!DJ85*0.06125)/4</f>
        <v>-19.140625</v>
      </c>
      <c r="DK446" s="168">
        <f t="shared" si="300"/>
        <v>-76.5625</v>
      </c>
      <c r="DL446" s="134"/>
      <c r="DM446" s="417">
        <f>-('Balance Sheet'!DM85*0.06125)/4</f>
        <v>-19.140625</v>
      </c>
      <c r="DN446" s="417">
        <f>-('Balance Sheet'!DN85*0.06125)/4</f>
        <v>-19.140625</v>
      </c>
      <c r="DO446" s="417">
        <f>-('Balance Sheet'!DO85*0.06125)/4</f>
        <v>-19.140625</v>
      </c>
      <c r="DP446" s="417">
        <f>-('Balance Sheet'!DP85*0.06125)/4</f>
        <v>-19.140625</v>
      </c>
      <c r="DQ446" s="168">
        <f t="shared" si="301"/>
        <v>-76.5625</v>
      </c>
      <c r="DR446" s="134"/>
      <c r="DS446" s="417">
        <f>-('Balance Sheet'!DS85*0.06125)/4</f>
        <v>-19.140625</v>
      </c>
      <c r="DT446" s="417">
        <f>-('Balance Sheet'!DT85*0.06125)/4</f>
        <v>-19.140625</v>
      </c>
      <c r="DU446" s="417">
        <f>-('Balance Sheet'!DU85*0.06125)/4</f>
        <v>-19.140625</v>
      </c>
      <c r="DV446" s="417">
        <f>-('Balance Sheet'!DV85*0.06125)/4</f>
        <v>-19.140625</v>
      </c>
      <c r="DW446" s="168">
        <f t="shared" si="302"/>
        <v>-76.5625</v>
      </c>
      <c r="DX446" s="134"/>
      <c r="DY446" s="417">
        <f>-('Balance Sheet'!DY85*0.06125)/4</f>
        <v>-19.140625</v>
      </c>
      <c r="DZ446" s="417">
        <f>-('Balance Sheet'!DZ85*0.06125)/4</f>
        <v>-19.140625</v>
      </c>
      <c r="EA446" s="417">
        <f>-('Balance Sheet'!EA85*0.06125)/4</f>
        <v>-19.140625</v>
      </c>
      <c r="EB446" s="417">
        <f>-('Balance Sheet'!EB85*0.06125)/4</f>
        <v>-19.140625</v>
      </c>
      <c r="EC446" s="168">
        <f t="shared" si="303"/>
        <v>-76.5625</v>
      </c>
      <c r="ED446" s="134"/>
      <c r="EE446" s="417">
        <f>-('Balance Sheet'!EE85*0.06125)/4</f>
        <v>-19.140625</v>
      </c>
      <c r="EF446" s="417">
        <f>-('Balance Sheet'!EF85*0.06125)/4</f>
        <v>-19.140625</v>
      </c>
      <c r="EG446" s="417">
        <f>-('Balance Sheet'!EG85*0.06125)/4</f>
        <v>-19.140625</v>
      </c>
      <c r="EH446" s="417">
        <f>-('Balance Sheet'!EH85*0.06125)/4</f>
        <v>-19.140625</v>
      </c>
      <c r="EI446" s="168">
        <f t="shared" si="304"/>
        <v>-76.5625</v>
      </c>
      <c r="EJ446" s="134"/>
      <c r="EK446" s="417">
        <f>-('Balance Sheet'!EK85*0.06125)/4</f>
        <v>-19.140625</v>
      </c>
      <c r="EL446" s="417">
        <f>-('Balance Sheet'!EL85*0.06125)/4</f>
        <v>-19.140625</v>
      </c>
      <c r="EM446" s="417">
        <f>-('Balance Sheet'!EM85*0.06125)/4</f>
        <v>-19.140625</v>
      </c>
      <c r="EN446" s="417">
        <f>-('Balance Sheet'!EN85*0.06125)/4</f>
        <v>-19.140625</v>
      </c>
      <c r="EO446" s="168">
        <f t="shared" si="305"/>
        <v>-76.5625</v>
      </c>
      <c r="EP446" s="134"/>
      <c r="EQ446" s="417">
        <f>-('Balance Sheet'!EQ85*0.06125)/4</f>
        <v>-19.140625</v>
      </c>
      <c r="ER446" s="417">
        <f>-('Balance Sheet'!ER85*0.06125)/4</f>
        <v>-19.140625</v>
      </c>
      <c r="ES446" s="417">
        <f>-('Balance Sheet'!ES85*0.06125)/4</f>
        <v>-19.140625</v>
      </c>
      <c r="ET446" s="417">
        <f>-('Balance Sheet'!ET85*0.06125)/4</f>
        <v>-19.140625</v>
      </c>
      <c r="EU446" s="168">
        <f t="shared" si="306"/>
        <v>-76.5625</v>
      </c>
      <c r="EV446" s="134"/>
      <c r="EW446" s="417">
        <f>-('Balance Sheet'!EW85*0.06125)/4</f>
        <v>-19.140625</v>
      </c>
      <c r="EX446" s="417">
        <f>-('Balance Sheet'!EX85*0.06125)/4</f>
        <v>-19.140625</v>
      </c>
      <c r="EY446" s="417">
        <f>-('Balance Sheet'!EY85*0.06125)/4</f>
        <v>-19.140625</v>
      </c>
      <c r="EZ446" s="417">
        <f>-('Balance Sheet'!EZ85*0.06125)/4</f>
        <v>-19.140625</v>
      </c>
      <c r="FA446" s="168">
        <f t="shared" si="307"/>
        <v>-76.5625</v>
      </c>
      <c r="FB446" s="134"/>
      <c r="FC446" s="417">
        <f>-('Balance Sheet'!FC85*0.06125)/4</f>
        <v>-19.140625</v>
      </c>
      <c r="FD446" s="417">
        <f>-('Balance Sheet'!FD85*0.06125)/4</f>
        <v>-19.140625</v>
      </c>
      <c r="FE446" s="417">
        <f>-('Balance Sheet'!FE85*0.06125)/4</f>
        <v>-19.140625</v>
      </c>
      <c r="FF446" s="417">
        <f>-('Balance Sheet'!FF85*0.06125)/4</f>
        <v>-19.140625</v>
      </c>
      <c r="FG446" s="168">
        <f t="shared" si="297"/>
        <v>-76.5625</v>
      </c>
      <c r="FH446" s="134"/>
      <c r="FI446" s="417">
        <f>-('Balance Sheet'!FI85*0.06125)/4</f>
        <v>-19.140625</v>
      </c>
      <c r="FJ446" s="417">
        <f>-('Balance Sheet'!FJ85*0.06125)/4</f>
        <v>-19.140625</v>
      </c>
      <c r="FK446" s="417">
        <f>-('Balance Sheet'!FK85*0.06125)/4</f>
        <v>-19.140625</v>
      </c>
      <c r="FL446" s="417">
        <f>-('Balance Sheet'!FL85*0.06125)/4</f>
        <v>-19.140625</v>
      </c>
      <c r="FM446" s="168">
        <f t="shared" si="308"/>
        <v>-76.5625</v>
      </c>
      <c r="FN446" s="27"/>
      <c r="FO446" s="27"/>
      <c r="FP446" s="27"/>
      <c r="FQ446" s="27"/>
      <c r="FR446" s="27"/>
      <c r="FS446" s="27"/>
      <c r="FT446" s="27"/>
      <c r="FU446" s="27"/>
      <c r="FV446" s="27"/>
      <c r="FW446" s="27"/>
      <c r="FX446" s="27"/>
      <c r="FY446" s="27"/>
      <c r="FZ446" s="27"/>
      <c r="GA446" s="27"/>
      <c r="GB446" s="27"/>
      <c r="GC446" s="27"/>
      <c r="GD446" s="27"/>
      <c r="GE446" s="27"/>
      <c r="GF446" s="27"/>
      <c r="GG446" s="27"/>
      <c r="GH446" s="27"/>
      <c r="GI446"/>
      <c r="GJ446"/>
      <c r="GK446"/>
      <c r="GL446"/>
      <c r="GM446"/>
      <c r="GN446"/>
      <c r="GO446" s="27"/>
      <c r="GP446"/>
      <c r="GQ446"/>
      <c r="GR446"/>
      <c r="GS446"/>
      <c r="GT446"/>
      <c r="GU446"/>
      <c r="GV446"/>
      <c r="GW446"/>
      <c r="GX446"/>
      <c r="GY446"/>
      <c r="GZ446"/>
      <c r="HA446"/>
      <c r="HB446"/>
      <c r="HC446"/>
      <c r="HD446"/>
      <c r="HE446"/>
      <c r="HF446"/>
      <c r="HG446"/>
      <c r="HH446"/>
      <c r="HI446"/>
      <c r="HJ446"/>
      <c r="HK446"/>
      <c r="HL446"/>
      <c r="HM446"/>
      <c r="HN446"/>
      <c r="HO446"/>
      <c r="HP446"/>
      <c r="HQ446"/>
      <c r="HR446"/>
      <c r="HS446"/>
      <c r="HT446"/>
      <c r="HU446"/>
      <c r="HV446"/>
      <c r="HW446"/>
      <c r="HX446"/>
      <c r="HY446"/>
      <c r="HZ446"/>
      <c r="IA446"/>
      <c r="IB446"/>
      <c r="IC446"/>
      <c r="ID446"/>
      <c r="IE446"/>
      <c r="IF446"/>
      <c r="IG446"/>
      <c r="IH446"/>
      <c r="II446"/>
      <c r="IJ446"/>
      <c r="IK446"/>
      <c r="IL446"/>
      <c r="IM446"/>
      <c r="IN446"/>
      <c r="IO446"/>
      <c r="IP446"/>
      <c r="IQ446"/>
      <c r="IR446"/>
      <c r="IS446"/>
      <c r="IT446"/>
      <c r="IU446"/>
      <c r="IV446"/>
      <c r="IW446"/>
      <c r="IX446"/>
      <c r="IY446"/>
      <c r="IZ446"/>
      <c r="JA446"/>
      <c r="JB446"/>
      <c r="JC446"/>
      <c r="JD446"/>
      <c r="JE446"/>
      <c r="JF446"/>
      <c r="JG446"/>
      <c r="JH446"/>
      <c r="JI446"/>
      <c r="JJ446"/>
      <c r="JK446"/>
      <c r="JL446"/>
      <c r="JM446"/>
      <c r="JN446"/>
      <c r="JO446"/>
      <c r="JP446"/>
      <c r="JQ446"/>
      <c r="JR446"/>
      <c r="JS446"/>
      <c r="JT446"/>
      <c r="JU446"/>
    </row>
    <row r="447" spans="1:281" s="28" customFormat="1" ht="12" hidden="1" customHeight="1" outlineLevel="1" x14ac:dyDescent="0.2">
      <c r="A447" s="342" t="str">
        <f>'Balance Sheet'!A86</f>
        <v>July 2040 Notes (5.375%)</v>
      </c>
      <c r="B447" s="414"/>
      <c r="AW447" s="69"/>
      <c r="BC447" s="69"/>
      <c r="BI447" s="69"/>
      <c r="BK447" s="69"/>
      <c r="BL447" s="69"/>
      <c r="BM447" s="69"/>
      <c r="BN447" s="69"/>
      <c r="BO447" s="69"/>
      <c r="BQ447" s="69"/>
      <c r="BR447" s="69"/>
      <c r="BS447" s="69"/>
      <c r="BT447" s="69"/>
      <c r="BU447" s="69"/>
      <c r="BW447" s="69"/>
      <c r="BX447" s="69"/>
      <c r="BY447" s="69"/>
      <c r="BZ447" s="69"/>
      <c r="CA447" s="69"/>
      <c r="CB447" s="134"/>
      <c r="CC447" s="69"/>
      <c r="CD447" s="69"/>
      <c r="CE447" s="69"/>
      <c r="CF447" s="69"/>
      <c r="CG447" s="415"/>
      <c r="CH447" s="134"/>
      <c r="CI447" s="417"/>
      <c r="CJ447" s="81"/>
      <c r="CK447" s="417"/>
      <c r="CL447" s="417"/>
      <c r="CM447" s="416"/>
      <c r="CN447" s="134"/>
      <c r="CO447" s="417"/>
      <c r="CP447" s="417"/>
      <c r="CQ447" s="417"/>
      <c r="CR447" s="417"/>
      <c r="CS447" s="416"/>
      <c r="CT447" s="134"/>
      <c r="CU447" s="417"/>
      <c r="CV447" s="417"/>
      <c r="CW447" s="417"/>
      <c r="CX447" s="417"/>
      <c r="CY447" s="416"/>
      <c r="CZ447" s="134"/>
      <c r="DA447" s="417"/>
      <c r="DB447" s="417"/>
      <c r="DC447" s="417"/>
      <c r="DD447" s="417"/>
      <c r="DE447" s="416"/>
      <c r="DF447" s="134"/>
      <c r="DG447" s="417">
        <f>-('Balance Sheet'!DG86*0.05375)/4</f>
        <v>-30.234375</v>
      </c>
      <c r="DH447" s="417">
        <f>-('Balance Sheet'!DH86*0.05375)/4</f>
        <v>-30.234375</v>
      </c>
      <c r="DI447" s="417">
        <f>-('Balance Sheet'!DI86*0.05375)/4</f>
        <v>-30.234375</v>
      </c>
      <c r="DJ447" s="417">
        <f>-('Balance Sheet'!DJ86*0.05375)/4</f>
        <v>-30.234375</v>
      </c>
      <c r="DK447" s="168">
        <f t="shared" si="300"/>
        <v>-120.9375</v>
      </c>
      <c r="DL447" s="134"/>
      <c r="DM447" s="417">
        <f>-('Balance Sheet'!DM86*0.05375)/4</f>
        <v>-30.234375</v>
      </c>
      <c r="DN447" s="417">
        <f>-('Balance Sheet'!DN86*0.05375)/4</f>
        <v>-30.234375</v>
      </c>
      <c r="DO447" s="417">
        <f>-('Balance Sheet'!DO86*0.05375)/4</f>
        <v>-30.234375</v>
      </c>
      <c r="DP447" s="417">
        <f>-('Balance Sheet'!DP86*0.05375)/4</f>
        <v>-30.234375</v>
      </c>
      <c r="DQ447" s="168">
        <f t="shared" si="301"/>
        <v>-120.9375</v>
      </c>
      <c r="DR447" s="134"/>
      <c r="DS447" s="417">
        <f>-('Balance Sheet'!DS86*0.05375)/4</f>
        <v>-30.234375</v>
      </c>
      <c r="DT447" s="417">
        <f>-('Balance Sheet'!DT86*0.05375)/4</f>
        <v>-30.234375</v>
      </c>
      <c r="DU447" s="417">
        <f>-('Balance Sheet'!DU86*0.05375)/4</f>
        <v>-30.234375</v>
      </c>
      <c r="DV447" s="417">
        <f>-('Balance Sheet'!DV86*0.05375)/4</f>
        <v>-30.234375</v>
      </c>
      <c r="DW447" s="168">
        <f t="shared" si="302"/>
        <v>-120.9375</v>
      </c>
      <c r="DX447" s="134"/>
      <c r="DY447" s="417">
        <f>-('Balance Sheet'!DY86*0.05375)/4</f>
        <v>-30.234375</v>
      </c>
      <c r="DZ447" s="417">
        <f>-('Balance Sheet'!DZ86*0.05375)/4</f>
        <v>-30.234375</v>
      </c>
      <c r="EA447" s="417">
        <f>-('Balance Sheet'!EA86*0.05375)/4</f>
        <v>-30.234375</v>
      </c>
      <c r="EB447" s="417">
        <f>-('Balance Sheet'!EB86*0.05375)/4</f>
        <v>-30.234375</v>
      </c>
      <c r="EC447" s="168">
        <f t="shared" si="303"/>
        <v>-120.9375</v>
      </c>
      <c r="ED447" s="134"/>
      <c r="EE447" s="417">
        <f>-('Balance Sheet'!EE86*0.05375)/4</f>
        <v>-30.234375</v>
      </c>
      <c r="EF447" s="417">
        <f>-('Balance Sheet'!EF86*0.05375)/4</f>
        <v>-30.234375</v>
      </c>
      <c r="EG447" s="417">
        <f>-('Balance Sheet'!EG86*0.05375)/4</f>
        <v>-30.234375</v>
      </c>
      <c r="EH447" s="417">
        <f>-('Balance Sheet'!EH86*0.05375)/4</f>
        <v>-30.234375</v>
      </c>
      <c r="EI447" s="168">
        <f t="shared" si="304"/>
        <v>-120.9375</v>
      </c>
      <c r="EJ447" s="134"/>
      <c r="EK447" s="417">
        <f>-('Balance Sheet'!EK86*0.05375)/4</f>
        <v>-30.234375</v>
      </c>
      <c r="EL447" s="417">
        <f>-('Balance Sheet'!EL86*0.05375)/4</f>
        <v>-30.234375</v>
      </c>
      <c r="EM447" s="417">
        <f>-('Balance Sheet'!EM86*0.05375)/4</f>
        <v>-30.234375</v>
      </c>
      <c r="EN447" s="417">
        <f>-('Balance Sheet'!EN86*0.05375)/4</f>
        <v>-30.234375</v>
      </c>
      <c r="EO447" s="168">
        <f t="shared" si="305"/>
        <v>-120.9375</v>
      </c>
      <c r="EP447" s="134"/>
      <c r="EQ447" s="417">
        <f>-('Balance Sheet'!EQ86*0.05375)/4</f>
        <v>-30.234375</v>
      </c>
      <c r="ER447" s="417">
        <f>-('Balance Sheet'!ER86*0.05375)/4</f>
        <v>-30.234375</v>
      </c>
      <c r="ES447" s="417">
        <f>-('Balance Sheet'!ES86*0.05375)/4</f>
        <v>-30.234375</v>
      </c>
      <c r="ET447" s="417">
        <f>-('Balance Sheet'!ET86*0.05375)/4</f>
        <v>-30.234375</v>
      </c>
      <c r="EU447" s="168">
        <f t="shared" si="306"/>
        <v>-120.9375</v>
      </c>
      <c r="EV447" s="134"/>
      <c r="EW447" s="417">
        <f>-('Balance Sheet'!EW86*0.05375)/4</f>
        <v>-30.234375</v>
      </c>
      <c r="EX447" s="417">
        <f>-('Balance Sheet'!EX86*0.05375)/4</f>
        <v>-30.234375</v>
      </c>
      <c r="EY447" s="417">
        <f>-('Balance Sheet'!EY86*0.05375)/4</f>
        <v>-30.234375</v>
      </c>
      <c r="EZ447" s="417">
        <f>-('Balance Sheet'!EZ86*0.05375)/4</f>
        <v>-30.234375</v>
      </c>
      <c r="FA447" s="168">
        <f t="shared" si="307"/>
        <v>-120.9375</v>
      </c>
      <c r="FB447" s="134"/>
      <c r="FC447" s="417">
        <f>-('Balance Sheet'!FC86*0.05375)/4</f>
        <v>-30.234375</v>
      </c>
      <c r="FD447" s="417">
        <f>-('Balance Sheet'!FD86*0.05375)/4</f>
        <v>-30.234375</v>
      </c>
      <c r="FE447" s="417">
        <f>-('Balance Sheet'!FE86*0.05375)/4</f>
        <v>-30.234375</v>
      </c>
      <c r="FF447" s="417">
        <f>-('Balance Sheet'!FF86*0.05375)/4</f>
        <v>-30.234375</v>
      </c>
      <c r="FG447" s="168">
        <f t="shared" si="297"/>
        <v>-120.9375</v>
      </c>
      <c r="FH447" s="134"/>
      <c r="FI447" s="417">
        <f>-('Balance Sheet'!FI86*0.05375)/4</f>
        <v>-30.234375</v>
      </c>
      <c r="FJ447" s="417">
        <f>-('Balance Sheet'!FJ86*0.05375)/4</f>
        <v>-30.234375</v>
      </c>
      <c r="FK447" s="417">
        <f>-('Balance Sheet'!FK86*0.05375)/4</f>
        <v>-30.234375</v>
      </c>
      <c r="FL447" s="417">
        <f>-('Balance Sheet'!FL86*0.05375)/4</f>
        <v>-30.234375</v>
      </c>
      <c r="FM447" s="168">
        <f t="shared" si="308"/>
        <v>-120.9375</v>
      </c>
      <c r="FN447" s="27"/>
      <c r="FO447" s="27"/>
      <c r="FP447" s="27"/>
      <c r="FQ447" s="27"/>
      <c r="FR447" s="27"/>
      <c r="FS447" s="27"/>
      <c r="FT447" s="27"/>
      <c r="FU447" s="27"/>
      <c r="FV447" s="27"/>
      <c r="FW447" s="27"/>
      <c r="FX447" s="27"/>
      <c r="FY447" s="27"/>
      <c r="FZ447" s="27"/>
      <c r="GA447" s="27"/>
      <c r="GB447" s="27"/>
      <c r="GC447" s="27"/>
      <c r="GD447" s="27"/>
      <c r="GE447" s="27"/>
      <c r="GF447" s="27"/>
      <c r="GG447" s="27"/>
      <c r="GH447" s="27"/>
      <c r="GI447"/>
      <c r="GJ447"/>
      <c r="GK447"/>
      <c r="GL447"/>
      <c r="GM447"/>
      <c r="GN447"/>
      <c r="GO447" s="27"/>
      <c r="GP447"/>
      <c r="GQ447"/>
      <c r="GR447"/>
      <c r="GS447"/>
      <c r="GT447"/>
      <c r="GU447"/>
      <c r="GV447"/>
      <c r="GW447"/>
      <c r="GX447"/>
      <c r="GY447"/>
      <c r="GZ447"/>
      <c r="HA447"/>
      <c r="HB447"/>
      <c r="HC447"/>
      <c r="HD447"/>
      <c r="HE447"/>
      <c r="HF447"/>
      <c r="HG447"/>
      <c r="HH447"/>
      <c r="HI447"/>
      <c r="HJ447"/>
      <c r="HK447"/>
      <c r="HL447"/>
      <c r="HM447"/>
      <c r="HN447"/>
      <c r="HO447"/>
      <c r="HP447"/>
      <c r="HQ447"/>
      <c r="HR447"/>
      <c r="HS447"/>
      <c r="HT447"/>
      <c r="HU447"/>
      <c r="HV447"/>
      <c r="HW447"/>
      <c r="HX447"/>
      <c r="HY447"/>
      <c r="HZ447"/>
      <c r="IA447"/>
      <c r="IB447"/>
      <c r="IC447"/>
      <c r="ID447"/>
      <c r="IE447"/>
      <c r="IF447"/>
      <c r="IG447"/>
      <c r="IH447"/>
      <c r="II447"/>
      <c r="IJ447"/>
      <c r="IK447"/>
      <c r="IL447"/>
      <c r="IM447"/>
      <c r="IN447"/>
      <c r="IO447"/>
      <c r="IP447"/>
      <c r="IQ447"/>
      <c r="IR447"/>
      <c r="IS447"/>
      <c r="IT447"/>
      <c r="IU447"/>
      <c r="IV447"/>
      <c r="IW447"/>
      <c r="IX447"/>
      <c r="IY447"/>
      <c r="IZ447"/>
      <c r="JA447"/>
      <c r="JB447"/>
      <c r="JC447"/>
      <c r="JD447"/>
      <c r="JE447"/>
      <c r="JF447"/>
      <c r="JG447"/>
      <c r="JH447"/>
      <c r="JI447"/>
      <c r="JJ447"/>
      <c r="JK447"/>
      <c r="JL447"/>
      <c r="JM447"/>
      <c r="JN447"/>
      <c r="JO447"/>
      <c r="JP447"/>
      <c r="JQ447"/>
      <c r="JR447"/>
      <c r="JS447"/>
      <c r="JT447"/>
      <c r="JU447"/>
    </row>
    <row r="448" spans="1:281" s="28" customFormat="1" ht="12" hidden="1" customHeight="1" outlineLevel="1" x14ac:dyDescent="0.2">
      <c r="A448" s="342" t="str">
        <f>'Balance Sheet'!A87</f>
        <v>July 2044 Notes (4.50%)</v>
      </c>
      <c r="B448" s="414"/>
      <c r="AW448" s="69"/>
      <c r="BC448" s="69"/>
      <c r="BI448" s="69"/>
      <c r="BK448" s="69"/>
      <c r="BL448" s="69"/>
      <c r="BM448" s="69"/>
      <c r="BN448" s="69"/>
      <c r="BO448" s="69"/>
      <c r="BQ448" s="69"/>
      <c r="BR448" s="69"/>
      <c r="BS448" s="69"/>
      <c r="BT448" s="69"/>
      <c r="BU448" s="69"/>
      <c r="BW448" s="69"/>
      <c r="BX448" s="69"/>
      <c r="BY448" s="69"/>
      <c r="BZ448" s="69"/>
      <c r="CA448" s="69"/>
      <c r="CB448" s="134"/>
      <c r="CC448" s="69"/>
      <c r="CD448" s="69"/>
      <c r="CE448" s="69"/>
      <c r="CF448" s="69"/>
      <c r="CG448" s="415"/>
      <c r="CH448" s="134"/>
      <c r="CI448" s="417"/>
      <c r="CJ448" s="81"/>
      <c r="CK448" s="417"/>
      <c r="CL448" s="417"/>
      <c r="CM448" s="416"/>
      <c r="CN448" s="134"/>
      <c r="CO448" s="417"/>
      <c r="CP448" s="417"/>
      <c r="CQ448" s="417"/>
      <c r="CR448" s="417"/>
      <c r="CS448" s="416"/>
      <c r="CT448" s="134"/>
      <c r="CU448" s="417"/>
      <c r="CV448" s="417"/>
      <c r="CW448" s="417"/>
      <c r="CX448" s="417"/>
      <c r="CY448" s="416"/>
      <c r="CZ448" s="134"/>
      <c r="DA448" s="417"/>
      <c r="DB448" s="417"/>
      <c r="DC448" s="417"/>
      <c r="DD448" s="417"/>
      <c r="DE448" s="416"/>
      <c r="DF448" s="134"/>
      <c r="DG448" s="417">
        <f>-('Balance Sheet'!DG87*0.045)/4</f>
        <v>0</v>
      </c>
      <c r="DH448" s="417">
        <f>-('Balance Sheet'!DH87*0.045)/4</f>
        <v>0</v>
      </c>
      <c r="DI448" s="417">
        <f>-('Balance Sheet'!DI87*0.045)/4</f>
        <v>0</v>
      </c>
      <c r="DJ448" s="417">
        <f>-('Balance Sheet'!DJ87*0.045)/4</f>
        <v>0</v>
      </c>
      <c r="DK448" s="168">
        <f t="shared" si="300"/>
        <v>0</v>
      </c>
      <c r="DL448" s="134"/>
      <c r="DM448" s="417">
        <f>-('Balance Sheet'!DM87*0.045)/4</f>
        <v>0</v>
      </c>
      <c r="DN448" s="417">
        <f>-('Balance Sheet'!DN87*0.045)/4</f>
        <v>0</v>
      </c>
      <c r="DO448" s="417">
        <f>-('Balance Sheet'!DO87*0.045)/4</f>
        <v>0</v>
      </c>
      <c r="DP448" s="417">
        <f>-('Balance Sheet'!DP87*0.045)/4</f>
        <v>0</v>
      </c>
      <c r="DQ448" s="168">
        <f t="shared" si="301"/>
        <v>0</v>
      </c>
      <c r="DR448" s="134"/>
      <c r="DS448" s="417">
        <f>-('Balance Sheet'!DS87*0.045)/4</f>
        <v>0</v>
      </c>
      <c r="DT448" s="417">
        <f>-('Balance Sheet'!DT87*0.045)/4</f>
        <v>0</v>
      </c>
      <c r="DU448" s="417">
        <f>-('Balance Sheet'!DU87*0.045)/4</f>
        <v>0</v>
      </c>
      <c r="DV448" s="417">
        <f>-('Balance Sheet'!DV87*0.045)/4</f>
        <v>0</v>
      </c>
      <c r="DW448" s="168">
        <f t="shared" si="302"/>
        <v>0</v>
      </c>
      <c r="DX448" s="134"/>
      <c r="DY448" s="417">
        <f>-('Balance Sheet'!DY87*0.045)/4</f>
        <v>0</v>
      </c>
      <c r="DZ448" s="417">
        <f>-('Balance Sheet'!DZ87*0.045)/4</f>
        <v>0</v>
      </c>
      <c r="EA448" s="417">
        <f>-('Balance Sheet'!EA87*0.045)/4</f>
        <v>0</v>
      </c>
      <c r="EB448" s="417">
        <f>-('Balance Sheet'!EB87*0.045)/4</f>
        <v>0</v>
      </c>
      <c r="EC448" s="168">
        <f t="shared" si="303"/>
        <v>0</v>
      </c>
      <c r="ED448" s="134"/>
      <c r="EE448" s="417">
        <f>-('Balance Sheet'!EE87*0.045)/4</f>
        <v>-11.25</v>
      </c>
      <c r="EF448" s="417">
        <f>-('Balance Sheet'!EF87*0.045)/4</f>
        <v>-11.25</v>
      </c>
      <c r="EG448" s="417">
        <f>-('Balance Sheet'!EG87*0.045)/4</f>
        <v>-11.25</v>
      </c>
      <c r="EH448" s="417">
        <f>-('Balance Sheet'!EH87*0.045)/4</f>
        <v>-11.25</v>
      </c>
      <c r="EI448" s="168">
        <f t="shared" si="304"/>
        <v>-45</v>
      </c>
      <c r="EJ448" s="134"/>
      <c r="EK448" s="417">
        <f>-('Balance Sheet'!EK87*0.045)/4</f>
        <v>-11.25</v>
      </c>
      <c r="EL448" s="417">
        <f>-('Balance Sheet'!EL87*0.045)/4</f>
        <v>-11.25</v>
      </c>
      <c r="EM448" s="417">
        <f>-('Balance Sheet'!EM87*0.045)/4</f>
        <v>-11.25</v>
      </c>
      <c r="EN448" s="417">
        <f>-('Balance Sheet'!EN87*0.045)/4</f>
        <v>-11.25</v>
      </c>
      <c r="EO448" s="168">
        <f t="shared" si="305"/>
        <v>-45</v>
      </c>
      <c r="EP448" s="134"/>
      <c r="EQ448" s="417">
        <f>-('Balance Sheet'!EQ87*0.045)/4</f>
        <v>-11.25</v>
      </c>
      <c r="ER448" s="417">
        <f>-('Balance Sheet'!ER87*0.045)/4</f>
        <v>-11.25</v>
      </c>
      <c r="ES448" s="417">
        <f>-('Balance Sheet'!ES87*0.045)/4</f>
        <v>-11.25</v>
      </c>
      <c r="ET448" s="417">
        <f>-('Balance Sheet'!ET87*0.045)/4</f>
        <v>-11.25</v>
      </c>
      <c r="EU448" s="168">
        <f t="shared" si="306"/>
        <v>-45</v>
      </c>
      <c r="EV448" s="134"/>
      <c r="EW448" s="417">
        <f>-('Balance Sheet'!EW87*0.045)/4</f>
        <v>-11.25</v>
      </c>
      <c r="EX448" s="417">
        <f>-('Balance Sheet'!EX87*0.045)/4</f>
        <v>-11.25</v>
      </c>
      <c r="EY448" s="417">
        <f>-('Balance Sheet'!EY87*0.045)/4</f>
        <v>-11.25</v>
      </c>
      <c r="EZ448" s="417">
        <f>-('Balance Sheet'!EZ87*0.045)/4</f>
        <v>-11.25</v>
      </c>
      <c r="FA448" s="168">
        <f t="shared" si="307"/>
        <v>-45</v>
      </c>
      <c r="FB448" s="134"/>
      <c r="FC448" s="417">
        <f>-('Balance Sheet'!FC87*0.045)/4</f>
        <v>-11.25</v>
      </c>
      <c r="FD448" s="417">
        <f>-('Balance Sheet'!FD87*0.045)/4</f>
        <v>-11.25</v>
      </c>
      <c r="FE448" s="417">
        <f>-('Balance Sheet'!FE87*0.045)/4</f>
        <v>-11.25</v>
      </c>
      <c r="FF448" s="417">
        <f>-('Balance Sheet'!FF87*0.045)/4</f>
        <v>-11.25</v>
      </c>
      <c r="FG448" s="168">
        <f t="shared" si="297"/>
        <v>-45</v>
      </c>
      <c r="FH448" s="134"/>
      <c r="FI448" s="417">
        <f>-('Balance Sheet'!FI87*0.045)/4</f>
        <v>-11.25</v>
      </c>
      <c r="FJ448" s="417">
        <f>-('Balance Sheet'!FJ87*0.045)/4</f>
        <v>-11.25</v>
      </c>
      <c r="FK448" s="417">
        <f>-('Balance Sheet'!FK87*0.045)/4</f>
        <v>-11.25</v>
      </c>
      <c r="FL448" s="417">
        <f>-('Balance Sheet'!FL87*0.045)/4</f>
        <v>-11.25</v>
      </c>
      <c r="FM448" s="168">
        <f t="shared" si="308"/>
        <v>-45</v>
      </c>
      <c r="FN448" s="27"/>
      <c r="FO448" s="27"/>
      <c r="FP448" s="27"/>
      <c r="FQ448" s="27"/>
      <c r="FR448" s="27"/>
      <c r="FS448" s="27"/>
      <c r="FT448" s="27"/>
      <c r="FU448" s="27"/>
      <c r="FV448" s="27"/>
      <c r="FW448" s="27"/>
      <c r="FX448" s="27"/>
      <c r="FY448" s="27"/>
      <c r="FZ448" s="27"/>
      <c r="GA448" s="27"/>
      <c r="GB448" s="27"/>
      <c r="GC448" s="27"/>
      <c r="GD448" s="27"/>
      <c r="GE448" s="27"/>
      <c r="GF448" s="27"/>
      <c r="GG448" s="27"/>
      <c r="GH448" s="27"/>
      <c r="GI448"/>
      <c r="GJ448"/>
      <c r="GK448"/>
      <c r="GL448"/>
      <c r="GM448"/>
      <c r="GN448"/>
      <c r="GO448" s="27"/>
      <c r="GP448"/>
      <c r="GQ448"/>
      <c r="GR448"/>
      <c r="GS448"/>
      <c r="GT448"/>
      <c r="GU448"/>
      <c r="GV448"/>
      <c r="GW448"/>
      <c r="GX448"/>
      <c r="GY448"/>
      <c r="GZ448"/>
      <c r="HA448"/>
      <c r="HB448"/>
      <c r="HC448"/>
      <c r="HD448"/>
      <c r="HE448"/>
      <c r="HF448"/>
      <c r="HG448"/>
      <c r="HH448"/>
      <c r="HI448"/>
      <c r="HJ448"/>
      <c r="HK448"/>
      <c r="HL448"/>
      <c r="HM448"/>
      <c r="HN448"/>
      <c r="HO448"/>
      <c r="HP448"/>
      <c r="HQ448"/>
      <c r="HR448"/>
      <c r="HS448"/>
      <c r="HT448"/>
      <c r="HU448"/>
      <c r="HV448"/>
      <c r="HW448"/>
      <c r="HX448"/>
      <c r="HY448"/>
      <c r="HZ448"/>
      <c r="IA448"/>
      <c r="IB448"/>
      <c r="IC448"/>
      <c r="ID448"/>
      <c r="IE448"/>
      <c r="IF448"/>
      <c r="IG448"/>
      <c r="IH448"/>
      <c r="II448"/>
      <c r="IJ448"/>
      <c r="IK448"/>
      <c r="IL448"/>
      <c r="IM448"/>
      <c r="IN448"/>
      <c r="IO448"/>
      <c r="IP448"/>
      <c r="IQ448"/>
      <c r="IR448"/>
      <c r="IS448"/>
      <c r="IT448"/>
      <c r="IU448"/>
      <c r="IV448"/>
      <c r="IW448"/>
      <c r="IX448"/>
      <c r="IY448"/>
      <c r="IZ448"/>
      <c r="JA448"/>
      <c r="JB448"/>
      <c r="JC448"/>
      <c r="JD448"/>
      <c r="JE448"/>
      <c r="JF448"/>
      <c r="JG448"/>
      <c r="JH448"/>
      <c r="JI448"/>
      <c r="JJ448"/>
      <c r="JK448"/>
      <c r="JL448"/>
      <c r="JM448"/>
      <c r="JN448"/>
      <c r="JO448"/>
      <c r="JP448"/>
      <c r="JQ448"/>
      <c r="JR448"/>
      <c r="JS448"/>
      <c r="JT448"/>
      <c r="JU448"/>
    </row>
    <row r="449" spans="1:281" s="28" customFormat="1" ht="12" hidden="1" customHeight="1" outlineLevel="1" x14ac:dyDescent="0.2">
      <c r="A449" s="342" t="str">
        <f>'Balance Sheet'!A88</f>
        <v>May 2045 Notes (4.125%)</v>
      </c>
      <c r="B449" s="414"/>
      <c r="AW449" s="69"/>
      <c r="BC449" s="69"/>
      <c r="BI449" s="69"/>
      <c r="BK449" s="69"/>
      <c r="BL449" s="69"/>
      <c r="BM449" s="69"/>
      <c r="BN449" s="69"/>
      <c r="BO449" s="69"/>
      <c r="BQ449" s="69"/>
      <c r="BR449" s="69"/>
      <c r="BS449" s="69"/>
      <c r="BT449" s="69"/>
      <c r="BU449" s="69"/>
      <c r="BW449" s="69"/>
      <c r="BX449" s="69"/>
      <c r="BY449" s="69"/>
      <c r="BZ449" s="69"/>
      <c r="CA449" s="69"/>
      <c r="CB449" s="134"/>
      <c r="CC449" s="69"/>
      <c r="CD449" s="69"/>
      <c r="CE449" s="69"/>
      <c r="CF449" s="69"/>
      <c r="CG449" s="415"/>
      <c r="CH449" s="134"/>
      <c r="CI449" s="417"/>
      <c r="CJ449" s="81"/>
      <c r="CK449" s="417"/>
      <c r="CL449" s="417"/>
      <c r="CM449" s="416"/>
      <c r="CN449" s="134"/>
      <c r="CO449" s="417"/>
      <c r="CP449" s="417"/>
      <c r="CQ449" s="417"/>
      <c r="CR449" s="417"/>
      <c r="CS449" s="416"/>
      <c r="CT449" s="134"/>
      <c r="CU449" s="417"/>
      <c r="CV449" s="417"/>
      <c r="CW449" s="417"/>
      <c r="CX449" s="417"/>
      <c r="CY449" s="416"/>
      <c r="CZ449" s="134"/>
      <c r="DA449" s="417"/>
      <c r="DB449" s="417"/>
      <c r="DC449" s="417"/>
      <c r="DD449" s="417"/>
      <c r="DE449" s="416"/>
      <c r="DF449" s="134"/>
      <c r="DG449" s="417">
        <f>-('Balance Sheet'!DG88*0.04125)/4</f>
        <v>0</v>
      </c>
      <c r="DH449" s="417">
        <f>-('Balance Sheet'!DH88*0.04125)/4</f>
        <v>0</v>
      </c>
      <c r="DI449" s="417">
        <f>-('Balance Sheet'!DI88*0.04125)/4</f>
        <v>0</v>
      </c>
      <c r="DJ449" s="417">
        <f>-('Balance Sheet'!DJ88*0.04125)/4</f>
        <v>0</v>
      </c>
      <c r="DK449" s="168">
        <f t="shared" si="300"/>
        <v>0</v>
      </c>
      <c r="DL449" s="134"/>
      <c r="DM449" s="417">
        <f>-('Balance Sheet'!DM88*0.04125)/4</f>
        <v>0</v>
      </c>
      <c r="DN449" s="417">
        <f>-('Balance Sheet'!DN88*0.04125)/4</f>
        <v>0</v>
      </c>
      <c r="DO449" s="417">
        <f>-('Balance Sheet'!DO88*0.04125)/4</f>
        <v>0</v>
      </c>
      <c r="DP449" s="417">
        <f>-('Balance Sheet'!DP88*0.04125)/4</f>
        <v>0</v>
      </c>
      <c r="DQ449" s="168">
        <f t="shared" si="301"/>
        <v>0</v>
      </c>
      <c r="DR449" s="134"/>
      <c r="DS449" s="417">
        <f>-('Balance Sheet'!DS88*0.04125)/4</f>
        <v>0</v>
      </c>
      <c r="DT449" s="417">
        <f>-('Balance Sheet'!DT88*0.04125)/4</f>
        <v>0</v>
      </c>
      <c r="DU449" s="417">
        <f>-('Balance Sheet'!DU88*0.04125)/4</f>
        <v>0</v>
      </c>
      <c r="DV449" s="417">
        <f>-('Balance Sheet'!DV88*0.04125)/4</f>
        <v>0</v>
      </c>
      <c r="DW449" s="168">
        <f t="shared" si="302"/>
        <v>0</v>
      </c>
      <c r="DX449" s="134"/>
      <c r="DY449" s="417">
        <f>-('Balance Sheet'!DY88*0.04125)/4</f>
        <v>0</v>
      </c>
      <c r="DZ449" s="417">
        <f>-('Balance Sheet'!DZ88*0.04125)/4</f>
        <v>0</v>
      </c>
      <c r="EA449" s="417">
        <f>-('Balance Sheet'!EA88*0.04125)/4</f>
        <v>0</v>
      </c>
      <c r="EB449" s="417">
        <f>-('Balance Sheet'!EB88*0.04125)/4</f>
        <v>0</v>
      </c>
      <c r="EC449" s="168">
        <f t="shared" si="303"/>
        <v>0</v>
      </c>
      <c r="ED449" s="134"/>
      <c r="EE449" s="417">
        <f>-('Balance Sheet'!EE88*0.04125)/4</f>
        <v>0</v>
      </c>
      <c r="EF449" s="417">
        <f>-('Balance Sheet'!EF88*0.04125)/4</f>
        <v>0</v>
      </c>
      <c r="EG449" s="417">
        <f>-('Balance Sheet'!EG88*0.04125)/4</f>
        <v>0</v>
      </c>
      <c r="EH449" s="417">
        <f>-('Balance Sheet'!EH88*0.04125)/4</f>
        <v>-20.625</v>
      </c>
      <c r="EI449" s="168">
        <f t="shared" si="304"/>
        <v>-20.625</v>
      </c>
      <c r="EJ449" s="134"/>
      <c r="EK449" s="417">
        <f>-('Balance Sheet'!EK88*0.04125)/4</f>
        <v>-20.625</v>
      </c>
      <c r="EL449" s="417">
        <f>-('Balance Sheet'!EL88*0.04125)/4</f>
        <v>-20.625</v>
      </c>
      <c r="EM449" s="417">
        <f>-('Balance Sheet'!EM88*0.04125)/4</f>
        <v>-20.625</v>
      </c>
      <c r="EN449" s="417">
        <f>-('Balance Sheet'!EN88*0.04125)/4</f>
        <v>-20.625</v>
      </c>
      <c r="EO449" s="168">
        <f t="shared" si="305"/>
        <v>-82.5</v>
      </c>
      <c r="EP449" s="134"/>
      <c r="EQ449" s="417">
        <f>-('Balance Sheet'!EQ88*0.04125)/4</f>
        <v>-20.625</v>
      </c>
      <c r="ER449" s="417">
        <f>-('Balance Sheet'!ER88*0.04125)/4</f>
        <v>-20.625</v>
      </c>
      <c r="ES449" s="417">
        <f>-('Balance Sheet'!ES88*0.04125)/4</f>
        <v>-20.625</v>
      </c>
      <c r="ET449" s="417">
        <f>-('Balance Sheet'!ET88*0.04125)/4</f>
        <v>-20.625</v>
      </c>
      <c r="EU449" s="168">
        <f t="shared" si="306"/>
        <v>-82.5</v>
      </c>
      <c r="EV449" s="134"/>
      <c r="EW449" s="417">
        <f>-('Balance Sheet'!EW88*0.04125)/4</f>
        <v>-20.625</v>
      </c>
      <c r="EX449" s="417">
        <f>-('Balance Sheet'!EX88*0.04125)/4</f>
        <v>-20.625</v>
      </c>
      <c r="EY449" s="417">
        <f>-('Balance Sheet'!EY88*0.04125)/4</f>
        <v>-20.625</v>
      </c>
      <c r="EZ449" s="417">
        <f>-('Balance Sheet'!EZ88*0.04125)/4</f>
        <v>-20.625</v>
      </c>
      <c r="FA449" s="168">
        <f t="shared" si="307"/>
        <v>-82.5</v>
      </c>
      <c r="FB449" s="134"/>
      <c r="FC449" s="417">
        <f>-('Balance Sheet'!FC88*0.04125)/4</f>
        <v>-20.625</v>
      </c>
      <c r="FD449" s="417">
        <f>-('Balance Sheet'!FD88*0.04125)/4</f>
        <v>-20.625</v>
      </c>
      <c r="FE449" s="417">
        <f>-('Balance Sheet'!FE88*0.04125)/4</f>
        <v>-20.625</v>
      </c>
      <c r="FF449" s="417">
        <f>-('Balance Sheet'!FF88*0.04125)/4</f>
        <v>-20.625</v>
      </c>
      <c r="FG449" s="168">
        <f t="shared" si="297"/>
        <v>-82.5</v>
      </c>
      <c r="FH449" s="134"/>
      <c r="FI449" s="417">
        <f>-('Balance Sheet'!FI88*0.04125)/4</f>
        <v>-20.625</v>
      </c>
      <c r="FJ449" s="417">
        <f>-('Balance Sheet'!FJ88*0.04125)/4</f>
        <v>-20.625</v>
      </c>
      <c r="FK449" s="417">
        <f>-('Balance Sheet'!FK88*0.04125)/4</f>
        <v>-20.625</v>
      </c>
      <c r="FL449" s="417">
        <f>-('Balance Sheet'!FL88*0.04125)/4</f>
        <v>-20.625</v>
      </c>
      <c r="FM449" s="168">
        <f t="shared" si="308"/>
        <v>-82.5</v>
      </c>
      <c r="FN449" s="27"/>
      <c r="FO449" s="27"/>
      <c r="FP449" s="27"/>
      <c r="FQ449" s="27"/>
      <c r="FR449" s="27"/>
      <c r="FS449" s="27"/>
      <c r="FT449" s="27"/>
      <c r="FU449" s="27"/>
      <c r="FV449" s="27"/>
      <c r="FW449" s="27"/>
      <c r="FX449" s="27"/>
      <c r="FY449" s="27"/>
      <c r="FZ449" s="27"/>
      <c r="GA449" s="27"/>
      <c r="GB449" s="27"/>
      <c r="GC449" s="27"/>
      <c r="GD449" s="27"/>
      <c r="GE449" s="27"/>
      <c r="GF449" s="27"/>
      <c r="GG449" s="27"/>
      <c r="GH449" s="27"/>
      <c r="GI449"/>
      <c r="GJ449"/>
      <c r="GK449"/>
      <c r="GL449"/>
      <c r="GM449"/>
      <c r="GN449"/>
      <c r="GO449" s="27"/>
      <c r="GP449"/>
      <c r="GQ449"/>
      <c r="GR449"/>
      <c r="GS449"/>
      <c r="GT449"/>
      <c r="GU449"/>
      <c r="GV449"/>
      <c r="GW449"/>
      <c r="GX449"/>
      <c r="GY449"/>
      <c r="GZ449"/>
      <c r="HA449"/>
      <c r="HB449"/>
      <c r="HC449"/>
      <c r="HD449"/>
      <c r="HE449"/>
      <c r="HF449"/>
      <c r="HG449"/>
      <c r="HH449"/>
      <c r="HI449"/>
      <c r="HJ449"/>
      <c r="HK449"/>
      <c r="HL449"/>
      <c r="HM449"/>
      <c r="HN449"/>
      <c r="HO449"/>
      <c r="HP449"/>
      <c r="HQ449"/>
      <c r="HR449"/>
      <c r="HS449"/>
      <c r="HT449"/>
      <c r="HU449"/>
      <c r="HV449"/>
      <c r="HW449"/>
      <c r="HX449"/>
      <c r="HY449"/>
      <c r="HZ449"/>
      <c r="IA449"/>
      <c r="IB449"/>
      <c r="IC449"/>
      <c r="ID449"/>
      <c r="IE449"/>
      <c r="IF449"/>
      <c r="IG449"/>
      <c r="IH449"/>
      <c r="II449"/>
      <c r="IJ449"/>
      <c r="IK449"/>
      <c r="IL449"/>
      <c r="IM449"/>
      <c r="IN449"/>
      <c r="IO449"/>
      <c r="IP449"/>
      <c r="IQ449"/>
      <c r="IR449"/>
      <c r="IS449"/>
      <c r="IT449"/>
      <c r="IU449"/>
      <c r="IV449"/>
      <c r="IW449"/>
      <c r="IX449"/>
      <c r="IY449"/>
      <c r="IZ449"/>
      <c r="JA449"/>
      <c r="JB449"/>
      <c r="JC449"/>
      <c r="JD449"/>
      <c r="JE449"/>
      <c r="JF449"/>
      <c r="JG449"/>
      <c r="JH449"/>
      <c r="JI449"/>
      <c r="JJ449"/>
      <c r="JK449"/>
      <c r="JL449"/>
      <c r="JM449"/>
      <c r="JN449"/>
      <c r="JO449"/>
      <c r="JP449"/>
      <c r="JQ449"/>
      <c r="JR449"/>
      <c r="JS449"/>
      <c r="JT449"/>
      <c r="JU449"/>
    </row>
    <row r="450" spans="1:281" s="28" customFormat="1" ht="12" hidden="1" customHeight="1" outlineLevel="1" x14ac:dyDescent="0.2">
      <c r="A450" s="342" t="str">
        <f>'Balance Sheet'!A89</f>
        <v>July 2046 Notes (4.000%)</v>
      </c>
      <c r="B450" s="414"/>
      <c r="AW450" s="69"/>
      <c r="BC450" s="69"/>
      <c r="BI450" s="69"/>
      <c r="BK450" s="69"/>
      <c r="BL450" s="69"/>
      <c r="BM450" s="69"/>
      <c r="BN450" s="69"/>
      <c r="BO450" s="69"/>
      <c r="BQ450" s="69"/>
      <c r="BR450" s="69"/>
      <c r="BS450" s="69"/>
      <c r="BT450" s="69"/>
      <c r="BU450" s="69"/>
      <c r="BW450" s="69"/>
      <c r="BX450" s="69"/>
      <c r="BY450" s="69"/>
      <c r="BZ450" s="69"/>
      <c r="CA450" s="69"/>
      <c r="CB450" s="134"/>
      <c r="CC450" s="69"/>
      <c r="CD450" s="69"/>
      <c r="CE450" s="69"/>
      <c r="CF450" s="69"/>
      <c r="CG450" s="415"/>
      <c r="CH450" s="134"/>
      <c r="CI450" s="417"/>
      <c r="CJ450" s="81"/>
      <c r="CK450" s="417"/>
      <c r="CL450" s="417"/>
      <c r="CM450" s="416"/>
      <c r="CN450" s="134"/>
      <c r="CO450" s="417"/>
      <c r="CP450" s="417"/>
      <c r="CQ450" s="417"/>
      <c r="CR450" s="417"/>
      <c r="CS450" s="416"/>
      <c r="CT450" s="134"/>
      <c r="CU450" s="417"/>
      <c r="CV450" s="417"/>
      <c r="CW450" s="417"/>
      <c r="CX450" s="417"/>
      <c r="CY450" s="416"/>
      <c r="CZ450" s="134"/>
      <c r="DA450" s="417"/>
      <c r="DB450" s="417"/>
      <c r="DC450" s="417"/>
      <c r="DD450" s="417"/>
      <c r="DE450" s="416"/>
      <c r="DF450" s="134"/>
      <c r="DG450" s="417">
        <f>-('Balance Sheet'!DG89*0.04125)/4</f>
        <v>0</v>
      </c>
      <c r="DH450" s="417">
        <f>-('Balance Sheet'!DH89*0.04125)/4</f>
        <v>0</v>
      </c>
      <c r="DI450" s="417">
        <f>-('Balance Sheet'!DI89*0.04125)/4</f>
        <v>0</v>
      </c>
      <c r="DJ450" s="417">
        <f>-('Balance Sheet'!DJ89*0.04125)/4</f>
        <v>0</v>
      </c>
      <c r="DK450" s="168">
        <f>SUM(DG450:DJ450)</f>
        <v>0</v>
      </c>
      <c r="DL450" s="134"/>
      <c r="DM450" s="417">
        <f>-('Balance Sheet'!DM89*0.04125)/4</f>
        <v>0</v>
      </c>
      <c r="DN450" s="417">
        <f>-('Balance Sheet'!DN89*0.04125)/4</f>
        <v>0</v>
      </c>
      <c r="DO450" s="417">
        <f>-('Balance Sheet'!DO89*0.04125)/4</f>
        <v>0</v>
      </c>
      <c r="DP450" s="417">
        <f>-('Balance Sheet'!DP89*0.04125)/4</f>
        <v>0</v>
      </c>
      <c r="DQ450" s="168">
        <f>SUM(DM450:DP450)</f>
        <v>0</v>
      </c>
      <c r="DR450" s="134"/>
      <c r="DS450" s="417">
        <f>-('Balance Sheet'!DS89*0.04)/4</f>
        <v>0</v>
      </c>
      <c r="DT450" s="417">
        <f>-('Balance Sheet'!DT89*0.04)/4</f>
        <v>0</v>
      </c>
      <c r="DU450" s="417">
        <f>-('Balance Sheet'!DU89*0.04)/4</f>
        <v>0</v>
      </c>
      <c r="DV450" s="417">
        <f>-('Balance Sheet'!DV89*0.04)/4</f>
        <v>0</v>
      </c>
      <c r="DW450" s="168">
        <f>SUM(DS450:DV450)</f>
        <v>0</v>
      </c>
      <c r="DX450" s="134"/>
      <c r="DY450" s="417">
        <f>-('Balance Sheet'!DY89*0.04)/4</f>
        <v>0</v>
      </c>
      <c r="DZ450" s="417">
        <f>-('Balance Sheet'!DZ89*0.04)/4</f>
        <v>0</v>
      </c>
      <c r="EA450" s="417">
        <f>-('Balance Sheet'!EA89*0.04)/4</f>
        <v>0</v>
      </c>
      <c r="EB450" s="417">
        <f>-('Balance Sheet'!EB89*0.04)/4</f>
        <v>0</v>
      </c>
      <c r="EC450" s="168">
        <f>SUM(DY450:EB450)</f>
        <v>0</v>
      </c>
      <c r="ED450" s="134"/>
      <c r="EE450" s="417">
        <f>-('Balance Sheet'!EE89*0.04)/4</f>
        <v>0</v>
      </c>
      <c r="EF450" s="417">
        <f>-('Balance Sheet'!EF89*0.04)/4</f>
        <v>0</v>
      </c>
      <c r="EG450" s="417">
        <f>-('Balance Sheet'!EG89*0.04)/4</f>
        <v>0</v>
      </c>
      <c r="EH450" s="417">
        <f>-('Balance Sheet'!EH89*0.04)/4</f>
        <v>0</v>
      </c>
      <c r="EI450" s="168">
        <f>SUM(EE450:EH450)</f>
        <v>0</v>
      </c>
      <c r="EJ450" s="134"/>
      <c r="EK450" s="417">
        <f>-('Balance Sheet'!EK89*0.04)/4</f>
        <v>0</v>
      </c>
      <c r="EL450" s="417">
        <f>-('Balance Sheet'!EL89*0.04)/4</f>
        <v>0</v>
      </c>
      <c r="EM450" s="417">
        <f>-('Balance Sheet'!EM89*0.04)/4</f>
        <v>0</v>
      </c>
      <c r="EN450" s="417">
        <f>-('Balance Sheet'!EN89*0.04)/4</f>
        <v>0</v>
      </c>
      <c r="EO450" s="168">
        <f>SUM(EK450:EN450)</f>
        <v>0</v>
      </c>
      <c r="EP450" s="134"/>
      <c r="EQ450" s="417">
        <f>-('Balance Sheet'!EQ89*0.04)/4*(2/3)</f>
        <v>-20</v>
      </c>
      <c r="ER450" s="417">
        <f>-('Balance Sheet'!ER89*0.04)/4</f>
        <v>-30</v>
      </c>
      <c r="ES450" s="417">
        <f>-('Balance Sheet'!ES89*0.04)/4</f>
        <v>-30</v>
      </c>
      <c r="ET450" s="417">
        <f>-('Balance Sheet'!ET89*0.04)/4</f>
        <v>-30</v>
      </c>
      <c r="EU450" s="168">
        <f>SUM(EQ450:ET450)</f>
        <v>-110</v>
      </c>
      <c r="EV450" s="134"/>
      <c r="EW450" s="417">
        <f>-('Balance Sheet'!EW89*0.04)/4</f>
        <v>-30</v>
      </c>
      <c r="EX450" s="417">
        <f>-('Balance Sheet'!EX89*0.04)/4</f>
        <v>-30</v>
      </c>
      <c r="EY450" s="417">
        <f>-('Balance Sheet'!EY89*0.04)/4</f>
        <v>-30</v>
      </c>
      <c r="EZ450" s="417">
        <f>-('Balance Sheet'!EZ89*0.04)/4</f>
        <v>-30</v>
      </c>
      <c r="FA450" s="168">
        <f>SUM(EW450:EZ450)</f>
        <v>-120</v>
      </c>
      <c r="FB450" s="134"/>
      <c r="FC450" s="417">
        <f>-('Balance Sheet'!FC89*0.04)/4</f>
        <v>-30</v>
      </c>
      <c r="FD450" s="417">
        <f>-('Balance Sheet'!FD89*0.04)/4</f>
        <v>-30</v>
      </c>
      <c r="FE450" s="417">
        <f>-('Balance Sheet'!FE89*0.04)/4</f>
        <v>-30</v>
      </c>
      <c r="FF450" s="417">
        <f>-('Balance Sheet'!FF89*0.04)/4</f>
        <v>-30</v>
      </c>
      <c r="FG450" s="168">
        <f>SUM(FC450:FF450)</f>
        <v>-120</v>
      </c>
      <c r="FH450" s="134"/>
      <c r="FI450" s="417">
        <f>-('Balance Sheet'!FI89*0.04)/4</f>
        <v>-30</v>
      </c>
      <c r="FJ450" s="417">
        <f>-('Balance Sheet'!FJ89*0.04)/4</f>
        <v>-30</v>
      </c>
      <c r="FK450" s="417">
        <f>-('Balance Sheet'!FK89*0.04)/4</f>
        <v>-30</v>
      </c>
      <c r="FL450" s="417">
        <f>-('Balance Sheet'!FL89*0.04)/4</f>
        <v>-30</v>
      </c>
      <c r="FM450" s="168">
        <f>SUM(FI450:FL450)</f>
        <v>-120</v>
      </c>
      <c r="FN450" s="27"/>
      <c r="FO450" s="27"/>
      <c r="FP450" s="27"/>
      <c r="FQ450" s="27"/>
      <c r="FR450" s="27"/>
      <c r="FS450" s="27"/>
      <c r="FT450" s="27"/>
      <c r="FU450" s="27"/>
      <c r="FV450" s="27"/>
      <c r="FW450" s="27"/>
      <c r="FX450" s="27"/>
      <c r="FY450" s="27"/>
      <c r="FZ450" s="27"/>
      <c r="GA450" s="27"/>
      <c r="GB450" s="27"/>
      <c r="GC450" s="27"/>
      <c r="GD450" s="27"/>
      <c r="GE450" s="27"/>
      <c r="GF450" s="27"/>
      <c r="GG450" s="27"/>
      <c r="GH450" s="27"/>
      <c r="GI450"/>
      <c r="GJ450"/>
      <c r="GK450"/>
      <c r="GL450"/>
      <c r="GM450"/>
      <c r="GN450"/>
      <c r="GO450" s="27"/>
      <c r="GP450"/>
      <c r="GQ450"/>
      <c r="GR450"/>
      <c r="GS450"/>
      <c r="GT450"/>
      <c r="GU450"/>
      <c r="GV450"/>
      <c r="GW450"/>
      <c r="GX450"/>
      <c r="GY450"/>
      <c r="GZ450"/>
      <c r="HA450"/>
      <c r="HB450"/>
      <c r="HC450"/>
      <c r="HD450"/>
      <c r="HE450"/>
      <c r="HF450"/>
      <c r="HG450"/>
      <c r="HH450"/>
      <c r="HI450"/>
      <c r="HJ450"/>
      <c r="HK450"/>
      <c r="HL450"/>
      <c r="HM450"/>
      <c r="HN450"/>
      <c r="HO450"/>
      <c r="HP450"/>
      <c r="HQ450"/>
      <c r="HR450"/>
      <c r="HS450"/>
      <c r="HT450"/>
      <c r="HU450"/>
      <c r="HV450"/>
      <c r="HW450"/>
      <c r="HX450"/>
      <c r="HY450"/>
      <c r="HZ450"/>
      <c r="IA450"/>
      <c r="IB450"/>
      <c r="IC450"/>
      <c r="ID450"/>
      <c r="IE450"/>
      <c r="IF450"/>
      <c r="IG450"/>
      <c r="IH450"/>
      <c r="II450"/>
      <c r="IJ450"/>
      <c r="IK450"/>
      <c r="IL450"/>
      <c r="IM450"/>
      <c r="IN450"/>
      <c r="IO450"/>
      <c r="IP450"/>
      <c r="IQ450"/>
      <c r="IR450"/>
      <c r="IS450"/>
      <c r="IT450"/>
      <c r="IU450"/>
      <c r="IV450"/>
      <c r="IW450"/>
      <c r="IX450"/>
      <c r="IY450"/>
      <c r="IZ450"/>
      <c r="JA450"/>
      <c r="JB450"/>
      <c r="JC450"/>
      <c r="JD450"/>
      <c r="JE450"/>
      <c r="JF450"/>
      <c r="JG450"/>
      <c r="JH450"/>
      <c r="JI450"/>
      <c r="JJ450"/>
      <c r="JK450"/>
      <c r="JL450"/>
      <c r="JM450"/>
      <c r="JN450"/>
      <c r="JO450"/>
      <c r="JP450"/>
      <c r="JQ450"/>
      <c r="JR450"/>
      <c r="JS450"/>
      <c r="JT450"/>
      <c r="JU450"/>
    </row>
    <row r="451" spans="1:281" s="28" customFormat="1" ht="12" hidden="1" customHeight="1" outlineLevel="1" x14ac:dyDescent="0.2">
      <c r="A451" s="342" t="str">
        <f>'Balance Sheet'!A90</f>
        <v>Nov 2047 Notes (4.000%)</v>
      </c>
      <c r="B451" s="414"/>
      <c r="AW451" s="69"/>
      <c r="BC451" s="69"/>
      <c r="BI451" s="69"/>
      <c r="BK451" s="69"/>
      <c r="BL451" s="69"/>
      <c r="BM451" s="69"/>
      <c r="BN451" s="69"/>
      <c r="BO451" s="69"/>
      <c r="BQ451" s="69"/>
      <c r="BR451" s="69"/>
      <c r="BS451" s="69"/>
      <c r="BT451" s="69"/>
      <c r="BU451" s="69"/>
      <c r="BW451" s="69"/>
      <c r="BX451" s="69"/>
      <c r="BY451" s="69"/>
      <c r="BZ451" s="69"/>
      <c r="CA451" s="69"/>
      <c r="CB451" s="134"/>
      <c r="CC451" s="69"/>
      <c r="CD451" s="69"/>
      <c r="CE451" s="69"/>
      <c r="CF451" s="69"/>
      <c r="CG451" s="415"/>
      <c r="CH451" s="134"/>
      <c r="CI451" s="417"/>
      <c r="CJ451" s="81"/>
      <c r="CK451" s="417"/>
      <c r="CL451" s="417"/>
      <c r="CM451" s="416"/>
      <c r="CN451" s="134"/>
      <c r="CO451" s="417"/>
      <c r="CP451" s="417"/>
      <c r="CQ451" s="417"/>
      <c r="CR451" s="417"/>
      <c r="CS451" s="416"/>
      <c r="CT451" s="134"/>
      <c r="CU451" s="417"/>
      <c r="CV451" s="417"/>
      <c r="CW451" s="417"/>
      <c r="CX451" s="417"/>
      <c r="CY451" s="416"/>
      <c r="CZ451" s="134"/>
      <c r="DA451" s="417"/>
      <c r="DB451" s="417"/>
      <c r="DC451" s="417"/>
      <c r="DD451" s="417"/>
      <c r="DE451" s="416"/>
      <c r="DF451" s="134"/>
      <c r="DG451" s="417"/>
      <c r="DH451" s="417"/>
      <c r="DI451" s="417"/>
      <c r="DJ451" s="417"/>
      <c r="DK451" s="168"/>
      <c r="DL451" s="134"/>
      <c r="DM451" s="417"/>
      <c r="DN451" s="417"/>
      <c r="DO451" s="417"/>
      <c r="DP451" s="417"/>
      <c r="DQ451" s="168"/>
      <c r="DR451" s="134"/>
      <c r="DS451" s="417"/>
      <c r="DT451" s="417"/>
      <c r="DU451" s="417"/>
      <c r="DV451" s="417"/>
      <c r="DW451" s="168"/>
      <c r="DX451" s="134"/>
      <c r="DY451" s="417"/>
      <c r="DZ451" s="417"/>
      <c r="EA451" s="417"/>
      <c r="EB451" s="417"/>
      <c r="EC451" s="168"/>
      <c r="ED451" s="134"/>
      <c r="EE451" s="417"/>
      <c r="EF451" s="417"/>
      <c r="EG451" s="417"/>
      <c r="EH451" s="417"/>
      <c r="EI451" s="168"/>
      <c r="EJ451" s="134"/>
      <c r="EK451" s="417"/>
      <c r="EL451" s="417"/>
      <c r="EM451" s="417"/>
      <c r="EN451" s="417"/>
      <c r="EO451" s="168"/>
      <c r="EP451" s="134"/>
      <c r="EQ451" s="417"/>
      <c r="ER451" s="417"/>
      <c r="ES451" s="417"/>
      <c r="ET451" s="417"/>
      <c r="EU451" s="168"/>
      <c r="EV451" s="134"/>
      <c r="EW451" s="417">
        <f>-('Balance Sheet'!EW90*0.04)/4</f>
        <v>0</v>
      </c>
      <c r="EX451" s="417">
        <f>-('Balance Sheet'!EX90*0.04)/4</f>
        <v>-22.5</v>
      </c>
      <c r="EY451" s="417">
        <f>-('Balance Sheet'!EY90*0.04)/4</f>
        <v>-22.5</v>
      </c>
      <c r="EZ451" s="417">
        <f>-('Balance Sheet'!EZ90*0.04)/4</f>
        <v>-22.5</v>
      </c>
      <c r="FA451" s="168">
        <f>SUM(EW451:EZ451)</f>
        <v>-67.5</v>
      </c>
      <c r="FB451" s="134"/>
      <c r="FC451" s="417">
        <f>-('Balance Sheet'!FC90*0.04)/4</f>
        <v>-22.5</v>
      </c>
      <c r="FD451" s="417">
        <f>-('Balance Sheet'!FD90*0.04)/4</f>
        <v>-22.5</v>
      </c>
      <c r="FE451" s="417">
        <f>-('Balance Sheet'!FE90*0.04)/4</f>
        <v>-22.5</v>
      </c>
      <c r="FF451" s="417">
        <f>-('Balance Sheet'!FF90*0.04)/4</f>
        <v>-22.5</v>
      </c>
      <c r="FG451" s="168">
        <f>SUM(FC451:FF451)</f>
        <v>-90</v>
      </c>
      <c r="FH451" s="134"/>
      <c r="FI451" s="417">
        <f>-('Balance Sheet'!FI90*0.04)/4</f>
        <v>-22.5</v>
      </c>
      <c r="FJ451" s="417">
        <f>-('Balance Sheet'!FJ90*0.04)/4</f>
        <v>-22.5</v>
      </c>
      <c r="FK451" s="417">
        <f>-('Balance Sheet'!FK90*0.04)/4</f>
        <v>-22.5</v>
      </c>
      <c r="FL451" s="417">
        <f>-('Balance Sheet'!FL90*0.04)/4</f>
        <v>-22.5</v>
      </c>
      <c r="FM451" s="168">
        <f>SUM(FI451:FL451)</f>
        <v>-90</v>
      </c>
      <c r="FN451" s="27"/>
      <c r="FO451" s="27"/>
      <c r="FP451" s="27"/>
      <c r="FQ451" s="27"/>
      <c r="FR451" s="27"/>
      <c r="FS451" s="27"/>
      <c r="FT451" s="27"/>
      <c r="FU451" s="27"/>
      <c r="FV451" s="27"/>
      <c r="FW451" s="27"/>
      <c r="FX451" s="27"/>
      <c r="FY451" s="27"/>
      <c r="FZ451" s="27"/>
      <c r="GA451" s="27"/>
      <c r="GB451" s="27"/>
      <c r="GC451" s="27"/>
      <c r="GD451" s="27"/>
      <c r="GE451" s="27"/>
      <c r="GF451" s="27"/>
      <c r="GG451" s="27"/>
      <c r="GH451" s="27"/>
      <c r="GI451"/>
      <c r="GJ451"/>
      <c r="GK451"/>
      <c r="GL451"/>
      <c r="GM451"/>
      <c r="GN451"/>
      <c r="GO451" s="27"/>
      <c r="GP451"/>
      <c r="GQ451"/>
      <c r="GR451"/>
      <c r="GS451"/>
      <c r="GT451"/>
      <c r="GU451"/>
      <c r="GV451"/>
      <c r="GW451"/>
      <c r="GX451"/>
      <c r="GY451"/>
      <c r="GZ451"/>
      <c r="HA451"/>
      <c r="HB451"/>
      <c r="HC451"/>
      <c r="HD451"/>
      <c r="HE451"/>
      <c r="HF451"/>
      <c r="HG451"/>
      <c r="HH451"/>
      <c r="HI451"/>
      <c r="HJ451"/>
      <c r="HK451"/>
      <c r="HL451"/>
      <c r="HM451"/>
      <c r="HN451"/>
      <c r="HO451"/>
      <c r="HP451"/>
      <c r="HQ451"/>
      <c r="HR451"/>
      <c r="HS451"/>
      <c r="HT451"/>
      <c r="HU451"/>
      <c r="HV451"/>
      <c r="HW451"/>
      <c r="HX451"/>
      <c r="HY451"/>
      <c r="HZ451"/>
      <c r="IA451"/>
      <c r="IB451"/>
      <c r="IC451"/>
      <c r="ID451"/>
      <c r="IE451"/>
      <c r="IF451"/>
      <c r="IG451"/>
      <c r="IH451"/>
      <c r="II451"/>
      <c r="IJ451"/>
      <c r="IK451"/>
      <c r="IL451"/>
      <c r="IM451"/>
      <c r="IN451"/>
      <c r="IO451"/>
      <c r="IP451"/>
      <c r="IQ451"/>
      <c r="IR451"/>
      <c r="IS451"/>
      <c r="IT451"/>
      <c r="IU451"/>
      <c r="IV451"/>
      <c r="IW451"/>
      <c r="IX451"/>
      <c r="IY451"/>
      <c r="IZ451"/>
      <c r="JA451"/>
      <c r="JB451"/>
      <c r="JC451"/>
      <c r="JD451"/>
      <c r="JE451"/>
      <c r="JF451"/>
      <c r="JG451"/>
      <c r="JH451"/>
      <c r="JI451"/>
      <c r="JJ451"/>
      <c r="JK451"/>
      <c r="JL451"/>
      <c r="JM451"/>
      <c r="JN451"/>
      <c r="JO451"/>
      <c r="JP451"/>
      <c r="JQ451"/>
      <c r="JR451"/>
      <c r="JS451"/>
      <c r="JT451"/>
      <c r="JU451"/>
    </row>
    <row r="452" spans="1:281" s="28" customFormat="1" ht="12" hidden="1" customHeight="1" outlineLevel="1" x14ac:dyDescent="0.2">
      <c r="A452" s="342" t="str">
        <f>'Balance Sheet'!A91</f>
        <v>May 2055 Notes (4.375%)</v>
      </c>
      <c r="B452" s="414"/>
      <c r="AW452" s="69"/>
      <c r="BC452" s="69"/>
      <c r="BI452" s="69"/>
      <c r="BK452" s="69"/>
      <c r="BL452" s="69"/>
      <c r="BM452" s="69"/>
      <c r="BN452" s="69"/>
      <c r="BO452" s="69"/>
      <c r="BQ452" s="69"/>
      <c r="BR452" s="69"/>
      <c r="BS452" s="69"/>
      <c r="BT452" s="69"/>
      <c r="BU452" s="69"/>
      <c r="BW452" s="69"/>
      <c r="BX452" s="69"/>
      <c r="BY452" s="69"/>
      <c r="BZ452" s="69"/>
      <c r="CA452" s="69"/>
      <c r="CB452" s="134"/>
      <c r="CC452" s="69"/>
      <c r="CD452" s="69"/>
      <c r="CE452" s="69"/>
      <c r="CF452" s="69"/>
      <c r="CG452" s="415"/>
      <c r="CH452" s="134"/>
      <c r="CI452" s="417"/>
      <c r="CJ452" s="81"/>
      <c r="CK452" s="417"/>
      <c r="CL452" s="417"/>
      <c r="CM452" s="416"/>
      <c r="CN452" s="134"/>
      <c r="CO452" s="417"/>
      <c r="CP452" s="417"/>
      <c r="CQ452" s="417"/>
      <c r="CR452" s="417"/>
      <c r="CS452" s="416"/>
      <c r="CT452" s="134"/>
      <c r="CU452" s="417"/>
      <c r="CV452" s="417"/>
      <c r="CW452" s="417"/>
      <c r="CX452" s="417"/>
      <c r="CY452" s="416"/>
      <c r="CZ452" s="134"/>
      <c r="DA452" s="417"/>
      <c r="DB452" s="417"/>
      <c r="DC452" s="417"/>
      <c r="DD452" s="417"/>
      <c r="DE452" s="416"/>
      <c r="DF452" s="134"/>
      <c r="DG452" s="417">
        <f>-('Balance Sheet'!DG91*0.04375)/4</f>
        <v>0</v>
      </c>
      <c r="DH452" s="417">
        <f>-('Balance Sheet'!DH91*0.04375)/4</f>
        <v>0</v>
      </c>
      <c r="DI452" s="417">
        <f>-('Balance Sheet'!DI91*0.04375)/4</f>
        <v>0</v>
      </c>
      <c r="DJ452" s="417">
        <f>-('Balance Sheet'!DJ91*0.04375)/4</f>
        <v>0</v>
      </c>
      <c r="DK452" s="168">
        <f t="shared" si="300"/>
        <v>0</v>
      </c>
      <c r="DL452" s="134"/>
      <c r="DM452" s="417">
        <f>-('Balance Sheet'!DM91*0.04375)/4</f>
        <v>0</v>
      </c>
      <c r="DN452" s="417">
        <f>-('Balance Sheet'!DN91*0.04375)/4</f>
        <v>0</v>
      </c>
      <c r="DO452" s="417">
        <f>-('Balance Sheet'!DO91*0.04375)/4</f>
        <v>0</v>
      </c>
      <c r="DP452" s="417">
        <f>-('Balance Sheet'!DP91*0.04375)/4</f>
        <v>0</v>
      </c>
      <c r="DQ452" s="168">
        <f t="shared" si="301"/>
        <v>0</v>
      </c>
      <c r="DR452" s="134"/>
      <c r="DS452" s="417">
        <f>-('Balance Sheet'!DS91*0.04375)/4</f>
        <v>0</v>
      </c>
      <c r="DT452" s="417">
        <f>-('Balance Sheet'!DT91*0.04375)/4</f>
        <v>0</v>
      </c>
      <c r="DU452" s="417">
        <f>-('Balance Sheet'!DU91*0.04375)/4</f>
        <v>0</v>
      </c>
      <c r="DV452" s="417">
        <f>-('Balance Sheet'!DV91*0.04375)/4</f>
        <v>0</v>
      </c>
      <c r="DW452" s="168">
        <f t="shared" si="302"/>
        <v>0</v>
      </c>
      <c r="DX452" s="134"/>
      <c r="DY452" s="417">
        <f>-('Balance Sheet'!DY91*0.04375)/4</f>
        <v>0</v>
      </c>
      <c r="DZ452" s="417">
        <f>-('Balance Sheet'!DZ91*0.04375)/4</f>
        <v>0</v>
      </c>
      <c r="EA452" s="417">
        <f>-('Balance Sheet'!EA91*0.04375)/4</f>
        <v>0</v>
      </c>
      <c r="EB452" s="417">
        <f>-('Balance Sheet'!EB91*0.04375)/4</f>
        <v>0</v>
      </c>
      <c r="EC452" s="168">
        <f t="shared" si="303"/>
        <v>0</v>
      </c>
      <c r="ED452" s="134"/>
      <c r="EE452" s="417">
        <f>-('Balance Sheet'!EE91*0.04375)/4</f>
        <v>0</v>
      </c>
      <c r="EF452" s="417">
        <f>-('Balance Sheet'!EF91*0.04375)/4</f>
        <v>0</v>
      </c>
      <c r="EG452" s="417">
        <f>-('Balance Sheet'!EG91*0.04375)/4</f>
        <v>0</v>
      </c>
      <c r="EH452" s="417">
        <f>-('Balance Sheet'!EH91*0.04375)/4</f>
        <v>-13.671875</v>
      </c>
      <c r="EI452" s="168">
        <f t="shared" si="304"/>
        <v>-13.671875</v>
      </c>
      <c r="EJ452" s="134"/>
      <c r="EK452" s="417">
        <f>-('Balance Sheet'!EK91*0.04375)/4</f>
        <v>-13.671875</v>
      </c>
      <c r="EL452" s="417">
        <f>-('Balance Sheet'!EL91*0.04375)/4</f>
        <v>-13.671875</v>
      </c>
      <c r="EM452" s="417">
        <f>-('Balance Sheet'!EM91*0.04375)/4</f>
        <v>-13.671875</v>
      </c>
      <c r="EN452" s="417">
        <f>-('Balance Sheet'!EN91*0.04375)/4</f>
        <v>-13.671875</v>
      </c>
      <c r="EO452" s="168">
        <f t="shared" si="305"/>
        <v>-54.6875</v>
      </c>
      <c r="EP452" s="134"/>
      <c r="EQ452" s="417">
        <f>-('Balance Sheet'!EQ91*0.04375)/4</f>
        <v>-13.671875</v>
      </c>
      <c r="ER452" s="417">
        <f>-('Balance Sheet'!ER91*0.04375)/4</f>
        <v>-13.671875</v>
      </c>
      <c r="ES452" s="417">
        <f>-('Balance Sheet'!ES91*0.04375)/4</f>
        <v>-13.671875</v>
      </c>
      <c r="ET452" s="417">
        <f>-('Balance Sheet'!ET91*0.04375)/4</f>
        <v>-13.671875</v>
      </c>
      <c r="EU452" s="168">
        <f t="shared" si="306"/>
        <v>-54.6875</v>
      </c>
      <c r="EV452" s="134"/>
      <c r="EW452" s="417">
        <f>-('Balance Sheet'!EW91*0.04375)/4</f>
        <v>-13.671875</v>
      </c>
      <c r="EX452" s="417">
        <f>-('Balance Sheet'!EX91*0.04375)/4</f>
        <v>-13.671875</v>
      </c>
      <c r="EY452" s="417">
        <f>-('Balance Sheet'!EY91*0.04375)/4</f>
        <v>-13.671875</v>
      </c>
      <c r="EZ452" s="417">
        <f>-('Balance Sheet'!EZ91*0.04375)/4</f>
        <v>-13.671875</v>
      </c>
      <c r="FA452" s="168">
        <f t="shared" si="307"/>
        <v>-54.6875</v>
      </c>
      <c r="FB452" s="134"/>
      <c r="FC452" s="417">
        <f>-('Balance Sheet'!FC91*0.04375)/4</f>
        <v>-13.671875</v>
      </c>
      <c r="FD452" s="417">
        <f>-('Balance Sheet'!FD91*0.04375)/4</f>
        <v>-13.671875</v>
      </c>
      <c r="FE452" s="417">
        <f>-('Balance Sheet'!FE91*0.04375)/4</f>
        <v>-13.671875</v>
      </c>
      <c r="FF452" s="417">
        <f>-('Balance Sheet'!FF91*0.04375)/4</f>
        <v>-13.671875</v>
      </c>
      <c r="FG452" s="168">
        <f t="shared" si="297"/>
        <v>-54.6875</v>
      </c>
      <c r="FH452" s="134"/>
      <c r="FI452" s="417">
        <f>-('Balance Sheet'!FI91*0.04375)/4</f>
        <v>-13.671875</v>
      </c>
      <c r="FJ452" s="417">
        <f>-('Balance Sheet'!FJ91*0.04375)/4</f>
        <v>-13.671875</v>
      </c>
      <c r="FK452" s="417">
        <f>-('Balance Sheet'!FK91*0.04375)/4</f>
        <v>-13.671875</v>
      </c>
      <c r="FL452" s="417">
        <f>-('Balance Sheet'!FL91*0.04375)/4</f>
        <v>-13.671875</v>
      </c>
      <c r="FM452" s="168">
        <f t="shared" ref="FM452" si="309">SUM(FI452:FL452)</f>
        <v>-54.6875</v>
      </c>
      <c r="FN452" s="27"/>
      <c r="FO452" s="27"/>
      <c r="FP452" s="27"/>
      <c r="FQ452" s="27"/>
      <c r="FR452" s="27"/>
      <c r="FS452" s="27"/>
      <c r="FT452" s="27"/>
      <c r="FU452" s="27"/>
      <c r="FV452" s="27"/>
      <c r="FW452" s="27"/>
      <c r="FX452" s="27"/>
      <c r="FY452" s="27"/>
      <c r="FZ452" s="27"/>
      <c r="GA452" s="27"/>
      <c r="GB452" s="27"/>
      <c r="GC452" s="27"/>
      <c r="GD452" s="27"/>
      <c r="GE452" s="27"/>
      <c r="GF452" s="27"/>
      <c r="GG452" s="27"/>
      <c r="GH452" s="27"/>
      <c r="GI452"/>
      <c r="GJ452"/>
      <c r="GK452"/>
      <c r="GL452"/>
      <c r="GM452"/>
      <c r="GN452"/>
      <c r="GO452" s="27"/>
      <c r="GP452"/>
      <c r="GQ452"/>
      <c r="GR452"/>
      <c r="GS452"/>
      <c r="GT452"/>
      <c r="GU452"/>
      <c r="GV452"/>
      <c r="GW452"/>
      <c r="GX452"/>
      <c r="GY452"/>
      <c r="GZ452"/>
      <c r="HA452"/>
      <c r="HB452"/>
      <c r="HC452"/>
      <c r="HD452"/>
      <c r="HE452"/>
      <c r="HF452"/>
      <c r="HG452"/>
      <c r="HH452"/>
      <c r="HI452"/>
      <c r="HJ452"/>
      <c r="HK452"/>
      <c r="HL452"/>
      <c r="HM452"/>
      <c r="HN452"/>
      <c r="HO452"/>
      <c r="HP452"/>
      <c r="HQ452"/>
      <c r="HR452"/>
      <c r="HS452"/>
      <c r="HT452"/>
      <c r="HU452"/>
      <c r="HV452"/>
      <c r="HW452"/>
      <c r="HX452"/>
      <c r="HY452"/>
      <c r="HZ452"/>
      <c r="IA452"/>
      <c r="IB452"/>
      <c r="IC452"/>
      <c r="ID452"/>
      <c r="IE452"/>
      <c r="IF452"/>
      <c r="IG452"/>
      <c r="IH452"/>
      <c r="II452"/>
      <c r="IJ452"/>
      <c r="IK452"/>
      <c r="IL452"/>
      <c r="IM452"/>
      <c r="IN452"/>
      <c r="IO452"/>
      <c r="IP452"/>
      <c r="IQ452"/>
      <c r="IR452"/>
      <c r="IS452"/>
      <c r="IT452"/>
      <c r="IU452"/>
      <c r="IV452"/>
      <c r="IW452"/>
      <c r="IX452"/>
      <c r="IY452"/>
      <c r="IZ452"/>
      <c r="JA452"/>
      <c r="JB452"/>
      <c r="JC452"/>
      <c r="JD452"/>
      <c r="JE452"/>
      <c r="JF452"/>
      <c r="JG452"/>
      <c r="JH452"/>
      <c r="JI452"/>
      <c r="JJ452"/>
      <c r="JK452"/>
      <c r="JL452"/>
      <c r="JM452"/>
      <c r="JN452"/>
      <c r="JO452"/>
      <c r="JP452"/>
      <c r="JQ452"/>
      <c r="JR452"/>
      <c r="JS452"/>
      <c r="JT452"/>
      <c r="JU452"/>
    </row>
    <row r="453" spans="1:281" s="28" customFormat="1" ht="12" hidden="1" customHeight="1" outlineLevel="1" x14ac:dyDescent="0.2">
      <c r="A453" s="342"/>
      <c r="B453" s="414"/>
      <c r="AW453" s="69"/>
      <c r="BC453" s="69"/>
      <c r="BI453" s="69"/>
      <c r="BK453" s="69"/>
      <c r="BL453" s="69"/>
      <c r="BM453" s="69"/>
      <c r="BN453" s="69"/>
      <c r="BO453" s="69"/>
      <c r="BQ453" s="69"/>
      <c r="BR453" s="69"/>
      <c r="BS453" s="69"/>
      <c r="BT453" s="69"/>
      <c r="BU453" s="69"/>
      <c r="BW453" s="69"/>
      <c r="BX453" s="69"/>
      <c r="BY453" s="69"/>
      <c r="BZ453" s="69"/>
      <c r="CA453" s="69"/>
      <c r="CB453" s="134"/>
      <c r="CC453" s="69"/>
      <c r="CD453" s="69"/>
      <c r="CE453" s="69"/>
      <c r="CF453" s="69"/>
      <c r="CG453" s="415"/>
      <c r="CH453" s="134"/>
      <c r="CI453" s="417"/>
      <c r="CJ453" s="81"/>
      <c r="CK453" s="417"/>
      <c r="CL453" s="417"/>
      <c r="CM453" s="416"/>
      <c r="CN453" s="134"/>
      <c r="CO453" s="417"/>
      <c r="CP453" s="417"/>
      <c r="CQ453" s="417"/>
      <c r="CR453" s="417"/>
      <c r="CS453" s="416"/>
      <c r="CT453" s="134"/>
      <c r="CU453" s="417"/>
      <c r="CV453" s="417"/>
      <c r="CW453" s="417"/>
      <c r="CX453" s="417"/>
      <c r="CY453" s="416"/>
      <c r="CZ453" s="134"/>
      <c r="DA453" s="417"/>
      <c r="DB453" s="417"/>
      <c r="DC453" s="417"/>
      <c r="DD453" s="417"/>
      <c r="DE453" s="416"/>
      <c r="DF453" s="134"/>
      <c r="DG453" s="417"/>
      <c r="DH453" s="417"/>
      <c r="DI453" s="417"/>
      <c r="DJ453" s="417"/>
      <c r="DK453" s="168"/>
      <c r="DL453" s="134"/>
      <c r="DM453" s="417"/>
      <c r="DN453" s="417"/>
      <c r="DO453" s="417"/>
      <c r="DP453" s="417"/>
      <c r="DQ453" s="168"/>
      <c r="DR453" s="134"/>
      <c r="DS453" s="417"/>
      <c r="DT453" s="417"/>
      <c r="DU453" s="417"/>
      <c r="DV453" s="417"/>
      <c r="DW453" s="168"/>
      <c r="DX453" s="134"/>
      <c r="DY453" s="417"/>
      <c r="DZ453" s="417"/>
      <c r="EA453" s="417"/>
      <c r="EB453" s="417"/>
      <c r="EC453" s="168"/>
      <c r="ED453" s="134"/>
      <c r="EE453" s="417"/>
      <c r="EF453" s="417"/>
      <c r="EG453" s="417"/>
      <c r="EH453" s="417"/>
      <c r="EI453" s="168"/>
      <c r="EJ453" s="134"/>
      <c r="EK453" s="417"/>
      <c r="EL453" s="417"/>
      <c r="EM453" s="417"/>
      <c r="EN453" s="417"/>
      <c r="EO453" s="168"/>
      <c r="EP453" s="134"/>
      <c r="EQ453" s="417"/>
      <c r="ER453" s="417"/>
      <c r="ES453" s="417"/>
      <c r="ET453" s="417"/>
      <c r="EU453" s="168"/>
      <c r="EV453" s="134"/>
      <c r="EW453" s="417"/>
      <c r="EX453" s="417"/>
      <c r="EY453" s="417"/>
      <c r="EZ453" s="417"/>
      <c r="FA453" s="168"/>
      <c r="FB453" s="134"/>
      <c r="FC453" s="417"/>
      <c r="FD453" s="417"/>
      <c r="FE453" s="417"/>
      <c r="FF453" s="417"/>
      <c r="FG453" s="168"/>
      <c r="FH453" s="134"/>
      <c r="FI453" s="417"/>
      <c r="FJ453" s="417"/>
      <c r="FK453" s="417"/>
      <c r="FL453" s="417"/>
      <c r="FM453" s="168"/>
      <c r="FN453" s="27"/>
      <c r="FO453" s="27"/>
      <c r="FP453" s="27"/>
      <c r="FQ453" s="27"/>
      <c r="FR453" s="27"/>
      <c r="FS453" s="27"/>
      <c r="FT453" s="27"/>
      <c r="FU453" s="27"/>
      <c r="FV453" s="27"/>
      <c r="FW453" s="27"/>
      <c r="FX453" s="27"/>
      <c r="FY453" s="27"/>
      <c r="FZ453" s="27"/>
      <c r="GA453" s="27"/>
      <c r="GB453" s="27"/>
      <c r="GC453" s="27"/>
      <c r="GD453" s="27"/>
      <c r="GE453" s="27"/>
      <c r="GF453" s="27"/>
      <c r="GG453" s="27"/>
      <c r="GH453" s="27"/>
      <c r="GI453"/>
      <c r="GJ453"/>
      <c r="GK453"/>
      <c r="GL453"/>
      <c r="GM453"/>
      <c r="GN453"/>
      <c r="GO453" s="27"/>
      <c r="GP453"/>
      <c r="GQ453"/>
      <c r="GR453"/>
      <c r="GS453"/>
      <c r="GT453"/>
      <c r="GU453"/>
      <c r="GV453"/>
      <c r="GW453"/>
      <c r="GX453"/>
      <c r="GY453"/>
      <c r="GZ453"/>
      <c r="HA453"/>
      <c r="HB453"/>
      <c r="HC453"/>
      <c r="HD453"/>
      <c r="HE453"/>
      <c r="HF453"/>
      <c r="HG453"/>
      <c r="HH453"/>
      <c r="HI453"/>
      <c r="HJ453"/>
      <c r="HK453"/>
      <c r="HL453"/>
      <c r="HM453"/>
      <c r="HN453"/>
      <c r="HO453"/>
      <c r="HP453"/>
      <c r="HQ453"/>
      <c r="HR453"/>
      <c r="HS453"/>
      <c r="HT453"/>
      <c r="HU453"/>
      <c r="HV453"/>
      <c r="HW453"/>
      <c r="HX453"/>
      <c r="HY453"/>
      <c r="HZ453"/>
      <c r="IA453"/>
      <c r="IB453"/>
      <c r="IC453"/>
      <c r="ID453"/>
      <c r="IE453"/>
      <c r="IF453"/>
      <c r="IG453"/>
      <c r="IH453"/>
      <c r="II453"/>
      <c r="IJ453"/>
      <c r="IK453"/>
      <c r="IL453"/>
      <c r="IM453"/>
      <c r="IN453"/>
      <c r="IO453"/>
      <c r="IP453"/>
      <c r="IQ453"/>
      <c r="IR453"/>
      <c r="IS453"/>
      <c r="IT453"/>
      <c r="IU453"/>
      <c r="IV453"/>
      <c r="IW453"/>
      <c r="IX453"/>
      <c r="IY453"/>
      <c r="IZ453"/>
      <c r="JA453"/>
      <c r="JB453"/>
      <c r="JC453"/>
      <c r="JD453"/>
      <c r="JE453"/>
      <c r="JF453"/>
      <c r="JG453"/>
      <c r="JH453"/>
      <c r="JI453"/>
      <c r="JJ453"/>
      <c r="JK453"/>
      <c r="JL453"/>
      <c r="JM453"/>
      <c r="JN453"/>
      <c r="JO453"/>
      <c r="JP453"/>
      <c r="JQ453"/>
      <c r="JR453"/>
      <c r="JS453"/>
      <c r="JT453"/>
      <c r="JU453"/>
    </row>
    <row r="454" spans="1:281" s="28" customFormat="1" ht="4.5" hidden="1" customHeight="1" outlineLevel="1" x14ac:dyDescent="0.2">
      <c r="A454" s="342"/>
      <c r="B454" s="414"/>
      <c r="AW454" s="69"/>
      <c r="BC454" s="69"/>
      <c r="BI454" s="69"/>
      <c r="BK454" s="69"/>
      <c r="BL454" s="69"/>
      <c r="BM454" s="69"/>
      <c r="BN454" s="69"/>
      <c r="BO454" s="69"/>
      <c r="BQ454" s="69"/>
      <c r="BR454" s="69"/>
      <c r="BS454" s="69"/>
      <c r="BT454" s="69"/>
      <c r="BU454" s="69"/>
      <c r="BW454" s="69"/>
      <c r="BX454" s="69"/>
      <c r="BY454" s="69"/>
      <c r="BZ454" s="69"/>
      <c r="CA454" s="69"/>
      <c r="CB454" s="134"/>
      <c r="CC454" s="69"/>
      <c r="CD454" s="69"/>
      <c r="CE454" s="69"/>
      <c r="CF454" s="69"/>
      <c r="CG454" s="415"/>
      <c r="CH454" s="134"/>
      <c r="CI454" s="81"/>
      <c r="CJ454" s="81"/>
      <c r="CK454" s="81"/>
      <c r="CL454" s="81"/>
      <c r="CM454" s="416"/>
      <c r="CN454" s="134"/>
      <c r="CO454" s="81"/>
      <c r="CP454" s="81"/>
      <c r="CQ454" s="81"/>
      <c r="CR454" s="81"/>
      <c r="CS454" s="416"/>
      <c r="CT454" s="134"/>
      <c r="CU454" s="81"/>
      <c r="CV454" s="81"/>
      <c r="CW454" s="81"/>
      <c r="CX454" s="81"/>
      <c r="CY454" s="416"/>
      <c r="CZ454" s="134"/>
      <c r="DA454" s="81"/>
      <c r="DB454" s="81"/>
      <c r="DC454" s="81"/>
      <c r="DD454" s="81"/>
      <c r="DE454" s="416"/>
      <c r="DF454" s="134"/>
      <c r="DG454" s="81"/>
      <c r="DH454" s="81"/>
      <c r="DI454" s="81"/>
      <c r="DJ454" s="81"/>
      <c r="DK454" s="416"/>
      <c r="DL454" s="134"/>
      <c r="DM454" s="81"/>
      <c r="DN454" s="81"/>
      <c r="DO454" s="81"/>
      <c r="DP454" s="81"/>
      <c r="DQ454" s="416"/>
      <c r="DR454" s="134"/>
      <c r="DS454" s="81"/>
      <c r="DT454" s="81"/>
      <c r="DU454" s="81"/>
      <c r="DV454" s="81"/>
      <c r="DW454" s="416"/>
      <c r="DX454" s="134"/>
      <c r="DY454" s="81"/>
      <c r="DZ454" s="81"/>
      <c r="EA454" s="81"/>
      <c r="EB454" s="81"/>
      <c r="EC454" s="416"/>
      <c r="ED454" s="134"/>
      <c r="EE454" s="81"/>
      <c r="EF454" s="81"/>
      <c r="EG454" s="81"/>
      <c r="EH454" s="81"/>
      <c r="EI454" s="416"/>
      <c r="EJ454" s="134"/>
      <c r="EK454" s="81"/>
      <c r="EL454" s="81"/>
      <c r="EM454" s="81"/>
      <c r="EN454" s="81"/>
      <c r="EO454" s="168"/>
      <c r="EP454" s="134"/>
      <c r="EQ454" s="81"/>
      <c r="ER454" s="81"/>
      <c r="ES454" s="81"/>
      <c r="ET454" s="81"/>
      <c r="EU454" s="168"/>
      <c r="EV454" s="134"/>
      <c r="EW454" s="81"/>
      <c r="EX454" s="81"/>
      <c r="EY454" s="81"/>
      <c r="EZ454" s="81"/>
      <c r="FA454" s="168"/>
      <c r="FB454" s="134"/>
      <c r="FC454" s="81"/>
      <c r="FD454" s="81"/>
      <c r="FE454" s="81"/>
      <c r="FF454" s="81"/>
      <c r="FG454" s="168"/>
      <c r="FH454" s="134"/>
      <c r="FI454" s="81"/>
      <c r="FJ454" s="81"/>
      <c r="FK454" s="81"/>
      <c r="FL454" s="81"/>
      <c r="FM454" s="168"/>
      <c r="FN454" s="27"/>
      <c r="FO454" s="27"/>
      <c r="FP454" s="27"/>
      <c r="FQ454" s="27"/>
      <c r="FR454" s="27"/>
      <c r="FS454" s="27"/>
      <c r="FT454" s="27"/>
      <c r="FU454" s="27"/>
      <c r="FV454" s="27"/>
      <c r="FW454" s="27"/>
      <c r="FX454" s="27"/>
      <c r="FY454" s="27"/>
      <c r="FZ454" s="27"/>
      <c r="GA454" s="27"/>
      <c r="GB454" s="27"/>
      <c r="GC454" s="27"/>
      <c r="GD454" s="27"/>
      <c r="GE454" s="27"/>
      <c r="GF454" s="27"/>
      <c r="GG454" s="27"/>
      <c r="GH454" s="27"/>
      <c r="GI454"/>
      <c r="GJ454"/>
      <c r="GK454"/>
      <c r="GL454"/>
      <c r="GM454"/>
      <c r="GN454"/>
      <c r="GO454" s="27"/>
      <c r="GP454"/>
      <c r="GQ454"/>
      <c r="GR454"/>
      <c r="GS454"/>
      <c r="GT454"/>
      <c r="GU454"/>
      <c r="GV454"/>
      <c r="GW454"/>
      <c r="GX454"/>
      <c r="GY454"/>
      <c r="GZ454"/>
      <c r="HA454"/>
      <c r="HB454"/>
      <c r="HC454"/>
      <c r="HD454"/>
      <c r="HE454"/>
      <c r="HF454"/>
      <c r="HG454"/>
      <c r="HH454"/>
      <c r="HI454"/>
      <c r="HJ454"/>
      <c r="HK454"/>
      <c r="HL454"/>
      <c r="HM454"/>
      <c r="HN454"/>
      <c r="HO454"/>
      <c r="HP454"/>
      <c r="HQ454"/>
      <c r="HR454"/>
      <c r="HS454"/>
      <c r="HT454"/>
      <c r="HU454"/>
      <c r="HV454"/>
      <c r="HW454"/>
      <c r="HX454"/>
      <c r="HY454"/>
      <c r="HZ454"/>
      <c r="IA454"/>
      <c r="IB454"/>
      <c r="IC454"/>
      <c r="ID454"/>
      <c r="IE454"/>
      <c r="IF454"/>
      <c r="IG454"/>
      <c r="IH454"/>
      <c r="II454"/>
      <c r="IJ454"/>
      <c r="IK454"/>
      <c r="IL454"/>
      <c r="IM454"/>
      <c r="IN454"/>
      <c r="IO454"/>
      <c r="IP454"/>
      <c r="IQ454"/>
      <c r="IR454"/>
      <c r="IS454"/>
      <c r="IT454"/>
      <c r="IU454"/>
      <c r="IV454"/>
      <c r="IW454"/>
      <c r="IX454"/>
      <c r="IY454"/>
      <c r="IZ454"/>
      <c r="JA454"/>
      <c r="JB454"/>
      <c r="JC454"/>
      <c r="JD454"/>
      <c r="JE454"/>
      <c r="JF454"/>
      <c r="JG454"/>
      <c r="JH454"/>
      <c r="JI454"/>
      <c r="JJ454"/>
      <c r="JK454"/>
      <c r="JL454"/>
      <c r="JM454"/>
      <c r="JN454"/>
      <c r="JO454"/>
      <c r="JP454"/>
      <c r="JQ454"/>
      <c r="JR454"/>
      <c r="JS454"/>
      <c r="JT454"/>
      <c r="JU454"/>
    </row>
    <row r="455" spans="1:281" s="28" customFormat="1" ht="12" hidden="1" customHeight="1" outlineLevel="1" x14ac:dyDescent="0.2">
      <c r="A455" s="342" t="s">
        <v>219</v>
      </c>
      <c r="B455" s="414"/>
      <c r="AW455" s="69"/>
      <c r="BC455" s="69"/>
      <c r="BI455" s="69"/>
      <c r="BK455" s="69"/>
      <c r="BL455" s="69"/>
      <c r="BM455" s="69"/>
      <c r="BN455" s="69"/>
      <c r="BO455" s="69"/>
      <c r="BQ455" s="69"/>
      <c r="BR455" s="69"/>
      <c r="BS455" s="69"/>
      <c r="BT455" s="69"/>
      <c r="BU455" s="69"/>
      <c r="BW455" s="69"/>
      <c r="BX455" s="69"/>
      <c r="BY455" s="69"/>
      <c r="BZ455" s="69"/>
      <c r="CA455" s="69"/>
      <c r="CB455" s="134"/>
      <c r="CC455" s="69"/>
      <c r="CD455" s="69"/>
      <c r="CE455" s="417">
        <f>-('Balance Sheet'!CD25+'Balance Sheet'!CD32)*CE408/4</f>
        <v>-49</v>
      </c>
      <c r="CF455" s="417">
        <f>-('Balance Sheet'!CE25+'Balance Sheet'!CE32)*CF408/4</f>
        <v>-83.627499999999998</v>
      </c>
      <c r="CG455" s="415"/>
      <c r="CH455" s="134"/>
      <c r="CI455" s="417">
        <f>-('Balance Sheet'!CF25+'Balance Sheet'!CF32-5750)*CI408/4</f>
        <v>-1.53</v>
      </c>
      <c r="CJ455" s="417">
        <f>-('Balance Sheet'!CI25+'Balance Sheet'!CI32-5750)*CJ408/4</f>
        <v>-1.816875</v>
      </c>
      <c r="CK455" s="417">
        <f>-('Balance Sheet'!CJ25+'Balance Sheet'!CJ32-5750)*CK408/4</f>
        <v>-2.1993750000000003</v>
      </c>
      <c r="CL455" s="417">
        <f>-('Balance Sheet'!CK25+'Balance Sheet'!CK32-5750)*CL408/4</f>
        <v>0.15812500000000002</v>
      </c>
      <c r="CM455" s="416"/>
      <c r="CN455" s="134"/>
      <c r="CO455" s="417"/>
      <c r="CP455" s="417"/>
      <c r="CQ455" s="417"/>
      <c r="CR455" s="417"/>
      <c r="CS455" s="416"/>
      <c r="CT455" s="134"/>
      <c r="CU455" s="417"/>
      <c r="CV455" s="417"/>
      <c r="CW455" s="417"/>
      <c r="CX455" s="417"/>
      <c r="CY455" s="416"/>
      <c r="CZ455" s="134"/>
      <c r="DA455" s="417">
        <v>-20</v>
      </c>
      <c r="DB455" s="417">
        <v>-20</v>
      </c>
      <c r="DC455" s="417">
        <v>-20</v>
      </c>
      <c r="DD455" s="417">
        <v>-20</v>
      </c>
      <c r="DE455" s="416"/>
      <c r="DF455" s="134"/>
      <c r="DG455" s="417">
        <v>-20</v>
      </c>
      <c r="DH455" s="417">
        <v>-20</v>
      </c>
      <c r="DI455" s="417">
        <v>-20</v>
      </c>
      <c r="DJ455" s="417">
        <v>-20</v>
      </c>
      <c r="DK455" s="416"/>
      <c r="DL455" s="134"/>
      <c r="DM455" s="417">
        <v>-20</v>
      </c>
      <c r="DN455" s="417">
        <v>-20</v>
      </c>
      <c r="DO455" s="417">
        <v>-20</v>
      </c>
      <c r="DP455" s="417">
        <v>-20</v>
      </c>
      <c r="DQ455" s="416"/>
      <c r="DR455" s="134"/>
      <c r="DS455" s="417">
        <v>0</v>
      </c>
      <c r="DT455" s="417">
        <v>0</v>
      </c>
      <c r="DU455" s="417">
        <v>0</v>
      </c>
      <c r="DV455" s="417">
        <v>0</v>
      </c>
      <c r="DW455" s="416"/>
      <c r="DX455" s="134"/>
      <c r="DY455" s="417">
        <v>0</v>
      </c>
      <c r="DZ455" s="417">
        <v>0</v>
      </c>
      <c r="EA455" s="417">
        <v>0</v>
      </c>
      <c r="EB455" s="417">
        <v>0</v>
      </c>
      <c r="EC455" s="416"/>
      <c r="ED455" s="134"/>
      <c r="EE455" s="417">
        <v>0</v>
      </c>
      <c r="EF455" s="417">
        <v>0</v>
      </c>
      <c r="EG455" s="417">
        <f>EA455</f>
        <v>0</v>
      </c>
      <c r="EH455" s="417">
        <f>EB455</f>
        <v>0</v>
      </c>
      <c r="EI455" s="416"/>
      <c r="EJ455" s="134"/>
      <c r="EK455" s="417">
        <v>0</v>
      </c>
      <c r="EL455" s="417">
        <v>0</v>
      </c>
      <c r="EM455" s="417">
        <v>0</v>
      </c>
      <c r="EN455" s="417">
        <v>0</v>
      </c>
      <c r="EO455" s="168">
        <f t="shared" si="305"/>
        <v>0</v>
      </c>
      <c r="EP455" s="134"/>
      <c r="EQ455" s="417">
        <v>0</v>
      </c>
      <c r="ER455" s="417">
        <v>0</v>
      </c>
      <c r="ES455" s="417">
        <v>0</v>
      </c>
      <c r="ET455" s="417">
        <v>0</v>
      </c>
      <c r="EU455" s="168">
        <f t="shared" si="306"/>
        <v>0</v>
      </c>
      <c r="EV455" s="134"/>
      <c r="EW455" s="417">
        <v>0</v>
      </c>
      <c r="EX455" s="417">
        <v>0</v>
      </c>
      <c r="EY455" s="417">
        <v>0</v>
      </c>
      <c r="EZ455" s="417">
        <v>0</v>
      </c>
      <c r="FA455" s="168">
        <f t="shared" si="307"/>
        <v>0</v>
      </c>
      <c r="FB455" s="134"/>
      <c r="FC455" s="417">
        <v>0</v>
      </c>
      <c r="FD455" s="417">
        <v>0</v>
      </c>
      <c r="FE455" s="417">
        <v>0</v>
      </c>
      <c r="FF455" s="417">
        <v>0</v>
      </c>
      <c r="FG455" s="168">
        <f t="shared" si="297"/>
        <v>0</v>
      </c>
      <c r="FH455" s="134"/>
      <c r="FI455" s="417">
        <v>0</v>
      </c>
      <c r="FJ455" s="417">
        <v>0</v>
      </c>
      <c r="FK455" s="417">
        <v>0</v>
      </c>
      <c r="FL455" s="417">
        <v>0</v>
      </c>
      <c r="FM455" s="168">
        <f t="shared" ref="FM455" si="310">SUM(FI455:FL455)</f>
        <v>0</v>
      </c>
      <c r="FN455" s="27"/>
      <c r="FO455" s="27"/>
      <c r="FP455" s="27"/>
      <c r="FQ455" s="27"/>
      <c r="FR455" s="27"/>
      <c r="FS455" s="27"/>
      <c r="FT455" s="27"/>
      <c r="FU455" s="27"/>
      <c r="FV455" s="27"/>
      <c r="FW455" s="27"/>
      <c r="FX455" s="27"/>
      <c r="FY455" s="27"/>
      <c r="FZ455" s="27"/>
      <c r="GA455" s="27"/>
      <c r="GB455" s="27"/>
      <c r="GC455" s="27"/>
      <c r="GD455" s="27"/>
      <c r="GE455" s="27"/>
      <c r="GF455" s="27"/>
      <c r="GG455" s="27"/>
      <c r="GH455" s="27"/>
      <c r="GI455"/>
      <c r="GJ455"/>
      <c r="GK455"/>
      <c r="GL455"/>
      <c r="GM455"/>
      <c r="GN455"/>
      <c r="GO455" s="27"/>
      <c r="GP455"/>
      <c r="GQ455"/>
      <c r="GR455"/>
      <c r="GS455"/>
      <c r="GT455"/>
      <c r="GU455"/>
      <c r="GV455"/>
      <c r="GW455"/>
      <c r="GX455"/>
      <c r="GY455"/>
      <c r="GZ455"/>
      <c r="HA455"/>
      <c r="HB455"/>
      <c r="HC455"/>
      <c r="HD455"/>
      <c r="HE455"/>
      <c r="HF455"/>
      <c r="HG455"/>
      <c r="HH455"/>
      <c r="HI455"/>
      <c r="HJ455"/>
      <c r="HK455"/>
      <c r="HL455"/>
      <c r="HM455"/>
      <c r="HN455"/>
      <c r="HO455"/>
      <c r="HP455"/>
      <c r="HQ455"/>
      <c r="HR455"/>
      <c r="HS455"/>
      <c r="HT455"/>
      <c r="HU455"/>
      <c r="HV455"/>
      <c r="HW455"/>
      <c r="HX455"/>
      <c r="HY455"/>
      <c r="HZ455"/>
      <c r="IA455"/>
      <c r="IB455"/>
      <c r="IC455"/>
      <c r="ID455"/>
      <c r="IE455"/>
      <c r="IF455"/>
      <c r="IG455"/>
      <c r="IH455"/>
      <c r="II455"/>
      <c r="IJ455"/>
      <c r="IK455"/>
      <c r="IL455"/>
      <c r="IM455"/>
      <c r="IN455"/>
      <c r="IO455"/>
      <c r="IP455"/>
      <c r="IQ455"/>
      <c r="IR455"/>
      <c r="IS455"/>
      <c r="IT455"/>
      <c r="IU455"/>
      <c r="IV455"/>
      <c r="IW455"/>
      <c r="IX455"/>
      <c r="IY455"/>
      <c r="IZ455"/>
      <c r="JA455"/>
      <c r="JB455"/>
      <c r="JC455"/>
      <c r="JD455"/>
      <c r="JE455"/>
      <c r="JF455"/>
      <c r="JG455"/>
      <c r="JH455"/>
      <c r="JI455"/>
      <c r="JJ455"/>
      <c r="JK455"/>
      <c r="JL455"/>
      <c r="JM455"/>
      <c r="JN455"/>
      <c r="JO455"/>
      <c r="JP455"/>
      <c r="JQ455"/>
      <c r="JR455"/>
      <c r="JS455"/>
      <c r="JT455"/>
      <c r="JU455"/>
    </row>
    <row r="456" spans="1:281" s="28" customFormat="1" ht="12" hidden="1" customHeight="1" outlineLevel="1" x14ac:dyDescent="0.2">
      <c r="A456" s="342"/>
      <c r="B456" s="414"/>
      <c r="AW456" s="69"/>
      <c r="BC456" s="69"/>
      <c r="BI456" s="69"/>
      <c r="BK456" s="69"/>
      <c r="BL456" s="69"/>
      <c r="BM456" s="69"/>
      <c r="BN456" s="69"/>
      <c r="BO456" s="69"/>
      <c r="BQ456" s="69"/>
      <c r="BR456" s="69"/>
      <c r="BS456" s="69"/>
      <c r="BT456" s="64"/>
      <c r="BW456" s="69"/>
      <c r="BX456" s="69"/>
      <c r="BY456" s="69"/>
      <c r="BZ456" s="69"/>
      <c r="CA456" s="134"/>
      <c r="CB456" s="134"/>
      <c r="CC456" s="69"/>
      <c r="CD456" s="69"/>
      <c r="CE456" s="69"/>
      <c r="CF456" s="69"/>
      <c r="CG456" s="415"/>
      <c r="CH456" s="134"/>
      <c r="CI456" s="69"/>
      <c r="CJ456" s="69"/>
      <c r="CK456" s="69"/>
      <c r="CL456" s="69"/>
      <c r="CM456" s="416"/>
      <c r="CN456" s="134"/>
      <c r="CO456" s="69"/>
      <c r="CP456" s="69"/>
      <c r="CQ456" s="69"/>
      <c r="CR456" s="69"/>
      <c r="CS456" s="416"/>
      <c r="CT456" s="134"/>
      <c r="CU456" s="69"/>
      <c r="CV456" s="69"/>
      <c r="CW456" s="69"/>
      <c r="CX456" s="69"/>
      <c r="CY456" s="416"/>
      <c r="CZ456" s="134"/>
      <c r="DA456" s="69"/>
      <c r="DB456" s="69"/>
      <c r="DC456" s="69"/>
      <c r="DD456" s="69"/>
      <c r="DE456" s="416"/>
      <c r="DF456" s="134"/>
      <c r="DG456" s="69"/>
      <c r="DH456" s="69"/>
      <c r="DI456" s="69"/>
      <c r="DJ456" s="69"/>
      <c r="DK456" s="416"/>
      <c r="DL456" s="134"/>
      <c r="DM456" s="69"/>
      <c r="DN456" s="69"/>
      <c r="DO456" s="69"/>
      <c r="DP456" s="69"/>
      <c r="DQ456" s="416"/>
      <c r="DR456" s="134"/>
      <c r="DS456" s="69"/>
      <c r="DT456" s="69"/>
      <c r="DU456" s="69"/>
      <c r="DV456" s="69"/>
      <c r="DW456" s="416"/>
      <c r="DX456" s="134"/>
      <c r="DY456" s="69"/>
      <c r="DZ456" s="69"/>
      <c r="EA456" s="69"/>
      <c r="EB456" s="69"/>
      <c r="EC456" s="416"/>
      <c r="ED456" s="134"/>
      <c r="EE456" s="69"/>
      <c r="EF456" s="69"/>
      <c r="EG456" s="69"/>
      <c r="EH456" s="69"/>
      <c r="EI456" s="416"/>
      <c r="EJ456" s="134"/>
      <c r="EK456" s="69"/>
      <c r="EL456" s="69"/>
      <c r="EM456" s="69"/>
      <c r="EN456" s="69"/>
      <c r="EO456" s="416"/>
      <c r="EP456" s="134"/>
      <c r="EQ456" s="69"/>
      <c r="ER456" s="69"/>
      <c r="ES456" s="69"/>
      <c r="ET456" s="69"/>
      <c r="EU456" s="416"/>
      <c r="EV456" s="134"/>
      <c r="EW456" s="69"/>
      <c r="EX456" s="69"/>
      <c r="EY456" s="69"/>
      <c r="EZ456" s="69"/>
      <c r="FA456" s="416"/>
      <c r="FB456" s="134"/>
      <c r="FC456" s="69"/>
      <c r="FD456" s="69"/>
      <c r="FE456" s="69"/>
      <c r="FF456" s="69"/>
      <c r="FG456" s="416"/>
      <c r="FH456" s="134"/>
      <c r="FI456" s="69"/>
      <c r="FJ456" s="69"/>
      <c r="FK456" s="69"/>
      <c r="FL456" s="69"/>
      <c r="FM456" s="416"/>
      <c r="FN456" s="27"/>
      <c r="FO456" s="27"/>
      <c r="FP456" s="27"/>
      <c r="FQ456" s="27"/>
      <c r="FR456" s="27"/>
      <c r="FS456" s="27"/>
      <c r="FT456" s="27"/>
      <c r="FU456" s="27"/>
      <c r="FV456" s="27"/>
      <c r="FW456" s="27"/>
      <c r="FX456" s="27"/>
      <c r="FY456" s="27"/>
      <c r="FZ456" s="27"/>
      <c r="GA456" s="27"/>
      <c r="GB456" s="27"/>
      <c r="GC456" s="27"/>
      <c r="GD456" s="27"/>
      <c r="GE456" s="27"/>
      <c r="GF456" s="27"/>
      <c r="GG456" s="27"/>
      <c r="GH456" s="27"/>
      <c r="GI456"/>
      <c r="GJ456"/>
      <c r="GK456"/>
      <c r="GL456"/>
      <c r="GM456"/>
      <c r="GN456"/>
      <c r="GO456" s="27"/>
      <c r="GP456"/>
      <c r="GQ456"/>
      <c r="GR456"/>
      <c r="GS456"/>
      <c r="GT456"/>
      <c r="GU456"/>
      <c r="GV456"/>
      <c r="GW456"/>
      <c r="GX456"/>
      <c r="GY456"/>
      <c r="GZ456"/>
      <c r="HA456"/>
      <c r="HB456"/>
      <c r="HC456"/>
      <c r="HD456"/>
      <c r="HE456"/>
      <c r="HF456"/>
      <c r="HG456"/>
      <c r="HH456"/>
      <c r="HI456"/>
      <c r="HJ456"/>
      <c r="HK456"/>
      <c r="HL456"/>
      <c r="HM456"/>
      <c r="HN456"/>
      <c r="HO456"/>
      <c r="HP456"/>
      <c r="HQ456"/>
      <c r="HR456"/>
      <c r="HS456"/>
      <c r="HT456"/>
      <c r="HU456"/>
      <c r="HV456"/>
      <c r="HW456"/>
      <c r="HX456"/>
      <c r="HY456"/>
      <c r="HZ456"/>
      <c r="IA456"/>
      <c r="IB456"/>
      <c r="IC456"/>
      <c r="ID456"/>
      <c r="IE456"/>
      <c r="IF456"/>
      <c r="IG456"/>
      <c r="IH456"/>
      <c r="II456"/>
      <c r="IJ456"/>
      <c r="IK456"/>
      <c r="IL456"/>
      <c r="IM456"/>
      <c r="IN456"/>
      <c r="IO456"/>
      <c r="IP456"/>
      <c r="IQ456"/>
      <c r="IR456"/>
      <c r="IS456"/>
      <c r="IT456"/>
      <c r="IU456"/>
      <c r="IV456"/>
      <c r="IW456"/>
      <c r="IX456"/>
      <c r="IY456"/>
      <c r="IZ456"/>
      <c r="JA456"/>
      <c r="JB456"/>
      <c r="JC456"/>
      <c r="JD456"/>
      <c r="JE456"/>
      <c r="JF456"/>
      <c r="JG456"/>
      <c r="JH456"/>
      <c r="JI456"/>
      <c r="JJ456"/>
      <c r="JK456"/>
      <c r="JL456"/>
      <c r="JM456"/>
      <c r="JN456"/>
      <c r="JO456"/>
      <c r="JP456"/>
      <c r="JQ456"/>
      <c r="JR456"/>
      <c r="JS456"/>
      <c r="JT456"/>
      <c r="JU456"/>
    </row>
    <row r="457" spans="1:281" s="28" customFormat="1" ht="12" hidden="1" customHeight="1" outlineLevel="1" x14ac:dyDescent="0.2">
      <c r="A457" s="353" t="s">
        <v>220</v>
      </c>
      <c r="B457" s="414"/>
      <c r="AW457" s="69"/>
      <c r="BC457" s="69"/>
      <c r="BI457" s="69"/>
      <c r="BK457" s="69"/>
      <c r="BL457" s="69"/>
      <c r="BM457" s="69"/>
      <c r="BN457" s="69"/>
      <c r="BO457" s="69"/>
      <c r="BQ457" s="69"/>
      <c r="BR457" s="69"/>
      <c r="BS457" s="69"/>
      <c r="BT457" s="64"/>
      <c r="BW457" s="69"/>
      <c r="BX457" s="69"/>
      <c r="BY457" s="69"/>
      <c r="BZ457" s="69"/>
      <c r="CA457" s="134"/>
      <c r="CB457" s="134"/>
      <c r="CC457" s="69"/>
      <c r="CD457" s="69"/>
      <c r="CE457" s="69"/>
      <c r="CF457" s="69"/>
      <c r="CG457" s="415"/>
      <c r="CH457" s="134"/>
      <c r="CI457" s="69"/>
      <c r="CJ457" s="69"/>
      <c r="CK457" s="69"/>
      <c r="CL457" s="69"/>
      <c r="CM457" s="416"/>
      <c r="CN457" s="134"/>
      <c r="CO457" s="69"/>
      <c r="CP457" s="69"/>
      <c r="CQ457" s="69"/>
      <c r="CR457" s="69"/>
      <c r="CS457" s="416"/>
      <c r="CT457" s="134"/>
      <c r="CU457" s="69"/>
      <c r="CV457" s="69"/>
      <c r="CW457" s="69"/>
      <c r="CX457" s="69"/>
      <c r="CY457" s="416"/>
      <c r="CZ457" s="134"/>
      <c r="DA457" s="69"/>
      <c r="DB457" s="69"/>
      <c r="DC457" s="69"/>
      <c r="DD457" s="69"/>
      <c r="DE457" s="416"/>
      <c r="DF457" s="134"/>
      <c r="DG457" s="69"/>
      <c r="DH457" s="69"/>
      <c r="DI457" s="69"/>
      <c r="DJ457" s="69"/>
      <c r="DK457" s="416"/>
      <c r="DL457" s="134"/>
      <c r="DM457" s="69"/>
      <c r="DN457" s="69"/>
      <c r="DO457" s="69"/>
      <c r="DP457" s="69"/>
      <c r="DQ457" s="416"/>
      <c r="DR457" s="134"/>
      <c r="DS457" s="69"/>
      <c r="DT457" s="69"/>
      <c r="DU457" s="69"/>
      <c r="DV457" s="69"/>
      <c r="DW457" s="416"/>
      <c r="DX457" s="134"/>
      <c r="DY457" s="69"/>
      <c r="DZ457" s="69"/>
      <c r="EA457" s="69"/>
      <c r="EB457" s="69"/>
      <c r="EC457" s="416"/>
      <c r="ED457" s="134"/>
      <c r="EE457" s="69"/>
      <c r="EF457" s="69"/>
      <c r="EG457" s="69"/>
      <c r="EH457" s="69"/>
      <c r="EI457" s="416"/>
      <c r="EJ457" s="134"/>
      <c r="EK457" s="69"/>
      <c r="EL457" s="69"/>
      <c r="EM457" s="69"/>
      <c r="EN457" s="69"/>
      <c r="EO457" s="416"/>
      <c r="EP457" s="134"/>
      <c r="EQ457" s="69"/>
      <c r="ER457" s="69"/>
      <c r="ES457" s="69"/>
      <c r="ET457" s="69"/>
      <c r="EU457" s="416"/>
      <c r="EV457" s="134"/>
      <c r="EW457" s="69"/>
      <c r="EX457" s="69"/>
      <c r="EY457" s="69"/>
      <c r="EZ457" s="69"/>
      <c r="FA457" s="416"/>
      <c r="FB457" s="134"/>
      <c r="FC457" s="69"/>
      <c r="FD457" s="69"/>
      <c r="FE457" s="69"/>
      <c r="FF457" s="69"/>
      <c r="FG457" s="416"/>
      <c r="FH457" s="134"/>
      <c r="FI457" s="69"/>
      <c r="FJ457" s="69"/>
      <c r="FK457" s="69"/>
      <c r="FL457" s="69"/>
      <c r="FM457" s="416"/>
      <c r="FN457" s="27"/>
      <c r="FO457" s="27"/>
      <c r="FP457" s="27"/>
      <c r="FQ457" s="27"/>
      <c r="FR457" s="27"/>
      <c r="FS457" s="27"/>
      <c r="FT457" s="27"/>
      <c r="FU457" s="27"/>
      <c r="FV457" s="27"/>
      <c r="FW457" s="27"/>
      <c r="FX457" s="27"/>
      <c r="FY457" s="27"/>
      <c r="FZ457" s="27"/>
      <c r="GA457" s="27"/>
      <c r="GB457" s="27"/>
      <c r="GC457" s="27"/>
      <c r="GD457" s="27"/>
      <c r="GE457" s="27"/>
      <c r="GF457" s="27"/>
      <c r="GG457" s="27"/>
      <c r="GH457" s="27"/>
      <c r="GI457"/>
      <c r="GJ457"/>
      <c r="GK457"/>
      <c r="GL457"/>
      <c r="GM457"/>
      <c r="GN457"/>
      <c r="GO457" s="27"/>
      <c r="GP457"/>
      <c r="GQ457"/>
      <c r="GR457"/>
      <c r="GS457"/>
      <c r="GT457"/>
      <c r="GU457"/>
      <c r="GV457"/>
      <c r="GW457"/>
      <c r="GX457"/>
      <c r="GY457"/>
      <c r="GZ457"/>
      <c r="HA457"/>
      <c r="HB457"/>
      <c r="HC457"/>
      <c r="HD457"/>
      <c r="HE457"/>
      <c r="HF457"/>
      <c r="HG457"/>
      <c r="HH457"/>
      <c r="HI457"/>
      <c r="HJ457"/>
      <c r="HK457"/>
      <c r="HL457"/>
      <c r="HM457"/>
      <c r="HN457"/>
      <c r="HO457"/>
      <c r="HP457"/>
      <c r="HQ457"/>
      <c r="HR457"/>
      <c r="HS457"/>
      <c r="HT457"/>
      <c r="HU457"/>
      <c r="HV457"/>
      <c r="HW457"/>
      <c r="HX457"/>
      <c r="HY457"/>
      <c r="HZ457"/>
      <c r="IA457"/>
      <c r="IB457"/>
      <c r="IC457"/>
      <c r="ID457"/>
      <c r="IE457"/>
      <c r="IF457"/>
      <c r="IG457"/>
      <c r="IH457"/>
      <c r="II457"/>
      <c r="IJ457"/>
      <c r="IK457"/>
      <c r="IL457"/>
      <c r="IM457"/>
      <c r="IN457"/>
      <c r="IO457"/>
      <c r="IP457"/>
      <c r="IQ457"/>
      <c r="IR457"/>
      <c r="IS457"/>
      <c r="IT457"/>
      <c r="IU457"/>
      <c r="IV457"/>
      <c r="IW457"/>
      <c r="IX457"/>
      <c r="IY457"/>
      <c r="IZ457"/>
      <c r="JA457"/>
      <c r="JB457"/>
      <c r="JC457"/>
      <c r="JD457"/>
      <c r="JE457"/>
      <c r="JF457"/>
      <c r="JG457"/>
      <c r="JH457"/>
      <c r="JI457"/>
      <c r="JJ457"/>
      <c r="JK457"/>
      <c r="JL457"/>
      <c r="JM457"/>
      <c r="JN457"/>
      <c r="JO457"/>
      <c r="JP457"/>
      <c r="JQ457"/>
      <c r="JR457"/>
      <c r="JS457"/>
      <c r="JT457"/>
      <c r="JU457"/>
    </row>
    <row r="458" spans="1:281" s="28" customFormat="1" ht="12" hidden="1" customHeight="1" outlineLevel="1" x14ac:dyDescent="0.2">
      <c r="A458" s="301" t="s">
        <v>114</v>
      </c>
      <c r="B458" s="414"/>
      <c r="C458" s="302">
        <f t="shared" ref="C458:M458" si="311">C161*C$185</f>
        <v>0</v>
      </c>
      <c r="D458" s="302">
        <f t="shared" si="311"/>
        <v>0</v>
      </c>
      <c r="E458" s="302">
        <f t="shared" si="311"/>
        <v>0</v>
      </c>
      <c r="F458" s="302">
        <f t="shared" si="311"/>
        <v>0</v>
      </c>
      <c r="G458" s="302">
        <f t="shared" si="311"/>
        <v>0</v>
      </c>
      <c r="H458" s="302">
        <f t="shared" si="311"/>
        <v>0</v>
      </c>
      <c r="I458" s="302">
        <f t="shared" si="311"/>
        <v>0</v>
      </c>
      <c r="J458" s="302">
        <f t="shared" si="311"/>
        <v>0</v>
      </c>
      <c r="K458" s="302">
        <f t="shared" si="311"/>
        <v>0</v>
      </c>
      <c r="L458" s="302">
        <f t="shared" si="311"/>
        <v>0</v>
      </c>
      <c r="M458" s="302">
        <f t="shared" si="311"/>
        <v>0</v>
      </c>
      <c r="N458" s="418"/>
      <c r="O458" s="303">
        <f>O161*O$185</f>
        <v>0</v>
      </c>
      <c r="P458" s="303">
        <f>P161*P$185</f>
        <v>0</v>
      </c>
      <c r="Q458" s="303">
        <f>Q161*Q$185</f>
        <v>0</v>
      </c>
      <c r="R458" s="303">
        <f>R161*R$185</f>
        <v>0</v>
      </c>
      <c r="S458" s="302">
        <f>SUM(O458:R458)</f>
        <v>0</v>
      </c>
      <c r="T458" s="418"/>
      <c r="U458" s="303">
        <f>U161*U$185</f>
        <v>17.316502485913166</v>
      </c>
      <c r="V458" s="303">
        <f>V161*V$185</f>
        <v>0</v>
      </c>
      <c r="W458" s="303">
        <f>W161*W$185</f>
        <v>0</v>
      </c>
      <c r="X458" s="303">
        <f>X161*X$185</f>
        <v>0</v>
      </c>
      <c r="Y458" s="302">
        <f>SUM(U458:X458)</f>
        <v>17.316502485913166</v>
      </c>
      <c r="Z458" s="418"/>
      <c r="AA458" s="303">
        <f>AA161*AA$185</f>
        <v>0</v>
      </c>
      <c r="AB458" s="303">
        <f>AB161*AB$185</f>
        <v>0</v>
      </c>
      <c r="AC458" s="303">
        <f>AC161*AC$185</f>
        <v>13.247877545772868</v>
      </c>
      <c r="AD458" s="303">
        <f>AD161*AD$185</f>
        <v>0</v>
      </c>
      <c r="AE458" s="302">
        <f>SUM(AA458:AD458)</f>
        <v>13.247877545772868</v>
      </c>
      <c r="AF458" s="418"/>
      <c r="AG458" s="303">
        <f>AG161*AG$185</f>
        <v>60.13944</v>
      </c>
      <c r="AH458" s="303">
        <f>AH161*AH$185</f>
        <v>0</v>
      </c>
      <c r="AI458" s="303">
        <f>AI161*AI$185</f>
        <v>0</v>
      </c>
      <c r="AJ458" s="303">
        <f>AJ161*AJ$185</f>
        <v>0</v>
      </c>
      <c r="AK458" s="302">
        <f>SUM(AG458:AJ458)</f>
        <v>60.13944</v>
      </c>
      <c r="AL458" s="418"/>
      <c r="AM458" s="303">
        <f>AM161*AM$185</f>
        <v>0</v>
      </c>
      <c r="AN458" s="303">
        <f>AN161*AN$185</f>
        <v>0</v>
      </c>
      <c r="AO458" s="303">
        <f>AO161*AO$185</f>
        <v>0</v>
      </c>
      <c r="AP458" s="303">
        <f>AP161*AP$185</f>
        <v>0</v>
      </c>
      <c r="AQ458" s="302">
        <f>SUM(AM458:AP458)</f>
        <v>0</v>
      </c>
      <c r="AR458" s="418"/>
      <c r="AS458" s="303">
        <f>AS161*AS$185</f>
        <v>0</v>
      </c>
      <c r="AT458" s="303">
        <f>AT161*AT$185</f>
        <v>0</v>
      </c>
      <c r="AU458" s="303">
        <f>AU161*AU$185</f>
        <v>0</v>
      </c>
      <c r="AV458" s="303">
        <f>AV161*AV$185</f>
        <v>0</v>
      </c>
      <c r="AW458" s="302">
        <f>SUM(AS458:AV458)</f>
        <v>0</v>
      </c>
      <c r="AX458" s="418"/>
      <c r="AY458" s="303">
        <f>AY161*AY$185</f>
        <v>0</v>
      </c>
      <c r="AZ458" s="303">
        <f>AZ161*AZ$185</f>
        <v>0</v>
      </c>
      <c r="BA458" s="303">
        <f>BA161*BA$185</f>
        <v>0</v>
      </c>
      <c r="BB458" s="303">
        <f>BB161*BB$185</f>
        <v>0</v>
      </c>
      <c r="BC458" s="302">
        <f>SUM(AY458:BB458)</f>
        <v>0</v>
      </c>
      <c r="BD458" s="418"/>
      <c r="BE458" s="303">
        <f>BE161*BE$185</f>
        <v>0</v>
      </c>
      <c r="BF458" s="303">
        <f>BF161*BF$185</f>
        <v>0</v>
      </c>
      <c r="BG458" s="303">
        <f>BG161*BG$185</f>
        <v>0</v>
      </c>
      <c r="BH458" s="303">
        <f>BH161*BH$185</f>
        <v>0</v>
      </c>
      <c r="BI458" s="302">
        <f>SUM(BE458:BH458)</f>
        <v>0</v>
      </c>
      <c r="BJ458" s="418"/>
      <c r="BK458" s="303">
        <f>BK161*BK$185</f>
        <v>0</v>
      </c>
      <c r="BL458" s="303">
        <f>BL161*BL$185</f>
        <v>0</v>
      </c>
      <c r="BM458" s="303">
        <f>BM161*BM$185</f>
        <v>0</v>
      </c>
      <c r="BN458" s="303">
        <f>BN161*BN$185</f>
        <v>0</v>
      </c>
      <c r="BO458" s="302">
        <f>SUM(BK458:BN458)</f>
        <v>0</v>
      </c>
      <c r="BP458" s="418"/>
      <c r="BQ458" s="303">
        <f>BQ161*BQ$185</f>
        <v>0</v>
      </c>
      <c r="BR458" s="303">
        <f>BR161*BR$185</f>
        <v>0</v>
      </c>
      <c r="BS458" s="303">
        <f>BS161*BS$185</f>
        <v>0</v>
      </c>
      <c r="BT458" s="303">
        <f>BT161*BT$185</f>
        <v>0</v>
      </c>
      <c r="BU458" s="302">
        <f>SUM(BQ458:BT458)</f>
        <v>0</v>
      </c>
      <c r="BV458" s="418"/>
      <c r="BW458" s="303">
        <f>BW161*BW$185</f>
        <v>8.8434959349593498</v>
      </c>
      <c r="BX458" s="303">
        <f>BX161*BX$185</f>
        <v>6.8446273830155988</v>
      </c>
      <c r="BY458" s="303">
        <f>BY161*BY$185</f>
        <v>15.312977099236642</v>
      </c>
      <c r="BZ458" s="303">
        <f>BZ161*BZ$185</f>
        <v>27.912831618841363</v>
      </c>
      <c r="CA458" s="302">
        <f>SUM(BW458:BZ458)</f>
        <v>58.913932036052955</v>
      </c>
      <c r="CB458" s="419"/>
      <c r="CC458" s="303">
        <f>CC161*CC$185</f>
        <v>8.1879194630872476</v>
      </c>
      <c r="CD458" s="303">
        <f>CD161*CD$185</f>
        <v>0</v>
      </c>
      <c r="CE458" s="303">
        <f>CE161*CE$185</f>
        <v>24.391873086557194</v>
      </c>
      <c r="CF458" s="303">
        <f>CF161*CF$185</f>
        <v>4.9232079640128825</v>
      </c>
      <c r="CG458" s="304">
        <f>SUM(CC458:CF458)</f>
        <v>37.503000513657319</v>
      </c>
      <c r="CH458" s="419"/>
      <c r="CI458" s="303">
        <f>CI161*CI$185</f>
        <v>14.575916230366492</v>
      </c>
      <c r="CJ458" s="303">
        <f>CJ161*CJ$185</f>
        <v>0</v>
      </c>
      <c r="CK458" s="303">
        <f>CK161*CK$185</f>
        <v>13.977362761743066</v>
      </c>
      <c r="CL458" s="303">
        <f>CL161*CL$185</f>
        <v>21.597626552938994</v>
      </c>
      <c r="CM458" s="304">
        <f>SUM(CI458:CL458)</f>
        <v>50.150905545048552</v>
      </c>
      <c r="CN458" s="419"/>
      <c r="CO458" s="303">
        <f>CO161*CO$185</f>
        <v>14.114114114114114</v>
      </c>
      <c r="CP458" s="303">
        <f>CP161*CP$185</f>
        <v>6.2073876279483757</v>
      </c>
      <c r="CQ458" s="303">
        <f>CQ161*CQ$185</f>
        <v>-11.436289959477712</v>
      </c>
      <c r="CR458" s="303">
        <f>CR161*CR$185</f>
        <v>29.523755334281653</v>
      </c>
      <c r="CS458" s="304">
        <f>SUM(CO458:CR458)</f>
        <v>38.408967116866435</v>
      </c>
      <c r="CT458" s="419"/>
      <c r="CU458" s="303">
        <f>CU161*CU$185</f>
        <v>16.613733905579402</v>
      </c>
      <c r="CV458" s="303">
        <f>CV161*CV$185</f>
        <v>6.0951219512195118</v>
      </c>
      <c r="CW458" s="303">
        <f>CW161*CW$185</f>
        <v>7.1814432989690724</v>
      </c>
      <c r="CX458" s="303">
        <f>CX161*CX$185</f>
        <v>5.9532958912208098</v>
      </c>
      <c r="CY458" s="304">
        <f>SUM(CU458:CX458)</f>
        <v>35.843595046988796</v>
      </c>
      <c r="CZ458" s="419"/>
      <c r="DA458" s="303">
        <f>DA161*DA$185</f>
        <v>1.6822429906542054</v>
      </c>
      <c r="DB458" s="303">
        <f>DB161*DB$185</f>
        <v>2.7397260273972601</v>
      </c>
      <c r="DC458" s="303">
        <f>DC161*DC$185</f>
        <v>8.80627713872172</v>
      </c>
      <c r="DD458" s="303">
        <f>DD161*DD$185</f>
        <v>28.075041172398983</v>
      </c>
      <c r="DE458" s="304">
        <f>SUM(DA458:DD458)</f>
        <v>41.303287329172164</v>
      </c>
      <c r="DF458" s="419"/>
      <c r="DG458" s="303">
        <f>DG161*DG$185</f>
        <v>20.448849557522124</v>
      </c>
      <c r="DH458" s="303">
        <f>DH161*DH$185</f>
        <v>13.241212771666218</v>
      </c>
      <c r="DI458" s="303">
        <f>DI161*DI$185</f>
        <v>7.6214902807775378</v>
      </c>
      <c r="DJ458" s="303">
        <f>DJ161*DJ$185</f>
        <v>10.723311546840959</v>
      </c>
      <c r="DK458" s="304">
        <f>SUM(DG458:DJ458)</f>
        <v>52.03486415680684</v>
      </c>
      <c r="DL458" s="419"/>
      <c r="DM458" s="303">
        <f>DM161*DM$185</f>
        <v>4.7710196779964225</v>
      </c>
      <c r="DN458" s="303">
        <f>DN161*DN$185</f>
        <v>0.78930651138168351</v>
      </c>
      <c r="DO458" s="303">
        <f>DO161*DO$185</f>
        <v>8.548340040400964</v>
      </c>
      <c r="DP458" s="303">
        <f>DP161*DP$185</f>
        <v>-4.1420042510232378</v>
      </c>
      <c r="DQ458" s="304">
        <f>SUM(DM458:DP458)</f>
        <v>9.9666619787558322</v>
      </c>
      <c r="DR458" s="419"/>
      <c r="DS458" s="303">
        <f>DS161*DS$185</f>
        <v>-60.341148886283705</v>
      </c>
      <c r="DT458" s="303">
        <f>DT161*DT$185</f>
        <v>-28.433962264150942</v>
      </c>
      <c r="DU458" s="303">
        <f>DU161*DU$185</f>
        <v>6.7188612099644125</v>
      </c>
      <c r="DV458" s="303">
        <f>DV161*DV$185</f>
        <v>-60.180066691367173</v>
      </c>
      <c r="DW458" s="304">
        <f>SUM(DS458:DV458)</f>
        <v>-142.23631663183738</v>
      </c>
      <c r="DX458" s="419"/>
      <c r="DY458" s="303">
        <f>DY161*DY$185</f>
        <v>2.1806853582554515</v>
      </c>
      <c r="DZ458" s="303">
        <f>DZ161*DZ$185</f>
        <v>3.7207229512255506</v>
      </c>
      <c r="EA458" s="303">
        <f>EA161*EA$185</f>
        <v>-1.1548913043478262</v>
      </c>
      <c r="EB458" s="303">
        <f>EB161*EB$185</f>
        <v>6.2135761589403975</v>
      </c>
      <c r="EC458" s="304">
        <f>SUM(DY458:EB458)</f>
        <v>10.960093164073573</v>
      </c>
      <c r="ED458" s="419"/>
      <c r="EE458" s="303">
        <f>EE161*EE$185</f>
        <v>5.3721320649132629</v>
      </c>
      <c r="EF458" s="303">
        <f>EF161*EF$185</f>
        <v>-4.8615832928606117</v>
      </c>
      <c r="EG458" s="303">
        <f>EG161*EG$185</f>
        <v>1.8162597533350113</v>
      </c>
      <c r="EH458" s="303">
        <f>EH161*EH$185</f>
        <v>51.012145748987855</v>
      </c>
      <c r="EI458" s="304">
        <f>SUM(EE458:EH458)</f>
        <v>53.338954274375517</v>
      </c>
      <c r="EJ458" s="419"/>
      <c r="EK458" s="303">
        <f>EK161*EK$185</f>
        <v>7.747523170341962</v>
      </c>
      <c r="EL458" s="303">
        <f>EL161*EL$185</f>
        <v>-1.4281140861466823</v>
      </c>
      <c r="EM458" s="303">
        <f>EM161*EM$185</f>
        <v>2.4849773242630389</v>
      </c>
      <c r="EN458" s="303">
        <f>EN161*EN$185</f>
        <v>1.7090507726269315</v>
      </c>
      <c r="EO458" s="304">
        <f>SUM(EK458:EN458)</f>
        <v>10.51343718108525</v>
      </c>
      <c r="EP458" s="419"/>
      <c r="EQ458" s="303">
        <f>EQ161*EQ$185</f>
        <v>3.569240587109126</v>
      </c>
      <c r="ER458" s="303">
        <f>ER161*ER$185</f>
        <v>10.200360080815569</v>
      </c>
      <c r="ES458" s="303">
        <f>ES161*ES$185</f>
        <v>6.4756991582948684</v>
      </c>
      <c r="ET458" s="303">
        <f>ET161*ET$185</f>
        <v>3.6022968949383238</v>
      </c>
      <c r="EU458" s="304">
        <f>SUM(EQ458:ET458)</f>
        <v>23.847596721157888</v>
      </c>
      <c r="EV458" s="419"/>
      <c r="EW458" s="303">
        <f>EW161*EW$185</f>
        <v>3</v>
      </c>
      <c r="EX458" s="303">
        <f>EX161*EX$185</f>
        <v>4.2861430715357676</v>
      </c>
      <c r="EY458" s="303">
        <f>EY161*EY$185</f>
        <v>0.48312993539124194</v>
      </c>
      <c r="EZ458" s="303">
        <f>EZ161*EZ$185</f>
        <v>0</v>
      </c>
      <c r="FA458" s="304">
        <f>SUM(EW458:EZ458)</f>
        <v>7.7692730069270093</v>
      </c>
      <c r="FB458" s="419"/>
      <c r="FC458" s="303">
        <f>FC161*FC$185</f>
        <v>0</v>
      </c>
      <c r="FD458" s="303">
        <f>FD161*FD$185</f>
        <v>0</v>
      </c>
      <c r="FE458" s="303">
        <f>FE161*FE$185</f>
        <v>0</v>
      </c>
      <c r="FF458" s="303">
        <f>FF161*FF$185</f>
        <v>0</v>
      </c>
      <c r="FG458" s="304">
        <f>SUM(FC458:FF458)</f>
        <v>0</v>
      </c>
      <c r="FH458" s="419"/>
      <c r="FI458" s="303">
        <f>FI161*FI$185</f>
        <v>0</v>
      </c>
      <c r="FJ458" s="303">
        <f>FJ161*FJ$185</f>
        <v>0</v>
      </c>
      <c r="FK458" s="303">
        <f>FK161*FK$185</f>
        <v>0</v>
      </c>
      <c r="FL458" s="303">
        <f>FL161*FL$185</f>
        <v>0</v>
      </c>
      <c r="FM458" s="304">
        <f>SUM(FI458:FL458)</f>
        <v>0</v>
      </c>
      <c r="FN458" s="27"/>
      <c r="FO458" s="27"/>
      <c r="FP458" s="27"/>
      <c r="FQ458" s="27"/>
      <c r="FR458" s="27"/>
      <c r="FS458" s="27"/>
      <c r="FT458" s="27"/>
      <c r="FU458" s="27"/>
      <c r="FV458" s="27"/>
      <c r="FW458" s="27"/>
      <c r="FX458" s="27"/>
      <c r="FY458" s="27"/>
      <c r="FZ458" s="27"/>
      <c r="GA458" s="27"/>
      <c r="GB458" s="27"/>
      <c r="GC458" s="27"/>
      <c r="GD458" s="27"/>
      <c r="GE458" s="27"/>
      <c r="GF458" s="27"/>
      <c r="GG458" s="27"/>
      <c r="GH458" s="27"/>
      <c r="GI458"/>
      <c r="GJ458"/>
      <c r="GK458"/>
      <c r="GL458"/>
      <c r="GM458"/>
      <c r="GN458"/>
      <c r="GO458" s="27"/>
      <c r="GP458"/>
      <c r="GQ458"/>
      <c r="GR458"/>
      <c r="GS458"/>
      <c r="GT458"/>
      <c r="GU458"/>
      <c r="GV458"/>
      <c r="GW458"/>
      <c r="GX458"/>
      <c r="GY458"/>
      <c r="GZ458"/>
      <c r="HA458"/>
      <c r="HB458"/>
      <c r="HC458"/>
      <c r="HD458"/>
      <c r="HE458"/>
      <c r="HF458"/>
      <c r="HG458"/>
      <c r="HH458"/>
      <c r="HI458"/>
      <c r="HJ458"/>
      <c r="HK458"/>
      <c r="HL458"/>
      <c r="HM458"/>
      <c r="HN458"/>
      <c r="HO458"/>
      <c r="HP458"/>
      <c r="HQ458"/>
      <c r="HR458"/>
      <c r="HS458"/>
      <c r="HT458"/>
      <c r="HU458"/>
      <c r="HV458"/>
      <c r="HW458"/>
      <c r="HX458"/>
      <c r="HY458"/>
      <c r="HZ458"/>
      <c r="IA458"/>
      <c r="IB458"/>
      <c r="IC458"/>
      <c r="ID458"/>
      <c r="IE458"/>
      <c r="IF458"/>
      <c r="IG458"/>
      <c r="IH458"/>
      <c r="II458"/>
      <c r="IJ458"/>
      <c r="IK458"/>
      <c r="IL458"/>
      <c r="IM458"/>
      <c r="IN458"/>
      <c r="IO458"/>
      <c r="IP458"/>
      <c r="IQ458"/>
      <c r="IR458"/>
      <c r="IS458"/>
      <c r="IT458"/>
      <c r="IU458"/>
      <c r="IV458"/>
      <c r="IW458"/>
      <c r="IX458"/>
      <c r="IY458"/>
      <c r="IZ458"/>
      <c r="JA458"/>
      <c r="JB458"/>
      <c r="JC458"/>
      <c r="JD458"/>
      <c r="JE458"/>
      <c r="JF458"/>
      <c r="JG458"/>
      <c r="JH458"/>
      <c r="JI458"/>
      <c r="JJ458"/>
      <c r="JK458"/>
      <c r="JL458"/>
      <c r="JM458"/>
      <c r="JN458"/>
      <c r="JO458"/>
      <c r="JP458"/>
      <c r="JQ458"/>
      <c r="JR458"/>
      <c r="JS458"/>
      <c r="JT458"/>
      <c r="JU458"/>
    </row>
    <row r="459" spans="1:281" s="28" customFormat="1" ht="12" hidden="1" customHeight="1" outlineLevel="1" x14ac:dyDescent="0.2">
      <c r="A459" s="301" t="s">
        <v>659</v>
      </c>
      <c r="B459" s="414"/>
      <c r="C459" s="302">
        <f t="shared" ref="C459:M459" si="312">C163*C$185</f>
        <v>0</v>
      </c>
      <c r="D459" s="302">
        <f t="shared" si="312"/>
        <v>0</v>
      </c>
      <c r="E459" s="302">
        <f t="shared" si="312"/>
        <v>0</v>
      </c>
      <c r="F459" s="302">
        <f t="shared" si="312"/>
        <v>0</v>
      </c>
      <c r="G459" s="302">
        <f t="shared" si="312"/>
        <v>0</v>
      </c>
      <c r="H459" s="302">
        <f t="shared" si="312"/>
        <v>0</v>
      </c>
      <c r="I459" s="302">
        <f t="shared" si="312"/>
        <v>0</v>
      </c>
      <c r="J459" s="302">
        <f t="shared" si="312"/>
        <v>0</v>
      </c>
      <c r="K459" s="302">
        <f t="shared" si="312"/>
        <v>0</v>
      </c>
      <c r="L459" s="302">
        <f t="shared" si="312"/>
        <v>0</v>
      </c>
      <c r="M459" s="302">
        <f t="shared" si="312"/>
        <v>0</v>
      </c>
      <c r="N459" s="418"/>
      <c r="O459" s="303">
        <f t="shared" ref="O459:R461" si="313">O163*O$185</f>
        <v>0</v>
      </c>
      <c r="P459" s="303">
        <f t="shared" si="313"/>
        <v>0</v>
      </c>
      <c r="Q459" s="303">
        <f t="shared" si="313"/>
        <v>0</v>
      </c>
      <c r="R459" s="303">
        <f t="shared" si="313"/>
        <v>0</v>
      </c>
      <c r="S459" s="302">
        <f>SUM(O459:R459)</f>
        <v>0</v>
      </c>
      <c r="T459" s="418"/>
      <c r="U459" s="303">
        <f t="shared" ref="U459:X461" si="314">U163*U$185</f>
        <v>0</v>
      </c>
      <c r="V459" s="303">
        <f t="shared" si="314"/>
        <v>0</v>
      </c>
      <c r="W459" s="303">
        <f t="shared" si="314"/>
        <v>0</v>
      </c>
      <c r="X459" s="303">
        <f t="shared" si="314"/>
        <v>0</v>
      </c>
      <c r="Y459" s="302">
        <f>SUM(U459:X459)</f>
        <v>0</v>
      </c>
      <c r="Z459" s="418"/>
      <c r="AA459" s="303">
        <f t="shared" ref="AA459:AD461" si="315">AA163*AA$185</f>
        <v>0</v>
      </c>
      <c r="AB459" s="303">
        <f t="shared" si="315"/>
        <v>0</v>
      </c>
      <c r="AC459" s="303">
        <f t="shared" si="315"/>
        <v>0</v>
      </c>
      <c r="AD459" s="303">
        <f t="shared" si="315"/>
        <v>0</v>
      </c>
      <c r="AE459" s="302">
        <f>SUM(AA459:AD459)</f>
        <v>0</v>
      </c>
      <c r="AF459" s="418"/>
      <c r="AG459" s="303">
        <f t="shared" ref="AG459:AJ461" si="316">AG163*AG$185</f>
        <v>0</v>
      </c>
      <c r="AH459" s="303">
        <f t="shared" si="316"/>
        <v>0</v>
      </c>
      <c r="AI459" s="303">
        <f t="shared" si="316"/>
        <v>0</v>
      </c>
      <c r="AJ459" s="303">
        <f t="shared" si="316"/>
        <v>0</v>
      </c>
      <c r="AK459" s="302">
        <f>SUM(AG459:AJ459)</f>
        <v>0</v>
      </c>
      <c r="AL459" s="418"/>
      <c r="AM459" s="303">
        <f t="shared" ref="AM459:AP461" si="317">AM163*AM$185</f>
        <v>0</v>
      </c>
      <c r="AN459" s="303">
        <f t="shared" si="317"/>
        <v>0</v>
      </c>
      <c r="AO459" s="303">
        <f t="shared" si="317"/>
        <v>0</v>
      </c>
      <c r="AP459" s="303">
        <f t="shared" si="317"/>
        <v>0</v>
      </c>
      <c r="AQ459" s="302">
        <f>SUM(AM459:AP459)</f>
        <v>0</v>
      </c>
      <c r="AR459" s="418"/>
      <c r="AS459" s="303">
        <f t="shared" ref="AS459:AV461" si="318">AS163*AS$185</f>
        <v>0</v>
      </c>
      <c r="AT459" s="303">
        <f t="shared" si="318"/>
        <v>0</v>
      </c>
      <c r="AU459" s="303">
        <f t="shared" si="318"/>
        <v>0</v>
      </c>
      <c r="AV459" s="303">
        <f t="shared" si="318"/>
        <v>0</v>
      </c>
      <c r="AW459" s="302">
        <f>SUM(AS459:AV459)</f>
        <v>0</v>
      </c>
      <c r="AX459" s="418"/>
      <c r="AY459" s="303">
        <f t="shared" ref="AY459:BB461" si="319">AY163*AY$185</f>
        <v>0</v>
      </c>
      <c r="AZ459" s="303">
        <f t="shared" si="319"/>
        <v>0</v>
      </c>
      <c r="BA459" s="303">
        <f t="shared" si="319"/>
        <v>0</v>
      </c>
      <c r="BB459" s="303">
        <f t="shared" si="319"/>
        <v>0</v>
      </c>
      <c r="BC459" s="302">
        <f>SUM(AY459:BB459)</f>
        <v>0</v>
      </c>
      <c r="BD459" s="418"/>
      <c r="BE459" s="303">
        <f t="shared" ref="BE459:BH461" si="320">BE163*BE$185</f>
        <v>0</v>
      </c>
      <c r="BF459" s="303">
        <f t="shared" si="320"/>
        <v>0</v>
      </c>
      <c r="BG459" s="303">
        <f t="shared" si="320"/>
        <v>0</v>
      </c>
      <c r="BH459" s="303">
        <f t="shared" si="320"/>
        <v>0</v>
      </c>
      <c r="BI459" s="302">
        <f>SUM(BE459:BH459)</f>
        <v>0</v>
      </c>
      <c r="BJ459" s="418"/>
      <c r="BK459" s="303">
        <f t="shared" ref="BK459:BN461" si="321">BK163*BK$185</f>
        <v>0</v>
      </c>
      <c r="BL459" s="303">
        <f t="shared" si="321"/>
        <v>0</v>
      </c>
      <c r="BM459" s="303">
        <f t="shared" si="321"/>
        <v>0</v>
      </c>
      <c r="BN459" s="303">
        <f t="shared" si="321"/>
        <v>0</v>
      </c>
      <c r="BO459" s="302">
        <f>SUM(BK459:BN459)</f>
        <v>0</v>
      </c>
      <c r="BP459" s="418"/>
      <c r="BQ459" s="303">
        <f t="shared" ref="BQ459:BT461" si="322">BQ163*BQ$185</f>
        <v>0</v>
      </c>
      <c r="BR459" s="303">
        <f t="shared" si="322"/>
        <v>0</v>
      </c>
      <c r="BS459" s="303">
        <f t="shared" si="322"/>
        <v>0</v>
      </c>
      <c r="BT459" s="303">
        <f t="shared" si="322"/>
        <v>0</v>
      </c>
      <c r="BU459" s="302">
        <f>SUM(BQ459:BT459)</f>
        <v>0</v>
      </c>
      <c r="BV459" s="418"/>
      <c r="BW459" s="303">
        <f t="shared" ref="BW459:BZ461" si="323">BW163*BW$185</f>
        <v>0</v>
      </c>
      <c r="BX459" s="303">
        <f t="shared" si="323"/>
        <v>0</v>
      </c>
      <c r="BY459" s="303">
        <f t="shared" si="323"/>
        <v>29.424936386768451</v>
      </c>
      <c r="BZ459" s="303">
        <f t="shared" si="323"/>
        <v>32.16621548456957</v>
      </c>
      <c r="CA459" s="302">
        <f>SUM(BW459:BZ459)</f>
        <v>61.59115187133802</v>
      </c>
      <c r="CB459" s="419"/>
      <c r="CC459" s="303">
        <f t="shared" ref="CC459:CF461" si="324">CC163*CC$185</f>
        <v>35.968360498561836</v>
      </c>
      <c r="CD459" s="303">
        <f t="shared" si="324"/>
        <v>36.421514818880354</v>
      </c>
      <c r="CE459" s="303">
        <f t="shared" si="324"/>
        <v>42.976157342981722</v>
      </c>
      <c r="CF459" s="303">
        <f t="shared" si="324"/>
        <v>56.924592083898958</v>
      </c>
      <c r="CG459" s="304">
        <f>SUM(CC459:CF459)</f>
        <v>172.29062474432288</v>
      </c>
      <c r="CH459" s="419"/>
      <c r="CI459" s="303">
        <f t="shared" ref="CI459:CL461" si="325">CI163*CI$185</f>
        <v>60.125654450261777</v>
      </c>
      <c r="CJ459" s="303">
        <f t="shared" si="325"/>
        <v>57.652360515021456</v>
      </c>
      <c r="CK459" s="303">
        <f t="shared" si="325"/>
        <v>58.54668930390492</v>
      </c>
      <c r="CL459" s="303">
        <f t="shared" si="325"/>
        <v>74.424253662154641</v>
      </c>
      <c r="CM459" s="304">
        <f>SUM(CI459:CL459)</f>
        <v>250.74895793134277</v>
      </c>
      <c r="CN459" s="419"/>
      <c r="CO459" s="303">
        <f t="shared" ref="CO459:CR461" si="326">CO163*CO$185</f>
        <v>85.585585585585591</v>
      </c>
      <c r="CP459" s="303">
        <f t="shared" si="326"/>
        <v>81.824655095683141</v>
      </c>
      <c r="CQ459" s="303">
        <f t="shared" si="326"/>
        <v>83.484916704187299</v>
      </c>
      <c r="CR459" s="303">
        <f t="shared" si="326"/>
        <v>105.79345661450925</v>
      </c>
      <c r="CS459" s="304">
        <f>SUM(CO459:CR459)</f>
        <v>356.6886139999653</v>
      </c>
      <c r="CT459" s="419"/>
      <c r="CU459" s="303">
        <f t="shared" ref="CU459:CX461" si="327">CU163*CU$185</f>
        <v>108.91225560324273</v>
      </c>
      <c r="CV459" s="303">
        <f t="shared" si="327"/>
        <v>123.9341463414634</v>
      </c>
      <c r="CW459" s="303">
        <f t="shared" si="327"/>
        <v>116.23298969072165</v>
      </c>
      <c r="CX459" s="303">
        <f t="shared" si="327"/>
        <v>136.92580549807863</v>
      </c>
      <c r="CY459" s="304">
        <f>SUM(CU459:CX459)</f>
        <v>486.00519713350639</v>
      </c>
      <c r="CZ459" s="419"/>
      <c r="DA459" s="303">
        <f t="shared" ref="DA459:DD461" si="328">DA163*DA$185</f>
        <v>120.84112149532709</v>
      </c>
      <c r="DB459" s="303">
        <f t="shared" si="328"/>
        <v>119.45205479452054</v>
      </c>
      <c r="DC459" s="303">
        <f t="shared" si="328"/>
        <v>130.02209187171479</v>
      </c>
      <c r="DD459" s="303">
        <f t="shared" si="328"/>
        <v>164.90679523593576</v>
      </c>
      <c r="DE459" s="304">
        <f>SUM(DA459:DD459)</f>
        <v>535.22206339749823</v>
      </c>
      <c r="DF459" s="419"/>
      <c r="DG459" s="303">
        <f t="shared" ref="DG459:DJ461" si="329">DG163*DG$185</f>
        <v>148.56212389380531</v>
      </c>
      <c r="DH459" s="303">
        <f t="shared" si="329"/>
        <v>172.98094982559698</v>
      </c>
      <c r="DI459" s="303">
        <f t="shared" si="329"/>
        <v>155.47840172786178</v>
      </c>
      <c r="DJ459" s="303">
        <f t="shared" si="329"/>
        <v>139.40305010893246</v>
      </c>
      <c r="DK459" s="304">
        <f>SUM(DG459:DJ459)</f>
        <v>616.4245255561965</v>
      </c>
      <c r="DL459" s="419"/>
      <c r="DM459" s="303">
        <f t="shared" ref="DM459:DP461" si="330">DM163*DM$185</f>
        <v>156.91353607632678</v>
      </c>
      <c r="DN459" s="303">
        <f t="shared" si="330"/>
        <v>155.75648491265221</v>
      </c>
      <c r="DO459" s="303">
        <f t="shared" si="330"/>
        <v>136.32352801271011</v>
      </c>
      <c r="DP459" s="303">
        <f t="shared" si="330"/>
        <v>139.52014319236167</v>
      </c>
      <c r="DQ459" s="304">
        <f>SUM(DM459:DP459)</f>
        <v>588.51369219405069</v>
      </c>
      <c r="DR459" s="419"/>
      <c r="DS459" s="303">
        <f t="shared" ref="DS459:DV461" si="331">DS163*DS$185</f>
        <v>144.77198124267292</v>
      </c>
      <c r="DT459" s="303">
        <f t="shared" si="331"/>
        <v>137.23499142367066</v>
      </c>
      <c r="DU459" s="303">
        <f t="shared" si="331"/>
        <v>123.0391459074733</v>
      </c>
      <c r="DV459" s="303">
        <f t="shared" si="331"/>
        <v>141.76806224527601</v>
      </c>
      <c r="DW459" s="304">
        <f>SUM(DS459:DV459)</f>
        <v>546.81418081909294</v>
      </c>
      <c r="DX459" s="419"/>
      <c r="DY459" s="303">
        <f t="shared" ref="DY459:EB461" si="332">DY163*DY$185</f>
        <v>129.75077881619939</v>
      </c>
      <c r="DZ459" s="303">
        <f t="shared" si="332"/>
        <v>126.28571428571428</v>
      </c>
      <c r="EA459" s="303">
        <f t="shared" si="332"/>
        <v>129.34782608695653</v>
      </c>
      <c r="EB459" s="303">
        <f t="shared" si="332"/>
        <v>130.71523178807948</v>
      </c>
      <c r="EC459" s="304">
        <f>SUM(DY459:EB459)</f>
        <v>516.09955097694967</v>
      </c>
      <c r="ED459" s="419"/>
      <c r="EE459" s="303">
        <f t="shared" ref="EE459:EH461" si="333">EE163*EE$185</f>
        <v>117.54224958030218</v>
      </c>
      <c r="EF459" s="303">
        <f t="shared" si="333"/>
        <v>138.06896551724137</v>
      </c>
      <c r="EG459" s="303">
        <f t="shared" si="333"/>
        <v>119.64611125094387</v>
      </c>
      <c r="EH459" s="303">
        <f t="shared" si="333"/>
        <v>129.31578947368422</v>
      </c>
      <c r="EI459" s="304">
        <f>SUM(EE459:EH459)</f>
        <v>504.57311582217164</v>
      </c>
      <c r="EJ459" s="419"/>
      <c r="EK459" s="303">
        <f t="shared" ref="EK459:EN461" si="334">EK163*EK$185</f>
        <v>112.96388622563119</v>
      </c>
      <c r="EL459" s="303">
        <f t="shared" si="334"/>
        <v>86.298894062863795</v>
      </c>
      <c r="EM459" s="303">
        <f t="shared" si="334"/>
        <v>92.170068027210888</v>
      </c>
      <c r="EN459" s="303">
        <f t="shared" si="334"/>
        <v>86.673289183222948</v>
      </c>
      <c r="EO459" s="304">
        <f>SUM(EK459:EN459)</f>
        <v>378.10613749892883</v>
      </c>
      <c r="EP459" s="419"/>
      <c r="EQ459" s="303">
        <f t="shared" ref="EQ459:ET461" si="335">EQ163*EQ$185</f>
        <v>79.288130185067018</v>
      </c>
      <c r="ER459" s="303">
        <f t="shared" si="335"/>
        <v>77.012718610157549</v>
      </c>
      <c r="ES459" s="303">
        <f t="shared" si="335"/>
        <v>85.695085528102098</v>
      </c>
      <c r="ET459" s="303">
        <f t="shared" si="335"/>
        <v>88.256273925988936</v>
      </c>
      <c r="EU459" s="304">
        <f>SUM(EQ459:ET459)</f>
        <v>330.25220824931557</v>
      </c>
      <c r="EV459" s="419"/>
      <c r="EW459" s="303">
        <f t="shared" ref="EW459:EZ461" si="336">EW163*EW$185</f>
        <v>102.75</v>
      </c>
      <c r="EX459" s="303">
        <f t="shared" si="336"/>
        <v>100.8504252126063</v>
      </c>
      <c r="EY459" s="303">
        <f t="shared" si="336"/>
        <v>63.451064848049775</v>
      </c>
      <c r="EZ459" s="303">
        <f t="shared" si="336"/>
        <v>78.177619679247556</v>
      </c>
      <c r="FA459" s="304">
        <f>SUM(EW459:EZ459)</f>
        <v>345.22910973990361</v>
      </c>
      <c r="FB459" s="419"/>
      <c r="FC459" s="303">
        <f t="shared" ref="FC459:FF461" si="337">FC163*FC$185</f>
        <v>52.524735014470039</v>
      </c>
      <c r="FD459" s="303">
        <f t="shared" si="337"/>
        <v>52.235848971890441</v>
      </c>
      <c r="FE459" s="303">
        <f t="shared" si="337"/>
        <v>51.948551802545047</v>
      </c>
      <c r="FF459" s="303">
        <f t="shared" si="337"/>
        <v>51.662834767631047</v>
      </c>
      <c r="FG459" s="304">
        <f>SUM(FC459:FF459)</f>
        <v>208.37197055653655</v>
      </c>
      <c r="FH459" s="419"/>
      <c r="FI459" s="303">
        <f t="shared" ref="FI459:FL461" si="338">FI163*FI$185</f>
        <v>51.378689176409075</v>
      </c>
      <c r="FJ459" s="303">
        <f t="shared" si="338"/>
        <v>51.096106385938832</v>
      </c>
      <c r="FK459" s="303">
        <f t="shared" si="338"/>
        <v>50.815077800816162</v>
      </c>
      <c r="FL459" s="303">
        <f t="shared" si="338"/>
        <v>50.535594872911673</v>
      </c>
      <c r="FM459" s="304">
        <f>SUM(FI459:FL459)</f>
        <v>203.82546823607575</v>
      </c>
      <c r="FN459" s="27"/>
      <c r="FO459" s="27"/>
      <c r="FP459" s="27"/>
      <c r="FQ459" s="27"/>
      <c r="FR459" s="27"/>
      <c r="FS459" s="27"/>
      <c r="FT459" s="27"/>
      <c r="FU459" s="27"/>
      <c r="FV459" s="27"/>
      <c r="FW459" s="27"/>
      <c r="FX459" s="27"/>
      <c r="FY459" s="27"/>
      <c r="FZ459" s="27"/>
      <c r="GA459" s="27"/>
      <c r="GB459" s="27"/>
      <c r="GC459" s="27"/>
      <c r="GD459" s="27"/>
      <c r="GE459" s="27"/>
      <c r="GF459" s="27"/>
      <c r="GG459" s="27"/>
      <c r="GH459" s="27"/>
      <c r="GI459"/>
      <c r="GJ459"/>
      <c r="GK459"/>
      <c r="GL459"/>
      <c r="GM459"/>
      <c r="GN459"/>
      <c r="GO459" s="27"/>
      <c r="GP459"/>
      <c r="GQ459"/>
      <c r="GR459"/>
      <c r="GS459"/>
      <c r="GT459"/>
      <c r="GU459"/>
      <c r="GV459"/>
      <c r="GW459"/>
      <c r="GX459"/>
      <c r="GY459"/>
      <c r="GZ459"/>
      <c r="HA459"/>
      <c r="HB459"/>
      <c r="HC459"/>
      <c r="HD459"/>
      <c r="HE459"/>
      <c r="HF459"/>
      <c r="HG459"/>
      <c r="HH459"/>
      <c r="HI459"/>
      <c r="HJ459"/>
      <c r="HK459"/>
      <c r="HL459"/>
      <c r="HM459"/>
      <c r="HN459"/>
      <c r="HO459"/>
      <c r="HP459"/>
      <c r="HQ459"/>
      <c r="HR459"/>
      <c r="HS459"/>
      <c r="HT459"/>
      <c r="HU459"/>
      <c r="HV459"/>
      <c r="HW459"/>
      <c r="HX459"/>
      <c r="HY459"/>
      <c r="HZ459"/>
      <c r="IA459"/>
      <c r="IB459"/>
      <c r="IC459"/>
      <c r="ID459"/>
      <c r="IE459"/>
      <c r="IF459"/>
      <c r="IG459"/>
      <c r="IH459"/>
      <c r="II459"/>
      <c r="IJ459"/>
      <c r="IK459"/>
      <c r="IL459"/>
      <c r="IM459"/>
      <c r="IN459"/>
      <c r="IO459"/>
      <c r="IP459"/>
      <c r="IQ459"/>
      <c r="IR459"/>
      <c r="IS459"/>
      <c r="IT459"/>
      <c r="IU459"/>
      <c r="IV459"/>
      <c r="IW459"/>
      <c r="IX459"/>
      <c r="IY459"/>
      <c r="IZ459"/>
      <c r="JA459"/>
      <c r="JB459"/>
      <c r="JC459"/>
      <c r="JD459"/>
      <c r="JE459"/>
      <c r="JF459"/>
      <c r="JG459"/>
      <c r="JH459"/>
      <c r="JI459"/>
      <c r="JJ459"/>
      <c r="JK459"/>
      <c r="JL459"/>
      <c r="JM459"/>
      <c r="JN459"/>
      <c r="JO459"/>
      <c r="JP459"/>
      <c r="JQ459"/>
      <c r="JR459"/>
      <c r="JS459"/>
      <c r="JT459"/>
      <c r="JU459"/>
    </row>
    <row r="460" spans="1:281" s="28" customFormat="1" ht="12" hidden="1" customHeight="1" outlineLevel="1" x14ac:dyDescent="0.2">
      <c r="A460" s="301" t="s">
        <v>660</v>
      </c>
      <c r="B460" s="414"/>
      <c r="C460" s="302">
        <f t="shared" ref="C460:M460" si="339">C164*C$185</f>
        <v>0</v>
      </c>
      <c r="D460" s="302">
        <f t="shared" si="339"/>
        <v>0</v>
      </c>
      <c r="E460" s="302">
        <f t="shared" si="339"/>
        <v>0</v>
      </c>
      <c r="F460" s="302">
        <f t="shared" si="339"/>
        <v>0</v>
      </c>
      <c r="G460" s="302">
        <f t="shared" si="339"/>
        <v>0</v>
      </c>
      <c r="H460" s="302">
        <f t="shared" si="339"/>
        <v>0</v>
      </c>
      <c r="I460" s="302">
        <f t="shared" si="339"/>
        <v>0</v>
      </c>
      <c r="J460" s="302">
        <f t="shared" si="339"/>
        <v>0</v>
      </c>
      <c r="K460" s="302">
        <f t="shared" si="339"/>
        <v>0</v>
      </c>
      <c r="L460" s="302">
        <f t="shared" si="339"/>
        <v>0</v>
      </c>
      <c r="M460" s="302">
        <f t="shared" si="339"/>
        <v>0</v>
      </c>
      <c r="N460" s="418"/>
      <c r="O460" s="303">
        <f t="shared" si="313"/>
        <v>0</v>
      </c>
      <c r="P460" s="303">
        <f t="shared" si="313"/>
        <v>0</v>
      </c>
      <c r="Q460" s="303">
        <f t="shared" si="313"/>
        <v>0</v>
      </c>
      <c r="R460" s="303">
        <f t="shared" si="313"/>
        <v>0</v>
      </c>
      <c r="S460" s="302">
        <f>SUM(O460:R460)</f>
        <v>0</v>
      </c>
      <c r="T460" s="418"/>
      <c r="U460" s="303">
        <f t="shared" si="314"/>
        <v>0</v>
      </c>
      <c r="V460" s="303">
        <f t="shared" si="314"/>
        <v>0</v>
      </c>
      <c r="W460" s="303">
        <f t="shared" si="314"/>
        <v>0</v>
      </c>
      <c r="X460" s="303">
        <f t="shared" si="314"/>
        <v>0</v>
      </c>
      <c r="Y460" s="302">
        <f>SUM(U460:X460)</f>
        <v>0</v>
      </c>
      <c r="Z460" s="418"/>
      <c r="AA460" s="303">
        <f t="shared" si="315"/>
        <v>0</v>
      </c>
      <c r="AB460" s="303">
        <f t="shared" si="315"/>
        <v>0</v>
      </c>
      <c r="AC460" s="303">
        <f t="shared" si="315"/>
        <v>0</v>
      </c>
      <c r="AD460" s="303">
        <f t="shared" si="315"/>
        <v>0</v>
      </c>
      <c r="AE460" s="302">
        <f>SUM(AA460:AD460)</f>
        <v>0</v>
      </c>
      <c r="AF460" s="418"/>
      <c r="AG460" s="303">
        <f t="shared" si="316"/>
        <v>0</v>
      </c>
      <c r="AH460" s="303">
        <f t="shared" si="316"/>
        <v>0</v>
      </c>
      <c r="AI460" s="303">
        <f t="shared" si="316"/>
        <v>0</v>
      </c>
      <c r="AJ460" s="303">
        <f t="shared" si="316"/>
        <v>0</v>
      </c>
      <c r="AK460" s="302">
        <f>SUM(AG460:AJ460)</f>
        <v>0</v>
      </c>
      <c r="AL460" s="418"/>
      <c r="AM460" s="303">
        <f t="shared" si="317"/>
        <v>0</v>
      </c>
      <c r="AN460" s="303">
        <f t="shared" si="317"/>
        <v>0</v>
      </c>
      <c r="AO460" s="303">
        <f t="shared" si="317"/>
        <v>0</v>
      </c>
      <c r="AP460" s="303">
        <f t="shared" si="317"/>
        <v>0</v>
      </c>
      <c r="AQ460" s="302">
        <f>SUM(AM460:AP460)</f>
        <v>0</v>
      </c>
      <c r="AR460" s="418"/>
      <c r="AS460" s="303">
        <f t="shared" si="318"/>
        <v>0</v>
      </c>
      <c r="AT460" s="303">
        <f t="shared" si="318"/>
        <v>0</v>
      </c>
      <c r="AU460" s="303">
        <f t="shared" si="318"/>
        <v>0</v>
      </c>
      <c r="AV460" s="303">
        <f t="shared" si="318"/>
        <v>0</v>
      </c>
      <c r="AW460" s="302">
        <f>SUM(AS460:AV460)</f>
        <v>0</v>
      </c>
      <c r="AX460" s="418"/>
      <c r="AY460" s="303">
        <f t="shared" si="319"/>
        <v>0</v>
      </c>
      <c r="AZ460" s="303">
        <f t="shared" si="319"/>
        <v>0</v>
      </c>
      <c r="BA460" s="303">
        <f t="shared" si="319"/>
        <v>0</v>
      </c>
      <c r="BB460" s="303">
        <f t="shared" si="319"/>
        <v>0</v>
      </c>
      <c r="BC460" s="302">
        <f>SUM(AY460:BB460)</f>
        <v>0</v>
      </c>
      <c r="BD460" s="418"/>
      <c r="BE460" s="303">
        <f t="shared" si="320"/>
        <v>0</v>
      </c>
      <c r="BF460" s="303">
        <f t="shared" si="320"/>
        <v>0</v>
      </c>
      <c r="BG460" s="303">
        <f t="shared" si="320"/>
        <v>0</v>
      </c>
      <c r="BH460" s="303">
        <f t="shared" si="320"/>
        <v>0</v>
      </c>
      <c r="BI460" s="302">
        <f>SUM(BE460:BH460)</f>
        <v>0</v>
      </c>
      <c r="BJ460" s="418"/>
      <c r="BK460" s="303">
        <f t="shared" si="321"/>
        <v>0</v>
      </c>
      <c r="BL460" s="303">
        <f t="shared" si="321"/>
        <v>0</v>
      </c>
      <c r="BM460" s="303">
        <f t="shared" si="321"/>
        <v>0</v>
      </c>
      <c r="BN460" s="303">
        <f t="shared" si="321"/>
        <v>0</v>
      </c>
      <c r="BO460" s="302">
        <f>SUM(BK460:BN460)</f>
        <v>0</v>
      </c>
      <c r="BP460" s="418"/>
      <c r="BQ460" s="303">
        <f t="shared" si="322"/>
        <v>0</v>
      </c>
      <c r="BR460" s="303">
        <f t="shared" si="322"/>
        <v>0</v>
      </c>
      <c r="BS460" s="303">
        <f t="shared" si="322"/>
        <v>0</v>
      </c>
      <c r="BT460" s="303">
        <f t="shared" si="322"/>
        <v>0</v>
      </c>
      <c r="BU460" s="302">
        <f>SUM(BQ460:BT460)</f>
        <v>0</v>
      </c>
      <c r="BV460" s="418"/>
      <c r="BW460" s="303">
        <f t="shared" si="323"/>
        <v>0</v>
      </c>
      <c r="BX460" s="303">
        <f t="shared" si="323"/>
        <v>0</v>
      </c>
      <c r="BY460" s="303">
        <f t="shared" si="323"/>
        <v>32.127226463104329</v>
      </c>
      <c r="BZ460" s="303">
        <f t="shared" si="323"/>
        <v>10.633459664320519</v>
      </c>
      <c r="CA460" s="302">
        <f>SUM(BW460:BZ460)</f>
        <v>42.760686127424847</v>
      </c>
      <c r="CB460" s="419"/>
      <c r="CC460" s="303">
        <f t="shared" si="324"/>
        <v>3.2166826462128473</v>
      </c>
      <c r="CD460" s="303">
        <f t="shared" si="324"/>
        <v>2.8905964141968532</v>
      </c>
      <c r="CE460" s="303">
        <f t="shared" si="324"/>
        <v>7.8402449206790976</v>
      </c>
      <c r="CF460" s="303">
        <f t="shared" si="324"/>
        <v>14.769623892038648</v>
      </c>
      <c r="CG460" s="304">
        <f>SUM(CC460:CF460)</f>
        <v>28.717147873127445</v>
      </c>
      <c r="CH460" s="419"/>
      <c r="CI460" s="303">
        <f t="shared" si="325"/>
        <v>2.1256544502617798</v>
      </c>
      <c r="CJ460" s="303">
        <f t="shared" si="325"/>
        <v>2.5686695278969958</v>
      </c>
      <c r="CK460" s="303">
        <f t="shared" si="325"/>
        <v>0.79117147707979618</v>
      </c>
      <c r="CL460" s="303">
        <f t="shared" si="325"/>
        <v>0</v>
      </c>
      <c r="CM460" s="304">
        <f>SUM(CI460:CL460)</f>
        <v>5.4854954552385724</v>
      </c>
      <c r="CN460" s="419"/>
      <c r="CO460" s="303">
        <f t="shared" si="326"/>
        <v>0</v>
      </c>
      <c r="CP460" s="303">
        <f t="shared" si="326"/>
        <v>1.6929238985313753</v>
      </c>
      <c r="CQ460" s="303">
        <f t="shared" si="326"/>
        <v>2.2872579918955425</v>
      </c>
      <c r="CR460" s="303">
        <f t="shared" si="326"/>
        <v>8.3035561877667146</v>
      </c>
      <c r="CS460" s="304">
        <f>SUM(CO460:CR460)</f>
        <v>12.283738078193633</v>
      </c>
      <c r="CT460" s="419"/>
      <c r="CU460" s="303">
        <f t="shared" si="327"/>
        <v>0</v>
      </c>
      <c r="CV460" s="303">
        <f t="shared" si="327"/>
        <v>4.9341463414634141</v>
      </c>
      <c r="CW460" s="303">
        <f t="shared" si="327"/>
        <v>3.9896907216494846</v>
      </c>
      <c r="CX460" s="303">
        <f t="shared" si="327"/>
        <v>22.24652675140408</v>
      </c>
      <c r="CY460" s="304">
        <f>SUM(CU460:CX460)</f>
        <v>31.170363814516978</v>
      </c>
      <c r="CZ460" s="419"/>
      <c r="DA460" s="303">
        <f t="shared" si="328"/>
        <v>13.457943925233643</v>
      </c>
      <c r="DB460" s="303">
        <f t="shared" si="328"/>
        <v>31.232876712328764</v>
      </c>
      <c r="DC460" s="303">
        <f t="shared" si="328"/>
        <v>79.256494248495471</v>
      </c>
      <c r="DD460" s="303">
        <f t="shared" si="328"/>
        <v>41.976275150965471</v>
      </c>
      <c r="DE460" s="304">
        <f>SUM(DA460:DD460)</f>
        <v>165.92359003702336</v>
      </c>
      <c r="DF460" s="419"/>
      <c r="DG460" s="303">
        <f t="shared" si="329"/>
        <v>31.78194690265487</v>
      </c>
      <c r="DH460" s="303">
        <f t="shared" si="329"/>
        <v>53.24657901797692</v>
      </c>
      <c r="DI460" s="303">
        <f t="shared" si="329"/>
        <v>23.372570194384451</v>
      </c>
      <c r="DJ460" s="303">
        <f t="shared" si="329"/>
        <v>17.949891067538125</v>
      </c>
      <c r="DK460" s="304">
        <f>SUM(DG460:DJ460)</f>
        <v>126.35098718255438</v>
      </c>
      <c r="DL460" s="419"/>
      <c r="DM460" s="303">
        <f t="shared" si="330"/>
        <v>26.770721526535478</v>
      </c>
      <c r="DN460" s="303">
        <f t="shared" si="330"/>
        <v>13.681312863949181</v>
      </c>
      <c r="DO460" s="303">
        <f t="shared" si="330"/>
        <v>14.397204278570046</v>
      </c>
      <c r="DP460" s="303">
        <f t="shared" si="330"/>
        <v>16.786017227831014</v>
      </c>
      <c r="DQ460" s="304">
        <f>SUM(DM460:DP460)</f>
        <v>71.63525589688571</v>
      </c>
      <c r="DR460" s="419"/>
      <c r="DS460" s="303">
        <f t="shared" si="331"/>
        <v>33.912661195779599</v>
      </c>
      <c r="DT460" s="303">
        <f t="shared" si="331"/>
        <v>30.78387650085763</v>
      </c>
      <c r="DU460" s="303">
        <f t="shared" si="331"/>
        <v>8.8185053380782907</v>
      </c>
      <c r="DV460" s="303">
        <f t="shared" si="331"/>
        <v>8.0874397925157471</v>
      </c>
      <c r="DW460" s="304">
        <f>SUM(DS460:DV460)</f>
        <v>81.60248282723127</v>
      </c>
      <c r="DX460" s="419"/>
      <c r="DY460" s="303">
        <f t="shared" si="332"/>
        <v>12.211838006230529</v>
      </c>
      <c r="DZ460" s="303">
        <f t="shared" si="332"/>
        <v>11.381034909631097</v>
      </c>
      <c r="EA460" s="303">
        <f t="shared" si="332"/>
        <v>8.7771739130434785</v>
      </c>
      <c r="EB460" s="303">
        <f t="shared" si="332"/>
        <v>8.5149006622516552</v>
      </c>
      <c r="EC460" s="304">
        <f>SUM(DY460:EB460)</f>
        <v>40.884947491156758</v>
      </c>
      <c r="ED460" s="419"/>
      <c r="EE460" s="303">
        <f t="shared" si="333"/>
        <v>14.827084499160605</v>
      </c>
      <c r="EF460" s="303">
        <f t="shared" si="333"/>
        <v>12.397037396794559</v>
      </c>
      <c r="EG460" s="303">
        <f t="shared" si="333"/>
        <v>10.897558520010069</v>
      </c>
      <c r="EH460" s="303">
        <f t="shared" si="333"/>
        <v>9.9473684210526319</v>
      </c>
      <c r="EI460" s="304">
        <f>SUM(EE460:EH460)</f>
        <v>48.06904883701786</v>
      </c>
      <c r="EJ460" s="419"/>
      <c r="EK460" s="303">
        <f t="shared" si="334"/>
        <v>20.74336848833493</v>
      </c>
      <c r="EL460" s="303">
        <f t="shared" si="334"/>
        <v>19.381548311990688</v>
      </c>
      <c r="EM460" s="303">
        <f t="shared" si="334"/>
        <v>25.979308390022677</v>
      </c>
      <c r="EN460" s="303">
        <f t="shared" si="334"/>
        <v>40.284768211920529</v>
      </c>
      <c r="EO460" s="304">
        <f>SUM(EK460:EN460)</f>
        <v>106.38899340226882</v>
      </c>
      <c r="EP460" s="419"/>
      <c r="EQ460" s="303">
        <f t="shared" si="335"/>
        <v>25.239629865985965</v>
      </c>
      <c r="ER460" s="303">
        <f t="shared" si="335"/>
        <v>21.930774173753473</v>
      </c>
      <c r="ES460" s="303">
        <f t="shared" si="335"/>
        <v>34.752918816182465</v>
      </c>
      <c r="ET460" s="303">
        <f t="shared" si="335"/>
        <v>23.615057422373457</v>
      </c>
      <c r="EU460" s="304">
        <f>SUM(EQ460:ET460)</f>
        <v>105.53838027829535</v>
      </c>
      <c r="EV460" s="419"/>
      <c r="EW460" s="303">
        <f t="shared" si="336"/>
        <v>31</v>
      </c>
      <c r="EX460" s="303">
        <f t="shared" si="336"/>
        <v>73.620810405202604</v>
      </c>
      <c r="EY460" s="303">
        <f t="shared" si="336"/>
        <v>14.654941373534339</v>
      </c>
      <c r="EZ460" s="303">
        <f t="shared" si="336"/>
        <v>0</v>
      </c>
      <c r="FA460" s="304">
        <f>SUM(EW460:EZ460)</f>
        <v>119.27575177873695</v>
      </c>
      <c r="FB460" s="419"/>
      <c r="FC460" s="303">
        <f t="shared" si="337"/>
        <v>0</v>
      </c>
      <c r="FD460" s="303">
        <f t="shared" si="337"/>
        <v>0</v>
      </c>
      <c r="FE460" s="303">
        <f t="shared" si="337"/>
        <v>0</v>
      </c>
      <c r="FF460" s="303">
        <f t="shared" si="337"/>
        <v>0</v>
      </c>
      <c r="FG460" s="304">
        <f>SUM(FC460:FF460)</f>
        <v>0</v>
      </c>
      <c r="FH460" s="419"/>
      <c r="FI460" s="303">
        <f t="shared" si="338"/>
        <v>0</v>
      </c>
      <c r="FJ460" s="303">
        <f t="shared" si="338"/>
        <v>0</v>
      </c>
      <c r="FK460" s="303">
        <f t="shared" si="338"/>
        <v>0</v>
      </c>
      <c r="FL460" s="303">
        <f t="shared" si="338"/>
        <v>0</v>
      </c>
      <c r="FM460" s="304">
        <f>SUM(FI460:FL460)</f>
        <v>0</v>
      </c>
      <c r="FN460" s="27"/>
      <c r="FO460" s="27"/>
      <c r="FP460" s="27"/>
      <c r="FQ460" s="27"/>
      <c r="FR460" s="27"/>
      <c r="FS460" s="27"/>
      <c r="FT460" s="27"/>
      <c r="FU460" s="27"/>
      <c r="FV460" s="27"/>
      <c r="FW460" s="27"/>
      <c r="FX460" s="27"/>
      <c r="FY460" s="27"/>
      <c r="FZ460" s="27"/>
      <c r="GA460" s="27"/>
      <c r="GB460" s="27"/>
      <c r="GC460" s="27"/>
      <c r="GD460" s="27"/>
      <c r="GE460" s="27"/>
      <c r="GF460" s="27"/>
      <c r="GG460" s="27"/>
      <c r="GH460" s="27"/>
      <c r="GI460"/>
      <c r="GJ460"/>
      <c r="GK460"/>
      <c r="GL460"/>
      <c r="GM460"/>
      <c r="GN460"/>
      <c r="GO460" s="27"/>
      <c r="GP460"/>
      <c r="GQ460"/>
      <c r="GR460"/>
      <c r="GS460"/>
      <c r="GT460"/>
      <c r="GU460"/>
      <c r="GV460"/>
      <c r="GW460"/>
      <c r="GX460"/>
      <c r="GY460"/>
      <c r="GZ460"/>
      <c r="HA460"/>
      <c r="HB460"/>
      <c r="HC460"/>
      <c r="HD460"/>
      <c r="HE460"/>
      <c r="HF460"/>
      <c r="HG460"/>
      <c r="HH460"/>
      <c r="HI460"/>
      <c r="HJ460"/>
      <c r="HK460"/>
      <c r="HL460"/>
      <c r="HM460"/>
      <c r="HN460"/>
      <c r="HO460"/>
      <c r="HP460"/>
      <c r="HQ460"/>
      <c r="HR460"/>
      <c r="HS460"/>
      <c r="HT460"/>
      <c r="HU460"/>
      <c r="HV460"/>
      <c r="HW460"/>
      <c r="HX460"/>
      <c r="HY460"/>
      <c r="HZ460"/>
      <c r="IA460"/>
      <c r="IB460"/>
      <c r="IC460"/>
      <c r="ID460"/>
      <c r="IE460"/>
      <c r="IF460"/>
      <c r="IG460"/>
      <c r="IH460"/>
      <c r="II460"/>
      <c r="IJ460"/>
      <c r="IK460"/>
      <c r="IL460"/>
      <c r="IM460"/>
      <c r="IN460"/>
      <c r="IO460"/>
      <c r="IP460"/>
      <c r="IQ460"/>
      <c r="IR460"/>
      <c r="IS460"/>
      <c r="IT460"/>
      <c r="IU460"/>
      <c r="IV460"/>
      <c r="IW460"/>
      <c r="IX460"/>
      <c r="IY460"/>
      <c r="IZ460"/>
      <c r="JA460"/>
      <c r="JB460"/>
      <c r="JC460"/>
      <c r="JD460"/>
      <c r="JE460"/>
      <c r="JF460"/>
      <c r="JG460"/>
      <c r="JH460"/>
      <c r="JI460"/>
      <c r="JJ460"/>
      <c r="JK460"/>
      <c r="JL460"/>
      <c r="JM460"/>
      <c r="JN460"/>
      <c r="JO460"/>
      <c r="JP460"/>
      <c r="JQ460"/>
      <c r="JR460"/>
      <c r="JS460"/>
      <c r="JT460"/>
      <c r="JU460"/>
    </row>
    <row r="461" spans="1:281" s="28" customFormat="1" ht="12" hidden="1" customHeight="1" outlineLevel="1" x14ac:dyDescent="0.2">
      <c r="A461" s="301" t="s">
        <v>661</v>
      </c>
      <c r="B461" s="414"/>
      <c r="C461" s="302">
        <f t="shared" ref="C461:M461" si="340">C165*C$185</f>
        <v>0</v>
      </c>
      <c r="D461" s="302">
        <f t="shared" si="340"/>
        <v>0</v>
      </c>
      <c r="E461" s="302">
        <f t="shared" si="340"/>
        <v>0</v>
      </c>
      <c r="F461" s="302">
        <f t="shared" si="340"/>
        <v>0</v>
      </c>
      <c r="G461" s="302">
        <f t="shared" si="340"/>
        <v>0</v>
      </c>
      <c r="H461" s="302">
        <f t="shared" si="340"/>
        <v>0</v>
      </c>
      <c r="I461" s="302">
        <f t="shared" si="340"/>
        <v>0</v>
      </c>
      <c r="J461" s="302">
        <f t="shared" si="340"/>
        <v>0</v>
      </c>
      <c r="K461" s="302">
        <f t="shared" si="340"/>
        <v>0</v>
      </c>
      <c r="L461" s="302">
        <f t="shared" si="340"/>
        <v>0</v>
      </c>
      <c r="M461" s="302">
        <f t="shared" si="340"/>
        <v>0</v>
      </c>
      <c r="N461" s="418"/>
      <c r="O461" s="303">
        <f t="shared" si="313"/>
        <v>0</v>
      </c>
      <c r="P461" s="303">
        <f t="shared" si="313"/>
        <v>0</v>
      </c>
      <c r="Q461" s="303">
        <f t="shared" si="313"/>
        <v>0</v>
      </c>
      <c r="R461" s="303">
        <f t="shared" si="313"/>
        <v>0</v>
      </c>
      <c r="S461" s="302">
        <f>SUM(O461:R461)</f>
        <v>0</v>
      </c>
      <c r="T461" s="418"/>
      <c r="U461" s="303">
        <f t="shared" si="314"/>
        <v>0</v>
      </c>
      <c r="V461" s="303">
        <f t="shared" si="314"/>
        <v>0</v>
      </c>
      <c r="W461" s="303">
        <f t="shared" si="314"/>
        <v>0</v>
      </c>
      <c r="X461" s="303">
        <f t="shared" si="314"/>
        <v>0</v>
      </c>
      <c r="Y461" s="302">
        <f>SUM(U461:X461)</f>
        <v>0</v>
      </c>
      <c r="Z461" s="418"/>
      <c r="AA461" s="303">
        <f t="shared" si="315"/>
        <v>0</v>
      </c>
      <c r="AB461" s="303">
        <f t="shared" si="315"/>
        <v>0</v>
      </c>
      <c r="AC461" s="303">
        <f t="shared" si="315"/>
        <v>0</v>
      </c>
      <c r="AD461" s="303">
        <f t="shared" si="315"/>
        <v>0</v>
      </c>
      <c r="AE461" s="302">
        <f>SUM(AA461:AD461)</f>
        <v>0</v>
      </c>
      <c r="AF461" s="418"/>
      <c r="AG461" s="303">
        <f t="shared" si="316"/>
        <v>0</v>
      </c>
      <c r="AH461" s="303">
        <f t="shared" si="316"/>
        <v>0</v>
      </c>
      <c r="AI461" s="303">
        <f t="shared" si="316"/>
        <v>0</v>
      </c>
      <c r="AJ461" s="303">
        <f t="shared" si="316"/>
        <v>0</v>
      </c>
      <c r="AK461" s="302">
        <f>SUM(AG461:AJ461)</f>
        <v>0</v>
      </c>
      <c r="AL461" s="418"/>
      <c r="AM461" s="303">
        <f t="shared" si="317"/>
        <v>0</v>
      </c>
      <c r="AN461" s="303">
        <f t="shared" si="317"/>
        <v>0</v>
      </c>
      <c r="AO461" s="303">
        <f t="shared" si="317"/>
        <v>0</v>
      </c>
      <c r="AP461" s="303">
        <f t="shared" si="317"/>
        <v>0</v>
      </c>
      <c r="AQ461" s="302">
        <f>SUM(AM461:AP461)</f>
        <v>0</v>
      </c>
      <c r="AR461" s="418"/>
      <c r="AS461" s="303">
        <f t="shared" si="318"/>
        <v>0</v>
      </c>
      <c r="AT461" s="303">
        <f t="shared" si="318"/>
        <v>0</v>
      </c>
      <c r="AU461" s="303">
        <f t="shared" si="318"/>
        <v>0</v>
      </c>
      <c r="AV461" s="303">
        <f t="shared" si="318"/>
        <v>0</v>
      </c>
      <c r="AW461" s="302">
        <f>SUM(AS461:AV461)</f>
        <v>0</v>
      </c>
      <c r="AX461" s="418"/>
      <c r="AY461" s="303">
        <f t="shared" si="319"/>
        <v>0</v>
      </c>
      <c r="AZ461" s="303">
        <f t="shared" si="319"/>
        <v>0</v>
      </c>
      <c r="BA461" s="303">
        <f t="shared" si="319"/>
        <v>0</v>
      </c>
      <c r="BB461" s="303">
        <f t="shared" si="319"/>
        <v>0</v>
      </c>
      <c r="BC461" s="302">
        <f>SUM(AY461:BB461)</f>
        <v>0</v>
      </c>
      <c r="BD461" s="418"/>
      <c r="BE461" s="303">
        <f t="shared" si="320"/>
        <v>0</v>
      </c>
      <c r="BF461" s="303">
        <f t="shared" si="320"/>
        <v>0</v>
      </c>
      <c r="BG461" s="303">
        <f t="shared" si="320"/>
        <v>0</v>
      </c>
      <c r="BH461" s="303">
        <f t="shared" si="320"/>
        <v>0</v>
      </c>
      <c r="BI461" s="302">
        <f>SUM(BE461:BH461)</f>
        <v>0</v>
      </c>
      <c r="BJ461" s="418"/>
      <c r="BK461" s="303">
        <f t="shared" si="321"/>
        <v>0</v>
      </c>
      <c r="BL461" s="303">
        <f t="shared" si="321"/>
        <v>0</v>
      </c>
      <c r="BM461" s="303">
        <f t="shared" si="321"/>
        <v>0</v>
      </c>
      <c r="BN461" s="303">
        <f t="shared" si="321"/>
        <v>0</v>
      </c>
      <c r="BO461" s="302">
        <f>SUM(BK461:BN461)</f>
        <v>0</v>
      </c>
      <c r="BP461" s="418"/>
      <c r="BQ461" s="303">
        <f t="shared" si="322"/>
        <v>0</v>
      </c>
      <c r="BR461" s="303">
        <f t="shared" si="322"/>
        <v>0</v>
      </c>
      <c r="BS461" s="303">
        <f t="shared" si="322"/>
        <v>0</v>
      </c>
      <c r="BT461" s="303">
        <f t="shared" si="322"/>
        <v>0</v>
      </c>
      <c r="BU461" s="302">
        <f>SUM(BQ461:BT461)</f>
        <v>0</v>
      </c>
      <c r="BV461" s="418"/>
      <c r="BW461" s="303">
        <f t="shared" si="323"/>
        <v>0</v>
      </c>
      <c r="BX461" s="303">
        <f t="shared" si="323"/>
        <v>0</v>
      </c>
      <c r="BY461" s="303">
        <f t="shared" si="323"/>
        <v>3.0025445292620869</v>
      </c>
      <c r="BZ461" s="303">
        <f t="shared" si="323"/>
        <v>3.9875473741201946</v>
      </c>
      <c r="CA461" s="302">
        <f>SUM(BW461:BZ461)</f>
        <v>6.9900919033822815</v>
      </c>
      <c r="CB461" s="419"/>
      <c r="CC461" s="303">
        <f t="shared" si="324"/>
        <v>2.6318312559923296</v>
      </c>
      <c r="CD461" s="303">
        <f t="shared" si="324"/>
        <v>2.0234174899377972</v>
      </c>
      <c r="CE461" s="303">
        <f t="shared" si="324"/>
        <v>2.323035532053066</v>
      </c>
      <c r="CF461" s="303">
        <f t="shared" si="324"/>
        <v>2.4616039820064413</v>
      </c>
      <c r="CG461" s="304">
        <f>SUM(CC461:CF461)</f>
        <v>9.4398882599896332</v>
      </c>
      <c r="CH461" s="419"/>
      <c r="CI461" s="303">
        <f t="shared" si="325"/>
        <v>15.183246073298429</v>
      </c>
      <c r="CJ461" s="303">
        <f t="shared" si="325"/>
        <v>13.414163090128755</v>
      </c>
      <c r="CK461" s="303">
        <f t="shared" si="325"/>
        <v>12.658743633276739</v>
      </c>
      <c r="CL461" s="303">
        <f t="shared" si="325"/>
        <v>15.468570368996847</v>
      </c>
      <c r="CM461" s="304">
        <f>SUM(CI461:CL461)</f>
        <v>56.724723165700766</v>
      </c>
      <c r="CN461" s="419"/>
      <c r="CO461" s="303">
        <f t="shared" si="326"/>
        <v>20.72072072072072</v>
      </c>
      <c r="CP461" s="303">
        <f t="shared" si="326"/>
        <v>17.77570093457944</v>
      </c>
      <c r="CQ461" s="303">
        <f t="shared" si="326"/>
        <v>17.726249437190454</v>
      </c>
      <c r="CR461" s="303">
        <f t="shared" si="326"/>
        <v>19.682503556187768</v>
      </c>
      <c r="CS461" s="304">
        <f>SUM(CO461:CR461)</f>
        <v>75.905174648678383</v>
      </c>
      <c r="CT461" s="419"/>
      <c r="CU461" s="303">
        <f t="shared" si="327"/>
        <v>22.679065331425846</v>
      </c>
      <c r="CV461" s="303">
        <f t="shared" si="327"/>
        <v>25.831707317073167</v>
      </c>
      <c r="CW461" s="303">
        <f t="shared" si="327"/>
        <v>22.608247422680414</v>
      </c>
      <c r="CX461" s="303">
        <f t="shared" si="327"/>
        <v>25.693171741058233</v>
      </c>
      <c r="CY461" s="304">
        <f>SUM(CU461:CX461)</f>
        <v>96.812191812237657</v>
      </c>
      <c r="CZ461" s="419"/>
      <c r="DA461" s="303">
        <f t="shared" si="328"/>
        <v>23.551401869158877</v>
      </c>
      <c r="DB461" s="303">
        <f t="shared" si="328"/>
        <v>28.493150684931507</v>
      </c>
      <c r="DC461" s="303">
        <f t="shared" si="328"/>
        <v>29.008912927553901</v>
      </c>
      <c r="DD461" s="303">
        <f t="shared" si="328"/>
        <v>34.344225123517198</v>
      </c>
      <c r="DE461" s="304">
        <f>SUM(DA461:DD461)</f>
        <v>115.39769060516147</v>
      </c>
      <c r="DF461" s="419"/>
      <c r="DG461" s="303">
        <f t="shared" si="329"/>
        <v>31.78194690265487</v>
      </c>
      <c r="DH461" s="303">
        <f t="shared" si="329"/>
        <v>33.525623826133618</v>
      </c>
      <c r="DI461" s="303">
        <f t="shared" si="329"/>
        <v>32.518358531317496</v>
      </c>
      <c r="DJ461" s="303">
        <f t="shared" si="329"/>
        <v>29.605664488017428</v>
      </c>
      <c r="DK461" s="304">
        <f>SUM(DG461:DJ461)</f>
        <v>127.43159374812342</v>
      </c>
      <c r="DL461" s="419"/>
      <c r="DM461" s="303">
        <f t="shared" si="330"/>
        <v>38.963327370304114</v>
      </c>
      <c r="DN461" s="303">
        <f t="shared" si="330"/>
        <v>39.465325569084172</v>
      </c>
      <c r="DO461" s="303">
        <f t="shared" si="330"/>
        <v>35.318141745867145</v>
      </c>
      <c r="DP461" s="303">
        <f t="shared" si="330"/>
        <v>40.112041167803987</v>
      </c>
      <c r="DQ461" s="304">
        <f>SUM(DM461:DP461)</f>
        <v>153.85883585305942</v>
      </c>
      <c r="DR461" s="419"/>
      <c r="DS461" s="303">
        <f t="shared" si="331"/>
        <v>41.162954279015239</v>
      </c>
      <c r="DT461" s="303">
        <f t="shared" si="331"/>
        <v>44.17838765008576</v>
      </c>
      <c r="DU461" s="303">
        <f t="shared" si="331"/>
        <v>36.113879003558715</v>
      </c>
      <c r="DV461" s="303">
        <f t="shared" si="331"/>
        <v>44.073763047902069</v>
      </c>
      <c r="DW461" s="304">
        <f>SUM(DS461:DV461)</f>
        <v>165.52898398056178</v>
      </c>
      <c r="DX461" s="419"/>
      <c r="DY461" s="303">
        <f t="shared" si="332"/>
        <v>43.177570093457945</v>
      </c>
      <c r="DZ461" s="303">
        <f t="shared" si="332"/>
        <v>40.052488239663283</v>
      </c>
      <c r="EA461" s="303">
        <f t="shared" si="332"/>
        <v>45.733695652173914</v>
      </c>
      <c r="EB461" s="303">
        <f t="shared" si="332"/>
        <v>43.725165562913908</v>
      </c>
      <c r="EC461" s="304">
        <f>SUM(DY461:EB461)</f>
        <v>172.68891954820904</v>
      </c>
      <c r="ED461" s="419"/>
      <c r="EE461" s="303">
        <f t="shared" si="333"/>
        <v>45.55567991046447</v>
      </c>
      <c r="EF461" s="303">
        <f t="shared" si="333"/>
        <v>58.338999514327341</v>
      </c>
      <c r="EG461" s="303">
        <f t="shared" si="333"/>
        <v>53.125597785049081</v>
      </c>
      <c r="EH461" s="303">
        <f t="shared" si="333"/>
        <v>62.23481781376519</v>
      </c>
      <c r="EI461" s="304">
        <f>SUM(EE461:EH461)</f>
        <v>219.25509502360609</v>
      </c>
      <c r="EJ461" s="419"/>
      <c r="EK461" s="303">
        <f t="shared" si="334"/>
        <v>62.480025567273891</v>
      </c>
      <c r="EL461" s="303">
        <f t="shared" si="334"/>
        <v>51.820139697322475</v>
      </c>
      <c r="EM461" s="303">
        <f t="shared" si="334"/>
        <v>58.735827664399096</v>
      </c>
      <c r="EN461" s="303">
        <f t="shared" si="334"/>
        <v>65.676379690949219</v>
      </c>
      <c r="EO461" s="304">
        <f>SUM(EK461:EN461)</f>
        <v>238.71237261994469</v>
      </c>
      <c r="EP461" s="419"/>
      <c r="EQ461" s="303">
        <f t="shared" si="335"/>
        <v>81.327696234843657</v>
      </c>
      <c r="ER461" s="303">
        <f t="shared" si="335"/>
        <v>78.287763620259497</v>
      </c>
      <c r="ES461" s="303">
        <f t="shared" si="335"/>
        <v>70.800977464023902</v>
      </c>
      <c r="ET461" s="303">
        <f t="shared" si="335"/>
        <v>66.842620161633349</v>
      </c>
      <c r="EU461" s="304">
        <f>SUM(EQ461:ET461)</f>
        <v>297.25905748076042</v>
      </c>
      <c r="EV461" s="419"/>
      <c r="EW461" s="303">
        <f t="shared" si="336"/>
        <v>75.5</v>
      </c>
      <c r="EX461" s="303">
        <f t="shared" si="336"/>
        <v>104.128064032016</v>
      </c>
      <c r="EY461" s="303">
        <f t="shared" si="336"/>
        <v>62.162718353673128</v>
      </c>
      <c r="EZ461" s="303">
        <f t="shared" si="336"/>
        <v>73.674971453472253</v>
      </c>
      <c r="FA461" s="304">
        <f>SUM(EW461:EZ461)</f>
        <v>315.46575383916138</v>
      </c>
      <c r="FB461" s="419"/>
      <c r="FC461" s="303">
        <f t="shared" si="337"/>
        <v>78.578255183512852</v>
      </c>
      <c r="FD461" s="303">
        <f t="shared" si="337"/>
        <v>78.578255183512852</v>
      </c>
      <c r="FE461" s="303">
        <f t="shared" si="337"/>
        <v>78.578255183512852</v>
      </c>
      <c r="FF461" s="303">
        <f t="shared" si="337"/>
        <v>78.578255183512852</v>
      </c>
      <c r="FG461" s="304">
        <f>SUM(FC461:FF461)</f>
        <v>314.31302073405141</v>
      </c>
      <c r="FH461" s="419"/>
      <c r="FI461" s="303">
        <f t="shared" si="338"/>
        <v>86.371228988079366</v>
      </c>
      <c r="FJ461" s="303">
        <f t="shared" si="338"/>
        <v>86.371228988079366</v>
      </c>
      <c r="FK461" s="303">
        <f t="shared" si="338"/>
        <v>86.371228988079366</v>
      </c>
      <c r="FL461" s="303">
        <f t="shared" si="338"/>
        <v>86.371228988079366</v>
      </c>
      <c r="FM461" s="304">
        <f>SUM(FI461:FL461)</f>
        <v>345.48491595231746</v>
      </c>
      <c r="FN461" s="27"/>
      <c r="FO461" s="27"/>
      <c r="FP461" s="27"/>
      <c r="FQ461" s="27"/>
      <c r="FR461" s="27"/>
      <c r="FS461" s="27"/>
      <c r="FT461" s="27"/>
      <c r="FU461" s="27"/>
      <c r="FV461" s="27"/>
      <c r="FW461" s="27"/>
      <c r="FX461" s="27"/>
      <c r="FY461" s="27"/>
      <c r="FZ461" s="27"/>
      <c r="GA461" s="27"/>
      <c r="GB461" s="27"/>
      <c r="GC461" s="27"/>
      <c r="GD461" s="27"/>
      <c r="GE461" s="27"/>
      <c r="GF461" s="27"/>
      <c r="GG461" s="27"/>
      <c r="GH461" s="27"/>
      <c r="GI461"/>
      <c r="GJ461"/>
      <c r="GK461"/>
      <c r="GL461"/>
      <c r="GM461"/>
      <c r="GN461"/>
      <c r="GO461" s="27"/>
      <c r="GP461"/>
      <c r="GQ461"/>
      <c r="GR461"/>
      <c r="GS461"/>
      <c r="GT461"/>
      <c r="GU461"/>
      <c r="GV461"/>
      <c r="GW461"/>
      <c r="GX461"/>
      <c r="GY461"/>
      <c r="GZ461"/>
      <c r="HA461"/>
      <c r="HB461"/>
      <c r="HC461"/>
      <c r="HD461"/>
      <c r="HE461"/>
      <c r="HF461"/>
      <c r="HG461"/>
      <c r="HH461"/>
      <c r="HI461"/>
      <c r="HJ461"/>
      <c r="HK461"/>
      <c r="HL461"/>
      <c r="HM461"/>
      <c r="HN461"/>
      <c r="HO461"/>
      <c r="HP461"/>
      <c r="HQ461"/>
      <c r="HR461"/>
      <c r="HS461"/>
      <c r="HT461"/>
      <c r="HU461"/>
      <c r="HV461"/>
      <c r="HW461"/>
      <c r="HX461"/>
      <c r="HY461"/>
      <c r="HZ461"/>
      <c r="IA461"/>
      <c r="IB461"/>
      <c r="IC461"/>
      <c r="ID461"/>
      <c r="IE461"/>
      <c r="IF461"/>
      <c r="IG461"/>
      <c r="IH461"/>
      <c r="II461"/>
      <c r="IJ461"/>
      <c r="IK461"/>
      <c r="IL461"/>
      <c r="IM461"/>
      <c r="IN461"/>
      <c r="IO461"/>
      <c r="IP461"/>
      <c r="IQ461"/>
      <c r="IR461"/>
      <c r="IS461"/>
      <c r="IT461"/>
      <c r="IU461"/>
      <c r="IV461"/>
      <c r="IW461"/>
      <c r="IX461"/>
      <c r="IY461"/>
      <c r="IZ461"/>
      <c r="JA461"/>
      <c r="JB461"/>
      <c r="JC461"/>
      <c r="JD461"/>
      <c r="JE461"/>
      <c r="JF461"/>
      <c r="JG461"/>
      <c r="JH461"/>
      <c r="JI461"/>
      <c r="JJ461"/>
      <c r="JK461"/>
      <c r="JL461"/>
      <c r="JM461"/>
      <c r="JN461"/>
      <c r="JO461"/>
      <c r="JP461"/>
      <c r="JQ461"/>
      <c r="JR461"/>
      <c r="JS461"/>
      <c r="JT461"/>
      <c r="JU461"/>
    </row>
    <row r="462" spans="1:281" s="28" customFormat="1" ht="12" hidden="1" customHeight="1" outlineLevel="1" x14ac:dyDescent="0.2">
      <c r="A462" s="261" t="s">
        <v>928</v>
      </c>
      <c r="B462" s="414"/>
      <c r="C462" s="33">
        <f t="shared" ref="C462:M462" si="341">C216+SUM(C458:C461)</f>
        <v>0.91547999999999996</v>
      </c>
      <c r="D462" s="33">
        <f t="shared" si="341"/>
        <v>1.0186439999999999</v>
      </c>
      <c r="E462" s="33">
        <f t="shared" si="341"/>
        <v>4.5936349999999999</v>
      </c>
      <c r="F462" s="33">
        <f t="shared" si="341"/>
        <v>13.15587128</v>
      </c>
      <c r="G462" s="33">
        <f t="shared" si="341"/>
        <v>22.093</v>
      </c>
      <c r="H462" s="33">
        <f t="shared" si="341"/>
        <v>38.478999999999999</v>
      </c>
      <c r="I462" s="33">
        <f t="shared" si="341"/>
        <v>37.329000000000001</v>
      </c>
      <c r="J462" s="33">
        <f t="shared" si="341"/>
        <v>-0.84099999999999997</v>
      </c>
      <c r="K462" s="33">
        <f t="shared" si="341"/>
        <v>34.619999999999997</v>
      </c>
      <c r="L462" s="33">
        <f t="shared" si="341"/>
        <v>76.314999999999998</v>
      </c>
      <c r="M462" s="33">
        <f t="shared" si="341"/>
        <v>139.74299999999999</v>
      </c>
      <c r="O462" s="48">
        <f>O216+SUM(O458:O461)</f>
        <v>30.143000000000001</v>
      </c>
      <c r="P462" s="48">
        <f>P216+SUM(P458:P461)</f>
        <v>46.231999999999999</v>
      </c>
      <c r="Q462" s="48">
        <f>Q216+SUM(Q458:Q461)</f>
        <v>51.606999999999999</v>
      </c>
      <c r="R462" s="48">
        <f>R216+SUM(R458:R461)</f>
        <v>89.481999999999999</v>
      </c>
      <c r="S462" s="33">
        <f>S216+SUM(S458:S461)</f>
        <v>217.464</v>
      </c>
      <c r="U462" s="48">
        <f>U216+SUM(U458:U461)</f>
        <v>45.012502485913167</v>
      </c>
      <c r="V462" s="48">
        <f>V216+SUM(V458:V461)</f>
        <v>70.525000000000006</v>
      </c>
      <c r="W462" s="48">
        <f>W216+SUM(W458:W461)</f>
        <v>75.361000000000004</v>
      </c>
      <c r="X462" s="48">
        <f>X216+SUM(X458:X461)</f>
        <v>142.649</v>
      </c>
      <c r="Y462" s="33">
        <f>Y216+SUM(Y458:Y461)</f>
        <v>333.54750248591318</v>
      </c>
      <c r="AA462" s="48">
        <f>AA216+SUM(AA458:AA461)</f>
        <v>63.433999999999997</v>
      </c>
      <c r="AB462" s="48">
        <f>AB216+SUM(AB458:AB461)</f>
        <v>100.967</v>
      </c>
      <c r="AC462" s="48">
        <f>AC216+SUM(AC458:AC461)</f>
        <v>108.45187754577286</v>
      </c>
      <c r="AD462" s="48">
        <f>AD216+SUM(AD458:AD461)</f>
        <v>202.465</v>
      </c>
      <c r="AE462" s="33">
        <f>AE216+SUM(AE458:AE461)</f>
        <v>475.31787754577294</v>
      </c>
      <c r="AG462" s="48">
        <f>AG216+SUM(AG458:AG461)</f>
        <v>140.61843999999999</v>
      </c>
      <c r="AH462" s="48">
        <f>AH216+SUM(AH458:AH461)</f>
        <v>100.93</v>
      </c>
      <c r="AI462" s="48">
        <f>AI216+SUM(AI458:AI461)</f>
        <v>115.81100000000001</v>
      </c>
      <c r="AJ462" s="48">
        <f>AJ216+SUM(AJ458:AJ461)</f>
        <v>216.904</v>
      </c>
      <c r="AK462" s="33">
        <f>AK216+SUM(AK458:AK461)</f>
        <v>574.26344000000006</v>
      </c>
      <c r="AM462" s="48">
        <f>AM216+SUM(AM458:AM461)</f>
        <v>105.001</v>
      </c>
      <c r="AN462" s="48">
        <f>AN216+SUM(AN458:AN461)</f>
        <v>136.64500000000001</v>
      </c>
      <c r="AO462" s="48">
        <f>AO216+SUM(AO458:AO461)</f>
        <v>151.07400000000001</v>
      </c>
      <c r="AP462" s="48">
        <f>AP216+SUM(AP458:AP461)</f>
        <v>299.60000000000002</v>
      </c>
      <c r="AQ462" s="33">
        <f>AQ216+SUM(AQ458:AQ461)</f>
        <v>692.32</v>
      </c>
      <c r="AS462" s="48">
        <f>AS216+SUM(AS458:AS461)</f>
        <v>127.474</v>
      </c>
      <c r="AT462" s="48">
        <f>AT216+SUM(AT458:AT461)</f>
        <v>207.03100000000001</v>
      </c>
      <c r="AU462" s="48">
        <f>AU216+SUM(AU458:AU461)</f>
        <v>446.154</v>
      </c>
      <c r="AV462" s="48">
        <f>AV216+SUM(AV458:AV461)</f>
        <v>3045.9720000000002</v>
      </c>
      <c r="AW462" s="33">
        <f>AW216+SUM(AW458:AW461)</f>
        <v>3826.6310000000003</v>
      </c>
      <c r="AY462" s="48">
        <f>AY216+SUM(AY458:AY461)</f>
        <v>275.56599999999997</v>
      </c>
      <c r="AZ462" s="48">
        <f>AZ216+SUM(AZ458:AZ461)</f>
        <v>343.06900000000002</v>
      </c>
      <c r="BA462" s="48">
        <f>BA216+SUM(BA458:BA461)</f>
        <v>320.71800000000002</v>
      </c>
      <c r="BB462" s="48">
        <f>BB216+SUM(BB458:BB461)</f>
        <v>470.78100000000001</v>
      </c>
      <c r="BC462" s="33">
        <f>BC216+SUM(BC458:BC461)</f>
        <v>1410.134</v>
      </c>
      <c r="BE462" s="48">
        <f>BE216+SUM(BE458:BE461)</f>
        <v>274.964</v>
      </c>
      <c r="BF462" s="48">
        <f>BF216+SUM(BF458:BF461)</f>
        <v>295.86399999999998</v>
      </c>
      <c r="BG462" s="48">
        <f>BG216+SUM(BG458:BG461)</f>
        <v>273.52499999999998</v>
      </c>
      <c r="BH462" s="48">
        <f>BH216+SUM(BH458:BH461)</f>
        <v>339.846</v>
      </c>
      <c r="BI462" s="33">
        <f>BI216+SUM(BI458:BI461)</f>
        <v>1184.1990000000001</v>
      </c>
      <c r="BK462" s="48">
        <f>BK216+SUM(BK458:BK461)</f>
        <v>179</v>
      </c>
      <c r="BL462" s="48">
        <f>BL216+SUM(BL458:BL461)</f>
        <v>265</v>
      </c>
      <c r="BM462" s="48">
        <f>BM216+SUM(BM458:BM461)</f>
        <v>258</v>
      </c>
      <c r="BN462" s="48">
        <f>BN216+SUM(BN458:BN461)</f>
        <v>416</v>
      </c>
      <c r="BO462" s="33">
        <f>BO216+SUM(BO458:BO461)</f>
        <v>1118</v>
      </c>
      <c r="BQ462" s="48">
        <f>BQ216+SUM(BQ458:BQ461)</f>
        <v>224</v>
      </c>
      <c r="BR462" s="48">
        <f>BR216+SUM(BR458:BR461)</f>
        <v>299</v>
      </c>
      <c r="BS462" s="48">
        <f>BS216+SUM(BS458:BS461)</f>
        <v>312</v>
      </c>
      <c r="BT462" s="48">
        <f>BT216+SUM(BT458:BT461)</f>
        <v>429</v>
      </c>
      <c r="BU462" s="33">
        <f>BU216+SUM(BU458:BU461)</f>
        <v>1264</v>
      </c>
      <c r="BW462" s="48">
        <f>BW216+SUM(BW458:BW461)</f>
        <v>237.84349593495935</v>
      </c>
      <c r="BX462" s="48">
        <f>BX216+SUM(BX458:BX461)</f>
        <v>345.84462738301562</v>
      </c>
      <c r="BY462" s="48">
        <f>BY216+SUM(BY458:BY461)</f>
        <v>311.86768447837153</v>
      </c>
      <c r="BZ462" s="48">
        <f>BZ216+SUM(BZ458:BZ461)</f>
        <v>439.70005414185164</v>
      </c>
      <c r="CA462" s="33">
        <f>CA216+SUM(CA458:CA461)</f>
        <v>1335.255861938198</v>
      </c>
      <c r="CB462" s="134"/>
      <c r="CC462" s="48">
        <f>CC216+SUM(CC458:CC461)</f>
        <v>264.00479386385427</v>
      </c>
      <c r="CD462" s="48">
        <f>CD216+SUM(CD458:CD461)</f>
        <v>365.33552872301499</v>
      </c>
      <c r="CE462" s="48">
        <f>CE216+SUM(CE458:CE461)</f>
        <v>390.5313108822711</v>
      </c>
      <c r="CF462" s="48">
        <f>CF216+SUM(CF458:CF461)</f>
        <v>657.07902792195694</v>
      </c>
      <c r="CG462" s="420">
        <f>CG216+SUM(CG458:CG461)</f>
        <v>1676.9506613910974</v>
      </c>
      <c r="CH462" s="134"/>
      <c r="CI462" s="48">
        <f>CI216+SUM(CI458:CI461)</f>
        <v>384.01047120418849</v>
      </c>
      <c r="CJ462" s="48">
        <f>CJ216+SUM(CJ458:CJ461)</f>
        <v>460.13519313304721</v>
      </c>
      <c r="CK462" s="48">
        <f>CK216+SUM(CK458:CK461)</f>
        <v>458.97396717600452</v>
      </c>
      <c r="CL462" s="48">
        <f>CL216+SUM(CL458:CL461)</f>
        <v>771.49045058409047</v>
      </c>
      <c r="CM462" s="420">
        <f>CM216+SUM(CM458:CM461)</f>
        <v>2074.6100820973306</v>
      </c>
      <c r="CN462" s="134"/>
      <c r="CO462" s="48">
        <f>CO216+SUM(CO458:CO461)</f>
        <v>480.42042042042044</v>
      </c>
      <c r="CP462" s="48">
        <f>CP216+SUM(CP458:CP461)</f>
        <v>619.50066755674231</v>
      </c>
      <c r="CQ462" s="48">
        <f>CQ216+SUM(CQ458:CQ461)</f>
        <v>629.06213417379558</v>
      </c>
      <c r="CR462" s="48">
        <f>CR216+SUM(CR458:CR461)</f>
        <v>1068.3032716927455</v>
      </c>
      <c r="CS462" s="420">
        <f>CS216+SUM(CS458:CS461)</f>
        <v>2797.2864938437037</v>
      </c>
      <c r="CT462" s="134"/>
      <c r="CU462" s="48">
        <f>CU216+SUM(CU458:CU461)</f>
        <v>515.20505484024795</v>
      </c>
      <c r="CV462" s="48">
        <f>CV216+SUM(CV458:CV461)</f>
        <v>690.79512195121947</v>
      </c>
      <c r="CW462" s="48">
        <f>CW216+SUM(CW458:CW461)</f>
        <v>631.01237113402067</v>
      </c>
      <c r="CX462" s="48">
        <f>CX216+SUM(CX458:CX461)</f>
        <v>1053.8187998817618</v>
      </c>
      <c r="CY462" s="420">
        <f>CY216+SUM(CY458:CY461)</f>
        <v>2890.8313478072496</v>
      </c>
      <c r="CZ462" s="134"/>
      <c r="DA462" s="48">
        <f>DA216+SUM(DA458:DA461)</f>
        <v>597.53271028037375</v>
      </c>
      <c r="DB462" s="48">
        <f>DB216+SUM(DB458:DB461)</f>
        <v>746.91780821917814</v>
      </c>
      <c r="DC462" s="48">
        <f>DC216+SUM(DC458:DC461)</f>
        <v>640.09377618648591</v>
      </c>
      <c r="DD462" s="48">
        <f>DD216+SUM(DD458:DD461)</f>
        <v>980.30233668281744</v>
      </c>
      <c r="DE462" s="420">
        <f>DE216+SUM(DE458:DE461)</f>
        <v>2964.846631368855</v>
      </c>
      <c r="DF462" s="134"/>
      <c r="DG462" s="48">
        <f>DG216+SUM(DG458:DG461)</f>
        <v>675.57486725663716</v>
      </c>
      <c r="DH462" s="48">
        <f>DH216+SUM(DH458:DH461)</f>
        <v>1048.9943654413737</v>
      </c>
      <c r="DI462" s="48">
        <f>DI216+SUM(DI458:DI461)</f>
        <v>901.99082073434124</v>
      </c>
      <c r="DJ462" s="48">
        <f>DJ216+SUM(DJ458:DJ461)</f>
        <v>1158.6819172113289</v>
      </c>
      <c r="DK462" s="420">
        <f>DK216+SUM(DK458:DK461)</f>
        <v>3785.2419706436813</v>
      </c>
      <c r="DL462" s="134"/>
      <c r="DM462" s="48">
        <f>DM216+SUM(DM458:DM461)</f>
        <v>858.41860465116281</v>
      </c>
      <c r="DN462" s="48">
        <f>DN216+SUM(DN458:DN461)</f>
        <v>977.69242985706728</v>
      </c>
      <c r="DO462" s="48">
        <f>DO216+SUM(DO458:DO461)</f>
        <v>844.58721407754831</v>
      </c>
      <c r="DP462" s="48">
        <f>DP216+SUM(DP458:DP461)</f>
        <v>1123.2761973369734</v>
      </c>
      <c r="DQ462" s="420">
        <f>DQ216+SUM(DQ458:DQ461)</f>
        <v>3803.9744459227518</v>
      </c>
      <c r="DR462" s="134"/>
      <c r="DS462" s="48">
        <f>DS216+SUM(DS458:DS461)</f>
        <v>827.506447831184</v>
      </c>
      <c r="DT462" s="48">
        <f>DT216+SUM(DT458:DT461)</f>
        <v>882.76329331046304</v>
      </c>
      <c r="DU462" s="48">
        <f>DU216+SUM(DU458:DU461)</f>
        <v>760.6903914590747</v>
      </c>
      <c r="DV462" s="48">
        <f>DV216+SUM(DV458:DV461)</f>
        <v>1151.7491983943266</v>
      </c>
      <c r="DW462" s="420">
        <f>DW216+SUM(DW458:DW461)</f>
        <v>3622.7093309950487</v>
      </c>
      <c r="DX462" s="134"/>
      <c r="DY462" s="48">
        <f>DY216+SUM(DY458:DY461)</f>
        <v>659.32087227414331</v>
      </c>
      <c r="DZ462" s="48">
        <f>DZ216+SUM(DZ458:DZ461)</f>
        <v>831.43996038623425</v>
      </c>
      <c r="EA462" s="48">
        <f>EA216+SUM(EA458:EA461)</f>
        <v>866.70380434782612</v>
      </c>
      <c r="EB462" s="48">
        <f>EB216+SUM(EB458:EB461)</f>
        <v>1132.1688741721855</v>
      </c>
      <c r="EC462" s="420">
        <f>EC216+SUM(EC458:EC461)</f>
        <v>3489.6335111803892</v>
      </c>
      <c r="ED462" s="134"/>
      <c r="EE462" s="48">
        <f>EE216+SUM(EE458:EE461)</f>
        <v>717.29714605484048</v>
      </c>
      <c r="EF462" s="48">
        <f>EF216+SUM(EF458:EF461)</f>
        <v>970.94341913550261</v>
      </c>
      <c r="EG462" s="48">
        <f>EG216+SUM(EG458:EG461)</f>
        <v>840.48552730933807</v>
      </c>
      <c r="EH462" s="48">
        <f>EH216+SUM(EH458:EH461)</f>
        <v>1191.51012145749</v>
      </c>
      <c r="EI462" s="420">
        <f>EI216+SUM(EI458:EI461)</f>
        <v>3720.236213957171</v>
      </c>
      <c r="EJ462" s="134"/>
      <c r="EK462" s="48">
        <f>EK216+SUM(EK458:EK461)</f>
        <v>766.93480345158196</v>
      </c>
      <c r="EL462" s="48">
        <f>EL216+SUM(EL458:EL461)</f>
        <v>627.07246798603023</v>
      </c>
      <c r="EM462" s="48">
        <f>EM216+SUM(EM458:EM461)</f>
        <v>769.37018140589566</v>
      </c>
      <c r="EN462" s="48">
        <f>EN216+SUM(EN458:EN461)</f>
        <v>1112.3434878587195</v>
      </c>
      <c r="EO462" s="420">
        <f>EO216+SUM(EO458:EO461)</f>
        <v>3275.7209407022274</v>
      </c>
      <c r="EP462" s="134"/>
      <c r="EQ462" s="48">
        <f>EQ216+SUM(EQ458:EQ461)</f>
        <v>730.42469687300581</v>
      </c>
      <c r="ER462" s="48">
        <f>ER216+SUM(ER458:ER461)</f>
        <v>840.43161648498608</v>
      </c>
      <c r="ES462" s="48">
        <f>ES216+SUM(ES458:ES461)</f>
        <v>656.72468096660327</v>
      </c>
      <c r="ET462" s="48">
        <f>ET216+SUM(ET458:ET461)</f>
        <v>711.31624840493407</v>
      </c>
      <c r="EU462" s="420">
        <f>EU216+SUM(EU458:EU461)</f>
        <v>2938.8972427295294</v>
      </c>
      <c r="EV462" s="134"/>
      <c r="EW462" s="48">
        <f>EW216+SUM(EW458:EW461)</f>
        <v>587.25</v>
      </c>
      <c r="EX462" s="48">
        <f>EX216+SUM(EX458:EX461)</f>
        <v>916.88544272136062</v>
      </c>
      <c r="EY462" s="48">
        <f>EY216+SUM(EY458:EY461)</f>
        <v>7464.7518545106486</v>
      </c>
      <c r="EZ462" s="48">
        <f>EZ216+SUM(EZ458:EZ461)</f>
        <v>1005.2691149848245</v>
      </c>
      <c r="FA462" s="420">
        <f>FA216+SUM(FA458:FA461)</f>
        <v>9974.1564122168347</v>
      </c>
      <c r="FB462" s="134"/>
      <c r="FC462" s="48">
        <f>FC216+SUM(FC458:FC461)</f>
        <v>764.40188343879936</v>
      </c>
      <c r="FD462" s="48">
        <f>FD216+SUM(FD458:FD461)</f>
        <v>851.30681461999143</v>
      </c>
      <c r="FE462" s="48">
        <f>FE216+SUM(FE458:FE461)</f>
        <v>868.52342398288158</v>
      </c>
      <c r="FF462" s="48">
        <f>FF216+SUM(FF458:FF461)</f>
        <v>1040.5919529846251</v>
      </c>
      <c r="FG462" s="420">
        <f>FG216+SUM(FG458:FG461)</f>
        <v>3524.8240750262976</v>
      </c>
      <c r="FH462" s="134"/>
      <c r="FI462" s="48">
        <f>FI216+SUM(FI458:FI461)</f>
        <v>826.70786895608671</v>
      </c>
      <c r="FJ462" s="48">
        <f>FJ216+SUM(FJ458:FJ461)</f>
        <v>910.86326800786742</v>
      </c>
      <c r="FK462" s="48">
        <f>FK216+SUM(FK458:FK461)</f>
        <v>921.72556307421883</v>
      </c>
      <c r="FL462" s="48">
        <f>FL216+SUM(FL458:FL461)</f>
        <v>1067.7096691061101</v>
      </c>
      <c r="FM462" s="420">
        <f>FM216+SUM(FM458:FM461)</f>
        <v>3727.0063691442829</v>
      </c>
      <c r="FN462" s="27"/>
      <c r="FO462" s="27"/>
      <c r="FP462" s="27"/>
      <c r="FQ462" s="27"/>
      <c r="FR462" s="27"/>
      <c r="FS462" s="27"/>
      <c r="FT462" s="27"/>
      <c r="FU462" s="27"/>
      <c r="FV462" s="27"/>
      <c r="FW462" s="27"/>
      <c r="FX462" s="27"/>
      <c r="FY462" s="27"/>
      <c r="FZ462" s="27"/>
      <c r="GA462" s="27"/>
      <c r="GB462" s="27"/>
      <c r="GC462" s="27"/>
      <c r="GD462" s="27"/>
      <c r="GE462" s="27"/>
      <c r="GF462" s="27"/>
      <c r="GG462" s="27"/>
      <c r="GH462" s="27"/>
      <c r="GI462"/>
      <c r="GJ462"/>
      <c r="GK462"/>
      <c r="GL462"/>
      <c r="GM462"/>
      <c r="GN462"/>
      <c r="GO462" s="27"/>
      <c r="GP462"/>
      <c r="GQ462"/>
      <c r="GR462"/>
      <c r="GS462"/>
      <c r="GT462"/>
      <c r="GU462"/>
      <c r="GV462"/>
      <c r="GW462"/>
      <c r="GX462"/>
      <c r="GY462"/>
      <c r="GZ462"/>
      <c r="HA462"/>
      <c r="HB462"/>
      <c r="HC462"/>
      <c r="HD462"/>
      <c r="HE462"/>
      <c r="HF462"/>
      <c r="HG462"/>
      <c r="HH462"/>
      <c r="HI462"/>
      <c r="HJ462"/>
      <c r="HK462"/>
      <c r="HL462"/>
      <c r="HM462"/>
      <c r="HN462"/>
      <c r="HO462"/>
      <c r="HP462"/>
      <c r="HQ462"/>
      <c r="HR462"/>
      <c r="HS462"/>
      <c r="HT462"/>
      <c r="HU462"/>
      <c r="HV462"/>
      <c r="HW462"/>
      <c r="HX462"/>
      <c r="HY462"/>
      <c r="HZ462"/>
      <c r="IA462"/>
      <c r="IB462"/>
      <c r="IC462"/>
      <c r="ID462"/>
      <c r="IE462"/>
      <c r="IF462"/>
      <c r="IG462"/>
      <c r="IH462"/>
      <c r="II462"/>
      <c r="IJ462"/>
      <c r="IK462"/>
      <c r="IL462"/>
      <c r="IM462"/>
      <c r="IN462"/>
      <c r="IO462"/>
      <c r="IP462"/>
      <c r="IQ462"/>
      <c r="IR462"/>
      <c r="IS462"/>
      <c r="IT462"/>
      <c r="IU462"/>
      <c r="IV462"/>
      <c r="IW462"/>
      <c r="IX462"/>
      <c r="IY462"/>
      <c r="IZ462"/>
      <c r="JA462"/>
      <c r="JB462"/>
      <c r="JC462"/>
      <c r="JD462"/>
      <c r="JE462"/>
      <c r="JF462"/>
      <c r="JG462"/>
      <c r="JH462"/>
      <c r="JI462"/>
      <c r="JJ462"/>
      <c r="JK462"/>
      <c r="JL462"/>
      <c r="JM462"/>
      <c r="JN462"/>
      <c r="JO462"/>
      <c r="JP462"/>
      <c r="JQ462"/>
      <c r="JR462"/>
      <c r="JS462"/>
      <c r="JT462"/>
      <c r="JU462"/>
    </row>
    <row r="463" spans="1:281" ht="12" customHeight="1" collapsed="1" x14ac:dyDescent="0.2"/>
    <row r="464" spans="1:281" x14ac:dyDescent="0.2">
      <c r="A464" s="301" t="s">
        <v>1189</v>
      </c>
      <c r="DS464" s="1808">
        <f>+DS165</f>
        <v>176</v>
      </c>
      <c r="DT464" s="1808">
        <f t="shared" ref="DT464:FA464" si="342">+DT165</f>
        <v>188</v>
      </c>
      <c r="DU464" s="1808">
        <f t="shared" si="342"/>
        <v>172</v>
      </c>
      <c r="DV464" s="1808">
        <f t="shared" si="342"/>
        <v>185.28829667646059</v>
      </c>
      <c r="DW464" s="1808">
        <f t="shared" si="342"/>
        <v>721.28829667646062</v>
      </c>
      <c r="DX464" s="1808">
        <f t="shared" si="342"/>
        <v>0</v>
      </c>
      <c r="DY464" s="1808">
        <f t="shared" si="342"/>
        <v>198</v>
      </c>
      <c r="DZ464" s="1808">
        <f t="shared" si="342"/>
        <v>183</v>
      </c>
      <c r="EA464" s="1808">
        <f t="shared" si="342"/>
        <v>198</v>
      </c>
      <c r="EB464" s="1808">
        <f t="shared" si="342"/>
        <v>190</v>
      </c>
      <c r="EC464" s="1808">
        <f t="shared" si="342"/>
        <v>769</v>
      </c>
      <c r="ED464" s="1808">
        <f t="shared" si="342"/>
        <v>0</v>
      </c>
      <c r="EE464" s="1808">
        <f t="shared" si="342"/>
        <v>212</v>
      </c>
      <c r="EF464" s="1808">
        <f t="shared" si="342"/>
        <v>240</v>
      </c>
      <c r="EG464" s="1808">
        <f t="shared" si="342"/>
        <v>234</v>
      </c>
      <c r="EH464" s="1808">
        <f t="shared" si="342"/>
        <v>244</v>
      </c>
      <c r="EI464" s="1808">
        <f t="shared" si="342"/>
        <v>930</v>
      </c>
      <c r="EJ464" s="1808">
        <f t="shared" si="342"/>
        <v>0</v>
      </c>
      <c r="EK464" s="1808">
        <f t="shared" si="342"/>
        <v>250</v>
      </c>
      <c r="EL464" s="1808">
        <f t="shared" si="342"/>
        <v>254</v>
      </c>
      <c r="EM464" s="1808">
        <f t="shared" si="342"/>
        <v>260</v>
      </c>
      <c r="EN464" s="1808">
        <f t="shared" si="342"/>
        <v>269</v>
      </c>
      <c r="EO464" s="1808">
        <f t="shared" si="342"/>
        <v>1033</v>
      </c>
      <c r="EP464" s="1808">
        <f t="shared" si="342"/>
        <v>0</v>
      </c>
      <c r="EQ464" s="1808">
        <f>+EQ165</f>
        <v>319</v>
      </c>
      <c r="ER464" s="1808">
        <f t="shared" si="342"/>
        <v>307</v>
      </c>
      <c r="ES464" s="1808">
        <f t="shared" si="342"/>
        <v>328</v>
      </c>
      <c r="ET464" s="1808">
        <f t="shared" si="342"/>
        <v>334</v>
      </c>
      <c r="EU464" s="1808">
        <f t="shared" si="342"/>
        <v>1288</v>
      </c>
      <c r="EV464" s="1808">
        <f t="shared" si="342"/>
        <v>0</v>
      </c>
      <c r="EW464" s="1808">
        <f t="shared" si="342"/>
        <v>302</v>
      </c>
      <c r="EX464" s="1808">
        <f t="shared" si="342"/>
        <v>413</v>
      </c>
      <c r="EY464" s="1808">
        <f t="shared" si="342"/>
        <v>386</v>
      </c>
      <c r="EZ464" s="1808">
        <f t="shared" si="342"/>
        <v>368.37485726736128</v>
      </c>
      <c r="FA464" s="1808">
        <f t="shared" si="342"/>
        <v>1469.3748572673612</v>
      </c>
      <c r="FB464" s="1808">
        <f t="shared" ref="FB464:FG464" si="343">+FB165</f>
        <v>0</v>
      </c>
      <c r="FC464" s="1808">
        <f t="shared" si="343"/>
        <v>402.96541119750179</v>
      </c>
      <c r="FD464" s="1808">
        <f t="shared" si="343"/>
        <v>402.96541119750179</v>
      </c>
      <c r="FE464" s="1808">
        <f t="shared" si="343"/>
        <v>402.96541119750179</v>
      </c>
      <c r="FF464" s="1808">
        <f t="shared" si="343"/>
        <v>402.96541119750179</v>
      </c>
      <c r="FG464" s="1808">
        <f t="shared" si="343"/>
        <v>1611.8616447900072</v>
      </c>
      <c r="FH464" s="1808">
        <f t="shared" ref="FH464:FM464" si="344">+FH165</f>
        <v>0</v>
      </c>
      <c r="FI464" s="1808">
        <f t="shared" si="344"/>
        <v>442.929379426048</v>
      </c>
      <c r="FJ464" s="1808">
        <f t="shared" si="344"/>
        <v>442.929379426048</v>
      </c>
      <c r="FK464" s="1808">
        <f t="shared" si="344"/>
        <v>442.929379426048</v>
      </c>
      <c r="FL464" s="1808">
        <f t="shared" si="344"/>
        <v>442.929379426048</v>
      </c>
      <c r="FM464" s="1808">
        <f t="shared" si="344"/>
        <v>1771.717517704192</v>
      </c>
    </row>
  </sheetData>
  <mergeCells count="1">
    <mergeCell ref="A267:DE267"/>
  </mergeCells>
  <phoneticPr fontId="2" type="noConversion"/>
  <printOptions horizontalCentered="1"/>
  <pageMargins left="0" right="0" top="0" bottom="0" header="0" footer="0"/>
  <pageSetup paperSize="5" orientation="landscape" r:id="rId1"/>
  <headerFooter alignWithMargins="0">
    <oddFooter>&amp;L&amp;F   &amp;A&amp;R&amp;D   &amp;T</oddFooter>
  </headerFooter>
  <ignoredErrors>
    <ignoredError sqref="AY7:AZ7 AS7:AV7 O7:X7 Z7:AP7" twoDigitTextYear="1"/>
    <ignoredError sqref="BC185 AW185 AQ185 AK185 BI185 BO185" 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theme="4"/>
    <pageSetUpPr fitToPage="1"/>
  </sheetPr>
  <dimension ref="A1:JN324"/>
  <sheetViews>
    <sheetView showGridLines="0" zoomScaleNormal="100" zoomScaleSheetLayoutView="100" workbookViewId="0">
      <pane xSplit="2" ySplit="6" topLeftCell="EI7" activePane="bottomRight" state="frozen"/>
      <selection pane="topRight" activeCell="C1" sqref="C1"/>
      <selection pane="bottomLeft" activeCell="A8" sqref="A8"/>
      <selection pane="bottomRight" activeCell="EI7" sqref="EI7"/>
    </sheetView>
  </sheetViews>
  <sheetFormatPr defaultRowHeight="10.5" customHeight="1" outlineLevelRow="1" outlineLevelCol="2" x14ac:dyDescent="0.2"/>
  <cols>
    <col min="1" max="1" width="27.7109375" customWidth="1"/>
    <col min="2" max="2" width="2" hidden="1" customWidth="1"/>
    <col min="3" max="13" width="7.7109375" hidden="1" customWidth="1" outlineLevel="2"/>
    <col min="14" max="14" width="1.7109375" hidden="1" customWidth="1" outlineLevel="1" collapsed="1"/>
    <col min="15" max="18" width="7.7109375" hidden="1" customWidth="1" outlineLevel="2"/>
    <col min="19" max="19" width="7.7109375" hidden="1" customWidth="1" outlineLevel="1" collapsed="1"/>
    <col min="20" max="20" width="1.7109375" hidden="1" customWidth="1" outlineLevel="2"/>
    <col min="21" max="24" width="7.7109375" hidden="1" customWidth="1" outlineLevel="2"/>
    <col min="25" max="25" width="7.7109375" hidden="1" customWidth="1" outlineLevel="1" collapsed="1"/>
    <col min="26" max="26" width="1.7109375" hidden="1" customWidth="1" outlineLevel="2"/>
    <col min="27" max="30" width="7.7109375" hidden="1" customWidth="1" outlineLevel="2"/>
    <col min="31" max="31" width="7.7109375" hidden="1" customWidth="1" outlineLevel="1" collapsed="1"/>
    <col min="32" max="32" width="1.7109375" hidden="1" customWidth="1" outlineLevel="2"/>
    <col min="33" max="36" width="7.7109375" hidden="1" customWidth="1" outlineLevel="2"/>
    <col min="37" max="37" width="7.7109375" hidden="1" customWidth="1" outlineLevel="1" collapsed="1"/>
    <col min="38" max="38" width="1.7109375" hidden="1" customWidth="1" outlineLevel="2"/>
    <col min="39" max="42" width="7.7109375" hidden="1" customWidth="1" outlineLevel="2"/>
    <col min="43" max="43" width="7.7109375" hidden="1" customWidth="1" outlineLevel="1" collapsed="1"/>
    <col min="44" max="44" width="1.7109375" hidden="1" customWidth="1" outlineLevel="2"/>
    <col min="45" max="48" width="7.7109375" hidden="1" customWidth="1" outlineLevel="2"/>
    <col min="49" max="49" width="7.7109375" hidden="1" customWidth="1" outlineLevel="1" collapsed="1"/>
    <col min="50" max="50" width="1.7109375" hidden="1" customWidth="1" outlineLevel="2"/>
    <col min="51" max="54" width="7.7109375" hidden="1" customWidth="1" outlineLevel="2"/>
    <col min="55" max="55" width="8.28515625" hidden="1" customWidth="1" outlineLevel="1" collapsed="1"/>
    <col min="56" max="56" width="1.7109375" hidden="1" customWidth="1" outlineLevel="2"/>
    <col min="57" max="57" width="7.85546875" hidden="1" customWidth="1" outlineLevel="2"/>
    <col min="58" max="58" width="8.28515625" hidden="1" customWidth="1" outlineLevel="2"/>
    <col min="59" max="60" width="7.85546875" hidden="1" customWidth="1" outlineLevel="2"/>
    <col min="61" max="61" width="8.7109375" hidden="1" customWidth="1" outlineLevel="1" collapsed="1"/>
    <col min="62" max="62" width="1.7109375" hidden="1" customWidth="1" outlineLevel="2"/>
    <col min="63" max="66" width="7.85546875" hidden="1" customWidth="1" outlineLevel="2"/>
    <col min="67" max="67" width="9.28515625" hidden="1" customWidth="1" outlineLevel="1" collapsed="1"/>
    <col min="68" max="68" width="1.7109375" hidden="1" customWidth="1" outlineLevel="2"/>
    <col min="69" max="72" width="7.7109375" hidden="1" customWidth="1" outlineLevel="2"/>
    <col min="73" max="73" width="7.7109375" hidden="1" customWidth="1" outlineLevel="1" collapsed="1"/>
    <col min="74" max="74" width="1.7109375" hidden="1" customWidth="1" outlineLevel="1"/>
    <col min="75" max="77" width="7.140625" hidden="1" customWidth="1" outlineLevel="2"/>
    <col min="78" max="78" width="6.7109375" hidden="1" customWidth="1" outlineLevel="2"/>
    <col min="79" max="79" width="6.7109375" hidden="1" customWidth="1" outlineLevel="1" collapsed="1"/>
    <col min="80" max="80" width="1.7109375" hidden="1" customWidth="1" outlineLevel="1"/>
    <col min="81" max="83" width="6.85546875" hidden="1" customWidth="1" outlineLevel="2"/>
    <col min="84" max="84" width="7.28515625" hidden="1" customWidth="1" outlineLevel="2"/>
    <col min="85" max="85" width="7.140625" hidden="1" customWidth="1" outlineLevel="1" collapsed="1"/>
    <col min="86" max="86" width="1.140625" hidden="1" customWidth="1" outlineLevel="1" collapsed="1"/>
    <col min="87" max="90" width="7" hidden="1" customWidth="1" outlineLevel="2"/>
    <col min="91" max="91" width="7.28515625" hidden="1" customWidth="1" outlineLevel="1" collapsed="1"/>
    <col min="92" max="92" width="1.140625" hidden="1" customWidth="1" outlineLevel="1" collapsed="1"/>
    <col min="93" max="96" width="7.85546875" hidden="1" customWidth="1" outlineLevel="2"/>
    <col min="97" max="97" width="7.85546875" hidden="1" customWidth="1" outlineLevel="1" collapsed="1"/>
    <col min="98" max="98" width="1.140625" hidden="1" customWidth="1" collapsed="1"/>
    <col min="99" max="99" width="7.85546875" hidden="1" customWidth="1" outlineLevel="1"/>
    <col min="100" max="100" width="8.140625" hidden="1" customWidth="1" outlineLevel="1"/>
    <col min="101" max="101" width="8.28515625" hidden="1" customWidth="1" outlineLevel="1"/>
    <col min="102" max="102" width="7.42578125" hidden="1" customWidth="1" outlineLevel="1"/>
    <col min="103" max="103" width="7.28515625" hidden="1" customWidth="1" outlineLevel="1" collapsed="1"/>
    <col min="104" max="104" width="1.140625" hidden="1" customWidth="1" outlineLevel="2"/>
    <col min="105" max="108" width="7.85546875" hidden="1" customWidth="1" outlineLevel="2"/>
    <col min="109" max="109" width="8" hidden="1" customWidth="1" outlineLevel="1" collapsed="1"/>
    <col min="110" max="110" width="1.140625" hidden="1" customWidth="1" outlineLevel="2"/>
    <col min="111" max="114" width="8" hidden="1" customWidth="1" outlineLevel="2"/>
    <col min="115" max="115" width="8" hidden="1" customWidth="1" outlineLevel="1" collapsed="1"/>
    <col min="116" max="116" width="1.140625" hidden="1" customWidth="1" outlineLevel="2"/>
    <col min="117" max="120" width="8" hidden="1" customWidth="1" outlineLevel="2"/>
    <col min="121" max="121" width="8" hidden="1" customWidth="1" outlineLevel="1" collapsed="1"/>
    <col min="122" max="122" width="1.140625" hidden="1" customWidth="1" outlineLevel="1"/>
    <col min="123" max="126" width="8" hidden="1" customWidth="1" outlineLevel="1"/>
    <col min="127" max="127" width="8.42578125" hidden="1" customWidth="1" collapsed="1"/>
    <col min="128" max="128" width="1.140625" hidden="1" customWidth="1" outlineLevel="2"/>
    <col min="129" max="129" width="8" hidden="1" customWidth="1" outlineLevel="2"/>
    <col min="130" max="130" width="10" hidden="1" customWidth="1" outlineLevel="2"/>
    <col min="131" max="131" width="8.85546875" hidden="1" customWidth="1" outlineLevel="2"/>
    <col min="132" max="132" width="9.7109375" hidden="1" customWidth="1" outlineLevel="2"/>
    <col min="133" max="133" width="8" hidden="1" customWidth="1" collapsed="1"/>
    <col min="134" max="134" width="1.140625" hidden="1" customWidth="1" outlineLevel="1"/>
    <col min="135" max="135" width="7.85546875" hidden="1" customWidth="1" outlineLevel="1"/>
    <col min="136" max="136" width="10" hidden="1" customWidth="1" outlineLevel="1"/>
    <col min="137" max="138" width="7.85546875" hidden="1" customWidth="1" outlineLevel="1"/>
    <col min="139" max="139" width="8" customWidth="1" collapsed="1"/>
    <col min="140" max="140" width="1.140625" customWidth="1"/>
    <col min="141" max="144" width="7.85546875" hidden="1" customWidth="1" outlineLevel="2"/>
    <col min="145" max="145" width="8.42578125" customWidth="1" outlineLevel="1" collapsed="1"/>
    <col min="146" max="146" width="1.140625" customWidth="1" outlineLevel="1"/>
    <col min="147" max="150" width="7.85546875" hidden="1" customWidth="1" outlineLevel="2"/>
    <col min="151" max="151" width="7.85546875" customWidth="1" outlineLevel="1" collapsed="1"/>
    <col min="152" max="152" width="1.140625" customWidth="1" outlineLevel="1"/>
    <col min="153" max="153" width="7.85546875" customWidth="1" outlineLevel="2"/>
    <col min="154" max="154" width="9.5703125" customWidth="1" outlineLevel="2"/>
    <col min="155" max="156" width="7.85546875" customWidth="1" outlineLevel="2"/>
    <col min="157" max="157" width="7.85546875" customWidth="1" outlineLevel="1"/>
    <col min="158" max="158" width="1.140625" customWidth="1" outlineLevel="1"/>
    <col min="159" max="162" width="7.85546875" customWidth="1" outlineLevel="2"/>
    <col min="163" max="163" width="8.140625" customWidth="1" outlineLevel="1"/>
    <col min="164" max="164" width="1.140625" customWidth="1" outlineLevel="1"/>
    <col min="165" max="168" width="7.85546875" hidden="1" customWidth="1" outlineLevel="2"/>
    <col min="169" max="169" width="8.7109375" customWidth="1" outlineLevel="1" collapsed="1"/>
    <col min="170" max="170" width="0.85546875" customWidth="1"/>
    <col min="171" max="171" width="9.42578125" customWidth="1"/>
    <col min="172" max="173" width="2.42578125" customWidth="1"/>
    <col min="174" max="174" width="36.28515625" customWidth="1" outlineLevel="1"/>
    <col min="175" max="175" width="12.5703125" customWidth="1" outlineLevel="1"/>
    <col min="176" max="177" width="13.42578125" customWidth="1" outlineLevel="1"/>
    <col min="178" max="178" width="18.7109375" customWidth="1" outlineLevel="1"/>
    <col min="179" max="179" width="9.5703125" customWidth="1" outlineLevel="1"/>
    <col min="180" max="180" width="7" customWidth="1"/>
  </cols>
  <sheetData>
    <row r="1" spans="1:274" s="24" customFormat="1" ht="18" customHeight="1" x14ac:dyDescent="0.2">
      <c r="A1" s="193" t="s">
        <v>287</v>
      </c>
      <c r="B1" s="421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194"/>
      <c r="O1" s="422"/>
      <c r="P1" s="26"/>
      <c r="Q1" s="422"/>
      <c r="R1" s="422"/>
      <c r="S1" s="26"/>
      <c r="T1" s="194"/>
      <c r="U1" s="422"/>
      <c r="V1" s="26"/>
      <c r="W1" s="422"/>
      <c r="X1" s="422"/>
      <c r="Y1" s="26"/>
      <c r="Z1" s="194"/>
      <c r="AA1" s="422"/>
      <c r="AB1" s="26"/>
      <c r="AC1" s="422"/>
      <c r="AD1" s="422"/>
      <c r="AE1" s="26"/>
      <c r="AF1" s="194"/>
      <c r="AG1" s="422"/>
      <c r="AH1" s="26"/>
      <c r="AI1" s="422"/>
      <c r="AJ1" s="422"/>
      <c r="AK1" s="26"/>
      <c r="AL1" s="194"/>
      <c r="AM1" s="422"/>
      <c r="AN1" s="26"/>
      <c r="AO1" s="422"/>
      <c r="AP1" s="422"/>
      <c r="AQ1" s="26"/>
      <c r="AR1" s="194"/>
      <c r="AS1" s="26"/>
      <c r="AT1" s="26"/>
      <c r="AU1" s="26"/>
      <c r="AV1" s="26"/>
      <c r="AW1" s="26"/>
      <c r="AX1" s="194"/>
      <c r="AY1" s="26"/>
      <c r="AZ1" s="26"/>
      <c r="BA1" s="26"/>
      <c r="BB1" s="26"/>
      <c r="BC1" s="26"/>
      <c r="BD1" s="194"/>
      <c r="BE1" s="26"/>
      <c r="BF1" s="26"/>
      <c r="BG1" s="26"/>
      <c r="BH1" s="26"/>
      <c r="BI1" s="26"/>
      <c r="BJ1" s="194"/>
      <c r="BK1" s="26"/>
      <c r="BL1" s="26"/>
      <c r="BM1" s="26"/>
      <c r="BN1" s="26"/>
      <c r="BO1" s="26"/>
      <c r="BP1" s="194"/>
      <c r="BQ1" s="423"/>
      <c r="BR1" s="423"/>
      <c r="BS1" s="423"/>
      <c r="BT1" s="423"/>
      <c r="BU1" s="423"/>
      <c r="BV1" s="194"/>
      <c r="BW1" s="93"/>
      <c r="BX1" s="423"/>
      <c r="BY1" s="93"/>
      <c r="BZ1" s="423"/>
      <c r="CA1" s="423"/>
      <c r="CB1" s="194"/>
      <c r="CC1" s="424"/>
      <c r="CD1" s="423"/>
      <c r="CE1" s="423"/>
      <c r="CF1" s="423"/>
      <c r="CG1" s="423"/>
      <c r="CH1" s="194"/>
      <c r="CI1" s="423"/>
      <c r="CJ1" s="423"/>
      <c r="CK1" s="423"/>
      <c r="CL1" s="423"/>
      <c r="CM1" s="423"/>
      <c r="CN1" s="194"/>
      <c r="CO1" s="423"/>
      <c r="CP1" s="423"/>
      <c r="CQ1" s="423"/>
      <c r="CR1" s="423"/>
      <c r="CS1" s="423"/>
      <c r="CT1" s="194"/>
      <c r="CU1" s="423"/>
      <c r="CV1" s="423"/>
      <c r="CW1" s="423"/>
      <c r="CX1" s="423"/>
      <c r="CY1" s="423"/>
      <c r="CZ1" s="194"/>
      <c r="DA1" s="423"/>
      <c r="DB1" s="423"/>
      <c r="DC1" s="423"/>
      <c r="DD1" s="423"/>
      <c r="DE1" s="423"/>
      <c r="DF1" s="194"/>
      <c r="DG1" s="423"/>
      <c r="DH1" s="423"/>
      <c r="DI1" s="423"/>
      <c r="DJ1" s="423"/>
      <c r="DK1" s="423"/>
      <c r="DL1" s="423"/>
      <c r="DM1" s="1686"/>
      <c r="DN1" s="1686"/>
      <c r="DO1" s="1686"/>
      <c r="DP1" s="1686"/>
      <c r="DQ1" s="423"/>
      <c r="DR1" s="423"/>
      <c r="DS1" s="1686"/>
      <c r="DT1" s="1686"/>
      <c r="DU1" s="1686"/>
      <c r="DV1" s="1686"/>
      <c r="DW1" s="423"/>
      <c r="DX1" s="423"/>
      <c r="DY1" s="1686"/>
      <c r="DZ1" s="893"/>
      <c r="EA1" s="893"/>
      <c r="EB1" s="1686"/>
      <c r="EC1" s="423"/>
      <c r="ED1" s="423"/>
      <c r="EE1" s="1686"/>
      <c r="EF1" s="1686"/>
      <c r="EG1" s="893"/>
      <c r="EH1" s="893"/>
      <c r="EI1" s="893"/>
      <c r="EJ1" s="893"/>
      <c r="EK1" s="893"/>
      <c r="EL1" s="893"/>
      <c r="EM1" s="893"/>
      <c r="EN1" s="893"/>
      <c r="EO1" s="893"/>
      <c r="EP1" s="893"/>
      <c r="EQ1" s="1872"/>
      <c r="ER1" s="1872"/>
      <c r="ES1" s="1872"/>
      <c r="ET1" s="1872"/>
      <c r="EU1" s="893"/>
      <c r="EV1" s="893"/>
      <c r="EW1" s="893"/>
      <c r="EX1" s="893"/>
      <c r="EY1" s="893"/>
      <c r="EZ1" s="893"/>
      <c r="FA1" s="893"/>
      <c r="FB1" s="893"/>
      <c r="FC1" s="1766"/>
      <c r="FD1" s="1766"/>
      <c r="FE1" s="1766"/>
      <c r="FF1" s="1766"/>
      <c r="FG1" s="1766"/>
      <c r="FH1" s="1766"/>
      <c r="FI1" s="1766"/>
      <c r="FJ1" s="1766"/>
      <c r="FK1" s="1766"/>
      <c r="FL1" s="1766"/>
      <c r="FM1" s="1766"/>
      <c r="FN1" s="423"/>
      <c r="FO1" s="423"/>
      <c r="FP1" s="423"/>
      <c r="FQ1" s="423"/>
      <c r="FR1"/>
      <c r="FS1"/>
      <c r="FT1"/>
      <c r="FU1"/>
      <c r="FV1"/>
      <c r="FW1"/>
      <c r="FX1" s="200" t="s">
        <v>929</v>
      </c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</row>
    <row r="2" spans="1:274" s="24" customFormat="1" ht="20.25" customHeight="1" x14ac:dyDescent="0.2">
      <c r="A2" s="5" t="s">
        <v>593</v>
      </c>
      <c r="B2" s="20"/>
      <c r="C2" s="425"/>
      <c r="D2" s="425"/>
      <c r="E2" s="425"/>
      <c r="F2" s="425"/>
      <c r="G2" s="425"/>
      <c r="H2" s="425"/>
      <c r="I2" s="425"/>
      <c r="J2" s="425"/>
      <c r="K2" s="425"/>
      <c r="L2" s="425"/>
      <c r="M2" s="425"/>
      <c r="N2" s="7"/>
      <c r="O2" s="425"/>
      <c r="P2" s="425"/>
      <c r="Q2" s="425"/>
      <c r="R2" s="425"/>
      <c r="S2" s="425"/>
      <c r="T2" s="7"/>
      <c r="U2" s="425"/>
      <c r="V2" s="425"/>
      <c r="W2" s="425"/>
      <c r="X2" s="425"/>
      <c r="Y2" s="425"/>
      <c r="Z2" s="7"/>
      <c r="AA2" s="425"/>
      <c r="AB2" s="425"/>
      <c r="AC2" s="425"/>
      <c r="AD2" s="425"/>
      <c r="AE2" s="425"/>
      <c r="AF2" s="7"/>
      <c r="AG2" s="425"/>
      <c r="AH2" s="425"/>
      <c r="AI2" s="425"/>
      <c r="AJ2" s="425"/>
      <c r="AK2" s="425"/>
      <c r="AL2" s="7"/>
      <c r="AM2" s="425"/>
      <c r="AN2" s="425"/>
      <c r="AO2" s="425"/>
      <c r="AP2" s="425"/>
      <c r="AQ2" s="425"/>
      <c r="AR2" s="7"/>
      <c r="AS2" s="426"/>
      <c r="AT2" s="427"/>
      <c r="AU2" s="425"/>
      <c r="AV2" s="427"/>
      <c r="AW2" s="425"/>
      <c r="AX2" s="7"/>
      <c r="AY2" s="426"/>
      <c r="AZ2" s="427"/>
      <c r="BA2" s="425"/>
      <c r="BB2" s="427"/>
      <c r="BC2" s="425"/>
      <c r="BD2" s="7"/>
      <c r="BE2" s="426"/>
      <c r="BF2" s="427"/>
      <c r="BG2" s="425"/>
      <c r="BH2" s="427"/>
      <c r="BI2" s="425"/>
      <c r="BJ2" s="7"/>
      <c r="BK2" s="427"/>
      <c r="BL2" s="427"/>
      <c r="BM2" s="427"/>
      <c r="BN2" s="427"/>
      <c r="BO2" s="427"/>
      <c r="BP2" s="7"/>
      <c r="BQ2" s="389"/>
      <c r="BR2" s="389"/>
      <c r="BS2" s="428"/>
      <c r="BT2" s="389"/>
      <c r="BU2" s="388"/>
      <c r="BV2" s="7"/>
      <c r="BW2" s="429"/>
      <c r="BX2" s="430"/>
      <c r="BY2" s="388"/>
      <c r="BZ2" s="388"/>
      <c r="CA2" s="388"/>
      <c r="CB2" s="7"/>
      <c r="CC2" s="388"/>
      <c r="CD2" s="388"/>
      <c r="CE2" s="388"/>
      <c r="CF2" s="388"/>
      <c r="CG2" s="388"/>
      <c r="CH2" s="7"/>
      <c r="CI2" s="388"/>
      <c r="CJ2" s="388"/>
      <c r="CK2" s="388"/>
      <c r="CL2" s="388"/>
      <c r="CM2" s="388"/>
      <c r="CN2" s="7"/>
      <c r="CO2" s="388"/>
      <c r="CP2" s="388"/>
      <c r="CQ2" s="388"/>
      <c r="CR2" s="431"/>
      <c r="CS2" s="388"/>
      <c r="CT2" s="7"/>
      <c r="CU2" s="388"/>
      <c r="CV2" s="388"/>
      <c r="CW2" s="388"/>
      <c r="CX2" s="388"/>
      <c r="CY2" s="388"/>
      <c r="CZ2" s="7"/>
      <c r="DA2" s="388"/>
      <c r="DB2" s="388"/>
      <c r="DC2" s="388"/>
      <c r="DD2" s="388"/>
      <c r="DE2" s="388"/>
      <c r="DF2" s="7"/>
      <c r="DG2" s="389"/>
      <c r="DH2" s="389"/>
      <c r="DI2" s="389"/>
      <c r="DJ2" s="389"/>
      <c r="DK2" s="389"/>
      <c r="DL2" s="389"/>
      <c r="DM2" s="389"/>
      <c r="DN2" s="389"/>
      <c r="DO2" s="389"/>
      <c r="DP2" s="389"/>
      <c r="DQ2" s="389"/>
      <c r="DR2" s="389"/>
      <c r="DS2" s="389"/>
      <c r="DT2" s="389"/>
      <c r="DU2" s="389"/>
      <c r="DV2" s="389"/>
      <c r="DW2" s="1688"/>
      <c r="DX2" s="389"/>
      <c r="DY2" s="389"/>
      <c r="DZ2" s="389"/>
      <c r="EA2" s="389"/>
      <c r="EB2" s="389"/>
      <c r="EC2" s="1688"/>
      <c r="ED2" s="389"/>
      <c r="EE2" s="389"/>
      <c r="EF2" s="389"/>
      <c r="EG2" s="1688"/>
      <c r="EH2" s="1688"/>
      <c r="EI2" s="389"/>
      <c r="EJ2" s="389"/>
      <c r="EK2" s="389"/>
      <c r="EL2" s="389"/>
      <c r="EM2" s="389"/>
      <c r="EN2" s="389"/>
      <c r="EO2" s="389"/>
      <c r="EP2" s="389"/>
      <c r="EQ2" s="389"/>
      <c r="ER2" s="389"/>
      <c r="ES2" s="389"/>
      <c r="ET2" s="389"/>
      <c r="EU2" s="389"/>
      <c r="EV2" s="389"/>
      <c r="EW2" s="389"/>
      <c r="EX2" s="389"/>
      <c r="EY2" s="389"/>
      <c r="EZ2" s="389"/>
      <c r="FA2" s="389"/>
      <c r="FB2" s="389"/>
      <c r="FC2" s="389"/>
      <c r="FD2" s="389"/>
      <c r="FE2" s="389"/>
      <c r="FF2" s="389"/>
      <c r="FG2" s="389"/>
      <c r="FH2" s="389"/>
      <c r="FI2" s="389"/>
      <c r="FJ2" s="389"/>
      <c r="FK2" s="389"/>
      <c r="FL2" s="389"/>
      <c r="FM2" s="389"/>
      <c r="FN2" s="388"/>
      <c r="FO2" s="388"/>
      <c r="FP2" s="388"/>
      <c r="FQ2" s="388"/>
      <c r="FR2"/>
      <c r="FS2"/>
      <c r="FT2"/>
      <c r="FU2"/>
      <c r="FV2"/>
      <c r="FW2"/>
      <c r="FX2" s="388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</row>
    <row r="3" spans="1:274" ht="12.75" hidden="1" outlineLevel="1" x14ac:dyDescent="0.2"/>
    <row r="4" spans="1:274" s="1364" customFormat="1" ht="12.75" collapsed="1" x14ac:dyDescent="0.2">
      <c r="A4" s="1221" t="s">
        <v>408</v>
      </c>
      <c r="B4" s="1225"/>
      <c r="C4" s="1390"/>
      <c r="D4" s="1390"/>
      <c r="E4" s="1390"/>
      <c r="F4" s="1390"/>
      <c r="G4" s="1390"/>
      <c r="H4" s="1390"/>
      <c r="I4" s="1390"/>
      <c r="J4" s="1390"/>
      <c r="K4" s="1390"/>
      <c r="L4" s="1390"/>
      <c r="M4" s="1390"/>
      <c r="N4" s="1226"/>
      <c r="O4" s="1391"/>
      <c r="P4" s="1391"/>
      <c r="Q4" s="1391"/>
      <c r="R4" s="1391"/>
      <c r="S4" s="1390"/>
      <c r="T4" s="1226"/>
      <c r="U4" s="1391"/>
      <c r="V4" s="1391"/>
      <c r="W4" s="1391"/>
      <c r="X4" s="1391"/>
      <c r="Y4" s="1390"/>
      <c r="Z4" s="1226"/>
      <c r="AA4" s="1391"/>
      <c r="AB4" s="1391"/>
      <c r="AC4" s="1391"/>
      <c r="AD4" s="1391"/>
      <c r="AE4" s="1390"/>
      <c r="AF4" s="1226"/>
      <c r="AG4" s="1391"/>
      <c r="AH4" s="1391"/>
      <c r="AI4" s="1391"/>
      <c r="AJ4" s="1391"/>
      <c r="AK4" s="1390"/>
      <c r="AL4" s="1226"/>
      <c r="AM4" s="1391"/>
      <c r="AN4" s="1391"/>
      <c r="AO4" s="1391"/>
      <c r="AP4" s="1391"/>
      <c r="AQ4" s="1390"/>
      <c r="AR4" s="1226"/>
      <c r="AS4" s="1391"/>
      <c r="AT4" s="1391"/>
      <c r="AU4" s="1391"/>
      <c r="AV4" s="1391"/>
      <c r="AW4" s="1390"/>
      <c r="AX4" s="1226"/>
      <c r="AY4" s="1391"/>
      <c r="AZ4" s="1391"/>
      <c r="BA4" s="1391"/>
      <c r="BB4" s="1391"/>
      <c r="BC4" s="1390"/>
      <c r="BD4" s="1226"/>
      <c r="BE4" s="1391"/>
      <c r="BF4" s="1391"/>
      <c r="BG4" s="1391"/>
      <c r="BH4" s="1391"/>
      <c r="BI4" s="1390"/>
      <c r="BJ4" s="1226"/>
      <c r="BK4" s="1390"/>
      <c r="BL4" s="1390"/>
      <c r="BM4" s="1390"/>
      <c r="BN4" s="1390"/>
      <c r="BO4" s="1390"/>
      <c r="BP4" s="1226"/>
      <c r="BQ4" s="1225"/>
      <c r="BR4" s="1382"/>
      <c r="BS4" s="1382"/>
      <c r="BT4" s="1225"/>
      <c r="BU4" s="1225"/>
      <c r="BV4" s="1226"/>
      <c r="BW4" s="1225"/>
      <c r="BX4" s="1225"/>
      <c r="BY4" s="1225"/>
      <c r="BZ4" s="1225"/>
      <c r="CA4" s="1225"/>
      <c r="CB4" s="1226"/>
      <c r="CC4" s="1225"/>
      <c r="CD4" s="1225"/>
      <c r="CE4" s="1225"/>
      <c r="CF4" s="1225"/>
      <c r="CG4" s="1225"/>
      <c r="CH4" s="1226"/>
      <c r="CI4" s="1225"/>
      <c r="CJ4" s="1225"/>
      <c r="CK4" s="1225"/>
      <c r="CL4" s="1225"/>
      <c r="CM4" s="1225"/>
      <c r="CN4" s="1226"/>
      <c r="CO4" s="1225"/>
      <c r="CP4" s="1225"/>
      <c r="CQ4" s="1225"/>
      <c r="CR4" s="1225"/>
      <c r="CS4" s="1225"/>
      <c r="CT4" s="1392"/>
      <c r="CU4" s="1225"/>
      <c r="CV4" s="1225"/>
      <c r="CW4" s="1225"/>
      <c r="CX4" s="1225"/>
      <c r="CY4" s="1225"/>
      <c r="CZ4" s="1392"/>
      <c r="DA4" s="1225"/>
      <c r="DB4" s="1225"/>
      <c r="DC4" s="1225"/>
      <c r="DD4" s="1225"/>
      <c r="DE4" s="1393"/>
      <c r="DF4" s="1392"/>
      <c r="DG4" s="1225"/>
      <c r="DH4" s="1225"/>
      <c r="DI4" s="1225"/>
      <c r="DJ4" s="1225"/>
      <c r="DK4" s="1393"/>
      <c r="DL4" s="1393"/>
      <c r="DM4" s="1393"/>
      <c r="DN4" s="1393"/>
      <c r="DO4" s="1393"/>
      <c r="DP4" s="1393"/>
      <c r="DQ4" s="1393"/>
      <c r="DR4" s="1393"/>
      <c r="DS4" s="1393"/>
      <c r="DT4" s="1393"/>
      <c r="DU4" s="1393"/>
      <c r="DV4" s="1393"/>
      <c r="DW4" s="1393"/>
      <c r="DX4" s="1393"/>
      <c r="DY4" s="1393"/>
      <c r="DZ4" s="1393"/>
      <c r="EA4" s="1393"/>
      <c r="EB4" s="1393"/>
      <c r="EC4" s="1393"/>
      <c r="ED4" s="1393"/>
      <c r="EE4" s="1393"/>
      <c r="EF4" s="1393"/>
      <c r="EG4" s="1393"/>
      <c r="EH4" s="1393"/>
      <c r="EI4" s="1393"/>
      <c r="EJ4" s="1393"/>
      <c r="EK4" s="1393"/>
      <c r="EL4" s="1393"/>
      <c r="EM4" s="1393"/>
      <c r="EN4" s="1393"/>
      <c r="EO4" s="1393"/>
      <c r="EP4" s="1393"/>
      <c r="EQ4" s="1393"/>
      <c r="ER4" s="1393"/>
      <c r="ES4" s="1393"/>
      <c r="ET4" s="1393"/>
      <c r="EU4" s="1393"/>
      <c r="EV4" s="1393"/>
      <c r="EW4" s="1393"/>
      <c r="EX4" s="1393"/>
      <c r="EY4" s="1393"/>
      <c r="EZ4" s="1393"/>
      <c r="FA4" s="1393"/>
      <c r="FB4" s="1393"/>
      <c r="FC4" s="1393"/>
      <c r="FD4" s="1393"/>
      <c r="FE4" s="1393"/>
      <c r="FF4" s="1393"/>
      <c r="FG4" s="1393"/>
      <c r="FH4" s="1393"/>
      <c r="FI4" s="1393"/>
      <c r="FJ4" s="1393"/>
      <c r="FK4" s="1393"/>
      <c r="FL4" s="1393"/>
      <c r="FM4" s="1393"/>
      <c r="FN4" s="1227"/>
      <c r="FO4" s="1227"/>
      <c r="FP4" s="1227"/>
      <c r="FQ4" s="1227"/>
      <c r="FR4"/>
      <c r="FS4"/>
      <c r="FT4"/>
      <c r="FU4"/>
      <c r="FV4"/>
      <c r="FW4"/>
      <c r="FX4" s="1227"/>
      <c r="FY4" s="1397"/>
      <c r="FZ4" s="1397"/>
      <c r="GA4" s="1397"/>
      <c r="GB4" s="1397"/>
      <c r="GC4" s="1397"/>
      <c r="GD4" s="1397"/>
      <c r="GE4" s="1397"/>
      <c r="GF4" s="1397"/>
      <c r="GG4" s="1397"/>
      <c r="GH4" s="1397"/>
      <c r="GI4" s="1397"/>
      <c r="GJ4" s="1397"/>
      <c r="GK4" s="1397"/>
      <c r="GL4" s="1397"/>
      <c r="GM4" s="1397"/>
      <c r="GN4" s="1397"/>
      <c r="GO4" s="1397"/>
      <c r="GP4" s="1397"/>
      <c r="GQ4" s="1397"/>
      <c r="GR4" s="1397"/>
      <c r="GS4" s="1397"/>
      <c r="GT4" s="1397"/>
      <c r="GU4" s="1397"/>
      <c r="GV4" s="1397"/>
      <c r="GW4" s="1397"/>
      <c r="GX4" s="1397"/>
      <c r="GY4" s="1397"/>
      <c r="GZ4" s="1397"/>
      <c r="HA4" s="1397"/>
      <c r="HB4" s="1397"/>
      <c r="HC4" s="1397"/>
      <c r="HD4" s="1397"/>
      <c r="HE4" s="1397"/>
      <c r="HF4" s="1397"/>
      <c r="HG4" s="1397"/>
      <c r="HH4" s="1397"/>
      <c r="HI4" s="1397"/>
      <c r="HJ4" s="1397"/>
      <c r="HK4" s="1397"/>
      <c r="HL4" s="1397"/>
      <c r="HM4" s="1397"/>
      <c r="HN4" s="1397"/>
      <c r="HO4" s="1397"/>
      <c r="HP4" s="1397"/>
      <c r="HQ4" s="1397"/>
      <c r="HR4" s="1397"/>
      <c r="HS4" s="1397"/>
      <c r="HT4" s="1397"/>
      <c r="HU4" s="1397"/>
      <c r="HV4" s="1397"/>
      <c r="HW4" s="1397"/>
      <c r="HX4" s="1397"/>
      <c r="HY4" s="1397"/>
      <c r="HZ4" s="1397"/>
      <c r="IA4" s="1397"/>
      <c r="IB4" s="1397"/>
      <c r="IC4" s="1397"/>
      <c r="ID4" s="1397"/>
      <c r="IE4" s="1397"/>
      <c r="IF4" s="1397"/>
      <c r="IG4" s="1397"/>
      <c r="IH4" s="1397"/>
      <c r="II4" s="1397"/>
      <c r="IJ4" s="1397"/>
      <c r="IK4" s="1397"/>
      <c r="IL4" s="1397"/>
      <c r="IM4" s="1397"/>
      <c r="IN4" s="1397"/>
      <c r="IO4" s="1397"/>
      <c r="IP4" s="1397"/>
      <c r="IQ4" s="1397"/>
      <c r="IR4" s="1397"/>
      <c r="IS4" s="1397"/>
      <c r="IT4" s="1397"/>
      <c r="IU4" s="1397"/>
      <c r="IV4" s="1397"/>
      <c r="IW4" s="1397"/>
      <c r="IX4" s="1397"/>
      <c r="IY4" s="1397"/>
      <c r="IZ4" s="1397"/>
      <c r="JA4" s="1397"/>
      <c r="JB4" s="1397"/>
      <c r="JC4" s="1397"/>
      <c r="JD4" s="1397"/>
      <c r="JE4" s="1397"/>
      <c r="JF4" s="1397"/>
      <c r="JG4" s="1397"/>
      <c r="JH4" s="1397"/>
      <c r="JI4" s="1397"/>
      <c r="JJ4" s="1397"/>
      <c r="JK4" s="1397"/>
      <c r="JL4" s="1397"/>
      <c r="JM4" s="1397"/>
      <c r="JN4" s="1397"/>
    </row>
    <row r="5" spans="1:274" s="1364" customFormat="1" ht="10.5" customHeight="1" x14ac:dyDescent="0.2">
      <c r="A5" s="1221"/>
      <c r="B5" s="1225"/>
      <c r="C5" s="1224" t="str">
        <f>Model!C6</f>
        <v>Full Year History Only</v>
      </c>
      <c r="D5" s="1224"/>
      <c r="E5" s="1224"/>
      <c r="F5" s="1224"/>
      <c r="G5" s="1224"/>
      <c r="H5" s="1224"/>
      <c r="I5" s="1224"/>
      <c r="J5" s="1224"/>
      <c r="K5" s="1224"/>
      <c r="L5" s="1224"/>
      <c r="M5" s="1224"/>
      <c r="N5" s="1223"/>
      <c r="O5" s="1222" t="str">
        <f>Model!O6</f>
        <v>F1995</v>
      </c>
      <c r="P5" s="1224"/>
      <c r="Q5" s="1224"/>
      <c r="R5" s="1224"/>
      <c r="S5" s="1224"/>
      <c r="T5" s="1223"/>
      <c r="U5" s="1222" t="str">
        <f>Model!U6</f>
        <v>F1996</v>
      </c>
      <c r="V5" s="1224"/>
      <c r="W5" s="1224"/>
      <c r="X5" s="1224"/>
      <c r="Y5" s="1224"/>
      <c r="Z5" s="1223"/>
      <c r="AA5" s="1222" t="str">
        <f>Model!AA6</f>
        <v>F1997</v>
      </c>
      <c r="AB5" s="1224"/>
      <c r="AC5" s="1224"/>
      <c r="AD5" s="1224"/>
      <c r="AE5" s="1224"/>
      <c r="AF5" s="1223"/>
      <c r="AG5" s="1222" t="str">
        <f>Model!AG6</f>
        <v>F1998</v>
      </c>
      <c r="AH5" s="1224"/>
      <c r="AI5" s="1224"/>
      <c r="AJ5" s="1224"/>
      <c r="AK5" s="1224"/>
      <c r="AL5" s="1223"/>
      <c r="AM5" s="1222" t="str">
        <f>Model!AM6</f>
        <v>F1999</v>
      </c>
      <c r="AN5" s="1224"/>
      <c r="AO5" s="1224"/>
      <c r="AP5" s="1224"/>
      <c r="AQ5" s="1224"/>
      <c r="AR5" s="1223"/>
      <c r="AS5" s="1222" t="str">
        <f>Model!AS6</f>
        <v>F2000</v>
      </c>
      <c r="AT5" s="1224"/>
      <c r="AU5" s="1224"/>
      <c r="AV5" s="1224"/>
      <c r="AW5" s="1224"/>
      <c r="AX5" s="1223"/>
      <c r="AY5" s="1222" t="str">
        <f>Model!AY6</f>
        <v>F2001</v>
      </c>
      <c r="AZ5" s="1224"/>
      <c r="BA5" s="1224"/>
      <c r="BB5" s="1224"/>
      <c r="BC5" s="1224"/>
      <c r="BD5" s="1223"/>
      <c r="BE5" s="1222" t="str">
        <f>Model!BE6</f>
        <v>F2002</v>
      </c>
      <c r="BF5" s="1224"/>
      <c r="BG5" s="1224"/>
      <c r="BH5" s="1224"/>
      <c r="BI5" s="1224"/>
      <c r="BJ5" s="1223"/>
      <c r="BK5" s="1222" t="str">
        <f>Model!BK6</f>
        <v>F2003</v>
      </c>
      <c r="BL5" s="1224"/>
      <c r="BM5" s="1224"/>
      <c r="BN5" s="1224"/>
      <c r="BO5" s="1224"/>
      <c r="BP5" s="1223"/>
      <c r="BQ5" s="1222" t="str">
        <f>Model!BQ6</f>
        <v>F2004</v>
      </c>
      <c r="BR5" s="1224"/>
      <c r="BS5" s="1224"/>
      <c r="BT5" s="1224"/>
      <c r="BU5" s="1224"/>
      <c r="BV5" s="1223"/>
      <c r="BW5" s="1222" t="str">
        <f>Model!BW6</f>
        <v>F2005</v>
      </c>
      <c r="BX5" s="1224"/>
      <c r="BY5" s="1224"/>
      <c r="BZ5" s="1224"/>
      <c r="CA5" s="1224"/>
      <c r="CB5" s="1223"/>
      <c r="CC5" s="1222" t="str">
        <f>Model!CC6</f>
        <v>F2006</v>
      </c>
      <c r="CD5" s="1224"/>
      <c r="CE5" s="1224"/>
      <c r="CF5" s="1224"/>
      <c r="CG5" s="1224"/>
      <c r="CH5" s="1223"/>
      <c r="CI5" s="1222" t="str">
        <f>Model!CI6</f>
        <v>F2007</v>
      </c>
      <c r="CJ5" s="1224"/>
      <c r="CK5" s="1224"/>
      <c r="CL5" s="1224"/>
      <c r="CM5" s="1224"/>
      <c r="CN5" s="1223"/>
      <c r="CO5" s="1222" t="str">
        <f>Model!CO6</f>
        <v>F2008</v>
      </c>
      <c r="CP5" s="1224"/>
      <c r="CQ5" s="1224"/>
      <c r="CR5" s="1224"/>
      <c r="CS5" s="1224"/>
      <c r="CT5" s="1223"/>
      <c r="CU5" s="1222" t="str">
        <f>Model!CU6</f>
        <v>F2009</v>
      </c>
      <c r="CV5" s="1224"/>
      <c r="CW5" s="1224"/>
      <c r="CX5" s="1224"/>
      <c r="CY5" s="1238"/>
      <c r="CZ5" s="1236"/>
      <c r="DA5" s="1237" t="str">
        <f>Model!DA6</f>
        <v>F2010</v>
      </c>
      <c r="DB5" s="1238"/>
      <c r="DC5" s="1238"/>
      <c r="DD5" s="1238"/>
      <c r="DE5" s="1239"/>
      <c r="DF5" s="1236"/>
      <c r="DG5" s="1237" t="str">
        <f>Model!DG6</f>
        <v>F2011</v>
      </c>
      <c r="DH5" s="1238"/>
      <c r="DI5" s="1238"/>
      <c r="DJ5" s="1238"/>
      <c r="DK5" s="1239"/>
      <c r="DL5" s="1240"/>
      <c r="DM5" s="1237" t="str">
        <f>Model!DM6</f>
        <v>F2012</v>
      </c>
      <c r="DN5" s="1238"/>
      <c r="DO5" s="1238"/>
      <c r="DP5" s="1238"/>
      <c r="DQ5" s="1239"/>
      <c r="DR5" s="1240"/>
      <c r="DS5" s="1237" t="str">
        <f>Model!DS6</f>
        <v>F2013</v>
      </c>
      <c r="DT5" s="1238"/>
      <c r="DU5" s="1238"/>
      <c r="DV5" s="1238"/>
      <c r="DW5" s="1238"/>
      <c r="DX5" s="1240"/>
      <c r="DY5" s="1237" t="str">
        <f>Model!DY6</f>
        <v>F2014</v>
      </c>
      <c r="DZ5" s="1238"/>
      <c r="EA5" s="1238"/>
      <c r="EB5" s="1238"/>
      <c r="EC5" s="1238"/>
      <c r="ED5" s="1240"/>
      <c r="EE5" s="1237" t="str">
        <f>Model!EE6</f>
        <v>F2015</v>
      </c>
      <c r="EF5" s="1238"/>
      <c r="EG5" s="1238"/>
      <c r="EH5" s="1238"/>
      <c r="EI5" s="1238"/>
      <c r="EJ5" s="1240"/>
      <c r="EK5" s="1237" t="str">
        <f>Model!EK6</f>
        <v>F2016</v>
      </c>
      <c r="EL5" s="1238"/>
      <c r="EM5" s="1238"/>
      <c r="EN5" s="1238"/>
      <c r="EO5" s="1238"/>
      <c r="EP5" s="1240"/>
      <c r="EQ5" s="1237" t="str">
        <f>Model!EQ6</f>
        <v>F2017</v>
      </c>
      <c r="ER5" s="1238"/>
      <c r="ES5" s="1238"/>
      <c r="ET5" s="1238"/>
      <c r="EU5" s="1238"/>
      <c r="EV5" s="1240"/>
      <c r="EW5" s="1237" t="str">
        <f>Model!EW6</f>
        <v>F2018E</v>
      </c>
      <c r="EX5" s="1238"/>
      <c r="EY5" s="1238"/>
      <c r="EZ5" s="1238"/>
      <c r="FA5" s="1238"/>
      <c r="FB5" s="1240"/>
      <c r="FC5" s="1237" t="str">
        <f>Model!FC6</f>
        <v>F2019E</v>
      </c>
      <c r="FD5" s="1238"/>
      <c r="FE5" s="1238"/>
      <c r="FF5" s="1238"/>
      <c r="FG5" s="1238"/>
      <c r="FH5" s="1240"/>
      <c r="FI5" s="1237" t="str">
        <f>Model!FI6</f>
        <v>F2020E</v>
      </c>
      <c r="FJ5" s="1238"/>
      <c r="FK5" s="1238"/>
      <c r="FL5" s="1238"/>
      <c r="FM5" s="1238"/>
      <c r="FN5" s="1398"/>
      <c r="FO5" s="1227"/>
      <c r="FP5" s="1227"/>
      <c r="FQ5" s="1227"/>
      <c r="FR5"/>
      <c r="FS5"/>
      <c r="FT5"/>
      <c r="FU5"/>
      <c r="FV5"/>
      <c r="FW5"/>
      <c r="FX5" s="1227"/>
      <c r="FY5" s="1397"/>
      <c r="FZ5" s="1397"/>
      <c r="GA5" s="1397"/>
      <c r="GB5" s="1397"/>
      <c r="GC5" s="1397"/>
      <c r="GD5" s="1397"/>
      <c r="GE5" s="1397"/>
      <c r="GF5" s="1397"/>
      <c r="GG5" s="1397"/>
      <c r="GH5" s="1397"/>
      <c r="GI5" s="1397"/>
      <c r="GJ5" s="1397"/>
      <c r="GK5" s="1397"/>
      <c r="GL5" s="1397"/>
      <c r="GM5" s="1397"/>
      <c r="GN5" s="1397"/>
      <c r="GO5" s="1397"/>
      <c r="GP5" s="1397"/>
      <c r="GQ5" s="1397"/>
      <c r="GR5" s="1397"/>
      <c r="GS5" s="1397"/>
      <c r="GT5" s="1397"/>
      <c r="GU5" s="1397"/>
      <c r="GV5" s="1397"/>
      <c r="GW5" s="1397"/>
      <c r="GX5" s="1397"/>
      <c r="GY5" s="1397"/>
      <c r="GZ5" s="1397"/>
      <c r="HA5" s="1397"/>
      <c r="HB5" s="1397"/>
      <c r="HC5" s="1397"/>
      <c r="HD5" s="1397"/>
      <c r="HE5" s="1397"/>
      <c r="HF5" s="1397"/>
      <c r="HG5" s="1397"/>
      <c r="HH5" s="1397"/>
      <c r="HI5" s="1397"/>
      <c r="HJ5" s="1397"/>
      <c r="HK5" s="1397"/>
      <c r="HL5" s="1397"/>
      <c r="HM5" s="1397"/>
      <c r="HN5" s="1397"/>
      <c r="HO5" s="1397"/>
      <c r="HP5" s="1397"/>
      <c r="HQ5" s="1397"/>
      <c r="HR5" s="1397"/>
      <c r="HS5" s="1397"/>
      <c r="HT5" s="1397"/>
      <c r="HU5" s="1397"/>
      <c r="HV5" s="1397"/>
      <c r="HW5" s="1397"/>
      <c r="HX5" s="1397"/>
      <c r="HY5" s="1397"/>
      <c r="HZ5" s="1397"/>
      <c r="IA5" s="1397"/>
      <c r="IB5" s="1397"/>
      <c r="IC5" s="1397"/>
      <c r="ID5" s="1397"/>
      <c r="IE5" s="1397"/>
      <c r="IF5" s="1397"/>
      <c r="IG5" s="1397"/>
      <c r="IH5" s="1397"/>
      <c r="II5" s="1397"/>
      <c r="IJ5" s="1397"/>
      <c r="IK5" s="1397"/>
      <c r="IL5" s="1397"/>
      <c r="IM5" s="1397"/>
      <c r="IN5" s="1397"/>
      <c r="IO5" s="1397"/>
      <c r="IP5" s="1397"/>
      <c r="IQ5" s="1397"/>
      <c r="IR5" s="1397"/>
      <c r="IS5" s="1397"/>
      <c r="IT5" s="1397"/>
      <c r="IU5" s="1397"/>
      <c r="IV5" s="1397"/>
      <c r="IW5" s="1397"/>
      <c r="IX5" s="1397"/>
      <c r="IY5" s="1397"/>
      <c r="IZ5" s="1397"/>
      <c r="JA5" s="1397"/>
      <c r="JB5" s="1397"/>
      <c r="JC5" s="1397"/>
      <c r="JD5" s="1397"/>
      <c r="JE5" s="1397"/>
      <c r="JF5" s="1397"/>
      <c r="JG5" s="1397"/>
      <c r="JH5" s="1397"/>
      <c r="JI5" s="1397"/>
      <c r="JJ5" s="1397"/>
      <c r="JK5" s="1397"/>
      <c r="JL5" s="1397"/>
      <c r="JM5" s="1397"/>
      <c r="JN5" s="1397"/>
    </row>
    <row r="6" spans="1:274" s="1364" customFormat="1" ht="10.5" customHeight="1" x14ac:dyDescent="0.2">
      <c r="A6" s="1394"/>
      <c r="B6" s="1395"/>
      <c r="C6" s="1396" t="str">
        <f>Model!C7</f>
        <v>FY84</v>
      </c>
      <c r="D6" s="1396" t="str">
        <f>Model!D7</f>
        <v>FY85</v>
      </c>
      <c r="E6" s="1396" t="str">
        <f>Model!E7</f>
        <v>FY86</v>
      </c>
      <c r="F6" s="1396" t="str">
        <f>Model!F7</f>
        <v>FY87</v>
      </c>
      <c r="G6" s="1396" t="str">
        <f>Model!G7</f>
        <v>FY88</v>
      </c>
      <c r="H6" s="1396" t="str">
        <f>Model!H7</f>
        <v>FY89</v>
      </c>
      <c r="I6" s="1396" t="str">
        <f>Model!I7</f>
        <v>FY90</v>
      </c>
      <c r="J6" s="1396" t="str">
        <f>Model!J7</f>
        <v>FY91</v>
      </c>
      <c r="K6" s="1396" t="str">
        <f>Model!K7</f>
        <v>FY92</v>
      </c>
      <c r="L6" s="1396" t="str">
        <f>Model!L7</f>
        <v>FY93</v>
      </c>
      <c r="M6" s="1396" t="str">
        <f>Model!M7</f>
        <v>FY94</v>
      </c>
      <c r="N6" s="1396"/>
      <c r="O6" s="1396" t="str">
        <f>Model!O7</f>
        <v xml:space="preserve"> 8/94</v>
      </c>
      <c r="P6" s="1396" t="str">
        <f>Model!P7</f>
        <v xml:space="preserve"> 11/94</v>
      </c>
      <c r="Q6" s="1396" t="str">
        <f>Model!Q7</f>
        <v xml:space="preserve"> 2/95</v>
      </c>
      <c r="R6" s="1396" t="str">
        <f>Model!R7</f>
        <v>5/95</v>
      </c>
      <c r="S6" s="1396" t="str">
        <f>Model!S7</f>
        <v>FY95</v>
      </c>
      <c r="T6" s="1396"/>
      <c r="U6" s="1396" t="str">
        <f>Model!U7</f>
        <v xml:space="preserve"> 8/95</v>
      </c>
      <c r="V6" s="1396" t="str">
        <f>Model!V7</f>
        <v xml:space="preserve"> 11/95</v>
      </c>
      <c r="W6" s="1396" t="str">
        <f>Model!W7</f>
        <v xml:space="preserve"> 2/96</v>
      </c>
      <c r="X6" s="1396" t="str">
        <f>Model!X7</f>
        <v>5/96</v>
      </c>
      <c r="Y6" s="1396" t="str">
        <f>Model!Y7</f>
        <v>FY96</v>
      </c>
      <c r="Z6" s="1396"/>
      <c r="AA6" s="1396" t="str">
        <f>Model!AA7</f>
        <v xml:space="preserve"> 8/96</v>
      </c>
      <c r="AB6" s="1396" t="str">
        <f>Model!AB7</f>
        <v xml:space="preserve"> 11/96</v>
      </c>
      <c r="AC6" s="1396" t="str">
        <f>Model!AC7</f>
        <v xml:space="preserve"> 2/97</v>
      </c>
      <c r="AD6" s="1396" t="str">
        <f>Model!AD7</f>
        <v>5/97</v>
      </c>
      <c r="AE6" s="1396" t="str">
        <f>Model!AE7</f>
        <v>FY97</v>
      </c>
      <c r="AF6" s="1396"/>
      <c r="AG6" s="1396" t="str">
        <f>Model!AG7</f>
        <v xml:space="preserve"> 8/97</v>
      </c>
      <c r="AH6" s="1396" t="str">
        <f>Model!AH7</f>
        <v xml:space="preserve"> 11/97</v>
      </c>
      <c r="AI6" s="1396" t="str">
        <f>Model!AI7</f>
        <v xml:space="preserve"> 2/98</v>
      </c>
      <c r="AJ6" s="1396" t="str">
        <f>Model!AJ7</f>
        <v>5/98</v>
      </c>
      <c r="AK6" s="1396" t="str">
        <f>Model!AK7</f>
        <v>FY98</v>
      </c>
      <c r="AL6" s="1396"/>
      <c r="AM6" s="1396" t="str">
        <f>Model!AM7</f>
        <v xml:space="preserve"> 8/98</v>
      </c>
      <c r="AN6" s="1396" t="str">
        <f>Model!AN7</f>
        <v xml:space="preserve"> 11/98</v>
      </c>
      <c r="AO6" s="1396" t="str">
        <f>Model!AO7</f>
        <v xml:space="preserve"> 2/99</v>
      </c>
      <c r="AP6" s="1396" t="str">
        <f>Model!AP7</f>
        <v>5/99</v>
      </c>
      <c r="AQ6" s="1396" t="str">
        <f>Model!AQ7</f>
        <v>FY99</v>
      </c>
      <c r="AR6" s="1396"/>
      <c r="AS6" s="1396" t="str">
        <f>Model!AS7</f>
        <v xml:space="preserve"> 8/99</v>
      </c>
      <c r="AT6" s="1396" t="str">
        <f>Model!AT7</f>
        <v xml:space="preserve"> 11/99</v>
      </c>
      <c r="AU6" s="1396" t="str">
        <f>Model!AU7</f>
        <v xml:space="preserve"> 2/00</v>
      </c>
      <c r="AV6" s="1396" t="str">
        <f>Model!AV7</f>
        <v>5/00</v>
      </c>
      <c r="AW6" s="1396" t="str">
        <f>Model!AW7</f>
        <v>FY00</v>
      </c>
      <c r="AX6" s="1396"/>
      <c r="AY6" s="1396" t="str">
        <f>Model!AY7</f>
        <v xml:space="preserve"> 8/00</v>
      </c>
      <c r="AZ6" s="1396" t="str">
        <f>Model!AZ7</f>
        <v xml:space="preserve"> 11/00</v>
      </c>
      <c r="BA6" s="1396" t="str">
        <f>Model!BA7</f>
        <v xml:space="preserve"> 2/01</v>
      </c>
      <c r="BB6" s="1396" t="str">
        <f>Model!BB7</f>
        <v>5/01</v>
      </c>
      <c r="BC6" s="1396" t="str">
        <f>Model!BC7</f>
        <v>FY01</v>
      </c>
      <c r="BD6" s="1396"/>
      <c r="BE6" s="1396" t="str">
        <f>Model!BE7</f>
        <v xml:space="preserve"> 8/01</v>
      </c>
      <c r="BF6" s="1396" t="str">
        <f>Model!BF7</f>
        <v xml:space="preserve"> 11/01</v>
      </c>
      <c r="BG6" s="1396" t="str">
        <f>Model!BG7</f>
        <v xml:space="preserve"> 2/02</v>
      </c>
      <c r="BH6" s="1396" t="str">
        <f>Model!BH7</f>
        <v>5/02</v>
      </c>
      <c r="BI6" s="1396" t="str">
        <f>Model!BI7</f>
        <v>FY02</v>
      </c>
      <c r="BJ6" s="1396"/>
      <c r="BK6" s="1396" t="str">
        <f>Model!BK7</f>
        <v xml:space="preserve"> 8/02</v>
      </c>
      <c r="BL6" s="1396" t="str">
        <f>Model!BL7</f>
        <v xml:space="preserve"> 11/02</v>
      </c>
      <c r="BM6" s="1396" t="str">
        <f>Model!BM7</f>
        <v xml:space="preserve"> 2/03</v>
      </c>
      <c r="BN6" s="1396" t="str">
        <f>Model!BN7</f>
        <v>5/03</v>
      </c>
      <c r="BO6" s="1396" t="str">
        <f>Model!BO7</f>
        <v>FY03</v>
      </c>
      <c r="BP6" s="1396"/>
      <c r="BQ6" s="1396" t="str">
        <f>Model!BQ7</f>
        <v xml:space="preserve"> 8/03</v>
      </c>
      <c r="BR6" s="1396" t="str">
        <f>Model!BR7</f>
        <v xml:space="preserve"> 11/03</v>
      </c>
      <c r="BS6" s="1396" t="str">
        <f>Model!BS7</f>
        <v xml:space="preserve"> 2/04</v>
      </c>
      <c r="BT6" s="1396" t="str">
        <f>Model!BT7</f>
        <v>5/04</v>
      </c>
      <c r="BU6" s="1396" t="str">
        <f>Model!BU7</f>
        <v>FY04</v>
      </c>
      <c r="BV6" s="1396"/>
      <c r="BW6" s="1396" t="str">
        <f>Model!BW7</f>
        <v xml:space="preserve"> 8/04</v>
      </c>
      <c r="BX6" s="1396" t="str">
        <f>Model!BX7</f>
        <v xml:space="preserve"> 11/04</v>
      </c>
      <c r="BY6" s="1396" t="str">
        <f>Model!BY7</f>
        <v xml:space="preserve"> 2/05</v>
      </c>
      <c r="BZ6" s="1396" t="str">
        <f>Model!BZ7</f>
        <v>5/05</v>
      </c>
      <c r="CA6" s="1396" t="str">
        <f>Model!CA7</f>
        <v>FY05</v>
      </c>
      <c r="CB6" s="1396"/>
      <c r="CC6" s="1396" t="str">
        <f>Model!CC7</f>
        <v xml:space="preserve"> 8/05</v>
      </c>
      <c r="CD6" s="1396" t="str">
        <f>Model!CD7</f>
        <v xml:space="preserve"> 11/05</v>
      </c>
      <c r="CE6" s="1396" t="str">
        <f>Model!CE7</f>
        <v xml:space="preserve"> 2/06</v>
      </c>
      <c r="CF6" s="1396" t="str">
        <f>Model!CF7</f>
        <v>5/06</v>
      </c>
      <c r="CG6" s="1396" t="str">
        <f>Model!CG7</f>
        <v>FY06</v>
      </c>
      <c r="CH6" s="1396"/>
      <c r="CI6" s="1396" t="str">
        <f>Model!CI7</f>
        <v xml:space="preserve"> 8/06</v>
      </c>
      <c r="CJ6" s="1396" t="str">
        <f>Model!CJ7</f>
        <v xml:space="preserve"> 11/06</v>
      </c>
      <c r="CK6" s="1396" t="str">
        <f>Model!CK7</f>
        <v xml:space="preserve"> 2/07</v>
      </c>
      <c r="CL6" s="1396" t="str">
        <f>Model!CL7</f>
        <v>5/07</v>
      </c>
      <c r="CM6" s="1396" t="str">
        <f>Model!CM7</f>
        <v>FY07</v>
      </c>
      <c r="CN6" s="1396"/>
      <c r="CO6" s="1396" t="str">
        <f>Model!CO7</f>
        <v xml:space="preserve"> 8/07</v>
      </c>
      <c r="CP6" s="1396" t="str">
        <f>Model!CP7</f>
        <v xml:space="preserve"> 11/07</v>
      </c>
      <c r="CQ6" s="1396" t="str">
        <f>Model!CQ7</f>
        <v xml:space="preserve"> 2/08</v>
      </c>
      <c r="CR6" s="1396" t="str">
        <f>Model!CR7</f>
        <v>5/08</v>
      </c>
      <c r="CS6" s="1396" t="str">
        <f>Model!CS7</f>
        <v>FY08</v>
      </c>
      <c r="CT6" s="1396"/>
      <c r="CU6" s="1230" t="str">
        <f>Model!CU7</f>
        <v xml:space="preserve"> 8/08</v>
      </c>
      <c r="CV6" s="1230" t="str">
        <f>Model!CV7</f>
        <v xml:space="preserve"> 11/08</v>
      </c>
      <c r="CW6" s="1230" t="str">
        <f>Model!CW7</f>
        <v xml:space="preserve"> 2/09</v>
      </c>
      <c r="CX6" s="1230" t="str">
        <f>Model!CX7</f>
        <v>5/09</v>
      </c>
      <c r="CY6" s="1244" t="str">
        <f>Model!CY7</f>
        <v>FY09</v>
      </c>
      <c r="CZ6" s="1261"/>
      <c r="DA6" s="1242" t="str">
        <f>Model!DA7</f>
        <v>8/09</v>
      </c>
      <c r="DB6" s="1242" t="str">
        <f>Model!DB7</f>
        <v>11/09</v>
      </c>
      <c r="DC6" s="1242" t="str">
        <f>Model!DC7</f>
        <v>2/10</v>
      </c>
      <c r="DD6" s="1262" t="str">
        <f>Model!DD7</f>
        <v>5/10</v>
      </c>
      <c r="DE6" s="1244" t="str">
        <f>Model!DE7</f>
        <v>FY10</v>
      </c>
      <c r="DF6" s="1261"/>
      <c r="DG6" s="1242" t="str">
        <f>Model!DG7</f>
        <v>8/10</v>
      </c>
      <c r="DH6" s="1242" t="str">
        <f>Model!DH7</f>
        <v>11/10</v>
      </c>
      <c r="DI6" s="1242" t="str">
        <f>Model!DI7</f>
        <v>2/11</v>
      </c>
      <c r="DJ6" s="1262" t="str">
        <f>Model!DJ7</f>
        <v>5/11</v>
      </c>
      <c r="DK6" s="1244" t="str">
        <f>Model!DK7</f>
        <v>FY11</v>
      </c>
      <c r="DL6" s="1261"/>
      <c r="DM6" s="1242" t="str">
        <f>Model!DM7</f>
        <v>8/11</v>
      </c>
      <c r="DN6" s="1242" t="str">
        <f>Model!DN7</f>
        <v>11/11</v>
      </c>
      <c r="DO6" s="1242" t="str">
        <f>Model!DO7</f>
        <v xml:space="preserve"> 2/12</v>
      </c>
      <c r="DP6" s="1262" t="str">
        <f>Model!DP7</f>
        <v>5/12</v>
      </c>
      <c r="DQ6" s="1244" t="str">
        <f>Model!DQ7</f>
        <v>FY12</v>
      </c>
      <c r="DR6" s="1261"/>
      <c r="DS6" s="1242" t="str">
        <f>Model!DS7</f>
        <v>8/12</v>
      </c>
      <c r="DT6" s="1242" t="str">
        <f>Model!DT7</f>
        <v>11/12</v>
      </c>
      <c r="DU6" s="1242" t="str">
        <f>Model!DU7</f>
        <v xml:space="preserve"> 2/13</v>
      </c>
      <c r="DV6" s="1262" t="str">
        <f>Model!DV7</f>
        <v>5/13</v>
      </c>
      <c r="DW6" s="1260" t="str">
        <f>Model!DW7</f>
        <v>FY13</v>
      </c>
      <c r="DX6" s="1261"/>
      <c r="DY6" s="1242" t="str">
        <f>Model!DY7</f>
        <v>8/13</v>
      </c>
      <c r="DZ6" s="1241" t="str">
        <f>Model!DZ7</f>
        <v>11/13</v>
      </c>
      <c r="EA6" s="1241" t="str">
        <f>Model!EA7</f>
        <v>2/14</v>
      </c>
      <c r="EB6" s="1260" t="str">
        <f>Model!EB7</f>
        <v>5/14</v>
      </c>
      <c r="EC6" s="1244" t="str">
        <f>Model!EC7</f>
        <v>FY14</v>
      </c>
      <c r="ED6" s="1261"/>
      <c r="EE6" s="1242" t="str">
        <f>Model!EE7</f>
        <v>8/14</v>
      </c>
      <c r="EF6" s="1241" t="str">
        <f>Model!EF7</f>
        <v>11/14</v>
      </c>
      <c r="EG6" s="1241" t="str">
        <f>Model!EG7</f>
        <v>2/15</v>
      </c>
      <c r="EH6" s="1260" t="str">
        <f>Model!EH7</f>
        <v>5/15</v>
      </c>
      <c r="EI6" s="1244" t="str">
        <f>Model!EI7</f>
        <v>FY15</v>
      </c>
      <c r="EJ6" s="1261"/>
      <c r="EK6" s="1242" t="str">
        <f>Model!EK7</f>
        <v xml:space="preserve"> 8/15</v>
      </c>
      <c r="EL6" s="1241" t="str">
        <f>Model!EL7</f>
        <v xml:space="preserve"> 11/15</v>
      </c>
      <c r="EM6" s="1241" t="str">
        <f>Model!EM7</f>
        <v>2/16</v>
      </c>
      <c r="EN6" s="1260" t="str">
        <f>Model!EN7</f>
        <v>5/16</v>
      </c>
      <c r="EO6" s="1244" t="str">
        <f>Model!EO7</f>
        <v>FY16</v>
      </c>
      <c r="EP6" s="1245"/>
      <c r="EQ6" s="1244" t="str">
        <f>Model!EQ7</f>
        <v xml:space="preserve"> 8/16</v>
      </c>
      <c r="ER6" s="1244" t="str">
        <f>Model!ER7</f>
        <v xml:space="preserve"> 11/16</v>
      </c>
      <c r="ES6" s="1244" t="str">
        <f>Model!ES7</f>
        <v xml:space="preserve"> 2/17</v>
      </c>
      <c r="ET6" s="1244" t="str">
        <f>Model!ET7</f>
        <v>5/17</v>
      </c>
      <c r="EU6" s="1246" t="str">
        <f>Model!EU7</f>
        <v>FY17</v>
      </c>
      <c r="EV6" s="1245"/>
      <c r="EW6" s="1244" t="str">
        <f>Model!EW7</f>
        <v xml:space="preserve"> 8/17</v>
      </c>
      <c r="EX6" s="1244" t="str">
        <f>Model!EX7</f>
        <v xml:space="preserve"> 11/17</v>
      </c>
      <c r="EY6" s="1244" t="str">
        <f>Model!EY7</f>
        <v xml:space="preserve"> 2/18</v>
      </c>
      <c r="EZ6" s="1244" t="str">
        <f>Model!EZ7</f>
        <v>5/18E</v>
      </c>
      <c r="FA6" s="1246" t="str">
        <f>Model!FA7</f>
        <v>FY18E</v>
      </c>
      <c r="FB6" s="1245"/>
      <c r="FC6" s="1244" t="str">
        <f>Model!FC7</f>
        <v xml:space="preserve"> 8/18E</v>
      </c>
      <c r="FD6" s="1244" t="str">
        <f>Model!FD7</f>
        <v xml:space="preserve"> 11/18E</v>
      </c>
      <c r="FE6" s="1244" t="str">
        <f>Model!FE7</f>
        <v xml:space="preserve"> 2/19E</v>
      </c>
      <c r="FF6" s="1244" t="str">
        <f>Model!FF7</f>
        <v>5/19E</v>
      </c>
      <c r="FG6" s="1246" t="str">
        <f>Model!FG7</f>
        <v>FY19E</v>
      </c>
      <c r="FH6" s="1245"/>
      <c r="FI6" s="1244" t="str">
        <f>Model!FI7</f>
        <v xml:space="preserve"> 8/19E</v>
      </c>
      <c r="FJ6" s="1244" t="str">
        <f>Model!FJ7</f>
        <v xml:space="preserve"> 11/19E</v>
      </c>
      <c r="FK6" s="1244" t="str">
        <f>Model!FK7</f>
        <v xml:space="preserve"> 2/20E</v>
      </c>
      <c r="FL6" s="1244" t="str">
        <f>Model!FL7</f>
        <v>5/20E</v>
      </c>
      <c r="FM6" s="1246" t="str">
        <f>Model!FM7</f>
        <v>FY20E</v>
      </c>
      <c r="FN6" s="1234"/>
      <c r="FO6" s="1227"/>
      <c r="FP6" s="1227"/>
      <c r="FQ6" s="1227"/>
      <c r="FR6"/>
      <c r="FS6"/>
      <c r="FT6"/>
      <c r="FU6"/>
      <c r="FV6"/>
      <c r="FW6"/>
      <c r="FX6" s="1227"/>
      <c r="FY6" s="1397"/>
      <c r="FZ6" s="1397"/>
      <c r="GA6" s="1397"/>
      <c r="GB6" s="1397"/>
      <c r="GC6" s="1397"/>
      <c r="GD6" s="1397"/>
      <c r="GE6" s="1397"/>
      <c r="GF6" s="1397"/>
      <c r="GG6" s="1397"/>
      <c r="GH6" s="1397"/>
      <c r="GI6" s="1397"/>
      <c r="GJ6" s="1397"/>
      <c r="GK6" s="1397"/>
      <c r="GL6" s="1397"/>
      <c r="GM6" s="1397"/>
      <c r="GN6" s="1397"/>
      <c r="GO6" s="1397"/>
      <c r="GP6" s="1397"/>
      <c r="GQ6" s="1397"/>
      <c r="GR6" s="1397"/>
      <c r="GS6" s="1397"/>
      <c r="GT6" s="1397"/>
      <c r="GU6" s="1397"/>
      <c r="GV6" s="1397"/>
      <c r="GW6" s="1397"/>
      <c r="GX6" s="1397"/>
      <c r="GY6" s="1397"/>
      <c r="GZ6" s="1397"/>
      <c r="HA6" s="1397"/>
      <c r="HB6" s="1397"/>
      <c r="HC6" s="1397"/>
      <c r="HD6" s="1397"/>
      <c r="HE6" s="1397"/>
      <c r="HF6" s="1397"/>
      <c r="HG6" s="1397"/>
      <c r="HH6" s="1397"/>
      <c r="HI6" s="1397"/>
      <c r="HJ6" s="1397"/>
      <c r="HK6" s="1397"/>
      <c r="HL6" s="1397"/>
      <c r="HM6" s="1397"/>
      <c r="HN6" s="1397"/>
      <c r="HO6" s="1397"/>
      <c r="HP6" s="1397"/>
      <c r="HQ6" s="1397"/>
      <c r="HR6" s="1397"/>
      <c r="HS6" s="1397"/>
      <c r="HT6" s="1397"/>
      <c r="HU6" s="1397"/>
      <c r="HV6" s="1397"/>
      <c r="HW6" s="1397"/>
      <c r="HX6" s="1397"/>
      <c r="HY6" s="1397"/>
      <c r="HZ6" s="1397"/>
      <c r="IA6" s="1397"/>
      <c r="IB6" s="1397"/>
      <c r="IC6" s="1397"/>
      <c r="ID6" s="1397"/>
      <c r="IE6" s="1397"/>
      <c r="IF6" s="1397"/>
      <c r="IG6" s="1397"/>
      <c r="IH6" s="1397"/>
      <c r="II6" s="1397"/>
      <c r="IJ6" s="1397"/>
      <c r="IK6" s="1397"/>
      <c r="IL6" s="1397"/>
      <c r="IM6" s="1397"/>
      <c r="IN6" s="1397"/>
      <c r="IO6" s="1397"/>
      <c r="IP6" s="1397"/>
      <c r="IQ6" s="1397"/>
      <c r="IR6" s="1397"/>
      <c r="IS6" s="1397"/>
      <c r="IT6" s="1397"/>
      <c r="IU6" s="1397"/>
      <c r="IV6" s="1397"/>
      <c r="IW6" s="1397"/>
      <c r="IX6" s="1397"/>
      <c r="IY6" s="1397"/>
      <c r="IZ6" s="1397"/>
      <c r="JA6" s="1397"/>
      <c r="JB6" s="1397"/>
      <c r="JC6" s="1397"/>
      <c r="JD6" s="1397"/>
      <c r="JE6" s="1397"/>
      <c r="JF6" s="1397"/>
      <c r="JG6" s="1397"/>
      <c r="JH6" s="1397"/>
      <c r="JI6" s="1397"/>
      <c r="JJ6" s="1397"/>
      <c r="JK6" s="1397"/>
      <c r="JL6" s="1397"/>
      <c r="JM6" s="1397"/>
      <c r="JN6" s="1397"/>
    </row>
    <row r="7" spans="1:274" s="1523" customFormat="1" ht="10.5" customHeight="1" x14ac:dyDescent="0.2">
      <c r="A7" s="1516" t="s">
        <v>125</v>
      </c>
      <c r="B7" s="1517"/>
      <c r="C7" s="1518"/>
      <c r="D7" s="1518"/>
      <c r="E7" s="1518"/>
      <c r="F7" s="1518"/>
      <c r="G7" s="1518"/>
      <c r="H7" s="1518"/>
      <c r="I7" s="1518"/>
      <c r="J7" s="1518"/>
      <c r="K7" s="1518"/>
      <c r="L7" s="1518"/>
      <c r="M7" s="1518"/>
      <c r="N7" s="1519"/>
      <c r="O7" s="1518"/>
      <c r="P7" s="1518"/>
      <c r="Q7" s="1518"/>
      <c r="R7" s="1518"/>
      <c r="S7" s="1518"/>
      <c r="T7" s="1519"/>
      <c r="U7" s="1518"/>
      <c r="V7" s="1518"/>
      <c r="W7" s="1518"/>
      <c r="X7" s="1518"/>
      <c r="Y7" s="1518"/>
      <c r="Z7" s="1519"/>
      <c r="AA7" s="1518"/>
      <c r="AB7" s="1518"/>
      <c r="AC7" s="1518"/>
      <c r="AD7" s="1518"/>
      <c r="AE7" s="1518"/>
      <c r="AF7" s="1519"/>
      <c r="AG7" s="1518"/>
      <c r="AH7" s="1518"/>
      <c r="AI7" s="1518"/>
      <c r="AJ7" s="1518"/>
      <c r="AK7" s="1518"/>
      <c r="AL7" s="1519"/>
      <c r="AM7" s="1518"/>
      <c r="AN7" s="1518"/>
      <c r="AO7" s="1518"/>
      <c r="AP7" s="1518"/>
      <c r="AQ7" s="1518"/>
      <c r="AR7" s="1519"/>
      <c r="AS7" s="1518"/>
      <c r="AT7" s="1518"/>
      <c r="AU7" s="1518"/>
      <c r="AV7" s="1518"/>
      <c r="AW7" s="1518"/>
      <c r="AX7" s="1519"/>
      <c r="AY7" s="1518"/>
      <c r="AZ7" s="1518"/>
      <c r="BA7" s="1518"/>
      <c r="BB7" s="1518"/>
      <c r="BC7" s="1518"/>
      <c r="BD7" s="1519"/>
      <c r="BE7" s="1518"/>
      <c r="BF7" s="1518"/>
      <c r="BG7" s="1518"/>
      <c r="BH7" s="1518"/>
      <c r="BI7" s="1518"/>
      <c r="BJ7" s="1519"/>
      <c r="BK7" s="1518"/>
      <c r="BL7" s="1518"/>
      <c r="BM7" s="1518"/>
      <c r="BN7" s="1518"/>
      <c r="BO7" s="1518"/>
      <c r="BP7" s="1519"/>
      <c r="BQ7" s="1518"/>
      <c r="BR7" s="1518"/>
      <c r="BS7" s="1518"/>
      <c r="BT7" s="1518"/>
      <c r="BU7" s="1518"/>
      <c r="BV7" s="1519"/>
      <c r="BW7" s="1518"/>
      <c r="BX7" s="1518"/>
      <c r="BY7" s="1518"/>
      <c r="BZ7" s="1518"/>
      <c r="CA7" s="1518"/>
      <c r="CB7" s="1519"/>
      <c r="CC7" s="1518"/>
      <c r="CD7" s="1518"/>
      <c r="CE7" s="1518"/>
      <c r="CF7" s="1518"/>
      <c r="CG7" s="1520"/>
      <c r="CH7" s="1519"/>
      <c r="CI7" s="1518"/>
      <c r="CJ7" s="1518"/>
      <c r="CK7" s="1518"/>
      <c r="CL7" s="1518"/>
      <c r="CM7" s="1520"/>
      <c r="CN7" s="1519"/>
      <c r="CO7" s="1518"/>
      <c r="CP7" s="1518"/>
      <c r="CQ7" s="1518"/>
      <c r="CR7" s="1518"/>
      <c r="CS7" s="1520"/>
      <c r="CT7" s="1519"/>
      <c r="CU7" s="1518"/>
      <c r="CV7" s="1518"/>
      <c r="CW7" s="1518"/>
      <c r="CX7" s="1518"/>
      <c r="CY7" s="1520"/>
      <c r="CZ7" s="1519"/>
      <c r="DA7" s="1518"/>
      <c r="DB7" s="1518"/>
      <c r="DC7" s="1518"/>
      <c r="DD7" s="1518"/>
      <c r="DE7" s="1520"/>
      <c r="DF7" s="1519"/>
      <c r="DG7" s="1518"/>
      <c r="DH7" s="1518"/>
      <c r="DI7" s="1518"/>
      <c r="DJ7" s="1518"/>
      <c r="DK7" s="1520"/>
      <c r="DL7" s="1519"/>
      <c r="DM7" s="1518"/>
      <c r="DN7" s="1518"/>
      <c r="DO7" s="1518"/>
      <c r="DP7" s="1518"/>
      <c r="DQ7" s="1520"/>
      <c r="DR7" s="1519"/>
      <c r="DS7" s="1518"/>
      <c r="DT7" s="1518"/>
      <c r="DU7" s="1518"/>
      <c r="DV7" s="1518"/>
      <c r="DW7" s="1520"/>
      <c r="DX7" s="1519"/>
      <c r="DY7" s="1518"/>
      <c r="DZ7" s="1518"/>
      <c r="EA7" s="1518"/>
      <c r="EB7" s="1518"/>
      <c r="EC7" s="1520"/>
      <c r="ED7" s="1519"/>
      <c r="EE7" s="1518"/>
      <c r="EF7" s="1518"/>
      <c r="EG7" s="1518"/>
      <c r="EH7" s="1518"/>
      <c r="EI7" s="1520"/>
      <c r="EJ7" s="1519"/>
      <c r="EK7" s="1518"/>
      <c r="EL7" s="1518"/>
      <c r="EM7" s="1518"/>
      <c r="EN7" s="1518"/>
      <c r="EO7" s="1520"/>
      <c r="EP7" s="1519"/>
      <c r="EQ7" s="1518"/>
      <c r="ER7" s="1518"/>
      <c r="ES7" s="1518"/>
      <c r="ET7" s="1518"/>
      <c r="EU7" s="1520"/>
      <c r="EV7" s="1519"/>
      <c r="EW7" s="1518"/>
      <c r="EX7" s="1518"/>
      <c r="EY7" s="1518"/>
      <c r="EZ7" s="1518"/>
      <c r="FA7" s="1520"/>
      <c r="FB7" s="1519"/>
      <c r="FC7" s="1518"/>
      <c r="FD7" s="1518"/>
      <c r="FE7" s="1518"/>
      <c r="FF7" s="1518"/>
      <c r="FG7" s="1520"/>
      <c r="FH7" s="1519"/>
      <c r="FI7" s="1518"/>
      <c r="FJ7" s="1518"/>
      <c r="FK7" s="1518"/>
      <c r="FL7" s="1518"/>
      <c r="FM7" s="1520"/>
      <c r="FN7" s="1521"/>
      <c r="FO7" s="1521"/>
      <c r="FP7" s="1521"/>
      <c r="FQ7" s="1521"/>
      <c r="FR7"/>
      <c r="FS7"/>
      <c r="FT7"/>
      <c r="FU7"/>
      <c r="FV7"/>
      <c r="FW7"/>
      <c r="FX7" s="1521"/>
      <c r="FY7" s="1522"/>
      <c r="FZ7" s="1522"/>
      <c r="GA7" s="1522"/>
      <c r="GB7" s="1522"/>
      <c r="GC7" s="1522"/>
      <c r="GD7" s="1522"/>
      <c r="GE7" s="1522"/>
      <c r="GF7" s="1522"/>
      <c r="GG7" s="1522"/>
      <c r="GH7" s="1522"/>
      <c r="GI7" s="1522"/>
      <c r="GJ7" s="1522"/>
      <c r="GK7" s="1522"/>
      <c r="GL7" s="1522"/>
      <c r="GM7" s="1522"/>
      <c r="GN7" s="1522"/>
      <c r="GO7" s="1522"/>
      <c r="GP7" s="1522"/>
      <c r="GQ7" s="1522"/>
      <c r="GR7" s="1522"/>
      <c r="GS7" s="1522"/>
      <c r="GT7" s="1522"/>
      <c r="GU7" s="1522"/>
      <c r="GV7" s="1522"/>
      <c r="GW7" s="1522"/>
      <c r="GX7" s="1522"/>
      <c r="GY7" s="1522"/>
      <c r="GZ7" s="1522"/>
      <c r="HA7" s="1522"/>
      <c r="HB7" s="1522"/>
      <c r="HC7" s="1522"/>
      <c r="HD7" s="1522"/>
      <c r="HE7" s="1522"/>
      <c r="HF7" s="1522"/>
      <c r="HG7" s="1522"/>
      <c r="HH7" s="1522"/>
      <c r="HI7" s="1522"/>
      <c r="HJ7" s="1522"/>
      <c r="HK7" s="1522"/>
      <c r="HL7" s="1522"/>
      <c r="HM7" s="1522"/>
      <c r="HN7" s="1522"/>
      <c r="HO7" s="1522"/>
      <c r="HP7" s="1522"/>
      <c r="HQ7" s="1522"/>
      <c r="HR7" s="1522"/>
      <c r="HS7" s="1522"/>
      <c r="HT7" s="1522"/>
      <c r="HU7" s="1522"/>
      <c r="HV7" s="1522"/>
      <c r="HW7" s="1522"/>
      <c r="HX7" s="1522"/>
      <c r="HY7" s="1522"/>
      <c r="HZ7" s="1522"/>
      <c r="IA7" s="1522"/>
      <c r="IB7" s="1522"/>
      <c r="IC7" s="1522"/>
      <c r="ID7" s="1522"/>
      <c r="IE7" s="1522"/>
      <c r="IF7" s="1522"/>
      <c r="IG7" s="1522"/>
      <c r="IH7" s="1522"/>
      <c r="II7" s="1522"/>
      <c r="IJ7" s="1522"/>
      <c r="IK7" s="1522"/>
      <c r="IL7" s="1522"/>
      <c r="IM7" s="1522"/>
      <c r="IN7" s="1522"/>
      <c r="IO7" s="1522"/>
      <c r="IP7" s="1522"/>
      <c r="IQ7" s="1522"/>
      <c r="IR7" s="1522"/>
      <c r="IS7" s="1522"/>
      <c r="IT7" s="1522"/>
      <c r="IU7" s="1522"/>
      <c r="IV7" s="1522"/>
      <c r="IW7" s="1522"/>
      <c r="IX7" s="1522"/>
      <c r="IY7" s="1522"/>
      <c r="IZ7" s="1522"/>
      <c r="JA7" s="1522"/>
      <c r="JB7" s="1522"/>
      <c r="JC7" s="1522"/>
      <c r="JD7" s="1522"/>
      <c r="JE7" s="1522"/>
      <c r="JF7" s="1522"/>
      <c r="JG7" s="1522"/>
      <c r="JH7" s="1522"/>
      <c r="JI7" s="1522"/>
      <c r="JJ7" s="1522"/>
      <c r="JK7" s="1522"/>
      <c r="JL7" s="1522"/>
      <c r="JM7" s="1522"/>
      <c r="JN7" s="1522"/>
    </row>
    <row r="8" spans="1:274" s="1523" customFormat="1" ht="10.5" customHeight="1" x14ac:dyDescent="0.2">
      <c r="A8" s="1524" t="s">
        <v>360</v>
      </c>
      <c r="B8" s="1517"/>
      <c r="C8" s="1525" t="s">
        <v>945</v>
      </c>
      <c r="D8" s="1525">
        <v>0.59899999999999998</v>
      </c>
      <c r="E8" s="1525">
        <v>12.523999999999999</v>
      </c>
      <c r="F8" s="1525">
        <v>37.557000000000002</v>
      </c>
      <c r="G8" s="1525">
        <v>41.112000000000002</v>
      </c>
      <c r="H8" s="1525">
        <v>44.893000000000001</v>
      </c>
      <c r="I8" s="1525">
        <v>44.847999999999999</v>
      </c>
      <c r="J8" s="1525">
        <v>101.48099999999999</v>
      </c>
      <c r="K8" s="1525">
        <v>153.28299999999999</v>
      </c>
      <c r="L8" s="1525">
        <v>284.56</v>
      </c>
      <c r="M8" s="1525">
        <v>404.81</v>
      </c>
      <c r="N8" s="1526"/>
      <c r="O8" s="1525">
        <v>462.548</v>
      </c>
      <c r="P8" s="1525">
        <v>221.09700000000001</v>
      </c>
      <c r="Q8" s="1525">
        <v>276.916</v>
      </c>
      <c r="R8" s="1525">
        <v>480.15800000000002</v>
      </c>
      <c r="S8" s="1527">
        <f t="shared" ref="S8:S15" si="0">R8</f>
        <v>480.15800000000002</v>
      </c>
      <c r="T8" s="1528"/>
      <c r="U8" s="1529">
        <v>475.58600000000001</v>
      </c>
      <c r="V8" s="1529">
        <v>497.726</v>
      </c>
      <c r="W8" s="1529">
        <v>612.66700000000003</v>
      </c>
      <c r="X8" s="1529">
        <v>715.74199999999996</v>
      </c>
      <c r="Y8" s="1527">
        <f t="shared" ref="Y8:Y15" si="1">X8</f>
        <v>715.74199999999996</v>
      </c>
      <c r="Z8" s="1528"/>
      <c r="AA8" s="1529">
        <v>743.26499999999999</v>
      </c>
      <c r="AB8" s="1529">
        <v>559.38400000000001</v>
      </c>
      <c r="AC8" s="1529">
        <v>736.16600000000005</v>
      </c>
      <c r="AD8" s="1529">
        <f>890.162</f>
        <v>890.16200000000003</v>
      </c>
      <c r="AE8" s="1527">
        <f t="shared" ref="AE8:AE15" si="2">AD8</f>
        <v>890.16200000000003</v>
      </c>
      <c r="AF8" s="1528"/>
      <c r="AG8" s="1529">
        <v>1006.712</v>
      </c>
      <c r="AH8" s="1529">
        <f>994.261</f>
        <v>994.26099999999997</v>
      </c>
      <c r="AI8" s="1529">
        <v>977.49599999999998</v>
      </c>
      <c r="AJ8" s="1529">
        <v>1273.681</v>
      </c>
      <c r="AK8" s="1527">
        <f t="shared" ref="AK8:AK15" si="3">AJ8</f>
        <v>1273.681</v>
      </c>
      <c r="AL8" s="1528"/>
      <c r="AM8" s="1529">
        <v>1628.0830000000001</v>
      </c>
      <c r="AN8" s="1529">
        <v>1348.749</v>
      </c>
      <c r="AO8" s="1529">
        <f>1504.176</f>
        <v>1504.1759999999999</v>
      </c>
      <c r="AP8" s="1529">
        <v>1785.7149999999999</v>
      </c>
      <c r="AQ8" s="1527">
        <f t="shared" ref="AQ8:AQ15" si="4">AP8</f>
        <v>1785.7149999999999</v>
      </c>
      <c r="AR8" s="1528"/>
      <c r="AS8" s="1529">
        <v>1718.1790000000001</v>
      </c>
      <c r="AT8" s="1529">
        <v>1317.1489999999999</v>
      </c>
      <c r="AU8" s="1529">
        <v>2267.7049999999999</v>
      </c>
      <c r="AV8" s="1529">
        <v>7429.2060000000001</v>
      </c>
      <c r="AW8" s="1527">
        <f t="shared" ref="AW8:AW15" si="5">AV8</f>
        <v>7429.2060000000001</v>
      </c>
      <c r="AX8" s="1528"/>
      <c r="AY8" s="1529">
        <v>4837.0969999999998</v>
      </c>
      <c r="AZ8" s="1529">
        <f>4165.69</f>
        <v>4165.6899999999996</v>
      </c>
      <c r="BA8" s="1529">
        <v>4129.3379999999997</v>
      </c>
      <c r="BB8" s="1529">
        <v>4449</v>
      </c>
      <c r="BC8" s="1527">
        <f t="shared" ref="BC8:BC15" si="6">BB8</f>
        <v>4449</v>
      </c>
      <c r="BD8" s="1528"/>
      <c r="BE8" s="1529">
        <v>3915.5790000000002</v>
      </c>
      <c r="BF8" s="1529">
        <v>2467.5149999999999</v>
      </c>
      <c r="BG8" s="1529">
        <v>3459.1909999999998</v>
      </c>
      <c r="BH8" s="1529">
        <v>3095</v>
      </c>
      <c r="BI8" s="1527">
        <f t="shared" ref="BI8:BI15" si="7">BH8</f>
        <v>3095</v>
      </c>
      <c r="BJ8" s="1528"/>
      <c r="BK8" s="1529">
        <v>3875</v>
      </c>
      <c r="BL8" s="1529">
        <v>3013</v>
      </c>
      <c r="BM8" s="1529">
        <v>4088</v>
      </c>
      <c r="BN8" s="1529">
        <v>4737</v>
      </c>
      <c r="BO8" s="1527">
        <f t="shared" ref="BO8:BO15" si="8">BN8</f>
        <v>4737</v>
      </c>
      <c r="BP8" s="1528"/>
      <c r="BQ8" s="1529">
        <v>4240</v>
      </c>
      <c r="BR8" s="1529">
        <v>4173</v>
      </c>
      <c r="BS8" s="1529">
        <v>4192</v>
      </c>
      <c r="BT8" s="1529">
        <v>4138</v>
      </c>
      <c r="BU8" s="1527">
        <f t="shared" ref="BU8:BU15" si="9">BT8</f>
        <v>4138</v>
      </c>
      <c r="BV8" s="1528"/>
      <c r="BW8" s="1529">
        <f>'Cash Flow'!BW103</f>
        <v>3349.2056000000011</v>
      </c>
      <c r="BX8" s="1529">
        <v>5905</v>
      </c>
      <c r="BY8" s="1529">
        <v>7221</v>
      </c>
      <c r="BZ8" s="1529">
        <v>3894</v>
      </c>
      <c r="CA8" s="1527">
        <f t="shared" ref="CA8:CA15" si="10">BZ8</f>
        <v>3894</v>
      </c>
      <c r="CB8" s="1528"/>
      <c r="CC8" s="1529">
        <v>3790</v>
      </c>
      <c r="CD8" s="1529">
        <v>2837</v>
      </c>
      <c r="CE8" s="1529">
        <v>6921</v>
      </c>
      <c r="CF8" s="1529">
        <v>6659</v>
      </c>
      <c r="CG8" s="1530">
        <f t="shared" ref="CG8:CG15" si="11">CF8</f>
        <v>6659</v>
      </c>
      <c r="CH8" s="1528"/>
      <c r="CI8" s="1529">
        <v>5446</v>
      </c>
      <c r="CJ8" s="1529">
        <v>4684</v>
      </c>
      <c r="CK8" s="1529">
        <v>5250</v>
      </c>
      <c r="CL8" s="1529">
        <v>6218</v>
      </c>
      <c r="CM8" s="1530">
        <f t="shared" ref="CM8:CM15" si="12">CL8</f>
        <v>6218</v>
      </c>
      <c r="CN8" s="1528"/>
      <c r="CO8" s="1529">
        <v>6455</v>
      </c>
      <c r="CP8" s="1529">
        <v>6733</v>
      </c>
      <c r="CQ8" s="1529">
        <v>8409</v>
      </c>
      <c r="CR8" s="1529">
        <v>8262</v>
      </c>
      <c r="CS8" s="1530">
        <f t="shared" ref="CS8:CS15" si="13">CR8</f>
        <v>8262</v>
      </c>
      <c r="CT8" s="1531"/>
      <c r="CU8" s="1529">
        <v>8553</v>
      </c>
      <c r="CV8" s="1529">
        <v>7353</v>
      </c>
      <c r="CW8" s="1529">
        <v>8211</v>
      </c>
      <c r="CX8" s="1529">
        <v>8995</v>
      </c>
      <c r="CY8" s="1530">
        <f t="shared" ref="CY8:CY15" si="14">CX8</f>
        <v>8995</v>
      </c>
      <c r="CZ8" s="1528"/>
      <c r="DA8" s="1529">
        <v>16098</v>
      </c>
      <c r="DB8" s="1529">
        <v>14919</v>
      </c>
      <c r="DC8" s="1529">
        <v>9331</v>
      </c>
      <c r="DD8" s="1529">
        <v>9914</v>
      </c>
      <c r="DE8" s="1530">
        <f t="shared" ref="DE8:DE14" si="15">DD8</f>
        <v>9914</v>
      </c>
      <c r="DF8" s="1528"/>
      <c r="DG8" s="1529">
        <v>12018</v>
      </c>
      <c r="DH8" s="1529">
        <v>10420</v>
      </c>
      <c r="DI8" s="1529">
        <v>11864</v>
      </c>
      <c r="DJ8" s="1529">
        <v>16163</v>
      </c>
      <c r="DK8" s="1530">
        <f t="shared" ref="DK8:DK15" si="16">DJ8</f>
        <v>16163</v>
      </c>
      <c r="DL8" s="1528"/>
      <c r="DM8" s="1529">
        <v>13162</v>
      </c>
      <c r="DN8" s="1529">
        <v>13286</v>
      </c>
      <c r="DO8" s="1529">
        <v>13781</v>
      </c>
      <c r="DP8" s="1529">
        <v>14955</v>
      </c>
      <c r="DQ8" s="1530">
        <f t="shared" ref="DQ8:DQ15" si="17">DP8</f>
        <v>14955</v>
      </c>
      <c r="DR8" s="1528"/>
      <c r="DS8" s="1529">
        <v>15667</v>
      </c>
      <c r="DT8" s="1529">
        <v>15912</v>
      </c>
      <c r="DU8" s="1529">
        <v>16101</v>
      </c>
      <c r="DV8" s="1529">
        <v>14613</v>
      </c>
      <c r="DW8" s="1530">
        <f t="shared" ref="DW8:DW15" si="18">DV8</f>
        <v>14613</v>
      </c>
      <c r="DX8" s="1528"/>
      <c r="DY8" s="1529">
        <f>19664</f>
        <v>19664</v>
      </c>
      <c r="DZ8" s="1529">
        <v>14894</v>
      </c>
      <c r="EA8" s="1529">
        <v>16832</v>
      </c>
      <c r="EB8" s="1529">
        <v>17769</v>
      </c>
      <c r="EC8" s="1530">
        <f t="shared" ref="EC8:EC15" si="19">EB8</f>
        <v>17769</v>
      </c>
      <c r="ED8" s="1528"/>
      <c r="EE8" s="1529">
        <v>24179</v>
      </c>
      <c r="EF8" s="1529">
        <v>16153</v>
      </c>
      <c r="EG8" s="1529">
        <v>13701</v>
      </c>
      <c r="EH8" s="1529">
        <v>21716</v>
      </c>
      <c r="EI8" s="1530">
        <f t="shared" ref="EI8:EI15" si="20">EH8</f>
        <v>21716</v>
      </c>
      <c r="EJ8" s="1528"/>
      <c r="EK8" s="1529">
        <v>16739</v>
      </c>
      <c r="EL8" s="1529">
        <v>17411</v>
      </c>
      <c r="EM8" s="1529">
        <v>15583</v>
      </c>
      <c r="EN8" s="1529">
        <v>20152</v>
      </c>
      <c r="EO8" s="1530">
        <f t="shared" ref="EO8:EO15" si="21">EN8</f>
        <v>20152</v>
      </c>
      <c r="EP8" s="1528"/>
      <c r="EQ8" s="1529">
        <v>28614</v>
      </c>
      <c r="ER8" s="1529">
        <v>18592</v>
      </c>
      <c r="ES8" s="1529">
        <v>19748</v>
      </c>
      <c r="ET8" s="1529">
        <v>21784</v>
      </c>
      <c r="EU8" s="1530">
        <f t="shared" ref="EU8:EU15" si="22">ET8</f>
        <v>21784</v>
      </c>
      <c r="EV8" s="1528"/>
      <c r="EW8" s="1529">
        <v>21321</v>
      </c>
      <c r="EX8" s="1529">
        <v>21310</v>
      </c>
      <c r="EY8" s="1529">
        <v>19487</v>
      </c>
      <c r="EZ8" s="1529">
        <f>'Cash Flow'!EZ103</f>
        <v>19610.645629562168</v>
      </c>
      <c r="FA8" s="1530">
        <f t="shared" ref="FA8:FA15" si="23">EZ8</f>
        <v>19610.645629562168</v>
      </c>
      <c r="FB8" s="1528"/>
      <c r="FC8" s="1529">
        <f>'Cash Flow'!FC103</f>
        <v>20391.682075827033</v>
      </c>
      <c r="FD8" s="1529">
        <f>'Cash Flow'!FD103</f>
        <v>18624.795395241668</v>
      </c>
      <c r="FE8" s="1529">
        <f>'Cash Flow'!FE103</f>
        <v>20173.373558817224</v>
      </c>
      <c r="FF8" s="1529">
        <f>'Cash Flow'!FF103</f>
        <v>20646.480472891428</v>
      </c>
      <c r="FG8" s="1530">
        <f t="shared" ref="FG8:FG15" si="24">FF8</f>
        <v>20646.480472891428</v>
      </c>
      <c r="FH8" s="1528"/>
      <c r="FI8" s="1529">
        <f>'Cash Flow'!FI103</f>
        <v>24537.695139864878</v>
      </c>
      <c r="FJ8" s="1529">
        <f>'Cash Flow'!FJ103</f>
        <v>20497.563143346757</v>
      </c>
      <c r="FK8" s="1529">
        <f>'Cash Flow'!FK103</f>
        <v>20328.852006080102</v>
      </c>
      <c r="FL8" s="1529">
        <f>'Cash Flow'!FL103</f>
        <v>23858.658980066015</v>
      </c>
      <c r="FM8" s="1530">
        <f t="shared" ref="FM8:FM15" si="25">FL8</f>
        <v>23858.658980066015</v>
      </c>
      <c r="FN8" s="1524"/>
      <c r="FO8" s="1524"/>
      <c r="FP8" s="1524"/>
      <c r="FQ8" s="1524"/>
      <c r="FR8"/>
      <c r="FS8"/>
      <c r="FT8"/>
      <c r="FU8"/>
      <c r="FV8"/>
      <c r="FW8"/>
      <c r="FX8" s="1524"/>
      <c r="FY8" s="1522"/>
      <c r="FZ8" s="1522"/>
      <c r="GA8" s="1522"/>
      <c r="GB8" s="1522"/>
      <c r="GC8" s="1522"/>
      <c r="GD8" s="1522"/>
      <c r="GE8" s="1522"/>
      <c r="GF8" s="1522"/>
      <c r="GG8" s="1522"/>
      <c r="GH8" s="1522"/>
      <c r="GI8" s="1522"/>
      <c r="GJ8" s="1522"/>
      <c r="GK8" s="1522"/>
      <c r="GL8" s="1522"/>
      <c r="GM8" s="1522"/>
      <c r="GN8" s="1522"/>
      <c r="GO8" s="1522"/>
      <c r="GP8" s="1522"/>
      <c r="GQ8" s="1522"/>
      <c r="GR8" s="1522"/>
      <c r="GS8" s="1522"/>
      <c r="GT8" s="1522"/>
      <c r="GU8" s="1522"/>
      <c r="GV8" s="1522"/>
      <c r="GW8" s="1522"/>
      <c r="GX8" s="1522"/>
      <c r="GY8" s="1522"/>
      <c r="GZ8" s="1522"/>
      <c r="HA8" s="1522"/>
      <c r="HB8" s="1522"/>
      <c r="HC8" s="1522"/>
      <c r="HD8" s="1522"/>
      <c r="HE8" s="1522"/>
      <c r="HF8" s="1522"/>
      <c r="HG8" s="1522"/>
      <c r="HH8" s="1522"/>
      <c r="HI8" s="1522"/>
      <c r="HJ8" s="1522"/>
      <c r="HK8" s="1522"/>
      <c r="HL8" s="1522"/>
      <c r="HM8" s="1522"/>
      <c r="HN8" s="1522"/>
      <c r="HO8" s="1522"/>
      <c r="HP8" s="1522"/>
      <c r="HQ8" s="1522"/>
      <c r="HR8" s="1522"/>
      <c r="HS8" s="1522"/>
      <c r="HT8" s="1522"/>
      <c r="HU8" s="1522"/>
      <c r="HV8" s="1522"/>
      <c r="HW8" s="1522"/>
      <c r="HX8" s="1522"/>
      <c r="HY8" s="1522"/>
      <c r="HZ8" s="1522"/>
      <c r="IA8" s="1522"/>
      <c r="IB8" s="1522"/>
      <c r="IC8" s="1522"/>
      <c r="ID8" s="1522"/>
      <c r="IE8" s="1522"/>
      <c r="IF8" s="1522"/>
      <c r="IG8" s="1522"/>
      <c r="IH8" s="1522"/>
      <c r="II8" s="1522"/>
      <c r="IJ8" s="1522"/>
      <c r="IK8" s="1522"/>
      <c r="IL8" s="1522"/>
      <c r="IM8" s="1522"/>
      <c r="IN8" s="1522"/>
      <c r="IO8" s="1522"/>
      <c r="IP8" s="1522"/>
      <c r="IQ8" s="1522"/>
      <c r="IR8" s="1522"/>
      <c r="IS8" s="1522"/>
      <c r="IT8" s="1522"/>
      <c r="IU8" s="1522"/>
      <c r="IV8" s="1522"/>
      <c r="IW8" s="1522"/>
      <c r="IX8" s="1522"/>
      <c r="IY8" s="1522"/>
      <c r="IZ8" s="1522"/>
      <c r="JA8" s="1522"/>
      <c r="JB8" s="1522"/>
      <c r="JC8" s="1522"/>
      <c r="JD8" s="1522"/>
      <c r="JE8" s="1522"/>
      <c r="JF8" s="1522"/>
      <c r="JG8" s="1522"/>
      <c r="JH8" s="1522"/>
      <c r="JI8" s="1522"/>
      <c r="JJ8" s="1522"/>
      <c r="JK8" s="1522"/>
      <c r="JL8" s="1522"/>
      <c r="JM8" s="1522"/>
      <c r="JN8" s="1522"/>
    </row>
    <row r="9" spans="1:274" s="1523" customFormat="1" ht="10.5" customHeight="1" x14ac:dyDescent="0.2">
      <c r="A9" s="1524" t="s">
        <v>361</v>
      </c>
      <c r="B9" s="1517"/>
      <c r="C9" s="1525" t="s">
        <v>945</v>
      </c>
      <c r="D9" s="1525">
        <v>0</v>
      </c>
      <c r="E9" s="1525">
        <v>0</v>
      </c>
      <c r="F9" s="1525">
        <v>0</v>
      </c>
      <c r="G9" s="1525">
        <v>7.4980000000000002</v>
      </c>
      <c r="H9" s="1525">
        <v>4.5</v>
      </c>
      <c r="I9" s="1525">
        <v>4.9800000000000004</v>
      </c>
      <c r="J9" s="1525">
        <v>0</v>
      </c>
      <c r="K9" s="1525">
        <v>23.218</v>
      </c>
      <c r="L9" s="1525">
        <v>73.215000000000003</v>
      </c>
      <c r="M9" s="1525">
        <v>59.948</v>
      </c>
      <c r="N9" s="1526"/>
      <c r="O9" s="1525">
        <v>30.742999999999999</v>
      </c>
      <c r="P9" s="1525">
        <v>108.35</v>
      </c>
      <c r="Q9" s="1525">
        <v>125.631</v>
      </c>
      <c r="R9" s="1525">
        <v>105.66</v>
      </c>
      <c r="S9" s="1527">
        <f t="shared" si="0"/>
        <v>105.66</v>
      </c>
      <c r="T9" s="1528"/>
      <c r="U9" s="1529">
        <v>101.714</v>
      </c>
      <c r="V9" s="1529">
        <v>56.735999999999997</v>
      </c>
      <c r="W9" s="1529">
        <v>97.078000000000003</v>
      </c>
      <c r="X9" s="1529">
        <v>125.166</v>
      </c>
      <c r="Y9" s="1527">
        <f t="shared" si="1"/>
        <v>125.166</v>
      </c>
      <c r="Z9" s="1528"/>
      <c r="AA9" s="1529">
        <v>252.52199999999999</v>
      </c>
      <c r="AB9" s="1529">
        <v>319.28800000000001</v>
      </c>
      <c r="AC9" s="1529">
        <v>306.90199999999999</v>
      </c>
      <c r="AD9" s="1529">
        <v>323.02800000000002</v>
      </c>
      <c r="AE9" s="1527">
        <f t="shared" si="2"/>
        <v>323.02800000000002</v>
      </c>
      <c r="AF9" s="1528"/>
      <c r="AG9" s="1529">
        <v>481.61399999999998</v>
      </c>
      <c r="AH9" s="1529">
        <v>520.13400000000001</v>
      </c>
      <c r="AI9" s="1529">
        <v>539.32299999999998</v>
      </c>
      <c r="AJ9" s="1529">
        <v>645.51800000000003</v>
      </c>
      <c r="AK9" s="1527">
        <f t="shared" si="3"/>
        <v>645.51800000000003</v>
      </c>
      <c r="AL9" s="1528"/>
      <c r="AM9" s="1529">
        <v>673.81299999999999</v>
      </c>
      <c r="AN9" s="1529">
        <v>559.31799999999998</v>
      </c>
      <c r="AO9" s="1529">
        <f>684.685</f>
        <v>684.68499999999995</v>
      </c>
      <c r="AP9" s="1529">
        <v>777.04899999999998</v>
      </c>
      <c r="AQ9" s="1527">
        <f t="shared" si="4"/>
        <v>777.04899999999998</v>
      </c>
      <c r="AR9" s="1528"/>
      <c r="AS9" s="1529">
        <v>1003.57</v>
      </c>
      <c r="AT9" s="1529">
        <v>816.60699999999997</v>
      </c>
      <c r="AU9" s="1529">
        <v>499.89600000000002</v>
      </c>
      <c r="AV9" s="1529">
        <v>332.79199999999997</v>
      </c>
      <c r="AW9" s="1527">
        <f t="shared" si="5"/>
        <v>332.79199999999997</v>
      </c>
      <c r="AX9" s="1528"/>
      <c r="AY9" s="1529">
        <v>225.47499999999999</v>
      </c>
      <c r="AZ9" s="1529">
        <f>190.475</f>
        <v>190.47499999999999</v>
      </c>
      <c r="BA9" s="1529">
        <v>855.9</v>
      </c>
      <c r="BB9" s="1529">
        <v>1438</v>
      </c>
      <c r="BC9" s="1527">
        <f t="shared" si="6"/>
        <v>1438</v>
      </c>
      <c r="BD9" s="1528"/>
      <c r="BE9" s="1529">
        <v>2135.8519999999999</v>
      </c>
      <c r="BF9" s="1529">
        <v>2492.0129999999999</v>
      </c>
      <c r="BG9" s="1529">
        <v>2151.7829999999999</v>
      </c>
      <c r="BH9" s="1529">
        <v>2746</v>
      </c>
      <c r="BI9" s="1527">
        <f t="shared" si="7"/>
        <v>2746</v>
      </c>
      <c r="BJ9" s="1528"/>
      <c r="BK9" s="1529">
        <v>2544</v>
      </c>
      <c r="BL9" s="1529">
        <v>2468</v>
      </c>
      <c r="BM9" s="1529">
        <v>1952</v>
      </c>
      <c r="BN9" s="1529">
        <v>1782</v>
      </c>
      <c r="BO9" s="1527">
        <f t="shared" si="8"/>
        <v>1782</v>
      </c>
      <c r="BP9" s="1528"/>
      <c r="BQ9" s="1529">
        <v>3164</v>
      </c>
      <c r="BR9" s="1529">
        <v>3901</v>
      </c>
      <c r="BS9" s="1529">
        <v>3826</v>
      </c>
      <c r="BT9" s="1529">
        <v>4449</v>
      </c>
      <c r="BU9" s="1527">
        <f t="shared" si="9"/>
        <v>4449</v>
      </c>
      <c r="BV9" s="1528"/>
      <c r="BW9" s="1529">
        <v>6096</v>
      </c>
      <c r="BX9" s="1529">
        <v>3531</v>
      </c>
      <c r="BY9" s="1529">
        <v>1911</v>
      </c>
      <c r="BZ9" s="1529">
        <v>877</v>
      </c>
      <c r="CA9" s="1527">
        <f t="shared" si="10"/>
        <v>877</v>
      </c>
      <c r="CB9" s="1528"/>
      <c r="CC9" s="1529">
        <v>842</v>
      </c>
      <c r="CD9" s="1529">
        <v>566</v>
      </c>
      <c r="CE9" s="1529">
        <v>843</v>
      </c>
      <c r="CF9" s="1529">
        <v>946</v>
      </c>
      <c r="CG9" s="1530">
        <f t="shared" si="11"/>
        <v>946</v>
      </c>
      <c r="CH9" s="1528"/>
      <c r="CI9" s="1529">
        <v>2852</v>
      </c>
      <c r="CJ9" s="1529">
        <v>3141</v>
      </c>
      <c r="CK9" s="1529">
        <v>1195</v>
      </c>
      <c r="CL9" s="1529">
        <v>802</v>
      </c>
      <c r="CM9" s="1530">
        <f t="shared" si="12"/>
        <v>802</v>
      </c>
      <c r="CN9" s="1528"/>
      <c r="CO9" s="1529">
        <v>1288</v>
      </c>
      <c r="CP9" s="1529">
        <v>1699</v>
      </c>
      <c r="CQ9" s="1529">
        <v>2097</v>
      </c>
      <c r="CR9" s="1529">
        <v>2781</v>
      </c>
      <c r="CS9" s="1530">
        <f t="shared" si="13"/>
        <v>2781</v>
      </c>
      <c r="CT9" s="1531"/>
      <c r="CU9" s="1529">
        <v>4468</v>
      </c>
      <c r="CV9" s="1529">
        <v>3293</v>
      </c>
      <c r="CW9" s="1529">
        <v>3083</v>
      </c>
      <c r="CX9" s="1529">
        <v>3629</v>
      </c>
      <c r="CY9" s="1530">
        <f t="shared" si="14"/>
        <v>3629</v>
      </c>
      <c r="CZ9" s="1528"/>
      <c r="DA9" s="1529">
        <v>4467</v>
      </c>
      <c r="DB9" s="1529">
        <v>5865</v>
      </c>
      <c r="DC9" s="1529">
        <v>8158</v>
      </c>
      <c r="DD9" s="1529">
        <v>8555</v>
      </c>
      <c r="DE9" s="1530">
        <f t="shared" si="15"/>
        <v>8555</v>
      </c>
      <c r="DF9" s="1528"/>
      <c r="DG9" s="1529">
        <v>11619</v>
      </c>
      <c r="DH9" s="1529">
        <v>14425</v>
      </c>
      <c r="DI9" s="1529">
        <v>12491</v>
      </c>
      <c r="DJ9" s="1529">
        <v>12685</v>
      </c>
      <c r="DK9" s="1530">
        <f t="shared" si="16"/>
        <v>12685</v>
      </c>
      <c r="DL9" s="1528"/>
      <c r="DM9" s="1529">
        <v>18498</v>
      </c>
      <c r="DN9" s="1529">
        <v>17726</v>
      </c>
      <c r="DO9" s="1529">
        <v>15961</v>
      </c>
      <c r="DP9" s="1529">
        <v>15721</v>
      </c>
      <c r="DQ9" s="1530">
        <f t="shared" si="17"/>
        <v>15721</v>
      </c>
      <c r="DR9" s="1528"/>
      <c r="DS9" s="1529">
        <v>15940</v>
      </c>
      <c r="DT9" s="1529">
        <v>17783</v>
      </c>
      <c r="DU9" s="1529">
        <v>17306</v>
      </c>
      <c r="DV9" s="1529">
        <v>17603</v>
      </c>
      <c r="DW9" s="1530">
        <f t="shared" si="18"/>
        <v>17603</v>
      </c>
      <c r="DX9" s="1528"/>
      <c r="DY9" s="1529">
        <f>19440</f>
        <v>19440</v>
      </c>
      <c r="DZ9" s="1529">
        <v>22080</v>
      </c>
      <c r="EA9" s="1529">
        <v>20393</v>
      </c>
      <c r="EB9" s="1529">
        <v>21050</v>
      </c>
      <c r="EC9" s="1530">
        <f t="shared" si="19"/>
        <v>21050</v>
      </c>
      <c r="ED9" s="1528"/>
      <c r="EE9" s="1529">
        <v>27437</v>
      </c>
      <c r="EF9" s="1529">
        <v>28580</v>
      </c>
      <c r="EG9" s="1529">
        <v>30076</v>
      </c>
      <c r="EH9" s="1529">
        <v>32652</v>
      </c>
      <c r="EI9" s="1530">
        <f t="shared" si="20"/>
        <v>32652</v>
      </c>
      <c r="EJ9" s="1528"/>
      <c r="EK9" s="1529">
        <v>39191</v>
      </c>
      <c r="EL9" s="1529">
        <v>34924</v>
      </c>
      <c r="EM9" s="1529">
        <v>35184</v>
      </c>
      <c r="EN9" s="1529">
        <v>35973</v>
      </c>
      <c r="EO9" s="1530">
        <f t="shared" si="21"/>
        <v>35973</v>
      </c>
      <c r="EP9" s="1528"/>
      <c r="EQ9" s="1529">
        <v>39782</v>
      </c>
      <c r="ER9" s="1529">
        <v>39614</v>
      </c>
      <c r="ES9" s="1529">
        <v>39604</v>
      </c>
      <c r="ET9" s="1529">
        <v>44294</v>
      </c>
      <c r="EU9" s="1530">
        <f t="shared" si="22"/>
        <v>44294</v>
      </c>
      <c r="EV9" s="1528"/>
      <c r="EW9" s="1529">
        <v>45576</v>
      </c>
      <c r="EX9" s="1529">
        <v>50270</v>
      </c>
      <c r="EY9" s="1529">
        <v>50968</v>
      </c>
      <c r="EZ9" s="1532">
        <f>EY9</f>
        <v>50968</v>
      </c>
      <c r="FA9" s="1530">
        <f t="shared" si="23"/>
        <v>50968</v>
      </c>
      <c r="FB9" s="1528"/>
      <c r="FC9" s="1532">
        <f>EZ9</f>
        <v>50968</v>
      </c>
      <c r="FD9" s="1532">
        <f>FC9</f>
        <v>50968</v>
      </c>
      <c r="FE9" s="1532">
        <f>FD9</f>
        <v>50968</v>
      </c>
      <c r="FF9" s="1532">
        <f>FE9</f>
        <v>50968</v>
      </c>
      <c r="FG9" s="1530">
        <f t="shared" si="24"/>
        <v>50968</v>
      </c>
      <c r="FH9" s="1528"/>
      <c r="FI9" s="1532">
        <f>FF9</f>
        <v>50968</v>
      </c>
      <c r="FJ9" s="1532">
        <f>FI9</f>
        <v>50968</v>
      </c>
      <c r="FK9" s="1532">
        <f>FJ9</f>
        <v>50968</v>
      </c>
      <c r="FL9" s="1532">
        <f>FK9</f>
        <v>50968</v>
      </c>
      <c r="FM9" s="1530">
        <f t="shared" si="25"/>
        <v>50968</v>
      </c>
      <c r="FN9" s="1524"/>
      <c r="FO9" s="1524"/>
      <c r="FP9" s="1524"/>
      <c r="FQ9" s="1524"/>
      <c r="FR9"/>
      <c r="FS9"/>
      <c r="FT9"/>
      <c r="FU9"/>
      <c r="FV9"/>
      <c r="FW9"/>
      <c r="FX9" s="1524"/>
      <c r="FY9" s="1522"/>
      <c r="FZ9" s="1522"/>
      <c r="GA9" s="1522"/>
      <c r="GB9" s="1522"/>
      <c r="GC9" s="1522"/>
      <c r="GD9" s="1522"/>
      <c r="GE9" s="1522"/>
      <c r="GF9" s="1522"/>
      <c r="GG9" s="1522"/>
      <c r="GH9" s="1522"/>
      <c r="GI9" s="1522"/>
      <c r="GJ9" s="1522"/>
      <c r="GK9" s="1522"/>
      <c r="GL9" s="1522"/>
      <c r="GM9" s="1522"/>
      <c r="GN9" s="1522"/>
      <c r="GO9" s="1522"/>
      <c r="GP9" s="1522"/>
      <c r="GQ9" s="1522"/>
      <c r="GR9" s="1522"/>
      <c r="GS9" s="1522"/>
      <c r="GT9" s="1522"/>
      <c r="GU9" s="1522"/>
      <c r="GV9" s="1522"/>
      <c r="GW9" s="1522"/>
      <c r="GX9" s="1522"/>
      <c r="GY9" s="1522"/>
      <c r="GZ9" s="1522"/>
      <c r="HA9" s="1522"/>
      <c r="HB9" s="1522"/>
      <c r="HC9" s="1522"/>
      <c r="HD9" s="1522"/>
      <c r="HE9" s="1522"/>
      <c r="HF9" s="1522"/>
      <c r="HG9" s="1522"/>
      <c r="HH9" s="1522"/>
      <c r="HI9" s="1522"/>
      <c r="HJ9" s="1522"/>
      <c r="HK9" s="1522"/>
      <c r="HL9" s="1522"/>
      <c r="HM9" s="1522"/>
      <c r="HN9" s="1522"/>
      <c r="HO9" s="1522"/>
      <c r="HP9" s="1522"/>
      <c r="HQ9" s="1522"/>
      <c r="HR9" s="1522"/>
      <c r="HS9" s="1522"/>
      <c r="HT9" s="1522"/>
      <c r="HU9" s="1522"/>
      <c r="HV9" s="1522"/>
      <c r="HW9" s="1522"/>
      <c r="HX9" s="1522"/>
      <c r="HY9" s="1522"/>
      <c r="HZ9" s="1522"/>
      <c r="IA9" s="1522"/>
      <c r="IB9" s="1522"/>
      <c r="IC9" s="1522"/>
      <c r="ID9" s="1522"/>
      <c r="IE9" s="1522"/>
      <c r="IF9" s="1522"/>
      <c r="IG9" s="1522"/>
      <c r="IH9" s="1522"/>
      <c r="II9" s="1522"/>
      <c r="IJ9" s="1522"/>
      <c r="IK9" s="1522"/>
      <c r="IL9" s="1522"/>
      <c r="IM9" s="1522"/>
      <c r="IN9" s="1522"/>
      <c r="IO9" s="1522"/>
      <c r="IP9" s="1522"/>
      <c r="IQ9" s="1522"/>
      <c r="IR9" s="1522"/>
      <c r="IS9" s="1522"/>
      <c r="IT9" s="1522"/>
      <c r="IU9" s="1522"/>
      <c r="IV9" s="1522"/>
      <c r="IW9" s="1522"/>
      <c r="IX9" s="1522"/>
      <c r="IY9" s="1522"/>
      <c r="IZ9" s="1522"/>
      <c r="JA9" s="1522"/>
      <c r="JB9" s="1522"/>
      <c r="JC9" s="1522"/>
      <c r="JD9" s="1522"/>
      <c r="JE9" s="1522"/>
      <c r="JF9" s="1522"/>
      <c r="JG9" s="1522"/>
      <c r="JH9" s="1522"/>
      <c r="JI9" s="1522"/>
      <c r="JJ9" s="1522"/>
      <c r="JK9" s="1522"/>
      <c r="JL9" s="1522"/>
      <c r="JM9" s="1522"/>
      <c r="JN9" s="1522"/>
    </row>
    <row r="10" spans="1:274" s="1523" customFormat="1" ht="10.5" customHeight="1" x14ac:dyDescent="0.2">
      <c r="A10" s="1524" t="s">
        <v>399</v>
      </c>
      <c r="B10" s="1517"/>
      <c r="C10" s="1525" t="s">
        <v>945</v>
      </c>
      <c r="D10" s="1525">
        <v>9.032</v>
      </c>
      <c r="E10" s="1525">
        <v>26.553999999999998</v>
      </c>
      <c r="F10" s="1525">
        <v>65.204999999999998</v>
      </c>
      <c r="G10" s="1525">
        <v>129.999</v>
      </c>
      <c r="H10" s="1525">
        <v>261.98899999999998</v>
      </c>
      <c r="I10" s="1525">
        <v>468.07100000000003</v>
      </c>
      <c r="J10" s="1525">
        <v>385.98500000000001</v>
      </c>
      <c r="K10" s="1525">
        <v>360.94600000000003</v>
      </c>
      <c r="L10" s="1525">
        <v>359.36</v>
      </c>
      <c r="M10" s="1525">
        <v>455.88400000000001</v>
      </c>
      <c r="N10" s="1533"/>
      <c r="O10" s="1524">
        <v>436.18200000000002</v>
      </c>
      <c r="P10" s="1524">
        <v>539.26300000000003</v>
      </c>
      <c r="Q10" s="1524">
        <v>558.65899999999999</v>
      </c>
      <c r="R10" s="1524">
        <v>764.73400000000004</v>
      </c>
      <c r="S10" s="1527">
        <f t="shared" si="0"/>
        <v>764.73400000000004</v>
      </c>
      <c r="T10" s="1534"/>
      <c r="U10" s="1529">
        <v>611.06299999999999</v>
      </c>
      <c r="V10" s="1529">
        <v>766.91800000000001</v>
      </c>
      <c r="W10" s="1529">
        <v>774.52300000000002</v>
      </c>
      <c r="X10" s="1529">
        <v>1084.8579999999999</v>
      </c>
      <c r="Y10" s="1527">
        <f t="shared" si="1"/>
        <v>1084.8579999999999</v>
      </c>
      <c r="Z10" s="1534"/>
      <c r="AA10" s="1529">
        <v>899.94200000000001</v>
      </c>
      <c r="AB10" s="1529">
        <v>1083.9960000000001</v>
      </c>
      <c r="AC10" s="1529">
        <v>1102.175</v>
      </c>
      <c r="AD10" s="1529">
        <v>1540.47</v>
      </c>
      <c r="AE10" s="1527">
        <f t="shared" si="2"/>
        <v>1540.47</v>
      </c>
      <c r="AF10" s="1534"/>
      <c r="AG10" s="1529">
        <v>1183.4079999999999</v>
      </c>
      <c r="AH10" s="1529">
        <v>1321.3679999999999</v>
      </c>
      <c r="AI10" s="1529">
        <v>1322.7809999999999</v>
      </c>
      <c r="AJ10" s="1529">
        <v>1857.48</v>
      </c>
      <c r="AK10" s="1527">
        <f t="shared" si="3"/>
        <v>1857.48</v>
      </c>
      <c r="AL10" s="1534"/>
      <c r="AM10" s="1529">
        <v>1351.4159999999999</v>
      </c>
      <c r="AN10" s="1529">
        <v>1604.336</v>
      </c>
      <c r="AO10" s="1529">
        <v>1563.8530000000001</v>
      </c>
      <c r="AP10" s="1529">
        <v>2238.2040000000002</v>
      </c>
      <c r="AQ10" s="1527">
        <f t="shared" si="4"/>
        <v>2238.2040000000002</v>
      </c>
      <c r="AR10" s="1534"/>
      <c r="AS10" s="1529">
        <v>1514.095</v>
      </c>
      <c r="AT10" s="1529">
        <v>1768.914</v>
      </c>
      <c r="AU10" s="1529">
        <v>1848.721</v>
      </c>
      <c r="AV10" s="1529">
        <v>2533.9639999999999</v>
      </c>
      <c r="AW10" s="1527">
        <f t="shared" si="5"/>
        <v>2533.9639999999999</v>
      </c>
      <c r="AX10" s="1534"/>
      <c r="AY10" s="1529">
        <v>1696.32</v>
      </c>
      <c r="AZ10" s="1529">
        <f>1935.767</f>
        <v>1935.7670000000001</v>
      </c>
      <c r="BA10" s="1529">
        <v>1952.1189999999999</v>
      </c>
      <c r="BB10" s="1529">
        <v>2432</v>
      </c>
      <c r="BC10" s="1527">
        <f t="shared" si="6"/>
        <v>2432</v>
      </c>
      <c r="BD10" s="1534"/>
      <c r="BE10" s="1529">
        <v>1759.8789999999999</v>
      </c>
      <c r="BF10" s="1529">
        <v>1812.6179999999999</v>
      </c>
      <c r="BG10" s="1529">
        <f>1621.413</f>
        <v>1621.413</v>
      </c>
      <c r="BH10" s="1529">
        <v>2036</v>
      </c>
      <c r="BI10" s="1527">
        <f t="shared" si="7"/>
        <v>2036</v>
      </c>
      <c r="BJ10" s="1534"/>
      <c r="BK10" s="1529">
        <v>1362</v>
      </c>
      <c r="BL10" s="1529">
        <v>1529</v>
      </c>
      <c r="BM10" s="1529">
        <v>1421</v>
      </c>
      <c r="BN10" s="1529">
        <v>1920</v>
      </c>
      <c r="BO10" s="1527">
        <f t="shared" si="8"/>
        <v>1920</v>
      </c>
      <c r="BP10" s="1534"/>
      <c r="BQ10" s="1529">
        <v>1346</v>
      </c>
      <c r="BR10" s="1529">
        <v>1547</v>
      </c>
      <c r="BS10" s="1529">
        <v>1545</v>
      </c>
      <c r="BT10" s="1529">
        <v>2012</v>
      </c>
      <c r="BU10" s="1527">
        <f t="shared" si="9"/>
        <v>2012</v>
      </c>
      <c r="BV10" s="1534"/>
      <c r="BW10" s="1529">
        <v>1233</v>
      </c>
      <c r="BX10" s="1529">
        <v>1532</v>
      </c>
      <c r="BY10" s="1529">
        <v>1856</v>
      </c>
      <c r="BZ10" s="1529">
        <v>2570</v>
      </c>
      <c r="CA10" s="1527">
        <f t="shared" si="10"/>
        <v>2570</v>
      </c>
      <c r="CB10" s="1534"/>
      <c r="CC10" s="1529">
        <v>1651</v>
      </c>
      <c r="CD10" s="1529">
        <v>1976</v>
      </c>
      <c r="CE10" s="1529">
        <f>2201</f>
        <v>2201</v>
      </c>
      <c r="CF10" s="1529">
        <f>3022</f>
        <v>3022</v>
      </c>
      <c r="CG10" s="1530">
        <f t="shared" si="11"/>
        <v>3022</v>
      </c>
      <c r="CH10" s="1534"/>
      <c r="CI10" s="1529">
        <f>2118</f>
        <v>2118</v>
      </c>
      <c r="CJ10" s="1529">
        <v>2543</v>
      </c>
      <c r="CK10" s="1529">
        <v>2795</v>
      </c>
      <c r="CL10" s="1529">
        <v>4074</v>
      </c>
      <c r="CM10" s="1530">
        <f t="shared" si="12"/>
        <v>4074</v>
      </c>
      <c r="CN10" s="1534"/>
      <c r="CO10" s="1529">
        <v>2735</v>
      </c>
      <c r="CP10" s="1529">
        <v>3264</v>
      </c>
      <c r="CQ10" s="1529">
        <v>3235</v>
      </c>
      <c r="CR10" s="1529">
        <v>5127</v>
      </c>
      <c r="CS10" s="1530">
        <f t="shared" si="13"/>
        <v>5127</v>
      </c>
      <c r="CT10" s="1531"/>
      <c r="CU10" s="1529">
        <v>3260</v>
      </c>
      <c r="CV10" s="1529">
        <v>3253</v>
      </c>
      <c r="CW10" s="1529">
        <v>3025</v>
      </c>
      <c r="CX10" s="1529">
        <v>4430</v>
      </c>
      <c r="CY10" s="1530">
        <f t="shared" si="14"/>
        <v>4430</v>
      </c>
      <c r="CZ10" s="1534"/>
      <c r="DA10" s="1529">
        <v>2584</v>
      </c>
      <c r="DB10" s="1529">
        <v>3086</v>
      </c>
      <c r="DC10" s="1529">
        <v>3898</v>
      </c>
      <c r="DD10" s="1529">
        <v>5585</v>
      </c>
      <c r="DE10" s="1530">
        <f t="shared" si="15"/>
        <v>5585</v>
      </c>
      <c r="DF10" s="1534"/>
      <c r="DG10" s="1529">
        <v>3721</v>
      </c>
      <c r="DH10" s="1529">
        <v>4406</v>
      </c>
      <c r="DI10" s="1529">
        <v>4495</v>
      </c>
      <c r="DJ10" s="1529">
        <v>6628</v>
      </c>
      <c r="DK10" s="1530">
        <f t="shared" si="16"/>
        <v>6628</v>
      </c>
      <c r="DL10" s="1534"/>
      <c r="DM10" s="1529">
        <v>4194</v>
      </c>
      <c r="DN10" s="1529">
        <v>4434</v>
      </c>
      <c r="DO10" s="1529">
        <v>4656</v>
      </c>
      <c r="DP10" s="1529">
        <v>6377</v>
      </c>
      <c r="DQ10" s="1530">
        <f>DP10</f>
        <v>6377</v>
      </c>
      <c r="DR10" s="1534"/>
      <c r="DS10" s="1529">
        <v>3775</v>
      </c>
      <c r="DT10" s="1529">
        <v>4401</v>
      </c>
      <c r="DU10" s="1529">
        <v>4169</v>
      </c>
      <c r="DV10" s="1529">
        <v>6049</v>
      </c>
      <c r="DW10" s="1530">
        <f>DV10</f>
        <v>6049</v>
      </c>
      <c r="DX10" s="1534"/>
      <c r="DY10" s="1529">
        <f>3450</f>
        <v>3450</v>
      </c>
      <c r="DZ10" s="1529">
        <v>4192</v>
      </c>
      <c r="EA10" s="1529">
        <v>4071</v>
      </c>
      <c r="EB10" s="1529">
        <v>6087</v>
      </c>
      <c r="EC10" s="1530">
        <f>EB10</f>
        <v>6087</v>
      </c>
      <c r="ED10" s="1534"/>
      <c r="EE10" s="1529">
        <v>3551</v>
      </c>
      <c r="EF10" s="1529">
        <v>4326</v>
      </c>
      <c r="EG10" s="1529">
        <v>4178</v>
      </c>
      <c r="EH10" s="1529">
        <v>5618</v>
      </c>
      <c r="EI10" s="1530">
        <f>EH10</f>
        <v>5618</v>
      </c>
      <c r="EJ10" s="1534"/>
      <c r="EK10" s="1529">
        <v>3475</v>
      </c>
      <c r="EL10" s="1529">
        <v>3956</v>
      </c>
      <c r="EM10" s="1529">
        <v>3844</v>
      </c>
      <c r="EN10" s="1529">
        <v>5385</v>
      </c>
      <c r="EO10" s="1530">
        <f>EN10</f>
        <v>5385</v>
      </c>
      <c r="EP10" s="1534"/>
      <c r="EQ10" s="1529">
        <v>3407</v>
      </c>
      <c r="ER10" s="1529">
        <v>3690</v>
      </c>
      <c r="ES10" s="1529">
        <v>3721</v>
      </c>
      <c r="ET10" s="1529">
        <v>5300</v>
      </c>
      <c r="EU10" s="1530">
        <f>ET10</f>
        <v>5300</v>
      </c>
      <c r="EV10" s="1534"/>
      <c r="EW10" s="1529">
        <v>3591</v>
      </c>
      <c r="EX10" s="1529">
        <v>3798</v>
      </c>
      <c r="EY10" s="1529">
        <v>3902</v>
      </c>
      <c r="EZ10" s="1529">
        <f>(EZ102*Model!EZ91)/90</f>
        <v>5544.7908177887321</v>
      </c>
      <c r="FA10" s="1530">
        <f t="shared" si="23"/>
        <v>5544.7908177887321</v>
      </c>
      <c r="FB10" s="1534"/>
      <c r="FC10" s="1529">
        <f>(FC102*Model!FC91)/90</f>
        <v>3828.6267712162062</v>
      </c>
      <c r="FD10" s="1529">
        <f>(FD102*Model!FD91)/90</f>
        <v>4047.6874153901058</v>
      </c>
      <c r="FE10" s="1529">
        <f>(FE102*Model!FE91)/90</f>
        <v>4140.1943213442692</v>
      </c>
      <c r="FF10" s="1529">
        <f>(FF102*Model!FF91)/90</f>
        <v>5777.4421468946211</v>
      </c>
      <c r="FG10" s="1530">
        <f t="shared" si="24"/>
        <v>5777.4421468946211</v>
      </c>
      <c r="FH10" s="1534"/>
      <c r="FI10" s="1529">
        <f>(FI102*Model!FI91)/90</f>
        <v>4095.5090540998053</v>
      </c>
      <c r="FJ10" s="1529">
        <f>(FJ102*Model!FJ91)/90</f>
        <v>4308.9853225638781</v>
      </c>
      <c r="FK10" s="1529">
        <f>(FK102*Model!FK91)/90</f>
        <v>4399.032880844894</v>
      </c>
      <c r="FL10" s="1529">
        <f>(FL102*Model!FL91)/90</f>
        <v>6045.4530023826856</v>
      </c>
      <c r="FM10" s="1530">
        <f t="shared" si="25"/>
        <v>6045.4530023826856</v>
      </c>
      <c r="FN10" s="1524"/>
      <c r="FO10" s="1524"/>
      <c r="FP10" s="1524"/>
      <c r="FQ10" s="1524"/>
      <c r="FR10"/>
      <c r="FS10"/>
      <c r="FT10"/>
      <c r="FU10"/>
      <c r="FV10"/>
      <c r="FW10"/>
      <c r="FX10" s="1524"/>
      <c r="FY10" s="1522"/>
      <c r="FZ10" s="1522"/>
      <c r="GA10" s="1522"/>
      <c r="GB10" s="1522"/>
      <c r="GC10" s="1522"/>
      <c r="GD10" s="1522"/>
      <c r="GE10" s="1522"/>
      <c r="GF10" s="1522"/>
      <c r="GG10" s="1522"/>
      <c r="GH10" s="1522"/>
      <c r="GI10" s="1522"/>
      <c r="GJ10" s="1522"/>
      <c r="GK10" s="1522"/>
      <c r="GL10" s="1522"/>
      <c r="GM10" s="1522"/>
      <c r="GN10" s="1522"/>
      <c r="GO10" s="1522"/>
      <c r="GP10" s="1522"/>
      <c r="GQ10" s="1522"/>
      <c r="GR10" s="1522"/>
      <c r="GS10" s="1522"/>
      <c r="GT10" s="1522"/>
      <c r="GU10" s="1522"/>
      <c r="GV10" s="1522"/>
      <c r="GW10" s="1522"/>
      <c r="GX10" s="1522"/>
      <c r="GY10" s="1522"/>
      <c r="GZ10" s="1522"/>
      <c r="HA10" s="1522"/>
      <c r="HB10" s="1522"/>
      <c r="HC10" s="1522"/>
      <c r="HD10" s="1522"/>
      <c r="HE10" s="1522"/>
      <c r="HF10" s="1522"/>
      <c r="HG10" s="1522"/>
      <c r="HH10" s="1522"/>
      <c r="HI10" s="1522"/>
      <c r="HJ10" s="1522"/>
      <c r="HK10" s="1522"/>
      <c r="HL10" s="1522"/>
      <c r="HM10" s="1522"/>
      <c r="HN10" s="1522"/>
      <c r="HO10" s="1522"/>
      <c r="HP10" s="1522"/>
      <c r="HQ10" s="1522"/>
      <c r="HR10" s="1522"/>
      <c r="HS10" s="1522"/>
      <c r="HT10" s="1522"/>
      <c r="HU10" s="1522"/>
      <c r="HV10" s="1522"/>
      <c r="HW10" s="1522"/>
      <c r="HX10" s="1522"/>
      <c r="HY10" s="1522"/>
      <c r="HZ10" s="1522"/>
      <c r="IA10" s="1522"/>
      <c r="IB10" s="1522"/>
      <c r="IC10" s="1522"/>
      <c r="ID10" s="1522"/>
      <c r="IE10" s="1522"/>
      <c r="IF10" s="1522"/>
      <c r="IG10" s="1522"/>
      <c r="IH10" s="1522"/>
      <c r="II10" s="1522"/>
      <c r="IJ10" s="1522"/>
      <c r="IK10" s="1522"/>
      <c r="IL10" s="1522"/>
      <c r="IM10" s="1522"/>
      <c r="IN10" s="1522"/>
      <c r="IO10" s="1522"/>
      <c r="IP10" s="1522"/>
      <c r="IQ10" s="1522"/>
      <c r="IR10" s="1522"/>
      <c r="IS10" s="1522"/>
      <c r="IT10" s="1522"/>
      <c r="IU10" s="1522"/>
      <c r="IV10" s="1522"/>
      <c r="IW10" s="1522"/>
      <c r="IX10" s="1522"/>
      <c r="IY10" s="1522"/>
      <c r="IZ10" s="1522"/>
      <c r="JA10" s="1522"/>
      <c r="JB10" s="1522"/>
      <c r="JC10" s="1522"/>
      <c r="JD10" s="1522"/>
      <c r="JE10" s="1522"/>
      <c r="JF10" s="1522"/>
      <c r="JG10" s="1522"/>
      <c r="JH10" s="1522"/>
      <c r="JI10" s="1522"/>
      <c r="JJ10" s="1522"/>
      <c r="JK10" s="1522"/>
      <c r="JL10" s="1522"/>
      <c r="JM10" s="1522"/>
      <c r="JN10" s="1522"/>
    </row>
    <row r="11" spans="1:274" s="1523" customFormat="1" ht="10.5" hidden="1" customHeight="1" outlineLevel="1" x14ac:dyDescent="0.2">
      <c r="A11" s="1524" t="s">
        <v>362</v>
      </c>
      <c r="B11" s="1517"/>
      <c r="C11" s="1525" t="s">
        <v>945</v>
      </c>
      <c r="D11" s="1525">
        <v>3.9E-2</v>
      </c>
      <c r="E11" s="1525">
        <v>1.139</v>
      </c>
      <c r="F11" s="1525">
        <v>4.0140000000000002</v>
      </c>
      <c r="G11" s="1525">
        <v>9.3780000000000001</v>
      </c>
      <c r="H11" s="1525">
        <v>16.175000000000001</v>
      </c>
      <c r="I11" s="1525">
        <v>28.899000000000001</v>
      </c>
      <c r="J11" s="1525">
        <v>37.621000000000002</v>
      </c>
      <c r="K11" s="1525">
        <v>40.072000000000003</v>
      </c>
      <c r="L11" s="1525">
        <v>46.228999999999999</v>
      </c>
      <c r="M11" s="1525">
        <v>59.784999999999997</v>
      </c>
      <c r="N11" s="1524"/>
      <c r="O11" s="1525" t="s">
        <v>945</v>
      </c>
      <c r="P11" s="1525" t="s">
        <v>945</v>
      </c>
      <c r="Q11" s="1525" t="s">
        <v>945</v>
      </c>
      <c r="R11" s="1525" t="s">
        <v>945</v>
      </c>
      <c r="S11" s="1527" t="str">
        <f t="shared" si="0"/>
        <v>-</v>
      </c>
      <c r="T11" s="1529"/>
      <c r="U11" s="1527" t="s">
        <v>945</v>
      </c>
      <c r="V11" s="1527" t="s">
        <v>945</v>
      </c>
      <c r="W11" s="1527" t="s">
        <v>945</v>
      </c>
      <c r="X11" s="1527" t="s">
        <v>945</v>
      </c>
      <c r="Y11" s="1527" t="str">
        <f t="shared" si="1"/>
        <v>-</v>
      </c>
      <c r="Z11" s="1529"/>
      <c r="AA11" s="1527" t="s">
        <v>945</v>
      </c>
      <c r="AB11" s="1527" t="s">
        <v>945</v>
      </c>
      <c r="AC11" s="1527" t="s">
        <v>945</v>
      </c>
      <c r="AD11" s="1527" t="s">
        <v>945</v>
      </c>
      <c r="AE11" s="1527" t="str">
        <f t="shared" si="2"/>
        <v>-</v>
      </c>
      <c r="AF11" s="1529"/>
      <c r="AG11" s="1529">
        <v>0</v>
      </c>
      <c r="AH11" s="1529">
        <v>0</v>
      </c>
      <c r="AI11" s="1529">
        <v>0</v>
      </c>
      <c r="AJ11" s="1529">
        <v>207.54400000000001</v>
      </c>
      <c r="AK11" s="1527">
        <f t="shared" si="3"/>
        <v>207.54400000000001</v>
      </c>
      <c r="AL11" s="1529"/>
      <c r="AM11" s="1529">
        <v>0</v>
      </c>
      <c r="AN11" s="1529">
        <v>0</v>
      </c>
      <c r="AO11" s="1529">
        <v>0</v>
      </c>
      <c r="AP11" s="1529">
        <v>240.792</v>
      </c>
      <c r="AQ11" s="1527">
        <f t="shared" si="4"/>
        <v>240.792</v>
      </c>
      <c r="AR11" s="1529"/>
      <c r="AS11" s="1529">
        <v>161.70500000000001</v>
      </c>
      <c r="AT11" s="1529">
        <v>171.262</v>
      </c>
      <c r="AU11" s="1529">
        <v>183.74199999999999</v>
      </c>
      <c r="AV11" s="1529">
        <v>256.20299999999997</v>
      </c>
      <c r="AW11" s="1527">
        <f t="shared" si="5"/>
        <v>256.20299999999997</v>
      </c>
      <c r="AX11" s="1529"/>
      <c r="AY11" s="1529">
        <v>162.84700000000001</v>
      </c>
      <c r="AZ11" s="1529">
        <v>0</v>
      </c>
      <c r="BA11" s="1529">
        <v>0</v>
      </c>
      <c r="BB11" s="1529">
        <v>282</v>
      </c>
      <c r="BC11" s="1527">
        <f t="shared" si="6"/>
        <v>282</v>
      </c>
      <c r="BD11" s="1529"/>
      <c r="BE11" s="1529">
        <v>203.46899999999999</v>
      </c>
      <c r="BF11" s="1529">
        <v>214.76599999999999</v>
      </c>
      <c r="BG11" s="1529">
        <v>210.114</v>
      </c>
      <c r="BH11" s="1529">
        <v>293</v>
      </c>
      <c r="BI11" s="1527">
        <f t="shared" si="7"/>
        <v>293</v>
      </c>
      <c r="BJ11" s="1529"/>
      <c r="BK11" s="1529">
        <v>187</v>
      </c>
      <c r="BL11" s="1529">
        <v>205</v>
      </c>
      <c r="BM11" s="1529">
        <v>218</v>
      </c>
      <c r="BN11" s="1529">
        <v>301</v>
      </c>
      <c r="BO11" s="1527">
        <f t="shared" si="8"/>
        <v>301</v>
      </c>
      <c r="BP11" s="1529"/>
      <c r="BQ11" s="1529">
        <v>184</v>
      </c>
      <c r="BR11" s="1529">
        <v>209</v>
      </c>
      <c r="BS11" s="1529">
        <v>225</v>
      </c>
      <c r="BT11" s="1529">
        <v>322</v>
      </c>
      <c r="BU11" s="1527">
        <f t="shared" si="9"/>
        <v>322</v>
      </c>
      <c r="BV11" s="1529"/>
      <c r="BW11" s="1529">
        <v>177</v>
      </c>
      <c r="BX11" s="1529">
        <v>212</v>
      </c>
      <c r="BY11" s="1529">
        <v>244</v>
      </c>
      <c r="BZ11" s="1529">
        <v>330</v>
      </c>
      <c r="CA11" s="1529">
        <f t="shared" si="10"/>
        <v>330</v>
      </c>
      <c r="CB11" s="1529"/>
      <c r="CC11" s="1535">
        <v>196</v>
      </c>
      <c r="CD11" s="1529">
        <v>229</v>
      </c>
      <c r="CE11" s="1529">
        <v>264</v>
      </c>
      <c r="CF11" s="1529">
        <v>398</v>
      </c>
      <c r="CG11" s="1536">
        <f t="shared" si="11"/>
        <v>398</v>
      </c>
      <c r="CH11" s="1529"/>
      <c r="CI11" s="1529">
        <v>229</v>
      </c>
      <c r="CJ11" s="1529">
        <v>293</v>
      </c>
      <c r="CK11" s="1529">
        <v>353</v>
      </c>
      <c r="CL11" s="1529">
        <v>515</v>
      </c>
      <c r="CM11" s="1536">
        <f t="shared" si="12"/>
        <v>515</v>
      </c>
      <c r="CN11" s="1529"/>
      <c r="CO11" s="1529">
        <v>0</v>
      </c>
      <c r="CP11" s="1529">
        <v>0</v>
      </c>
      <c r="CQ11" s="1529">
        <v>0</v>
      </c>
      <c r="CR11" s="1529">
        <v>0</v>
      </c>
      <c r="CS11" s="1536">
        <f t="shared" si="13"/>
        <v>0</v>
      </c>
      <c r="CT11" s="1537"/>
      <c r="CU11" s="1529">
        <v>0</v>
      </c>
      <c r="CV11" s="1529">
        <v>0</v>
      </c>
      <c r="CW11" s="1529">
        <v>0</v>
      </c>
      <c r="CX11" s="1529">
        <v>0</v>
      </c>
      <c r="CY11" s="1536">
        <f t="shared" si="14"/>
        <v>0</v>
      </c>
      <c r="CZ11" s="1538"/>
      <c r="DA11" s="1529">
        <v>0</v>
      </c>
      <c r="DB11" s="1529">
        <v>0</v>
      </c>
      <c r="DC11" s="1529">
        <v>0</v>
      </c>
      <c r="DD11" s="1529">
        <v>0</v>
      </c>
      <c r="DE11" s="1536">
        <f t="shared" si="15"/>
        <v>0</v>
      </c>
      <c r="DF11" s="1538"/>
      <c r="DG11" s="1529">
        <v>0</v>
      </c>
      <c r="DH11" s="1529">
        <v>0</v>
      </c>
      <c r="DI11" s="1529">
        <v>0</v>
      </c>
      <c r="DJ11" s="1529">
        <v>0</v>
      </c>
      <c r="DK11" s="1536">
        <f t="shared" si="16"/>
        <v>0</v>
      </c>
      <c r="DL11" s="1538"/>
      <c r="DM11" s="1529">
        <v>0</v>
      </c>
      <c r="DN11" s="1529">
        <v>0</v>
      </c>
      <c r="DO11" s="1529">
        <v>0</v>
      </c>
      <c r="DP11" s="1529">
        <v>0</v>
      </c>
      <c r="DQ11" s="1536">
        <f t="shared" si="17"/>
        <v>0</v>
      </c>
      <c r="DR11" s="1538"/>
      <c r="DS11" s="1529">
        <v>0</v>
      </c>
      <c r="DT11" s="1529">
        <v>0</v>
      </c>
      <c r="DU11" s="1529">
        <f>DU111*ltmrev _1c13</f>
        <v>0</v>
      </c>
      <c r="DV11" s="1529">
        <v>0</v>
      </c>
      <c r="DW11" s="1536">
        <f t="shared" si="18"/>
        <v>0</v>
      </c>
      <c r="DX11" s="1538"/>
      <c r="DY11" s="1529">
        <v>0</v>
      </c>
      <c r="DZ11" s="1529">
        <v>0</v>
      </c>
      <c r="EA11" s="1529">
        <v>0</v>
      </c>
      <c r="EB11" s="1529">
        <v>0</v>
      </c>
      <c r="EC11" s="1536">
        <f t="shared" si="19"/>
        <v>0</v>
      </c>
      <c r="ED11" s="1538"/>
      <c r="EE11" s="1529">
        <v>0</v>
      </c>
      <c r="EF11" s="1529">
        <v>0</v>
      </c>
      <c r="EG11" s="1529">
        <v>0</v>
      </c>
      <c r="EH11" s="1529">
        <v>0</v>
      </c>
      <c r="EI11" s="1536">
        <f t="shared" si="20"/>
        <v>0</v>
      </c>
      <c r="EJ11" s="1538"/>
      <c r="EK11" s="1529">
        <v>0</v>
      </c>
      <c r="EL11" s="1529">
        <v>0</v>
      </c>
      <c r="EM11" s="1529">
        <v>0</v>
      </c>
      <c r="EN11" s="1529">
        <v>0</v>
      </c>
      <c r="EO11" s="1536">
        <f t="shared" si="21"/>
        <v>0</v>
      </c>
      <c r="EP11" s="1538"/>
      <c r="EQ11" s="1529">
        <v>0</v>
      </c>
      <c r="ER11" s="1529">
        <v>0</v>
      </c>
      <c r="ES11" s="1529">
        <v>0</v>
      </c>
      <c r="ET11" s="1529">
        <v>0</v>
      </c>
      <c r="EU11" s="1536">
        <f t="shared" si="22"/>
        <v>0</v>
      </c>
      <c r="EV11" s="1538"/>
      <c r="EW11" s="1529">
        <v>0</v>
      </c>
      <c r="EX11" s="1529">
        <v>0</v>
      </c>
      <c r="EY11" s="1529">
        <v>0</v>
      </c>
      <c r="EZ11" s="1529">
        <f>EZ111*Model!EZ365</f>
        <v>0</v>
      </c>
      <c r="FA11" s="1536">
        <f t="shared" si="23"/>
        <v>0</v>
      </c>
      <c r="FB11" s="1538"/>
      <c r="FC11" s="1529">
        <f>FC111*Model!FC365</f>
        <v>0</v>
      </c>
      <c r="FD11" s="1529">
        <f>FD111*Model!FD365</f>
        <v>0</v>
      </c>
      <c r="FE11" s="1529">
        <f>FE111*Model!FE365</f>
        <v>0</v>
      </c>
      <c r="FF11" s="1529">
        <f>FF111*Model!FF365</f>
        <v>0</v>
      </c>
      <c r="FG11" s="1536">
        <f t="shared" si="24"/>
        <v>0</v>
      </c>
      <c r="FH11" s="1538"/>
      <c r="FI11" s="1529">
        <f>FI111*Model!FI365</f>
        <v>0</v>
      </c>
      <c r="FJ11" s="1529">
        <f>FJ111*Model!FJ365</f>
        <v>0</v>
      </c>
      <c r="FK11" s="1529">
        <f>FK111*Model!FK365</f>
        <v>0</v>
      </c>
      <c r="FL11" s="1529">
        <f>FL111*Model!FL365</f>
        <v>0</v>
      </c>
      <c r="FM11" s="1536">
        <f t="shared" si="25"/>
        <v>0</v>
      </c>
      <c r="FN11" s="1524"/>
      <c r="FO11" s="1524"/>
      <c r="FP11" s="1524"/>
      <c r="FQ11" s="1524"/>
      <c r="FR11"/>
      <c r="FS11"/>
      <c r="FT11"/>
      <c r="FU11"/>
      <c r="FV11"/>
      <c r="FW11"/>
      <c r="FX11" s="1524"/>
      <c r="FY11" s="1522"/>
      <c r="FZ11" s="1522"/>
      <c r="GA11" s="1522"/>
      <c r="GB11" s="1522"/>
      <c r="GC11" s="1522"/>
      <c r="GD11" s="1522"/>
      <c r="GE11" s="1522"/>
      <c r="GF11" s="1522"/>
      <c r="GG11" s="1522"/>
      <c r="GH11" s="1522"/>
      <c r="GI11" s="1522"/>
      <c r="GJ11" s="1522"/>
      <c r="GK11" s="1522"/>
      <c r="GL11" s="1522"/>
      <c r="GM11" s="1522"/>
      <c r="GN11" s="1522"/>
      <c r="GO11" s="1522"/>
      <c r="GP11" s="1522"/>
      <c r="GQ11" s="1522"/>
      <c r="GR11" s="1522"/>
      <c r="GS11" s="1522"/>
      <c r="GT11" s="1522"/>
      <c r="GU11" s="1522"/>
      <c r="GV11" s="1522"/>
      <c r="GW11" s="1522"/>
      <c r="GX11" s="1522"/>
      <c r="GY11" s="1522"/>
      <c r="GZ11" s="1522"/>
      <c r="HA11" s="1522"/>
      <c r="HB11" s="1522"/>
      <c r="HC11" s="1522"/>
      <c r="HD11" s="1522"/>
      <c r="HE11" s="1522"/>
      <c r="HF11" s="1522"/>
      <c r="HG11" s="1522"/>
      <c r="HH11" s="1522"/>
      <c r="HI11" s="1522"/>
      <c r="HJ11" s="1522"/>
      <c r="HK11" s="1522"/>
      <c r="HL11" s="1522"/>
      <c r="HM11" s="1522"/>
      <c r="HN11" s="1522"/>
      <c r="HO11" s="1522"/>
      <c r="HP11" s="1522"/>
      <c r="HQ11" s="1522"/>
      <c r="HR11" s="1522"/>
      <c r="HS11" s="1522"/>
      <c r="HT11" s="1522"/>
      <c r="HU11" s="1522"/>
      <c r="HV11" s="1522"/>
      <c r="HW11" s="1522"/>
      <c r="HX11" s="1522"/>
      <c r="HY11" s="1522"/>
      <c r="HZ11" s="1522"/>
      <c r="IA11" s="1522"/>
      <c r="IB11" s="1522"/>
      <c r="IC11" s="1522"/>
      <c r="ID11" s="1522"/>
      <c r="IE11" s="1522"/>
      <c r="IF11" s="1522"/>
      <c r="IG11" s="1522"/>
      <c r="IH11" s="1522"/>
      <c r="II11" s="1522"/>
      <c r="IJ11" s="1522"/>
      <c r="IK11" s="1522"/>
      <c r="IL11" s="1522"/>
      <c r="IM11" s="1522"/>
      <c r="IN11" s="1522"/>
      <c r="IO11" s="1522"/>
      <c r="IP11" s="1522"/>
      <c r="IQ11" s="1522"/>
      <c r="IR11" s="1522"/>
      <c r="IS11" s="1522"/>
      <c r="IT11" s="1522"/>
      <c r="IU11" s="1522"/>
      <c r="IV11" s="1522"/>
      <c r="IW11" s="1522"/>
      <c r="IX11" s="1522"/>
      <c r="IY11" s="1522"/>
      <c r="IZ11" s="1522"/>
      <c r="JA11" s="1522"/>
      <c r="JB11" s="1522"/>
      <c r="JC11" s="1522"/>
      <c r="JD11" s="1522"/>
      <c r="JE11" s="1522"/>
      <c r="JF11" s="1522"/>
      <c r="JG11" s="1522"/>
      <c r="JH11" s="1522"/>
      <c r="JI11" s="1522"/>
      <c r="JJ11" s="1522"/>
      <c r="JK11" s="1522"/>
      <c r="JL11" s="1522"/>
      <c r="JM11" s="1522"/>
      <c r="JN11" s="1522"/>
    </row>
    <row r="12" spans="1:274" s="1523" customFormat="1" ht="10.5" customHeight="1" collapsed="1" x14ac:dyDescent="0.2">
      <c r="A12" s="1524" t="s">
        <v>222</v>
      </c>
      <c r="B12" s="1517"/>
      <c r="C12" s="1525"/>
      <c r="D12" s="1525"/>
      <c r="E12" s="1525"/>
      <c r="F12" s="1525"/>
      <c r="G12" s="1525"/>
      <c r="H12" s="1525"/>
      <c r="I12" s="1525"/>
      <c r="J12" s="1525"/>
      <c r="K12" s="1525"/>
      <c r="L12" s="1525"/>
      <c r="M12" s="1525"/>
      <c r="N12" s="1524"/>
      <c r="O12" s="1525"/>
      <c r="P12" s="1525"/>
      <c r="Q12" s="1525"/>
      <c r="R12" s="1525"/>
      <c r="S12" s="1527"/>
      <c r="T12" s="1529"/>
      <c r="U12" s="1527"/>
      <c r="V12" s="1527"/>
      <c r="W12" s="1527"/>
      <c r="X12" s="1527"/>
      <c r="Y12" s="1527"/>
      <c r="Z12" s="1529"/>
      <c r="AA12" s="1527"/>
      <c r="AB12" s="1527"/>
      <c r="AC12" s="1527"/>
      <c r="AD12" s="1527"/>
      <c r="AE12" s="1527"/>
      <c r="AF12" s="1529"/>
      <c r="AG12" s="1529"/>
      <c r="AH12" s="1529"/>
      <c r="AI12" s="1529"/>
      <c r="AJ12" s="1529"/>
      <c r="AK12" s="1527"/>
      <c r="AL12" s="1529"/>
      <c r="AM12" s="1529"/>
      <c r="AN12" s="1529"/>
      <c r="AO12" s="1529"/>
      <c r="AP12" s="1529"/>
      <c r="AQ12" s="1527"/>
      <c r="AR12" s="1529"/>
      <c r="AS12" s="1529"/>
      <c r="AT12" s="1529"/>
      <c r="AU12" s="1529"/>
      <c r="AV12" s="1529"/>
      <c r="AW12" s="1527"/>
      <c r="AX12" s="1529"/>
      <c r="AY12" s="1529"/>
      <c r="AZ12" s="1529"/>
      <c r="BA12" s="1529"/>
      <c r="BB12" s="1529"/>
      <c r="BC12" s="1527"/>
      <c r="BD12" s="1529"/>
      <c r="BE12" s="1529"/>
      <c r="BF12" s="1529"/>
      <c r="BG12" s="1529"/>
      <c r="BH12" s="1529"/>
      <c r="BI12" s="1527"/>
      <c r="BJ12" s="1529"/>
      <c r="BK12" s="1529"/>
      <c r="BL12" s="1529"/>
      <c r="BM12" s="1529"/>
      <c r="BN12" s="1529"/>
      <c r="BO12" s="1527"/>
      <c r="BP12" s="1529"/>
      <c r="BQ12" s="1529"/>
      <c r="BR12" s="1529"/>
      <c r="BS12" s="1529"/>
      <c r="BT12" s="1529"/>
      <c r="BU12" s="1527"/>
      <c r="BV12" s="1529"/>
      <c r="BW12" s="1529"/>
      <c r="BX12" s="1529"/>
      <c r="BY12" s="1529"/>
      <c r="BZ12" s="1529"/>
      <c r="CA12" s="1529"/>
      <c r="CB12" s="1529"/>
      <c r="CC12" s="1535"/>
      <c r="CD12" s="1529"/>
      <c r="CE12" s="1529"/>
      <c r="CF12" s="1529"/>
      <c r="CG12" s="1536"/>
      <c r="CH12" s="1529"/>
      <c r="CI12" s="1529"/>
      <c r="CJ12" s="1529"/>
      <c r="CK12" s="1529"/>
      <c r="CL12" s="1529"/>
      <c r="CM12" s="1536"/>
      <c r="CN12" s="1529"/>
      <c r="CO12" s="1529"/>
      <c r="CP12" s="1529"/>
      <c r="CQ12" s="1529"/>
      <c r="CR12" s="1529"/>
      <c r="CS12" s="1536"/>
      <c r="CT12" s="1537"/>
      <c r="CU12" s="1529"/>
      <c r="CV12" s="1529"/>
      <c r="CW12" s="1529"/>
      <c r="CX12" s="1529"/>
      <c r="CY12" s="1536"/>
      <c r="CZ12" s="1538"/>
      <c r="DA12" s="1529"/>
      <c r="DB12" s="1529"/>
      <c r="DC12" s="1529">
        <v>315</v>
      </c>
      <c r="DD12" s="1529">
        <v>259</v>
      </c>
      <c r="DE12" s="1536">
        <f>DD12</f>
        <v>259</v>
      </c>
      <c r="DF12" s="1538"/>
      <c r="DG12" s="1529">
        <v>235</v>
      </c>
      <c r="DH12" s="1529">
        <v>236</v>
      </c>
      <c r="DI12" s="1529">
        <v>276</v>
      </c>
      <c r="DJ12" s="1529">
        <v>303</v>
      </c>
      <c r="DK12" s="1536">
        <f>DJ12</f>
        <v>303</v>
      </c>
      <c r="DL12" s="1538"/>
      <c r="DM12" s="1529">
        <v>259</v>
      </c>
      <c r="DN12" s="1529">
        <v>218</v>
      </c>
      <c r="DO12" s="1529">
        <v>172</v>
      </c>
      <c r="DP12" s="1529">
        <v>158</v>
      </c>
      <c r="DQ12" s="1536">
        <f>DP12</f>
        <v>158</v>
      </c>
      <c r="DR12" s="1538"/>
      <c r="DS12" s="1529">
        <v>148</v>
      </c>
      <c r="DT12" s="1529">
        <v>164</v>
      </c>
      <c r="DU12" s="1529">
        <v>211</v>
      </c>
      <c r="DV12" s="1529">
        <v>240</v>
      </c>
      <c r="DW12" s="1536">
        <f>DV12</f>
        <v>240</v>
      </c>
      <c r="DX12" s="1538"/>
      <c r="DY12" s="1529">
        <v>243</v>
      </c>
      <c r="DZ12" s="1529">
        <v>234</v>
      </c>
      <c r="EA12" s="1529">
        <v>227</v>
      </c>
      <c r="EB12" s="1529">
        <v>189</v>
      </c>
      <c r="EC12" s="1536">
        <f>EB12</f>
        <v>189</v>
      </c>
      <c r="ED12" s="1538"/>
      <c r="EE12" s="1529">
        <v>179</v>
      </c>
      <c r="EF12" s="1529">
        <v>208</v>
      </c>
      <c r="EG12" s="1529">
        <v>285</v>
      </c>
      <c r="EH12" s="1529">
        <v>314</v>
      </c>
      <c r="EI12" s="1536">
        <f>EH12</f>
        <v>314</v>
      </c>
      <c r="EJ12" s="1538"/>
      <c r="EK12" s="1529">
        <v>251</v>
      </c>
      <c r="EL12" s="1529">
        <v>238</v>
      </c>
      <c r="EM12" s="1529">
        <v>212</v>
      </c>
      <c r="EN12" s="1529">
        <v>212</v>
      </c>
      <c r="EO12" s="1536">
        <f>EN12</f>
        <v>212</v>
      </c>
      <c r="EP12" s="1538"/>
      <c r="EQ12" s="1529">
        <v>286</v>
      </c>
      <c r="ER12" s="1529">
        <v>327</v>
      </c>
      <c r="ES12" s="1529">
        <v>391</v>
      </c>
      <c r="ET12" s="1529">
        <v>300</v>
      </c>
      <c r="EU12" s="1536">
        <f>ET12</f>
        <v>300</v>
      </c>
      <c r="EV12" s="1538"/>
      <c r="EW12" s="1529">
        <v>312</v>
      </c>
      <c r="EX12" s="1529">
        <v>436</v>
      </c>
      <c r="EY12" s="1529">
        <v>496</v>
      </c>
      <c r="EZ12" s="1529">
        <f>Model!EZ132*'Balance Sheet'!EZ131/90</f>
        <v>266.59081576786201</v>
      </c>
      <c r="FA12" s="1536">
        <f t="shared" si="23"/>
        <v>266.59081576786201</v>
      </c>
      <c r="FB12" s="1538"/>
      <c r="FC12" s="1529">
        <f>Model!FC132*'Balance Sheet'!FC131/90</f>
        <v>265.2</v>
      </c>
      <c r="FD12" s="1529">
        <f>Model!FD132*'Balance Sheet'!FD131/90</f>
        <v>370.6</v>
      </c>
      <c r="FE12" s="1529">
        <f>Model!FE132*'Balance Sheet'!FE131/90</f>
        <v>421.60000000000008</v>
      </c>
      <c r="FF12" s="1529">
        <f>Model!FF132*'Balance Sheet'!FF131/90</f>
        <v>226.60219340268273</v>
      </c>
      <c r="FG12" s="1536">
        <f t="shared" si="24"/>
        <v>226.60219340268273</v>
      </c>
      <c r="FH12" s="1538"/>
      <c r="FI12" s="1529">
        <f>Model!FI132*'Balance Sheet'!FI131/90</f>
        <v>225.42</v>
      </c>
      <c r="FJ12" s="1529">
        <f>Model!FJ132*'Balance Sheet'!FJ131/90</f>
        <v>315.01</v>
      </c>
      <c r="FK12" s="1529">
        <f>Model!FK132*'Balance Sheet'!FK131/90</f>
        <v>358.36</v>
      </c>
      <c r="FL12" s="1529">
        <f>Model!FL132*'Balance Sheet'!FL131/90</f>
        <v>192.61186439228032</v>
      </c>
      <c r="FM12" s="1536">
        <f t="shared" si="25"/>
        <v>192.61186439228032</v>
      </c>
      <c r="FN12" s="1524"/>
      <c r="FO12" s="1524"/>
      <c r="FP12" s="1524"/>
      <c r="FQ12" s="1524"/>
      <c r="FR12"/>
      <c r="FS12"/>
      <c r="FT12"/>
      <c r="FU12"/>
      <c r="FV12"/>
      <c r="FW12"/>
      <c r="FX12" s="1524"/>
      <c r="FY12" s="1522"/>
      <c r="FZ12" s="1522"/>
      <c r="GA12" s="1522"/>
      <c r="GB12" s="1522"/>
      <c r="GC12" s="1522"/>
      <c r="GD12" s="1522"/>
      <c r="GE12" s="1522"/>
      <c r="GF12" s="1522"/>
      <c r="GG12" s="1522"/>
      <c r="GH12" s="1522"/>
      <c r="GI12" s="1522"/>
      <c r="GJ12" s="1522"/>
      <c r="GK12" s="1522"/>
      <c r="GL12" s="1522"/>
      <c r="GM12" s="1522"/>
      <c r="GN12" s="1522"/>
      <c r="GO12" s="1522"/>
      <c r="GP12" s="1522"/>
      <c r="GQ12" s="1522"/>
      <c r="GR12" s="1522"/>
      <c r="GS12" s="1522"/>
      <c r="GT12" s="1522"/>
      <c r="GU12" s="1522"/>
      <c r="GV12" s="1522"/>
      <c r="GW12" s="1522"/>
      <c r="GX12" s="1522"/>
      <c r="GY12" s="1522"/>
      <c r="GZ12" s="1522"/>
      <c r="HA12" s="1522"/>
      <c r="HB12" s="1522"/>
      <c r="HC12" s="1522"/>
      <c r="HD12" s="1522"/>
      <c r="HE12" s="1522"/>
      <c r="HF12" s="1522"/>
      <c r="HG12" s="1522"/>
      <c r="HH12" s="1522"/>
      <c r="HI12" s="1522"/>
      <c r="HJ12" s="1522"/>
      <c r="HK12" s="1522"/>
      <c r="HL12" s="1522"/>
      <c r="HM12" s="1522"/>
      <c r="HN12" s="1522"/>
      <c r="HO12" s="1522"/>
      <c r="HP12" s="1522"/>
      <c r="HQ12" s="1522"/>
      <c r="HR12" s="1522"/>
      <c r="HS12" s="1522"/>
      <c r="HT12" s="1522"/>
      <c r="HU12" s="1522"/>
      <c r="HV12" s="1522"/>
      <c r="HW12" s="1522"/>
      <c r="HX12" s="1522"/>
      <c r="HY12" s="1522"/>
      <c r="HZ12" s="1522"/>
      <c r="IA12" s="1522"/>
      <c r="IB12" s="1522"/>
      <c r="IC12" s="1522"/>
      <c r="ID12" s="1522"/>
      <c r="IE12" s="1522"/>
      <c r="IF12" s="1522"/>
      <c r="IG12" s="1522"/>
      <c r="IH12" s="1522"/>
      <c r="II12" s="1522"/>
      <c r="IJ12" s="1522"/>
      <c r="IK12" s="1522"/>
      <c r="IL12" s="1522"/>
      <c r="IM12" s="1522"/>
      <c r="IN12" s="1522"/>
      <c r="IO12" s="1522"/>
      <c r="IP12" s="1522"/>
      <c r="IQ12" s="1522"/>
      <c r="IR12" s="1522"/>
      <c r="IS12" s="1522"/>
      <c r="IT12" s="1522"/>
      <c r="IU12" s="1522"/>
      <c r="IV12" s="1522"/>
      <c r="IW12" s="1522"/>
      <c r="IX12" s="1522"/>
      <c r="IY12" s="1522"/>
      <c r="IZ12" s="1522"/>
      <c r="JA12" s="1522"/>
      <c r="JB12" s="1522"/>
      <c r="JC12" s="1522"/>
      <c r="JD12" s="1522"/>
      <c r="JE12" s="1522"/>
      <c r="JF12" s="1522"/>
      <c r="JG12" s="1522"/>
      <c r="JH12" s="1522"/>
      <c r="JI12" s="1522"/>
      <c r="JJ12" s="1522"/>
      <c r="JK12" s="1522"/>
      <c r="JL12" s="1522"/>
      <c r="JM12" s="1522"/>
      <c r="JN12" s="1522"/>
    </row>
    <row r="13" spans="1:274" s="1523" customFormat="1" ht="10.5" customHeight="1" x14ac:dyDescent="0.2">
      <c r="A13" s="1524" t="s">
        <v>363</v>
      </c>
      <c r="B13" s="1517"/>
      <c r="C13" s="1525" t="s">
        <v>945</v>
      </c>
      <c r="D13" s="1525">
        <v>0</v>
      </c>
      <c r="E13" s="1525">
        <v>0</v>
      </c>
      <c r="F13" s="1525">
        <v>0</v>
      </c>
      <c r="G13" s="1525">
        <v>0</v>
      </c>
      <c r="H13" s="1525">
        <v>0</v>
      </c>
      <c r="I13" s="1525">
        <v>0</v>
      </c>
      <c r="J13" s="1525">
        <v>34.545000000000002</v>
      </c>
      <c r="K13" s="1525">
        <v>36.258000000000003</v>
      </c>
      <c r="L13" s="1525">
        <v>49.156999999999996</v>
      </c>
      <c r="M13" s="1525">
        <v>53.765000000000001</v>
      </c>
      <c r="N13" s="1524"/>
      <c r="O13" s="1524">
        <v>93.355999999999995</v>
      </c>
      <c r="P13" s="1524">
        <v>100.009</v>
      </c>
      <c r="Q13" s="1524">
        <v>105.621</v>
      </c>
      <c r="R13" s="1524">
        <v>131.15100000000001</v>
      </c>
      <c r="S13" s="1527">
        <f t="shared" si="0"/>
        <v>131.15100000000001</v>
      </c>
      <c r="T13" s="1529"/>
      <c r="U13" s="1529">
        <v>122.251</v>
      </c>
      <c r="V13" s="1529">
        <v>138.405</v>
      </c>
      <c r="W13" s="1529">
        <v>149.50399999999999</v>
      </c>
      <c r="X13" s="1529">
        <v>187.13900000000001</v>
      </c>
      <c r="Y13" s="1527">
        <f t="shared" si="1"/>
        <v>187.13900000000001</v>
      </c>
      <c r="Z13" s="1529"/>
      <c r="AA13" s="1529">
        <v>169.995</v>
      </c>
      <c r="AB13" s="1529">
        <v>179.214</v>
      </c>
      <c r="AC13" s="1529">
        <v>219.25200000000001</v>
      </c>
      <c r="AD13" s="1529">
        <v>274.36599999999999</v>
      </c>
      <c r="AE13" s="1527">
        <f t="shared" si="2"/>
        <v>274.36599999999999</v>
      </c>
      <c r="AF13" s="1529"/>
      <c r="AG13" s="1529">
        <v>265.78500000000003</v>
      </c>
      <c r="AH13" s="1529">
        <v>265.99599999999998</v>
      </c>
      <c r="AI13" s="1529">
        <v>261.04199999999997</v>
      </c>
      <c r="AJ13" s="1529">
        <v>260.62400000000002</v>
      </c>
      <c r="AK13" s="1527">
        <f t="shared" si="3"/>
        <v>260.62400000000002</v>
      </c>
      <c r="AL13" s="1529"/>
      <c r="AM13" s="1529">
        <v>254.61500000000001</v>
      </c>
      <c r="AN13" s="1529">
        <v>314.84899999999999</v>
      </c>
      <c r="AO13" s="1529">
        <v>312.69499999999999</v>
      </c>
      <c r="AP13" s="1529">
        <v>299.67</v>
      </c>
      <c r="AQ13" s="1527">
        <f t="shared" si="4"/>
        <v>299.67</v>
      </c>
      <c r="AR13" s="1529"/>
      <c r="AS13" s="1529">
        <v>296.471</v>
      </c>
      <c r="AT13" s="1529">
        <v>229.28800000000001</v>
      </c>
      <c r="AU13" s="1529">
        <v>240.93299999999999</v>
      </c>
      <c r="AV13" s="1529">
        <v>212.82900000000001</v>
      </c>
      <c r="AW13" s="1527">
        <f t="shared" si="5"/>
        <v>212.82900000000001</v>
      </c>
      <c r="AX13" s="1529"/>
      <c r="AY13" s="1529">
        <v>213.78</v>
      </c>
      <c r="AZ13" s="1529">
        <v>0</v>
      </c>
      <c r="BA13" s="1529">
        <v>0</v>
      </c>
      <c r="BB13" s="1529">
        <v>273</v>
      </c>
      <c r="BC13" s="1527">
        <f t="shared" si="6"/>
        <v>273</v>
      </c>
      <c r="BD13" s="1529"/>
      <c r="BE13" s="1529">
        <v>451.17</v>
      </c>
      <c r="BF13" s="1529">
        <v>449.38499999999999</v>
      </c>
      <c r="BG13" s="1529">
        <v>457.71899999999999</v>
      </c>
      <c r="BH13" s="1529">
        <v>452</v>
      </c>
      <c r="BI13" s="1527">
        <f t="shared" si="7"/>
        <v>452</v>
      </c>
      <c r="BJ13" s="1529"/>
      <c r="BK13" s="1529">
        <v>448</v>
      </c>
      <c r="BL13" s="1529">
        <v>448</v>
      </c>
      <c r="BM13" s="1529">
        <v>461</v>
      </c>
      <c r="BN13" s="1529">
        <v>381</v>
      </c>
      <c r="BO13" s="1527">
        <f t="shared" si="8"/>
        <v>381</v>
      </c>
      <c r="BP13" s="1529"/>
      <c r="BQ13" s="1529">
        <v>371</v>
      </c>
      <c r="BR13" s="1529">
        <v>361</v>
      </c>
      <c r="BS13" s="1529">
        <v>333</v>
      </c>
      <c r="BT13" s="1529">
        <v>301</v>
      </c>
      <c r="BU13" s="1527">
        <f t="shared" si="9"/>
        <v>301</v>
      </c>
      <c r="BV13" s="1529"/>
      <c r="BW13" s="1529">
        <v>305</v>
      </c>
      <c r="BX13" s="1529">
        <v>298</v>
      </c>
      <c r="BY13" s="1529">
        <v>344</v>
      </c>
      <c r="BZ13" s="1529">
        <v>486</v>
      </c>
      <c r="CA13" s="1529">
        <f t="shared" si="10"/>
        <v>486</v>
      </c>
      <c r="CB13" s="1529"/>
      <c r="CC13" s="1529">
        <v>476</v>
      </c>
      <c r="CD13" s="1529">
        <v>471</v>
      </c>
      <c r="CE13" s="1529">
        <v>738</v>
      </c>
      <c r="CF13" s="1529">
        <v>714</v>
      </c>
      <c r="CG13" s="1536">
        <f t="shared" si="11"/>
        <v>714</v>
      </c>
      <c r="CH13" s="1529"/>
      <c r="CI13" s="1529">
        <v>725</v>
      </c>
      <c r="CJ13" s="1529">
        <v>706</v>
      </c>
      <c r="CK13" s="1529">
        <v>785</v>
      </c>
      <c r="CL13" s="1529">
        <v>968</v>
      </c>
      <c r="CM13" s="1536">
        <f t="shared" si="12"/>
        <v>968</v>
      </c>
      <c r="CN13" s="1529"/>
      <c r="CO13" s="1529">
        <v>981</v>
      </c>
      <c r="CP13" s="1529">
        <v>969</v>
      </c>
      <c r="CQ13" s="1529">
        <v>964</v>
      </c>
      <c r="CR13" s="1529">
        <v>853</v>
      </c>
      <c r="CS13" s="1536">
        <f t="shared" si="13"/>
        <v>853</v>
      </c>
      <c r="CT13" s="1537"/>
      <c r="CU13" s="1529">
        <v>905</v>
      </c>
      <c r="CV13" s="1529">
        <v>634</v>
      </c>
      <c r="CW13" s="1529">
        <v>635</v>
      </c>
      <c r="CX13" s="1529">
        <v>661</v>
      </c>
      <c r="CY13" s="1536">
        <f t="shared" si="14"/>
        <v>661</v>
      </c>
      <c r="CZ13" s="1538"/>
      <c r="DA13" s="1529">
        <v>710</v>
      </c>
      <c r="DB13" s="1529">
        <v>703</v>
      </c>
      <c r="DC13" s="1529">
        <v>978</v>
      </c>
      <c r="DD13" s="1529">
        <v>1159</v>
      </c>
      <c r="DE13" s="1536">
        <f t="shared" si="15"/>
        <v>1159</v>
      </c>
      <c r="DF13" s="1538"/>
      <c r="DG13" s="1529">
        <v>1142</v>
      </c>
      <c r="DH13" s="1529">
        <v>1219</v>
      </c>
      <c r="DI13" s="1529">
        <v>1193</v>
      </c>
      <c r="DJ13" s="1529">
        <v>1189</v>
      </c>
      <c r="DK13" s="1536">
        <f t="shared" si="16"/>
        <v>1189</v>
      </c>
      <c r="DL13" s="1538"/>
      <c r="DM13" s="1529">
        <v>1262</v>
      </c>
      <c r="DN13" s="1529">
        <v>1239</v>
      </c>
      <c r="DO13" s="1529">
        <v>1290</v>
      </c>
      <c r="DP13" s="1529">
        <v>877</v>
      </c>
      <c r="DQ13" s="1536">
        <f t="shared" si="17"/>
        <v>877</v>
      </c>
      <c r="DR13" s="1538"/>
      <c r="DS13" s="1529">
        <v>913</v>
      </c>
      <c r="DT13" s="1529">
        <v>893</v>
      </c>
      <c r="DU13" s="1529">
        <v>829</v>
      </c>
      <c r="DV13" s="1529">
        <v>974</v>
      </c>
      <c r="DW13" s="1536">
        <f t="shared" si="18"/>
        <v>974</v>
      </c>
      <c r="DX13" s="1538"/>
      <c r="DY13" s="1529">
        <f>937</f>
        <v>937</v>
      </c>
      <c r="DZ13" s="1529">
        <v>963</v>
      </c>
      <c r="EA13" s="1529">
        <v>1012</v>
      </c>
      <c r="EB13" s="1529">
        <v>914</v>
      </c>
      <c r="EC13" s="1536">
        <f t="shared" si="19"/>
        <v>914</v>
      </c>
      <c r="ED13" s="1538"/>
      <c r="EE13" s="1529">
        <v>833</v>
      </c>
      <c r="EF13" s="1529">
        <v>907</v>
      </c>
      <c r="EG13" s="1529">
        <v>931</v>
      </c>
      <c r="EH13" s="1529">
        <v>663</v>
      </c>
      <c r="EI13" s="1536">
        <f t="shared" si="20"/>
        <v>663</v>
      </c>
      <c r="EJ13" s="1538"/>
      <c r="EK13" s="1529">
        <v>671</v>
      </c>
      <c r="EL13" s="1529">
        <f>EK13</f>
        <v>671</v>
      </c>
      <c r="EM13" s="1529">
        <f>EL13</f>
        <v>671</v>
      </c>
      <c r="EN13" s="1529">
        <f>EM13</f>
        <v>671</v>
      </c>
      <c r="EO13" s="1536">
        <f t="shared" si="21"/>
        <v>671</v>
      </c>
      <c r="EP13" s="1538"/>
      <c r="EQ13" s="1529">
        <v>671</v>
      </c>
      <c r="ER13" s="1529">
        <f>64734-SUM(ER8:ER12)-ER14</f>
        <v>0</v>
      </c>
      <c r="ES13" s="1529">
        <v>0</v>
      </c>
      <c r="ET13" s="1529">
        <f>ES13</f>
        <v>0</v>
      </c>
      <c r="EU13" s="1536">
        <f t="shared" si="22"/>
        <v>0</v>
      </c>
      <c r="EV13" s="1538"/>
      <c r="EW13" s="1529">
        <v>0</v>
      </c>
      <c r="EX13" s="1529">
        <v>0</v>
      </c>
      <c r="EY13" s="1529">
        <v>0</v>
      </c>
      <c r="EZ13" s="1532">
        <f>EY13</f>
        <v>0</v>
      </c>
      <c r="FA13" s="1536">
        <f t="shared" si="23"/>
        <v>0</v>
      </c>
      <c r="FB13" s="1538"/>
      <c r="FC13" s="1532">
        <f>EZ13</f>
        <v>0</v>
      </c>
      <c r="FD13" s="1532">
        <f>FC13</f>
        <v>0</v>
      </c>
      <c r="FE13" s="1532">
        <f>FD13</f>
        <v>0</v>
      </c>
      <c r="FF13" s="1532">
        <f>FE13</f>
        <v>0</v>
      </c>
      <c r="FG13" s="1536">
        <f t="shared" si="24"/>
        <v>0</v>
      </c>
      <c r="FH13" s="1538"/>
      <c r="FI13" s="1532">
        <f>FF13</f>
        <v>0</v>
      </c>
      <c r="FJ13" s="1532">
        <f>FI13</f>
        <v>0</v>
      </c>
      <c r="FK13" s="1532">
        <f>FJ13</f>
        <v>0</v>
      </c>
      <c r="FL13" s="1532">
        <f>FK13</f>
        <v>0</v>
      </c>
      <c r="FM13" s="1536">
        <f t="shared" si="25"/>
        <v>0</v>
      </c>
      <c r="FN13" s="1524"/>
      <c r="FO13" s="1524"/>
      <c r="FP13" s="1524"/>
      <c r="FQ13" s="1524"/>
      <c r="FR13"/>
      <c r="FS13"/>
      <c r="FT13"/>
      <c r="FU13"/>
      <c r="FV13"/>
      <c r="FW13"/>
      <c r="FX13" s="1524"/>
      <c r="FY13" s="1522"/>
      <c r="FZ13" s="1522"/>
      <c r="GA13" s="1522"/>
      <c r="GB13" s="1522"/>
      <c r="GC13" s="1522"/>
      <c r="GD13" s="1522"/>
      <c r="GE13" s="1522"/>
      <c r="GF13" s="1522"/>
      <c r="GG13" s="1522"/>
      <c r="GH13" s="1522"/>
      <c r="GI13" s="1522"/>
      <c r="GJ13" s="1522"/>
      <c r="GK13" s="1522"/>
      <c r="GL13" s="1522"/>
      <c r="GM13" s="1522"/>
      <c r="GN13" s="1522"/>
      <c r="GO13" s="1522"/>
      <c r="GP13" s="1522"/>
      <c r="GQ13" s="1522"/>
      <c r="GR13" s="1522"/>
      <c r="GS13" s="1522"/>
      <c r="GT13" s="1522"/>
      <c r="GU13" s="1522"/>
      <c r="GV13" s="1522"/>
      <c r="GW13" s="1522"/>
      <c r="GX13" s="1522"/>
      <c r="GY13" s="1522"/>
      <c r="GZ13" s="1522"/>
      <c r="HA13" s="1522"/>
      <c r="HB13" s="1522"/>
      <c r="HC13" s="1522"/>
      <c r="HD13" s="1522"/>
      <c r="HE13" s="1522"/>
      <c r="HF13" s="1522"/>
      <c r="HG13" s="1522"/>
      <c r="HH13" s="1522"/>
      <c r="HI13" s="1522"/>
      <c r="HJ13" s="1522"/>
      <c r="HK13" s="1522"/>
      <c r="HL13" s="1522"/>
      <c r="HM13" s="1522"/>
      <c r="HN13" s="1522"/>
      <c r="HO13" s="1522"/>
      <c r="HP13" s="1522"/>
      <c r="HQ13" s="1522"/>
      <c r="HR13" s="1522"/>
      <c r="HS13" s="1522"/>
      <c r="HT13" s="1522"/>
      <c r="HU13" s="1522"/>
      <c r="HV13" s="1522"/>
      <c r="HW13" s="1522"/>
      <c r="HX13" s="1522"/>
      <c r="HY13" s="1522"/>
      <c r="HZ13" s="1522"/>
      <c r="IA13" s="1522"/>
      <c r="IB13" s="1522"/>
      <c r="IC13" s="1522"/>
      <c r="ID13" s="1522"/>
      <c r="IE13" s="1522"/>
      <c r="IF13" s="1522"/>
      <c r="IG13" s="1522"/>
      <c r="IH13" s="1522"/>
      <c r="II13" s="1522"/>
      <c r="IJ13" s="1522"/>
      <c r="IK13" s="1522"/>
      <c r="IL13" s="1522"/>
      <c r="IM13" s="1522"/>
      <c r="IN13" s="1522"/>
      <c r="IO13" s="1522"/>
      <c r="IP13" s="1522"/>
      <c r="IQ13" s="1522"/>
      <c r="IR13" s="1522"/>
      <c r="IS13" s="1522"/>
      <c r="IT13" s="1522"/>
      <c r="IU13" s="1522"/>
      <c r="IV13" s="1522"/>
      <c r="IW13" s="1522"/>
      <c r="IX13" s="1522"/>
      <c r="IY13" s="1522"/>
      <c r="IZ13" s="1522"/>
      <c r="JA13" s="1522"/>
      <c r="JB13" s="1522"/>
      <c r="JC13" s="1522"/>
      <c r="JD13" s="1522"/>
      <c r="JE13" s="1522"/>
      <c r="JF13" s="1522"/>
      <c r="JG13" s="1522"/>
      <c r="JH13" s="1522"/>
      <c r="JI13" s="1522"/>
      <c r="JJ13" s="1522"/>
      <c r="JK13" s="1522"/>
      <c r="JL13" s="1522"/>
      <c r="JM13" s="1522"/>
      <c r="JN13" s="1522"/>
    </row>
    <row r="14" spans="1:274" s="1523" customFormat="1" ht="10.5" customHeight="1" x14ac:dyDescent="0.2">
      <c r="A14" s="1524" t="s">
        <v>364</v>
      </c>
      <c r="B14" s="1517"/>
      <c r="C14" s="1525" t="s">
        <v>945</v>
      </c>
      <c r="D14" s="1525">
        <v>0.29199999999999998</v>
      </c>
      <c r="E14" s="1525">
        <v>1.254</v>
      </c>
      <c r="F14" s="1525">
        <v>2.3620000000000001</v>
      </c>
      <c r="G14" s="1525">
        <v>3.84</v>
      </c>
      <c r="H14" s="1525">
        <v>9.3759999999999994</v>
      </c>
      <c r="I14" s="1525">
        <v>22.459</v>
      </c>
      <c r="J14" s="1525">
        <v>26.565000000000001</v>
      </c>
      <c r="K14" s="1525">
        <v>26.945</v>
      </c>
      <c r="L14" s="1525">
        <v>29.786000000000001</v>
      </c>
      <c r="M14" s="1525">
        <v>41.42</v>
      </c>
      <c r="N14" s="1524"/>
      <c r="O14" s="1525">
        <v>60.021000000000001</v>
      </c>
      <c r="P14" s="1525">
        <v>68.165999999999997</v>
      </c>
      <c r="Q14" s="1525">
        <v>89.195999999999998</v>
      </c>
      <c r="R14" s="1525">
        <v>135.49100000000001</v>
      </c>
      <c r="S14" s="1527">
        <f t="shared" si="0"/>
        <v>135.49100000000001</v>
      </c>
      <c r="T14" s="1529"/>
      <c r="U14" s="1529">
        <v>123.25</v>
      </c>
      <c r="V14" s="1529">
        <v>131.626</v>
      </c>
      <c r="W14" s="1529">
        <v>142.43600000000001</v>
      </c>
      <c r="X14" s="1529">
        <v>171.56</v>
      </c>
      <c r="Y14" s="1527">
        <f t="shared" si="1"/>
        <v>171.56</v>
      </c>
      <c r="Z14" s="1529"/>
      <c r="AA14" s="1529">
        <v>168.91900000000001</v>
      </c>
      <c r="AB14" s="1529">
        <v>185.477</v>
      </c>
      <c r="AC14" s="1529">
        <v>210.84299999999999</v>
      </c>
      <c r="AD14" s="1529">
        <f>74.601+168.469</f>
        <v>243.07</v>
      </c>
      <c r="AE14" s="1527">
        <f t="shared" si="2"/>
        <v>243.07</v>
      </c>
      <c r="AF14" s="1529"/>
      <c r="AG14" s="1529">
        <v>197.32599999999999</v>
      </c>
      <c r="AH14" s="1529">
        <v>210.63399999999999</v>
      </c>
      <c r="AI14" s="1529">
        <v>233.607</v>
      </c>
      <c r="AJ14" s="1529">
        <v>78.203000000000003</v>
      </c>
      <c r="AK14" s="1527">
        <f t="shared" si="3"/>
        <v>78.203000000000003</v>
      </c>
      <c r="AL14" s="1529"/>
      <c r="AM14" s="1529">
        <v>226.44900000000001</v>
      </c>
      <c r="AN14" s="1529">
        <v>260.62099999999998</v>
      </c>
      <c r="AO14" s="1529">
        <v>271.06</v>
      </c>
      <c r="AP14" s="1529">
        <v>105.84399999999999</v>
      </c>
      <c r="AQ14" s="1527">
        <f t="shared" si="4"/>
        <v>105.84399999999999</v>
      </c>
      <c r="AR14" s="1529"/>
      <c r="AS14" s="1529">
        <v>94.561000000000007</v>
      </c>
      <c r="AT14" s="1529">
        <v>96.635999999999996</v>
      </c>
      <c r="AU14" s="1529">
        <v>104.4</v>
      </c>
      <c r="AV14" s="1529">
        <v>118.34</v>
      </c>
      <c r="AW14" s="1527">
        <f t="shared" si="5"/>
        <v>118.34</v>
      </c>
      <c r="AX14" s="1529"/>
      <c r="AY14" s="1529">
        <v>123.07599999999999</v>
      </c>
      <c r="AZ14" s="1529">
        <v>531.53200000000004</v>
      </c>
      <c r="BA14" s="1529">
        <v>521.68499999999995</v>
      </c>
      <c r="BB14" s="1529">
        <v>89</v>
      </c>
      <c r="BC14" s="1527">
        <f t="shared" si="6"/>
        <v>89</v>
      </c>
      <c r="BD14" s="1529"/>
      <c r="BE14" s="1529">
        <v>111.435</v>
      </c>
      <c r="BF14" s="1529">
        <v>150.34899999999999</v>
      </c>
      <c r="BG14" s="1529">
        <v>121.776</v>
      </c>
      <c r="BH14" s="1529">
        <v>106</v>
      </c>
      <c r="BI14" s="1527">
        <f t="shared" si="7"/>
        <v>106</v>
      </c>
      <c r="BJ14" s="1529"/>
      <c r="BK14" s="1529">
        <v>128</v>
      </c>
      <c r="BL14" s="1529">
        <v>125</v>
      </c>
      <c r="BM14" s="1529">
        <v>104</v>
      </c>
      <c r="BN14" s="1529">
        <v>106</v>
      </c>
      <c r="BO14" s="1527">
        <f t="shared" si="8"/>
        <v>106</v>
      </c>
      <c r="BP14" s="1529"/>
      <c r="BQ14" s="1529">
        <v>108</v>
      </c>
      <c r="BR14" s="1529">
        <v>116</v>
      </c>
      <c r="BS14" s="1529">
        <v>113</v>
      </c>
      <c r="BT14" s="1529">
        <v>114</v>
      </c>
      <c r="BU14" s="1529">
        <f t="shared" si="9"/>
        <v>114</v>
      </c>
      <c r="BV14" s="1529"/>
      <c r="BW14" s="1529">
        <v>117</v>
      </c>
      <c r="BX14" s="1529">
        <v>95</v>
      </c>
      <c r="BY14" s="1529">
        <v>345</v>
      </c>
      <c r="BZ14" s="1529">
        <v>291</v>
      </c>
      <c r="CA14" s="1529">
        <f t="shared" si="10"/>
        <v>291</v>
      </c>
      <c r="CB14" s="1529"/>
      <c r="CC14" s="1535">
        <v>234</v>
      </c>
      <c r="CD14" s="1529">
        <v>187</v>
      </c>
      <c r="CE14" s="1529">
        <v>232</v>
      </c>
      <c r="CF14" s="1529">
        <f>633-CF11</f>
        <v>235</v>
      </c>
      <c r="CG14" s="1536">
        <f t="shared" si="11"/>
        <v>235</v>
      </c>
      <c r="CH14" s="1529"/>
      <c r="CI14" s="1529">
        <f>550-CI11</f>
        <v>321</v>
      </c>
      <c r="CJ14" s="1529">
        <v>295</v>
      </c>
      <c r="CK14" s="1529">
        <v>286</v>
      </c>
      <c r="CL14" s="1529">
        <v>306</v>
      </c>
      <c r="CM14" s="1536">
        <f t="shared" si="12"/>
        <v>306</v>
      </c>
      <c r="CN14" s="1529"/>
      <c r="CO14" s="1529">
        <v>714</v>
      </c>
      <c r="CP14" s="1529">
        <v>893</v>
      </c>
      <c r="CQ14" s="1529">
        <v>1026</v>
      </c>
      <c r="CR14" s="1529">
        <v>1080</v>
      </c>
      <c r="CS14" s="1536">
        <f t="shared" si="13"/>
        <v>1080</v>
      </c>
      <c r="CT14" s="1537"/>
      <c r="CU14" s="1529">
        <v>665</v>
      </c>
      <c r="CV14" s="1529">
        <v>605</v>
      </c>
      <c r="CW14" s="1529">
        <v>657</v>
      </c>
      <c r="CX14" s="1529">
        <v>866</v>
      </c>
      <c r="CY14" s="1536">
        <f t="shared" si="14"/>
        <v>866</v>
      </c>
      <c r="CZ14" s="1538"/>
      <c r="DA14" s="1529">
        <v>586</v>
      </c>
      <c r="DB14" s="1529">
        <v>662</v>
      </c>
      <c r="DC14" s="1529">
        <v>1299</v>
      </c>
      <c r="DD14" s="1529">
        <v>1532</v>
      </c>
      <c r="DE14" s="1536">
        <f t="shared" si="15"/>
        <v>1532</v>
      </c>
      <c r="DF14" s="1538"/>
      <c r="DG14" s="1529">
        <v>1529</v>
      </c>
      <c r="DH14" s="1529">
        <v>2017</v>
      </c>
      <c r="DI14" s="1529">
        <v>2140</v>
      </c>
      <c r="DJ14" s="1529">
        <v>2206</v>
      </c>
      <c r="DK14" s="1536">
        <f t="shared" si="16"/>
        <v>2206</v>
      </c>
      <c r="DL14" s="1538"/>
      <c r="DM14" s="1529">
        <v>1831</v>
      </c>
      <c r="DN14" s="1529">
        <v>1579</v>
      </c>
      <c r="DO14" s="1529">
        <v>1678</v>
      </c>
      <c r="DP14" s="1529">
        <v>1935</v>
      </c>
      <c r="DQ14" s="1536">
        <f t="shared" si="17"/>
        <v>1935</v>
      </c>
      <c r="DR14" s="1538"/>
      <c r="DS14" s="1529">
        <v>1729</v>
      </c>
      <c r="DT14" s="1529">
        <v>1976</v>
      </c>
      <c r="DU14" s="1529">
        <v>2070</v>
      </c>
      <c r="DV14" s="1529">
        <v>2213</v>
      </c>
      <c r="DW14" s="1536">
        <f t="shared" si="18"/>
        <v>2213</v>
      </c>
      <c r="DX14" s="1538"/>
      <c r="DY14" s="1529">
        <f>1723</f>
        <v>1723</v>
      </c>
      <c r="DZ14" s="1529">
        <v>1889</v>
      </c>
      <c r="EA14" s="1529">
        <v>1869</v>
      </c>
      <c r="EB14" s="1529">
        <v>2129</v>
      </c>
      <c r="EC14" s="1536">
        <f t="shared" si="19"/>
        <v>2129</v>
      </c>
      <c r="ED14" s="1538"/>
      <c r="EE14" s="1529">
        <v>2015</v>
      </c>
      <c r="EF14" s="1529">
        <v>1866</v>
      </c>
      <c r="EG14" s="1529">
        <v>2123</v>
      </c>
      <c r="EH14" s="1529">
        <v>2220</v>
      </c>
      <c r="EI14" s="1536">
        <f t="shared" si="20"/>
        <v>2220</v>
      </c>
      <c r="EJ14" s="1538"/>
      <c r="EK14" s="1529">
        <v>1795</v>
      </c>
      <c r="EL14" s="1529">
        <v>2089</v>
      </c>
      <c r="EM14" s="1529">
        <f>2246</f>
        <v>2246</v>
      </c>
      <c r="EN14" s="1529">
        <v>2591</v>
      </c>
      <c r="EO14" s="1536">
        <f t="shared" si="21"/>
        <v>2591</v>
      </c>
      <c r="EP14" s="1538"/>
      <c r="EQ14" s="1529">
        <v>2362</v>
      </c>
      <c r="ER14" s="1529">
        <v>2511</v>
      </c>
      <c r="ES14" s="1529">
        <v>2547</v>
      </c>
      <c r="ET14" s="1529">
        <v>2837</v>
      </c>
      <c r="EU14" s="1536">
        <f t="shared" si="22"/>
        <v>2837</v>
      </c>
      <c r="EV14" s="1538"/>
      <c r="EW14" s="1529">
        <v>2535</v>
      </c>
      <c r="EX14" s="1529">
        <v>2731</v>
      </c>
      <c r="EY14" s="1529">
        <v>2879</v>
      </c>
      <c r="EZ14" s="1529">
        <f>EZ112*Model!EZ365</f>
        <v>2897.0977427562711</v>
      </c>
      <c r="FA14" s="1536">
        <f t="shared" si="23"/>
        <v>2897.0977427562711</v>
      </c>
      <c r="FB14" s="1538"/>
      <c r="FC14" s="1529">
        <f>FC112*Model!FC365</f>
        <v>2921.6524388709076</v>
      </c>
      <c r="FD14" s="1529">
        <f>FD112*Model!FD365</f>
        <v>2947.2611240072838</v>
      </c>
      <c r="FE14" s="1529">
        <f>FE112*Model!FE365</f>
        <v>2970.2468005967153</v>
      </c>
      <c r="FF14" s="1529">
        <f>FF112*Model!FF365</f>
        <v>2985.8069316675401</v>
      </c>
      <c r="FG14" s="1536">
        <f t="shared" si="24"/>
        <v>2985.8069316675401</v>
      </c>
      <c r="FH14" s="1538"/>
      <c r="FI14" s="1529">
        <f>FI112*Model!FI365</f>
        <v>3014.2046524144516</v>
      </c>
      <c r="FJ14" s="1529">
        <f>FJ112*Model!FJ365</f>
        <v>3040.4755780820255</v>
      </c>
      <c r="FK14" s="1529">
        <f>FK112*Model!FK365</f>
        <v>3065.8146663728467</v>
      </c>
      <c r="FL14" s="1529">
        <f>FL112*Model!FL365</f>
        <v>3085.6772479381557</v>
      </c>
      <c r="FM14" s="1536">
        <f t="shared" si="25"/>
        <v>3085.6772479381557</v>
      </c>
      <c r="FN14" s="1524"/>
      <c r="FO14" s="1524"/>
      <c r="FP14" s="1524"/>
      <c r="FQ14" s="1524"/>
      <c r="FR14"/>
      <c r="FS14"/>
      <c r="FT14"/>
      <c r="FU14"/>
      <c r="FV14"/>
      <c r="FW14"/>
      <c r="FX14" s="1524"/>
      <c r="FY14" s="1522"/>
      <c r="FZ14" s="1522"/>
      <c r="GA14" s="1522"/>
      <c r="GB14" s="1522"/>
      <c r="GC14" s="1522"/>
      <c r="GD14" s="1522"/>
      <c r="GE14" s="1522"/>
      <c r="GF14" s="1522"/>
      <c r="GG14" s="1522"/>
      <c r="GH14" s="1522"/>
      <c r="GI14" s="1522"/>
      <c r="GJ14" s="1522"/>
      <c r="GK14" s="1522"/>
      <c r="GL14" s="1522"/>
      <c r="GM14" s="1522"/>
      <c r="GN14" s="1522"/>
      <c r="GO14" s="1522"/>
      <c r="GP14" s="1522"/>
      <c r="GQ14" s="1522"/>
      <c r="GR14" s="1522"/>
      <c r="GS14" s="1522"/>
      <c r="GT14" s="1522"/>
      <c r="GU14" s="1522"/>
      <c r="GV14" s="1522"/>
      <c r="GW14" s="1522"/>
      <c r="GX14" s="1522"/>
      <c r="GY14" s="1522"/>
      <c r="GZ14" s="1522"/>
      <c r="HA14" s="1522"/>
      <c r="HB14" s="1522"/>
      <c r="HC14" s="1522"/>
      <c r="HD14" s="1522"/>
      <c r="HE14" s="1522"/>
      <c r="HF14" s="1522"/>
      <c r="HG14" s="1522"/>
      <c r="HH14" s="1522"/>
      <c r="HI14" s="1522"/>
      <c r="HJ14" s="1522"/>
      <c r="HK14" s="1522"/>
      <c r="HL14" s="1522"/>
      <c r="HM14" s="1522"/>
      <c r="HN14" s="1522"/>
      <c r="HO14" s="1522"/>
      <c r="HP14" s="1522"/>
      <c r="HQ14" s="1522"/>
      <c r="HR14" s="1522"/>
      <c r="HS14" s="1522"/>
      <c r="HT14" s="1522"/>
      <c r="HU14" s="1522"/>
      <c r="HV14" s="1522"/>
      <c r="HW14" s="1522"/>
      <c r="HX14" s="1522"/>
      <c r="HY14" s="1522"/>
      <c r="HZ14" s="1522"/>
      <c r="IA14" s="1522"/>
      <c r="IB14" s="1522"/>
      <c r="IC14" s="1522"/>
      <c r="ID14" s="1522"/>
      <c r="IE14" s="1522"/>
      <c r="IF14" s="1522"/>
      <c r="IG14" s="1522"/>
      <c r="IH14" s="1522"/>
      <c r="II14" s="1522"/>
      <c r="IJ14" s="1522"/>
      <c r="IK14" s="1522"/>
      <c r="IL14" s="1522"/>
      <c r="IM14" s="1522"/>
      <c r="IN14" s="1522"/>
      <c r="IO14" s="1522"/>
      <c r="IP14" s="1522"/>
      <c r="IQ14" s="1522"/>
      <c r="IR14" s="1522"/>
      <c r="IS14" s="1522"/>
      <c r="IT14" s="1522"/>
      <c r="IU14" s="1522"/>
      <c r="IV14" s="1522"/>
      <c r="IW14" s="1522"/>
      <c r="IX14" s="1522"/>
      <c r="IY14" s="1522"/>
      <c r="IZ14" s="1522"/>
      <c r="JA14" s="1522"/>
      <c r="JB14" s="1522"/>
      <c r="JC14" s="1522"/>
      <c r="JD14" s="1522"/>
      <c r="JE14" s="1522"/>
      <c r="JF14" s="1522"/>
      <c r="JG14" s="1522"/>
      <c r="JH14" s="1522"/>
      <c r="JI14" s="1522"/>
      <c r="JJ14" s="1522"/>
      <c r="JK14" s="1522"/>
      <c r="JL14" s="1522"/>
      <c r="JM14" s="1522"/>
      <c r="JN14" s="1522"/>
    </row>
    <row r="15" spans="1:274" s="1364" customFormat="1" ht="10.5" customHeight="1" x14ac:dyDescent="0.2">
      <c r="A15" s="1502" t="s">
        <v>12</v>
      </c>
      <c r="B15" s="1225"/>
      <c r="C15" s="1382">
        <f t="shared" ref="C15:M15" si="26">SUM(C8:C14)</f>
        <v>0</v>
      </c>
      <c r="D15" s="1382">
        <f t="shared" si="26"/>
        <v>9.9619999999999997</v>
      </c>
      <c r="E15" s="1382">
        <f t="shared" si="26"/>
        <v>41.470999999999997</v>
      </c>
      <c r="F15" s="1382">
        <f t="shared" si="26"/>
        <v>109.13799999999999</v>
      </c>
      <c r="G15" s="1382">
        <f t="shared" si="26"/>
        <v>191.82699999999997</v>
      </c>
      <c r="H15" s="1382">
        <f t="shared" si="26"/>
        <v>336.93299999999994</v>
      </c>
      <c r="I15" s="1382">
        <f t="shared" si="26"/>
        <v>569.25699999999995</v>
      </c>
      <c r="J15" s="1382">
        <f t="shared" si="26"/>
        <v>586.197</v>
      </c>
      <c r="K15" s="1382">
        <f t="shared" si="26"/>
        <v>640.72200000000009</v>
      </c>
      <c r="L15" s="1382">
        <f t="shared" si="26"/>
        <v>842.30700000000002</v>
      </c>
      <c r="M15" s="1382">
        <f t="shared" si="26"/>
        <v>1075.6120000000001</v>
      </c>
      <c r="N15" s="1503"/>
      <c r="O15" s="1382">
        <f>SUM(O8:O14)</f>
        <v>1082.8499999999999</v>
      </c>
      <c r="P15" s="1382">
        <f>SUM(P8:P14)</f>
        <v>1036.885</v>
      </c>
      <c r="Q15" s="1382">
        <f>SUM(Q8:Q14)</f>
        <v>1156.0229999999999</v>
      </c>
      <c r="R15" s="1382">
        <f>SUM(R8:R14)</f>
        <v>1617.1940000000002</v>
      </c>
      <c r="S15" s="1504">
        <f t="shared" si="0"/>
        <v>1617.1940000000002</v>
      </c>
      <c r="T15" s="1504"/>
      <c r="U15" s="1505">
        <f>SUM(U8:U14)</f>
        <v>1433.8639999999998</v>
      </c>
      <c r="V15" s="1505">
        <f>SUM(V8:V14)</f>
        <v>1591.4110000000001</v>
      </c>
      <c r="W15" s="1505">
        <f>SUM(W8:W14)</f>
        <v>1776.2079999999999</v>
      </c>
      <c r="X15" s="1505">
        <f>SUM(X8:X14)</f>
        <v>2284.4649999999997</v>
      </c>
      <c r="Y15" s="1504">
        <f t="shared" si="1"/>
        <v>2284.4649999999997</v>
      </c>
      <c r="Z15" s="1504"/>
      <c r="AA15" s="1505">
        <f>SUM(AA8:AA14)</f>
        <v>2234.643</v>
      </c>
      <c r="AB15" s="1505">
        <f>SUM(AB8:AB14)</f>
        <v>2327.3589999999999</v>
      </c>
      <c r="AC15" s="1505">
        <f>SUM(AC8:AC14)</f>
        <v>2575.3379999999997</v>
      </c>
      <c r="AD15" s="1505">
        <f>SUM(AD8:AD14)</f>
        <v>3271.096</v>
      </c>
      <c r="AE15" s="1504">
        <f t="shared" si="2"/>
        <v>3271.096</v>
      </c>
      <c r="AF15" s="1504"/>
      <c r="AG15" s="1505">
        <f>SUM(AG8:AG14)</f>
        <v>3134.8449999999998</v>
      </c>
      <c r="AH15" s="1505">
        <f>SUM(AH8:AH14)</f>
        <v>3312.393</v>
      </c>
      <c r="AI15" s="1505">
        <f>SUM(AI8:AI14)</f>
        <v>3334.2489999999998</v>
      </c>
      <c r="AJ15" s="1505">
        <f>SUM(AJ8:AJ14)</f>
        <v>4323.05</v>
      </c>
      <c r="AK15" s="1504">
        <f t="shared" si="3"/>
        <v>4323.05</v>
      </c>
      <c r="AL15" s="1504"/>
      <c r="AM15" s="1505">
        <f>SUM(AM8:AM14)</f>
        <v>4134.3759999999993</v>
      </c>
      <c r="AN15" s="1505">
        <f>SUM(AN8:AN14)</f>
        <v>4087.8730000000005</v>
      </c>
      <c r="AO15" s="1505">
        <f>SUM(AO8:AO14)</f>
        <v>4336.4690000000001</v>
      </c>
      <c r="AP15" s="1505">
        <f>SUM(AP8:AP14)</f>
        <v>5447.2740000000013</v>
      </c>
      <c r="AQ15" s="1504">
        <f t="shared" si="4"/>
        <v>5447.2740000000013</v>
      </c>
      <c r="AR15" s="1504"/>
      <c r="AS15" s="1505">
        <f>SUM(AS8:AS14)</f>
        <v>4788.5810000000001</v>
      </c>
      <c r="AT15" s="1505">
        <f>SUM(AT8:AT14)</f>
        <v>4399.8560000000007</v>
      </c>
      <c r="AU15" s="1505">
        <f>SUM(AU8:AU14)</f>
        <v>5145.3969999999999</v>
      </c>
      <c r="AV15" s="1505">
        <f>SUM(AV8:AV14)</f>
        <v>10883.333999999999</v>
      </c>
      <c r="AW15" s="1504">
        <f t="shared" si="5"/>
        <v>10883.333999999999</v>
      </c>
      <c r="AX15" s="1504"/>
      <c r="AY15" s="1504">
        <f>SUM(AY8:AY14)</f>
        <v>7258.5949999999993</v>
      </c>
      <c r="AZ15" s="1504">
        <f>SUM(AZ8:AZ14)</f>
        <v>6823.4639999999999</v>
      </c>
      <c r="BA15" s="1504">
        <f>SUM(BA8:BA14)</f>
        <v>7459.0419999999995</v>
      </c>
      <c r="BB15" s="1504">
        <f>SUM(BB8:BB14)</f>
        <v>8963</v>
      </c>
      <c r="BC15" s="1504">
        <f t="shared" si="6"/>
        <v>8963</v>
      </c>
      <c r="BD15" s="1504"/>
      <c r="BE15" s="1504">
        <f>SUM(BE8:BE14)</f>
        <v>8577.384</v>
      </c>
      <c r="BF15" s="1504">
        <f>SUM(BF8:BF14)</f>
        <v>7586.6460000000006</v>
      </c>
      <c r="BG15" s="1506">
        <f>SUM(BG8:BG14)</f>
        <v>8021.9960000000001</v>
      </c>
      <c r="BH15" s="1506">
        <f>SUM(BH8:BH14)</f>
        <v>8728</v>
      </c>
      <c r="BI15" s="1504">
        <f t="shared" si="7"/>
        <v>8728</v>
      </c>
      <c r="BJ15" s="1504"/>
      <c r="BK15" s="1506">
        <f>SUM(BK8:BK14)</f>
        <v>8544</v>
      </c>
      <c r="BL15" s="1506">
        <f>SUM(BL8:BL14)</f>
        <v>7788</v>
      </c>
      <c r="BM15" s="1506">
        <f>SUM(BM8:BM14)</f>
        <v>8244</v>
      </c>
      <c r="BN15" s="1506">
        <f>SUM(BN8:BN14)</f>
        <v>9227</v>
      </c>
      <c r="BO15" s="1504">
        <f t="shared" si="8"/>
        <v>9227</v>
      </c>
      <c r="BP15" s="1504"/>
      <c r="BQ15" s="1506">
        <f>SUM(BQ8:BQ14)</f>
        <v>9413</v>
      </c>
      <c r="BR15" s="1506">
        <f>SUM(BR8:BR14)</f>
        <v>10307</v>
      </c>
      <c r="BS15" s="1506">
        <f>SUM(BS8:BS14)</f>
        <v>10234</v>
      </c>
      <c r="BT15" s="1506">
        <f>SUM(BT8:BT14)</f>
        <v>11336</v>
      </c>
      <c r="BU15" s="1504">
        <f t="shared" si="9"/>
        <v>11336</v>
      </c>
      <c r="BV15" s="1504"/>
      <c r="BW15" s="1506">
        <f>SUM(BW8:BW14)</f>
        <v>11277.205600000001</v>
      </c>
      <c r="BX15" s="1506">
        <f>SUM(BX8:BX14)</f>
        <v>11573</v>
      </c>
      <c r="BY15" s="1506">
        <f>SUM(BY8:BY14)</f>
        <v>11921</v>
      </c>
      <c r="BZ15" s="1506">
        <f>SUM(BZ8:BZ14)</f>
        <v>8448</v>
      </c>
      <c r="CA15" s="1504">
        <f t="shared" si="10"/>
        <v>8448</v>
      </c>
      <c r="CB15" s="1504"/>
      <c r="CC15" s="1506">
        <f>SUM(CC8:CC14)</f>
        <v>7189</v>
      </c>
      <c r="CD15" s="1506">
        <f>SUM(CD8:CD14)</f>
        <v>6266</v>
      </c>
      <c r="CE15" s="1506">
        <f>SUM(CE8:CE14)</f>
        <v>11199</v>
      </c>
      <c r="CF15" s="1506">
        <f>SUM(CF8:CF14)</f>
        <v>11974</v>
      </c>
      <c r="CG15" s="1507">
        <f t="shared" si="11"/>
        <v>11974</v>
      </c>
      <c r="CH15" s="1504"/>
      <c r="CI15" s="1506">
        <f>SUM(CI8:CI14)</f>
        <v>11691</v>
      </c>
      <c r="CJ15" s="1506">
        <f>SUM(CJ8:CJ14)</f>
        <v>11662</v>
      </c>
      <c r="CK15" s="1506">
        <f>SUM(CK8:CK14)</f>
        <v>10664</v>
      </c>
      <c r="CL15" s="1506">
        <f>SUM(CL8:CL14)</f>
        <v>12883</v>
      </c>
      <c r="CM15" s="1507">
        <f t="shared" si="12"/>
        <v>12883</v>
      </c>
      <c r="CN15" s="1504"/>
      <c r="CO15" s="1506">
        <f>SUM(CO8:CO14)</f>
        <v>12173</v>
      </c>
      <c r="CP15" s="1506">
        <f>SUM(CP8:CP14)</f>
        <v>13558</v>
      </c>
      <c r="CQ15" s="1506">
        <f>SUM(CQ8:CQ14)</f>
        <v>15731</v>
      </c>
      <c r="CR15" s="1506">
        <f>SUM(CR8:CR14)</f>
        <v>18103</v>
      </c>
      <c r="CS15" s="1507">
        <f t="shared" si="13"/>
        <v>18103</v>
      </c>
      <c r="CT15" s="1379"/>
      <c r="CU15" s="1506">
        <f>SUM(CU8:CU14)</f>
        <v>17851</v>
      </c>
      <c r="CV15" s="1506">
        <f>SUM(CV8:CV14)</f>
        <v>15138</v>
      </c>
      <c r="CW15" s="1506">
        <f>SUM(CW8:CW14)</f>
        <v>15611</v>
      </c>
      <c r="CX15" s="1506">
        <f>SUM(CX8:CX14)</f>
        <v>18581</v>
      </c>
      <c r="CY15" s="1507">
        <f t="shared" si="14"/>
        <v>18581</v>
      </c>
      <c r="CZ15" s="1508"/>
      <c r="DA15" s="1506">
        <f>SUM(DA8:DA14)</f>
        <v>24445</v>
      </c>
      <c r="DB15" s="1506">
        <f>SUM(DB8:DB14)</f>
        <v>25235</v>
      </c>
      <c r="DC15" s="1506">
        <f>SUM(DC8:DC14)</f>
        <v>23979</v>
      </c>
      <c r="DD15" s="1506">
        <f>SUM(DD8:DD14)</f>
        <v>27004</v>
      </c>
      <c r="DE15" s="1507">
        <f>DD15</f>
        <v>27004</v>
      </c>
      <c r="DF15" s="1508"/>
      <c r="DG15" s="1506">
        <f>SUM(DG8:DG14)</f>
        <v>30264</v>
      </c>
      <c r="DH15" s="1506">
        <f>SUM(DH8:DH14)</f>
        <v>32723</v>
      </c>
      <c r="DI15" s="1506">
        <f>SUM(DI8:DI14)</f>
        <v>32459</v>
      </c>
      <c r="DJ15" s="1506">
        <f>SUM(DJ8:DJ14)</f>
        <v>39174</v>
      </c>
      <c r="DK15" s="1507">
        <f t="shared" si="16"/>
        <v>39174</v>
      </c>
      <c r="DL15" s="1508"/>
      <c r="DM15" s="1506">
        <f>SUM(DM8:DM14)</f>
        <v>39206</v>
      </c>
      <c r="DN15" s="1506">
        <f>SUM(DN8:DN14)</f>
        <v>38482</v>
      </c>
      <c r="DO15" s="1506">
        <f>SUM(DO8:DO14)</f>
        <v>37538</v>
      </c>
      <c r="DP15" s="1506">
        <f>SUM(DP8:DP14)</f>
        <v>40023</v>
      </c>
      <c r="DQ15" s="1507">
        <f t="shared" si="17"/>
        <v>40023</v>
      </c>
      <c r="DR15" s="1508"/>
      <c r="DS15" s="1506">
        <f>SUM(DS8:DS14)</f>
        <v>38172</v>
      </c>
      <c r="DT15" s="1506">
        <f>SUM(DT8:DT14)</f>
        <v>41129</v>
      </c>
      <c r="DU15" s="1506">
        <f>SUM(DU8:DU14)</f>
        <v>40686</v>
      </c>
      <c r="DV15" s="1506">
        <f>SUM(DV8:DV14)</f>
        <v>41692</v>
      </c>
      <c r="DW15" s="1507">
        <f t="shared" si="18"/>
        <v>41692</v>
      </c>
      <c r="DX15" s="1508"/>
      <c r="DY15" s="1506">
        <f>SUM(DY8:DY14)</f>
        <v>45457</v>
      </c>
      <c r="DZ15" s="1506">
        <f>SUM(DZ8:DZ14)</f>
        <v>44252</v>
      </c>
      <c r="EA15" s="1506">
        <f>SUM(EA8:EA14)</f>
        <v>44404</v>
      </c>
      <c r="EB15" s="1506">
        <f>SUM(EB8:EB14)</f>
        <v>48138</v>
      </c>
      <c r="EC15" s="1507">
        <f t="shared" si="19"/>
        <v>48138</v>
      </c>
      <c r="ED15" s="1508"/>
      <c r="EE15" s="1506">
        <f>SUM(EE8:EE14)</f>
        <v>58194</v>
      </c>
      <c r="EF15" s="1506">
        <f>SUM(EF8:EF14)</f>
        <v>52040</v>
      </c>
      <c r="EG15" s="1506">
        <f>SUM(EG8:EG14)</f>
        <v>51294</v>
      </c>
      <c r="EH15" s="1506">
        <f>SUM(EH8:EH14)</f>
        <v>63183</v>
      </c>
      <c r="EI15" s="1507">
        <f t="shared" si="20"/>
        <v>63183</v>
      </c>
      <c r="EJ15" s="1380"/>
      <c r="EK15" s="1506">
        <f>SUM(EK8:EK14)</f>
        <v>62122</v>
      </c>
      <c r="EL15" s="1506">
        <f>SUM(EL8:EL14)</f>
        <v>59289</v>
      </c>
      <c r="EM15" s="1506">
        <f>SUM(EM8:EM14)</f>
        <v>57740</v>
      </c>
      <c r="EN15" s="1506">
        <f>SUM(EN8:EN14)</f>
        <v>64984</v>
      </c>
      <c r="EO15" s="1378">
        <f t="shared" si="21"/>
        <v>64984</v>
      </c>
      <c r="EP15" s="1380"/>
      <c r="EQ15" s="1506">
        <f>SUM(EQ8:EQ14)</f>
        <v>75122</v>
      </c>
      <c r="ER15" s="1506">
        <f>SUM(ER8:ER14)</f>
        <v>64734</v>
      </c>
      <c r="ES15" s="1377">
        <f>SUM(ES8:ES14)</f>
        <v>66011</v>
      </c>
      <c r="ET15" s="1506">
        <f>SUM(ET8:ET14)</f>
        <v>74515</v>
      </c>
      <c r="EU15" s="1378">
        <f t="shared" si="22"/>
        <v>74515</v>
      </c>
      <c r="EV15" s="1380"/>
      <c r="EW15" s="1506">
        <f>SUM(EW8:EW14)</f>
        <v>73335</v>
      </c>
      <c r="EX15" s="1506">
        <f>SUM(EX8:EX14)</f>
        <v>78545</v>
      </c>
      <c r="EY15" s="1377">
        <f>SUM(EY8:EY14)</f>
        <v>77732</v>
      </c>
      <c r="EZ15" s="1377">
        <f>SUM(EZ8:EZ14)</f>
        <v>79287.125005875045</v>
      </c>
      <c r="FA15" s="1378">
        <f t="shared" si="23"/>
        <v>79287.125005875045</v>
      </c>
      <c r="FB15" s="1380"/>
      <c r="FC15" s="1377">
        <f>SUM(FC8:FC14)</f>
        <v>78375.161285914146</v>
      </c>
      <c r="FD15" s="1377">
        <f>SUM(FD8:FD14)</f>
        <v>76958.343934639066</v>
      </c>
      <c r="FE15" s="1377">
        <f>SUM(FE8:FE14)</f>
        <v>78673.414680758215</v>
      </c>
      <c r="FF15" s="1377">
        <f>SUM(FF8:FF14)</f>
        <v>80604.331744856274</v>
      </c>
      <c r="FG15" s="1378">
        <f t="shared" si="24"/>
        <v>80604.331744856274</v>
      </c>
      <c r="FH15" s="1380"/>
      <c r="FI15" s="1377">
        <f>SUM(FI8:FI14)</f>
        <v>82840.82884637914</v>
      </c>
      <c r="FJ15" s="1377">
        <f>SUM(FJ8:FJ14)</f>
        <v>79130.034043992651</v>
      </c>
      <c r="FK15" s="1377">
        <f>SUM(FK8:FK14)</f>
        <v>79120.059553297833</v>
      </c>
      <c r="FL15" s="1377">
        <f>SUM(FL8:FL14)</f>
        <v>84150.401094779139</v>
      </c>
      <c r="FM15" s="1378">
        <f t="shared" si="25"/>
        <v>84150.401094779139</v>
      </c>
      <c r="FN15" s="1399"/>
      <c r="FO15" s="1400"/>
      <c r="FP15" s="1399"/>
      <c r="FQ15" s="1399"/>
      <c r="FR15"/>
      <c r="FS15"/>
      <c r="FT15"/>
      <c r="FU15"/>
      <c r="FV15"/>
      <c r="FW15"/>
      <c r="FX15" s="1399"/>
      <c r="FY15" s="1397"/>
      <c r="FZ15" s="1397"/>
      <c r="GA15" s="1397"/>
      <c r="GB15" s="1397"/>
      <c r="GC15" s="1397"/>
      <c r="GD15" s="1397"/>
      <c r="GE15" s="1397"/>
      <c r="GF15" s="1397"/>
      <c r="GG15" s="1397"/>
      <c r="GH15" s="1397"/>
      <c r="GI15" s="1397"/>
      <c r="GJ15" s="1397"/>
      <c r="GK15" s="1397"/>
      <c r="GL15" s="1397"/>
      <c r="GM15" s="1397"/>
      <c r="GN15" s="1397"/>
      <c r="GO15" s="1397"/>
      <c r="GP15" s="1397"/>
      <c r="GQ15" s="1397"/>
      <c r="GR15" s="1397"/>
      <c r="GS15" s="1397"/>
      <c r="GT15" s="1397"/>
      <c r="GU15" s="1397"/>
      <c r="GV15" s="1397"/>
      <c r="GW15" s="1397"/>
      <c r="GX15" s="1397"/>
      <c r="GY15" s="1397"/>
      <c r="GZ15" s="1397"/>
      <c r="HA15" s="1397"/>
      <c r="HB15" s="1397"/>
      <c r="HC15" s="1397"/>
      <c r="HD15" s="1397"/>
      <c r="HE15" s="1397"/>
      <c r="HF15" s="1397"/>
      <c r="HG15" s="1397"/>
      <c r="HH15" s="1397"/>
      <c r="HI15" s="1397"/>
      <c r="HJ15" s="1397"/>
      <c r="HK15" s="1397"/>
      <c r="HL15" s="1397"/>
      <c r="HM15" s="1397"/>
      <c r="HN15" s="1397"/>
      <c r="HO15" s="1397"/>
      <c r="HP15" s="1397"/>
      <c r="HQ15" s="1397"/>
      <c r="HR15" s="1397"/>
      <c r="HS15" s="1397"/>
      <c r="HT15" s="1397"/>
      <c r="HU15" s="1397"/>
      <c r="HV15" s="1397"/>
      <c r="HW15" s="1397"/>
      <c r="HX15" s="1397"/>
      <c r="HY15" s="1397"/>
      <c r="HZ15" s="1397"/>
      <c r="IA15" s="1397"/>
      <c r="IB15" s="1397"/>
      <c r="IC15" s="1397"/>
      <c r="ID15" s="1397"/>
      <c r="IE15" s="1397"/>
      <c r="IF15" s="1397"/>
      <c r="IG15" s="1397"/>
      <c r="IH15" s="1397"/>
      <c r="II15" s="1397"/>
      <c r="IJ15" s="1397"/>
      <c r="IK15" s="1397"/>
      <c r="IL15" s="1397"/>
      <c r="IM15" s="1397"/>
      <c r="IN15" s="1397"/>
      <c r="IO15" s="1397"/>
      <c r="IP15" s="1397"/>
      <c r="IQ15" s="1397"/>
      <c r="IR15" s="1397"/>
      <c r="IS15" s="1397"/>
      <c r="IT15" s="1397"/>
      <c r="IU15" s="1397"/>
      <c r="IV15" s="1397"/>
      <c r="IW15" s="1397"/>
      <c r="IX15" s="1397"/>
      <c r="IY15" s="1397"/>
      <c r="IZ15" s="1397"/>
      <c r="JA15" s="1397"/>
      <c r="JB15" s="1397"/>
      <c r="JC15" s="1397"/>
      <c r="JD15" s="1397"/>
      <c r="JE15" s="1397"/>
      <c r="JF15" s="1397"/>
      <c r="JG15" s="1397"/>
      <c r="JH15" s="1397"/>
      <c r="JI15" s="1397"/>
      <c r="JJ15" s="1397"/>
      <c r="JK15" s="1397"/>
      <c r="JL15" s="1397"/>
      <c r="JM15" s="1397"/>
      <c r="JN15" s="1397"/>
    </row>
    <row r="16" spans="1:274" s="24" customFormat="1" ht="5.25" customHeight="1" x14ac:dyDescent="0.2">
      <c r="A16" s="127"/>
      <c r="B16" s="20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261"/>
      <c r="O16" s="127"/>
      <c r="P16" s="127"/>
      <c r="Q16" s="127"/>
      <c r="R16" s="127"/>
      <c r="S16" s="305"/>
      <c r="T16" s="276"/>
      <c r="U16" s="305"/>
      <c r="V16" s="305"/>
      <c r="W16" s="305"/>
      <c r="X16" s="305"/>
      <c r="Y16" s="305"/>
      <c r="Z16" s="276"/>
      <c r="AA16" s="305"/>
      <c r="AB16" s="305"/>
      <c r="AC16" s="305"/>
      <c r="AD16" s="305"/>
      <c r="AE16" s="305"/>
      <c r="AF16" s="276"/>
      <c r="AG16" s="305"/>
      <c r="AH16" s="305"/>
      <c r="AI16" s="305"/>
      <c r="AJ16" s="305"/>
      <c r="AK16" s="305"/>
      <c r="AL16" s="276"/>
      <c r="AM16" s="305"/>
      <c r="AN16" s="305"/>
      <c r="AO16" s="305"/>
      <c r="AP16" s="305"/>
      <c r="AQ16" s="305"/>
      <c r="AR16" s="276"/>
      <c r="AS16" s="305"/>
      <c r="AT16" s="305"/>
      <c r="AU16" s="305"/>
      <c r="AV16" s="305"/>
      <c r="AW16" s="305"/>
      <c r="AX16" s="276"/>
      <c r="AY16" s="305"/>
      <c r="AZ16" s="305"/>
      <c r="BA16" s="305"/>
      <c r="BB16" s="305"/>
      <c r="BC16" s="305"/>
      <c r="BD16" s="276"/>
      <c r="BE16" s="305"/>
      <c r="BF16" s="305"/>
      <c r="BG16" s="305"/>
      <c r="BH16" s="305"/>
      <c r="BI16" s="305"/>
      <c r="BJ16" s="276"/>
      <c r="BK16" s="305"/>
      <c r="BL16" s="305"/>
      <c r="BM16" s="305"/>
      <c r="BN16" s="305"/>
      <c r="BO16" s="305"/>
      <c r="BP16" s="276"/>
      <c r="BQ16" s="305"/>
      <c r="BR16" s="305"/>
      <c r="BS16" s="305"/>
      <c r="BT16" s="305"/>
      <c r="BU16" s="305"/>
      <c r="BV16" s="276"/>
      <c r="BW16" s="305"/>
      <c r="BX16" s="305"/>
      <c r="BY16" s="305"/>
      <c r="BZ16" s="305"/>
      <c r="CA16" s="305"/>
      <c r="CB16" s="276"/>
      <c r="CC16" s="305"/>
      <c r="CD16" s="305"/>
      <c r="CE16" s="305"/>
      <c r="CF16" s="305"/>
      <c r="CG16" s="327"/>
      <c r="CH16" s="276"/>
      <c r="CI16" s="305"/>
      <c r="CJ16" s="305"/>
      <c r="CK16" s="305"/>
      <c r="CL16" s="305"/>
      <c r="CM16" s="327"/>
      <c r="CN16" s="276"/>
      <c r="CO16" s="305"/>
      <c r="CP16" s="305"/>
      <c r="CQ16" s="305"/>
      <c r="CR16" s="305"/>
      <c r="CS16" s="327"/>
      <c r="CT16" s="439"/>
      <c r="CU16" s="305"/>
      <c r="CV16" s="305"/>
      <c r="CW16" s="305"/>
      <c r="CX16" s="305"/>
      <c r="CY16" s="327"/>
      <c r="CZ16" s="442"/>
      <c r="DA16" s="305"/>
      <c r="DB16" s="305"/>
      <c r="DC16" s="305"/>
      <c r="DD16" s="305"/>
      <c r="DE16" s="327"/>
      <c r="DF16" s="442"/>
      <c r="DG16" s="305"/>
      <c r="DH16" s="305"/>
      <c r="DI16" s="305"/>
      <c r="DJ16" s="305"/>
      <c r="DK16" s="327"/>
      <c r="DL16" s="442"/>
      <c r="DM16" s="305"/>
      <c r="DN16" s="305"/>
      <c r="DO16" s="305"/>
      <c r="DP16" s="305"/>
      <c r="DQ16" s="327"/>
      <c r="DR16" s="442"/>
      <c r="DS16" s="305"/>
      <c r="DT16" s="305"/>
      <c r="DU16" s="305"/>
      <c r="DV16" s="305"/>
      <c r="DW16" s="327"/>
      <c r="DX16" s="442"/>
      <c r="DY16" s="305"/>
      <c r="DZ16" s="305"/>
      <c r="EA16" s="305"/>
      <c r="EB16" s="305"/>
      <c r="EC16" s="327"/>
      <c r="ED16" s="442"/>
      <c r="EE16" s="305"/>
      <c r="EF16" s="305"/>
      <c r="EG16" s="305"/>
      <c r="EH16" s="305"/>
      <c r="EI16" s="327"/>
      <c r="EJ16" s="442"/>
      <c r="EK16" s="305"/>
      <c r="EL16" s="305"/>
      <c r="EM16" s="305"/>
      <c r="EN16" s="305"/>
      <c r="EO16" s="327"/>
      <c r="EP16" s="442"/>
      <c r="EQ16" s="305"/>
      <c r="ER16" s="305"/>
      <c r="ES16" s="305"/>
      <c r="ET16" s="305"/>
      <c r="EU16" s="327"/>
      <c r="EV16" s="442"/>
      <c r="EW16" s="305"/>
      <c r="EX16" s="305"/>
      <c r="EY16" s="305"/>
      <c r="EZ16" s="305"/>
      <c r="FA16" s="327"/>
      <c r="FB16" s="442"/>
      <c r="FC16" s="305"/>
      <c r="FD16" s="305"/>
      <c r="FE16" s="305"/>
      <c r="FF16" s="305"/>
      <c r="FG16" s="327"/>
      <c r="FH16" s="442"/>
      <c r="FI16" s="305"/>
      <c r="FJ16" s="305"/>
      <c r="FK16" s="305"/>
      <c r="FL16" s="305"/>
      <c r="FM16" s="327"/>
      <c r="FN16" s="127"/>
      <c r="FO16" s="242"/>
      <c r="FP16" s="127"/>
      <c r="FQ16" s="127"/>
      <c r="FR16"/>
      <c r="FS16"/>
      <c r="FT16"/>
      <c r="FU16"/>
      <c r="FV16"/>
      <c r="FW16"/>
      <c r="FX16" s="127"/>
      <c r="FY16" s="1220"/>
      <c r="FZ16" s="1220"/>
      <c r="GA16" s="1220"/>
      <c r="GB16" s="1220"/>
      <c r="GC16" s="1220"/>
      <c r="GD16" s="1220"/>
      <c r="GE16" s="1220"/>
      <c r="GF16" s="1220"/>
      <c r="GG16" s="1220"/>
      <c r="GH16" s="1220"/>
      <c r="GI16" s="1220"/>
      <c r="GJ16" s="1220"/>
      <c r="GK16" s="1220"/>
      <c r="GL16" s="1220"/>
      <c r="GM16" s="1220"/>
      <c r="GN16" s="1220"/>
      <c r="GO16" s="1220"/>
      <c r="GP16" s="1220"/>
      <c r="GQ16" s="1220"/>
      <c r="GR16" s="1220"/>
      <c r="GS16" s="1220"/>
      <c r="GT16" s="1220"/>
      <c r="GU16" s="1220"/>
      <c r="GV16" s="1220"/>
      <c r="GW16" s="1220"/>
      <c r="GX16" s="1220"/>
      <c r="GY16" s="1220"/>
      <c r="GZ16" s="1220"/>
      <c r="HA16" s="1220"/>
      <c r="HB16" s="1220"/>
      <c r="HC16" s="1220"/>
      <c r="HD16" s="1220"/>
      <c r="HE16" s="1220"/>
      <c r="HF16" s="1220"/>
      <c r="HG16" s="1220"/>
      <c r="HH16" s="1220"/>
      <c r="HI16" s="1220"/>
      <c r="HJ16" s="1220"/>
      <c r="HK16" s="1220"/>
      <c r="HL16" s="1220"/>
      <c r="HM16" s="1220"/>
      <c r="HN16" s="1220"/>
      <c r="HO16" s="1220"/>
      <c r="HP16" s="1220"/>
      <c r="HQ16" s="1220"/>
      <c r="HR16" s="1220"/>
      <c r="HS16" s="1220"/>
      <c r="HT16" s="1220"/>
      <c r="HU16" s="1220"/>
      <c r="HV16" s="1220"/>
      <c r="HW16" s="1220"/>
      <c r="HX16" s="1220"/>
      <c r="HY16" s="1220"/>
      <c r="HZ16" s="1220"/>
      <c r="IA16" s="1220"/>
      <c r="IB16" s="1220"/>
      <c r="IC16" s="1220"/>
      <c r="ID16" s="1220"/>
      <c r="IE16" s="1220"/>
      <c r="IF16" s="1220"/>
      <c r="IG16" s="1220"/>
      <c r="IH16" s="1220"/>
      <c r="II16" s="1220"/>
      <c r="IJ16" s="1220"/>
      <c r="IK16" s="1220"/>
      <c r="IL16" s="1220"/>
      <c r="IM16" s="1220"/>
      <c r="IN16" s="1220"/>
      <c r="IO16" s="1220"/>
      <c r="IP16" s="1220"/>
      <c r="IQ16" s="1220"/>
      <c r="IR16" s="1220"/>
      <c r="IS16" s="1220"/>
      <c r="IT16" s="1220"/>
      <c r="IU16" s="1220"/>
      <c r="IV16" s="1220"/>
      <c r="IW16" s="1220"/>
      <c r="IX16" s="1220"/>
      <c r="IY16" s="1220"/>
      <c r="IZ16" s="1220"/>
      <c r="JA16" s="1220"/>
      <c r="JB16" s="1220"/>
      <c r="JC16" s="1220"/>
      <c r="JD16" s="1220"/>
      <c r="JE16" s="1220"/>
      <c r="JF16" s="1220"/>
      <c r="JG16" s="1220"/>
      <c r="JH16" s="1220"/>
      <c r="JI16" s="1220"/>
      <c r="JJ16" s="1220"/>
      <c r="JK16" s="1220"/>
      <c r="JL16" s="1220"/>
      <c r="JM16" s="1220"/>
      <c r="JN16" s="1220"/>
    </row>
    <row r="17" spans="1:274" s="1523" customFormat="1" ht="10.5" customHeight="1" x14ac:dyDescent="0.2">
      <c r="A17" s="1524" t="s">
        <v>837</v>
      </c>
      <c r="B17" s="1517"/>
      <c r="C17" s="1525" t="s">
        <v>945</v>
      </c>
      <c r="D17" s="1525">
        <v>4.4909999999999997</v>
      </c>
      <c r="E17" s="1525">
        <v>14.151999999999999</v>
      </c>
      <c r="F17" s="1525">
        <v>26.896000000000001</v>
      </c>
      <c r="G17" s="1525">
        <v>47.554000000000002</v>
      </c>
      <c r="H17" s="1525">
        <v>94.454999999999998</v>
      </c>
      <c r="I17" s="1525">
        <v>171.94499999999999</v>
      </c>
      <c r="J17" s="1525">
        <v>194.209</v>
      </c>
      <c r="K17" s="1525">
        <v>206.95500000000001</v>
      </c>
      <c r="L17" s="1525">
        <v>189.238</v>
      </c>
      <c r="M17" s="1525">
        <v>378.483</v>
      </c>
      <c r="N17" s="1539"/>
      <c r="O17" s="1524">
        <v>388.755</v>
      </c>
      <c r="P17" s="1524">
        <v>442.16800000000001</v>
      </c>
      <c r="Q17" s="1524">
        <v>487.60599999999999</v>
      </c>
      <c r="R17" s="1524">
        <v>535.03399999999999</v>
      </c>
      <c r="S17" s="1527">
        <f>R17</f>
        <v>535.03399999999999</v>
      </c>
      <c r="T17" s="1540"/>
      <c r="U17" s="1529">
        <v>557.37300000000005</v>
      </c>
      <c r="V17" s="1529">
        <v>602.99300000000005</v>
      </c>
      <c r="W17" s="1529">
        <v>642.98699999999997</v>
      </c>
      <c r="X17" s="1529">
        <v>685.75</v>
      </c>
      <c r="Y17" s="1527">
        <f>X17</f>
        <v>685.75</v>
      </c>
      <c r="Z17" s="1540"/>
      <c r="AA17" s="1529">
        <v>731.56500000000005</v>
      </c>
      <c r="AB17" s="1529">
        <v>771.37300000000005</v>
      </c>
      <c r="AC17" s="1529">
        <v>775.79600000000005</v>
      </c>
      <c r="AD17" s="1529">
        <v>868.94799999999998</v>
      </c>
      <c r="AE17" s="1527">
        <f>AD17</f>
        <v>868.94799999999998</v>
      </c>
      <c r="AF17" s="1540"/>
      <c r="AG17" s="1529">
        <v>882.01800000000003</v>
      </c>
      <c r="AH17" s="1529">
        <v>898.96699999999998</v>
      </c>
      <c r="AI17" s="1529">
        <v>920.34299999999996</v>
      </c>
      <c r="AJ17" s="1529">
        <v>934.35</v>
      </c>
      <c r="AK17" s="1527">
        <f>AJ17</f>
        <v>934.35</v>
      </c>
      <c r="AL17" s="1540"/>
      <c r="AM17" s="1529">
        <v>952.84900000000005</v>
      </c>
      <c r="AN17" s="1529">
        <v>976.66200000000003</v>
      </c>
      <c r="AO17" s="1529">
        <v>978.14300000000003</v>
      </c>
      <c r="AP17" s="1529">
        <v>987.48199999999997</v>
      </c>
      <c r="AQ17" s="1527">
        <f>AP17</f>
        <v>987.48199999999997</v>
      </c>
      <c r="AR17" s="1540"/>
      <c r="AS17" s="1529">
        <v>966.09799999999996</v>
      </c>
      <c r="AT17" s="1529">
        <v>966.404</v>
      </c>
      <c r="AU17" s="1529">
        <v>966.67600000000004</v>
      </c>
      <c r="AV17" s="1529">
        <v>934.45500000000004</v>
      </c>
      <c r="AW17" s="1527">
        <f>AV17</f>
        <v>934.45500000000004</v>
      </c>
      <c r="AX17" s="1540"/>
      <c r="AY17" s="1529">
        <v>936.75699999999995</v>
      </c>
      <c r="AZ17" s="1529">
        <v>941.79300000000001</v>
      </c>
      <c r="BA17" s="1529">
        <v>946.26800000000003</v>
      </c>
      <c r="BB17" s="1529">
        <v>975</v>
      </c>
      <c r="BC17" s="1527">
        <f>BB17</f>
        <v>975</v>
      </c>
      <c r="BD17" s="1540"/>
      <c r="BE17" s="1529">
        <v>1026.713</v>
      </c>
      <c r="BF17" s="1529">
        <v>1009.371</v>
      </c>
      <c r="BG17" s="1529">
        <v>984.76599999999996</v>
      </c>
      <c r="BH17" s="1529">
        <v>987</v>
      </c>
      <c r="BI17" s="1527">
        <f>BH17</f>
        <v>987</v>
      </c>
      <c r="BJ17" s="1540"/>
      <c r="BK17" s="1529">
        <v>973</v>
      </c>
      <c r="BL17" s="1529">
        <v>949</v>
      </c>
      <c r="BM17" s="1529">
        <v>899</v>
      </c>
      <c r="BN17" s="1529">
        <v>1062</v>
      </c>
      <c r="BO17" s="1527">
        <f>BN17</f>
        <v>1062</v>
      </c>
      <c r="BP17" s="1540"/>
      <c r="BQ17" s="1529">
        <v>1081</v>
      </c>
      <c r="BR17" s="1529">
        <v>1073</v>
      </c>
      <c r="BS17" s="1529">
        <v>1080</v>
      </c>
      <c r="BT17" s="1529">
        <v>1068</v>
      </c>
      <c r="BU17" s="1529">
        <f>BT17</f>
        <v>1068</v>
      </c>
      <c r="BV17" s="1529"/>
      <c r="BW17" s="1529">
        <v>1057</v>
      </c>
      <c r="BX17" s="1529">
        <v>1084</v>
      </c>
      <c r="BY17" s="1529">
        <v>1471</v>
      </c>
      <c r="BZ17" s="1529">
        <v>1442</v>
      </c>
      <c r="CA17" s="1529">
        <f>BZ17</f>
        <v>1442</v>
      </c>
      <c r="CB17" s="1529"/>
      <c r="CC17" s="1529">
        <v>1404</v>
      </c>
      <c r="CD17" s="1529">
        <v>1366</v>
      </c>
      <c r="CE17" s="1529">
        <v>1375</v>
      </c>
      <c r="CF17" s="1529">
        <v>1391</v>
      </c>
      <c r="CG17" s="1536">
        <f>CF17</f>
        <v>1391</v>
      </c>
      <c r="CH17" s="1529"/>
      <c r="CI17" s="1529">
        <v>1437</v>
      </c>
      <c r="CJ17" s="1529">
        <v>1446</v>
      </c>
      <c r="CK17" s="1529">
        <v>1465</v>
      </c>
      <c r="CL17" s="1529">
        <v>1603</v>
      </c>
      <c r="CM17" s="1536">
        <f>CL17</f>
        <v>1603</v>
      </c>
      <c r="CN17" s="1529"/>
      <c r="CO17" s="1529">
        <v>1633</v>
      </c>
      <c r="CP17" s="1529">
        <v>1655</v>
      </c>
      <c r="CQ17" s="1529">
        <v>1570</v>
      </c>
      <c r="CR17" s="1529">
        <v>1688</v>
      </c>
      <c r="CS17" s="1536">
        <f>CR17</f>
        <v>1688</v>
      </c>
      <c r="CT17" s="1537"/>
      <c r="CU17" s="1529">
        <v>1886</v>
      </c>
      <c r="CV17" s="1529">
        <v>1907</v>
      </c>
      <c r="CW17" s="1529">
        <v>1914</v>
      </c>
      <c r="CX17" s="1529">
        <v>1922</v>
      </c>
      <c r="CY17" s="1536">
        <f>CX17</f>
        <v>1922</v>
      </c>
      <c r="CZ17" s="1538"/>
      <c r="DA17" s="1529">
        <v>1924</v>
      </c>
      <c r="DB17" s="1529">
        <v>1956</v>
      </c>
      <c r="DC17" s="1529">
        <v>2869</v>
      </c>
      <c r="DD17" s="1529">
        <v>2763</v>
      </c>
      <c r="DE17" s="1536">
        <f>DD17</f>
        <v>2763</v>
      </c>
      <c r="DF17" s="1538"/>
      <c r="DG17" s="1529">
        <v>2835</v>
      </c>
      <c r="DH17" s="1529">
        <v>2870</v>
      </c>
      <c r="DI17" s="1529">
        <v>2894</v>
      </c>
      <c r="DJ17" s="1529">
        <v>2857</v>
      </c>
      <c r="DK17" s="1536">
        <f>DJ17</f>
        <v>2857</v>
      </c>
      <c r="DL17" s="1538"/>
      <c r="DM17" s="1529">
        <v>2930</v>
      </c>
      <c r="DN17" s="1529">
        <v>2900</v>
      </c>
      <c r="DO17" s="1529">
        <v>2936</v>
      </c>
      <c r="DP17" s="1529">
        <v>3021</v>
      </c>
      <c r="DQ17" s="1536">
        <f>DP17</f>
        <v>3021</v>
      </c>
      <c r="DR17" s="1538"/>
      <c r="DS17" s="1529">
        <v>3037</v>
      </c>
      <c r="DT17" s="1529">
        <v>3093</v>
      </c>
      <c r="DU17" s="1529">
        <v>3034</v>
      </c>
      <c r="DV17" s="1529">
        <v>3053</v>
      </c>
      <c r="DW17" s="1536">
        <f>DV17</f>
        <v>3053</v>
      </c>
      <c r="DX17" s="1538"/>
      <c r="DY17" s="1529">
        <f>3052</f>
        <v>3052</v>
      </c>
      <c r="DZ17" s="1529">
        <v>3039</v>
      </c>
      <c r="EA17" s="1529">
        <v>3052</v>
      </c>
      <c r="EB17" s="1529">
        <v>3061</v>
      </c>
      <c r="EC17" s="1536">
        <f>EB17</f>
        <v>3061</v>
      </c>
      <c r="ED17" s="1538"/>
      <c r="EE17" s="1529">
        <v>3086</v>
      </c>
      <c r="EF17" s="1529">
        <v>3169</v>
      </c>
      <c r="EG17" s="1529">
        <v>3335</v>
      </c>
      <c r="EH17" s="1529">
        <v>3686</v>
      </c>
      <c r="EI17" s="1536">
        <f>EH17</f>
        <v>3686</v>
      </c>
      <c r="EJ17" s="1538"/>
      <c r="EK17" s="1529">
        <v>3896</v>
      </c>
      <c r="EL17" s="1529">
        <v>3855</v>
      </c>
      <c r="EM17" s="1529">
        <v>4011</v>
      </c>
      <c r="EN17" s="1529">
        <v>4000</v>
      </c>
      <c r="EO17" s="1536">
        <f>EN17</f>
        <v>4000</v>
      </c>
      <c r="EP17" s="1538"/>
      <c r="EQ17" s="1529">
        <v>4108</v>
      </c>
      <c r="ER17" s="1529">
        <v>4882</v>
      </c>
      <c r="ES17" s="1529">
        <v>5070</v>
      </c>
      <c r="ET17" s="1529">
        <v>5315</v>
      </c>
      <c r="EU17" s="1536">
        <f>ET17</f>
        <v>5315</v>
      </c>
      <c r="EV17" s="1538"/>
      <c r="EW17" s="1529">
        <v>5586</v>
      </c>
      <c r="EX17" s="1529">
        <v>5868</v>
      </c>
      <c r="EY17" s="1529">
        <v>5904</v>
      </c>
      <c r="EZ17" s="1529">
        <f>EZ136</f>
        <v>6087.2082220443681</v>
      </c>
      <c r="FA17" s="1536">
        <f>EZ17</f>
        <v>6087.2082220443681</v>
      </c>
      <c r="FB17" s="1538"/>
      <c r="FC17" s="1529">
        <f>FC136</f>
        <v>6262.927244424226</v>
      </c>
      <c r="FD17" s="1529">
        <f>FD136</f>
        <v>6438.9394557188598</v>
      </c>
      <c r="FE17" s="1529">
        <f>FE136</f>
        <v>6288.8797080998193</v>
      </c>
      <c r="FF17" s="1529">
        <f>FF136</f>
        <v>6430.0839816821135</v>
      </c>
      <c r="FG17" s="1536">
        <f>FF17</f>
        <v>6430.0839816821135</v>
      </c>
      <c r="FH17" s="1538"/>
      <c r="FI17" s="1529">
        <f>FI136</f>
        <v>6567.9825808598162</v>
      </c>
      <c r="FJ17" s="1529">
        <f>FJ136</f>
        <v>6709.0459507957539</v>
      </c>
      <c r="FK17" s="1529">
        <f>FK136</f>
        <v>6474.4493681580943</v>
      </c>
      <c r="FL17" s="1529">
        <f>FL136</f>
        <v>6581.3799197111557</v>
      </c>
      <c r="FM17" s="1536">
        <f>FL17</f>
        <v>6581.3799197111557</v>
      </c>
      <c r="FN17" s="1524"/>
      <c r="FO17" s="1524"/>
      <c r="FP17" s="1524"/>
      <c r="FQ17" s="1524"/>
      <c r="FR17"/>
      <c r="FS17"/>
      <c r="FT17"/>
      <c r="FU17"/>
      <c r="FV17"/>
      <c r="FW17"/>
      <c r="FX17" s="1524"/>
      <c r="FY17" s="1522"/>
      <c r="FZ17" s="1522"/>
      <c r="GA17" s="1522"/>
      <c r="GB17" s="1522"/>
      <c r="GC17" s="1522"/>
      <c r="GD17" s="1522"/>
      <c r="GE17" s="1522"/>
      <c r="GF17" s="1522"/>
      <c r="GG17" s="1522"/>
      <c r="GH17" s="1522"/>
      <c r="GI17" s="1522"/>
      <c r="GJ17" s="1522"/>
      <c r="GK17" s="1522"/>
      <c r="GL17" s="1522"/>
      <c r="GM17" s="1522"/>
      <c r="GN17" s="1522"/>
      <c r="GO17" s="1522"/>
      <c r="GP17" s="1522"/>
      <c r="GQ17" s="1522"/>
      <c r="GR17" s="1522"/>
      <c r="GS17" s="1522"/>
      <c r="GT17" s="1522"/>
      <c r="GU17" s="1522"/>
      <c r="GV17" s="1522"/>
      <c r="GW17" s="1522"/>
      <c r="GX17" s="1522"/>
      <c r="GY17" s="1522"/>
      <c r="GZ17" s="1522"/>
      <c r="HA17" s="1522"/>
      <c r="HB17" s="1522"/>
      <c r="HC17" s="1522"/>
      <c r="HD17" s="1522"/>
      <c r="HE17" s="1522"/>
      <c r="HF17" s="1522"/>
      <c r="HG17" s="1522"/>
      <c r="HH17" s="1522"/>
      <c r="HI17" s="1522"/>
      <c r="HJ17" s="1522"/>
      <c r="HK17" s="1522"/>
      <c r="HL17" s="1522"/>
      <c r="HM17" s="1522"/>
      <c r="HN17" s="1522"/>
      <c r="HO17" s="1522"/>
      <c r="HP17" s="1522"/>
      <c r="HQ17" s="1522"/>
      <c r="HR17" s="1522"/>
      <c r="HS17" s="1522"/>
      <c r="HT17" s="1522"/>
      <c r="HU17" s="1522"/>
      <c r="HV17" s="1522"/>
      <c r="HW17" s="1522"/>
      <c r="HX17" s="1522"/>
      <c r="HY17" s="1522"/>
      <c r="HZ17" s="1522"/>
      <c r="IA17" s="1522"/>
      <c r="IB17" s="1522"/>
      <c r="IC17" s="1522"/>
      <c r="ID17" s="1522"/>
      <c r="IE17" s="1522"/>
      <c r="IF17" s="1522"/>
      <c r="IG17" s="1522"/>
      <c r="IH17" s="1522"/>
      <c r="II17" s="1522"/>
      <c r="IJ17" s="1522"/>
      <c r="IK17" s="1522"/>
      <c r="IL17" s="1522"/>
      <c r="IM17" s="1522"/>
      <c r="IN17" s="1522"/>
      <c r="IO17" s="1522"/>
      <c r="IP17" s="1522"/>
      <c r="IQ17" s="1522"/>
      <c r="IR17" s="1522"/>
      <c r="IS17" s="1522"/>
      <c r="IT17" s="1522"/>
      <c r="IU17" s="1522"/>
      <c r="IV17" s="1522"/>
      <c r="IW17" s="1522"/>
      <c r="IX17" s="1522"/>
      <c r="IY17" s="1522"/>
      <c r="IZ17" s="1522"/>
      <c r="JA17" s="1522"/>
      <c r="JB17" s="1522"/>
      <c r="JC17" s="1522"/>
      <c r="JD17" s="1522"/>
      <c r="JE17" s="1522"/>
      <c r="JF17" s="1522"/>
      <c r="JG17" s="1522"/>
      <c r="JH17" s="1522"/>
      <c r="JI17" s="1522"/>
      <c r="JJ17" s="1522"/>
      <c r="JK17" s="1522"/>
      <c r="JL17" s="1522"/>
      <c r="JM17" s="1522"/>
      <c r="JN17" s="1522"/>
    </row>
    <row r="18" spans="1:274" s="1523" customFormat="1" ht="10.5" customHeight="1" x14ac:dyDescent="0.2">
      <c r="A18" s="1524" t="s">
        <v>838</v>
      </c>
      <c r="B18" s="1517"/>
      <c r="C18" s="1525" t="s">
        <v>945</v>
      </c>
      <c r="D18" s="1525">
        <v>0</v>
      </c>
      <c r="E18" s="1525">
        <v>0</v>
      </c>
      <c r="F18" s="1525">
        <v>4.8179999999999996</v>
      </c>
      <c r="G18" s="1525">
        <v>6.92</v>
      </c>
      <c r="H18" s="1525">
        <v>13.942</v>
      </c>
      <c r="I18" s="1525">
        <v>33.396000000000001</v>
      </c>
      <c r="J18" s="1525">
        <v>64.983000000000004</v>
      </c>
      <c r="K18" s="1525">
        <v>93.709000000000003</v>
      </c>
      <c r="L18" s="1525">
        <v>101.58</v>
      </c>
      <c r="M18" s="1525">
        <v>100.32899999999999</v>
      </c>
      <c r="N18" s="1539"/>
      <c r="O18" s="1524">
        <v>100.27</v>
      </c>
      <c r="P18" s="1524">
        <v>100.21599999999999</v>
      </c>
      <c r="Q18" s="1524">
        <v>100.538</v>
      </c>
      <c r="R18" s="1524">
        <v>99.855000000000004</v>
      </c>
      <c r="S18" s="1527">
        <f>R18</f>
        <v>99.855000000000004</v>
      </c>
      <c r="T18" s="1540"/>
      <c r="U18" s="1529">
        <v>99.509</v>
      </c>
      <c r="V18" s="1529">
        <v>99.299000000000007</v>
      </c>
      <c r="W18" s="1529">
        <v>98.950999999999993</v>
      </c>
      <c r="X18" s="1529">
        <v>99.072000000000003</v>
      </c>
      <c r="Y18" s="1527">
        <f>X18</f>
        <v>99.072000000000003</v>
      </c>
      <c r="Z18" s="1540"/>
      <c r="AA18" s="1529">
        <v>98.962000000000003</v>
      </c>
      <c r="AB18" s="1529">
        <v>250.423</v>
      </c>
      <c r="AC18" s="1529">
        <v>98.891999999999996</v>
      </c>
      <c r="AD18" s="1529">
        <v>98.980999999999995</v>
      </c>
      <c r="AE18" s="1527">
        <f>AD18</f>
        <v>98.980999999999995</v>
      </c>
      <c r="AF18" s="1540"/>
      <c r="AG18" s="1529">
        <v>98.938000000000002</v>
      </c>
      <c r="AH18" s="1529">
        <v>99.028999999999996</v>
      </c>
      <c r="AI18" s="1529">
        <v>98.816999999999993</v>
      </c>
      <c r="AJ18" s="1529">
        <v>99.012</v>
      </c>
      <c r="AK18" s="1527">
        <f>AJ18</f>
        <v>99.012</v>
      </c>
      <c r="AL18" s="1540"/>
      <c r="AM18" s="1529">
        <v>98.831999999999994</v>
      </c>
      <c r="AN18" s="1529">
        <v>98.867000000000004</v>
      </c>
      <c r="AO18" s="1529">
        <f>386.605+98.99</f>
        <v>485.59500000000003</v>
      </c>
      <c r="AP18" s="1529">
        <f>476.481+98.87</f>
        <v>575.351</v>
      </c>
      <c r="AQ18" s="1527">
        <f>AP18</f>
        <v>575.351</v>
      </c>
      <c r="AR18" s="1540"/>
      <c r="AS18" s="1529">
        <f>517.053+99.192</f>
        <v>616.245</v>
      </c>
      <c r="AT18" s="1529">
        <f>717.157+99.337</f>
        <v>816.49400000000003</v>
      </c>
      <c r="AU18" s="1529">
        <f>99.167+1018.127</f>
        <v>1117.2939999999999</v>
      </c>
      <c r="AV18" s="1529">
        <v>1148.99</v>
      </c>
      <c r="AW18" s="1527">
        <f>AV18</f>
        <v>1148.99</v>
      </c>
      <c r="AX18" s="1540"/>
      <c r="AY18" s="1529">
        <v>1247.175</v>
      </c>
      <c r="AZ18" s="1529">
        <v>838.88599999999997</v>
      </c>
      <c r="BA18" s="1529">
        <v>774.10400000000004</v>
      </c>
      <c r="BB18" s="1529">
        <v>716</v>
      </c>
      <c r="BC18" s="1527">
        <f>BB18</f>
        <v>716</v>
      </c>
      <c r="BD18" s="1540"/>
      <c r="BE18" s="1529">
        <v>899.75800000000004</v>
      </c>
      <c r="BF18" s="1529">
        <v>710.81899999999996</v>
      </c>
      <c r="BG18" s="1529">
        <v>642.01199999999994</v>
      </c>
      <c r="BH18" s="1529">
        <v>446</v>
      </c>
      <c r="BI18" s="1527">
        <f>BH18</f>
        <v>446</v>
      </c>
      <c r="BJ18" s="1540"/>
      <c r="BK18" s="1529">
        <v>415</v>
      </c>
      <c r="BL18" s="1529">
        <v>369</v>
      </c>
      <c r="BM18" s="1529">
        <v>357</v>
      </c>
      <c r="BN18" s="1529">
        <v>345</v>
      </c>
      <c r="BO18" s="1527">
        <f>BN18</f>
        <v>345</v>
      </c>
      <c r="BP18" s="1540"/>
      <c r="BQ18" s="1529">
        <v>241</v>
      </c>
      <c r="BR18" s="1529">
        <v>235</v>
      </c>
      <c r="BS18" s="1529">
        <v>236</v>
      </c>
      <c r="BT18" s="1529">
        <v>267</v>
      </c>
      <c r="BU18" s="1527">
        <f>BT18</f>
        <v>267</v>
      </c>
      <c r="BV18" s="1540"/>
      <c r="BW18" s="1529">
        <v>302</v>
      </c>
      <c r="BX18" s="1529">
        <v>399</v>
      </c>
      <c r="BY18" s="1529">
        <f>3344+6600</f>
        <v>9944</v>
      </c>
      <c r="BZ18" s="1529">
        <f>3373+7003</f>
        <v>10376</v>
      </c>
      <c r="CA18" s="1529">
        <f>BZ18</f>
        <v>10376</v>
      </c>
      <c r="CB18" s="1540"/>
      <c r="CC18" s="1529">
        <f>7215+3340</f>
        <v>10555</v>
      </c>
      <c r="CD18" s="1529">
        <f>7366+3269</f>
        <v>10635</v>
      </c>
      <c r="CE18" s="1529">
        <f>4703+10075</f>
        <v>14778</v>
      </c>
      <c r="CF18" s="1529">
        <f>4528+9809</f>
        <v>14337</v>
      </c>
      <c r="CG18" s="1536">
        <f>CF18</f>
        <v>14337</v>
      </c>
      <c r="CH18" s="1540"/>
      <c r="CI18" s="1529">
        <f>10529+4640</f>
        <v>15169</v>
      </c>
      <c r="CJ18" s="1529">
        <f>10682+4559</f>
        <v>15241</v>
      </c>
      <c r="CK18" s="1529">
        <f>11917+4731</f>
        <v>16648</v>
      </c>
      <c r="CL18" s="1529">
        <f>13479+5964</f>
        <v>19443</v>
      </c>
      <c r="CM18" s="1536">
        <f>CL18</f>
        <v>19443</v>
      </c>
      <c r="CN18" s="1540"/>
      <c r="CO18" s="1529">
        <f>13544+5935</f>
        <v>19479</v>
      </c>
      <c r="CP18" s="1529">
        <f>5683+13663</f>
        <v>19346</v>
      </c>
      <c r="CQ18" s="1529">
        <f>5406+13677</f>
        <v>19083</v>
      </c>
      <c r="CR18" s="1529">
        <f>8395+17991</f>
        <v>26386</v>
      </c>
      <c r="CS18" s="1536">
        <f>CR18</f>
        <v>26386</v>
      </c>
      <c r="CT18" s="1537"/>
      <c r="CU18" s="1529">
        <f>8153+18260</f>
        <v>26413</v>
      </c>
      <c r="CV18" s="1529">
        <f>8101+18587</f>
        <v>26688</v>
      </c>
      <c r="CW18" s="1529">
        <f>18642+7704</f>
        <v>26346</v>
      </c>
      <c r="CX18" s="1529">
        <f>7269+18842</f>
        <v>26111</v>
      </c>
      <c r="CY18" s="1536">
        <f>CX18</f>
        <v>26111</v>
      </c>
      <c r="CZ18" s="1541"/>
      <c r="DA18" s="1529">
        <f>18867+6886</f>
        <v>25753</v>
      </c>
      <c r="DB18" s="1529">
        <f>19098+6584</f>
        <v>25682</v>
      </c>
      <c r="DC18" s="1529">
        <f>20415+9868</f>
        <v>30283</v>
      </c>
      <c r="DD18" s="1529">
        <f>20425+9321</f>
        <v>29746</v>
      </c>
      <c r="DE18" s="1536">
        <f>DD18</f>
        <v>29746</v>
      </c>
      <c r="DF18" s="1541"/>
      <c r="DG18" s="1529">
        <f>20901+9124</f>
        <v>30025</v>
      </c>
      <c r="DH18" s="1529">
        <f>20889+8526</f>
        <v>29415</v>
      </c>
      <c r="DI18" s="1529">
        <f>21425+8324</f>
        <v>29749</v>
      </c>
      <c r="DJ18" s="1529">
        <f>21553+7860</f>
        <v>29413</v>
      </c>
      <c r="DK18" s="1536">
        <f>DJ18</f>
        <v>29413</v>
      </c>
      <c r="DL18" s="1541"/>
      <c r="DM18" s="1529">
        <f>21831+7662</f>
        <v>29493</v>
      </c>
      <c r="DN18" s="1529">
        <f>21994+7152</f>
        <v>29146</v>
      </c>
      <c r="DO18" s="1529">
        <f>23819+7455</f>
        <v>31274</v>
      </c>
      <c r="DP18" s="1529">
        <f>7899+25119</f>
        <v>33018</v>
      </c>
      <c r="DQ18" s="1536">
        <f>DP18</f>
        <v>33018</v>
      </c>
      <c r="DR18" s="1541"/>
      <c r="DS18" s="1529">
        <f>25288+7376</f>
        <v>32664</v>
      </c>
      <c r="DT18" s="1529">
        <f>25458+6873</f>
        <v>32331</v>
      </c>
      <c r="DU18" s="1529">
        <f>6662+26102</f>
        <v>32764</v>
      </c>
      <c r="DV18" s="1529">
        <f>6640+27343</f>
        <v>33983</v>
      </c>
      <c r="DW18" s="1536">
        <f>DV18</f>
        <v>33983</v>
      </c>
      <c r="DX18" s="1541"/>
      <c r="DY18" s="1529">
        <f>6914+27965</f>
        <v>34879</v>
      </c>
      <c r="DZ18" s="1529">
        <f>6521+28269</f>
        <v>34790</v>
      </c>
      <c r="EA18" s="1529">
        <f>29322+6558</f>
        <v>35880</v>
      </c>
      <c r="EB18" s="1529">
        <f>6137+29652</f>
        <v>35789</v>
      </c>
      <c r="EC18" s="1536">
        <f>EB18</f>
        <v>35789</v>
      </c>
      <c r="ED18" s="1541"/>
      <c r="EE18" s="1529">
        <f>5605+29707</f>
        <v>35312</v>
      </c>
      <c r="EF18" s="1529">
        <f>7167+33383</f>
        <v>40550</v>
      </c>
      <c r="EG18" s="1529">
        <f>6842+34328</f>
        <v>41170</v>
      </c>
      <c r="EH18" s="1529">
        <f>6406+34087</f>
        <v>40493</v>
      </c>
      <c r="EI18" s="1536">
        <f>EH18</f>
        <v>40493</v>
      </c>
      <c r="EJ18" s="1541"/>
      <c r="EK18" s="1529">
        <f>5955+34133</f>
        <v>40088</v>
      </c>
      <c r="EL18" s="1529">
        <f>5599+34171</f>
        <v>39770</v>
      </c>
      <c r="EM18" s="1529">
        <f>5249+34284</f>
        <v>39533</v>
      </c>
      <c r="EN18" s="1529">
        <f>4943+34590</f>
        <v>39533</v>
      </c>
      <c r="EO18" s="1536">
        <f>EN18</f>
        <v>39533</v>
      </c>
      <c r="EP18" s="1541"/>
      <c r="EQ18" s="1529">
        <f>5091+35350</f>
        <v>40441</v>
      </c>
      <c r="ER18" s="1529">
        <f>7968+42083</f>
        <v>50051</v>
      </c>
      <c r="ES18" s="1529">
        <f>7788+42504</f>
        <v>50292</v>
      </c>
      <c r="ET18" s="1529">
        <f>7679+43045</f>
        <v>50724</v>
      </c>
      <c r="EU18" s="1536">
        <f>ET18</f>
        <v>50724</v>
      </c>
      <c r="EV18" s="1541"/>
      <c r="EW18" s="1529">
        <f>7186+43020</f>
        <v>50206</v>
      </c>
      <c r="EX18" s="1529">
        <f>6794+42964</f>
        <v>49758</v>
      </c>
      <c r="EY18" s="1529">
        <f>6400+42965</f>
        <v>49365</v>
      </c>
      <c r="EZ18" s="1529">
        <f>EY18-EZ147</f>
        <v>48974.111901603763</v>
      </c>
      <c r="FA18" s="1536">
        <f>EZ18</f>
        <v>48974.111901603763</v>
      </c>
      <c r="FB18" s="1541"/>
      <c r="FC18" s="1529">
        <f>EZ18-FC147</f>
        <v>48704.75428614494</v>
      </c>
      <c r="FD18" s="1529">
        <f>FC18-FD147</f>
        <v>48436.878137571141</v>
      </c>
      <c r="FE18" s="1529">
        <f>FD18-FE147</f>
        <v>48170.4753078145</v>
      </c>
      <c r="FF18" s="1529">
        <f>FE18-FF147</f>
        <v>47905.537693621518</v>
      </c>
      <c r="FG18" s="1536">
        <f>FF18</f>
        <v>47905.537693621518</v>
      </c>
      <c r="FH18" s="1541"/>
      <c r="FI18" s="1529">
        <f>FF18-FI147</f>
        <v>47642.057236306602</v>
      </c>
      <c r="FJ18" s="1529">
        <f>FI18-FJ147</f>
        <v>47380.025921506916</v>
      </c>
      <c r="FK18" s="1529">
        <f>FJ18-FK147</f>
        <v>47119.435778938627</v>
      </c>
      <c r="FL18" s="1529">
        <f>FK18-FL147</f>
        <v>46860.278882154467</v>
      </c>
      <c r="FM18" s="1536">
        <f>FL18</f>
        <v>46860.278882154467</v>
      </c>
      <c r="FN18" s="1524"/>
      <c r="FO18" s="1524"/>
      <c r="FP18" s="1524"/>
      <c r="FQ18" s="1524"/>
      <c r="FR18"/>
      <c r="FS18"/>
      <c r="FT18"/>
      <c r="FU18"/>
      <c r="FV18"/>
      <c r="FW18"/>
      <c r="FX18" s="1524"/>
      <c r="FY18" s="1522"/>
      <c r="FZ18" s="1522"/>
      <c r="GA18" s="1522"/>
      <c r="GB18" s="1522"/>
      <c r="GC18" s="1522"/>
      <c r="GD18" s="1522"/>
      <c r="GE18" s="1522"/>
      <c r="GF18" s="1522"/>
      <c r="GG18" s="1522"/>
      <c r="GH18" s="1522"/>
      <c r="GI18" s="1522"/>
      <c r="GJ18" s="1522"/>
      <c r="GK18" s="1522"/>
      <c r="GL18" s="1522"/>
      <c r="GM18" s="1522"/>
      <c r="GN18" s="1522"/>
      <c r="GO18" s="1522"/>
      <c r="GP18" s="1522"/>
      <c r="GQ18" s="1522"/>
      <c r="GR18" s="1522"/>
      <c r="GS18" s="1522"/>
      <c r="GT18" s="1522"/>
      <c r="GU18" s="1522"/>
      <c r="GV18" s="1522"/>
      <c r="GW18" s="1522"/>
      <c r="GX18" s="1522"/>
      <c r="GY18" s="1522"/>
      <c r="GZ18" s="1522"/>
      <c r="HA18" s="1522"/>
      <c r="HB18" s="1522"/>
      <c r="HC18" s="1522"/>
      <c r="HD18" s="1522"/>
      <c r="HE18" s="1522"/>
      <c r="HF18" s="1522"/>
      <c r="HG18" s="1522"/>
      <c r="HH18" s="1522"/>
      <c r="HI18" s="1522"/>
      <c r="HJ18" s="1522"/>
      <c r="HK18" s="1522"/>
      <c r="HL18" s="1522"/>
      <c r="HM18" s="1522"/>
      <c r="HN18" s="1522"/>
      <c r="HO18" s="1522"/>
      <c r="HP18" s="1522"/>
      <c r="HQ18" s="1522"/>
      <c r="HR18" s="1522"/>
      <c r="HS18" s="1522"/>
      <c r="HT18" s="1522"/>
      <c r="HU18" s="1522"/>
      <c r="HV18" s="1522"/>
      <c r="HW18" s="1522"/>
      <c r="HX18" s="1522"/>
      <c r="HY18" s="1522"/>
      <c r="HZ18" s="1522"/>
      <c r="IA18" s="1522"/>
      <c r="IB18" s="1522"/>
      <c r="IC18" s="1522"/>
      <c r="ID18" s="1522"/>
      <c r="IE18" s="1522"/>
      <c r="IF18" s="1522"/>
      <c r="IG18" s="1522"/>
      <c r="IH18" s="1522"/>
      <c r="II18" s="1522"/>
      <c r="IJ18" s="1522"/>
      <c r="IK18" s="1522"/>
      <c r="IL18" s="1522"/>
      <c r="IM18" s="1522"/>
      <c r="IN18" s="1522"/>
      <c r="IO18" s="1522"/>
      <c r="IP18" s="1522"/>
      <c r="IQ18" s="1522"/>
      <c r="IR18" s="1522"/>
      <c r="IS18" s="1522"/>
      <c r="IT18" s="1522"/>
      <c r="IU18" s="1522"/>
      <c r="IV18" s="1522"/>
      <c r="IW18" s="1522"/>
      <c r="IX18" s="1522"/>
      <c r="IY18" s="1522"/>
      <c r="IZ18" s="1522"/>
      <c r="JA18" s="1522"/>
      <c r="JB18" s="1522"/>
      <c r="JC18" s="1522"/>
      <c r="JD18" s="1522"/>
      <c r="JE18" s="1522"/>
      <c r="JF18" s="1522"/>
      <c r="JG18" s="1522"/>
      <c r="JH18" s="1522"/>
      <c r="JI18" s="1522"/>
      <c r="JJ18" s="1522"/>
      <c r="JK18" s="1522"/>
      <c r="JL18" s="1522"/>
      <c r="JM18" s="1522"/>
      <c r="JN18" s="1522"/>
    </row>
    <row r="19" spans="1:274" s="1523" customFormat="1" ht="10.5" hidden="1" customHeight="1" outlineLevel="1" x14ac:dyDescent="0.2">
      <c r="A19" s="1524" t="s">
        <v>361</v>
      </c>
      <c r="B19" s="1517"/>
      <c r="C19" s="1525" t="s">
        <v>945</v>
      </c>
      <c r="D19" s="1525">
        <v>0</v>
      </c>
      <c r="E19" s="1525">
        <v>0</v>
      </c>
      <c r="F19" s="1525">
        <v>0</v>
      </c>
      <c r="G19" s="1525">
        <v>0</v>
      </c>
      <c r="H19" s="1525">
        <v>0</v>
      </c>
      <c r="I19" s="1525">
        <v>0</v>
      </c>
      <c r="J19" s="1525">
        <v>0</v>
      </c>
      <c r="K19" s="1525">
        <v>0</v>
      </c>
      <c r="L19" s="1525">
        <v>31.276</v>
      </c>
      <c r="M19" s="1525">
        <v>0</v>
      </c>
      <c r="N19" s="1539"/>
      <c r="O19" s="1525" t="s">
        <v>945</v>
      </c>
      <c r="P19" s="1525" t="s">
        <v>945</v>
      </c>
      <c r="Q19" s="1525" t="s">
        <v>945</v>
      </c>
      <c r="R19" s="1525" t="s">
        <v>945</v>
      </c>
      <c r="S19" s="1527" t="str">
        <f>R19</f>
        <v>-</v>
      </c>
      <c r="T19" s="1540"/>
      <c r="U19" s="1529">
        <v>10.414</v>
      </c>
      <c r="V19" s="1529">
        <v>7.6260000000000003</v>
      </c>
      <c r="W19" s="1529">
        <v>9.4510000000000005</v>
      </c>
      <c r="X19" s="1529">
        <v>41.963000000000001</v>
      </c>
      <c r="Y19" s="1527">
        <f>X19</f>
        <v>41.963000000000001</v>
      </c>
      <c r="Z19" s="1540"/>
      <c r="AA19" s="1529">
        <v>15.039</v>
      </c>
      <c r="AB19" s="1529">
        <v>12.914999999999999</v>
      </c>
      <c r="AC19" s="1529">
        <v>30.363</v>
      </c>
      <c r="AD19" s="1529">
        <v>116.337</v>
      </c>
      <c r="AE19" s="1527">
        <f>AD19</f>
        <v>116.337</v>
      </c>
      <c r="AF19" s="1540"/>
      <c r="AG19" s="1529">
        <v>180.74</v>
      </c>
      <c r="AH19" s="1529">
        <v>139.863</v>
      </c>
      <c r="AI19" s="1529">
        <v>82.751999999999995</v>
      </c>
      <c r="AJ19" s="1529">
        <v>186.511</v>
      </c>
      <c r="AK19" s="1527">
        <f>AJ19</f>
        <v>186.511</v>
      </c>
      <c r="AL19" s="1540"/>
      <c r="AM19" s="1529">
        <v>196.935</v>
      </c>
      <c r="AN19" s="1529">
        <v>152.12799999999999</v>
      </c>
      <c r="AO19" s="1529">
        <v>302.12099999999998</v>
      </c>
      <c r="AP19" s="1529">
        <v>249.547</v>
      </c>
      <c r="AQ19" s="1527">
        <f>AP19</f>
        <v>249.547</v>
      </c>
      <c r="AR19" s="1540"/>
      <c r="AS19" s="1529">
        <v>208.47499999999999</v>
      </c>
      <c r="AT19" s="1529">
        <v>193.47499999999999</v>
      </c>
      <c r="AU19" s="1529">
        <v>120</v>
      </c>
      <c r="AV19" s="1529">
        <v>110</v>
      </c>
      <c r="AW19" s="1527">
        <f>AV19</f>
        <v>110</v>
      </c>
      <c r="AX19" s="1540"/>
      <c r="AY19" s="1529">
        <v>70</v>
      </c>
      <c r="AZ19" s="1529">
        <v>30</v>
      </c>
      <c r="BA19" s="1529">
        <v>10</v>
      </c>
      <c r="BB19" s="1529">
        <v>0</v>
      </c>
      <c r="BC19" s="1527">
        <f>BB19</f>
        <v>0</v>
      </c>
      <c r="BD19" s="1540"/>
      <c r="BE19" s="1529">
        <v>285.54399999999998</v>
      </c>
      <c r="BF19" s="1529">
        <v>580.471</v>
      </c>
      <c r="BG19" s="1529">
        <v>329.77499999999998</v>
      </c>
      <c r="BH19" s="1529">
        <v>406</v>
      </c>
      <c r="BI19" s="1527">
        <f>BH19</f>
        <v>406</v>
      </c>
      <c r="BJ19" s="1540"/>
      <c r="BK19" s="1529">
        <v>237</v>
      </c>
      <c r="BL19" s="1529">
        <v>414</v>
      </c>
      <c r="BM19" s="1529">
        <v>224</v>
      </c>
      <c r="BN19" s="1529">
        <v>233</v>
      </c>
      <c r="BO19" s="1527">
        <f>BN19</f>
        <v>233</v>
      </c>
      <c r="BP19" s="1540"/>
      <c r="BQ19" s="1529">
        <v>283</v>
      </c>
      <c r="BR19" s="1529">
        <v>0</v>
      </c>
      <c r="BS19" s="1529">
        <v>0</v>
      </c>
      <c r="BT19" s="1529">
        <v>0</v>
      </c>
      <c r="BU19" s="1527">
        <f>BT19</f>
        <v>0</v>
      </c>
      <c r="BV19" s="1540"/>
      <c r="BW19" s="1529">
        <v>0</v>
      </c>
      <c r="BX19" s="1529">
        <v>0</v>
      </c>
      <c r="BY19" s="1529">
        <v>0</v>
      </c>
      <c r="BZ19" s="1529">
        <v>0</v>
      </c>
      <c r="CA19" s="1529">
        <f>BZ19</f>
        <v>0</v>
      </c>
      <c r="CB19" s="1540"/>
      <c r="CC19" s="1529">
        <v>0</v>
      </c>
      <c r="CD19" s="1529">
        <v>0</v>
      </c>
      <c r="CE19" s="1529">
        <v>0</v>
      </c>
      <c r="CF19" s="1529">
        <v>0</v>
      </c>
      <c r="CG19" s="1536">
        <f>CF19</f>
        <v>0</v>
      </c>
      <c r="CH19" s="1540"/>
      <c r="CI19" s="1529">
        <v>0</v>
      </c>
      <c r="CJ19" s="1529">
        <v>0</v>
      </c>
      <c r="CK19" s="1529">
        <v>0</v>
      </c>
      <c r="CL19" s="1529">
        <v>0</v>
      </c>
      <c r="CM19" s="1536">
        <f>CL19</f>
        <v>0</v>
      </c>
      <c r="CN19" s="1540"/>
      <c r="CO19" s="1529">
        <f>CL19</f>
        <v>0</v>
      </c>
      <c r="CP19" s="1529">
        <f>CO19</f>
        <v>0</v>
      </c>
      <c r="CQ19" s="1529">
        <v>0</v>
      </c>
      <c r="CR19" s="1529">
        <v>0</v>
      </c>
      <c r="CS19" s="1536">
        <f>CR19</f>
        <v>0</v>
      </c>
      <c r="CT19" s="1537"/>
      <c r="CU19" s="1529">
        <f>CR19</f>
        <v>0</v>
      </c>
      <c r="CV19" s="1529">
        <v>0</v>
      </c>
      <c r="CW19" s="1529">
        <v>0</v>
      </c>
      <c r="CX19" s="1529">
        <f>CW19</f>
        <v>0</v>
      </c>
      <c r="CY19" s="1536">
        <f>CX19</f>
        <v>0</v>
      </c>
      <c r="CZ19" s="1542"/>
      <c r="DA19" s="1529">
        <v>0</v>
      </c>
      <c r="DB19" s="1529">
        <v>0</v>
      </c>
      <c r="DC19" s="1529">
        <v>0</v>
      </c>
      <c r="DD19" s="1529">
        <v>0</v>
      </c>
      <c r="DE19" s="1536">
        <f>DD19</f>
        <v>0</v>
      </c>
      <c r="DF19" s="1542"/>
      <c r="DG19" s="1529">
        <v>0</v>
      </c>
      <c r="DH19" s="1529">
        <v>0</v>
      </c>
      <c r="DI19" s="1529">
        <v>0</v>
      </c>
      <c r="DJ19" s="1529">
        <v>0</v>
      </c>
      <c r="DK19" s="1536">
        <f>DJ19</f>
        <v>0</v>
      </c>
      <c r="DL19" s="1542"/>
      <c r="DM19" s="1529">
        <v>0</v>
      </c>
      <c r="DN19" s="1529">
        <f>DM19</f>
        <v>0</v>
      </c>
      <c r="DO19" s="1529">
        <f>DN19</f>
        <v>0</v>
      </c>
      <c r="DP19" s="1529">
        <f>DO19</f>
        <v>0</v>
      </c>
      <c r="DQ19" s="1536">
        <f>DP19</f>
        <v>0</v>
      </c>
      <c r="DR19" s="1542"/>
      <c r="DS19" s="1529">
        <f>DP19</f>
        <v>0</v>
      </c>
      <c r="DT19" s="1529">
        <f>DS19</f>
        <v>0</v>
      </c>
      <c r="DU19" s="1529">
        <f>DT19</f>
        <v>0</v>
      </c>
      <c r="DV19" s="1529">
        <f>DU19</f>
        <v>0</v>
      </c>
      <c r="DW19" s="1536">
        <f>DV19</f>
        <v>0</v>
      </c>
      <c r="DX19" s="1542"/>
      <c r="DY19" s="1529">
        <v>0</v>
      </c>
      <c r="DZ19" s="1529">
        <v>0</v>
      </c>
      <c r="EA19" s="1529">
        <v>0</v>
      </c>
      <c r="EB19" s="1529">
        <v>0</v>
      </c>
      <c r="EC19" s="1536">
        <f>EB19</f>
        <v>0</v>
      </c>
      <c r="ED19" s="1542"/>
      <c r="EE19" s="1529">
        <v>0</v>
      </c>
      <c r="EF19" s="1529">
        <v>0</v>
      </c>
      <c r="EG19" s="1529">
        <v>0</v>
      </c>
      <c r="EH19" s="1532">
        <v>0</v>
      </c>
      <c r="EI19" s="1536">
        <f>EH19</f>
        <v>0</v>
      </c>
      <c r="EJ19" s="1542"/>
      <c r="EK19" s="1529">
        <v>0</v>
      </c>
      <c r="EL19" s="1529">
        <v>0</v>
      </c>
      <c r="EM19" s="1529">
        <v>0</v>
      </c>
      <c r="EN19" s="1532">
        <v>0</v>
      </c>
      <c r="EO19" s="1536">
        <f>EN19</f>
        <v>0</v>
      </c>
      <c r="EP19" s="1542"/>
      <c r="EQ19" s="1529">
        <v>0</v>
      </c>
      <c r="ER19" s="1529">
        <v>0</v>
      </c>
      <c r="ES19" s="1529">
        <f t="shared" ref="ES19" si="27">ER19</f>
        <v>0</v>
      </c>
      <c r="ET19" s="1532">
        <v>0</v>
      </c>
      <c r="EU19" s="1536">
        <f>ET19</f>
        <v>0</v>
      </c>
      <c r="EV19" s="1542"/>
      <c r="EW19" s="1529">
        <v>0</v>
      </c>
      <c r="EX19" s="1529">
        <v>0</v>
      </c>
      <c r="EY19" s="1529">
        <v>0</v>
      </c>
      <c r="EZ19" s="1532">
        <f t="shared" ref="EZ19:EZ20" si="28">EY19</f>
        <v>0</v>
      </c>
      <c r="FA19" s="1536">
        <f>EZ19</f>
        <v>0</v>
      </c>
      <c r="FB19" s="1542"/>
      <c r="FC19" s="1532">
        <f>EZ19</f>
        <v>0</v>
      </c>
      <c r="FD19" s="1532">
        <f t="shared" ref="FD19:FF20" si="29">FC19</f>
        <v>0</v>
      </c>
      <c r="FE19" s="1532">
        <f t="shared" si="29"/>
        <v>0</v>
      </c>
      <c r="FF19" s="1532">
        <f t="shared" si="29"/>
        <v>0</v>
      </c>
      <c r="FG19" s="1536">
        <f>FF19</f>
        <v>0</v>
      </c>
      <c r="FH19" s="1542"/>
      <c r="FI19" s="1532">
        <f>FF19</f>
        <v>0</v>
      </c>
      <c r="FJ19" s="1532">
        <f t="shared" ref="FJ19:FJ20" si="30">FI19</f>
        <v>0</v>
      </c>
      <c r="FK19" s="1532">
        <f t="shared" ref="FK19:FK20" si="31">FJ19</f>
        <v>0</v>
      </c>
      <c r="FL19" s="1532">
        <f t="shared" ref="FL19:FL20" si="32">FK19</f>
        <v>0</v>
      </c>
      <c r="FM19" s="1536">
        <f>FL19</f>
        <v>0</v>
      </c>
      <c r="FN19" s="1524"/>
      <c r="FO19" s="1524"/>
      <c r="FP19" s="1524"/>
      <c r="FQ19" s="1524"/>
      <c r="FR19"/>
      <c r="FS19"/>
      <c r="FT19"/>
      <c r="FU19"/>
      <c r="FV19"/>
      <c r="FW19"/>
      <c r="FX19" s="1524"/>
      <c r="FY19" s="1522"/>
      <c r="FZ19" s="1522"/>
      <c r="GA19" s="1522"/>
      <c r="GB19" s="1522"/>
      <c r="GC19" s="1522"/>
      <c r="GD19" s="1522"/>
      <c r="GE19" s="1522"/>
      <c r="GF19" s="1522"/>
      <c r="GG19" s="1522"/>
      <c r="GH19" s="1522"/>
      <c r="GI19" s="1522"/>
      <c r="GJ19" s="1522"/>
      <c r="GK19" s="1522"/>
      <c r="GL19" s="1522"/>
      <c r="GM19" s="1522"/>
      <c r="GN19" s="1522"/>
      <c r="GO19" s="1522"/>
      <c r="GP19" s="1522"/>
      <c r="GQ19" s="1522"/>
      <c r="GR19" s="1522"/>
      <c r="GS19" s="1522"/>
      <c r="GT19" s="1522"/>
      <c r="GU19" s="1522"/>
      <c r="GV19" s="1522"/>
      <c r="GW19" s="1522"/>
      <c r="GX19" s="1522"/>
      <c r="GY19" s="1522"/>
      <c r="GZ19" s="1522"/>
      <c r="HA19" s="1522"/>
      <c r="HB19" s="1522"/>
      <c r="HC19" s="1522"/>
      <c r="HD19" s="1522"/>
      <c r="HE19" s="1522"/>
      <c r="HF19" s="1522"/>
      <c r="HG19" s="1522"/>
      <c r="HH19" s="1522"/>
      <c r="HI19" s="1522"/>
      <c r="HJ19" s="1522"/>
      <c r="HK19" s="1522"/>
      <c r="HL19" s="1522"/>
      <c r="HM19" s="1522"/>
      <c r="HN19" s="1522"/>
      <c r="HO19" s="1522"/>
      <c r="HP19" s="1522"/>
      <c r="HQ19" s="1522"/>
      <c r="HR19" s="1522"/>
      <c r="HS19" s="1522"/>
      <c r="HT19" s="1522"/>
      <c r="HU19" s="1522"/>
      <c r="HV19" s="1522"/>
      <c r="HW19" s="1522"/>
      <c r="HX19" s="1522"/>
      <c r="HY19" s="1522"/>
      <c r="HZ19" s="1522"/>
      <c r="IA19" s="1522"/>
      <c r="IB19" s="1522"/>
      <c r="IC19" s="1522"/>
      <c r="ID19" s="1522"/>
      <c r="IE19" s="1522"/>
      <c r="IF19" s="1522"/>
      <c r="IG19" s="1522"/>
      <c r="IH19" s="1522"/>
      <c r="II19" s="1522"/>
      <c r="IJ19" s="1522"/>
      <c r="IK19" s="1522"/>
      <c r="IL19" s="1522"/>
      <c r="IM19" s="1522"/>
      <c r="IN19" s="1522"/>
      <c r="IO19" s="1522"/>
      <c r="IP19" s="1522"/>
      <c r="IQ19" s="1522"/>
      <c r="IR19" s="1522"/>
      <c r="IS19" s="1522"/>
      <c r="IT19" s="1522"/>
      <c r="IU19" s="1522"/>
      <c r="IV19" s="1522"/>
      <c r="IW19" s="1522"/>
      <c r="IX19" s="1522"/>
      <c r="IY19" s="1522"/>
      <c r="IZ19" s="1522"/>
      <c r="JA19" s="1522"/>
      <c r="JB19" s="1522"/>
      <c r="JC19" s="1522"/>
      <c r="JD19" s="1522"/>
      <c r="JE19" s="1522"/>
      <c r="JF19" s="1522"/>
      <c r="JG19" s="1522"/>
      <c r="JH19" s="1522"/>
      <c r="JI19" s="1522"/>
      <c r="JJ19" s="1522"/>
      <c r="JK19" s="1522"/>
      <c r="JL19" s="1522"/>
      <c r="JM19" s="1522"/>
      <c r="JN19" s="1522"/>
    </row>
    <row r="20" spans="1:274" s="1523" customFormat="1" ht="10.5" customHeight="1" collapsed="1" thickBot="1" x14ac:dyDescent="0.25">
      <c r="A20" s="1524" t="s">
        <v>13</v>
      </c>
      <c r="B20" s="1517"/>
      <c r="C20" s="1525" t="s">
        <v>945</v>
      </c>
      <c r="D20" s="1525">
        <f>0.237+0.773</f>
        <v>1.01</v>
      </c>
      <c r="E20" s="1525">
        <v>1.8049999999999999</v>
      </c>
      <c r="F20" s="1525">
        <v>2.94</v>
      </c>
      <c r="G20" s="1525">
        <v>3.2669999999999999</v>
      </c>
      <c r="H20" s="1525">
        <v>14.879</v>
      </c>
      <c r="I20" s="1525">
        <v>12.648999999999999</v>
      </c>
      <c r="J20" s="1525">
        <v>12.250999999999999</v>
      </c>
      <c r="K20" s="1525">
        <v>14.186</v>
      </c>
      <c r="L20" s="1525">
        <v>19.619</v>
      </c>
      <c r="M20" s="1525">
        <v>40.56</v>
      </c>
      <c r="N20" s="1539"/>
      <c r="O20" s="1524">
        <v>50.485999999999997</v>
      </c>
      <c r="P20" s="1524">
        <v>165.15</v>
      </c>
      <c r="Q20" s="1524">
        <v>166.24199999999999</v>
      </c>
      <c r="R20" s="1524">
        <v>172.434</v>
      </c>
      <c r="S20" s="1527">
        <f>R20</f>
        <v>172.434</v>
      </c>
      <c r="T20" s="1540"/>
      <c r="U20" s="1529">
        <v>248.24799999999999</v>
      </c>
      <c r="V20" s="1529">
        <v>228.964</v>
      </c>
      <c r="W20" s="1529">
        <v>235.73500000000001</v>
      </c>
      <c r="X20" s="1529">
        <v>245.989</v>
      </c>
      <c r="Y20" s="1527">
        <f>X20</f>
        <v>245.989</v>
      </c>
      <c r="Z20" s="1540"/>
      <c r="AA20" s="1529">
        <v>250.40799999999999</v>
      </c>
      <c r="AB20" s="1529">
        <v>98.825000000000003</v>
      </c>
      <c r="AC20" s="1529">
        <v>260.02499999999998</v>
      </c>
      <c r="AD20" s="1529">
        <v>268.95299999999997</v>
      </c>
      <c r="AE20" s="1527">
        <f>AD20</f>
        <v>268.95299999999997</v>
      </c>
      <c r="AF20" s="1540"/>
      <c r="AG20" s="1529">
        <v>300.524</v>
      </c>
      <c r="AH20" s="1529">
        <v>312.46499999999997</v>
      </c>
      <c r="AI20" s="1529">
        <v>313.59500000000003</v>
      </c>
      <c r="AJ20" s="1529">
        <v>276.08800000000002</v>
      </c>
      <c r="AK20" s="1527">
        <f>AJ20</f>
        <v>276.08800000000002</v>
      </c>
      <c r="AL20" s="1540"/>
      <c r="AM20" s="1529">
        <v>308.471</v>
      </c>
      <c r="AN20" s="1529">
        <v>331.06099999999998</v>
      </c>
      <c r="AO20" s="1529">
        <v>0</v>
      </c>
      <c r="AP20" s="1529">
        <v>0</v>
      </c>
      <c r="AQ20" s="1527">
        <f>AP20</f>
        <v>0</v>
      </c>
      <c r="AR20" s="1540"/>
      <c r="AS20" s="1529">
        <v>0</v>
      </c>
      <c r="AT20" s="1529">
        <v>0</v>
      </c>
      <c r="AU20" s="1529">
        <v>0</v>
      </c>
      <c r="AV20" s="1529">
        <v>0</v>
      </c>
      <c r="AW20" s="1527">
        <f>AV20</f>
        <v>0</v>
      </c>
      <c r="AX20" s="1540"/>
      <c r="AY20" s="1529">
        <v>0</v>
      </c>
      <c r="AZ20" s="1529">
        <v>289.62400000000002</v>
      </c>
      <c r="BA20" s="1529">
        <v>261.32600000000002</v>
      </c>
      <c r="BB20" s="1529">
        <v>376</v>
      </c>
      <c r="BC20" s="1527">
        <f>BB20</f>
        <v>376</v>
      </c>
      <c r="BD20" s="1540"/>
      <c r="BE20" s="1529">
        <v>396.63099999999997</v>
      </c>
      <c r="BF20" s="1529">
        <v>398.15300000000002</v>
      </c>
      <c r="BG20" s="1529">
        <v>396.37299999999999</v>
      </c>
      <c r="BH20" s="1529">
        <v>233</v>
      </c>
      <c r="BI20" s="1527">
        <f>BH20</f>
        <v>233</v>
      </c>
      <c r="BJ20" s="1540"/>
      <c r="BK20" s="1529">
        <v>243</v>
      </c>
      <c r="BL20" s="1529">
        <v>232</v>
      </c>
      <c r="BM20" s="1529">
        <v>224</v>
      </c>
      <c r="BN20" s="1529">
        <v>197</v>
      </c>
      <c r="BO20" s="1527">
        <f>BN20</f>
        <v>197</v>
      </c>
      <c r="BP20" s="1540"/>
      <c r="BQ20" s="1529">
        <v>197</v>
      </c>
      <c r="BR20" s="1529">
        <v>162</v>
      </c>
      <c r="BS20" s="1529">
        <v>165</v>
      </c>
      <c r="BT20" s="1529">
        <v>92</v>
      </c>
      <c r="BU20" s="1527">
        <f>BT20</f>
        <v>92</v>
      </c>
      <c r="BV20" s="1540"/>
      <c r="BW20" s="1529">
        <v>52</v>
      </c>
      <c r="BX20" s="1529">
        <v>81</v>
      </c>
      <c r="BY20" s="1529">
        <v>431</v>
      </c>
      <c r="BZ20" s="1529">
        <v>421</v>
      </c>
      <c r="CA20" s="1529">
        <f>BZ20</f>
        <v>421</v>
      </c>
      <c r="CB20" s="1540"/>
      <c r="CC20" s="1529">
        <v>448</v>
      </c>
      <c r="CD20" s="1529">
        <f>1028+51</f>
        <v>1079</v>
      </c>
      <c r="CE20" s="1529">
        <f>1072+40</f>
        <v>1112</v>
      </c>
      <c r="CF20" s="1529">
        <v>1327</v>
      </c>
      <c r="CG20" s="1536">
        <f>CF20</f>
        <v>1327</v>
      </c>
      <c r="CH20" s="1540"/>
      <c r="CI20" s="1529">
        <v>551</v>
      </c>
      <c r="CJ20" s="1529">
        <v>578</v>
      </c>
      <c r="CK20" s="1529">
        <v>592</v>
      </c>
      <c r="CL20" s="1529">
        <v>643</v>
      </c>
      <c r="CM20" s="1536">
        <f>CL20</f>
        <v>643</v>
      </c>
      <c r="CN20" s="1540"/>
      <c r="CO20" s="1529">
        <f>385+645</f>
        <v>1030</v>
      </c>
      <c r="CP20" s="1529">
        <f>412+682</f>
        <v>1094</v>
      </c>
      <c r="CQ20" s="1529">
        <f>257+675</f>
        <v>932</v>
      </c>
      <c r="CR20" s="1529">
        <v>1091</v>
      </c>
      <c r="CS20" s="1536">
        <f>CR20</f>
        <v>1091</v>
      </c>
      <c r="CT20" s="1537"/>
      <c r="CU20" s="1529">
        <v>1103</v>
      </c>
      <c r="CV20" s="1529">
        <v>1069</v>
      </c>
      <c r="CW20" s="1529">
        <v>1078</v>
      </c>
      <c r="CX20" s="1529">
        <v>802</v>
      </c>
      <c r="CY20" s="1536">
        <f>CX20</f>
        <v>802</v>
      </c>
      <c r="CZ20" s="1541"/>
      <c r="DA20" s="1529">
        <v>876</v>
      </c>
      <c r="DB20" s="1529">
        <v>960</v>
      </c>
      <c r="DC20" s="1529">
        <v>2255</v>
      </c>
      <c r="DD20" s="1529">
        <v>2065</v>
      </c>
      <c r="DE20" s="1536">
        <f>DD20</f>
        <v>2065</v>
      </c>
      <c r="DF20" s="1541"/>
      <c r="DG20" s="1529">
        <f>1119+1012</f>
        <v>2131</v>
      </c>
      <c r="DH20" s="1529">
        <f>1220+1015</f>
        <v>2235</v>
      </c>
      <c r="DI20" s="1529">
        <f>1519+1045</f>
        <v>2564</v>
      </c>
      <c r="DJ20" s="1529">
        <f>1015+1076</f>
        <v>2091</v>
      </c>
      <c r="DK20" s="1536">
        <f>DJ20</f>
        <v>2091</v>
      </c>
      <c r="DL20" s="1541"/>
      <c r="DM20" s="1529">
        <f>1152+1078</f>
        <v>2230</v>
      </c>
      <c r="DN20" s="1529">
        <f>1122+1260</f>
        <v>2382</v>
      </c>
      <c r="DO20" s="1529">
        <f>977+1636</f>
        <v>2613</v>
      </c>
      <c r="DP20" s="1529">
        <f>595+1670</f>
        <v>2265</v>
      </c>
      <c r="DQ20" s="1536">
        <f>DP20</f>
        <v>2265</v>
      </c>
      <c r="DR20" s="1541"/>
      <c r="DS20" s="1529">
        <f>2138+547</f>
        <v>2685</v>
      </c>
      <c r="DT20" s="1529">
        <f>782+2322</f>
        <v>3104</v>
      </c>
      <c r="DU20" s="1529">
        <f>651+2315</f>
        <v>2966</v>
      </c>
      <c r="DV20" s="1529">
        <f>766+2318</f>
        <v>3084</v>
      </c>
      <c r="DW20" s="1536">
        <f>DV20</f>
        <v>3084</v>
      </c>
      <c r="DX20" s="1541"/>
      <c r="DY20" s="1529">
        <f>2296+722</f>
        <v>3018</v>
      </c>
      <c r="DZ20" s="1529">
        <f>760+2397</f>
        <v>3157</v>
      </c>
      <c r="EA20" s="1529">
        <f>720+2506</f>
        <v>3226</v>
      </c>
      <c r="EB20" s="1529">
        <f>837+2519</f>
        <v>3356</v>
      </c>
      <c r="EC20" s="1536">
        <f>EB20</f>
        <v>3356</v>
      </c>
      <c r="ED20" s="1541"/>
      <c r="EE20" s="1529">
        <f>916+2218</f>
        <v>3134</v>
      </c>
      <c r="EF20" s="1529">
        <f>427+2119</f>
        <v>2546</v>
      </c>
      <c r="EG20" s="1529">
        <f>674+2343</f>
        <v>3017</v>
      </c>
      <c r="EH20" s="1529">
        <f>795+2746</f>
        <v>3541</v>
      </c>
      <c r="EI20" s="1536">
        <f>EH20</f>
        <v>3541</v>
      </c>
      <c r="EJ20" s="1541"/>
      <c r="EK20" s="1529">
        <f>789+2811</f>
        <v>3600</v>
      </c>
      <c r="EL20" s="1529">
        <f>1341+2899-EL13</f>
        <v>3569</v>
      </c>
      <c r="EM20" s="1529">
        <f>1382+2899-EM13</f>
        <v>3610</v>
      </c>
      <c r="EN20" s="1529">
        <f>1291+3043-EN13</f>
        <v>3663</v>
      </c>
      <c r="EO20" s="1536">
        <f>EN20</f>
        <v>3663</v>
      </c>
      <c r="EP20" s="1541"/>
      <c r="EQ20" s="1529">
        <f>1142+3081-EQ13</f>
        <v>3552</v>
      </c>
      <c r="ER20" s="1529">
        <f>895+3038</f>
        <v>3933</v>
      </c>
      <c r="ES20" s="1529">
        <f>918+3091</f>
        <v>4009</v>
      </c>
      <c r="ET20" s="1529">
        <f>1143+3294</f>
        <v>4437</v>
      </c>
      <c r="EU20" s="1536">
        <f>ET20</f>
        <v>4437</v>
      </c>
      <c r="EV20" s="1541"/>
      <c r="EW20" s="1529">
        <f>1181+3289</f>
        <v>4470</v>
      </c>
      <c r="EX20" s="1529">
        <f>1222+3369</f>
        <v>4591</v>
      </c>
      <c r="EY20" s="1529">
        <f>1815+3385</f>
        <v>5200</v>
      </c>
      <c r="EZ20" s="1532">
        <f t="shared" si="28"/>
        <v>5200</v>
      </c>
      <c r="FA20" s="1536">
        <f>EZ20</f>
        <v>5200</v>
      </c>
      <c r="FB20" s="1541"/>
      <c r="FC20" s="1532">
        <f>EZ20</f>
        <v>5200</v>
      </c>
      <c r="FD20" s="1532">
        <f t="shared" si="29"/>
        <v>5200</v>
      </c>
      <c r="FE20" s="1532">
        <f t="shared" si="29"/>
        <v>5200</v>
      </c>
      <c r="FF20" s="1532">
        <f t="shared" si="29"/>
        <v>5200</v>
      </c>
      <c r="FG20" s="1536">
        <f>FF20</f>
        <v>5200</v>
      </c>
      <c r="FH20" s="1541"/>
      <c r="FI20" s="1532">
        <f>FF20</f>
        <v>5200</v>
      </c>
      <c r="FJ20" s="1532">
        <f t="shared" si="30"/>
        <v>5200</v>
      </c>
      <c r="FK20" s="1532">
        <f t="shared" si="31"/>
        <v>5200</v>
      </c>
      <c r="FL20" s="1532">
        <f t="shared" si="32"/>
        <v>5200</v>
      </c>
      <c r="FM20" s="1536">
        <f>FL20</f>
        <v>5200</v>
      </c>
      <c r="FN20" s="1524"/>
      <c r="FO20" s="1524"/>
      <c r="FP20" s="1524"/>
      <c r="FQ20" s="1524"/>
      <c r="FR20"/>
      <c r="FS20"/>
      <c r="FT20"/>
      <c r="FU20"/>
      <c r="FV20"/>
      <c r="FW20"/>
      <c r="FX20" s="1524"/>
      <c r="FY20" s="1522"/>
      <c r="FZ20" s="1522"/>
      <c r="GA20" s="1522"/>
      <c r="GB20" s="1522"/>
      <c r="GC20" s="1522"/>
      <c r="GD20" s="1522"/>
      <c r="GE20" s="1522"/>
      <c r="GF20" s="1522"/>
      <c r="GG20" s="1522"/>
      <c r="GH20" s="1522"/>
      <c r="GI20" s="1522"/>
      <c r="GJ20" s="1522"/>
      <c r="GK20" s="1522"/>
      <c r="GL20" s="1522"/>
      <c r="GM20" s="1522"/>
      <c r="GN20" s="1522"/>
      <c r="GO20" s="1522"/>
      <c r="GP20" s="1522"/>
      <c r="GQ20" s="1522"/>
      <c r="GR20" s="1522"/>
      <c r="GS20" s="1522"/>
      <c r="GT20" s="1522"/>
      <c r="GU20" s="1522"/>
      <c r="GV20" s="1522"/>
      <c r="GW20" s="1522"/>
      <c r="GX20" s="1522"/>
      <c r="GY20" s="1522"/>
      <c r="GZ20" s="1522"/>
      <c r="HA20" s="1522"/>
      <c r="HB20" s="1522"/>
      <c r="HC20" s="1522"/>
      <c r="HD20" s="1522"/>
      <c r="HE20" s="1522"/>
      <c r="HF20" s="1522"/>
      <c r="HG20" s="1522"/>
      <c r="HH20" s="1522"/>
      <c r="HI20" s="1522"/>
      <c r="HJ20" s="1522"/>
      <c r="HK20" s="1522"/>
      <c r="HL20" s="1522"/>
      <c r="HM20" s="1522"/>
      <c r="HN20" s="1522"/>
      <c r="HO20" s="1522"/>
      <c r="HP20" s="1522"/>
      <c r="HQ20" s="1522"/>
      <c r="HR20" s="1522"/>
      <c r="HS20" s="1522"/>
      <c r="HT20" s="1522"/>
      <c r="HU20" s="1522"/>
      <c r="HV20" s="1522"/>
      <c r="HW20" s="1522"/>
      <c r="HX20" s="1522"/>
      <c r="HY20" s="1522"/>
      <c r="HZ20" s="1522"/>
      <c r="IA20" s="1522"/>
      <c r="IB20" s="1522"/>
      <c r="IC20" s="1522"/>
      <c r="ID20" s="1522"/>
      <c r="IE20" s="1522"/>
      <c r="IF20" s="1522"/>
      <c r="IG20" s="1522"/>
      <c r="IH20" s="1522"/>
      <c r="II20" s="1522"/>
      <c r="IJ20" s="1522"/>
      <c r="IK20" s="1522"/>
      <c r="IL20" s="1522"/>
      <c r="IM20" s="1522"/>
      <c r="IN20" s="1522"/>
      <c r="IO20" s="1522"/>
      <c r="IP20" s="1522"/>
      <c r="IQ20" s="1522"/>
      <c r="IR20" s="1522"/>
      <c r="IS20" s="1522"/>
      <c r="IT20" s="1522"/>
      <c r="IU20" s="1522"/>
      <c r="IV20" s="1522"/>
      <c r="IW20" s="1522"/>
      <c r="IX20" s="1522"/>
      <c r="IY20" s="1522"/>
      <c r="IZ20" s="1522"/>
      <c r="JA20" s="1522"/>
      <c r="JB20" s="1522"/>
      <c r="JC20" s="1522"/>
      <c r="JD20" s="1522"/>
      <c r="JE20" s="1522"/>
      <c r="JF20" s="1522"/>
      <c r="JG20" s="1522"/>
      <c r="JH20" s="1522"/>
      <c r="JI20" s="1522"/>
      <c r="JJ20" s="1522"/>
      <c r="JK20" s="1522"/>
      <c r="JL20" s="1522"/>
      <c r="JM20" s="1522"/>
      <c r="JN20" s="1522"/>
    </row>
    <row r="21" spans="1:274" s="1364" customFormat="1" ht="12.75" customHeight="1" thickBot="1" x14ac:dyDescent="0.25">
      <c r="A21" s="1509" t="s">
        <v>14</v>
      </c>
      <c r="B21" s="1383"/>
      <c r="C21" s="1385">
        <f t="shared" ref="C21:M21" si="33">SUM(C17:C20)+C15</f>
        <v>0</v>
      </c>
      <c r="D21" s="1385">
        <f t="shared" si="33"/>
        <v>15.462999999999999</v>
      </c>
      <c r="E21" s="1385">
        <f t="shared" si="33"/>
        <v>57.427999999999997</v>
      </c>
      <c r="F21" s="1385">
        <f t="shared" si="33"/>
        <v>143.79199999999997</v>
      </c>
      <c r="G21" s="1385">
        <f t="shared" si="33"/>
        <v>249.56799999999998</v>
      </c>
      <c r="H21" s="1385">
        <f t="shared" si="33"/>
        <v>460.20899999999995</v>
      </c>
      <c r="I21" s="1385">
        <f t="shared" si="33"/>
        <v>787.24699999999996</v>
      </c>
      <c r="J21" s="1385">
        <f t="shared" si="33"/>
        <v>857.64</v>
      </c>
      <c r="K21" s="1385">
        <f t="shared" si="33"/>
        <v>955.57200000000012</v>
      </c>
      <c r="L21" s="1385">
        <f t="shared" si="33"/>
        <v>1184.02</v>
      </c>
      <c r="M21" s="1385">
        <f t="shared" si="33"/>
        <v>1594.9840000000002</v>
      </c>
      <c r="N21" s="1385"/>
      <c r="O21" s="1385">
        <f>SUM(O17:O20)+O15</f>
        <v>1622.3609999999999</v>
      </c>
      <c r="P21" s="1385">
        <f>SUM(P17:P20)+P15</f>
        <v>1744.4189999999999</v>
      </c>
      <c r="Q21" s="1385">
        <f>SUM(Q17:Q20)+Q15</f>
        <v>1910.4089999999999</v>
      </c>
      <c r="R21" s="1385">
        <f>SUM(R17:R20)+R15</f>
        <v>2424.5170000000003</v>
      </c>
      <c r="S21" s="1510">
        <f>R21</f>
        <v>2424.5170000000003</v>
      </c>
      <c r="T21" s="1386"/>
      <c r="U21" s="1386">
        <f>SUM(U17:U20)+U15</f>
        <v>2349.4079999999999</v>
      </c>
      <c r="V21" s="1386">
        <f>SUM(V17:V20)+V15</f>
        <v>2530.2930000000001</v>
      </c>
      <c r="W21" s="1386">
        <f>SUM(W17:W20)+W15</f>
        <v>2763.3319999999999</v>
      </c>
      <c r="X21" s="1386">
        <f>SUM(X17:X20)+X15</f>
        <v>3357.2389999999996</v>
      </c>
      <c r="Y21" s="1510">
        <f>X21</f>
        <v>3357.2389999999996</v>
      </c>
      <c r="Z21" s="1386"/>
      <c r="AA21" s="1386">
        <f>SUM(AA17:AA20)+AA15</f>
        <v>3330.6170000000002</v>
      </c>
      <c r="AB21" s="1386">
        <f>SUM(AB17:AB20)+AB15</f>
        <v>3460.895</v>
      </c>
      <c r="AC21" s="1386">
        <f>SUM(AC17:AC20)+AC15</f>
        <v>3740.4139999999998</v>
      </c>
      <c r="AD21" s="1386">
        <f>SUM(AD17:AD20)+AD15</f>
        <v>4624.3150000000005</v>
      </c>
      <c r="AE21" s="1510">
        <f>AD21</f>
        <v>4624.3150000000005</v>
      </c>
      <c r="AF21" s="1386"/>
      <c r="AG21" s="1386">
        <f>SUM(AG17:AG20)+AG15</f>
        <v>4597.0649999999996</v>
      </c>
      <c r="AH21" s="1386">
        <f>SUM(AH17:AH20)+AH15</f>
        <v>4762.7169999999996</v>
      </c>
      <c r="AI21" s="1386">
        <f>SUM(AI17:AI20)+AI15</f>
        <v>4749.7559999999994</v>
      </c>
      <c r="AJ21" s="1386">
        <f>SUM(AJ17:AJ20)+AJ15</f>
        <v>5819.0110000000004</v>
      </c>
      <c r="AK21" s="1510">
        <f>AJ21</f>
        <v>5819.0110000000004</v>
      </c>
      <c r="AL21" s="1386"/>
      <c r="AM21" s="1386">
        <f>SUM(AM17:AM20)+AM15</f>
        <v>5691.4629999999997</v>
      </c>
      <c r="AN21" s="1386">
        <f>SUM(AN17:AN20)+AN15</f>
        <v>5646.5910000000003</v>
      </c>
      <c r="AO21" s="1386">
        <f>SUM(AO17:AO20)+AO15</f>
        <v>6102.3279999999995</v>
      </c>
      <c r="AP21" s="1386">
        <f>SUM(AP17:AP20)+AP15</f>
        <v>7259.6540000000014</v>
      </c>
      <c r="AQ21" s="1510">
        <f>AP21</f>
        <v>7259.6540000000014</v>
      </c>
      <c r="AR21" s="1386"/>
      <c r="AS21" s="1386">
        <f>SUM(AS17:AS20)+AS15</f>
        <v>6579.3989999999994</v>
      </c>
      <c r="AT21" s="1386">
        <f>SUM(AT17:AT20)+AT15</f>
        <v>6376.2290000000012</v>
      </c>
      <c r="AU21" s="1386">
        <f>SUM(AU17:AU20)+AU15</f>
        <v>7349.3670000000002</v>
      </c>
      <c r="AV21" s="1386">
        <f>SUM(AV17:AV20)+AV15</f>
        <v>13076.778999999999</v>
      </c>
      <c r="AW21" s="1510">
        <f>AV21</f>
        <v>13076.778999999999</v>
      </c>
      <c r="AX21" s="1386"/>
      <c r="AY21" s="1386">
        <f>SUM(AY17:AY20)+AY15</f>
        <v>9512.5269999999982</v>
      </c>
      <c r="AZ21" s="1386">
        <f>SUM(AZ17:AZ20)+AZ15</f>
        <v>8923.7669999999998</v>
      </c>
      <c r="BA21" s="1386">
        <f>SUM(BA17:BA20)+BA15</f>
        <v>9450.74</v>
      </c>
      <c r="BB21" s="1386">
        <f>SUM(BB17:BB20)+BB15</f>
        <v>11030</v>
      </c>
      <c r="BC21" s="1510">
        <f>BB21</f>
        <v>11030</v>
      </c>
      <c r="BD21" s="1386"/>
      <c r="BE21" s="1386">
        <f>SUM(BE17:BE20)+BE15</f>
        <v>11186.029999999999</v>
      </c>
      <c r="BF21" s="1386">
        <f>SUM(BF17:BF20)+BF15</f>
        <v>10285.460000000001</v>
      </c>
      <c r="BG21" s="1386">
        <f>SUM(BG17:BG20)+BG15</f>
        <v>10374.922</v>
      </c>
      <c r="BH21" s="1386">
        <f>SUM(BH17:BH20)+BH15</f>
        <v>10800</v>
      </c>
      <c r="BI21" s="1510">
        <f>BH21</f>
        <v>10800</v>
      </c>
      <c r="BJ21" s="1386"/>
      <c r="BK21" s="1386">
        <f>SUM(BK17:BK20)+BK15</f>
        <v>10412</v>
      </c>
      <c r="BL21" s="1386">
        <f>SUM(BL17:BL20)+BL15</f>
        <v>9752</v>
      </c>
      <c r="BM21" s="1386">
        <f>SUM(BM17:BM20)+BM15</f>
        <v>9948</v>
      </c>
      <c r="BN21" s="1386">
        <f>SUM(BN17:BN20)+BN15</f>
        <v>11064</v>
      </c>
      <c r="BO21" s="1510">
        <f>BN21</f>
        <v>11064</v>
      </c>
      <c r="BP21" s="1386"/>
      <c r="BQ21" s="1386">
        <f>SUM(BQ17:BQ20)+BQ15</f>
        <v>11215</v>
      </c>
      <c r="BR21" s="1386">
        <f>SUM(BR17:BR20)+BR15</f>
        <v>11777</v>
      </c>
      <c r="BS21" s="1386">
        <f>SUM(BS17:BS20)+BS15</f>
        <v>11715</v>
      </c>
      <c r="BT21" s="1386">
        <f>SUM(BT17:BT20)+BT15</f>
        <v>12763</v>
      </c>
      <c r="BU21" s="1510">
        <f>BT21</f>
        <v>12763</v>
      </c>
      <c r="BV21" s="1386"/>
      <c r="BW21" s="1386">
        <f>SUM(BW17:BW20)+BW15</f>
        <v>12688.205600000001</v>
      </c>
      <c r="BX21" s="1386">
        <f>SUM(BX17:BX20)+BX15</f>
        <v>13137</v>
      </c>
      <c r="BY21" s="1386">
        <f>SUM(BY17:BY20)+BY15</f>
        <v>23767</v>
      </c>
      <c r="BZ21" s="1386">
        <f>SUM(BZ17:BZ20)+BZ15</f>
        <v>20687</v>
      </c>
      <c r="CA21" s="1510">
        <f>BZ21</f>
        <v>20687</v>
      </c>
      <c r="CB21" s="1386"/>
      <c r="CC21" s="1386">
        <f>SUM(CC17:CC20)+CC15</f>
        <v>19596</v>
      </c>
      <c r="CD21" s="1386">
        <f>SUM(CD17:CD20)+CD15</f>
        <v>19346</v>
      </c>
      <c r="CE21" s="1386">
        <f>SUM(CE17:CE20)+CE15</f>
        <v>28464</v>
      </c>
      <c r="CF21" s="1386">
        <f>SUM(CF17:CF20)+CF15</f>
        <v>29029</v>
      </c>
      <c r="CG21" s="1511">
        <f>CF21</f>
        <v>29029</v>
      </c>
      <c r="CH21" s="1386"/>
      <c r="CI21" s="1386">
        <f>SUM(CI17:CI20)+CI15</f>
        <v>28848</v>
      </c>
      <c r="CJ21" s="1386">
        <f>SUM(CJ17:CJ20)+CJ15</f>
        <v>28927</v>
      </c>
      <c r="CK21" s="1386">
        <f>SUM(CK17:CK20)+CK15</f>
        <v>29369</v>
      </c>
      <c r="CL21" s="1386">
        <f>SUM(CL17:CL20)+CL15</f>
        <v>34572</v>
      </c>
      <c r="CM21" s="1511">
        <f>CL21</f>
        <v>34572</v>
      </c>
      <c r="CN21" s="1386"/>
      <c r="CO21" s="1386">
        <f>SUM(CO17:CO20)+CO15</f>
        <v>34315</v>
      </c>
      <c r="CP21" s="1386">
        <f>SUM(CP17:CP20)+CP15</f>
        <v>35653</v>
      </c>
      <c r="CQ21" s="1386">
        <f>SUM(CQ17:CQ20)+CQ15</f>
        <v>37316</v>
      </c>
      <c r="CR21" s="1386">
        <f>SUM(CR17:CR20)+CR15</f>
        <v>47268</v>
      </c>
      <c r="CS21" s="1511">
        <f>CR21</f>
        <v>47268</v>
      </c>
      <c r="CT21" s="1389"/>
      <c r="CU21" s="1386">
        <f>SUM(CU17:CU20)+CU15</f>
        <v>47253</v>
      </c>
      <c r="CV21" s="1386">
        <f>SUM(CV17:CV20)+CV15</f>
        <v>44802</v>
      </c>
      <c r="CW21" s="1386">
        <f>SUM(CW17:CW20)+CW15</f>
        <v>44949</v>
      </c>
      <c r="CX21" s="1386">
        <f>SUM(CX17:CX20)+CX15</f>
        <v>47416</v>
      </c>
      <c r="CY21" s="1511">
        <f>CX21</f>
        <v>47416</v>
      </c>
      <c r="CZ21" s="1386"/>
      <c r="DA21" s="1386">
        <f>SUM(DA17:DA20)+DA15</f>
        <v>52998</v>
      </c>
      <c r="DB21" s="1386">
        <f>SUM(DB17:DB20)+DB15</f>
        <v>53833</v>
      </c>
      <c r="DC21" s="1386">
        <f>SUM(DC17:DC20)+DC15</f>
        <v>59386</v>
      </c>
      <c r="DD21" s="1386">
        <f>SUM(DD17:DD20)+DD15</f>
        <v>61578</v>
      </c>
      <c r="DE21" s="1511">
        <f>DD21</f>
        <v>61578</v>
      </c>
      <c r="DF21" s="1386"/>
      <c r="DG21" s="1386">
        <f>SUM(DG17:DG20)+DG15</f>
        <v>65255</v>
      </c>
      <c r="DH21" s="1386">
        <f>SUM(DH17:DH20)+DH15</f>
        <v>67243</v>
      </c>
      <c r="DI21" s="1386">
        <f>SUM(DI17:DI20)+DI15</f>
        <v>67666</v>
      </c>
      <c r="DJ21" s="1386">
        <f>SUM(DJ17:DJ20)+DJ15</f>
        <v>73535</v>
      </c>
      <c r="DK21" s="1511">
        <f>DJ21</f>
        <v>73535</v>
      </c>
      <c r="DL21" s="1386"/>
      <c r="DM21" s="1386">
        <f>SUM(DM17:DM20)+DM15</f>
        <v>73859</v>
      </c>
      <c r="DN21" s="1386">
        <f>SUM(DN17:DN20)+DN15</f>
        <v>72910</v>
      </c>
      <c r="DO21" s="1386">
        <f>SUM(DO17:DO20)+DO15</f>
        <v>74361</v>
      </c>
      <c r="DP21" s="1386">
        <f>SUM(DP17:DP20)+DP15</f>
        <v>78327</v>
      </c>
      <c r="DQ21" s="1511">
        <f>DP21</f>
        <v>78327</v>
      </c>
      <c r="DR21" s="1386"/>
      <c r="DS21" s="1386">
        <f>SUM(DS17:DS20)+DS15</f>
        <v>76558</v>
      </c>
      <c r="DT21" s="1386">
        <f>SUM(DT17:DT20)+DT15</f>
        <v>79657</v>
      </c>
      <c r="DU21" s="1386">
        <f>SUM(DU17:DU20)+DU15</f>
        <v>79450</v>
      </c>
      <c r="DV21" s="1386">
        <f>SUM(DV17:DV20)+DV15</f>
        <v>81812</v>
      </c>
      <c r="DW21" s="1511">
        <f>DV21</f>
        <v>81812</v>
      </c>
      <c r="DX21" s="1386"/>
      <c r="DY21" s="1386">
        <f>SUM(DY17:DY20)+DY15</f>
        <v>86406</v>
      </c>
      <c r="DZ21" s="1386">
        <f>SUM(DZ17:DZ20)+DZ15</f>
        <v>85238</v>
      </c>
      <c r="EA21" s="1386">
        <f>SUM(EA17:EA20)+EA15</f>
        <v>86562</v>
      </c>
      <c r="EB21" s="1386">
        <f>SUM(EB17:EB20)+EB15</f>
        <v>90344</v>
      </c>
      <c r="EC21" s="1511">
        <f>EB21</f>
        <v>90344</v>
      </c>
      <c r="ED21" s="1386"/>
      <c r="EE21" s="1386">
        <f>SUM(EE17:EE20)+EE15</f>
        <v>99726</v>
      </c>
      <c r="EF21" s="1386">
        <f>SUM(EF17:EF20)+EF15</f>
        <v>98305</v>
      </c>
      <c r="EG21" s="1386">
        <f>SUM(EG17:EG20)+EG15</f>
        <v>98816</v>
      </c>
      <c r="EH21" s="1386">
        <f>SUM(EH17:EH20)+EH15</f>
        <v>110903</v>
      </c>
      <c r="EI21" s="1511">
        <f>EH21</f>
        <v>110903</v>
      </c>
      <c r="EJ21" s="1386"/>
      <c r="EK21" s="1386">
        <f>SUM(EK17:EK20)+EK15</f>
        <v>109706</v>
      </c>
      <c r="EL21" s="1386">
        <f>SUM(EL17:EL20)+EL15</f>
        <v>106483</v>
      </c>
      <c r="EM21" s="1386">
        <f>SUM(EM17:EM20)+EM15</f>
        <v>104894</v>
      </c>
      <c r="EN21" s="1386">
        <f>SUM(EN17:EN20)+EN15</f>
        <v>112180</v>
      </c>
      <c r="EO21" s="1388">
        <f>EN21</f>
        <v>112180</v>
      </c>
      <c r="EP21" s="1386"/>
      <c r="EQ21" s="1386">
        <f>SUM(EQ17:EQ20)+EQ15</f>
        <v>123223</v>
      </c>
      <c r="ER21" s="1386">
        <f>SUM(ER17:ER20)+ER15</f>
        <v>123600</v>
      </c>
      <c r="ES21" s="1387">
        <f>SUM(ES17:ES20)+ES15</f>
        <v>125382</v>
      </c>
      <c r="ET21" s="1386">
        <f>SUM(ET17:ET20)+ET15</f>
        <v>134991</v>
      </c>
      <c r="EU21" s="1388">
        <f>ET21</f>
        <v>134991</v>
      </c>
      <c r="EV21" s="1386"/>
      <c r="EW21" s="1386">
        <f>SUM(EW17:EW20)+EW15</f>
        <v>133597</v>
      </c>
      <c r="EX21" s="1386">
        <f>SUM(EX17:EX20)+EX15</f>
        <v>138762</v>
      </c>
      <c r="EY21" s="1387">
        <f>SUM(EY17:EY20)+EY15</f>
        <v>138201</v>
      </c>
      <c r="EZ21" s="1387">
        <f>SUM(EZ17:EZ20)+EZ15</f>
        <v>139548.44512952317</v>
      </c>
      <c r="FA21" s="1388">
        <f>EZ21</f>
        <v>139548.44512952317</v>
      </c>
      <c r="FB21" s="1386"/>
      <c r="FC21" s="1387">
        <f>SUM(FC17:FC20)+FC15</f>
        <v>138542.84281648332</v>
      </c>
      <c r="FD21" s="1387">
        <f>SUM(FD17:FD20)+FD15</f>
        <v>137034.16152792907</v>
      </c>
      <c r="FE21" s="1387">
        <f>SUM(FE17:FE20)+FE15</f>
        <v>138332.76969667253</v>
      </c>
      <c r="FF21" s="1387">
        <f>SUM(FF17:FF20)+FF15</f>
        <v>140139.9534201599</v>
      </c>
      <c r="FG21" s="1388">
        <f>FF21</f>
        <v>140139.9534201599</v>
      </c>
      <c r="FH21" s="1386"/>
      <c r="FI21" s="1387">
        <f>SUM(FI17:FI20)+FI15</f>
        <v>142250.86866354555</v>
      </c>
      <c r="FJ21" s="1387">
        <f>SUM(FJ17:FJ20)+FJ15</f>
        <v>138419.10591629532</v>
      </c>
      <c r="FK21" s="1387">
        <f>SUM(FK17:FK20)+FK15</f>
        <v>137913.94470039455</v>
      </c>
      <c r="FL21" s="1387">
        <f>SUM(FL17:FL20)+FL15</f>
        <v>142792.05989664476</v>
      </c>
      <c r="FM21" s="1388">
        <f>FL21</f>
        <v>142792.05989664476</v>
      </c>
      <c r="FN21" s="1399"/>
      <c r="FO21" s="1400"/>
      <c r="FP21" s="1399"/>
      <c r="FQ21" s="1399"/>
      <c r="FR21"/>
      <c r="FS21"/>
      <c r="FT21"/>
      <c r="FU21"/>
      <c r="FV21"/>
      <c r="FW21"/>
      <c r="FX21" s="1399"/>
      <c r="FY21" s="1397"/>
      <c r="FZ21" s="1397"/>
      <c r="GA21" s="1397"/>
      <c r="GB21" s="1397"/>
      <c r="GC21" s="1397"/>
      <c r="GD21" s="1397"/>
      <c r="GE21" s="1397"/>
      <c r="GF21" s="1397"/>
      <c r="GG21" s="1397"/>
      <c r="GH21" s="1397"/>
      <c r="GI21" s="1397"/>
      <c r="GJ21" s="1397"/>
      <c r="GK21" s="1397"/>
      <c r="GL21" s="1397"/>
      <c r="GM21" s="1397"/>
      <c r="GN21" s="1397"/>
      <c r="GO21" s="1397"/>
      <c r="GP21" s="1397"/>
      <c r="GQ21" s="1397"/>
      <c r="GR21" s="1397"/>
      <c r="GS21" s="1397"/>
      <c r="GT21" s="1397"/>
      <c r="GU21" s="1397"/>
      <c r="GV21" s="1397"/>
      <c r="GW21" s="1397"/>
      <c r="GX21" s="1397"/>
      <c r="GY21" s="1397"/>
      <c r="GZ21" s="1397"/>
      <c r="HA21" s="1397"/>
      <c r="HB21" s="1397"/>
      <c r="HC21" s="1397"/>
      <c r="HD21" s="1397"/>
      <c r="HE21" s="1397"/>
      <c r="HF21" s="1397"/>
      <c r="HG21" s="1397"/>
      <c r="HH21" s="1397"/>
      <c r="HI21" s="1397"/>
      <c r="HJ21" s="1397"/>
      <c r="HK21" s="1397"/>
      <c r="HL21" s="1397"/>
      <c r="HM21" s="1397"/>
      <c r="HN21" s="1397"/>
      <c r="HO21" s="1397"/>
      <c r="HP21" s="1397"/>
      <c r="HQ21" s="1397"/>
      <c r="HR21" s="1397"/>
      <c r="HS21" s="1397"/>
      <c r="HT21" s="1397"/>
      <c r="HU21" s="1397"/>
      <c r="HV21" s="1397"/>
      <c r="HW21" s="1397"/>
      <c r="HX21" s="1397"/>
      <c r="HY21" s="1397"/>
      <c r="HZ21" s="1397"/>
      <c r="IA21" s="1397"/>
      <c r="IB21" s="1397"/>
      <c r="IC21" s="1397"/>
      <c r="ID21" s="1397"/>
      <c r="IE21" s="1397"/>
      <c r="IF21" s="1397"/>
      <c r="IG21" s="1397"/>
      <c r="IH21" s="1397"/>
      <c r="II21" s="1397"/>
      <c r="IJ21" s="1397"/>
      <c r="IK21" s="1397"/>
      <c r="IL21" s="1397"/>
      <c r="IM21" s="1397"/>
      <c r="IN21" s="1397"/>
      <c r="IO21" s="1397"/>
      <c r="IP21" s="1397"/>
      <c r="IQ21" s="1397"/>
      <c r="IR21" s="1397"/>
      <c r="IS21" s="1397"/>
      <c r="IT21" s="1397"/>
      <c r="IU21" s="1397"/>
      <c r="IV21" s="1397"/>
      <c r="IW21" s="1397"/>
      <c r="IX21" s="1397"/>
      <c r="IY21" s="1397"/>
      <c r="IZ21" s="1397"/>
      <c r="JA21" s="1397"/>
      <c r="JB21" s="1397"/>
      <c r="JC21" s="1397"/>
      <c r="JD21" s="1397"/>
      <c r="JE21" s="1397"/>
      <c r="JF21" s="1397"/>
      <c r="JG21" s="1397"/>
      <c r="JH21" s="1397"/>
      <c r="JI21" s="1397"/>
      <c r="JJ21" s="1397"/>
      <c r="JK21" s="1397"/>
      <c r="JL21" s="1397"/>
      <c r="JM21" s="1397"/>
      <c r="JN21" s="1397"/>
    </row>
    <row r="22" spans="1:274" s="24" customFormat="1" ht="5.25" customHeight="1" x14ac:dyDescent="0.2">
      <c r="A22" s="341"/>
      <c r="B22" s="20"/>
      <c r="C22" s="135"/>
      <c r="D22" s="135"/>
      <c r="E22" s="135"/>
      <c r="F22" s="135"/>
      <c r="G22" s="135"/>
      <c r="H22" s="135"/>
      <c r="I22" s="135"/>
      <c r="J22" s="135"/>
      <c r="K22" s="135"/>
      <c r="L22" s="135"/>
      <c r="M22" s="135"/>
      <c r="N22" s="135"/>
      <c r="O22" s="42"/>
      <c r="P22" s="42"/>
      <c r="Q22" s="42"/>
      <c r="R22" s="135"/>
      <c r="S22" s="444"/>
      <c r="T22" s="444"/>
      <c r="U22" s="444"/>
      <c r="V22" s="444"/>
      <c r="W22" s="444"/>
      <c r="X22" s="444"/>
      <c r="Y22" s="444"/>
      <c r="Z22" s="444"/>
      <c r="AA22" s="444"/>
      <c r="AB22" s="444"/>
      <c r="AC22" s="444"/>
      <c r="AD22" s="444"/>
      <c r="AE22" s="444"/>
      <c r="AF22" s="444"/>
      <c r="AG22" s="444"/>
      <c r="AH22" s="444"/>
      <c r="AI22" s="444"/>
      <c r="AJ22" s="444"/>
      <c r="AK22" s="444"/>
      <c r="AL22" s="444"/>
      <c r="AM22" s="444"/>
      <c r="AN22" s="444"/>
      <c r="AO22" s="444"/>
      <c r="AP22" s="444"/>
      <c r="AQ22" s="444"/>
      <c r="AR22" s="444"/>
      <c r="AS22" s="444"/>
      <c r="AT22" s="444"/>
      <c r="AU22" s="444"/>
      <c r="AV22" s="444"/>
      <c r="AW22" s="444"/>
      <c r="AX22" s="444"/>
      <c r="AY22" s="444"/>
      <c r="AZ22" s="444"/>
      <c r="BA22" s="444"/>
      <c r="BB22" s="444"/>
      <c r="BC22" s="444"/>
      <c r="BD22" s="444"/>
      <c r="BE22" s="444"/>
      <c r="BF22" s="444"/>
      <c r="BG22" s="444"/>
      <c r="BH22" s="444"/>
      <c r="BI22" s="444"/>
      <c r="BJ22" s="444"/>
      <c r="BK22" s="444"/>
      <c r="BL22" s="444"/>
      <c r="BM22" s="444"/>
      <c r="BN22" s="444"/>
      <c r="BO22" s="444"/>
      <c r="BP22" s="444"/>
      <c r="BQ22" s="444"/>
      <c r="BR22" s="444"/>
      <c r="BS22" s="444"/>
      <c r="BT22" s="444"/>
      <c r="BU22" s="444"/>
      <c r="BV22" s="444"/>
      <c r="BW22" s="444"/>
      <c r="BX22" s="444"/>
      <c r="BY22" s="444"/>
      <c r="BZ22" s="444"/>
      <c r="CA22" s="444"/>
      <c r="CB22" s="444"/>
      <c r="CC22" s="444"/>
      <c r="CD22" s="444"/>
      <c r="CE22" s="444"/>
      <c r="CF22" s="444"/>
      <c r="CG22" s="984"/>
      <c r="CH22" s="444"/>
      <c r="CI22" s="444"/>
      <c r="CJ22" s="444"/>
      <c r="CK22" s="444"/>
      <c r="CL22" s="444"/>
      <c r="CM22" s="984"/>
      <c r="CN22" s="444"/>
      <c r="CO22" s="444"/>
      <c r="CP22" s="444"/>
      <c r="CQ22" s="444"/>
      <c r="CR22" s="444"/>
      <c r="CS22" s="984"/>
      <c r="CT22" s="437"/>
      <c r="CU22" s="444"/>
      <c r="CV22" s="444"/>
      <c r="CW22" s="444"/>
      <c r="CX22" s="444"/>
      <c r="CY22" s="984"/>
      <c r="CZ22" s="444"/>
      <c r="DA22" s="444"/>
      <c r="DB22" s="444"/>
      <c r="DC22" s="444"/>
      <c r="DD22" s="444"/>
      <c r="DE22" s="984"/>
      <c r="DF22" s="444"/>
      <c r="DG22" s="444"/>
      <c r="DH22" s="444"/>
      <c r="DI22" s="444"/>
      <c r="DJ22" s="444"/>
      <c r="DK22" s="984"/>
      <c r="DL22" s="444"/>
      <c r="DM22" s="444"/>
      <c r="DN22" s="444"/>
      <c r="DO22" s="444"/>
      <c r="DP22" s="444"/>
      <c r="DQ22" s="984"/>
      <c r="DR22" s="444"/>
      <c r="DS22" s="444"/>
      <c r="DT22" s="444"/>
      <c r="DU22" s="444"/>
      <c r="DV22" s="444"/>
      <c r="DW22" s="984"/>
      <c r="DX22" s="444"/>
      <c r="DY22" s="444"/>
      <c r="DZ22" s="444"/>
      <c r="EA22" s="444"/>
      <c r="EB22" s="444"/>
      <c r="EC22" s="984"/>
      <c r="ED22" s="444"/>
      <c r="EE22" s="444"/>
      <c r="EF22" s="444"/>
      <c r="EG22" s="444"/>
      <c r="EH22" s="444"/>
      <c r="EI22" s="984"/>
      <c r="EJ22" s="444"/>
      <c r="EK22" s="444"/>
      <c r="EL22" s="444"/>
      <c r="EM22" s="444"/>
      <c r="EN22" s="444"/>
      <c r="EO22" s="984"/>
      <c r="EP22" s="444"/>
      <c r="EQ22" s="444"/>
      <c r="ER22" s="444"/>
      <c r="ES22" s="444"/>
      <c r="ET22" s="444"/>
      <c r="EU22" s="984"/>
      <c r="EV22" s="444"/>
      <c r="EW22" s="444"/>
      <c r="EX22" s="444"/>
      <c r="EY22" s="444"/>
      <c r="EZ22" s="444"/>
      <c r="FA22" s="984"/>
      <c r="FB22" s="444"/>
      <c r="FC22" s="444"/>
      <c r="FD22" s="444"/>
      <c r="FE22" s="444"/>
      <c r="FF22" s="444"/>
      <c r="FG22" s="984"/>
      <c r="FH22" s="444"/>
      <c r="FI22" s="444"/>
      <c r="FJ22" s="444"/>
      <c r="FK22" s="444"/>
      <c r="FL22" s="444"/>
      <c r="FM22" s="984"/>
      <c r="FN22" s="135"/>
      <c r="FO22" s="242"/>
      <c r="FP22" s="135"/>
      <c r="FQ22" s="135"/>
      <c r="FR22"/>
      <c r="FS22"/>
      <c r="FT22"/>
      <c r="FU22"/>
      <c r="FV22"/>
      <c r="FW22"/>
      <c r="FX22" s="135"/>
      <c r="FY22" s="1220"/>
      <c r="FZ22" s="1220"/>
      <c r="GA22" s="1220"/>
      <c r="GB22" s="1220"/>
      <c r="GC22" s="1220"/>
      <c r="GD22" s="1220"/>
      <c r="GE22" s="1220"/>
      <c r="GF22" s="1220"/>
      <c r="GG22" s="1220"/>
      <c r="GH22" s="1220"/>
      <c r="GI22" s="1220"/>
      <c r="GJ22" s="1220"/>
      <c r="GK22" s="1220"/>
      <c r="GL22" s="1220"/>
      <c r="GM22" s="1220"/>
      <c r="GN22" s="1220"/>
      <c r="GO22" s="1220"/>
      <c r="GP22" s="1220"/>
      <c r="GQ22" s="1220"/>
      <c r="GR22" s="1220"/>
      <c r="GS22" s="1220"/>
      <c r="GT22" s="1220"/>
      <c r="GU22" s="1220"/>
      <c r="GV22" s="1220"/>
      <c r="GW22" s="1220"/>
      <c r="GX22" s="1220"/>
      <c r="GY22" s="1220"/>
      <c r="GZ22" s="1220"/>
      <c r="HA22" s="1220"/>
      <c r="HB22" s="1220"/>
      <c r="HC22" s="1220"/>
      <c r="HD22" s="1220"/>
      <c r="HE22" s="1220"/>
      <c r="HF22" s="1220"/>
      <c r="HG22" s="1220"/>
      <c r="HH22" s="1220"/>
      <c r="HI22" s="1220"/>
      <c r="HJ22" s="1220"/>
      <c r="HK22" s="1220"/>
      <c r="HL22" s="1220"/>
      <c r="HM22" s="1220"/>
      <c r="HN22" s="1220"/>
      <c r="HO22" s="1220"/>
      <c r="HP22" s="1220"/>
      <c r="HQ22" s="1220"/>
      <c r="HR22" s="1220"/>
      <c r="HS22" s="1220"/>
      <c r="HT22" s="1220"/>
      <c r="HU22" s="1220"/>
      <c r="HV22" s="1220"/>
      <c r="HW22" s="1220"/>
      <c r="HX22" s="1220"/>
      <c r="HY22" s="1220"/>
      <c r="HZ22" s="1220"/>
      <c r="IA22" s="1220"/>
      <c r="IB22" s="1220"/>
      <c r="IC22" s="1220"/>
      <c r="ID22" s="1220"/>
      <c r="IE22" s="1220"/>
      <c r="IF22" s="1220"/>
      <c r="IG22" s="1220"/>
      <c r="IH22" s="1220"/>
      <c r="II22" s="1220"/>
      <c r="IJ22" s="1220"/>
      <c r="IK22" s="1220"/>
      <c r="IL22" s="1220"/>
      <c r="IM22" s="1220"/>
      <c r="IN22" s="1220"/>
      <c r="IO22" s="1220"/>
      <c r="IP22" s="1220"/>
      <c r="IQ22" s="1220"/>
      <c r="IR22" s="1220"/>
      <c r="IS22" s="1220"/>
      <c r="IT22" s="1220"/>
      <c r="IU22" s="1220"/>
      <c r="IV22" s="1220"/>
      <c r="IW22" s="1220"/>
      <c r="IX22" s="1220"/>
      <c r="IY22" s="1220"/>
      <c r="IZ22" s="1220"/>
      <c r="JA22" s="1220"/>
      <c r="JB22" s="1220"/>
      <c r="JC22" s="1220"/>
      <c r="JD22" s="1220"/>
      <c r="JE22" s="1220"/>
      <c r="JF22" s="1220"/>
      <c r="JG22" s="1220"/>
      <c r="JH22" s="1220"/>
      <c r="JI22" s="1220"/>
      <c r="JJ22" s="1220"/>
      <c r="JK22" s="1220"/>
      <c r="JL22" s="1220"/>
      <c r="JM22" s="1220"/>
      <c r="JN22" s="1220"/>
    </row>
    <row r="23" spans="1:274" s="1523" customFormat="1" ht="10.5" customHeight="1" x14ac:dyDescent="0.2">
      <c r="A23" s="1539" t="s">
        <v>390</v>
      </c>
      <c r="B23" s="1517"/>
      <c r="C23" s="1543"/>
      <c r="D23" s="1543"/>
      <c r="E23" s="1543"/>
      <c r="F23" s="1543"/>
      <c r="G23" s="1543"/>
      <c r="H23" s="1543"/>
      <c r="I23" s="1543"/>
      <c r="J23" s="1543"/>
      <c r="K23" s="1543"/>
      <c r="L23" s="1543"/>
      <c r="M23" s="1543"/>
      <c r="N23" s="1539"/>
      <c r="O23" s="1539"/>
      <c r="P23" s="1539"/>
      <c r="Q23" s="1539"/>
      <c r="R23" s="1539"/>
      <c r="S23" s="1544"/>
      <c r="T23" s="1540"/>
      <c r="U23" s="1540"/>
      <c r="V23" s="1540"/>
      <c r="W23" s="1540"/>
      <c r="X23" s="1540"/>
      <c r="Y23" s="1544"/>
      <c r="Z23" s="1540"/>
      <c r="AA23" s="1540"/>
      <c r="AB23" s="1540"/>
      <c r="AC23" s="1540"/>
      <c r="AD23" s="1540"/>
      <c r="AE23" s="1544"/>
      <c r="AF23" s="1540"/>
      <c r="AG23" s="1540"/>
      <c r="AH23" s="1540"/>
      <c r="AI23" s="1540"/>
      <c r="AJ23" s="1540"/>
      <c r="AK23" s="1544"/>
      <c r="AL23" s="1540"/>
      <c r="AM23" s="1540"/>
      <c r="AN23" s="1540"/>
      <c r="AO23" s="1540"/>
      <c r="AP23" s="1540"/>
      <c r="AQ23" s="1544"/>
      <c r="AR23" s="1540"/>
      <c r="AS23" s="1540"/>
      <c r="AT23" s="1540"/>
      <c r="AU23" s="1540"/>
      <c r="AV23" s="1540"/>
      <c r="AW23" s="1544"/>
      <c r="AX23" s="1540"/>
      <c r="AY23" s="1540"/>
      <c r="AZ23" s="1540"/>
      <c r="BA23" s="1540"/>
      <c r="BB23" s="1540"/>
      <c r="BC23" s="1544"/>
      <c r="BD23" s="1540"/>
      <c r="BE23" s="1540"/>
      <c r="BF23" s="1540"/>
      <c r="BG23" s="1540"/>
      <c r="BH23" s="1540"/>
      <c r="BI23" s="1544"/>
      <c r="BJ23" s="1540"/>
      <c r="BK23" s="1540"/>
      <c r="BL23" s="1540"/>
      <c r="BM23" s="1540"/>
      <c r="BN23" s="1540"/>
      <c r="BO23" s="1544"/>
      <c r="BP23" s="1540"/>
      <c r="BQ23" s="1540"/>
      <c r="BR23" s="1540"/>
      <c r="BS23" s="1540"/>
      <c r="BT23" s="1540"/>
      <c r="BU23" s="1544"/>
      <c r="BV23" s="1540"/>
      <c r="BW23" s="1540"/>
      <c r="BX23" s="1540"/>
      <c r="BY23" s="1540"/>
      <c r="BZ23" s="1540"/>
      <c r="CA23" s="1540"/>
      <c r="CB23" s="1540"/>
      <c r="CC23" s="1540"/>
      <c r="CD23" s="1540"/>
      <c r="CE23" s="1540"/>
      <c r="CF23" s="1540"/>
      <c r="CG23" s="1545"/>
      <c r="CH23" s="1540"/>
      <c r="CI23" s="1540"/>
      <c r="CJ23" s="1540"/>
      <c r="CK23" s="1540"/>
      <c r="CL23" s="1540"/>
      <c r="CM23" s="1545"/>
      <c r="CN23" s="1540"/>
      <c r="CO23" s="1540"/>
      <c r="CP23" s="1540"/>
      <c r="CQ23" s="1540"/>
      <c r="CR23" s="1540"/>
      <c r="CS23" s="1545"/>
      <c r="CT23" s="1537"/>
      <c r="CU23" s="1540"/>
      <c r="CV23" s="1540"/>
      <c r="CW23" s="1540"/>
      <c r="CX23" s="1540"/>
      <c r="CY23" s="1545"/>
      <c r="CZ23" s="1541"/>
      <c r="DA23" s="1540"/>
      <c r="DB23" s="1540"/>
      <c r="DC23" s="1540"/>
      <c r="DD23" s="1540"/>
      <c r="DE23" s="1545"/>
      <c r="DF23" s="1541"/>
      <c r="DG23" s="1540"/>
      <c r="DH23" s="1540"/>
      <c r="DI23" s="1540"/>
      <c r="DJ23" s="1540"/>
      <c r="DK23" s="1545"/>
      <c r="DL23" s="1541"/>
      <c r="DM23" s="1540"/>
      <c r="DN23" s="1540"/>
      <c r="DO23" s="1540"/>
      <c r="DP23" s="1540"/>
      <c r="DQ23" s="1545"/>
      <c r="DR23" s="1541"/>
      <c r="DS23" s="1540"/>
      <c r="DT23" s="1540"/>
      <c r="DU23" s="1540"/>
      <c r="DV23" s="1540"/>
      <c r="DW23" s="1545"/>
      <c r="DX23" s="1541"/>
      <c r="DY23" s="1540"/>
      <c r="DZ23" s="1540"/>
      <c r="EA23" s="1540"/>
      <c r="EB23" s="1540"/>
      <c r="EC23" s="1545"/>
      <c r="ED23" s="1541"/>
      <c r="EE23" s="1540"/>
      <c r="EF23" s="1540"/>
      <c r="EG23" s="1540"/>
      <c r="EH23" s="1540"/>
      <c r="EI23" s="1545"/>
      <c r="EJ23" s="1541"/>
      <c r="EK23" s="1540"/>
      <c r="EL23" s="1540"/>
      <c r="EM23" s="1540"/>
      <c r="EN23" s="1540"/>
      <c r="EO23" s="1545"/>
      <c r="EP23" s="1541"/>
      <c r="EQ23" s="1540"/>
      <c r="ER23" s="1540"/>
      <c r="ES23" s="1540"/>
      <c r="ET23" s="1540"/>
      <c r="EU23" s="1545"/>
      <c r="EV23" s="1541"/>
      <c r="EW23" s="1540"/>
      <c r="EX23" s="1540"/>
      <c r="EY23" s="1540"/>
      <c r="EZ23" s="1540"/>
      <c r="FA23" s="1545"/>
      <c r="FB23" s="1541"/>
      <c r="FC23" s="1540"/>
      <c r="FD23" s="1540"/>
      <c r="FE23" s="1540"/>
      <c r="FF23" s="1540"/>
      <c r="FG23" s="1545"/>
      <c r="FH23" s="1541"/>
      <c r="FI23" s="1540"/>
      <c r="FJ23" s="1540"/>
      <c r="FK23" s="1540"/>
      <c r="FL23" s="1540"/>
      <c r="FM23" s="1545"/>
      <c r="FN23" s="1539"/>
      <c r="FO23" s="1524"/>
      <c r="FP23" s="1539"/>
      <c r="FQ23" s="1539"/>
      <c r="FR23"/>
      <c r="FS23"/>
      <c r="FT23"/>
      <c r="FU23"/>
      <c r="FV23"/>
      <c r="FW23"/>
      <c r="FX23" s="1539"/>
      <c r="FY23" s="1522"/>
      <c r="FZ23" s="1522"/>
      <c r="GA23" s="1522"/>
      <c r="GB23" s="1522"/>
      <c r="GC23" s="1522"/>
      <c r="GD23" s="1522"/>
      <c r="GE23" s="1522"/>
      <c r="GF23" s="1522"/>
      <c r="GG23" s="1522"/>
      <c r="GH23" s="1522"/>
      <c r="GI23" s="1522"/>
      <c r="GJ23" s="1522"/>
      <c r="GK23" s="1522"/>
      <c r="GL23" s="1522"/>
      <c r="GM23" s="1522"/>
      <c r="GN23" s="1522"/>
      <c r="GO23" s="1522"/>
      <c r="GP23" s="1522"/>
      <c r="GQ23" s="1522"/>
      <c r="GR23" s="1522"/>
      <c r="GS23" s="1522"/>
      <c r="GT23" s="1522"/>
      <c r="GU23" s="1522"/>
      <c r="GV23" s="1522"/>
      <c r="GW23" s="1522"/>
      <c r="GX23" s="1522"/>
      <c r="GY23" s="1522"/>
      <c r="GZ23" s="1522"/>
      <c r="HA23" s="1522"/>
      <c r="HB23" s="1522"/>
      <c r="HC23" s="1522"/>
      <c r="HD23" s="1522"/>
      <c r="HE23" s="1522"/>
      <c r="HF23" s="1522"/>
      <c r="HG23" s="1522"/>
      <c r="HH23" s="1522"/>
      <c r="HI23" s="1522"/>
      <c r="HJ23" s="1522"/>
      <c r="HK23" s="1522"/>
      <c r="HL23" s="1522"/>
      <c r="HM23" s="1522"/>
      <c r="HN23" s="1522"/>
      <c r="HO23" s="1522"/>
      <c r="HP23" s="1522"/>
      <c r="HQ23" s="1522"/>
      <c r="HR23" s="1522"/>
      <c r="HS23" s="1522"/>
      <c r="HT23" s="1522"/>
      <c r="HU23" s="1522"/>
      <c r="HV23" s="1522"/>
      <c r="HW23" s="1522"/>
      <c r="HX23" s="1522"/>
      <c r="HY23" s="1522"/>
      <c r="HZ23" s="1522"/>
      <c r="IA23" s="1522"/>
      <c r="IB23" s="1522"/>
      <c r="IC23" s="1522"/>
      <c r="ID23" s="1522"/>
      <c r="IE23" s="1522"/>
      <c r="IF23" s="1522"/>
      <c r="IG23" s="1522"/>
      <c r="IH23" s="1522"/>
      <c r="II23" s="1522"/>
      <c r="IJ23" s="1522"/>
      <c r="IK23" s="1522"/>
      <c r="IL23" s="1522"/>
      <c r="IM23" s="1522"/>
      <c r="IN23" s="1522"/>
      <c r="IO23" s="1522"/>
      <c r="IP23" s="1522"/>
      <c r="IQ23" s="1522"/>
      <c r="IR23" s="1522"/>
      <c r="IS23" s="1522"/>
      <c r="IT23" s="1522"/>
      <c r="IU23" s="1522"/>
      <c r="IV23" s="1522"/>
      <c r="IW23" s="1522"/>
      <c r="IX23" s="1522"/>
      <c r="IY23" s="1522"/>
      <c r="IZ23" s="1522"/>
      <c r="JA23" s="1522"/>
      <c r="JB23" s="1522"/>
      <c r="JC23" s="1522"/>
      <c r="JD23" s="1522"/>
      <c r="JE23" s="1522"/>
      <c r="JF23" s="1522"/>
      <c r="JG23" s="1522"/>
      <c r="JH23" s="1522"/>
      <c r="JI23" s="1522"/>
      <c r="JJ23" s="1522"/>
      <c r="JK23" s="1522"/>
      <c r="JL23" s="1522"/>
      <c r="JM23" s="1522"/>
      <c r="JN23" s="1522"/>
    </row>
    <row r="24" spans="1:274" s="1523" customFormat="1" ht="10.5" customHeight="1" x14ac:dyDescent="0.2">
      <c r="A24" s="1524" t="s">
        <v>391</v>
      </c>
      <c r="B24" s="1517"/>
      <c r="C24" s="1525" t="s">
        <v>945</v>
      </c>
      <c r="D24" s="1525">
        <v>1.4319999999999999</v>
      </c>
      <c r="E24" s="1525">
        <v>4.835</v>
      </c>
      <c r="F24" s="1525">
        <v>10.645</v>
      </c>
      <c r="G24" s="1525">
        <v>23.501999999999999</v>
      </c>
      <c r="H24" s="1525">
        <v>51.582000000000001</v>
      </c>
      <c r="I24" s="1525">
        <v>64.921999999999997</v>
      </c>
      <c r="J24" s="1525">
        <v>49.69</v>
      </c>
      <c r="K24" s="1525">
        <v>62.847000000000001</v>
      </c>
      <c r="L24" s="1525">
        <v>72.863</v>
      </c>
      <c r="M24" s="1525">
        <v>95.799000000000007</v>
      </c>
      <c r="N24" s="1524"/>
      <c r="O24" s="1524">
        <v>102.994</v>
      </c>
      <c r="P24" s="1524">
        <v>127.29600000000001</v>
      </c>
      <c r="Q24" s="1524">
        <v>115.17400000000001</v>
      </c>
      <c r="R24" s="1524">
        <v>124.773</v>
      </c>
      <c r="S24" s="1527">
        <f t="shared" ref="S24:S30" si="34">R24</f>
        <v>124.773</v>
      </c>
      <c r="T24" s="1529"/>
      <c r="U24" s="1529">
        <v>113.786</v>
      </c>
      <c r="V24" s="1529">
        <v>129.244</v>
      </c>
      <c r="W24" s="1529">
        <v>153.59700000000001</v>
      </c>
      <c r="X24" s="1529">
        <v>169.89500000000001</v>
      </c>
      <c r="Y24" s="1527">
        <f t="shared" ref="Y24:Y30" si="35">X24</f>
        <v>169.89500000000001</v>
      </c>
      <c r="Z24" s="1529"/>
      <c r="AA24" s="1529">
        <v>165.82</v>
      </c>
      <c r="AB24" s="1529">
        <v>163.59</v>
      </c>
      <c r="AC24" s="1529">
        <v>147.75200000000001</v>
      </c>
      <c r="AD24" s="1529">
        <v>184.501</v>
      </c>
      <c r="AE24" s="1527">
        <f t="shared" ref="AE24:AE30" si="36">AD24</f>
        <v>184.501</v>
      </c>
      <c r="AF24" s="1529"/>
      <c r="AG24" s="1529">
        <v>173.95500000000001</v>
      </c>
      <c r="AH24" s="1529">
        <v>206.642</v>
      </c>
      <c r="AI24" s="1529">
        <v>202.55799999999999</v>
      </c>
      <c r="AJ24" s="1529">
        <v>239.69800000000001</v>
      </c>
      <c r="AK24" s="1527">
        <f t="shared" ref="AK24:AK30" si="37">AJ24</f>
        <v>239.69800000000001</v>
      </c>
      <c r="AL24" s="1529"/>
      <c r="AM24" s="1529">
        <v>246.00399999999999</v>
      </c>
      <c r="AN24" s="1529">
        <v>296.96300000000002</v>
      </c>
      <c r="AO24" s="1529">
        <v>255.38800000000001</v>
      </c>
      <c r="AP24" s="1529">
        <v>283.89600000000002</v>
      </c>
      <c r="AQ24" s="1527">
        <f t="shared" ref="AQ24:AQ30" si="38">AP24</f>
        <v>283.89600000000002</v>
      </c>
      <c r="AR24" s="1529"/>
      <c r="AS24" s="1529">
        <v>255.369</v>
      </c>
      <c r="AT24" s="1529">
        <v>244.667</v>
      </c>
      <c r="AU24" s="1529">
        <v>224.69</v>
      </c>
      <c r="AV24" s="1529">
        <v>287.495</v>
      </c>
      <c r="AW24" s="1527">
        <f t="shared" ref="AW24:AW30" si="39">AV24</f>
        <v>287.495</v>
      </c>
      <c r="AX24" s="1529"/>
      <c r="AY24" s="1529">
        <v>253.24299999999999</v>
      </c>
      <c r="AZ24" s="1529">
        <v>282.738</v>
      </c>
      <c r="BA24" s="1529">
        <v>277.70499999999998</v>
      </c>
      <c r="BB24" s="1529">
        <v>270</v>
      </c>
      <c r="BC24" s="1527">
        <f t="shared" ref="BC24:BC30" si="40">BB24</f>
        <v>270</v>
      </c>
      <c r="BD24" s="1529"/>
      <c r="BE24" s="1529">
        <v>236.78200000000001</v>
      </c>
      <c r="BF24" s="1529">
        <v>265.72500000000002</v>
      </c>
      <c r="BG24" s="1529">
        <v>238.297</v>
      </c>
      <c r="BH24" s="1529">
        <v>228</v>
      </c>
      <c r="BI24" s="1527">
        <f t="shared" ref="BI24:BI30" si="41">BH24</f>
        <v>228</v>
      </c>
      <c r="BJ24" s="1529"/>
      <c r="BK24" s="1529">
        <v>222</v>
      </c>
      <c r="BL24" s="1529">
        <v>216</v>
      </c>
      <c r="BM24" s="1529">
        <v>223</v>
      </c>
      <c r="BN24" s="1529">
        <v>228</v>
      </c>
      <c r="BO24" s="1527">
        <f t="shared" ref="BO24:BO30" si="42">BN24</f>
        <v>228</v>
      </c>
      <c r="BP24" s="1529"/>
      <c r="BQ24" s="1529">
        <v>225</v>
      </c>
      <c r="BR24" s="1529">
        <v>212</v>
      </c>
      <c r="BS24" s="1529">
        <v>188</v>
      </c>
      <c r="BT24" s="1529">
        <v>191</v>
      </c>
      <c r="BU24" s="1527">
        <f t="shared" ref="BU24:BU30" si="43">BT24</f>
        <v>191</v>
      </c>
      <c r="BV24" s="1534"/>
      <c r="BW24" s="1529">
        <v>222</v>
      </c>
      <c r="BX24" s="1529">
        <v>260</v>
      </c>
      <c r="BY24" s="1529">
        <v>307</v>
      </c>
      <c r="BZ24" s="1529">
        <v>230</v>
      </c>
      <c r="CA24" s="1527">
        <f t="shared" ref="CA24:CA30" si="44">BZ24</f>
        <v>230</v>
      </c>
      <c r="CB24" s="1534"/>
      <c r="CC24" s="1529">
        <v>228</v>
      </c>
      <c r="CD24" s="1529">
        <v>240</v>
      </c>
      <c r="CE24" s="1529">
        <v>233</v>
      </c>
      <c r="CF24" s="1529">
        <v>268</v>
      </c>
      <c r="CG24" s="1530">
        <f t="shared" ref="CG24:CG30" si="45">CF24</f>
        <v>268</v>
      </c>
      <c r="CH24" s="1534"/>
      <c r="CI24" s="1529">
        <v>223</v>
      </c>
      <c r="CJ24" s="1529">
        <v>284</v>
      </c>
      <c r="CK24" s="1529">
        <v>273</v>
      </c>
      <c r="CL24" s="1529">
        <v>315</v>
      </c>
      <c r="CM24" s="1530">
        <f t="shared" ref="CM24:CM30" si="46">CL24</f>
        <v>315</v>
      </c>
      <c r="CN24" s="1534"/>
      <c r="CO24" s="1529">
        <v>298</v>
      </c>
      <c r="CP24" s="1529">
        <v>346</v>
      </c>
      <c r="CQ24" s="1529">
        <v>383</v>
      </c>
      <c r="CR24" s="1529">
        <v>383</v>
      </c>
      <c r="CS24" s="1530">
        <f t="shared" ref="CS24:CS30" si="47">CR24</f>
        <v>383</v>
      </c>
      <c r="CT24" s="1531"/>
      <c r="CU24" s="1529">
        <v>402</v>
      </c>
      <c r="CV24" s="1529">
        <v>346</v>
      </c>
      <c r="CW24" s="1529">
        <v>272</v>
      </c>
      <c r="CX24" s="1529">
        <v>271</v>
      </c>
      <c r="CY24" s="1530">
        <f t="shared" ref="CY24:CY30" si="48">CX24</f>
        <v>271</v>
      </c>
      <c r="CZ24" s="1534"/>
      <c r="DA24" s="1529">
        <v>260</v>
      </c>
      <c r="DB24" s="1529">
        <v>255</v>
      </c>
      <c r="DC24" s="1529">
        <v>616</v>
      </c>
      <c r="DD24" s="1529">
        <v>775</v>
      </c>
      <c r="DE24" s="1530">
        <f t="shared" ref="DE24:DE30" si="49">DD24</f>
        <v>775</v>
      </c>
      <c r="DF24" s="1534"/>
      <c r="DG24" s="1529">
        <v>706</v>
      </c>
      <c r="DH24" s="1529">
        <v>762</v>
      </c>
      <c r="DI24" s="1529">
        <v>673</v>
      </c>
      <c r="DJ24" s="1529">
        <v>701</v>
      </c>
      <c r="DK24" s="1530">
        <f t="shared" ref="DK24:DK30" si="50">DJ24</f>
        <v>701</v>
      </c>
      <c r="DL24" s="1534"/>
      <c r="DM24" s="1529">
        <v>614</v>
      </c>
      <c r="DN24" s="1529">
        <v>445</v>
      </c>
      <c r="DO24" s="1529">
        <v>442</v>
      </c>
      <c r="DP24" s="1529">
        <v>438</v>
      </c>
      <c r="DQ24" s="1530">
        <f t="shared" ref="DQ24:DQ30" si="51">DP24</f>
        <v>438</v>
      </c>
      <c r="DR24" s="1534"/>
      <c r="DS24" s="1529">
        <v>388</v>
      </c>
      <c r="DT24" s="1529">
        <v>372</v>
      </c>
      <c r="DU24" s="1529">
        <v>361</v>
      </c>
      <c r="DV24" s="1529">
        <v>419</v>
      </c>
      <c r="DW24" s="1530">
        <f t="shared" ref="DW24:DW30" si="52">DV24</f>
        <v>419</v>
      </c>
      <c r="DX24" s="1534"/>
      <c r="DY24" s="1529">
        <v>367</v>
      </c>
      <c r="DZ24" s="1529">
        <v>408</v>
      </c>
      <c r="EA24" s="1529">
        <v>396</v>
      </c>
      <c r="EB24" s="1529">
        <v>471</v>
      </c>
      <c r="EC24" s="1530">
        <f t="shared" ref="EC24:EC30" si="53">EB24</f>
        <v>471</v>
      </c>
      <c r="ED24" s="1534"/>
      <c r="EE24" s="1529">
        <v>423</v>
      </c>
      <c r="EF24" s="1529">
        <v>490</v>
      </c>
      <c r="EG24" s="1529">
        <v>626</v>
      </c>
      <c r="EH24" s="1529">
        <v>806</v>
      </c>
      <c r="EI24" s="1530">
        <f t="shared" ref="EI24:EI30" si="54">EH24</f>
        <v>806</v>
      </c>
      <c r="EJ24" s="1534"/>
      <c r="EK24" s="1529">
        <v>422</v>
      </c>
      <c r="EL24" s="1529">
        <v>415</v>
      </c>
      <c r="EM24" s="1529">
        <v>410</v>
      </c>
      <c r="EN24" s="1529">
        <v>504</v>
      </c>
      <c r="EO24" s="1530">
        <f t="shared" ref="EO24:EO30" si="55">EN24</f>
        <v>504</v>
      </c>
      <c r="EP24" s="1534"/>
      <c r="EQ24" s="1529">
        <v>551</v>
      </c>
      <c r="ER24" s="1529">
        <v>615</v>
      </c>
      <c r="ES24" s="1529">
        <v>481</v>
      </c>
      <c r="ET24" s="1529">
        <v>599</v>
      </c>
      <c r="EU24" s="1530">
        <f t="shared" ref="EU24:EU30" si="56">ET24</f>
        <v>599</v>
      </c>
      <c r="EV24" s="1534"/>
      <c r="EW24" s="1529">
        <v>593</v>
      </c>
      <c r="EX24" s="1529">
        <v>554</v>
      </c>
      <c r="EY24" s="1529">
        <v>603</v>
      </c>
      <c r="EZ24" s="1529">
        <f>(EZ103*(Model!EZ141+Model!EZ167))/90</f>
        <v>607.34253576900596</v>
      </c>
      <c r="FA24" s="1530">
        <f t="shared" ref="FA24:FA30" si="57">EZ24</f>
        <v>607.34253576900596</v>
      </c>
      <c r="FB24" s="1534"/>
      <c r="FC24" s="1529">
        <f>(FC103*(Model!FC141+Model!FC167))/90</f>
        <v>610.66703720293413</v>
      </c>
      <c r="FD24" s="1529">
        <f>(FD103*(Model!FD141+Model!FD167))/90</f>
        <v>571.54925288550066</v>
      </c>
      <c r="FE24" s="1529">
        <f>(FE103*(Model!FE141+Model!FE167))/90</f>
        <v>618.53331966081032</v>
      </c>
      <c r="FF24" s="1529">
        <f>(FF103*(Model!FF141+Model!FF167))/90</f>
        <v>617.07307034604605</v>
      </c>
      <c r="FG24" s="1530">
        <f t="shared" ref="FG24:FG30" si="58">FF24</f>
        <v>617.07307034604605</v>
      </c>
      <c r="FH24" s="1534"/>
      <c r="FI24" s="1529">
        <f>(FI103*(Model!FI141+Model!FI167))/90</f>
        <v>624.59579279035472</v>
      </c>
      <c r="FJ24" s="1529">
        <f>(FJ103*(Model!FJ141+Model!FJ167))/90</f>
        <v>587.23005938105371</v>
      </c>
      <c r="FK24" s="1529">
        <f>(FK103*(Model!FK141+Model!FK167))/90</f>
        <v>637.79248978607416</v>
      </c>
      <c r="FL24" s="1529">
        <f>(FL103*(Model!FL141+Model!FL167))/90</f>
        <v>636.73673620678574</v>
      </c>
      <c r="FM24" s="1530">
        <f t="shared" ref="FM24:FM30" si="59">FL24</f>
        <v>636.73673620678574</v>
      </c>
      <c r="FN24" s="1524"/>
      <c r="FO24" s="1524"/>
      <c r="FP24" s="1524"/>
      <c r="FQ24" s="1524"/>
      <c r="FR24"/>
      <c r="FS24"/>
      <c r="FT24"/>
      <c r="FU24"/>
      <c r="FV24"/>
      <c r="FW24"/>
      <c r="FX24" s="1524"/>
      <c r="FY24" s="1522"/>
      <c r="FZ24" s="1522"/>
      <c r="GA24" s="1522"/>
      <c r="GB24" s="1522"/>
      <c r="GC24" s="1522"/>
      <c r="GD24" s="1522"/>
      <c r="GE24" s="1522"/>
      <c r="GF24" s="1522"/>
      <c r="GG24" s="1522"/>
      <c r="GH24" s="1522"/>
      <c r="GI24" s="1522"/>
      <c r="GJ24" s="1522"/>
      <c r="GK24" s="1522"/>
      <c r="GL24" s="1522"/>
      <c r="GM24" s="1522"/>
      <c r="GN24" s="1522"/>
      <c r="GO24" s="1522"/>
      <c r="GP24" s="1522"/>
      <c r="GQ24" s="1522"/>
      <c r="GR24" s="1522"/>
      <c r="GS24" s="1522"/>
      <c r="GT24" s="1522"/>
      <c r="GU24" s="1522"/>
      <c r="GV24" s="1522"/>
      <c r="GW24" s="1522"/>
      <c r="GX24" s="1522"/>
      <c r="GY24" s="1522"/>
      <c r="GZ24" s="1522"/>
      <c r="HA24" s="1522"/>
      <c r="HB24" s="1522"/>
      <c r="HC24" s="1522"/>
      <c r="HD24" s="1522"/>
      <c r="HE24" s="1522"/>
      <c r="HF24" s="1522"/>
      <c r="HG24" s="1522"/>
      <c r="HH24" s="1522"/>
      <c r="HI24" s="1522"/>
      <c r="HJ24" s="1522"/>
      <c r="HK24" s="1522"/>
      <c r="HL24" s="1522"/>
      <c r="HM24" s="1522"/>
      <c r="HN24" s="1522"/>
      <c r="HO24" s="1522"/>
      <c r="HP24" s="1522"/>
      <c r="HQ24" s="1522"/>
      <c r="HR24" s="1522"/>
      <c r="HS24" s="1522"/>
      <c r="HT24" s="1522"/>
      <c r="HU24" s="1522"/>
      <c r="HV24" s="1522"/>
      <c r="HW24" s="1522"/>
      <c r="HX24" s="1522"/>
      <c r="HY24" s="1522"/>
      <c r="HZ24" s="1522"/>
      <c r="IA24" s="1522"/>
      <c r="IB24" s="1522"/>
      <c r="IC24" s="1522"/>
      <c r="ID24" s="1522"/>
      <c r="IE24" s="1522"/>
      <c r="IF24" s="1522"/>
      <c r="IG24" s="1522"/>
      <c r="IH24" s="1522"/>
      <c r="II24" s="1522"/>
      <c r="IJ24" s="1522"/>
      <c r="IK24" s="1522"/>
      <c r="IL24" s="1522"/>
      <c r="IM24" s="1522"/>
      <c r="IN24" s="1522"/>
      <c r="IO24" s="1522"/>
      <c r="IP24" s="1522"/>
      <c r="IQ24" s="1522"/>
      <c r="IR24" s="1522"/>
      <c r="IS24" s="1522"/>
      <c r="IT24" s="1522"/>
      <c r="IU24" s="1522"/>
      <c r="IV24" s="1522"/>
      <c r="IW24" s="1522"/>
      <c r="IX24" s="1522"/>
      <c r="IY24" s="1522"/>
      <c r="IZ24" s="1522"/>
      <c r="JA24" s="1522"/>
      <c r="JB24" s="1522"/>
      <c r="JC24" s="1522"/>
      <c r="JD24" s="1522"/>
      <c r="JE24" s="1522"/>
      <c r="JF24" s="1522"/>
      <c r="JG24" s="1522"/>
      <c r="JH24" s="1522"/>
      <c r="JI24" s="1522"/>
      <c r="JJ24" s="1522"/>
      <c r="JK24" s="1522"/>
      <c r="JL24" s="1522"/>
      <c r="JM24" s="1522"/>
      <c r="JN24" s="1522"/>
    </row>
    <row r="25" spans="1:274" s="1523" customFormat="1" ht="10.5" customHeight="1" x14ac:dyDescent="0.2">
      <c r="A25" s="1524" t="s">
        <v>15</v>
      </c>
      <c r="B25" s="1517"/>
      <c r="C25" s="1525" t="s">
        <v>945</v>
      </c>
      <c r="D25" s="1525">
        <f>0.201+0.493</f>
        <v>0.69399999999999995</v>
      </c>
      <c r="E25" s="1525">
        <f>2.65+0.514</f>
        <v>3.1639999999999997</v>
      </c>
      <c r="F25" s="1525">
        <f>0.169+5.027</f>
        <v>5.1959999999999997</v>
      </c>
      <c r="G25" s="1525">
        <v>6.5069999999999997</v>
      </c>
      <c r="H25" s="1525">
        <f>9.747+13.587</f>
        <v>23.334</v>
      </c>
      <c r="I25" s="1525">
        <f>31.236+11.265</f>
        <v>42.501000000000005</v>
      </c>
      <c r="J25" s="1525">
        <f>164.49+15.575</f>
        <v>180.065</v>
      </c>
      <c r="K25" s="1525">
        <f>2.812+13.7</f>
        <v>16.512</v>
      </c>
      <c r="L25" s="1525">
        <f>1.53+9.154</f>
        <v>10.683999999999999</v>
      </c>
      <c r="M25" s="1525">
        <f>0.551+6.347</f>
        <v>6.8980000000000006</v>
      </c>
      <c r="N25" s="1524"/>
      <c r="O25" s="1524">
        <v>12.613</v>
      </c>
      <c r="P25" s="1524">
        <v>8.5579999999999998</v>
      </c>
      <c r="Q25" s="1524">
        <v>9.9469999999999992</v>
      </c>
      <c r="R25" s="1524">
        <v>9.5990000000000002</v>
      </c>
      <c r="S25" s="1527">
        <f t="shared" si="34"/>
        <v>9.5990000000000002</v>
      </c>
      <c r="T25" s="1529"/>
      <c r="U25" s="1529">
        <v>10.385</v>
      </c>
      <c r="V25" s="1529">
        <v>9.8949999999999996</v>
      </c>
      <c r="W25" s="1529">
        <v>9.8849999999999998</v>
      </c>
      <c r="X25" s="1529">
        <f>4.377+1.246</f>
        <v>5.6229999999999993</v>
      </c>
      <c r="Y25" s="1527">
        <f t="shared" si="35"/>
        <v>5.6229999999999993</v>
      </c>
      <c r="Z25" s="1529"/>
      <c r="AA25" s="1529">
        <v>5.7949999999999999</v>
      </c>
      <c r="AB25" s="1529">
        <v>12.085000000000001</v>
      </c>
      <c r="AC25" s="1529">
        <v>10.35</v>
      </c>
      <c r="AD25" s="1529">
        <v>4.3040000000000003</v>
      </c>
      <c r="AE25" s="1527">
        <f t="shared" si="36"/>
        <v>4.3040000000000003</v>
      </c>
      <c r="AF25" s="1529"/>
      <c r="AG25" s="1529">
        <v>4.9130000000000003</v>
      </c>
      <c r="AH25" s="1529">
        <v>9.9920000000000009</v>
      </c>
      <c r="AI25" s="1529">
        <v>13.407</v>
      </c>
      <c r="AJ25" s="1529">
        <v>2.9239999999999999</v>
      </c>
      <c r="AK25" s="1527">
        <f t="shared" si="37"/>
        <v>2.9239999999999999</v>
      </c>
      <c r="AL25" s="1529"/>
      <c r="AM25" s="1529">
        <v>3.6</v>
      </c>
      <c r="AN25" s="1529">
        <v>7.8780000000000001</v>
      </c>
      <c r="AO25" s="1529">
        <v>2.6030000000000002</v>
      </c>
      <c r="AP25" s="1529">
        <v>3.6379999999999999</v>
      </c>
      <c r="AQ25" s="1527">
        <f t="shared" si="38"/>
        <v>3.6379999999999999</v>
      </c>
      <c r="AR25" s="1529"/>
      <c r="AS25" s="1529">
        <v>3.58</v>
      </c>
      <c r="AT25" s="1529">
        <v>3.1840000000000002</v>
      </c>
      <c r="AU25" s="1529">
        <v>2.234</v>
      </c>
      <c r="AV25" s="1529">
        <v>2.6909999999999998</v>
      </c>
      <c r="AW25" s="1527">
        <f t="shared" si="39"/>
        <v>2.6909999999999998</v>
      </c>
      <c r="AX25" s="1529"/>
      <c r="AY25" s="1529">
        <v>3.66</v>
      </c>
      <c r="AZ25" s="1529">
        <v>2.5960000000000001</v>
      </c>
      <c r="BA25" s="1529">
        <v>2.8140000000000001</v>
      </c>
      <c r="BB25" s="1529">
        <v>3</v>
      </c>
      <c r="BC25" s="1527">
        <f t="shared" si="40"/>
        <v>3</v>
      </c>
      <c r="BD25" s="1529"/>
      <c r="BE25" s="1529">
        <v>3.5270000000000001</v>
      </c>
      <c r="BF25" s="1529">
        <v>1.238</v>
      </c>
      <c r="BG25" s="1529">
        <v>2.0590000000000002</v>
      </c>
      <c r="BH25" s="1529">
        <v>0</v>
      </c>
      <c r="BI25" s="1527">
        <f t="shared" si="41"/>
        <v>0</v>
      </c>
      <c r="BJ25" s="1529"/>
      <c r="BK25" s="1529">
        <v>0</v>
      </c>
      <c r="BL25" s="1529">
        <v>0</v>
      </c>
      <c r="BM25" s="1529">
        <v>153</v>
      </c>
      <c r="BN25" s="1529">
        <v>153</v>
      </c>
      <c r="BO25" s="1527">
        <f t="shared" si="42"/>
        <v>153</v>
      </c>
      <c r="BP25" s="1529"/>
      <c r="BQ25" s="1529">
        <v>152</v>
      </c>
      <c r="BR25" s="1529">
        <v>152</v>
      </c>
      <c r="BS25" s="1529">
        <v>0</v>
      </c>
      <c r="BT25" s="1529">
        <v>9</v>
      </c>
      <c r="BU25" s="1527">
        <f t="shared" si="43"/>
        <v>9</v>
      </c>
      <c r="BV25" s="1529"/>
      <c r="BW25" s="1529">
        <v>9</v>
      </c>
      <c r="BX25" s="1529">
        <v>9</v>
      </c>
      <c r="BY25" s="1529">
        <v>7209</v>
      </c>
      <c r="BZ25" s="1529">
        <v>2693</v>
      </c>
      <c r="CA25" s="1527">
        <f t="shared" si="44"/>
        <v>2693</v>
      </c>
      <c r="CB25" s="1529"/>
      <c r="CC25" s="1529">
        <v>1522</v>
      </c>
      <c r="CD25" s="1529">
        <v>907</v>
      </c>
      <c r="CE25" s="1529">
        <v>341</v>
      </c>
      <c r="CF25" s="1529">
        <v>159</v>
      </c>
      <c r="CG25" s="1546">
        <f t="shared" si="45"/>
        <v>159</v>
      </c>
      <c r="CH25" s="1529"/>
      <c r="CI25" s="1529">
        <v>166</v>
      </c>
      <c r="CJ25" s="1529">
        <v>168</v>
      </c>
      <c r="CK25" s="1529">
        <v>3</v>
      </c>
      <c r="CL25" s="1529">
        <v>1358</v>
      </c>
      <c r="CM25" s="1546">
        <f t="shared" si="46"/>
        <v>1358</v>
      </c>
      <c r="CN25" s="1529"/>
      <c r="CO25" s="1529">
        <v>2</v>
      </c>
      <c r="CP25" s="1529">
        <v>2</v>
      </c>
      <c r="CQ25" s="1529">
        <v>1</v>
      </c>
      <c r="CR25" s="1529">
        <v>1001</v>
      </c>
      <c r="CS25" s="1546">
        <f t="shared" si="47"/>
        <v>1001</v>
      </c>
      <c r="CT25" s="1547"/>
      <c r="CU25" s="1529">
        <v>1001</v>
      </c>
      <c r="CV25" s="1529">
        <v>1002</v>
      </c>
      <c r="CW25" s="1529">
        <v>1002</v>
      </c>
      <c r="CX25" s="1529">
        <v>1001</v>
      </c>
      <c r="CY25" s="1546">
        <f t="shared" si="48"/>
        <v>1001</v>
      </c>
      <c r="CZ25" s="1538"/>
      <c r="DA25" s="1529">
        <v>1001</v>
      </c>
      <c r="DB25" s="1529">
        <v>1001</v>
      </c>
      <c r="DC25" s="1529">
        <v>4220</v>
      </c>
      <c r="DD25" s="1529">
        <v>3145</v>
      </c>
      <c r="DE25" s="1546">
        <f t="shared" si="49"/>
        <v>3145</v>
      </c>
      <c r="DF25" s="1538"/>
      <c r="DG25" s="1529">
        <v>2260</v>
      </c>
      <c r="DH25" s="1529">
        <v>2255</v>
      </c>
      <c r="DI25" s="1529">
        <v>0</v>
      </c>
      <c r="DJ25" s="1529">
        <v>1150</v>
      </c>
      <c r="DK25" s="1546">
        <f t="shared" si="50"/>
        <v>1150</v>
      </c>
      <c r="DL25" s="1538"/>
      <c r="DM25" s="1529">
        <v>0</v>
      </c>
      <c r="DN25" s="1529">
        <v>0</v>
      </c>
      <c r="DO25" s="1529">
        <v>0</v>
      </c>
      <c r="DP25" s="1529">
        <v>2950</v>
      </c>
      <c r="DQ25" s="1546">
        <f t="shared" si="51"/>
        <v>2950</v>
      </c>
      <c r="DR25" s="1538"/>
      <c r="DS25" s="1529">
        <v>1250</v>
      </c>
      <c r="DT25" s="1529">
        <v>1250</v>
      </c>
      <c r="DU25" s="1529">
        <v>1250</v>
      </c>
      <c r="DV25" s="1529">
        <v>0</v>
      </c>
      <c r="DW25" s="1546">
        <f t="shared" si="52"/>
        <v>0</v>
      </c>
      <c r="DX25" s="1538"/>
      <c r="DY25" s="1529">
        <v>1533</v>
      </c>
      <c r="DZ25" s="1529">
        <v>1525</v>
      </c>
      <c r="EA25" s="1529">
        <v>1516</v>
      </c>
      <c r="EB25" s="1529">
        <v>1508</v>
      </c>
      <c r="EC25" s="1546">
        <f t="shared" si="53"/>
        <v>1508</v>
      </c>
      <c r="ED25" s="1538"/>
      <c r="EE25" s="1529">
        <v>0</v>
      </c>
      <c r="EF25" s="1529">
        <v>0</v>
      </c>
      <c r="EG25" s="1529">
        <v>1999</v>
      </c>
      <c r="EH25" s="1529">
        <v>1999</v>
      </c>
      <c r="EI25" s="1546">
        <f t="shared" si="54"/>
        <v>1999</v>
      </c>
      <c r="EJ25" s="1538"/>
      <c r="EK25" s="1529">
        <v>2000</v>
      </c>
      <c r="EL25" s="1529">
        <v>2000</v>
      </c>
      <c r="EM25" s="1529">
        <v>0</v>
      </c>
      <c r="EN25" s="1529">
        <v>3750</v>
      </c>
      <c r="EO25" s="1546">
        <f t="shared" si="55"/>
        <v>3750</v>
      </c>
      <c r="EP25" s="1538"/>
      <c r="EQ25" s="1529">
        <v>999</v>
      </c>
      <c r="ER25" s="1529">
        <v>3838</v>
      </c>
      <c r="ES25" s="1529">
        <v>3498</v>
      </c>
      <c r="ET25" s="1529">
        <v>9797</v>
      </c>
      <c r="EU25" s="1546">
        <f t="shared" si="56"/>
        <v>9797</v>
      </c>
      <c r="EV25" s="1538"/>
      <c r="EW25" s="1529">
        <v>4998</v>
      </c>
      <c r="EX25" s="1529">
        <v>2499</v>
      </c>
      <c r="EY25" s="1529">
        <v>4491</v>
      </c>
      <c r="EZ25" s="1548">
        <v>0</v>
      </c>
      <c r="FA25" s="1546">
        <f t="shared" si="57"/>
        <v>0</v>
      </c>
      <c r="FB25" s="1538"/>
      <c r="FC25" s="1548">
        <v>0</v>
      </c>
      <c r="FD25" s="1548">
        <v>0</v>
      </c>
      <c r="FE25" s="1548">
        <v>0</v>
      </c>
      <c r="FF25" s="1548">
        <v>0</v>
      </c>
      <c r="FG25" s="1546">
        <f t="shared" si="58"/>
        <v>0</v>
      </c>
      <c r="FH25" s="1538"/>
      <c r="FI25" s="1548">
        <v>0</v>
      </c>
      <c r="FJ25" s="1548">
        <v>0</v>
      </c>
      <c r="FK25" s="1548">
        <v>0</v>
      </c>
      <c r="FL25" s="1548">
        <v>0</v>
      </c>
      <c r="FM25" s="1546">
        <f t="shared" si="59"/>
        <v>0</v>
      </c>
      <c r="FN25" s="1524"/>
      <c r="FO25" s="1524"/>
      <c r="FP25" s="1524"/>
      <c r="FQ25" s="1524"/>
      <c r="FR25"/>
      <c r="FS25"/>
      <c r="FT25"/>
      <c r="FU25"/>
      <c r="FV25"/>
      <c r="FW25"/>
      <c r="FX25" s="1524"/>
    </row>
    <row r="26" spans="1:274" s="1523" customFormat="1" ht="10.5" hidden="1" customHeight="1" outlineLevel="1" x14ac:dyDescent="0.2">
      <c r="A26" s="1524" t="s">
        <v>16</v>
      </c>
      <c r="B26" s="1517"/>
      <c r="C26" s="1525" t="s">
        <v>945</v>
      </c>
      <c r="D26" s="1525">
        <v>1.748</v>
      </c>
      <c r="E26" s="1525">
        <f>0.204+5.608</f>
        <v>5.8119999999999994</v>
      </c>
      <c r="F26" s="1525">
        <f>0.293+13.452</f>
        <v>13.744999999999999</v>
      </c>
      <c r="G26" s="1525">
        <f>8.233+17.931</f>
        <v>26.164000000000001</v>
      </c>
      <c r="H26" s="1525">
        <f>14.836+8.608+2.107</f>
        <v>25.551000000000002</v>
      </c>
      <c r="I26" s="1525">
        <f>18.254+22.193</f>
        <v>40.447000000000003</v>
      </c>
      <c r="J26" s="1525">
        <f>17.716+28.117</f>
        <v>45.832999999999998</v>
      </c>
      <c r="K26" s="1525">
        <f>39.729+28.758</f>
        <v>68.486999999999995</v>
      </c>
      <c r="L26" s="1525">
        <f>49.729+31.192</f>
        <v>80.920999999999992</v>
      </c>
      <c r="M26" s="1525">
        <f>62.591+44.781</f>
        <v>107.372</v>
      </c>
      <c r="N26" s="1539"/>
      <c r="O26" s="1525">
        <f>48.1+34.669</f>
        <v>82.769000000000005</v>
      </c>
      <c r="P26" s="1525">
        <f>50.537+36.788</f>
        <v>87.324999999999989</v>
      </c>
      <c r="Q26" s="1525">
        <f>63.516+37.458</f>
        <v>100.97399999999999</v>
      </c>
      <c r="R26" s="1525">
        <f>134.121+67.449</f>
        <v>201.57</v>
      </c>
      <c r="S26" s="1527">
        <f t="shared" si="34"/>
        <v>201.57</v>
      </c>
      <c r="T26" s="1540"/>
      <c r="U26" s="1529">
        <f>65.262+34.94</f>
        <v>100.202</v>
      </c>
      <c r="V26" s="1529">
        <f>83.189+49.362</f>
        <v>132.55099999999999</v>
      </c>
      <c r="W26" s="1529">
        <f>99.738+57.902</f>
        <v>157.63999999999999</v>
      </c>
      <c r="X26" s="1529">
        <f>181.999+99.409</f>
        <v>281.40800000000002</v>
      </c>
      <c r="Y26" s="1527">
        <f t="shared" si="35"/>
        <v>281.40800000000002</v>
      </c>
      <c r="Z26" s="1540"/>
      <c r="AA26" s="1529">
        <f>125.051+41.309</f>
        <v>166.36</v>
      </c>
      <c r="AB26" s="1529">
        <f>76.911+50.866</f>
        <v>127.777</v>
      </c>
      <c r="AC26" s="1529">
        <f>38.972+60.618</f>
        <v>99.59</v>
      </c>
      <c r="AD26" s="1529">
        <f>203.646+121.914</f>
        <v>325.56</v>
      </c>
      <c r="AE26" s="1527">
        <f t="shared" si="36"/>
        <v>325.56</v>
      </c>
      <c r="AF26" s="1540"/>
      <c r="AG26" s="1529">
        <f>153.174+40.119</f>
        <v>193.29300000000001</v>
      </c>
      <c r="AH26" s="1529">
        <f>129.193+59.718</f>
        <v>188.911</v>
      </c>
      <c r="AI26" s="1529">
        <f>89.935+72.61</f>
        <v>162.54500000000002</v>
      </c>
      <c r="AJ26" s="1529">
        <f>181.354+119.6</f>
        <v>300.95400000000001</v>
      </c>
      <c r="AK26" s="1527">
        <f t="shared" si="37"/>
        <v>300.95400000000001</v>
      </c>
      <c r="AL26" s="1540"/>
      <c r="AM26" s="1529">
        <f>116.614+27.747</f>
        <v>144.36099999999999</v>
      </c>
      <c r="AN26" s="1529">
        <f>99.762+57.628</f>
        <v>157.38999999999999</v>
      </c>
      <c r="AO26" s="1529">
        <f>137.107+60.602</f>
        <v>197.709</v>
      </c>
      <c r="AP26" s="1529">
        <f>277.7+128.774</f>
        <v>406.47399999999999</v>
      </c>
      <c r="AQ26" s="1527">
        <f t="shared" si="38"/>
        <v>406.47399999999999</v>
      </c>
      <c r="AR26" s="1540"/>
      <c r="AS26" s="1529">
        <f>157.267+20.735</f>
        <v>178.00200000000001</v>
      </c>
      <c r="AT26" s="1529">
        <f>111.902+54.979</f>
        <v>166.881</v>
      </c>
      <c r="AU26" s="1529">
        <f>270.203+85.947</f>
        <v>356.15</v>
      </c>
      <c r="AV26" s="1529">
        <f>2821.776+165.304</f>
        <v>2987.08</v>
      </c>
      <c r="AW26" s="1527">
        <f t="shared" si="39"/>
        <v>2987.08</v>
      </c>
      <c r="AX26" s="1540"/>
      <c r="AY26" s="1529">
        <f>517.123+83.723</f>
        <v>600.846</v>
      </c>
      <c r="AZ26" s="1529">
        <f>526.492+101.096</f>
        <v>627.58799999999997</v>
      </c>
      <c r="BA26" s="1529">
        <f>540.124+136.662</f>
        <v>676.78600000000006</v>
      </c>
      <c r="BB26" s="1529">
        <f>767+165</f>
        <v>932</v>
      </c>
      <c r="BC26" s="1527">
        <f t="shared" si="40"/>
        <v>932</v>
      </c>
      <c r="BD26" s="1540"/>
      <c r="BE26" s="1529">
        <f>1077.34+64.5</f>
        <v>1141.8399999999999</v>
      </c>
      <c r="BF26" s="1529">
        <f>1028.545+61.304</f>
        <v>1089.8490000000002</v>
      </c>
      <c r="BG26" s="1529">
        <f>972.162+77.936</f>
        <v>1050.098</v>
      </c>
      <c r="BH26" s="1529">
        <f>1091+155</f>
        <v>1246</v>
      </c>
      <c r="BI26" s="1527">
        <f t="shared" si="41"/>
        <v>1246</v>
      </c>
      <c r="BJ26" s="1540"/>
      <c r="BK26" s="1529">
        <f>1086+55</f>
        <v>1141</v>
      </c>
      <c r="BL26" s="1529">
        <f>1012+97</f>
        <v>1109</v>
      </c>
      <c r="BM26" s="1529">
        <f>928+101</f>
        <v>1029</v>
      </c>
      <c r="BN26" s="1529">
        <v>891</v>
      </c>
      <c r="BO26" s="1527">
        <f t="shared" si="42"/>
        <v>891</v>
      </c>
      <c r="BP26" s="1540"/>
      <c r="BQ26" s="1529">
        <v>986</v>
      </c>
      <c r="BR26" s="1529">
        <v>958</v>
      </c>
      <c r="BS26" s="1529">
        <v>715</v>
      </c>
      <c r="BT26" s="1529">
        <v>950</v>
      </c>
      <c r="BU26" s="1527">
        <f t="shared" si="43"/>
        <v>950</v>
      </c>
      <c r="BV26" s="1529"/>
      <c r="BW26" s="1529">
        <v>956</v>
      </c>
      <c r="BX26" s="1529">
        <v>904</v>
      </c>
      <c r="BY26" s="1529">
        <v>789</v>
      </c>
      <c r="BZ26" s="1529">
        <v>904</v>
      </c>
      <c r="CA26" s="1527">
        <f t="shared" si="44"/>
        <v>904</v>
      </c>
      <c r="CB26" s="1529"/>
      <c r="CC26" s="1529">
        <v>706</v>
      </c>
      <c r="CD26" s="1529">
        <v>667</v>
      </c>
      <c r="CE26" s="1529">
        <v>678</v>
      </c>
      <c r="CF26" s="1529">
        <v>810</v>
      </c>
      <c r="CG26" s="1530">
        <f t="shared" si="45"/>
        <v>810</v>
      </c>
      <c r="CH26" s="1529"/>
      <c r="CI26" s="1529">
        <v>859</v>
      </c>
      <c r="CJ26" s="1529">
        <v>647</v>
      </c>
      <c r="CK26" s="1529">
        <v>765</v>
      </c>
      <c r="CL26" s="1529">
        <v>1237</v>
      </c>
      <c r="CM26" s="1530">
        <f t="shared" si="46"/>
        <v>1237</v>
      </c>
      <c r="CN26" s="1529"/>
      <c r="CO26" s="1529">
        <v>0</v>
      </c>
      <c r="CP26" s="1529">
        <f>CO26</f>
        <v>0</v>
      </c>
      <c r="CQ26" s="1529">
        <v>0</v>
      </c>
      <c r="CR26" s="1529">
        <v>390</v>
      </c>
      <c r="CS26" s="1530">
        <f t="shared" si="47"/>
        <v>390</v>
      </c>
      <c r="CT26" s="1537"/>
      <c r="CU26" s="1529">
        <v>0</v>
      </c>
      <c r="CV26" s="1529">
        <v>0</v>
      </c>
      <c r="CW26" s="1529">
        <v>0</v>
      </c>
      <c r="CX26" s="1529">
        <v>0</v>
      </c>
      <c r="CY26" s="1530">
        <f t="shared" si="48"/>
        <v>0</v>
      </c>
      <c r="CZ26" s="1538"/>
      <c r="DA26" s="1529">
        <v>0</v>
      </c>
      <c r="DB26" s="1529">
        <v>0</v>
      </c>
      <c r="DC26" s="1529">
        <v>0</v>
      </c>
      <c r="DD26" s="1529">
        <v>0</v>
      </c>
      <c r="DE26" s="1530">
        <f t="shared" si="49"/>
        <v>0</v>
      </c>
      <c r="DF26" s="1538"/>
      <c r="DG26" s="1529">
        <v>0</v>
      </c>
      <c r="DH26" s="1529">
        <v>0</v>
      </c>
      <c r="DI26" s="1529">
        <v>0</v>
      </c>
      <c r="DJ26" s="1529">
        <v>0</v>
      </c>
      <c r="DK26" s="1530">
        <f t="shared" si="50"/>
        <v>0</v>
      </c>
      <c r="DL26" s="1538"/>
      <c r="DM26" s="1529">
        <f>DJ26</f>
        <v>0</v>
      </c>
      <c r="DN26" s="1529">
        <f>DM26</f>
        <v>0</v>
      </c>
      <c r="DO26" s="1529">
        <f>DN26</f>
        <v>0</v>
      </c>
      <c r="DP26" s="1529">
        <f>DO26</f>
        <v>0</v>
      </c>
      <c r="DQ26" s="1530">
        <f t="shared" si="51"/>
        <v>0</v>
      </c>
      <c r="DR26" s="1538"/>
      <c r="DS26" s="1529">
        <v>0</v>
      </c>
      <c r="DT26" s="1529">
        <v>0</v>
      </c>
      <c r="DU26" s="1529">
        <f>DT26</f>
        <v>0</v>
      </c>
      <c r="DV26" s="1529">
        <f>DU26</f>
        <v>0</v>
      </c>
      <c r="DW26" s="1546">
        <f t="shared" si="52"/>
        <v>0</v>
      </c>
      <c r="DX26" s="1538"/>
      <c r="DY26" s="1532">
        <v>0</v>
      </c>
      <c r="DZ26" s="1532">
        <v>0</v>
      </c>
      <c r="EA26" s="1532">
        <v>0</v>
      </c>
      <c r="EB26" s="1532">
        <v>0</v>
      </c>
      <c r="EC26" s="1530">
        <f t="shared" si="53"/>
        <v>0</v>
      </c>
      <c r="ED26" s="1538"/>
      <c r="EE26" s="1532">
        <v>0</v>
      </c>
      <c r="EF26" s="1532">
        <v>0</v>
      </c>
      <c r="EG26" s="1532">
        <v>0</v>
      </c>
      <c r="EH26" s="1532">
        <v>0</v>
      </c>
      <c r="EI26" s="1530">
        <f t="shared" si="54"/>
        <v>0</v>
      </c>
      <c r="EJ26" s="1538"/>
      <c r="EK26" s="1532">
        <v>0</v>
      </c>
      <c r="EL26" s="1532">
        <f>EK26</f>
        <v>0</v>
      </c>
      <c r="EM26" s="1532">
        <f>EL26</f>
        <v>0</v>
      </c>
      <c r="EN26" s="1532">
        <v>0</v>
      </c>
      <c r="EO26" s="1530">
        <f t="shared" si="55"/>
        <v>0</v>
      </c>
      <c r="EP26" s="1538"/>
      <c r="EQ26" s="1532">
        <v>0</v>
      </c>
      <c r="ER26" s="1532">
        <v>0</v>
      </c>
      <c r="ES26" s="1529">
        <v>0</v>
      </c>
      <c r="ET26" s="1532">
        <v>0</v>
      </c>
      <c r="EU26" s="1530">
        <f t="shared" si="56"/>
        <v>0</v>
      </c>
      <c r="EV26" s="1538"/>
      <c r="EW26" s="1532">
        <v>0</v>
      </c>
      <c r="EX26" s="1532">
        <v>0</v>
      </c>
      <c r="EY26" s="1529">
        <v>0</v>
      </c>
      <c r="EZ26" s="1532">
        <f>EY26</f>
        <v>0</v>
      </c>
      <c r="FA26" s="1530">
        <f t="shared" si="57"/>
        <v>0</v>
      </c>
      <c r="FB26" s="1538"/>
      <c r="FC26" s="1532">
        <f>EZ26</f>
        <v>0</v>
      </c>
      <c r="FD26" s="1532">
        <f>FC26</f>
        <v>0</v>
      </c>
      <c r="FE26" s="1532">
        <f>FD26</f>
        <v>0</v>
      </c>
      <c r="FF26" s="1532">
        <f>FE26</f>
        <v>0</v>
      </c>
      <c r="FG26" s="1530">
        <f t="shared" si="58"/>
        <v>0</v>
      </c>
      <c r="FH26" s="1538"/>
      <c r="FI26" s="1532">
        <f>FF26</f>
        <v>0</v>
      </c>
      <c r="FJ26" s="1532">
        <f>FI26</f>
        <v>0</v>
      </c>
      <c r="FK26" s="1532">
        <f>FJ26</f>
        <v>0</v>
      </c>
      <c r="FL26" s="1532">
        <f>FK26</f>
        <v>0</v>
      </c>
      <c r="FM26" s="1530">
        <f t="shared" si="59"/>
        <v>0</v>
      </c>
      <c r="FN26" s="1524"/>
      <c r="FO26" s="1524"/>
      <c r="FP26" s="1524"/>
      <c r="FQ26" s="1524"/>
      <c r="FR26"/>
      <c r="FS26"/>
      <c r="FT26"/>
      <c r="FU26"/>
      <c r="FV26"/>
      <c r="FW26"/>
      <c r="FX26" s="1524"/>
      <c r="FY26" s="1522"/>
      <c r="FZ26" s="1522"/>
      <c r="GA26" s="1522"/>
      <c r="GB26" s="1522"/>
      <c r="GC26" s="1522"/>
      <c r="GD26" s="1522"/>
      <c r="GE26" s="1522"/>
      <c r="GF26" s="1522"/>
      <c r="GG26" s="1522"/>
      <c r="GH26" s="1522"/>
      <c r="GI26" s="1522"/>
      <c r="GJ26" s="1522"/>
      <c r="GK26" s="1522"/>
      <c r="GL26" s="1522"/>
      <c r="GM26" s="1522"/>
      <c r="GN26" s="1522"/>
      <c r="GO26" s="1522"/>
      <c r="GP26" s="1522"/>
      <c r="GQ26" s="1522"/>
      <c r="GR26" s="1522"/>
      <c r="GS26" s="1522"/>
      <c r="GT26" s="1522"/>
      <c r="GU26" s="1522"/>
      <c r="GV26" s="1522"/>
      <c r="GW26" s="1522"/>
      <c r="GX26" s="1522"/>
      <c r="GY26" s="1522"/>
      <c r="GZ26" s="1522"/>
      <c r="HA26" s="1522"/>
      <c r="HB26" s="1522"/>
      <c r="HC26" s="1522"/>
      <c r="HD26" s="1522"/>
      <c r="HE26" s="1522"/>
      <c r="HF26" s="1522"/>
      <c r="HG26" s="1522"/>
      <c r="HH26" s="1522"/>
      <c r="HI26" s="1522"/>
      <c r="HJ26" s="1522"/>
      <c r="HK26" s="1522"/>
      <c r="HL26" s="1522"/>
      <c r="HM26" s="1522"/>
      <c r="HN26" s="1522"/>
      <c r="HO26" s="1522"/>
      <c r="HP26" s="1522"/>
      <c r="HQ26" s="1522"/>
      <c r="HR26" s="1522"/>
      <c r="HS26" s="1522"/>
      <c r="HT26" s="1522"/>
      <c r="HU26" s="1522"/>
      <c r="HV26" s="1522"/>
      <c r="HW26" s="1522"/>
      <c r="HX26" s="1522"/>
      <c r="HY26" s="1522"/>
      <c r="HZ26" s="1522"/>
      <c r="IA26" s="1522"/>
      <c r="IB26" s="1522"/>
      <c r="IC26" s="1522"/>
      <c r="ID26" s="1522"/>
      <c r="IE26" s="1522"/>
      <c r="IF26" s="1522"/>
      <c r="IG26" s="1522"/>
      <c r="IH26" s="1522"/>
      <c r="II26" s="1522"/>
      <c r="IJ26" s="1522"/>
      <c r="IK26" s="1522"/>
      <c r="IL26" s="1522"/>
      <c r="IM26" s="1522"/>
      <c r="IN26" s="1522"/>
      <c r="IO26" s="1522"/>
      <c r="IP26" s="1522"/>
      <c r="IQ26" s="1522"/>
      <c r="IR26" s="1522"/>
      <c r="IS26" s="1522"/>
      <c r="IT26" s="1522"/>
      <c r="IU26" s="1522"/>
      <c r="IV26" s="1522"/>
      <c r="IW26" s="1522"/>
      <c r="IX26" s="1522"/>
      <c r="IY26" s="1522"/>
      <c r="IZ26" s="1522"/>
      <c r="JA26" s="1522"/>
      <c r="JB26" s="1522"/>
      <c r="JC26" s="1522"/>
      <c r="JD26" s="1522"/>
      <c r="JE26" s="1522"/>
      <c r="JF26" s="1522"/>
      <c r="JG26" s="1522"/>
      <c r="JH26" s="1522"/>
      <c r="JI26" s="1522"/>
      <c r="JJ26" s="1522"/>
      <c r="JK26" s="1522"/>
      <c r="JL26" s="1522"/>
      <c r="JM26" s="1522"/>
      <c r="JN26" s="1522"/>
    </row>
    <row r="27" spans="1:274" s="1523" customFormat="1" ht="10.5" customHeight="1" collapsed="1" x14ac:dyDescent="0.2">
      <c r="A27" s="1524" t="s">
        <v>17</v>
      </c>
      <c r="B27" s="1517"/>
      <c r="C27" s="1525" t="s">
        <v>945</v>
      </c>
      <c r="D27" s="1525">
        <v>0.98699999999999999</v>
      </c>
      <c r="E27" s="1525">
        <v>2.524</v>
      </c>
      <c r="F27" s="1525">
        <f>9.26</f>
        <v>9.26</v>
      </c>
      <c r="G27" s="1525">
        <v>19.481999999999999</v>
      </c>
      <c r="H27" s="1525">
        <v>39.063000000000002</v>
      </c>
      <c r="I27" s="1525">
        <v>61.164000000000001</v>
      </c>
      <c r="J27" s="1525">
        <v>49.59</v>
      </c>
      <c r="K27" s="1525">
        <v>80.090999999999994</v>
      </c>
      <c r="L27" s="1525">
        <v>103.099</v>
      </c>
      <c r="M27" s="1525">
        <v>136.488</v>
      </c>
      <c r="N27" s="1539"/>
      <c r="O27" s="1525">
        <v>96.885999999999996</v>
      </c>
      <c r="P27" s="1525">
        <v>128.72999999999999</v>
      </c>
      <c r="Q27" s="1525">
        <v>122.744</v>
      </c>
      <c r="R27" s="1525">
        <v>211.643</v>
      </c>
      <c r="S27" s="1527">
        <f t="shared" si="34"/>
        <v>211.643</v>
      </c>
      <c r="T27" s="1540"/>
      <c r="U27" s="1529">
        <v>121.17700000000001</v>
      </c>
      <c r="V27" s="1529">
        <f>164.759</f>
        <v>164.75899999999999</v>
      </c>
      <c r="W27" s="1529">
        <v>168.24600000000001</v>
      </c>
      <c r="X27" s="1529">
        <v>295.048</v>
      </c>
      <c r="Y27" s="1527">
        <f t="shared" si="35"/>
        <v>295.048</v>
      </c>
      <c r="Z27" s="1540"/>
      <c r="AA27" s="1529">
        <v>183.74100000000001</v>
      </c>
      <c r="AB27" s="1529">
        <v>230.98599999999999</v>
      </c>
      <c r="AC27" s="1529">
        <v>225.58</v>
      </c>
      <c r="AD27" s="1529">
        <v>394.15300000000002</v>
      </c>
      <c r="AE27" s="1527">
        <f t="shared" si="36"/>
        <v>394.15300000000002</v>
      </c>
      <c r="AF27" s="1540"/>
      <c r="AG27" s="1529">
        <v>223.42699999999999</v>
      </c>
      <c r="AH27" s="1529">
        <v>282.88799999999998</v>
      </c>
      <c r="AI27" s="1529">
        <f>298.43</f>
        <v>298.43</v>
      </c>
      <c r="AJ27" s="1529">
        <v>541.80899999999997</v>
      </c>
      <c r="AK27" s="1527">
        <f t="shared" si="37"/>
        <v>541.80899999999997</v>
      </c>
      <c r="AL27" s="1540"/>
      <c r="AM27" s="1529">
        <v>332.56599999999997</v>
      </c>
      <c r="AN27" s="1529">
        <v>435.95499999999998</v>
      </c>
      <c r="AO27" s="1529">
        <v>442.22399999999999</v>
      </c>
      <c r="AP27" s="1529">
        <f>693.525</f>
        <v>693.52499999999998</v>
      </c>
      <c r="AQ27" s="1527">
        <f t="shared" si="38"/>
        <v>693.52499999999998</v>
      </c>
      <c r="AR27" s="1540"/>
      <c r="AS27" s="1529">
        <v>386.19600000000003</v>
      </c>
      <c r="AT27" s="1529">
        <f>512.5</f>
        <v>512.5</v>
      </c>
      <c r="AU27" s="1529">
        <f>501.084</f>
        <v>501.084</v>
      </c>
      <c r="AV27" s="1529">
        <f>725.86</f>
        <v>725.86</v>
      </c>
      <c r="AW27" s="1527">
        <f t="shared" si="39"/>
        <v>725.86</v>
      </c>
      <c r="AX27" s="1540"/>
      <c r="AY27" s="1529">
        <v>401.69299999999998</v>
      </c>
      <c r="AZ27" s="1529">
        <v>518.64800000000002</v>
      </c>
      <c r="BA27" s="1529">
        <v>535.33900000000006</v>
      </c>
      <c r="BB27" s="1529">
        <v>735</v>
      </c>
      <c r="BC27" s="1527">
        <f t="shared" si="40"/>
        <v>735</v>
      </c>
      <c r="BD27" s="1540"/>
      <c r="BE27" s="1529">
        <v>494.97899999999998</v>
      </c>
      <c r="BF27" s="1529">
        <v>496.041</v>
      </c>
      <c r="BG27" s="1529">
        <v>410.20800000000003</v>
      </c>
      <c r="BH27" s="1529">
        <v>458</v>
      </c>
      <c r="BI27" s="1527">
        <f t="shared" si="41"/>
        <v>458</v>
      </c>
      <c r="BJ27" s="1540"/>
      <c r="BK27" s="1529">
        <v>346</v>
      </c>
      <c r="BL27" s="1529">
        <v>376</v>
      </c>
      <c r="BM27" s="1529">
        <v>374</v>
      </c>
      <c r="BN27" s="1529">
        <v>454</v>
      </c>
      <c r="BO27" s="1527">
        <f t="shared" si="42"/>
        <v>454</v>
      </c>
      <c r="BP27" s="1540"/>
      <c r="BQ27" s="1529">
        <v>349</v>
      </c>
      <c r="BR27" s="1529">
        <v>465</v>
      </c>
      <c r="BS27" s="1529">
        <v>445</v>
      </c>
      <c r="BT27" s="1529">
        <v>556</v>
      </c>
      <c r="BU27" s="1529">
        <f t="shared" si="43"/>
        <v>556</v>
      </c>
      <c r="BV27" s="1529"/>
      <c r="BW27" s="1529">
        <v>403</v>
      </c>
      <c r="BX27" s="1529">
        <v>505</v>
      </c>
      <c r="BY27" s="1529">
        <v>511</v>
      </c>
      <c r="BZ27" s="1529">
        <v>923</v>
      </c>
      <c r="CA27" s="1529">
        <f t="shared" si="44"/>
        <v>923</v>
      </c>
      <c r="CB27" s="1529"/>
      <c r="CC27" s="1529">
        <v>630</v>
      </c>
      <c r="CD27" s="1529">
        <v>699</v>
      </c>
      <c r="CE27" s="1529">
        <v>858</v>
      </c>
      <c r="CF27" s="1529">
        <v>1172</v>
      </c>
      <c r="CG27" s="1536">
        <f t="shared" si="45"/>
        <v>1172</v>
      </c>
      <c r="CH27" s="1529"/>
      <c r="CI27" s="1529">
        <v>840</v>
      </c>
      <c r="CJ27" s="1529">
        <v>909</v>
      </c>
      <c r="CK27" s="1529">
        <v>1011</v>
      </c>
      <c r="CL27" s="1529">
        <v>1349</v>
      </c>
      <c r="CM27" s="1536">
        <f t="shared" si="46"/>
        <v>1349</v>
      </c>
      <c r="CN27" s="1529"/>
      <c r="CO27" s="1529">
        <f>1090</f>
        <v>1090</v>
      </c>
      <c r="CP27" s="1529">
        <v>1191</v>
      </c>
      <c r="CQ27" s="1529">
        <v>1292</v>
      </c>
      <c r="CR27" s="1529">
        <v>1770</v>
      </c>
      <c r="CS27" s="1536">
        <f t="shared" si="47"/>
        <v>1770</v>
      </c>
      <c r="CT27" s="1537"/>
      <c r="CU27" s="1529">
        <v>1138</v>
      </c>
      <c r="CV27" s="1529">
        <v>1062</v>
      </c>
      <c r="CW27" s="1529">
        <v>1073</v>
      </c>
      <c r="CX27" s="1529">
        <v>1409</v>
      </c>
      <c r="CY27" s="1536">
        <f t="shared" si="48"/>
        <v>1409</v>
      </c>
      <c r="CZ27" s="1538"/>
      <c r="DA27" s="1529">
        <v>1033</v>
      </c>
      <c r="DB27" s="1529">
        <v>1129</v>
      </c>
      <c r="DC27" s="1529">
        <v>1452</v>
      </c>
      <c r="DD27" s="1529">
        <v>1895</v>
      </c>
      <c r="DE27" s="1536">
        <f t="shared" si="49"/>
        <v>1895</v>
      </c>
      <c r="DF27" s="1538"/>
      <c r="DG27" s="1529">
        <v>1438</v>
      </c>
      <c r="DH27" s="1529">
        <v>1642</v>
      </c>
      <c r="DI27" s="1529">
        <v>1872</v>
      </c>
      <c r="DJ27" s="1529">
        <v>2320</v>
      </c>
      <c r="DK27" s="1536">
        <f t="shared" si="50"/>
        <v>2320</v>
      </c>
      <c r="DL27" s="1538"/>
      <c r="DM27" s="1529">
        <v>1553</v>
      </c>
      <c r="DN27" s="1529">
        <v>1582</v>
      </c>
      <c r="DO27" s="1529">
        <v>1665</v>
      </c>
      <c r="DP27" s="1529">
        <v>2002</v>
      </c>
      <c r="DQ27" s="1536">
        <f t="shared" si="51"/>
        <v>2002</v>
      </c>
      <c r="DR27" s="1538"/>
      <c r="DS27" s="1529">
        <v>1472</v>
      </c>
      <c r="DT27" s="1529">
        <v>1546</v>
      </c>
      <c r="DU27" s="1529">
        <v>1557</v>
      </c>
      <c r="DV27" s="1529">
        <v>1851</v>
      </c>
      <c r="DW27" s="1536">
        <f t="shared" si="52"/>
        <v>1851</v>
      </c>
      <c r="DX27" s="1538"/>
      <c r="DY27" s="1529">
        <v>1425</v>
      </c>
      <c r="DZ27" s="1529">
        <v>1566</v>
      </c>
      <c r="EA27" s="1529">
        <v>1583</v>
      </c>
      <c r="EB27" s="1529">
        <v>1940</v>
      </c>
      <c r="EC27" s="1536">
        <f t="shared" si="53"/>
        <v>1940</v>
      </c>
      <c r="ED27" s="1538"/>
      <c r="EE27" s="1529">
        <v>1491</v>
      </c>
      <c r="EF27" s="1529">
        <v>1546</v>
      </c>
      <c r="EG27" s="1529">
        <v>1564</v>
      </c>
      <c r="EH27" s="1529">
        <v>1839</v>
      </c>
      <c r="EI27" s="1536">
        <f t="shared" si="54"/>
        <v>1839</v>
      </c>
      <c r="EJ27" s="1538"/>
      <c r="EK27" s="1529">
        <v>1384</v>
      </c>
      <c r="EL27" s="1529">
        <v>1597</v>
      </c>
      <c r="EM27" s="1529">
        <v>1536</v>
      </c>
      <c r="EN27" s="1529">
        <v>1966</v>
      </c>
      <c r="EO27" s="1536">
        <f t="shared" si="55"/>
        <v>1966</v>
      </c>
      <c r="EP27" s="1538"/>
      <c r="EQ27" s="1529">
        <v>1419</v>
      </c>
      <c r="ER27" s="1529">
        <v>1486</v>
      </c>
      <c r="ES27" s="1529">
        <v>1516</v>
      </c>
      <c r="ET27" s="1529">
        <v>1966</v>
      </c>
      <c r="EU27" s="1536">
        <f t="shared" si="56"/>
        <v>1966</v>
      </c>
      <c r="EV27" s="1538"/>
      <c r="EW27" s="1529">
        <v>1517</v>
      </c>
      <c r="EX27" s="1529">
        <v>1500</v>
      </c>
      <c r="EY27" s="1529">
        <v>1498</v>
      </c>
      <c r="EZ27" s="1529">
        <f>EZ116*Model!EZ366</f>
        <v>2123.3319643711197</v>
      </c>
      <c r="FA27" s="1536">
        <f t="shared" si="57"/>
        <v>2123.3319643711197</v>
      </c>
      <c r="FB27" s="1538"/>
      <c r="FC27" s="1529">
        <f>FC116*Model!FC366</f>
        <v>1383.4785121857178</v>
      </c>
      <c r="FD27" s="1529">
        <f>FD116*Model!FD366</f>
        <v>1375.6432960027955</v>
      </c>
      <c r="FE27" s="1529">
        <f>FE116*Model!FE366</f>
        <v>1379.0747622144145</v>
      </c>
      <c r="FF27" s="1529">
        <f>FF116*Model!FF366</f>
        <v>2035.5194797234119</v>
      </c>
      <c r="FG27" s="1536">
        <f t="shared" si="58"/>
        <v>2035.5194797234119</v>
      </c>
      <c r="FH27" s="1538"/>
      <c r="FI27" s="1529">
        <f>FI116*Model!FI366</f>
        <v>1272.7498420146796</v>
      </c>
      <c r="FJ27" s="1529">
        <f>FJ116*Model!FJ366</f>
        <v>1263.5970854372356</v>
      </c>
      <c r="FK27" s="1529">
        <f>FK116*Model!FK366</f>
        <v>1267.5565022628177</v>
      </c>
      <c r="FL27" s="1529">
        <f>FL116*Model!FL366</f>
        <v>1950.741817059853</v>
      </c>
      <c r="FM27" s="1536">
        <f t="shared" si="59"/>
        <v>1950.741817059853</v>
      </c>
      <c r="FN27" s="1524"/>
      <c r="FO27" s="1524"/>
      <c r="FP27" s="1524"/>
      <c r="FQ27" s="1524"/>
      <c r="FR27"/>
      <c r="FS27"/>
      <c r="FT27"/>
      <c r="FU27"/>
      <c r="FV27"/>
      <c r="FW27"/>
      <c r="FX27" s="1524"/>
      <c r="FY27" s="1522"/>
      <c r="FZ27" s="1522"/>
      <c r="GA27" s="1522"/>
      <c r="GB27" s="1522"/>
      <c r="GC27" s="1522"/>
      <c r="GD27" s="1522"/>
      <c r="GE27" s="1522"/>
      <c r="GF27" s="1522"/>
      <c r="GG27" s="1522"/>
      <c r="GH27" s="1522"/>
      <c r="GI27" s="1522"/>
      <c r="GJ27" s="1522"/>
      <c r="GK27" s="1522"/>
      <c r="GL27" s="1522"/>
      <c r="GM27" s="1522"/>
      <c r="GN27" s="1522"/>
      <c r="GO27" s="1522"/>
      <c r="GP27" s="1522"/>
      <c r="GQ27" s="1522"/>
      <c r="GR27" s="1522"/>
      <c r="GS27" s="1522"/>
      <c r="GT27" s="1522"/>
      <c r="GU27" s="1522"/>
      <c r="GV27" s="1522"/>
      <c r="GW27" s="1522"/>
      <c r="GX27" s="1522"/>
      <c r="GY27" s="1522"/>
      <c r="GZ27" s="1522"/>
      <c r="HA27" s="1522"/>
      <c r="HB27" s="1522"/>
      <c r="HC27" s="1522"/>
      <c r="HD27" s="1522"/>
      <c r="HE27" s="1522"/>
      <c r="HF27" s="1522"/>
      <c r="HG27" s="1522"/>
      <c r="HH27" s="1522"/>
      <c r="HI27" s="1522"/>
      <c r="HJ27" s="1522"/>
      <c r="HK27" s="1522"/>
      <c r="HL27" s="1522"/>
      <c r="HM27" s="1522"/>
      <c r="HN27" s="1522"/>
      <c r="HO27" s="1522"/>
      <c r="HP27" s="1522"/>
      <c r="HQ27" s="1522"/>
      <c r="HR27" s="1522"/>
      <c r="HS27" s="1522"/>
      <c r="HT27" s="1522"/>
      <c r="HU27" s="1522"/>
      <c r="HV27" s="1522"/>
      <c r="HW27" s="1522"/>
      <c r="HX27" s="1522"/>
      <c r="HY27" s="1522"/>
      <c r="HZ27" s="1522"/>
      <c r="IA27" s="1522"/>
      <c r="IB27" s="1522"/>
      <c r="IC27" s="1522"/>
      <c r="ID27" s="1522"/>
      <c r="IE27" s="1522"/>
      <c r="IF27" s="1522"/>
      <c r="IG27" s="1522"/>
      <c r="IH27" s="1522"/>
      <c r="II27" s="1522"/>
      <c r="IJ27" s="1522"/>
      <c r="IK27" s="1522"/>
      <c r="IL27" s="1522"/>
      <c r="IM27" s="1522"/>
      <c r="IN27" s="1522"/>
      <c r="IO27" s="1522"/>
      <c r="IP27" s="1522"/>
      <c r="IQ27" s="1522"/>
      <c r="IR27" s="1522"/>
      <c r="IS27" s="1522"/>
      <c r="IT27" s="1522"/>
      <c r="IU27" s="1522"/>
      <c r="IV27" s="1522"/>
      <c r="IW27" s="1522"/>
      <c r="IX27" s="1522"/>
      <c r="IY27" s="1522"/>
      <c r="IZ27" s="1522"/>
      <c r="JA27" s="1522"/>
      <c r="JB27" s="1522"/>
      <c r="JC27" s="1522"/>
      <c r="JD27" s="1522"/>
      <c r="JE27" s="1522"/>
      <c r="JF27" s="1522"/>
      <c r="JG27" s="1522"/>
      <c r="JH27" s="1522"/>
      <c r="JI27" s="1522"/>
      <c r="JJ27" s="1522"/>
      <c r="JK27" s="1522"/>
      <c r="JL27" s="1522"/>
      <c r="JM27" s="1522"/>
      <c r="JN27" s="1522"/>
    </row>
    <row r="28" spans="1:274" s="1523" customFormat="1" ht="10.5" customHeight="1" x14ac:dyDescent="0.2">
      <c r="A28" s="1524" t="s">
        <v>680</v>
      </c>
      <c r="B28" s="1517"/>
      <c r="C28" s="1525" t="s">
        <v>945</v>
      </c>
      <c r="D28" s="1525">
        <v>0.625</v>
      </c>
      <c r="E28" s="1525">
        <v>2.9649999999999999</v>
      </c>
      <c r="F28" s="1525">
        <v>5.7320000000000002</v>
      </c>
      <c r="G28" s="1525">
        <v>16.981000000000002</v>
      </c>
      <c r="H28" s="1525">
        <v>23.4</v>
      </c>
      <c r="I28" s="1525">
        <v>32.417000000000002</v>
      </c>
      <c r="J28" s="1525">
        <v>49.768999999999998</v>
      </c>
      <c r="K28" s="1525">
        <v>58.598999999999997</v>
      </c>
      <c r="L28" s="1525">
        <v>90.564999999999998</v>
      </c>
      <c r="M28" s="1525">
        <v>108.426</v>
      </c>
      <c r="N28" s="1539"/>
      <c r="O28" s="1525">
        <v>133.13499999999999</v>
      </c>
      <c r="P28" s="1525">
        <v>133.053</v>
      </c>
      <c r="Q28" s="1525">
        <v>162.43700000000001</v>
      </c>
      <c r="R28" s="1525">
        <v>191.291</v>
      </c>
      <c r="S28" s="1527">
        <f t="shared" si="34"/>
        <v>191.291</v>
      </c>
      <c r="T28" s="1540"/>
      <c r="U28" s="1529">
        <v>202.85400000000001</v>
      </c>
      <c r="V28" s="1529">
        <f>218.404</f>
        <v>218.404</v>
      </c>
      <c r="W28" s="1529">
        <v>230.411</v>
      </c>
      <c r="X28" s="1529">
        <v>268.55500000000001</v>
      </c>
      <c r="Y28" s="1527">
        <f t="shared" si="35"/>
        <v>268.55500000000001</v>
      </c>
      <c r="Z28" s="1540"/>
      <c r="AA28" s="1529">
        <v>311.66500000000002</v>
      </c>
      <c r="AB28" s="1529">
        <v>319.685</v>
      </c>
      <c r="AC28" s="1529">
        <v>380.822</v>
      </c>
      <c r="AD28" s="1529">
        <v>410.75900000000001</v>
      </c>
      <c r="AE28" s="1527">
        <f t="shared" si="36"/>
        <v>410.75900000000001</v>
      </c>
      <c r="AF28" s="1540"/>
      <c r="AG28" s="1529">
        <v>523.76099999999997</v>
      </c>
      <c r="AH28" s="1529">
        <f>419.904</f>
        <v>419.904</v>
      </c>
      <c r="AI28" s="1529">
        <v>462.68200000000002</v>
      </c>
      <c r="AJ28" s="1529">
        <v>521.69299999999998</v>
      </c>
      <c r="AK28" s="1527">
        <f t="shared" si="37"/>
        <v>521.69299999999998</v>
      </c>
      <c r="AL28" s="1540"/>
      <c r="AM28" s="1529">
        <v>551.86400000000003</v>
      </c>
      <c r="AN28" s="1529">
        <v>554.06600000000003</v>
      </c>
      <c r="AO28" s="1529">
        <v>561.99400000000003</v>
      </c>
      <c r="AP28" s="1529">
        <f>651.741</f>
        <v>651.74099999999999</v>
      </c>
      <c r="AQ28" s="1527">
        <f t="shared" si="38"/>
        <v>651.74099999999999</v>
      </c>
      <c r="AR28" s="1540"/>
      <c r="AS28" s="1529">
        <v>636.49099999999999</v>
      </c>
      <c r="AT28" s="1529">
        <f>618.349</f>
        <v>618.34900000000005</v>
      </c>
      <c r="AU28" s="1529">
        <v>705.64700000000005</v>
      </c>
      <c r="AV28" s="1529">
        <v>725.63</v>
      </c>
      <c r="AW28" s="1527">
        <f t="shared" si="39"/>
        <v>725.63</v>
      </c>
      <c r="AX28" s="1540"/>
      <c r="AY28" s="1529">
        <v>778.08199999999999</v>
      </c>
      <c r="AZ28" s="1529">
        <v>682.24599999999998</v>
      </c>
      <c r="BA28" s="1529">
        <v>772.30399999999997</v>
      </c>
      <c r="BB28" s="1529">
        <v>763</v>
      </c>
      <c r="BC28" s="1527">
        <f t="shared" si="40"/>
        <v>763</v>
      </c>
      <c r="BD28" s="1540"/>
      <c r="BE28" s="1529">
        <v>822.35199999999998</v>
      </c>
      <c r="BF28" s="1529">
        <v>795.13199999999995</v>
      </c>
      <c r="BG28" s="1529">
        <v>850.18</v>
      </c>
      <c r="BH28" s="1529">
        <v>787</v>
      </c>
      <c r="BI28" s="1527">
        <f t="shared" si="41"/>
        <v>787</v>
      </c>
      <c r="BJ28" s="1540"/>
      <c r="BK28" s="1529">
        <v>759</v>
      </c>
      <c r="BL28" s="1529">
        <v>810</v>
      </c>
      <c r="BM28" s="1529">
        <v>815</v>
      </c>
      <c r="BN28" s="1529">
        <v>1023</v>
      </c>
      <c r="BO28" s="1527">
        <f t="shared" si="42"/>
        <v>1023</v>
      </c>
      <c r="BP28" s="1540"/>
      <c r="BQ28" s="1529">
        <v>871</v>
      </c>
      <c r="BR28" s="1529">
        <v>862</v>
      </c>
      <c r="BS28" s="1529">
        <v>1037</v>
      </c>
      <c r="BT28" s="1529">
        <v>1069</v>
      </c>
      <c r="BU28" s="1529">
        <f t="shared" si="43"/>
        <v>1069</v>
      </c>
      <c r="BV28" s="1529"/>
      <c r="BW28" s="1529">
        <v>875</v>
      </c>
      <c r="BX28" s="1529">
        <v>809</v>
      </c>
      <c r="BY28" s="1529">
        <v>1486</v>
      </c>
      <c r="BZ28" s="1529">
        <f>156+868</f>
        <v>1024</v>
      </c>
      <c r="CA28" s="1529">
        <f t="shared" si="44"/>
        <v>1024</v>
      </c>
      <c r="CB28" s="1529"/>
      <c r="CC28" s="1529">
        <f>714+117</f>
        <v>831</v>
      </c>
      <c r="CD28" s="1529">
        <f>794+73</f>
        <v>867</v>
      </c>
      <c r="CE28" s="1529">
        <f>247+1042</f>
        <v>1289</v>
      </c>
      <c r="CF28" s="1529">
        <f>1279+412</f>
        <v>1691</v>
      </c>
      <c r="CG28" s="1536">
        <f t="shared" si="45"/>
        <v>1691</v>
      </c>
      <c r="CH28" s="1529"/>
      <c r="CI28" s="1529">
        <f>198+1143</f>
        <v>1341</v>
      </c>
      <c r="CJ28" s="1529">
        <f>173+1145</f>
        <v>1318</v>
      </c>
      <c r="CK28" s="1529">
        <f>1188+142</f>
        <v>1330</v>
      </c>
      <c r="CL28" s="1529">
        <f>1435+201</f>
        <v>1636</v>
      </c>
      <c r="CM28" s="1536">
        <f t="shared" si="46"/>
        <v>1636</v>
      </c>
      <c r="CN28" s="1529"/>
      <c r="CO28" s="1529">
        <f>1098+188+251</f>
        <v>1537</v>
      </c>
      <c r="CP28" s="1529">
        <f>1264+169</f>
        <v>1433</v>
      </c>
      <c r="CQ28" s="1529">
        <f>168+1303</f>
        <v>1471</v>
      </c>
      <c r="CR28" s="1529">
        <f>1685+308</f>
        <v>1993</v>
      </c>
      <c r="CS28" s="1536">
        <f t="shared" si="47"/>
        <v>1993</v>
      </c>
      <c r="CT28" s="1537"/>
      <c r="CU28" s="1529">
        <v>1689</v>
      </c>
      <c r="CV28" s="1529">
        <v>1672</v>
      </c>
      <c r="CW28" s="1529">
        <v>1673</v>
      </c>
      <c r="CX28" s="1529">
        <v>1876</v>
      </c>
      <c r="CY28" s="1536">
        <f t="shared" si="48"/>
        <v>1876</v>
      </c>
      <c r="CZ28" s="1538"/>
      <c r="DA28" s="1529">
        <v>1583</v>
      </c>
      <c r="DB28" s="1529">
        <v>1754</v>
      </c>
      <c r="DC28" s="1529">
        <v>2574</v>
      </c>
      <c r="DD28" s="1529">
        <v>2976</v>
      </c>
      <c r="DE28" s="1536">
        <f t="shared" si="49"/>
        <v>2976</v>
      </c>
      <c r="DF28" s="1538"/>
      <c r="DG28" s="1529">
        <v>2493</v>
      </c>
      <c r="DH28" s="1529">
        <v>2935</v>
      </c>
      <c r="DI28" s="1529">
        <v>2888</v>
      </c>
      <c r="DJ28" s="1529">
        <v>3219</v>
      </c>
      <c r="DK28" s="1536">
        <f t="shared" si="50"/>
        <v>3219</v>
      </c>
      <c r="DL28" s="1538"/>
      <c r="DM28" s="1529">
        <v>2964</v>
      </c>
      <c r="DN28" s="1529">
        <v>2954</v>
      </c>
      <c r="DO28" s="1529">
        <v>3240</v>
      </c>
      <c r="DP28" s="1529">
        <v>2963</v>
      </c>
      <c r="DQ28" s="1536">
        <f t="shared" si="51"/>
        <v>2963</v>
      </c>
      <c r="DR28" s="1538"/>
      <c r="DS28" s="1529">
        <v>2529</v>
      </c>
      <c r="DT28" s="1529">
        <v>2675</v>
      </c>
      <c r="DU28" s="1529">
        <v>2470</v>
      </c>
      <c r="DV28" s="1529">
        <f>911+2573</f>
        <v>3484</v>
      </c>
      <c r="DW28" s="1536">
        <f t="shared" si="52"/>
        <v>3484</v>
      </c>
      <c r="DX28" s="1538"/>
      <c r="DY28" s="1529">
        <f>2106+571</f>
        <v>2677</v>
      </c>
      <c r="DZ28" s="1529">
        <f>2401+543</f>
        <v>2944</v>
      </c>
      <c r="EA28" s="1529">
        <f>2686+438</f>
        <v>3124</v>
      </c>
      <c r="EB28" s="1529">
        <f>416+2785</f>
        <v>3201</v>
      </c>
      <c r="EC28" s="1536">
        <f t="shared" si="53"/>
        <v>3201</v>
      </c>
      <c r="ED28" s="1538"/>
      <c r="EE28" s="1529">
        <f>425+2099</f>
        <v>2524</v>
      </c>
      <c r="EF28" s="1529">
        <f>440+2693</f>
        <v>3133</v>
      </c>
      <c r="EG28" s="1529">
        <f>318+2842</f>
        <v>3160</v>
      </c>
      <c r="EH28" s="1529">
        <f>532+2870</f>
        <v>3402</v>
      </c>
      <c r="EI28" s="1536">
        <f t="shared" si="54"/>
        <v>3402</v>
      </c>
      <c r="EJ28" s="1538"/>
      <c r="EK28" s="1529">
        <f>2507</f>
        <v>2507</v>
      </c>
      <c r="EL28" s="1529">
        <v>2744</v>
      </c>
      <c r="EM28" s="1529">
        <v>2967</v>
      </c>
      <c r="EN28" s="1529">
        <v>3333</v>
      </c>
      <c r="EO28" s="1536">
        <f t="shared" si="55"/>
        <v>3333</v>
      </c>
      <c r="EP28" s="1538"/>
      <c r="EQ28" s="1529">
        <v>2711</v>
      </c>
      <c r="ER28" s="1529">
        <v>2997</v>
      </c>
      <c r="ES28" s="1529">
        <v>2907</v>
      </c>
      <c r="ET28" s="1529">
        <v>3583</v>
      </c>
      <c r="EU28" s="1536">
        <f t="shared" si="56"/>
        <v>3583</v>
      </c>
      <c r="EV28" s="1538"/>
      <c r="EW28" s="1529">
        <v>2849</v>
      </c>
      <c r="EX28" s="1529">
        <v>2865</v>
      </c>
      <c r="EY28" s="1529">
        <v>3373</v>
      </c>
      <c r="EZ28" s="1529">
        <f>EZ118*Model!EZ366</f>
        <v>3461.4967894838378</v>
      </c>
      <c r="FA28" s="1536">
        <f t="shared" si="57"/>
        <v>3461.4967894838378</v>
      </c>
      <c r="FB28" s="1538"/>
      <c r="FC28" s="1529">
        <f>FC118*Model!FC366</f>
        <v>2726.0645939384704</v>
      </c>
      <c r="FD28" s="1529">
        <f>FD118*Model!FD366</f>
        <v>2760.9686461007809</v>
      </c>
      <c r="FE28" s="1529">
        <f>FE118*Model!FE366</f>
        <v>3290.3082917776787</v>
      </c>
      <c r="FF28" s="1529">
        <f>FF118*Model!FF366</f>
        <v>3412.1145915497868</v>
      </c>
      <c r="FG28" s="1536">
        <f t="shared" si="58"/>
        <v>3412.1145915497868</v>
      </c>
      <c r="FH28" s="1538"/>
      <c r="FI28" s="1529">
        <f>FI118*Model!FI366</f>
        <v>2653.1322003480559</v>
      </c>
      <c r="FJ28" s="1529">
        <f>FJ118*Model!FJ366</f>
        <v>2687.976913685035</v>
      </c>
      <c r="FK28" s="1529">
        <f>FK118*Model!FK366</f>
        <v>3235.2253063814928</v>
      </c>
      <c r="FL28" s="1529">
        <f>FL118*Model!FL366</f>
        <v>3374.0428861138666</v>
      </c>
      <c r="FM28" s="1536">
        <f t="shared" si="59"/>
        <v>3374.0428861138666</v>
      </c>
      <c r="FN28" s="1524"/>
      <c r="FO28" s="1524"/>
      <c r="FP28" s="1524"/>
      <c r="FQ28" s="1524"/>
      <c r="FR28"/>
      <c r="FS28"/>
      <c r="FT28"/>
      <c r="FU28"/>
      <c r="FV28"/>
      <c r="FW28"/>
      <c r="FX28" s="1524"/>
      <c r="FY28" s="1522"/>
      <c r="FZ28" s="1522"/>
      <c r="GA28" s="1522"/>
      <c r="GB28" s="1522"/>
      <c r="GC28" s="1522"/>
      <c r="GD28" s="1522"/>
      <c r="GE28" s="1522"/>
      <c r="GF28" s="1522"/>
      <c r="GG28" s="1522"/>
      <c r="GH28" s="1522"/>
      <c r="GI28" s="1522"/>
      <c r="GJ28" s="1522"/>
      <c r="GK28" s="1522"/>
      <c r="GL28" s="1522"/>
      <c r="GM28" s="1522"/>
      <c r="GN28" s="1522"/>
      <c r="GO28" s="1522"/>
      <c r="GP28" s="1522"/>
      <c r="GQ28" s="1522"/>
      <c r="GR28" s="1522"/>
      <c r="GS28" s="1522"/>
      <c r="GT28" s="1522"/>
      <c r="GU28" s="1522"/>
      <c r="GV28" s="1522"/>
      <c r="GW28" s="1522"/>
      <c r="GX28" s="1522"/>
      <c r="GY28" s="1522"/>
      <c r="GZ28" s="1522"/>
      <c r="HA28" s="1522"/>
      <c r="HB28" s="1522"/>
      <c r="HC28" s="1522"/>
      <c r="HD28" s="1522"/>
      <c r="HE28" s="1522"/>
      <c r="HF28" s="1522"/>
      <c r="HG28" s="1522"/>
      <c r="HH28" s="1522"/>
      <c r="HI28" s="1522"/>
      <c r="HJ28" s="1522"/>
      <c r="HK28" s="1522"/>
      <c r="HL28" s="1522"/>
      <c r="HM28" s="1522"/>
      <c r="HN28" s="1522"/>
      <c r="HO28" s="1522"/>
      <c r="HP28" s="1522"/>
      <c r="HQ28" s="1522"/>
      <c r="HR28" s="1522"/>
      <c r="HS28" s="1522"/>
      <c r="HT28" s="1522"/>
      <c r="HU28" s="1522"/>
      <c r="HV28" s="1522"/>
      <c r="HW28" s="1522"/>
      <c r="HX28" s="1522"/>
      <c r="HY28" s="1522"/>
      <c r="HZ28" s="1522"/>
      <c r="IA28" s="1522"/>
      <c r="IB28" s="1522"/>
      <c r="IC28" s="1522"/>
      <c r="ID28" s="1522"/>
      <c r="IE28" s="1522"/>
      <c r="IF28" s="1522"/>
      <c r="IG28" s="1522"/>
      <c r="IH28" s="1522"/>
      <c r="II28" s="1522"/>
      <c r="IJ28" s="1522"/>
      <c r="IK28" s="1522"/>
      <c r="IL28" s="1522"/>
      <c r="IM28" s="1522"/>
      <c r="IN28" s="1522"/>
      <c r="IO28" s="1522"/>
      <c r="IP28" s="1522"/>
      <c r="IQ28" s="1522"/>
      <c r="IR28" s="1522"/>
      <c r="IS28" s="1522"/>
      <c r="IT28" s="1522"/>
      <c r="IU28" s="1522"/>
      <c r="IV28" s="1522"/>
      <c r="IW28" s="1522"/>
      <c r="IX28" s="1522"/>
      <c r="IY28" s="1522"/>
      <c r="IZ28" s="1522"/>
      <c r="JA28" s="1522"/>
      <c r="JB28" s="1522"/>
      <c r="JC28" s="1522"/>
      <c r="JD28" s="1522"/>
      <c r="JE28" s="1522"/>
      <c r="JF28" s="1522"/>
      <c r="JG28" s="1522"/>
      <c r="JH28" s="1522"/>
      <c r="JI28" s="1522"/>
      <c r="JJ28" s="1522"/>
      <c r="JK28" s="1522"/>
      <c r="JL28" s="1522"/>
      <c r="JM28" s="1522"/>
      <c r="JN28" s="1522"/>
    </row>
    <row r="29" spans="1:274" s="1523" customFormat="1" ht="10.5" customHeight="1" x14ac:dyDescent="0.2">
      <c r="A29" s="1524" t="s">
        <v>392</v>
      </c>
      <c r="B29" s="1517"/>
      <c r="C29" s="1525" t="s">
        <v>945</v>
      </c>
      <c r="D29" s="1525">
        <v>0.89700000000000002</v>
      </c>
      <c r="E29" s="1525">
        <v>2.9929999999999999</v>
      </c>
      <c r="F29" s="1525">
        <v>3.847</v>
      </c>
      <c r="G29" s="1525">
        <v>9.5470000000000006</v>
      </c>
      <c r="H29" s="1525">
        <v>15.403</v>
      </c>
      <c r="I29" s="1525">
        <v>42.121000000000002</v>
      </c>
      <c r="J29" s="1525">
        <v>104.428</v>
      </c>
      <c r="K29" s="1525">
        <v>119.462</v>
      </c>
      <c r="L29" s="1525">
        <v>193.21100000000001</v>
      </c>
      <c r="M29" s="1525">
        <v>227.11799999999999</v>
      </c>
      <c r="N29" s="1539"/>
      <c r="O29" s="1525">
        <v>243.709</v>
      </c>
      <c r="P29" s="1525">
        <v>237.05799999999999</v>
      </c>
      <c r="Q29" s="1525">
        <v>262.14</v>
      </c>
      <c r="R29" s="1525">
        <v>316.27300000000002</v>
      </c>
      <c r="S29" s="1527">
        <f t="shared" si="34"/>
        <v>316.27300000000002</v>
      </c>
      <c r="T29" s="1540"/>
      <c r="U29" s="1529">
        <v>326.66899999999998</v>
      </c>
      <c r="V29" s="1529">
        <v>301.56799999999998</v>
      </c>
      <c r="W29" s="1529">
        <v>350.21899999999999</v>
      </c>
      <c r="X29" s="1529">
        <v>434.435</v>
      </c>
      <c r="Y29" s="1527">
        <f t="shared" si="35"/>
        <v>434.435</v>
      </c>
      <c r="Z29" s="1540"/>
      <c r="AA29" s="1529">
        <v>474.63400000000001</v>
      </c>
      <c r="AB29" s="1529">
        <v>443.64800000000002</v>
      </c>
      <c r="AC29" s="1529">
        <v>475.56799999999998</v>
      </c>
      <c r="AD29" s="1529">
        <v>602.86199999999997</v>
      </c>
      <c r="AE29" s="1527">
        <f t="shared" si="36"/>
        <v>602.86199999999997</v>
      </c>
      <c r="AF29" s="1540"/>
      <c r="AG29" s="1529">
        <v>694.12300000000005</v>
      </c>
      <c r="AH29" s="1529">
        <v>615.75199999999995</v>
      </c>
      <c r="AI29" s="1529">
        <v>663.81799999999998</v>
      </c>
      <c r="AJ29" s="1529">
        <v>877.08699999999999</v>
      </c>
      <c r="AK29" s="1527">
        <f t="shared" si="37"/>
        <v>877.08699999999999</v>
      </c>
      <c r="AL29" s="1540"/>
      <c r="AM29" s="1529">
        <v>956.37</v>
      </c>
      <c r="AN29" s="1529">
        <v>800.21400000000006</v>
      </c>
      <c r="AO29" s="1529">
        <v>817.89499999999998</v>
      </c>
      <c r="AP29" s="1529">
        <v>1007.149</v>
      </c>
      <c r="AQ29" s="1527">
        <f t="shared" si="38"/>
        <v>1007.149</v>
      </c>
      <c r="AR29" s="1540"/>
      <c r="AS29" s="1529">
        <v>1089.684</v>
      </c>
      <c r="AT29" s="1529">
        <v>925.14099999999996</v>
      </c>
      <c r="AU29" s="1529">
        <v>1019.556</v>
      </c>
      <c r="AV29" s="1529">
        <v>1133.482</v>
      </c>
      <c r="AW29" s="1527">
        <f t="shared" si="39"/>
        <v>1133.482</v>
      </c>
      <c r="AX29" s="1540"/>
      <c r="AY29" s="1529">
        <v>1269.585</v>
      </c>
      <c r="AZ29" s="1529">
        <v>1053.809</v>
      </c>
      <c r="BA29" s="1529">
        <v>1040.712</v>
      </c>
      <c r="BB29" s="1529">
        <v>1214</v>
      </c>
      <c r="BC29" s="1527">
        <f t="shared" si="40"/>
        <v>1214</v>
      </c>
      <c r="BD29" s="1540"/>
      <c r="BE29" s="1529">
        <v>1367.24</v>
      </c>
      <c r="BF29" s="1529">
        <v>1084.7149999999999</v>
      </c>
      <c r="BG29" s="1529">
        <v>1013.778</v>
      </c>
      <c r="BH29" s="1529">
        <v>1241</v>
      </c>
      <c r="BI29" s="1527">
        <f t="shared" si="41"/>
        <v>1241</v>
      </c>
      <c r="BJ29" s="1540"/>
      <c r="BK29" s="1529">
        <v>1514</v>
      </c>
      <c r="BL29" s="1529">
        <v>1248</v>
      </c>
      <c r="BM29" s="1529">
        <v>1225</v>
      </c>
      <c r="BN29" s="1529">
        <v>1409</v>
      </c>
      <c r="BO29" s="1527">
        <f t="shared" si="42"/>
        <v>1409</v>
      </c>
      <c r="BP29" s="1540"/>
      <c r="BQ29" s="1529">
        <v>1603</v>
      </c>
      <c r="BR29" s="1529">
        <v>1349</v>
      </c>
      <c r="BS29" s="1529">
        <v>1355</v>
      </c>
      <c r="BT29" s="1529">
        <v>1497</v>
      </c>
      <c r="BU29" s="1527">
        <f t="shared" si="43"/>
        <v>1497</v>
      </c>
      <c r="BV29" s="1540"/>
      <c r="BW29" s="1529">
        <v>1782</v>
      </c>
      <c r="BX29" s="1529">
        <v>1497</v>
      </c>
      <c r="BY29" s="1529">
        <v>1935</v>
      </c>
      <c r="BZ29" s="1529">
        <v>2289</v>
      </c>
      <c r="CA29" s="1529">
        <f t="shared" si="44"/>
        <v>2289</v>
      </c>
      <c r="CB29" s="1540"/>
      <c r="CC29" s="1529">
        <v>2630</v>
      </c>
      <c r="CD29" s="1529">
        <v>2183</v>
      </c>
      <c r="CE29" s="1529">
        <v>2467</v>
      </c>
      <c r="CF29" s="1529">
        <v>2830</v>
      </c>
      <c r="CG29" s="1536">
        <f t="shared" si="45"/>
        <v>2830</v>
      </c>
      <c r="CH29" s="1540"/>
      <c r="CI29" s="1529">
        <v>3269</v>
      </c>
      <c r="CJ29" s="1529">
        <v>2770</v>
      </c>
      <c r="CK29" s="1529">
        <v>2948</v>
      </c>
      <c r="CL29" s="1529">
        <v>3492</v>
      </c>
      <c r="CM29" s="1536">
        <f t="shared" si="46"/>
        <v>3492</v>
      </c>
      <c r="CN29" s="1540"/>
      <c r="CO29" s="1529">
        <f>4121</f>
        <v>4121</v>
      </c>
      <c r="CP29" s="1529">
        <v>3577</v>
      </c>
      <c r="CQ29" s="1529">
        <v>3683</v>
      </c>
      <c r="CR29" s="1529">
        <v>4492</v>
      </c>
      <c r="CS29" s="1536">
        <f t="shared" si="47"/>
        <v>4492</v>
      </c>
      <c r="CT29" s="1537"/>
      <c r="CU29" s="1529">
        <v>5017</v>
      </c>
      <c r="CV29" s="1529">
        <v>3881</v>
      </c>
      <c r="CW29" s="1529">
        <v>3952</v>
      </c>
      <c r="CX29" s="1529">
        <v>4592</v>
      </c>
      <c r="CY29" s="1536">
        <f t="shared" si="48"/>
        <v>4592</v>
      </c>
      <c r="CZ29" s="1542"/>
      <c r="DA29" s="1529">
        <v>5283</v>
      </c>
      <c r="DB29" s="1529">
        <v>4395</v>
      </c>
      <c r="DC29" s="1529">
        <v>5389</v>
      </c>
      <c r="DD29" s="1529">
        <v>5900</v>
      </c>
      <c r="DE29" s="1536">
        <f t="shared" si="49"/>
        <v>5900</v>
      </c>
      <c r="DF29" s="1542"/>
      <c r="DG29" s="1529">
        <v>6903</v>
      </c>
      <c r="DH29" s="1529">
        <v>5742</v>
      </c>
      <c r="DI29" s="1529">
        <v>5849</v>
      </c>
      <c r="DJ29" s="1529">
        <v>6802</v>
      </c>
      <c r="DK29" s="1536">
        <f t="shared" si="50"/>
        <v>6802</v>
      </c>
      <c r="DL29" s="1542"/>
      <c r="DM29" s="1529">
        <v>7925</v>
      </c>
      <c r="DN29" s="1529">
        <v>6091</v>
      </c>
      <c r="DO29" s="1529">
        <v>6285</v>
      </c>
      <c r="DP29" s="1529">
        <v>7035</v>
      </c>
      <c r="DQ29" s="1536">
        <f t="shared" si="51"/>
        <v>7035</v>
      </c>
      <c r="DR29" s="1542"/>
      <c r="DS29" s="1529">
        <v>8316</v>
      </c>
      <c r="DT29" s="1529">
        <v>6504</v>
      </c>
      <c r="DU29" s="1529">
        <v>6278</v>
      </c>
      <c r="DV29" s="1529">
        <v>7118</v>
      </c>
      <c r="DW29" s="1536">
        <f t="shared" si="52"/>
        <v>7118</v>
      </c>
      <c r="DX29" s="1542"/>
      <c r="DY29" s="1529">
        <v>8524</v>
      </c>
      <c r="DZ29" s="1529">
        <v>6667</v>
      </c>
      <c r="EA29" s="1529">
        <v>6473</v>
      </c>
      <c r="EB29" s="1529">
        <v>7269</v>
      </c>
      <c r="EC29" s="1536">
        <f t="shared" si="53"/>
        <v>7269</v>
      </c>
      <c r="ED29" s="1542"/>
      <c r="EE29" s="1529">
        <v>8939</v>
      </c>
      <c r="EF29" s="1529">
        <v>6816</v>
      </c>
      <c r="EG29" s="1529">
        <v>6443</v>
      </c>
      <c r="EH29" s="1529">
        <v>7245</v>
      </c>
      <c r="EI29" s="1536">
        <f t="shared" si="54"/>
        <v>7245</v>
      </c>
      <c r="EJ29" s="1542"/>
      <c r="EK29" s="1529">
        <v>9078</v>
      </c>
      <c r="EL29" s="1529">
        <v>6998</v>
      </c>
      <c r="EM29" s="1529">
        <v>6912</v>
      </c>
      <c r="EN29" s="1529">
        <v>7655</v>
      </c>
      <c r="EO29" s="1536">
        <f t="shared" si="55"/>
        <v>7655</v>
      </c>
      <c r="EP29" s="1542"/>
      <c r="EQ29" s="1529">
        <v>9462</v>
      </c>
      <c r="ER29" s="1529">
        <v>7411</v>
      </c>
      <c r="ES29" s="1529">
        <v>7388</v>
      </c>
      <c r="ET29" s="1529">
        <v>8233</v>
      </c>
      <c r="EU29" s="1536">
        <f t="shared" si="56"/>
        <v>8233</v>
      </c>
      <c r="EV29" s="1542"/>
      <c r="EW29" s="1529">
        <v>10269</v>
      </c>
      <c r="EX29" s="1529">
        <v>8076</v>
      </c>
      <c r="EY29" s="1529">
        <v>8003</v>
      </c>
      <c r="EZ29" s="1529">
        <f>ET29*(1+EZ106)</f>
        <v>9019.3025865447416</v>
      </c>
      <c r="FA29" s="1536">
        <f t="shared" si="57"/>
        <v>9019.3025865447416</v>
      </c>
      <c r="FB29" s="1542"/>
      <c r="FC29" s="1529">
        <f>EW29*(1+FC106)</f>
        <v>11398.59</v>
      </c>
      <c r="FD29" s="1529">
        <f>EX29*(1+FD106)</f>
        <v>8964.36</v>
      </c>
      <c r="FE29" s="1529">
        <f>EY29*(1+FE106)</f>
        <v>8669.1945046020573</v>
      </c>
      <c r="FF29" s="1529">
        <f>EZ29*(1+FF106)</f>
        <v>10061.088000917422</v>
      </c>
      <c r="FG29" s="1536">
        <f t="shared" si="58"/>
        <v>10061.088000917422</v>
      </c>
      <c r="FH29" s="1542"/>
      <c r="FI29" s="1529">
        <f>FC29*(1+FI106)</f>
        <v>12652.434900000002</v>
      </c>
      <c r="FJ29" s="1529">
        <f>FD29*(1+FJ106)</f>
        <v>9950.4396000000015</v>
      </c>
      <c r="FK29" s="1529">
        <f>FE29*(1+FK106)</f>
        <v>9390.8451029142198</v>
      </c>
      <c r="FL29" s="1529">
        <f>FF29*(1+FL106)</f>
        <v>11424.427855045657</v>
      </c>
      <c r="FM29" s="1536">
        <f t="shared" si="59"/>
        <v>11424.427855045657</v>
      </c>
      <c r="FN29" s="1524"/>
      <c r="FO29" s="1524"/>
      <c r="FP29" s="1524"/>
      <c r="FQ29" s="1524"/>
      <c r="FR29"/>
      <c r="FS29"/>
      <c r="FT29"/>
      <c r="FU29"/>
      <c r="FV29"/>
      <c r="FW29"/>
      <c r="FX29" s="1524"/>
      <c r="FY29" s="1522"/>
      <c r="FZ29" s="1522"/>
      <c r="GA29" s="1522"/>
      <c r="GB29" s="1522"/>
      <c r="GC29" s="1522"/>
      <c r="GD29" s="1522"/>
      <c r="GE29" s="1522"/>
      <c r="GF29" s="1522"/>
      <c r="GG29" s="1522"/>
      <c r="GH29" s="1522"/>
      <c r="GI29" s="1522"/>
      <c r="GJ29" s="1522"/>
      <c r="GK29" s="1522"/>
      <c r="GL29" s="1522"/>
      <c r="GM29" s="1522"/>
      <c r="GN29" s="1522"/>
      <c r="GO29" s="1522"/>
      <c r="GP29" s="1522"/>
      <c r="GQ29" s="1522"/>
      <c r="GR29" s="1522"/>
      <c r="GS29" s="1522"/>
      <c r="GT29" s="1522"/>
      <c r="GU29" s="1522"/>
      <c r="GV29" s="1522"/>
      <c r="GW29" s="1522"/>
      <c r="GX29" s="1522"/>
      <c r="GY29" s="1522"/>
      <c r="GZ29" s="1522"/>
      <c r="HA29" s="1522"/>
      <c r="HB29" s="1522"/>
      <c r="HC29" s="1522"/>
      <c r="HD29" s="1522"/>
      <c r="HE29" s="1522"/>
      <c r="HF29" s="1522"/>
      <c r="HG29" s="1522"/>
      <c r="HH29" s="1522"/>
      <c r="HI29" s="1522"/>
      <c r="HJ29" s="1522"/>
      <c r="HK29" s="1522"/>
      <c r="HL29" s="1522"/>
      <c r="HM29" s="1522"/>
      <c r="HN29" s="1522"/>
      <c r="HO29" s="1522"/>
      <c r="HP29" s="1522"/>
      <c r="HQ29" s="1522"/>
      <c r="HR29" s="1522"/>
      <c r="HS29" s="1522"/>
      <c r="HT29" s="1522"/>
      <c r="HU29" s="1522"/>
      <c r="HV29" s="1522"/>
      <c r="HW29" s="1522"/>
      <c r="HX29" s="1522"/>
      <c r="HY29" s="1522"/>
      <c r="HZ29" s="1522"/>
      <c r="IA29" s="1522"/>
      <c r="IB29" s="1522"/>
      <c r="IC29" s="1522"/>
      <c r="ID29" s="1522"/>
      <c r="IE29" s="1522"/>
      <c r="IF29" s="1522"/>
      <c r="IG29" s="1522"/>
      <c r="IH29" s="1522"/>
      <c r="II29" s="1522"/>
      <c r="IJ29" s="1522"/>
      <c r="IK29" s="1522"/>
      <c r="IL29" s="1522"/>
      <c r="IM29" s="1522"/>
      <c r="IN29" s="1522"/>
      <c r="IO29" s="1522"/>
      <c r="IP29" s="1522"/>
      <c r="IQ29" s="1522"/>
      <c r="IR29" s="1522"/>
      <c r="IS29" s="1522"/>
      <c r="IT29" s="1522"/>
      <c r="IU29" s="1522"/>
      <c r="IV29" s="1522"/>
      <c r="IW29" s="1522"/>
      <c r="IX29" s="1522"/>
      <c r="IY29" s="1522"/>
      <c r="IZ29" s="1522"/>
      <c r="JA29" s="1522"/>
      <c r="JB29" s="1522"/>
      <c r="JC29" s="1522"/>
      <c r="JD29" s="1522"/>
      <c r="JE29" s="1522"/>
      <c r="JF29" s="1522"/>
      <c r="JG29" s="1522"/>
      <c r="JH29" s="1522"/>
      <c r="JI29" s="1522"/>
      <c r="JJ29" s="1522"/>
      <c r="JK29" s="1522"/>
      <c r="JL29" s="1522"/>
      <c r="JM29" s="1522"/>
      <c r="JN29" s="1522"/>
    </row>
    <row r="30" spans="1:274" s="1364" customFormat="1" ht="10.5" customHeight="1" x14ac:dyDescent="0.2">
      <c r="A30" s="1502" t="s">
        <v>18</v>
      </c>
      <c r="B30" s="1225"/>
      <c r="C30" s="1382">
        <f>SUM(C24:C29)</f>
        <v>0</v>
      </c>
      <c r="D30" s="1382">
        <f>SUM(D24:D29)</f>
        <v>6.383</v>
      </c>
      <c r="E30" s="1382">
        <f t="shared" ref="E30:O30" si="60">SUM(E24:E29)</f>
        <v>22.292999999999999</v>
      </c>
      <c r="F30" s="1382">
        <f t="shared" si="60"/>
        <v>48.424999999999997</v>
      </c>
      <c r="G30" s="1382">
        <f t="shared" si="60"/>
        <v>102.18299999999999</v>
      </c>
      <c r="H30" s="1382">
        <f t="shared" si="60"/>
        <v>178.333</v>
      </c>
      <c r="I30" s="1382">
        <f t="shared" si="60"/>
        <v>283.572</v>
      </c>
      <c r="J30" s="1382">
        <f t="shared" si="60"/>
        <v>479.375</v>
      </c>
      <c r="K30" s="1382">
        <f t="shared" si="60"/>
        <v>405.99799999999999</v>
      </c>
      <c r="L30" s="1382">
        <f t="shared" si="60"/>
        <v>551.34300000000007</v>
      </c>
      <c r="M30" s="1382">
        <f t="shared" si="60"/>
        <v>682.101</v>
      </c>
      <c r="N30" s="1503"/>
      <c r="O30" s="1382">
        <f t="shared" si="60"/>
        <v>672.10599999999999</v>
      </c>
      <c r="P30" s="1382">
        <f>SUM(P24:P29)</f>
        <v>722.02</v>
      </c>
      <c r="Q30" s="1382">
        <f>SUM(Q24:Q29)</f>
        <v>773.41599999999994</v>
      </c>
      <c r="R30" s="1382">
        <f>SUM(R24:R29)</f>
        <v>1055.1489999999999</v>
      </c>
      <c r="S30" s="1504">
        <f t="shared" si="34"/>
        <v>1055.1489999999999</v>
      </c>
      <c r="T30" s="1504"/>
      <c r="U30" s="1505">
        <f>SUM(U24:U28)+U29</f>
        <v>875.07299999999998</v>
      </c>
      <c r="V30" s="1505">
        <f>SUM(V24:V28)+V29</f>
        <v>956.42099999999994</v>
      </c>
      <c r="W30" s="1505">
        <f>SUM(W24:W28)+W29</f>
        <v>1069.998</v>
      </c>
      <c r="X30" s="1505">
        <f>SUM(X24:X28)+X29</f>
        <v>1454.9639999999999</v>
      </c>
      <c r="Y30" s="1504">
        <f t="shared" si="35"/>
        <v>1454.9639999999999</v>
      </c>
      <c r="Z30" s="1504"/>
      <c r="AA30" s="1505">
        <f>SUM(AA24:AA28)+AA29</f>
        <v>1308.0150000000001</v>
      </c>
      <c r="AB30" s="1505">
        <f>SUM(AB24:AB28)+AB29</f>
        <v>1297.7710000000002</v>
      </c>
      <c r="AC30" s="1505">
        <f>SUM(AC24:AC28)+AC29</f>
        <v>1339.662</v>
      </c>
      <c r="AD30" s="1505">
        <f>SUM(AD24:AD28)+AD29</f>
        <v>1922.1390000000001</v>
      </c>
      <c r="AE30" s="1504">
        <f t="shared" si="36"/>
        <v>1922.1390000000001</v>
      </c>
      <c r="AF30" s="1504"/>
      <c r="AG30" s="1505">
        <f>SUM(AG24:AG28)+AG29</f>
        <v>1813.4720000000002</v>
      </c>
      <c r="AH30" s="1505">
        <f>SUM(AH24:AH28)+AH29</f>
        <v>1724.0889999999999</v>
      </c>
      <c r="AI30" s="1505">
        <f>SUM(AI24:AI28)+AI29</f>
        <v>1803.44</v>
      </c>
      <c r="AJ30" s="1505">
        <f>SUM(AJ24:AJ28)+AJ29</f>
        <v>2484.165</v>
      </c>
      <c r="AK30" s="1504">
        <f t="shared" si="37"/>
        <v>2484.165</v>
      </c>
      <c r="AL30" s="1504"/>
      <c r="AM30" s="1505">
        <f>SUM(AM24:AM28)+AM29</f>
        <v>2234.7649999999999</v>
      </c>
      <c r="AN30" s="1505">
        <f>SUM(AN24:AN28)+AN29</f>
        <v>2252.4659999999999</v>
      </c>
      <c r="AO30" s="1505">
        <f>SUM(AO24:AO28)+AO29</f>
        <v>2277.8130000000001</v>
      </c>
      <c r="AP30" s="1505">
        <f>SUM(AP24:AP28)+AP29</f>
        <v>3046.4229999999998</v>
      </c>
      <c r="AQ30" s="1504">
        <f t="shared" si="38"/>
        <v>3046.4229999999998</v>
      </c>
      <c r="AR30" s="1504"/>
      <c r="AS30" s="1505">
        <f>SUM(AS24:AS28)+AS29</f>
        <v>2549.3220000000001</v>
      </c>
      <c r="AT30" s="1505">
        <f>SUM(AT24:AT28)+AT29</f>
        <v>2470.7220000000002</v>
      </c>
      <c r="AU30" s="1505">
        <f>SUM(AU24:AU28)+AU29</f>
        <v>2809.3609999999999</v>
      </c>
      <c r="AV30" s="1505">
        <f>SUM(AV24:AV28)+AV29</f>
        <v>5862.2380000000003</v>
      </c>
      <c r="AW30" s="1504">
        <f t="shared" si="39"/>
        <v>5862.2380000000003</v>
      </c>
      <c r="AX30" s="1504"/>
      <c r="AY30" s="1505">
        <f>SUM(AY24:AY28)+AY29</f>
        <v>3307.1089999999999</v>
      </c>
      <c r="AZ30" s="1505">
        <f>SUM(AZ24:AZ28)+AZ29</f>
        <v>3167.625</v>
      </c>
      <c r="BA30" s="1505">
        <f>SUM(BA24:BA28)+BA29</f>
        <v>3305.6600000000003</v>
      </c>
      <c r="BB30" s="1505">
        <f>SUM(BB24:BB28)+BB29</f>
        <v>3917</v>
      </c>
      <c r="BC30" s="1504">
        <f t="shared" si="40"/>
        <v>3917</v>
      </c>
      <c r="BD30" s="1504"/>
      <c r="BE30" s="1505">
        <f>SUM(BE24:BE28)+BE29</f>
        <v>4066.7200000000003</v>
      </c>
      <c r="BF30" s="1505">
        <f>SUM(BF24:BF28)+BF29</f>
        <v>3732.7</v>
      </c>
      <c r="BG30" s="1505">
        <f>SUM(BG24:BG28)+BG29</f>
        <v>3564.62</v>
      </c>
      <c r="BH30" s="1505">
        <f>SUM(BH24:BH28)+BH29</f>
        <v>3960</v>
      </c>
      <c r="BI30" s="1504">
        <f t="shared" si="41"/>
        <v>3960</v>
      </c>
      <c r="BJ30" s="1504"/>
      <c r="BK30" s="1505">
        <f>SUM(BK24:BK28)+BK29</f>
        <v>3982</v>
      </c>
      <c r="BL30" s="1505">
        <f>SUM(BL24:BL28)+BL29</f>
        <v>3759</v>
      </c>
      <c r="BM30" s="1505">
        <f>SUM(BM24:BM28)+BM29</f>
        <v>3819</v>
      </c>
      <c r="BN30" s="1505">
        <f>SUM(BN24:BN28)+BN29</f>
        <v>4158</v>
      </c>
      <c r="BO30" s="1504">
        <f t="shared" si="42"/>
        <v>4158</v>
      </c>
      <c r="BP30" s="1504"/>
      <c r="BQ30" s="1505">
        <f>SUM(BQ24:BQ28)+BQ29</f>
        <v>4186</v>
      </c>
      <c r="BR30" s="1505">
        <f>SUM(BR24:BR28)+BR29</f>
        <v>3998</v>
      </c>
      <c r="BS30" s="1505">
        <f>SUM(BS24:BS28)+BS29</f>
        <v>3740</v>
      </c>
      <c r="BT30" s="1505">
        <f>SUM(BT24:BT28)+BT29</f>
        <v>4272</v>
      </c>
      <c r="BU30" s="1504">
        <f t="shared" si="43"/>
        <v>4272</v>
      </c>
      <c r="BV30" s="1504"/>
      <c r="BW30" s="1505">
        <f>SUM(BW24:BW28)+BW29</f>
        <v>4247</v>
      </c>
      <c r="BX30" s="1505">
        <f>SUM(BX24:BX28)+BX29</f>
        <v>3984</v>
      </c>
      <c r="BY30" s="1505">
        <f>SUM(BY24:BY28)+BY29</f>
        <v>12237</v>
      </c>
      <c r="BZ30" s="1505">
        <f>SUM(BZ24:BZ28)+BZ29</f>
        <v>8063</v>
      </c>
      <c r="CA30" s="1504">
        <f t="shared" si="44"/>
        <v>8063</v>
      </c>
      <c r="CB30" s="1504"/>
      <c r="CC30" s="1505">
        <f>SUM(CC24:CC28)+CC29</f>
        <v>6547</v>
      </c>
      <c r="CD30" s="1505">
        <f>SUM(CD24:CD28)+CD29</f>
        <v>5563</v>
      </c>
      <c r="CE30" s="1505">
        <f>SUM(CE24:CE28)+CE29</f>
        <v>5866</v>
      </c>
      <c r="CF30" s="1505">
        <f>SUM(CF24:CF28)+CF29</f>
        <v>6930</v>
      </c>
      <c r="CG30" s="1507">
        <f t="shared" si="45"/>
        <v>6930</v>
      </c>
      <c r="CH30" s="1504"/>
      <c r="CI30" s="1505">
        <f>SUM(CI24:CI28)+CI29</f>
        <v>6698</v>
      </c>
      <c r="CJ30" s="1505">
        <f>SUM(CJ24:CJ28)+CJ29</f>
        <v>6096</v>
      </c>
      <c r="CK30" s="1505">
        <f>SUM(CK24:CK28)+CK29</f>
        <v>6330</v>
      </c>
      <c r="CL30" s="1505">
        <f>SUM(CL24:CL28)+CL29</f>
        <v>9387</v>
      </c>
      <c r="CM30" s="1507">
        <f t="shared" si="46"/>
        <v>9387</v>
      </c>
      <c r="CN30" s="1504"/>
      <c r="CO30" s="1505">
        <f>SUM(CO24:CO28)+CO29</f>
        <v>7048</v>
      </c>
      <c r="CP30" s="1505">
        <f>SUM(CP24:CP28)+CP29</f>
        <v>6549</v>
      </c>
      <c r="CQ30" s="1505">
        <f>SUM(CQ24:CQ28)+CQ29</f>
        <v>6830</v>
      </c>
      <c r="CR30" s="1505">
        <f>SUM(CR24:CR28)+CR29</f>
        <v>10029</v>
      </c>
      <c r="CS30" s="1507">
        <f t="shared" si="47"/>
        <v>10029</v>
      </c>
      <c r="CT30" s="1379"/>
      <c r="CU30" s="1505">
        <f>SUM(CU24:CU28)+CU29</f>
        <v>9247</v>
      </c>
      <c r="CV30" s="1505">
        <f>SUM(CV24:CV28)+CV29</f>
        <v>7963</v>
      </c>
      <c r="CW30" s="1505">
        <f>SUM(CW24:CW28)+CW29</f>
        <v>7972</v>
      </c>
      <c r="CX30" s="1505">
        <f>SUM(CX24:CX28)+CX29</f>
        <v>9149</v>
      </c>
      <c r="CY30" s="1507">
        <f t="shared" si="48"/>
        <v>9149</v>
      </c>
      <c r="CZ30" s="1508"/>
      <c r="DA30" s="1505">
        <f>SUM(DA24:DA28)+DA29</f>
        <v>9160</v>
      </c>
      <c r="DB30" s="1505">
        <f>SUM(DB24:DB28)+DB29</f>
        <v>8534</v>
      </c>
      <c r="DC30" s="1505">
        <f>SUM(DC24:DC28)+DC29</f>
        <v>14251</v>
      </c>
      <c r="DD30" s="1505">
        <f>SUM(DD24:DD28)+DD29</f>
        <v>14691</v>
      </c>
      <c r="DE30" s="1507">
        <f t="shared" si="49"/>
        <v>14691</v>
      </c>
      <c r="DF30" s="1508"/>
      <c r="DG30" s="1505">
        <f>SUM(DG24:DG28)+DG29</f>
        <v>13800</v>
      </c>
      <c r="DH30" s="1505">
        <f>SUM(DH24:DH28)+DH29</f>
        <v>13336</v>
      </c>
      <c r="DI30" s="1505">
        <f>SUM(DI24:DI28)+DI29</f>
        <v>11282</v>
      </c>
      <c r="DJ30" s="1505">
        <f>SUM(DJ24:DJ28)+DJ29</f>
        <v>14192</v>
      </c>
      <c r="DK30" s="1507">
        <f t="shared" si="50"/>
        <v>14192</v>
      </c>
      <c r="DL30" s="1508"/>
      <c r="DM30" s="1505">
        <f>SUM(DM24:DM28)+DM29</f>
        <v>13056</v>
      </c>
      <c r="DN30" s="1505">
        <f>SUM(DN24:DN28)+DN29</f>
        <v>11072</v>
      </c>
      <c r="DO30" s="1505">
        <f>SUM(DO24:DO28)+DO29</f>
        <v>11632</v>
      </c>
      <c r="DP30" s="1505">
        <f>SUM(DP24:DP28)+DP29</f>
        <v>15388</v>
      </c>
      <c r="DQ30" s="1507">
        <f t="shared" si="51"/>
        <v>15388</v>
      </c>
      <c r="DR30" s="1508"/>
      <c r="DS30" s="1505">
        <f>SUM(DS24:DS28)+DS29</f>
        <v>13955</v>
      </c>
      <c r="DT30" s="1505">
        <f>SUM(DT24:DT28)+DT29</f>
        <v>12347</v>
      </c>
      <c r="DU30" s="1505">
        <f>SUM(DU24:DU28)+DU29</f>
        <v>11916</v>
      </c>
      <c r="DV30" s="1505">
        <f>SUM(DV24:DV28)+DV29</f>
        <v>12872</v>
      </c>
      <c r="DW30" s="1507">
        <f t="shared" si="52"/>
        <v>12872</v>
      </c>
      <c r="DX30" s="1508"/>
      <c r="DY30" s="1505">
        <f>SUM(DY24:DY28)+DY29</f>
        <v>14526</v>
      </c>
      <c r="DZ30" s="1505">
        <f>SUM(DZ24:DZ28)+DZ29</f>
        <v>13110</v>
      </c>
      <c r="EA30" s="1505">
        <f>SUM(EA24:EA28)+EA29</f>
        <v>13092</v>
      </c>
      <c r="EB30" s="1505">
        <f>SUM(EB24:EB28)+EB29</f>
        <v>14389</v>
      </c>
      <c r="EC30" s="1507">
        <f t="shared" si="53"/>
        <v>14389</v>
      </c>
      <c r="ED30" s="1508"/>
      <c r="EE30" s="1505">
        <f>SUM(EE24:EE28)+EE29</f>
        <v>13377</v>
      </c>
      <c r="EF30" s="1505">
        <f>SUM(EF24:EF28)+EF29</f>
        <v>11985</v>
      </c>
      <c r="EG30" s="1505">
        <f>SUM(EG24:EG28)+EG29</f>
        <v>13792</v>
      </c>
      <c r="EH30" s="1505">
        <f>SUM(EH24:EH28)+EH29</f>
        <v>15291</v>
      </c>
      <c r="EI30" s="1507">
        <f t="shared" si="54"/>
        <v>15291</v>
      </c>
      <c r="EJ30" s="1380"/>
      <c r="EK30" s="1505">
        <f>SUM(EK24:EK28)+EK29</f>
        <v>15391</v>
      </c>
      <c r="EL30" s="1505">
        <f>SUM(EL24:EL28)+EL29</f>
        <v>13754</v>
      </c>
      <c r="EM30" s="1505">
        <f>SUM(EM24:EM28)+EM29</f>
        <v>11825</v>
      </c>
      <c r="EN30" s="1505">
        <f>SUM(EN24:EN28)+EN29</f>
        <v>17208</v>
      </c>
      <c r="EO30" s="1378">
        <f t="shared" si="55"/>
        <v>17208</v>
      </c>
      <c r="EP30" s="1380"/>
      <c r="EQ30" s="1505">
        <f>SUM(EQ24:EQ28)+EQ29</f>
        <v>15142</v>
      </c>
      <c r="ER30" s="1505">
        <f>SUM(ER24:ER28)+ER29</f>
        <v>16347</v>
      </c>
      <c r="ES30" s="1376">
        <f>SUM(ES24:ES28)+ES29</f>
        <v>15790</v>
      </c>
      <c r="ET30" s="1505">
        <f>SUM(ET24:ET28)+ET29</f>
        <v>24178</v>
      </c>
      <c r="EU30" s="1378">
        <f t="shared" si="56"/>
        <v>24178</v>
      </c>
      <c r="EV30" s="1380"/>
      <c r="EW30" s="1505">
        <f>SUM(EW24:EW28)+EW29</f>
        <v>20226</v>
      </c>
      <c r="EX30" s="1505">
        <f>SUM(EX24:EX28)+EX29</f>
        <v>15494</v>
      </c>
      <c r="EY30" s="1376">
        <f>SUM(EY24:EY28)+EY29</f>
        <v>17968</v>
      </c>
      <c r="EZ30" s="1376">
        <f>SUM(EZ24:EZ28)+EZ29</f>
        <v>15211.473876168706</v>
      </c>
      <c r="FA30" s="1378">
        <f t="shared" si="57"/>
        <v>15211.473876168706</v>
      </c>
      <c r="FB30" s="1380"/>
      <c r="FC30" s="1376">
        <f>SUM(FC24:FC28)+FC29</f>
        <v>16118.800143327122</v>
      </c>
      <c r="FD30" s="1376">
        <f>SUM(FD24:FD28)+FD29</f>
        <v>13672.521194989078</v>
      </c>
      <c r="FE30" s="1376">
        <f>SUM(FE24:FE28)+FE29</f>
        <v>13957.11087825496</v>
      </c>
      <c r="FF30" s="1376">
        <f>SUM(FF24:FF28)+FF29</f>
        <v>16125.795142536666</v>
      </c>
      <c r="FG30" s="1378">
        <f t="shared" si="58"/>
        <v>16125.795142536666</v>
      </c>
      <c r="FH30" s="1380"/>
      <c r="FI30" s="1376">
        <f>SUM(FI24:FI28)+FI29</f>
        <v>17202.912735153091</v>
      </c>
      <c r="FJ30" s="1376">
        <f>SUM(FJ24:FJ28)+FJ29</f>
        <v>14489.243658503325</v>
      </c>
      <c r="FK30" s="1376">
        <f>SUM(FK24:FK28)+FK29</f>
        <v>14531.419401344605</v>
      </c>
      <c r="FL30" s="1376">
        <f>SUM(FL24:FL28)+FL29</f>
        <v>17385.949294426162</v>
      </c>
      <c r="FM30" s="1378">
        <f t="shared" si="59"/>
        <v>17385.949294426162</v>
      </c>
      <c r="FN30" s="1399"/>
      <c r="FO30" s="1400"/>
      <c r="FP30" s="1399"/>
      <c r="FQ30" s="1399"/>
      <c r="FR30"/>
      <c r="FS30"/>
      <c r="FT30"/>
      <c r="FU30"/>
      <c r="FV30"/>
      <c r="FW30"/>
      <c r="FX30" s="1399"/>
      <c r="FY30" s="1397"/>
      <c r="FZ30" s="1397"/>
      <c r="GA30" s="1397"/>
      <c r="GB30" s="1397"/>
      <c r="GC30" s="1397"/>
      <c r="GD30" s="1397"/>
      <c r="GE30" s="1397"/>
      <c r="GF30" s="1397"/>
      <c r="GG30" s="1397"/>
      <c r="GH30" s="1397"/>
      <c r="GI30" s="1397"/>
      <c r="GJ30" s="1397"/>
      <c r="GK30" s="1397"/>
      <c r="GL30" s="1397"/>
      <c r="GM30" s="1397"/>
      <c r="GN30" s="1397"/>
      <c r="GO30" s="1397"/>
      <c r="GP30" s="1397"/>
      <c r="GQ30" s="1397"/>
      <c r="GR30" s="1397"/>
      <c r="GS30" s="1397"/>
      <c r="GT30" s="1397"/>
      <c r="GU30" s="1397"/>
      <c r="GV30" s="1397"/>
      <c r="GW30" s="1397"/>
      <c r="GX30" s="1397"/>
      <c r="GY30" s="1397"/>
      <c r="GZ30" s="1397"/>
      <c r="HA30" s="1397"/>
      <c r="HB30" s="1397"/>
      <c r="HC30" s="1397"/>
      <c r="HD30" s="1397"/>
      <c r="HE30" s="1397"/>
      <c r="HF30" s="1397"/>
      <c r="HG30" s="1397"/>
      <c r="HH30" s="1397"/>
      <c r="HI30" s="1397"/>
      <c r="HJ30" s="1397"/>
      <c r="HK30" s="1397"/>
      <c r="HL30" s="1397"/>
      <c r="HM30" s="1397"/>
      <c r="HN30" s="1397"/>
      <c r="HO30" s="1397"/>
      <c r="HP30" s="1397"/>
      <c r="HQ30" s="1397"/>
      <c r="HR30" s="1397"/>
      <c r="HS30" s="1397"/>
      <c r="HT30" s="1397"/>
      <c r="HU30" s="1397"/>
      <c r="HV30" s="1397"/>
      <c r="HW30" s="1397"/>
      <c r="HX30" s="1397"/>
      <c r="HY30" s="1397"/>
      <c r="HZ30" s="1397"/>
      <c r="IA30" s="1397"/>
      <c r="IB30" s="1397"/>
      <c r="IC30" s="1397"/>
      <c r="ID30" s="1397"/>
      <c r="IE30" s="1397"/>
      <c r="IF30" s="1397"/>
      <c r="IG30" s="1397"/>
      <c r="IH30" s="1397"/>
      <c r="II30" s="1397"/>
      <c r="IJ30" s="1397"/>
      <c r="IK30" s="1397"/>
      <c r="IL30" s="1397"/>
      <c r="IM30" s="1397"/>
      <c r="IN30" s="1397"/>
      <c r="IO30" s="1397"/>
      <c r="IP30" s="1397"/>
      <c r="IQ30" s="1397"/>
      <c r="IR30" s="1397"/>
      <c r="IS30" s="1397"/>
      <c r="IT30" s="1397"/>
      <c r="IU30" s="1397"/>
      <c r="IV30" s="1397"/>
      <c r="IW30" s="1397"/>
      <c r="IX30" s="1397"/>
      <c r="IY30" s="1397"/>
      <c r="IZ30" s="1397"/>
      <c r="JA30" s="1397"/>
      <c r="JB30" s="1397"/>
      <c r="JC30" s="1397"/>
      <c r="JD30" s="1397"/>
      <c r="JE30" s="1397"/>
      <c r="JF30" s="1397"/>
      <c r="JG30" s="1397"/>
      <c r="JH30" s="1397"/>
      <c r="JI30" s="1397"/>
      <c r="JJ30" s="1397"/>
      <c r="JK30" s="1397"/>
      <c r="JL30" s="1397"/>
      <c r="JM30" s="1397"/>
      <c r="JN30" s="1397"/>
    </row>
    <row r="31" spans="1:274" s="24" customFormat="1" ht="5.25" customHeight="1" x14ac:dyDescent="0.2">
      <c r="A31" s="351"/>
      <c r="B31" s="20"/>
      <c r="C31" s="135"/>
      <c r="D31" s="135"/>
      <c r="E31" s="135"/>
      <c r="F31" s="135"/>
      <c r="G31" s="135"/>
      <c r="H31" s="135"/>
      <c r="I31" s="135"/>
      <c r="J31" s="135"/>
      <c r="K31" s="135"/>
      <c r="L31" s="135"/>
      <c r="M31" s="135"/>
      <c r="N31" s="135"/>
      <c r="O31" s="42"/>
      <c r="P31" s="42"/>
      <c r="Q31" s="42"/>
      <c r="R31" s="135"/>
      <c r="S31" s="444"/>
      <c r="T31" s="444"/>
      <c r="U31" s="444"/>
      <c r="V31" s="444"/>
      <c r="W31" s="444"/>
      <c r="X31" s="444"/>
      <c r="Y31" s="444"/>
      <c r="Z31" s="444"/>
      <c r="AA31" s="444"/>
      <c r="AB31" s="444"/>
      <c r="AC31" s="444"/>
      <c r="AD31" s="444"/>
      <c r="AE31" s="444"/>
      <c r="AF31" s="444"/>
      <c r="AG31" s="444"/>
      <c r="AH31" s="444"/>
      <c r="AI31" s="444"/>
      <c r="AJ31" s="444"/>
      <c r="AK31" s="444"/>
      <c r="AL31" s="444"/>
      <c r="AM31" s="444"/>
      <c r="AN31" s="444"/>
      <c r="AO31" s="444"/>
      <c r="AP31" s="444"/>
      <c r="AQ31" s="444"/>
      <c r="AR31" s="444"/>
      <c r="AS31" s="444"/>
      <c r="AT31" s="444"/>
      <c r="AU31" s="444"/>
      <c r="AV31" s="444"/>
      <c r="AW31" s="444"/>
      <c r="AX31" s="444"/>
      <c r="AY31" s="444"/>
      <c r="AZ31" s="444"/>
      <c r="BA31" s="444"/>
      <c r="BB31" s="444"/>
      <c r="BC31" s="444"/>
      <c r="BD31" s="444"/>
      <c r="BE31" s="444"/>
      <c r="BF31" s="444"/>
      <c r="BG31" s="444"/>
      <c r="BH31" s="444"/>
      <c r="BI31" s="444"/>
      <c r="BJ31" s="444"/>
      <c r="BK31" s="444"/>
      <c r="BL31" s="444"/>
      <c r="BM31" s="444"/>
      <c r="BN31" s="444"/>
      <c r="BO31" s="444"/>
      <c r="BP31" s="444"/>
      <c r="BQ31" s="444"/>
      <c r="BR31" s="444"/>
      <c r="BS31" s="444"/>
      <c r="BT31" s="444"/>
      <c r="BU31" s="444"/>
      <c r="BV31" s="444"/>
      <c r="BW31" s="444"/>
      <c r="BX31" s="444"/>
      <c r="BY31" s="444"/>
      <c r="BZ31" s="444"/>
      <c r="CA31" s="444"/>
      <c r="CB31" s="444"/>
      <c r="CC31" s="444"/>
      <c r="CD31" s="444"/>
      <c r="CE31" s="444"/>
      <c r="CF31" s="444"/>
      <c r="CG31" s="984"/>
      <c r="CH31" s="444"/>
      <c r="CI31" s="444"/>
      <c r="CJ31" s="444"/>
      <c r="CK31" s="444"/>
      <c r="CL31" s="444"/>
      <c r="CM31" s="984"/>
      <c r="CN31" s="444"/>
      <c r="CO31" s="444"/>
      <c r="CP31" s="444"/>
      <c r="CQ31" s="444"/>
      <c r="CR31" s="444"/>
      <c r="CS31" s="984"/>
      <c r="CT31" s="437"/>
      <c r="CU31" s="444"/>
      <c r="CV31" s="444"/>
      <c r="CW31" s="444"/>
      <c r="CX31" s="444"/>
      <c r="CY31" s="984"/>
      <c r="CZ31" s="444"/>
      <c r="DA31" s="444"/>
      <c r="DB31" s="444"/>
      <c r="DC31" s="444"/>
      <c r="DD31" s="444"/>
      <c r="DE31" s="984"/>
      <c r="DF31" s="444"/>
      <c r="DG31" s="444"/>
      <c r="DH31" s="444"/>
      <c r="DI31" s="444"/>
      <c r="DJ31" s="444"/>
      <c r="DK31" s="984"/>
      <c r="DL31" s="444"/>
      <c r="DM31" s="444"/>
      <c r="DN31" s="444"/>
      <c r="DO31" s="444"/>
      <c r="DP31" s="444"/>
      <c r="DQ31" s="984"/>
      <c r="DR31" s="444"/>
      <c r="DS31" s="444"/>
      <c r="DT31" s="444"/>
      <c r="DU31" s="444"/>
      <c r="DV31" s="444"/>
      <c r="DW31" s="984"/>
      <c r="DX31" s="444"/>
      <c r="DY31" s="444"/>
      <c r="DZ31" s="444"/>
      <c r="EA31" s="444"/>
      <c r="EB31" s="444"/>
      <c r="EC31" s="984"/>
      <c r="ED31" s="444"/>
      <c r="EE31" s="444"/>
      <c r="EF31" s="444"/>
      <c r="EG31" s="444"/>
      <c r="EH31" s="444"/>
      <c r="EI31" s="984"/>
      <c r="EJ31" s="444"/>
      <c r="EK31" s="444"/>
      <c r="EL31" s="444"/>
      <c r="EM31" s="444"/>
      <c r="EN31" s="444"/>
      <c r="EO31" s="984"/>
      <c r="EP31" s="444"/>
      <c r="EQ31" s="444"/>
      <c r="ER31" s="444"/>
      <c r="ES31" s="444"/>
      <c r="ET31" s="444"/>
      <c r="EU31" s="984"/>
      <c r="EV31" s="444"/>
      <c r="EW31" s="444"/>
      <c r="EX31" s="444"/>
      <c r="EY31" s="444"/>
      <c r="EZ31" s="444"/>
      <c r="FA31" s="984"/>
      <c r="FB31" s="444"/>
      <c r="FC31" s="444"/>
      <c r="FD31" s="444"/>
      <c r="FE31" s="444"/>
      <c r="FF31" s="444"/>
      <c r="FG31" s="984"/>
      <c r="FH31" s="444"/>
      <c r="FI31" s="444"/>
      <c r="FJ31" s="444"/>
      <c r="FK31" s="444"/>
      <c r="FL31" s="444"/>
      <c r="FM31" s="984"/>
      <c r="FN31" s="135"/>
      <c r="FO31" s="242"/>
      <c r="FP31" s="135"/>
      <c r="FQ31" s="135"/>
      <c r="FR31"/>
      <c r="FS31"/>
      <c r="FT31"/>
      <c r="FU31"/>
      <c r="FV31"/>
      <c r="FW31"/>
      <c r="FX31" s="135"/>
      <c r="FY31" s="1220"/>
      <c r="FZ31" s="1220"/>
      <c r="GA31" s="1220"/>
      <c r="GB31" s="1220"/>
      <c r="GC31" s="1220"/>
      <c r="GD31" s="1220"/>
      <c r="GE31" s="1220"/>
      <c r="GF31" s="1220"/>
      <c r="GG31" s="1220"/>
      <c r="GH31" s="1220"/>
      <c r="GI31" s="1220"/>
      <c r="GJ31" s="1220"/>
      <c r="GK31" s="1220"/>
      <c r="GL31" s="1220"/>
      <c r="GM31" s="1220"/>
      <c r="GN31" s="1220"/>
      <c r="GO31" s="1220"/>
      <c r="GP31" s="1220"/>
      <c r="GQ31" s="1220"/>
      <c r="GR31" s="1220"/>
      <c r="GS31" s="1220"/>
      <c r="GT31" s="1220"/>
      <c r="GU31" s="1220"/>
      <c r="GV31" s="1220"/>
      <c r="GW31" s="1220"/>
      <c r="GX31" s="1220"/>
      <c r="GY31" s="1220"/>
      <c r="GZ31" s="1220"/>
      <c r="HA31" s="1220"/>
      <c r="HB31" s="1220"/>
      <c r="HC31" s="1220"/>
      <c r="HD31" s="1220"/>
      <c r="HE31" s="1220"/>
      <c r="HF31" s="1220"/>
      <c r="HG31" s="1220"/>
      <c r="HH31" s="1220"/>
      <c r="HI31" s="1220"/>
      <c r="HJ31" s="1220"/>
      <c r="HK31" s="1220"/>
      <c r="HL31" s="1220"/>
      <c r="HM31" s="1220"/>
      <c r="HN31" s="1220"/>
      <c r="HO31" s="1220"/>
      <c r="HP31" s="1220"/>
      <c r="HQ31" s="1220"/>
      <c r="HR31" s="1220"/>
      <c r="HS31" s="1220"/>
      <c r="HT31" s="1220"/>
      <c r="HU31" s="1220"/>
      <c r="HV31" s="1220"/>
      <c r="HW31" s="1220"/>
      <c r="HX31" s="1220"/>
      <c r="HY31" s="1220"/>
      <c r="HZ31" s="1220"/>
      <c r="IA31" s="1220"/>
      <c r="IB31" s="1220"/>
      <c r="IC31" s="1220"/>
      <c r="ID31" s="1220"/>
      <c r="IE31" s="1220"/>
      <c r="IF31" s="1220"/>
      <c r="IG31" s="1220"/>
      <c r="IH31" s="1220"/>
      <c r="II31" s="1220"/>
      <c r="IJ31" s="1220"/>
      <c r="IK31" s="1220"/>
      <c r="IL31" s="1220"/>
      <c r="IM31" s="1220"/>
      <c r="IN31" s="1220"/>
      <c r="IO31" s="1220"/>
      <c r="IP31" s="1220"/>
      <c r="IQ31" s="1220"/>
      <c r="IR31" s="1220"/>
      <c r="IS31" s="1220"/>
      <c r="IT31" s="1220"/>
      <c r="IU31" s="1220"/>
      <c r="IV31" s="1220"/>
      <c r="IW31" s="1220"/>
      <c r="IX31" s="1220"/>
      <c r="IY31" s="1220"/>
      <c r="IZ31" s="1220"/>
      <c r="JA31" s="1220"/>
      <c r="JB31" s="1220"/>
      <c r="JC31" s="1220"/>
      <c r="JD31" s="1220"/>
      <c r="JE31" s="1220"/>
      <c r="JF31" s="1220"/>
      <c r="JG31" s="1220"/>
      <c r="JH31" s="1220"/>
      <c r="JI31" s="1220"/>
      <c r="JJ31" s="1220"/>
      <c r="JK31" s="1220"/>
      <c r="JL31" s="1220"/>
      <c r="JM31" s="1220"/>
      <c r="JN31" s="1220"/>
    </row>
    <row r="32" spans="1:274" s="1523" customFormat="1" ht="10.5" customHeight="1" x14ac:dyDescent="0.2">
      <c r="A32" s="1524" t="s">
        <v>19</v>
      </c>
      <c r="B32" s="1517"/>
      <c r="C32" s="1525" t="s">
        <v>945</v>
      </c>
      <c r="D32" s="1525">
        <v>1.373</v>
      </c>
      <c r="E32" s="1525">
        <v>5.641</v>
      </c>
      <c r="F32" s="1525">
        <v>9.0250000000000004</v>
      </c>
      <c r="G32" s="1525">
        <v>5.3630000000000004</v>
      </c>
      <c r="H32" s="1525">
        <v>33.506</v>
      </c>
      <c r="I32" s="1525">
        <v>89.129000000000005</v>
      </c>
      <c r="J32" s="1525">
        <v>17.991</v>
      </c>
      <c r="K32" s="1525">
        <v>95.935000000000002</v>
      </c>
      <c r="L32" s="1525">
        <v>86.38</v>
      </c>
      <c r="M32" s="1525">
        <v>82.844999999999999</v>
      </c>
      <c r="N32" s="1524"/>
      <c r="O32" s="1524">
        <v>82.686000000000007</v>
      </c>
      <c r="P32" s="1524">
        <v>82.417000000000002</v>
      </c>
      <c r="Q32" s="1524">
        <v>81.888999999999996</v>
      </c>
      <c r="R32" s="1524">
        <v>81.721000000000004</v>
      </c>
      <c r="S32" s="1549">
        <f>R32</f>
        <v>81.721000000000004</v>
      </c>
      <c r="T32" s="1529"/>
      <c r="U32" s="1529">
        <v>81.346999999999994</v>
      </c>
      <c r="V32" s="1529">
        <v>81.242999999999995</v>
      </c>
      <c r="W32" s="1529">
        <v>81.082999999999998</v>
      </c>
      <c r="X32" s="1529">
        <v>0.89700000000000002</v>
      </c>
      <c r="Y32" s="1549">
        <f>X32</f>
        <v>0.89700000000000002</v>
      </c>
      <c r="Z32" s="1529"/>
      <c r="AA32" s="1529">
        <v>0.85299999999999998</v>
      </c>
      <c r="AB32" s="1529">
        <v>0.96399999999999997</v>
      </c>
      <c r="AC32" s="1529">
        <v>300.95</v>
      </c>
      <c r="AD32" s="1529">
        <v>300.83600000000001</v>
      </c>
      <c r="AE32" s="1549">
        <f>AD32</f>
        <v>300.83600000000001</v>
      </c>
      <c r="AF32" s="1529"/>
      <c r="AG32" s="1529">
        <v>300.74200000000002</v>
      </c>
      <c r="AH32" s="1529">
        <v>304.60199999999998</v>
      </c>
      <c r="AI32" s="1529">
        <v>304.5</v>
      </c>
      <c r="AJ32" s="1529">
        <v>304.33699999999999</v>
      </c>
      <c r="AK32" s="1549">
        <f>AJ32</f>
        <v>304.33699999999999</v>
      </c>
      <c r="AL32" s="1529"/>
      <c r="AM32" s="1529">
        <v>304.20400000000001</v>
      </c>
      <c r="AN32" s="1529">
        <v>304.20100000000002</v>
      </c>
      <c r="AO32" s="1529">
        <v>304.13799999999998</v>
      </c>
      <c r="AP32" s="1529">
        <v>304.14</v>
      </c>
      <c r="AQ32" s="1549">
        <f>AP32</f>
        <v>304.14</v>
      </c>
      <c r="AR32" s="1529"/>
      <c r="AS32" s="1529">
        <v>300.80599999999998</v>
      </c>
      <c r="AT32" s="1529">
        <v>300.66199999999998</v>
      </c>
      <c r="AU32" s="1529">
        <v>304.77199999999999</v>
      </c>
      <c r="AV32" s="1529">
        <v>298.77</v>
      </c>
      <c r="AW32" s="1549">
        <f>AV32</f>
        <v>298.77</v>
      </c>
      <c r="AX32" s="1529"/>
      <c r="AY32" s="1529">
        <v>300.73099999999999</v>
      </c>
      <c r="AZ32" s="1529">
        <v>300.80200000000002</v>
      </c>
      <c r="BA32" s="1529">
        <v>300.93099999999998</v>
      </c>
      <c r="BB32" s="1529">
        <v>301</v>
      </c>
      <c r="BC32" s="1549">
        <f>BB32</f>
        <v>301</v>
      </c>
      <c r="BD32" s="1529"/>
      <c r="BE32" s="1529">
        <v>300.87200000000001</v>
      </c>
      <c r="BF32" s="1529">
        <v>300.73099999999999</v>
      </c>
      <c r="BG32" s="1529">
        <v>300.89</v>
      </c>
      <c r="BH32" s="1529">
        <v>298</v>
      </c>
      <c r="BI32" s="1549">
        <f>BH32</f>
        <v>298</v>
      </c>
      <c r="BJ32" s="1529"/>
      <c r="BK32" s="1529">
        <v>311</v>
      </c>
      <c r="BL32" s="1529">
        <v>313</v>
      </c>
      <c r="BM32" s="1529">
        <v>162</v>
      </c>
      <c r="BN32" s="1529">
        <v>175</v>
      </c>
      <c r="BO32" s="1549">
        <f>BN32</f>
        <v>175</v>
      </c>
      <c r="BP32" s="1529"/>
      <c r="BQ32" s="1529">
        <v>168</v>
      </c>
      <c r="BR32" s="1529">
        <v>169</v>
      </c>
      <c r="BS32" s="1529">
        <v>170</v>
      </c>
      <c r="BT32" s="1529">
        <v>163</v>
      </c>
      <c r="BU32" s="1549">
        <f>BT32</f>
        <v>163</v>
      </c>
      <c r="BV32" s="1529"/>
      <c r="BW32" s="1529">
        <v>163</v>
      </c>
      <c r="BX32" s="1529">
        <v>162</v>
      </c>
      <c r="BY32" s="1529">
        <v>159</v>
      </c>
      <c r="BZ32" s="1529">
        <v>159</v>
      </c>
      <c r="CA32" s="1529">
        <f>BZ32</f>
        <v>159</v>
      </c>
      <c r="CB32" s="1529"/>
      <c r="CC32" s="1529">
        <v>157</v>
      </c>
      <c r="CD32" s="1529">
        <v>156</v>
      </c>
      <c r="CE32" s="1529">
        <v>5741</v>
      </c>
      <c r="CF32" s="1529">
        <v>5735</v>
      </c>
      <c r="CG32" s="1536">
        <f>CF32</f>
        <v>5735</v>
      </c>
      <c r="CH32" s="1529"/>
      <c r="CI32" s="1529">
        <v>5737</v>
      </c>
      <c r="CJ32" s="1529">
        <v>5735</v>
      </c>
      <c r="CK32" s="1529">
        <v>5736</v>
      </c>
      <c r="CL32" s="1529">
        <v>6235</v>
      </c>
      <c r="CM32" s="1536">
        <f>CL32</f>
        <v>6235</v>
      </c>
      <c r="CN32" s="1529"/>
      <c r="CO32" s="1529">
        <v>6236</v>
      </c>
      <c r="CP32" s="1529">
        <v>6236</v>
      </c>
      <c r="CQ32" s="1529">
        <v>6237</v>
      </c>
      <c r="CR32" s="1529">
        <v>10235</v>
      </c>
      <c r="CS32" s="1536">
        <f>CR32</f>
        <v>10235</v>
      </c>
      <c r="CT32" s="1537"/>
      <c r="CU32" s="1529">
        <v>10236</v>
      </c>
      <c r="CV32" s="1529">
        <v>10236</v>
      </c>
      <c r="CW32" s="1529">
        <v>10236</v>
      </c>
      <c r="CX32" s="1529">
        <v>9237</v>
      </c>
      <c r="CY32" s="1536">
        <f>CX32</f>
        <v>9237</v>
      </c>
      <c r="CZ32" s="1538"/>
      <c r="DA32" s="1529">
        <v>13723</v>
      </c>
      <c r="DB32" s="1529">
        <v>13751</v>
      </c>
      <c r="DC32" s="1529">
        <v>11498</v>
      </c>
      <c r="DD32" s="1529">
        <v>11510</v>
      </c>
      <c r="DE32" s="1536">
        <f>DD32</f>
        <v>11510</v>
      </c>
      <c r="DF32" s="1538"/>
      <c r="DG32" s="1529">
        <v>14778</v>
      </c>
      <c r="DH32" s="1529">
        <v>14780</v>
      </c>
      <c r="DI32" s="1529">
        <v>14752</v>
      </c>
      <c r="DJ32" s="1529">
        <v>14772</v>
      </c>
      <c r="DK32" s="1536">
        <f>DJ32</f>
        <v>14772</v>
      </c>
      <c r="DL32" s="1538"/>
      <c r="DM32" s="1529">
        <v>14789</v>
      </c>
      <c r="DN32" s="1529">
        <v>14778</v>
      </c>
      <c r="DO32" s="1529">
        <v>14777</v>
      </c>
      <c r="DP32" s="1529">
        <v>13524</v>
      </c>
      <c r="DQ32" s="1536">
        <f>DP32</f>
        <v>13524</v>
      </c>
      <c r="DR32" s="1538"/>
      <c r="DS32" s="1529">
        <v>13521</v>
      </c>
      <c r="DT32" s="1529">
        <v>18507</v>
      </c>
      <c r="DU32" s="1529">
        <v>18502</v>
      </c>
      <c r="DV32" s="1529">
        <v>18494</v>
      </c>
      <c r="DW32" s="1536">
        <f>DV32</f>
        <v>18494</v>
      </c>
      <c r="DX32" s="1538"/>
      <c r="DY32" s="1532">
        <v>22575</v>
      </c>
      <c r="DZ32" s="1532">
        <v>22641</v>
      </c>
      <c r="EA32" s="1532">
        <v>22677</v>
      </c>
      <c r="EB32" s="1532">
        <v>22667</v>
      </c>
      <c r="EC32" s="1536">
        <f>EB32</f>
        <v>22667</v>
      </c>
      <c r="ED32" s="1538"/>
      <c r="EE32" s="1532">
        <v>32567</v>
      </c>
      <c r="EF32" s="1532">
        <v>32456</v>
      </c>
      <c r="EG32" s="1532">
        <v>30258</v>
      </c>
      <c r="EH32" s="1532">
        <v>39959</v>
      </c>
      <c r="EI32" s="1536">
        <f>EH32</f>
        <v>39959</v>
      </c>
      <c r="EJ32" s="1538"/>
      <c r="EK32" s="1532">
        <v>40050</v>
      </c>
      <c r="EL32" s="1532">
        <v>39940</v>
      </c>
      <c r="EM32" s="1532">
        <v>40106</v>
      </c>
      <c r="EN32" s="1532">
        <v>40105</v>
      </c>
      <c r="EO32" s="1536">
        <f>EN32</f>
        <v>40105</v>
      </c>
      <c r="EP32" s="1538"/>
      <c r="EQ32" s="1532">
        <v>53057</v>
      </c>
      <c r="ER32" s="1532">
        <v>50489</v>
      </c>
      <c r="ES32" s="1532">
        <v>50469</v>
      </c>
      <c r="ET32" s="1532">
        <v>48112</v>
      </c>
      <c r="EU32" s="1536">
        <f>ET32</f>
        <v>48112</v>
      </c>
      <c r="EV32" s="1538"/>
      <c r="EW32" s="1532">
        <v>48293</v>
      </c>
      <c r="EX32" s="1532">
        <v>58170</v>
      </c>
      <c r="EY32" s="1532">
        <v>56224</v>
      </c>
      <c r="EZ32" s="1532">
        <f>EZ48-EZ25</f>
        <v>60730</v>
      </c>
      <c r="FA32" s="1536">
        <f>EZ32</f>
        <v>60730</v>
      </c>
      <c r="FB32" s="1538"/>
      <c r="FC32" s="1532">
        <f>FC48-FC25</f>
        <v>58230</v>
      </c>
      <c r="FD32" s="1532">
        <f>FD48-FD25</f>
        <v>58230</v>
      </c>
      <c r="FE32" s="1532">
        <f>FE48-FE25</f>
        <v>58230</v>
      </c>
      <c r="FF32" s="1532">
        <f>FF48-FF25</f>
        <v>56230</v>
      </c>
      <c r="FG32" s="1536">
        <f>FF32</f>
        <v>56230</v>
      </c>
      <c r="FH32" s="1538"/>
      <c r="FI32" s="1532">
        <f>FI48-FI25</f>
        <v>56230</v>
      </c>
      <c r="FJ32" s="1532">
        <f>FJ48-FJ25</f>
        <v>53730</v>
      </c>
      <c r="FK32" s="1532">
        <f>FK48-FK25</f>
        <v>51730</v>
      </c>
      <c r="FL32" s="1532">
        <f>FL48-FL25</f>
        <v>51730</v>
      </c>
      <c r="FM32" s="1536">
        <f>FL32</f>
        <v>51730</v>
      </c>
      <c r="FN32" s="1524"/>
      <c r="FO32" s="1524"/>
      <c r="FP32" s="1524"/>
      <c r="FQ32" s="1524"/>
      <c r="FR32"/>
      <c r="FS32"/>
      <c r="FT32"/>
      <c r="FU32"/>
      <c r="FV32"/>
      <c r="FW32"/>
      <c r="FX32" s="1524"/>
      <c r="FY32" s="1522"/>
      <c r="FZ32" s="1522"/>
      <c r="GA32" s="1522"/>
      <c r="GB32" s="1522"/>
      <c r="GC32" s="1522"/>
      <c r="GD32" s="1522"/>
      <c r="GE32" s="1522"/>
      <c r="GF32" s="1522"/>
      <c r="GG32" s="1522"/>
      <c r="GH32" s="1522"/>
      <c r="GI32" s="1522"/>
      <c r="GJ32" s="1522"/>
      <c r="GK32" s="1522"/>
      <c r="GL32" s="1522"/>
      <c r="GM32" s="1522"/>
      <c r="GN32" s="1522"/>
      <c r="GO32" s="1522"/>
      <c r="GP32" s="1522"/>
      <c r="GQ32" s="1522"/>
      <c r="GR32" s="1522"/>
      <c r="GS32" s="1522"/>
      <c r="GT32" s="1522"/>
      <c r="GU32" s="1522"/>
      <c r="GV32" s="1522"/>
      <c r="GW32" s="1522"/>
      <c r="GX32" s="1522"/>
      <c r="GY32" s="1522"/>
      <c r="GZ32" s="1522"/>
      <c r="HA32" s="1522"/>
      <c r="HB32" s="1522"/>
      <c r="HC32" s="1522"/>
      <c r="HD32" s="1522"/>
      <c r="HE32" s="1522"/>
      <c r="HF32" s="1522"/>
      <c r="HG32" s="1522"/>
      <c r="HH32" s="1522"/>
      <c r="HI32" s="1522"/>
      <c r="HJ32" s="1522"/>
      <c r="HK32" s="1522"/>
      <c r="HL32" s="1522"/>
      <c r="HM32" s="1522"/>
      <c r="HN32" s="1522"/>
      <c r="HO32" s="1522"/>
      <c r="HP32" s="1522"/>
      <c r="HQ32" s="1522"/>
      <c r="HR32" s="1522"/>
      <c r="HS32" s="1522"/>
      <c r="HT32" s="1522"/>
      <c r="HU32" s="1522"/>
      <c r="HV32" s="1522"/>
      <c r="HW32" s="1522"/>
      <c r="HX32" s="1522"/>
      <c r="HY32" s="1522"/>
      <c r="HZ32" s="1522"/>
      <c r="IA32" s="1522"/>
      <c r="IB32" s="1522"/>
      <c r="IC32" s="1522"/>
      <c r="ID32" s="1522"/>
      <c r="IE32" s="1522"/>
      <c r="IF32" s="1522"/>
      <c r="IG32" s="1522"/>
      <c r="IH32" s="1522"/>
      <c r="II32" s="1522"/>
      <c r="IJ32" s="1522"/>
      <c r="IK32" s="1522"/>
      <c r="IL32" s="1522"/>
      <c r="IM32" s="1522"/>
      <c r="IN32" s="1522"/>
      <c r="IO32" s="1522"/>
      <c r="IP32" s="1522"/>
      <c r="IQ32" s="1522"/>
      <c r="IR32" s="1522"/>
      <c r="IS32" s="1522"/>
      <c r="IT32" s="1522"/>
      <c r="IU32" s="1522"/>
      <c r="IV32" s="1522"/>
      <c r="IW32" s="1522"/>
      <c r="IX32" s="1522"/>
      <c r="IY32" s="1522"/>
      <c r="IZ32" s="1522"/>
      <c r="JA32" s="1522"/>
      <c r="JB32" s="1522"/>
      <c r="JC32" s="1522"/>
      <c r="JD32" s="1522"/>
      <c r="JE32" s="1522"/>
      <c r="JF32" s="1522"/>
      <c r="JG32" s="1522"/>
      <c r="JH32" s="1522"/>
      <c r="JI32" s="1522"/>
      <c r="JJ32" s="1522"/>
      <c r="JK32" s="1522"/>
      <c r="JL32" s="1522"/>
      <c r="JM32" s="1522"/>
      <c r="JN32" s="1522"/>
    </row>
    <row r="33" spans="1:274" s="1523" customFormat="1" ht="10.5" customHeight="1" x14ac:dyDescent="0.2">
      <c r="A33" s="1524" t="s">
        <v>20</v>
      </c>
      <c r="B33" s="1517"/>
      <c r="C33" s="1525" t="s">
        <v>945</v>
      </c>
      <c r="D33" s="1525">
        <v>0.34</v>
      </c>
      <c r="E33" s="1525">
        <v>0.84299999999999997</v>
      </c>
      <c r="F33" s="1525">
        <v>3.6859999999999999</v>
      </c>
      <c r="G33" s="1525">
        <v>7.3789999999999996</v>
      </c>
      <c r="H33" s="1525">
        <v>12.114000000000001</v>
      </c>
      <c r="I33" s="1525">
        <v>22.024999999999999</v>
      </c>
      <c r="J33" s="1525">
        <v>6.258</v>
      </c>
      <c r="K33" s="1525">
        <v>10.081</v>
      </c>
      <c r="L33" s="1525">
        <v>10.035</v>
      </c>
      <c r="M33" s="1525">
        <v>12.138999999999999</v>
      </c>
      <c r="N33" s="1524"/>
      <c r="O33" s="1524">
        <v>40.134999999999998</v>
      </c>
      <c r="P33" s="1524">
        <v>31.37</v>
      </c>
      <c r="Q33" s="1524">
        <v>26.475999999999999</v>
      </c>
      <c r="R33" s="1524">
        <v>27.49</v>
      </c>
      <c r="S33" s="1549">
        <f>R33</f>
        <v>27.49</v>
      </c>
      <c r="T33" s="1529"/>
      <c r="U33" s="1529">
        <v>38.313000000000002</v>
      </c>
      <c r="V33" s="1529">
        <v>19.495999999999999</v>
      </c>
      <c r="W33" s="1529">
        <v>8.9960000000000004</v>
      </c>
      <c r="X33" s="1529">
        <v>9.2070000000000007</v>
      </c>
      <c r="Y33" s="1549">
        <f>X33</f>
        <v>9.2070000000000007</v>
      </c>
      <c r="Z33" s="1529"/>
      <c r="AA33" s="1529">
        <v>3.8439999999999999</v>
      </c>
      <c r="AB33" s="1529">
        <v>3.4129999999999998</v>
      </c>
      <c r="AC33" s="1529">
        <v>7.8769999999999998</v>
      </c>
      <c r="AD33" s="1529">
        <v>7.4020000000000001</v>
      </c>
      <c r="AE33" s="1549">
        <f>AD33</f>
        <v>7.4020000000000001</v>
      </c>
      <c r="AF33" s="1529"/>
      <c r="AG33" s="1529">
        <v>7.91</v>
      </c>
      <c r="AH33" s="1529">
        <v>8.1530000000000005</v>
      </c>
      <c r="AI33" s="1529">
        <v>8.3439999999999994</v>
      </c>
      <c r="AJ33" s="1529">
        <v>15.856</v>
      </c>
      <c r="AK33" s="1549">
        <f>AJ33</f>
        <v>15.856</v>
      </c>
      <c r="AL33" s="1529"/>
      <c r="AM33" s="1529">
        <v>15.568</v>
      </c>
      <c r="AN33" s="1529">
        <v>16.349</v>
      </c>
      <c r="AO33" s="1529">
        <v>106.88800000000001</v>
      </c>
      <c r="AP33" s="1529">
        <v>135.887</v>
      </c>
      <c r="AQ33" s="1549">
        <f>AP33</f>
        <v>135.887</v>
      </c>
      <c r="AR33" s="1529"/>
      <c r="AS33" s="1529">
        <v>157.64500000000001</v>
      </c>
      <c r="AT33" s="1529">
        <v>130.61799999999999</v>
      </c>
      <c r="AU33" s="1529">
        <v>178.34700000000001</v>
      </c>
      <c r="AV33" s="1529">
        <v>266.13</v>
      </c>
      <c r="AW33" s="1549">
        <f>AV33</f>
        <v>266.13</v>
      </c>
      <c r="AX33" s="1529"/>
      <c r="AY33" s="1529">
        <v>355.661</v>
      </c>
      <c r="AZ33" s="1529">
        <v>337.62</v>
      </c>
      <c r="BA33" s="1529">
        <v>325.22000000000003</v>
      </c>
      <c r="BB33" s="1529">
        <v>328</v>
      </c>
      <c r="BC33" s="1549">
        <f>BB33</f>
        <v>328</v>
      </c>
      <c r="BD33" s="1529"/>
      <c r="BE33" s="1529">
        <v>403.05700000000002</v>
      </c>
      <c r="BF33" s="1529">
        <v>332.41699999999997</v>
      </c>
      <c r="BG33" s="1529">
        <v>310.173</v>
      </c>
      <c r="BH33" s="1529">
        <v>204</v>
      </c>
      <c r="BI33" s="1549">
        <f>BH33</f>
        <v>204</v>
      </c>
      <c r="BJ33" s="1529"/>
      <c r="BK33" s="1529">
        <v>175</v>
      </c>
      <c r="BL33" s="1529">
        <v>169</v>
      </c>
      <c r="BM33" s="1529">
        <v>175</v>
      </c>
      <c r="BN33" s="1529">
        <v>186</v>
      </c>
      <c r="BO33" s="1549">
        <f>BN33</f>
        <v>186</v>
      </c>
      <c r="BP33" s="1529"/>
      <c r="BQ33" s="1529">
        <v>150</v>
      </c>
      <c r="BR33" s="1529">
        <v>151</v>
      </c>
      <c r="BS33" s="1529">
        <v>151</v>
      </c>
      <c r="BT33" s="1529">
        <v>59</v>
      </c>
      <c r="BU33" s="1549">
        <f>BT33</f>
        <v>59</v>
      </c>
      <c r="BV33" s="1529"/>
      <c r="BW33" s="1529">
        <v>12</v>
      </c>
      <c r="BX33" s="1529">
        <v>17</v>
      </c>
      <c r="BY33" s="1529">
        <v>920</v>
      </c>
      <c r="BZ33" s="1529">
        <v>1010</v>
      </c>
      <c r="CA33" s="1529">
        <f>BZ33</f>
        <v>1010</v>
      </c>
      <c r="CB33" s="1529"/>
      <c r="CC33" s="1529">
        <v>978</v>
      </c>
      <c r="CD33" s="1529">
        <v>950</v>
      </c>
      <c r="CE33" s="1529">
        <v>799</v>
      </c>
      <c r="CF33" s="1529">
        <v>564</v>
      </c>
      <c r="CG33" s="1536">
        <f>CF33</f>
        <v>564</v>
      </c>
      <c r="CH33" s="1529"/>
      <c r="CI33" s="1529">
        <v>573</v>
      </c>
      <c r="CJ33" s="1529">
        <v>561</v>
      </c>
      <c r="CK33" s="1529">
        <v>654</v>
      </c>
      <c r="CL33" s="1529">
        <v>1121</v>
      </c>
      <c r="CM33" s="1536">
        <f>CL33</f>
        <v>1121</v>
      </c>
      <c r="CN33" s="1529"/>
      <c r="CO33" s="1529">
        <f>CL33</f>
        <v>1121</v>
      </c>
      <c r="CP33" s="1529">
        <v>1045</v>
      </c>
      <c r="CQ33" s="1529">
        <v>742</v>
      </c>
      <c r="CR33" s="1529">
        <v>1218</v>
      </c>
      <c r="CS33" s="1536">
        <f>CR33</f>
        <v>1218</v>
      </c>
      <c r="CT33" s="1537"/>
      <c r="CU33" s="1529">
        <v>1214</v>
      </c>
      <c r="CV33" s="1529">
        <v>1062</v>
      </c>
      <c r="CW33" s="1529">
        <v>942</v>
      </c>
      <c r="CX33" s="1529">
        <v>480</v>
      </c>
      <c r="CY33" s="1536">
        <f>CX33</f>
        <v>480</v>
      </c>
      <c r="CZ33" s="1538"/>
      <c r="DA33" s="1529">
        <v>465</v>
      </c>
      <c r="DB33" s="1529">
        <v>351</v>
      </c>
      <c r="DC33" s="1529">
        <v>339</v>
      </c>
      <c r="DD33" s="1529">
        <v>424</v>
      </c>
      <c r="DE33" s="1536">
        <f>DD33</f>
        <v>424</v>
      </c>
      <c r="DF33" s="1538"/>
      <c r="DG33" s="1529">
        <v>349</v>
      </c>
      <c r="DH33" s="1529">
        <v>350</v>
      </c>
      <c r="DI33" s="1529">
        <v>350</v>
      </c>
      <c r="DJ33" s="1529">
        <v>59</v>
      </c>
      <c r="DK33" s="1536">
        <f>DJ33</f>
        <v>59</v>
      </c>
      <c r="DL33" s="1538"/>
      <c r="DM33" s="1529">
        <v>0</v>
      </c>
      <c r="DN33" s="1529">
        <v>0</v>
      </c>
      <c r="DO33" s="1529">
        <f>DN33</f>
        <v>0</v>
      </c>
      <c r="DP33" s="1529">
        <f>DO33</f>
        <v>0</v>
      </c>
      <c r="DQ33" s="1536">
        <f>DP33</f>
        <v>0</v>
      </c>
      <c r="DR33" s="1538"/>
      <c r="DS33" s="1529">
        <v>0</v>
      </c>
      <c r="DT33" s="1529">
        <v>0</v>
      </c>
      <c r="DU33" s="1529">
        <v>0</v>
      </c>
      <c r="DV33" s="1529">
        <v>0</v>
      </c>
      <c r="DW33" s="1536">
        <f>DV33</f>
        <v>0</v>
      </c>
      <c r="DX33" s="1538"/>
      <c r="DY33" s="1532">
        <v>0</v>
      </c>
      <c r="DZ33" s="1532">
        <v>0</v>
      </c>
      <c r="EA33" s="1532">
        <v>0</v>
      </c>
      <c r="EB33" s="1532">
        <v>0</v>
      </c>
      <c r="EC33" s="1536">
        <f>EB33</f>
        <v>0</v>
      </c>
      <c r="ED33" s="1538"/>
      <c r="EE33" s="1532">
        <v>0</v>
      </c>
      <c r="EF33" s="1532">
        <v>0</v>
      </c>
      <c r="EG33" s="1532">
        <v>0</v>
      </c>
      <c r="EH33" s="1532">
        <f>EG33</f>
        <v>0</v>
      </c>
      <c r="EI33" s="1536">
        <f>EH33</f>
        <v>0</v>
      </c>
      <c r="EJ33" s="1538"/>
      <c r="EK33" s="1532">
        <v>0</v>
      </c>
      <c r="EL33" s="1532">
        <v>0</v>
      </c>
      <c r="EM33" s="1532">
        <v>0</v>
      </c>
      <c r="EN33" s="1532">
        <v>0</v>
      </c>
      <c r="EO33" s="1536">
        <f>EN33</f>
        <v>0</v>
      </c>
      <c r="EP33" s="1538"/>
      <c r="EQ33" s="1532">
        <v>0</v>
      </c>
      <c r="ER33" s="1532">
        <v>0</v>
      </c>
      <c r="ES33" s="1532">
        <f>ER33</f>
        <v>0</v>
      </c>
      <c r="ET33" s="1532">
        <v>0</v>
      </c>
      <c r="EU33" s="1536">
        <f>ET33</f>
        <v>0</v>
      </c>
      <c r="EV33" s="1538"/>
      <c r="EW33" s="1532">
        <v>0</v>
      </c>
      <c r="EX33" s="1532">
        <v>0</v>
      </c>
      <c r="EY33" s="1532">
        <f>EX33</f>
        <v>0</v>
      </c>
      <c r="EZ33" s="1532">
        <f>EY33</f>
        <v>0</v>
      </c>
      <c r="FA33" s="1536">
        <f>EZ33</f>
        <v>0</v>
      </c>
      <c r="FB33" s="1538"/>
      <c r="FC33" s="1532">
        <f>EZ33</f>
        <v>0</v>
      </c>
      <c r="FD33" s="1532">
        <f>FC33</f>
        <v>0</v>
      </c>
      <c r="FE33" s="1532">
        <f>FD33</f>
        <v>0</v>
      </c>
      <c r="FF33" s="1532">
        <f>FE33</f>
        <v>0</v>
      </c>
      <c r="FG33" s="1536">
        <f>FF33</f>
        <v>0</v>
      </c>
      <c r="FH33" s="1538"/>
      <c r="FI33" s="1532">
        <f>FF33</f>
        <v>0</v>
      </c>
      <c r="FJ33" s="1532">
        <f>FI33</f>
        <v>0</v>
      </c>
      <c r="FK33" s="1532">
        <f>FJ33</f>
        <v>0</v>
      </c>
      <c r="FL33" s="1532">
        <f>FK33</f>
        <v>0</v>
      </c>
      <c r="FM33" s="1536">
        <f>FL33</f>
        <v>0</v>
      </c>
      <c r="FN33" s="1524"/>
      <c r="FO33" s="1524"/>
      <c r="FP33" s="1524"/>
      <c r="FQ33" s="1524"/>
      <c r="FR33"/>
      <c r="FS33"/>
      <c r="FT33"/>
      <c r="FU33"/>
      <c r="FV33"/>
      <c r="FW33"/>
      <c r="FX33" s="1524"/>
      <c r="FY33" s="1522"/>
      <c r="FZ33" s="1522"/>
      <c r="GA33" s="1522"/>
      <c r="GB33" s="1522"/>
      <c r="GC33" s="1522"/>
      <c r="GD33" s="1522"/>
      <c r="GE33" s="1522"/>
      <c r="GF33" s="1522"/>
      <c r="GG33" s="1522"/>
      <c r="GH33" s="1522"/>
      <c r="GI33" s="1522"/>
      <c r="GJ33" s="1522"/>
      <c r="GK33" s="1522"/>
      <c r="GL33" s="1522"/>
      <c r="GM33" s="1522"/>
      <c r="GN33" s="1522"/>
      <c r="GO33" s="1522"/>
      <c r="GP33" s="1522"/>
      <c r="GQ33" s="1522"/>
      <c r="GR33" s="1522"/>
      <c r="GS33" s="1522"/>
      <c r="GT33" s="1522"/>
      <c r="GU33" s="1522"/>
      <c r="GV33" s="1522"/>
      <c r="GW33" s="1522"/>
      <c r="GX33" s="1522"/>
      <c r="GY33" s="1522"/>
      <c r="GZ33" s="1522"/>
      <c r="HA33" s="1522"/>
      <c r="HB33" s="1522"/>
      <c r="HC33" s="1522"/>
      <c r="HD33" s="1522"/>
      <c r="HE33" s="1522"/>
      <c r="HF33" s="1522"/>
      <c r="HG33" s="1522"/>
      <c r="HH33" s="1522"/>
      <c r="HI33" s="1522"/>
      <c r="HJ33" s="1522"/>
      <c r="HK33" s="1522"/>
      <c r="HL33" s="1522"/>
      <c r="HM33" s="1522"/>
      <c r="HN33" s="1522"/>
      <c r="HO33" s="1522"/>
      <c r="HP33" s="1522"/>
      <c r="HQ33" s="1522"/>
      <c r="HR33" s="1522"/>
      <c r="HS33" s="1522"/>
      <c r="HT33" s="1522"/>
      <c r="HU33" s="1522"/>
      <c r="HV33" s="1522"/>
      <c r="HW33" s="1522"/>
      <c r="HX33" s="1522"/>
      <c r="HY33" s="1522"/>
      <c r="HZ33" s="1522"/>
      <c r="IA33" s="1522"/>
      <c r="IB33" s="1522"/>
      <c r="IC33" s="1522"/>
      <c r="ID33" s="1522"/>
      <c r="IE33" s="1522"/>
      <c r="IF33" s="1522"/>
      <c r="IG33" s="1522"/>
      <c r="IH33" s="1522"/>
      <c r="II33" s="1522"/>
      <c r="IJ33" s="1522"/>
      <c r="IK33" s="1522"/>
      <c r="IL33" s="1522"/>
      <c r="IM33" s="1522"/>
      <c r="IN33" s="1522"/>
      <c r="IO33" s="1522"/>
      <c r="IP33" s="1522"/>
      <c r="IQ33" s="1522"/>
      <c r="IR33" s="1522"/>
      <c r="IS33" s="1522"/>
      <c r="IT33" s="1522"/>
      <c r="IU33" s="1522"/>
      <c r="IV33" s="1522"/>
      <c r="IW33" s="1522"/>
      <c r="IX33" s="1522"/>
      <c r="IY33" s="1522"/>
      <c r="IZ33" s="1522"/>
      <c r="JA33" s="1522"/>
      <c r="JB33" s="1522"/>
      <c r="JC33" s="1522"/>
      <c r="JD33" s="1522"/>
      <c r="JE33" s="1522"/>
      <c r="JF33" s="1522"/>
      <c r="JG33" s="1522"/>
      <c r="JH33" s="1522"/>
      <c r="JI33" s="1522"/>
      <c r="JJ33" s="1522"/>
      <c r="JK33" s="1522"/>
      <c r="JL33" s="1522"/>
      <c r="JM33" s="1522"/>
      <c r="JN33" s="1522"/>
    </row>
    <row r="34" spans="1:274" s="1523" customFormat="1" ht="10.5" customHeight="1" x14ac:dyDescent="0.2">
      <c r="A34" s="1524" t="s">
        <v>565</v>
      </c>
      <c r="B34" s="1517"/>
      <c r="C34" s="1525" t="s">
        <v>945</v>
      </c>
      <c r="D34" s="1525">
        <v>0</v>
      </c>
      <c r="E34" s="1525">
        <v>0</v>
      </c>
      <c r="F34" s="1525">
        <v>0</v>
      </c>
      <c r="G34" s="1525">
        <v>0</v>
      </c>
      <c r="H34" s="1525">
        <v>5.702</v>
      </c>
      <c r="I34" s="1525">
        <v>4.9359999999999999</v>
      </c>
      <c r="J34" s="1525">
        <v>9.3309999999999995</v>
      </c>
      <c r="K34" s="1525">
        <v>8.5239999999999991</v>
      </c>
      <c r="L34" s="1525">
        <v>8.2230000000000008</v>
      </c>
      <c r="M34" s="1525">
        <f>38.916+38.43</f>
        <v>77.346000000000004</v>
      </c>
      <c r="N34" s="1524"/>
      <c r="O34" s="1524">
        <f>8.946+38.43</f>
        <v>47.375999999999998</v>
      </c>
      <c r="P34" s="1524">
        <f>9.081+76.804</f>
        <v>85.885000000000005</v>
      </c>
      <c r="Q34" s="1524">
        <f>8.805+76.804</f>
        <v>85.609000000000009</v>
      </c>
      <c r="R34" s="1524">
        <f>10.361+38.438</f>
        <v>48.799000000000007</v>
      </c>
      <c r="S34" s="1549">
        <f>R34</f>
        <v>48.799000000000007</v>
      </c>
      <c r="T34" s="1529"/>
      <c r="U34" s="1529">
        <f>10.335+38.438</f>
        <v>48.773000000000003</v>
      </c>
      <c r="V34" s="1529">
        <v>11.436999999999999</v>
      </c>
      <c r="W34" s="1529">
        <v>11.802</v>
      </c>
      <c r="X34" s="1529">
        <v>21.725999999999999</v>
      </c>
      <c r="Y34" s="1549">
        <f>X34</f>
        <v>21.725999999999999</v>
      </c>
      <c r="Z34" s="1529"/>
      <c r="AA34" s="1529">
        <v>22.012</v>
      </c>
      <c r="AB34" s="1529">
        <v>22.811</v>
      </c>
      <c r="AC34" s="1529">
        <v>24.027999999999999</v>
      </c>
      <c r="AD34" s="1529">
        <v>25.116</v>
      </c>
      <c r="AE34" s="1549">
        <f>AD34</f>
        <v>25.116</v>
      </c>
      <c r="AF34" s="1529"/>
      <c r="AG34" s="1529">
        <v>29.649000000000001</v>
      </c>
      <c r="AH34" s="1529">
        <v>57.298000000000002</v>
      </c>
      <c r="AI34" s="1529">
        <v>56.438000000000002</v>
      </c>
      <c r="AJ34" s="1529">
        <v>57</v>
      </c>
      <c r="AK34" s="1549">
        <f>AJ34</f>
        <v>57</v>
      </c>
      <c r="AL34" s="1529"/>
      <c r="AM34" s="1529">
        <v>55.726999999999997</v>
      </c>
      <c r="AN34" s="1529">
        <v>58.265000000000001</v>
      </c>
      <c r="AO34" s="1529">
        <v>71.84</v>
      </c>
      <c r="AP34" s="1529">
        <v>77.936999999999998</v>
      </c>
      <c r="AQ34" s="1549">
        <f>AP34</f>
        <v>77.936999999999998</v>
      </c>
      <c r="AR34" s="1529"/>
      <c r="AS34" s="1529">
        <v>71.150999999999996</v>
      </c>
      <c r="AT34" s="1529">
        <v>73.671000000000006</v>
      </c>
      <c r="AU34" s="1529">
        <v>72.599000000000004</v>
      </c>
      <c r="AV34" s="1529">
        <v>188.178</v>
      </c>
      <c r="AW34" s="1549">
        <f>AV34</f>
        <v>188.178</v>
      </c>
      <c r="AX34" s="1529"/>
      <c r="AY34" s="1529">
        <v>178.12799999999999</v>
      </c>
      <c r="AZ34" s="1529">
        <v>191.25700000000001</v>
      </c>
      <c r="BA34" s="1529">
        <v>194.857</v>
      </c>
      <c r="BB34" s="1529">
        <v>207</v>
      </c>
      <c r="BC34" s="1549">
        <f>BB34</f>
        <v>207</v>
      </c>
      <c r="BD34" s="1529"/>
      <c r="BE34" s="1529">
        <v>195.96799999999999</v>
      </c>
      <c r="BF34" s="1529">
        <v>214.48</v>
      </c>
      <c r="BG34" s="1529">
        <v>209.53800000000001</v>
      </c>
      <c r="BH34" s="1529">
        <v>221</v>
      </c>
      <c r="BI34" s="1549">
        <f>BH34</f>
        <v>221</v>
      </c>
      <c r="BJ34" s="1529"/>
      <c r="BK34" s="1529">
        <v>209</v>
      </c>
      <c r="BL34" s="1529">
        <v>213</v>
      </c>
      <c r="BM34" s="1529">
        <v>208</v>
      </c>
      <c r="BN34" s="1529">
        <v>225</v>
      </c>
      <c r="BO34" s="1549">
        <f>BN34</f>
        <v>225</v>
      </c>
      <c r="BP34" s="1529"/>
      <c r="BQ34" s="1529">
        <v>209</v>
      </c>
      <c r="BR34" s="1529">
        <v>260</v>
      </c>
      <c r="BS34" s="1529">
        <v>248</v>
      </c>
      <c r="BT34" s="1529">
        <v>274</v>
      </c>
      <c r="BU34" s="1529">
        <f>BT34</f>
        <v>274</v>
      </c>
      <c r="BV34" s="1529"/>
      <c r="BW34" s="1529">
        <v>250.2056</v>
      </c>
      <c r="BX34" s="1529">
        <v>375</v>
      </c>
      <c r="BY34" s="1529">
        <f>107+101+373</f>
        <v>581</v>
      </c>
      <c r="BZ34" s="1529">
        <f>120+126+372</f>
        <v>618</v>
      </c>
      <c r="CA34" s="1529">
        <f>BZ34</f>
        <v>618</v>
      </c>
      <c r="CB34" s="1529"/>
      <c r="CC34" s="1529">
        <f>107+108+368</f>
        <v>583</v>
      </c>
      <c r="CD34" s="1529">
        <f>91+89+382</f>
        <v>562</v>
      </c>
      <c r="CE34" s="1529">
        <f>521+111+383</f>
        <v>1015</v>
      </c>
      <c r="CF34" s="1529">
        <f>273+114+401</f>
        <v>788</v>
      </c>
      <c r="CG34" s="1536">
        <f>CF34</f>
        <v>788</v>
      </c>
      <c r="CH34" s="1529"/>
      <c r="CI34" s="1529">
        <f>277+114+323+227</f>
        <v>941</v>
      </c>
      <c r="CJ34" s="1529">
        <f>252+115+415+239</f>
        <v>1021</v>
      </c>
      <c r="CK34" s="1529">
        <f>249+87+266+256</f>
        <v>858</v>
      </c>
      <c r="CL34" s="1529">
        <f>258+93+316+243</f>
        <v>910</v>
      </c>
      <c r="CM34" s="1536">
        <f>CL34</f>
        <v>910</v>
      </c>
      <c r="CN34" s="1529"/>
      <c r="CO34" s="1529">
        <f>1291+308+256+270</f>
        <v>2125</v>
      </c>
      <c r="CP34" s="1529">
        <f>1382+243+263+338+302</f>
        <v>2528</v>
      </c>
      <c r="CQ34" s="1529">
        <f>1522+229+257+341+343</f>
        <v>2692</v>
      </c>
      <c r="CR34" s="1529">
        <f>1566+260+262+673</f>
        <v>2761</v>
      </c>
      <c r="CS34" s="1536">
        <f>CR34</f>
        <v>2761</v>
      </c>
      <c r="CT34" s="1537"/>
      <c r="CU34" s="1529">
        <f>1638+1102</f>
        <v>2740</v>
      </c>
      <c r="CV34" s="1529">
        <f>1680+1040</f>
        <v>2720</v>
      </c>
      <c r="CW34" s="1529">
        <f>1802+920</f>
        <v>2722</v>
      </c>
      <c r="CX34" s="1529">
        <f>2423+1037</f>
        <v>3460</v>
      </c>
      <c r="CY34" s="1536">
        <f>CX34</f>
        <v>3460</v>
      </c>
      <c r="CZ34" s="1538"/>
      <c r="DA34" s="1529">
        <f>2485+678</f>
        <v>3163</v>
      </c>
      <c r="DB34" s="1529">
        <f>2592+690</f>
        <v>3282</v>
      </c>
      <c r="DC34" s="1529">
        <f>1172+3275</f>
        <v>4447</v>
      </c>
      <c r="DD34" s="1529">
        <f>2695+1059</f>
        <v>3754</v>
      </c>
      <c r="DE34" s="1536">
        <f>DD34</f>
        <v>3754</v>
      </c>
      <c r="DF34" s="1538"/>
      <c r="DG34" s="1529">
        <f>2679+1137</f>
        <v>3816</v>
      </c>
      <c r="DH34" s="1529">
        <f>2791+1136</f>
        <v>3927</v>
      </c>
      <c r="DI34" s="1529">
        <f>3078+1145</f>
        <v>4223</v>
      </c>
      <c r="DJ34" s="1529">
        <f>3169+1098</f>
        <v>4267</v>
      </c>
      <c r="DK34" s="1536">
        <f>DJ34</f>
        <v>4267</v>
      </c>
      <c r="DL34" s="1538"/>
      <c r="DM34" s="1529">
        <f>3281+1494</f>
        <v>4775</v>
      </c>
      <c r="DN34" s="1529">
        <f>3383+1410</f>
        <v>4793</v>
      </c>
      <c r="DO34" s="1529">
        <f>3216+1470</f>
        <v>4686</v>
      </c>
      <c r="DP34" s="1529">
        <f>3759+1569</f>
        <v>5328</v>
      </c>
      <c r="DQ34" s="1536">
        <f>DP34</f>
        <v>5328</v>
      </c>
      <c r="DR34" s="1538"/>
      <c r="DS34" s="1529">
        <f>3732+1614</f>
        <v>5346</v>
      </c>
      <c r="DT34" s="1529">
        <f>3906+1487</f>
        <v>5393</v>
      </c>
      <c r="DU34" s="1529">
        <f>3775+1467</f>
        <v>5242</v>
      </c>
      <c r="DV34" s="1529">
        <f>3899+1402</f>
        <v>5301</v>
      </c>
      <c r="DW34" s="1536">
        <f>DV34</f>
        <v>5301</v>
      </c>
      <c r="DX34" s="1538"/>
      <c r="DY34" s="1529">
        <f>3860+1459</f>
        <v>5319</v>
      </c>
      <c r="DZ34" s="1529">
        <f>3950+1471</f>
        <v>5421</v>
      </c>
      <c r="EA34" s="1529">
        <f>4055+1503</f>
        <v>5558</v>
      </c>
      <c r="EB34" s="1529">
        <f>4184+1657</f>
        <v>5841</v>
      </c>
      <c r="EC34" s="1536">
        <f>EB34</f>
        <v>5841</v>
      </c>
      <c r="ED34" s="1538"/>
      <c r="EE34" s="1529">
        <f>4148+1703</f>
        <v>5851</v>
      </c>
      <c r="EF34" s="1529">
        <f>4231+1671</f>
        <v>5902</v>
      </c>
      <c r="EG34" s="1529">
        <f>4297+1937</f>
        <v>6234</v>
      </c>
      <c r="EH34" s="1529">
        <f>4386+2169</f>
        <v>6555</v>
      </c>
      <c r="EI34" s="1536">
        <f>EH34</f>
        <v>6555</v>
      </c>
      <c r="EJ34" s="1538"/>
      <c r="EK34" s="1529">
        <f>4408+2319</f>
        <v>6727</v>
      </c>
      <c r="EL34" s="1529">
        <f>4273+2184</f>
        <v>6457</v>
      </c>
      <c r="EM34" s="1529">
        <f>4418+2209</f>
        <v>6627</v>
      </c>
      <c r="EN34" s="1529">
        <f>4908+2169</f>
        <v>7077</v>
      </c>
      <c r="EO34" s="1536">
        <f>EN34</f>
        <v>7077</v>
      </c>
      <c r="EP34" s="1538"/>
      <c r="EQ34" s="1529">
        <f>5031+2161</f>
        <v>7192</v>
      </c>
      <c r="ER34" s="1529">
        <f>5099+2820</f>
        <v>7919</v>
      </c>
      <c r="ES34" s="1529">
        <f>5162+2938</f>
        <v>8100</v>
      </c>
      <c r="ET34" s="1529">
        <f>5681+2774</f>
        <v>8455</v>
      </c>
      <c r="EU34" s="1536">
        <f>ET34</f>
        <v>8455</v>
      </c>
      <c r="EV34" s="1538"/>
      <c r="EW34" s="1529">
        <f>5891+2821</f>
        <v>8712</v>
      </c>
      <c r="EX34" s="1529">
        <f>6082+2716</f>
        <v>8798</v>
      </c>
      <c r="EY34" s="1529">
        <f>13296+2441</f>
        <v>15737</v>
      </c>
      <c r="EZ34" s="1529">
        <f>EZ119*Model!EZ366</f>
        <v>15545.48911008353</v>
      </c>
      <c r="FA34" s="1536">
        <f>EZ34</f>
        <v>15545.48911008353</v>
      </c>
      <c r="FB34" s="1538"/>
      <c r="FC34" s="1529">
        <f>FC119*Model!FC366</f>
        <v>15500.936116556322</v>
      </c>
      <c r="FD34" s="1529">
        <f>FD119*Model!FD366</f>
        <v>15472.903140083774</v>
      </c>
      <c r="FE34" s="1529">
        <f>FE119*Model!FE366</f>
        <v>15449.616779841128</v>
      </c>
      <c r="FF34" s="1529">
        <f>FF119*Model!FF366</f>
        <v>15396.767719398218</v>
      </c>
      <c r="FG34" s="1536">
        <f>FF34</f>
        <v>15396.767719398218</v>
      </c>
      <c r="FH34" s="1538"/>
      <c r="FI34" s="1529">
        <f>FI119*Model!FI366</f>
        <v>15338.611505946821</v>
      </c>
      <c r="FJ34" s="1529">
        <f>FJ119*Model!FJ366</f>
        <v>15305.797420056853</v>
      </c>
      <c r="FK34" s="1529">
        <f>FK119*Model!FK366</f>
        <v>15296.856673657396</v>
      </c>
      <c r="FL34" s="1529">
        <f>FL119*Model!FL366</f>
        <v>15303.798602017778</v>
      </c>
      <c r="FM34" s="1536">
        <f>FL34</f>
        <v>15303.798602017778</v>
      </c>
      <c r="FN34" s="1524"/>
      <c r="FO34" s="1524"/>
      <c r="FP34" s="1524"/>
      <c r="FQ34" s="1524"/>
      <c r="FR34"/>
      <c r="FS34"/>
      <c r="FT34"/>
      <c r="FU34"/>
      <c r="FV34"/>
      <c r="FW34"/>
      <c r="FX34" s="1524"/>
      <c r="FY34" s="1522"/>
      <c r="FZ34" s="1522"/>
      <c r="GA34" s="1522"/>
      <c r="GB34" s="1522"/>
      <c r="GC34" s="1522"/>
      <c r="GD34" s="1522"/>
      <c r="GE34" s="1522"/>
      <c r="GF34" s="1522"/>
      <c r="GG34" s="1522"/>
      <c r="GH34" s="1522"/>
      <c r="GI34" s="1522"/>
      <c r="GJ34" s="1522"/>
      <c r="GK34" s="1522"/>
      <c r="GL34" s="1522"/>
      <c r="GM34" s="1522"/>
      <c r="GN34" s="1522"/>
      <c r="GO34" s="1522"/>
      <c r="GP34" s="1522"/>
      <c r="GQ34" s="1522"/>
      <c r="GR34" s="1522"/>
      <c r="GS34" s="1522"/>
      <c r="GT34" s="1522"/>
      <c r="GU34" s="1522"/>
      <c r="GV34" s="1522"/>
      <c r="GW34" s="1522"/>
      <c r="GX34" s="1522"/>
      <c r="GY34" s="1522"/>
      <c r="GZ34" s="1522"/>
      <c r="HA34" s="1522"/>
      <c r="HB34" s="1522"/>
      <c r="HC34" s="1522"/>
      <c r="HD34" s="1522"/>
      <c r="HE34" s="1522"/>
      <c r="HF34" s="1522"/>
      <c r="HG34" s="1522"/>
      <c r="HH34" s="1522"/>
      <c r="HI34" s="1522"/>
      <c r="HJ34" s="1522"/>
      <c r="HK34" s="1522"/>
      <c r="HL34" s="1522"/>
      <c r="HM34" s="1522"/>
      <c r="HN34" s="1522"/>
      <c r="HO34" s="1522"/>
      <c r="HP34" s="1522"/>
      <c r="HQ34" s="1522"/>
      <c r="HR34" s="1522"/>
      <c r="HS34" s="1522"/>
      <c r="HT34" s="1522"/>
      <c r="HU34" s="1522"/>
      <c r="HV34" s="1522"/>
      <c r="HW34" s="1522"/>
      <c r="HX34" s="1522"/>
      <c r="HY34" s="1522"/>
      <c r="HZ34" s="1522"/>
      <c r="IA34" s="1522"/>
      <c r="IB34" s="1522"/>
      <c r="IC34" s="1522"/>
      <c r="ID34" s="1522"/>
      <c r="IE34" s="1522"/>
      <c r="IF34" s="1522"/>
      <c r="IG34" s="1522"/>
      <c r="IH34" s="1522"/>
      <c r="II34" s="1522"/>
      <c r="IJ34" s="1522"/>
      <c r="IK34" s="1522"/>
      <c r="IL34" s="1522"/>
      <c r="IM34" s="1522"/>
      <c r="IN34" s="1522"/>
      <c r="IO34" s="1522"/>
      <c r="IP34" s="1522"/>
      <c r="IQ34" s="1522"/>
      <c r="IR34" s="1522"/>
      <c r="IS34" s="1522"/>
      <c r="IT34" s="1522"/>
      <c r="IU34" s="1522"/>
      <c r="IV34" s="1522"/>
      <c r="IW34" s="1522"/>
      <c r="IX34" s="1522"/>
      <c r="IY34" s="1522"/>
      <c r="IZ34" s="1522"/>
      <c r="JA34" s="1522"/>
      <c r="JB34" s="1522"/>
      <c r="JC34" s="1522"/>
      <c r="JD34" s="1522"/>
      <c r="JE34" s="1522"/>
      <c r="JF34" s="1522"/>
      <c r="JG34" s="1522"/>
      <c r="JH34" s="1522"/>
      <c r="JI34" s="1522"/>
      <c r="JJ34" s="1522"/>
      <c r="JK34" s="1522"/>
      <c r="JL34" s="1522"/>
      <c r="JM34" s="1522"/>
      <c r="JN34" s="1522"/>
    </row>
    <row r="35" spans="1:274" s="1364" customFormat="1" ht="10.5" customHeight="1" x14ac:dyDescent="0.2">
      <c r="A35" s="1502" t="s">
        <v>566</v>
      </c>
      <c r="B35" s="1225"/>
      <c r="C35" s="1382">
        <f>SUM(C30,C32:C34)</f>
        <v>0</v>
      </c>
      <c r="D35" s="1382">
        <f t="shared" ref="D35:M35" si="61">SUM(D30,D32:D34)</f>
        <v>8.0960000000000001</v>
      </c>
      <c r="E35" s="1382">
        <f t="shared" si="61"/>
        <v>28.776999999999997</v>
      </c>
      <c r="F35" s="1382">
        <f t="shared" si="61"/>
        <v>61.135999999999996</v>
      </c>
      <c r="G35" s="1382">
        <f t="shared" si="61"/>
        <v>114.925</v>
      </c>
      <c r="H35" s="1382">
        <f t="shared" si="61"/>
        <v>229.655</v>
      </c>
      <c r="I35" s="1382">
        <f t="shared" si="61"/>
        <v>399.66199999999998</v>
      </c>
      <c r="J35" s="1382">
        <f t="shared" si="61"/>
        <v>512.95499999999993</v>
      </c>
      <c r="K35" s="1382">
        <f t="shared" si="61"/>
        <v>520.53800000000001</v>
      </c>
      <c r="L35" s="1382">
        <f t="shared" si="61"/>
        <v>655.98099999999999</v>
      </c>
      <c r="M35" s="1382">
        <f t="shared" si="61"/>
        <v>854.43100000000004</v>
      </c>
      <c r="N35" s="1503"/>
      <c r="O35" s="1382">
        <f>SUM(O30,O32:O34)</f>
        <v>842.303</v>
      </c>
      <c r="P35" s="1382">
        <f>SUM(P30,P32:P34)</f>
        <v>921.69200000000001</v>
      </c>
      <c r="Q35" s="1382">
        <f>SUM(Q30,Q32:Q34)</f>
        <v>967.39</v>
      </c>
      <c r="R35" s="1382">
        <f>SUM(R30,R32:R34)</f>
        <v>1213.1589999999999</v>
      </c>
      <c r="S35" s="1504">
        <f>R35</f>
        <v>1213.1589999999999</v>
      </c>
      <c r="T35" s="1504"/>
      <c r="U35" s="1505">
        <f>SUM(U30,U32:U34)</f>
        <v>1043.5059999999999</v>
      </c>
      <c r="V35" s="1505">
        <f>SUM(V30,V32:V34)</f>
        <v>1068.597</v>
      </c>
      <c r="W35" s="1505">
        <f>SUM(W30,W32:W34)</f>
        <v>1171.8790000000001</v>
      </c>
      <c r="X35" s="1505">
        <f>SUM(X30,X32:X34)</f>
        <v>1486.7939999999999</v>
      </c>
      <c r="Y35" s="1504">
        <f>X35</f>
        <v>1486.7939999999999</v>
      </c>
      <c r="Z35" s="1504"/>
      <c r="AA35" s="1505">
        <f>SUM(AA30,AA32:AA34)</f>
        <v>1334.7240000000002</v>
      </c>
      <c r="AB35" s="1505">
        <f>SUM(AB30,AB32:AB34)</f>
        <v>1324.9590000000001</v>
      </c>
      <c r="AC35" s="1505">
        <f>SUM(AC30,AC32:AC34)</f>
        <v>1672.5170000000001</v>
      </c>
      <c r="AD35" s="1505">
        <f>SUM(AD30,AD32:AD34)</f>
        <v>2255.4930000000004</v>
      </c>
      <c r="AE35" s="1504">
        <f>AD35</f>
        <v>2255.4930000000004</v>
      </c>
      <c r="AF35" s="1504"/>
      <c r="AG35" s="1505">
        <f>SUM(AG30,AG32:AG34)</f>
        <v>2151.7730000000001</v>
      </c>
      <c r="AH35" s="1505">
        <f>SUM(AH30,AH32:AH34)</f>
        <v>2094.1419999999998</v>
      </c>
      <c r="AI35" s="1505">
        <f>SUM(AI30,AI32:AI34)</f>
        <v>2172.7220000000002</v>
      </c>
      <c r="AJ35" s="1505">
        <f>SUM(AJ30,AJ32:AJ34)</f>
        <v>2861.3580000000002</v>
      </c>
      <c r="AK35" s="1504">
        <f>AJ35</f>
        <v>2861.3580000000002</v>
      </c>
      <c r="AL35" s="1504"/>
      <c r="AM35" s="1505">
        <f>SUM(AM30,AM32:AM34)</f>
        <v>2610.2640000000001</v>
      </c>
      <c r="AN35" s="1505">
        <f>SUM(AN30,AN32:AN34)</f>
        <v>2631.2809999999999</v>
      </c>
      <c r="AO35" s="1505">
        <f>SUM(AO30,AO32:AO34)</f>
        <v>2760.6790000000001</v>
      </c>
      <c r="AP35" s="1505">
        <f>SUM(AP30,AP32:AP34)</f>
        <v>3564.3869999999997</v>
      </c>
      <c r="AQ35" s="1504">
        <f>AP35</f>
        <v>3564.3869999999997</v>
      </c>
      <c r="AR35" s="1504"/>
      <c r="AS35" s="1505">
        <f>SUM(AS30,AS32:AS34)</f>
        <v>3078.924</v>
      </c>
      <c r="AT35" s="1505">
        <f>SUM(AT30,AT32:AT34)</f>
        <v>2975.6729999999998</v>
      </c>
      <c r="AU35" s="1505">
        <f>SUM(AU30,AU32:AU34)</f>
        <v>3365.0790000000002</v>
      </c>
      <c r="AV35" s="1505">
        <f>SUM(AV30,AV32:AV34)</f>
        <v>6615.3159999999998</v>
      </c>
      <c r="AW35" s="1504">
        <f>AV35</f>
        <v>6615.3159999999998</v>
      </c>
      <c r="AX35" s="1504"/>
      <c r="AY35" s="1505">
        <f>SUM(AY30,AY32:AY34)</f>
        <v>4141.6289999999999</v>
      </c>
      <c r="AZ35" s="1505">
        <f>SUM(AZ30,AZ32:AZ34)</f>
        <v>3997.3040000000001</v>
      </c>
      <c r="BA35" s="1505">
        <f>SUM(BA30,BA32:BA34)</f>
        <v>4126.6680000000006</v>
      </c>
      <c r="BB35" s="1505">
        <f>SUM(BB30,BB32:BB34)</f>
        <v>4753</v>
      </c>
      <c r="BC35" s="1504">
        <f>BB35</f>
        <v>4753</v>
      </c>
      <c r="BD35" s="1504"/>
      <c r="BE35" s="1505">
        <f>SUM(BE30,BE32:BE34)</f>
        <v>4966.6170000000002</v>
      </c>
      <c r="BF35" s="1505">
        <f>SUM(BF30,BF32:BF34)</f>
        <v>4580.3279999999995</v>
      </c>
      <c r="BG35" s="1505">
        <f>SUM(BG30,BG32:BG34)</f>
        <v>4385.2209999999995</v>
      </c>
      <c r="BH35" s="1505">
        <f>SUM(BH30,BH32:BH34)</f>
        <v>4683</v>
      </c>
      <c r="BI35" s="1504">
        <f>BH35</f>
        <v>4683</v>
      </c>
      <c r="BJ35" s="1504"/>
      <c r="BK35" s="1505">
        <f>SUM(BK30,BK32:BK34)</f>
        <v>4677</v>
      </c>
      <c r="BL35" s="1505">
        <f>SUM(BL30,BL32:BL34)</f>
        <v>4454</v>
      </c>
      <c r="BM35" s="1505">
        <f>SUM(BM30,BM32:BM34)</f>
        <v>4364</v>
      </c>
      <c r="BN35" s="1505">
        <f>SUM(BN30,BN32:BN34)</f>
        <v>4744</v>
      </c>
      <c r="BO35" s="1504">
        <f>BN35</f>
        <v>4744</v>
      </c>
      <c r="BP35" s="1504"/>
      <c r="BQ35" s="1505">
        <f>SUM(BQ30,BQ32:BQ34)</f>
        <v>4713</v>
      </c>
      <c r="BR35" s="1505">
        <f>SUM(BR30,BR32:BR34)</f>
        <v>4578</v>
      </c>
      <c r="BS35" s="1505">
        <f>SUM(BS30,BS32:BS34)</f>
        <v>4309</v>
      </c>
      <c r="BT35" s="1505">
        <f>SUM(BT30,BT32:BT34)</f>
        <v>4768</v>
      </c>
      <c r="BU35" s="1504">
        <f>BT35</f>
        <v>4768</v>
      </c>
      <c r="BV35" s="1504"/>
      <c r="BW35" s="1505">
        <f>SUM(BW30,BW32:BW34)</f>
        <v>4672.2056000000002</v>
      </c>
      <c r="BX35" s="1505">
        <f>SUM(BX30,BX32:BX34)</f>
        <v>4538</v>
      </c>
      <c r="BY35" s="1505">
        <f>SUM(BY30,BY32:BY34)</f>
        <v>13897</v>
      </c>
      <c r="BZ35" s="1505">
        <f>SUM(BZ30,BZ32:BZ34)</f>
        <v>9850</v>
      </c>
      <c r="CA35" s="1504">
        <f>BZ35</f>
        <v>9850</v>
      </c>
      <c r="CB35" s="1504"/>
      <c r="CC35" s="1505">
        <f>SUM(CC30,CC32:CC34)</f>
        <v>8265</v>
      </c>
      <c r="CD35" s="1505">
        <f>SUM(CD30,CD32:CD34)</f>
        <v>7231</v>
      </c>
      <c r="CE35" s="1505">
        <f>SUM(CE30,CE32:CE34)</f>
        <v>13421</v>
      </c>
      <c r="CF35" s="1505">
        <f>SUM(CF30,CF32:CF34)</f>
        <v>14017</v>
      </c>
      <c r="CG35" s="1507">
        <f>CF35</f>
        <v>14017</v>
      </c>
      <c r="CH35" s="1504"/>
      <c r="CI35" s="1505">
        <f>SUM(CI30,CI32:CI34)</f>
        <v>13949</v>
      </c>
      <c r="CJ35" s="1505">
        <f>SUM(CJ30,CJ32:CJ34)</f>
        <v>13413</v>
      </c>
      <c r="CK35" s="1505">
        <f>SUM(CK30,CK32:CK34)</f>
        <v>13578</v>
      </c>
      <c r="CL35" s="1505">
        <f>SUM(CL30,CL32:CL34)</f>
        <v>17653</v>
      </c>
      <c r="CM35" s="1507">
        <f>CL35</f>
        <v>17653</v>
      </c>
      <c r="CN35" s="1504"/>
      <c r="CO35" s="1505">
        <f>SUM(CO30,CO32:CO34)</f>
        <v>16530</v>
      </c>
      <c r="CP35" s="1505">
        <f>SUM(CP30,CP32:CP34)</f>
        <v>16358</v>
      </c>
      <c r="CQ35" s="1505">
        <f>SUM(CQ30,CQ32:CQ34)</f>
        <v>16501</v>
      </c>
      <c r="CR35" s="1505">
        <f>SUM(CR30,CR32:CR34)</f>
        <v>24243</v>
      </c>
      <c r="CS35" s="1507">
        <f>CR35</f>
        <v>24243</v>
      </c>
      <c r="CT35" s="1379"/>
      <c r="CU35" s="1505">
        <f>SUM(CU30,CU32:CU34)</f>
        <v>23437</v>
      </c>
      <c r="CV35" s="1505">
        <f>SUM(CV30,CV32:CV34)</f>
        <v>21981</v>
      </c>
      <c r="CW35" s="1505">
        <f>SUM(CW30,CW32:CW34)</f>
        <v>21872</v>
      </c>
      <c r="CX35" s="1505">
        <f>SUM(CX30,CX32:CX34)</f>
        <v>22326</v>
      </c>
      <c r="CY35" s="1507">
        <f>CX35</f>
        <v>22326</v>
      </c>
      <c r="CZ35" s="1508"/>
      <c r="DA35" s="1505">
        <f>SUM(DA30,DA32:DA34)</f>
        <v>26511</v>
      </c>
      <c r="DB35" s="1505">
        <f>SUM(DB30,DB32:DB34)</f>
        <v>25918</v>
      </c>
      <c r="DC35" s="1505">
        <f>SUM(DC30,DC32:DC34)</f>
        <v>30535</v>
      </c>
      <c r="DD35" s="1505">
        <f>SUM(DD30,DD32:DD34)</f>
        <v>30379</v>
      </c>
      <c r="DE35" s="1507">
        <f>DD35</f>
        <v>30379</v>
      </c>
      <c r="DF35" s="1508"/>
      <c r="DG35" s="1505">
        <f>SUM(DG30,DG32:DG34)</f>
        <v>32743</v>
      </c>
      <c r="DH35" s="1505">
        <f>SUM(DH30,DH32:DH34)</f>
        <v>32393</v>
      </c>
      <c r="DI35" s="1505">
        <f>SUM(DI30,DI32:DI34)</f>
        <v>30607</v>
      </c>
      <c r="DJ35" s="1505">
        <f>SUM(DJ30,DJ32:DJ34)</f>
        <v>33290</v>
      </c>
      <c r="DK35" s="1507">
        <f>DJ35</f>
        <v>33290</v>
      </c>
      <c r="DL35" s="1508"/>
      <c r="DM35" s="1505">
        <f>SUM(DM30,DM32:DM34)</f>
        <v>32620</v>
      </c>
      <c r="DN35" s="1505">
        <f>SUM(DN30,DN32:DN34)</f>
        <v>30643</v>
      </c>
      <c r="DO35" s="1505">
        <f>SUM(DO30,DO32:DO34)</f>
        <v>31095</v>
      </c>
      <c r="DP35" s="1505">
        <f>SUM(DP30,DP32:DP34)</f>
        <v>34240</v>
      </c>
      <c r="DQ35" s="1507">
        <f>DP35</f>
        <v>34240</v>
      </c>
      <c r="DR35" s="1508"/>
      <c r="DS35" s="1505">
        <f>SUM(DS30,DS32:DS34)</f>
        <v>32822</v>
      </c>
      <c r="DT35" s="1505">
        <f>SUM(DT30,DT32:DT34)</f>
        <v>36247</v>
      </c>
      <c r="DU35" s="1505">
        <f>SUM(DU30,DU32:DU34)</f>
        <v>35660</v>
      </c>
      <c r="DV35" s="1505">
        <f>SUM(DV30,DV32:DV34)</f>
        <v>36667</v>
      </c>
      <c r="DW35" s="1507">
        <f>DV35</f>
        <v>36667</v>
      </c>
      <c r="DX35" s="1508"/>
      <c r="DY35" s="1505">
        <f>SUM(DY30,DY32:DY34)</f>
        <v>42420</v>
      </c>
      <c r="DZ35" s="1505">
        <f>SUM(DZ30,DZ32:DZ34)</f>
        <v>41172</v>
      </c>
      <c r="EA35" s="1505">
        <f>SUM(EA30,EA32:EA34)</f>
        <v>41327</v>
      </c>
      <c r="EB35" s="1505">
        <f>SUM(EB30,EB32:EB34)</f>
        <v>42897</v>
      </c>
      <c r="EC35" s="1507">
        <f>EB35</f>
        <v>42897</v>
      </c>
      <c r="ED35" s="1508"/>
      <c r="EE35" s="1505">
        <f>SUM(EE30,EE32:EE34)</f>
        <v>51795</v>
      </c>
      <c r="EF35" s="1505">
        <f>SUM(EF30,EF32:EF34)</f>
        <v>50343</v>
      </c>
      <c r="EG35" s="1505">
        <f>SUM(EG30,EG32:EG34)</f>
        <v>50284</v>
      </c>
      <c r="EH35" s="1505">
        <f>SUM(EH30,EH32:EH34)</f>
        <v>61805</v>
      </c>
      <c r="EI35" s="1507">
        <f>EH35</f>
        <v>61805</v>
      </c>
      <c r="EJ35" s="1380"/>
      <c r="EK35" s="1505">
        <f>SUM(EK30,EK32:EK34)</f>
        <v>62168</v>
      </c>
      <c r="EL35" s="1505">
        <f>SUM(EL30,EL32:EL34)</f>
        <v>60151</v>
      </c>
      <c r="EM35" s="1505">
        <f>SUM(EM30,EM32:EM34)</f>
        <v>58558</v>
      </c>
      <c r="EN35" s="1505">
        <f>SUM(EN30,EN32:EN34)</f>
        <v>64390</v>
      </c>
      <c r="EO35" s="1378">
        <f>EN35</f>
        <v>64390</v>
      </c>
      <c r="EP35" s="1380"/>
      <c r="EQ35" s="1505">
        <f>SUM(EQ30,EQ32:EQ34)</f>
        <v>75391</v>
      </c>
      <c r="ER35" s="1505">
        <f>SUM(ER30,ER32:ER34)</f>
        <v>74755</v>
      </c>
      <c r="ES35" s="1376">
        <f>SUM(ES30,ES32:ES34)</f>
        <v>74359</v>
      </c>
      <c r="ET35" s="1505">
        <f>SUM(ET30,ET32:ET34)</f>
        <v>80745</v>
      </c>
      <c r="EU35" s="1378">
        <f>ET35</f>
        <v>80745</v>
      </c>
      <c r="EV35" s="1380"/>
      <c r="EW35" s="1505">
        <f>SUM(EW30,EW32:EW34)</f>
        <v>77231</v>
      </c>
      <c r="EX35" s="1505">
        <f>SUM(EX30,EX32:EX34)</f>
        <v>82462</v>
      </c>
      <c r="EY35" s="1376">
        <f>SUM(EY30,EY32:EY34)</f>
        <v>89929</v>
      </c>
      <c r="EZ35" s="1376">
        <f>SUM(EZ30,EZ32:EZ34)</f>
        <v>91486.962986252242</v>
      </c>
      <c r="FA35" s="1378">
        <f>EZ35</f>
        <v>91486.962986252242</v>
      </c>
      <c r="FB35" s="1380"/>
      <c r="FC35" s="1376">
        <f>SUM(FC30,FC32:FC34)</f>
        <v>89849.736259883444</v>
      </c>
      <c r="FD35" s="1376">
        <f>SUM(FD30,FD32:FD34)</f>
        <v>87375.42433507285</v>
      </c>
      <c r="FE35" s="1376">
        <f>SUM(FE30,FE32:FE34)</f>
        <v>87636.72765809609</v>
      </c>
      <c r="FF35" s="1376">
        <f>SUM(FF30,FF32:FF34)</f>
        <v>87752.562861934886</v>
      </c>
      <c r="FG35" s="1378">
        <f>FF35</f>
        <v>87752.562861934886</v>
      </c>
      <c r="FH35" s="1380"/>
      <c r="FI35" s="1376">
        <f>SUM(FI30,FI32:FI34)</f>
        <v>88771.52424109992</v>
      </c>
      <c r="FJ35" s="1376">
        <f>SUM(FJ30,FJ32:FJ34)</f>
        <v>83525.041078560185</v>
      </c>
      <c r="FK35" s="1376">
        <f>SUM(FK30,FK32:FK34)</f>
        <v>81558.27607500201</v>
      </c>
      <c r="FL35" s="1376">
        <f>SUM(FL30,FL32:FL34)</f>
        <v>84419.747896443936</v>
      </c>
      <c r="FM35" s="1378">
        <f>FL35</f>
        <v>84419.747896443936</v>
      </c>
      <c r="FN35" s="1399"/>
      <c r="FO35" s="1400"/>
      <c r="FP35" s="1399"/>
      <c r="FQ35" s="1399"/>
      <c r="FR35"/>
      <c r="FS35"/>
      <c r="FT35"/>
      <c r="FU35"/>
      <c r="FV35"/>
      <c r="FW35"/>
      <c r="FX35" s="1399"/>
      <c r="FY35" s="1397"/>
      <c r="FZ35" s="1397"/>
      <c r="GA35" s="1397"/>
      <c r="GB35" s="1397"/>
      <c r="GC35" s="1397"/>
      <c r="GD35" s="1397"/>
      <c r="GE35" s="1397"/>
      <c r="GF35" s="1397"/>
      <c r="GG35" s="1397"/>
      <c r="GH35" s="1397"/>
      <c r="GI35" s="1397"/>
      <c r="GJ35" s="1397"/>
      <c r="GK35" s="1397"/>
      <c r="GL35" s="1397"/>
      <c r="GM35" s="1397"/>
      <c r="GN35" s="1397"/>
      <c r="GO35" s="1397"/>
      <c r="GP35" s="1397"/>
      <c r="GQ35" s="1397"/>
      <c r="GR35" s="1397"/>
      <c r="GS35" s="1397"/>
      <c r="GT35" s="1397"/>
      <c r="GU35" s="1397"/>
      <c r="GV35" s="1397"/>
      <c r="GW35" s="1397"/>
      <c r="GX35" s="1397"/>
      <c r="GY35" s="1397"/>
      <c r="GZ35" s="1397"/>
      <c r="HA35" s="1397"/>
      <c r="HB35" s="1397"/>
      <c r="HC35" s="1397"/>
      <c r="HD35" s="1397"/>
      <c r="HE35" s="1397"/>
      <c r="HF35" s="1397"/>
      <c r="HG35" s="1397"/>
      <c r="HH35" s="1397"/>
      <c r="HI35" s="1397"/>
      <c r="HJ35" s="1397"/>
      <c r="HK35" s="1397"/>
      <c r="HL35" s="1397"/>
      <c r="HM35" s="1397"/>
      <c r="HN35" s="1397"/>
      <c r="HO35" s="1397"/>
      <c r="HP35" s="1397"/>
      <c r="HQ35" s="1397"/>
      <c r="HR35" s="1397"/>
      <c r="HS35" s="1397"/>
      <c r="HT35" s="1397"/>
      <c r="HU35" s="1397"/>
      <c r="HV35" s="1397"/>
      <c r="HW35" s="1397"/>
      <c r="HX35" s="1397"/>
      <c r="HY35" s="1397"/>
      <c r="HZ35" s="1397"/>
      <c r="IA35" s="1397"/>
      <c r="IB35" s="1397"/>
      <c r="IC35" s="1397"/>
      <c r="ID35" s="1397"/>
      <c r="IE35" s="1397"/>
      <c r="IF35" s="1397"/>
      <c r="IG35" s="1397"/>
      <c r="IH35" s="1397"/>
      <c r="II35" s="1397"/>
      <c r="IJ35" s="1397"/>
      <c r="IK35" s="1397"/>
      <c r="IL35" s="1397"/>
      <c r="IM35" s="1397"/>
      <c r="IN35" s="1397"/>
      <c r="IO35" s="1397"/>
      <c r="IP35" s="1397"/>
      <c r="IQ35" s="1397"/>
      <c r="IR35" s="1397"/>
      <c r="IS35" s="1397"/>
      <c r="IT35" s="1397"/>
      <c r="IU35" s="1397"/>
      <c r="IV35" s="1397"/>
      <c r="IW35" s="1397"/>
      <c r="IX35" s="1397"/>
      <c r="IY35" s="1397"/>
      <c r="IZ35" s="1397"/>
      <c r="JA35" s="1397"/>
      <c r="JB35" s="1397"/>
      <c r="JC35" s="1397"/>
      <c r="JD35" s="1397"/>
      <c r="JE35" s="1397"/>
      <c r="JF35" s="1397"/>
      <c r="JG35" s="1397"/>
      <c r="JH35" s="1397"/>
      <c r="JI35" s="1397"/>
      <c r="JJ35" s="1397"/>
      <c r="JK35" s="1397"/>
      <c r="JL35" s="1397"/>
      <c r="JM35" s="1397"/>
      <c r="JN35" s="1397"/>
    </row>
    <row r="36" spans="1:274" s="24" customFormat="1" ht="5.25" customHeight="1" x14ac:dyDescent="0.2">
      <c r="A36" s="351"/>
      <c r="B36" s="20"/>
      <c r="C36" s="135"/>
      <c r="D36" s="135"/>
      <c r="E36" s="135"/>
      <c r="F36" s="135"/>
      <c r="G36" s="135"/>
      <c r="H36" s="135"/>
      <c r="I36" s="135"/>
      <c r="J36" s="135"/>
      <c r="K36" s="135"/>
      <c r="L36" s="135"/>
      <c r="M36" s="135"/>
      <c r="N36" s="135"/>
      <c r="O36" s="42"/>
      <c r="P36" s="42"/>
      <c r="Q36" s="42"/>
      <c r="R36" s="135"/>
      <c r="S36" s="444"/>
      <c r="T36" s="444"/>
      <c r="U36" s="444"/>
      <c r="V36" s="444"/>
      <c r="W36" s="444"/>
      <c r="X36" s="444"/>
      <c r="Y36" s="444"/>
      <c r="Z36" s="444"/>
      <c r="AA36" s="444"/>
      <c r="AB36" s="444"/>
      <c r="AC36" s="444"/>
      <c r="AD36" s="444"/>
      <c r="AE36" s="444"/>
      <c r="AF36" s="444"/>
      <c r="AG36" s="444"/>
      <c r="AH36" s="444"/>
      <c r="AI36" s="444"/>
      <c r="AJ36" s="444"/>
      <c r="AK36" s="444"/>
      <c r="AL36" s="444"/>
      <c r="AM36" s="444"/>
      <c r="AN36" s="444"/>
      <c r="AO36" s="444"/>
      <c r="AP36" s="444"/>
      <c r="AQ36" s="444"/>
      <c r="AR36" s="444"/>
      <c r="AS36" s="444"/>
      <c r="AT36" s="444"/>
      <c r="AU36" s="444"/>
      <c r="AV36" s="444"/>
      <c r="AW36" s="444"/>
      <c r="AX36" s="444"/>
      <c r="AY36" s="444"/>
      <c r="AZ36" s="444"/>
      <c r="BA36" s="444"/>
      <c r="BB36" s="444"/>
      <c r="BC36" s="444"/>
      <c r="BD36" s="444"/>
      <c r="BE36" s="444"/>
      <c r="BF36" s="444"/>
      <c r="BG36" s="444"/>
      <c r="BH36" s="444"/>
      <c r="BI36" s="444"/>
      <c r="BJ36" s="444"/>
      <c r="BK36" s="444"/>
      <c r="BL36" s="444"/>
      <c r="BM36" s="444"/>
      <c r="BN36" s="444"/>
      <c r="BO36" s="444"/>
      <c r="BP36" s="444"/>
      <c r="BQ36" s="444"/>
      <c r="BR36" s="444"/>
      <c r="BS36" s="444"/>
      <c r="BT36" s="444"/>
      <c r="BU36" s="444"/>
      <c r="BV36" s="444"/>
      <c r="BW36" s="444"/>
      <c r="BX36" s="444"/>
      <c r="BY36" s="444"/>
      <c r="BZ36" s="444"/>
      <c r="CA36" s="444"/>
      <c r="CB36" s="444"/>
      <c r="CC36" s="444"/>
      <c r="CD36" s="444"/>
      <c r="CE36" s="444"/>
      <c r="CF36" s="444"/>
      <c r="CG36" s="984"/>
      <c r="CH36" s="444"/>
      <c r="CI36" s="444"/>
      <c r="CJ36" s="444"/>
      <c r="CK36" s="444"/>
      <c r="CL36" s="444"/>
      <c r="CM36" s="984"/>
      <c r="CN36" s="444"/>
      <c r="CO36" s="444"/>
      <c r="CP36" s="444"/>
      <c r="CQ36" s="444"/>
      <c r="CR36" s="444"/>
      <c r="CS36" s="984"/>
      <c r="CT36" s="437"/>
      <c r="CU36" s="444"/>
      <c r="CV36" s="444"/>
      <c r="CW36" s="444"/>
      <c r="CX36" s="444"/>
      <c r="CY36" s="984"/>
      <c r="CZ36" s="444"/>
      <c r="DA36" s="444"/>
      <c r="DB36" s="444"/>
      <c r="DC36" s="444"/>
      <c r="DD36" s="444"/>
      <c r="DE36" s="984"/>
      <c r="DF36" s="444"/>
      <c r="DG36" s="444"/>
      <c r="DH36" s="444"/>
      <c r="DI36" s="444"/>
      <c r="DJ36" s="444"/>
      <c r="DK36" s="984"/>
      <c r="DL36" s="444"/>
      <c r="DM36" s="444"/>
      <c r="DN36" s="444"/>
      <c r="DO36" s="444"/>
      <c r="DP36" s="444"/>
      <c r="DQ36" s="984"/>
      <c r="DR36" s="444"/>
      <c r="DS36" s="444"/>
      <c r="DT36" s="444"/>
      <c r="DU36" s="444"/>
      <c r="DV36" s="444"/>
      <c r="DW36" s="984"/>
      <c r="DX36" s="444"/>
      <c r="DY36" s="444"/>
      <c r="DZ36" s="444"/>
      <c r="EA36" s="444"/>
      <c r="EB36" s="444"/>
      <c r="EC36" s="984"/>
      <c r="ED36" s="444"/>
      <c r="EE36" s="444"/>
      <c r="EF36" s="444"/>
      <c r="EG36" s="444"/>
      <c r="EH36" s="444"/>
      <c r="EI36" s="984"/>
      <c r="EJ36" s="444"/>
      <c r="EK36" s="444"/>
      <c r="EL36" s="444"/>
      <c r="EM36" s="444"/>
      <c r="EN36" s="444"/>
      <c r="EO36" s="984"/>
      <c r="EP36" s="444"/>
      <c r="EQ36" s="444"/>
      <c r="ER36" s="444"/>
      <c r="ES36" s="444"/>
      <c r="ET36" s="444"/>
      <c r="EU36" s="984"/>
      <c r="EV36" s="444"/>
      <c r="EW36" s="444"/>
      <c r="EX36" s="444"/>
      <c r="EY36" s="444"/>
      <c r="EZ36" s="444"/>
      <c r="FA36" s="984"/>
      <c r="FB36" s="444"/>
      <c r="FC36" s="444"/>
      <c r="FD36" s="444"/>
      <c r="FE36" s="444"/>
      <c r="FF36" s="444"/>
      <c r="FG36" s="984"/>
      <c r="FH36" s="444"/>
      <c r="FI36" s="444"/>
      <c r="FJ36" s="444"/>
      <c r="FK36" s="444"/>
      <c r="FL36" s="444"/>
      <c r="FM36" s="984"/>
      <c r="FN36" s="135"/>
      <c r="FO36" s="242"/>
      <c r="FP36" s="135"/>
      <c r="FQ36" s="135"/>
      <c r="FR36"/>
      <c r="FS36"/>
      <c r="FT36"/>
      <c r="FU36"/>
      <c r="FV36"/>
      <c r="FW36"/>
      <c r="FX36" s="135"/>
      <c r="FY36" s="1220"/>
      <c r="FZ36" s="1220"/>
      <c r="GA36" s="1220"/>
      <c r="GB36" s="1220"/>
      <c r="GC36" s="1220"/>
      <c r="GD36" s="1220"/>
      <c r="GE36" s="1220"/>
      <c r="GF36" s="1220"/>
      <c r="GG36" s="1220"/>
      <c r="GH36" s="1220"/>
      <c r="GI36" s="1220"/>
      <c r="GJ36" s="1220"/>
      <c r="GK36" s="1220"/>
      <c r="GL36" s="1220"/>
      <c r="GM36" s="1220"/>
      <c r="GN36" s="1220"/>
      <c r="GO36" s="1220"/>
      <c r="GP36" s="1220"/>
      <c r="GQ36" s="1220"/>
      <c r="GR36" s="1220"/>
      <c r="GS36" s="1220"/>
      <c r="GT36" s="1220"/>
      <c r="GU36" s="1220"/>
      <c r="GV36" s="1220"/>
      <c r="GW36" s="1220"/>
      <c r="GX36" s="1220"/>
      <c r="GY36" s="1220"/>
      <c r="GZ36" s="1220"/>
      <c r="HA36" s="1220"/>
      <c r="HB36" s="1220"/>
      <c r="HC36" s="1220"/>
      <c r="HD36" s="1220"/>
      <c r="HE36" s="1220"/>
      <c r="HF36" s="1220"/>
      <c r="HG36" s="1220"/>
      <c r="HH36" s="1220"/>
      <c r="HI36" s="1220"/>
      <c r="HJ36" s="1220"/>
      <c r="HK36" s="1220"/>
      <c r="HL36" s="1220"/>
      <c r="HM36" s="1220"/>
      <c r="HN36" s="1220"/>
      <c r="HO36" s="1220"/>
      <c r="HP36" s="1220"/>
      <c r="HQ36" s="1220"/>
      <c r="HR36" s="1220"/>
      <c r="HS36" s="1220"/>
      <c r="HT36" s="1220"/>
      <c r="HU36" s="1220"/>
      <c r="HV36" s="1220"/>
      <c r="HW36" s="1220"/>
      <c r="HX36" s="1220"/>
      <c r="HY36" s="1220"/>
      <c r="HZ36" s="1220"/>
      <c r="IA36" s="1220"/>
      <c r="IB36" s="1220"/>
      <c r="IC36" s="1220"/>
      <c r="ID36" s="1220"/>
      <c r="IE36" s="1220"/>
      <c r="IF36" s="1220"/>
      <c r="IG36" s="1220"/>
      <c r="IH36" s="1220"/>
      <c r="II36" s="1220"/>
      <c r="IJ36" s="1220"/>
      <c r="IK36" s="1220"/>
      <c r="IL36" s="1220"/>
      <c r="IM36" s="1220"/>
      <c r="IN36" s="1220"/>
      <c r="IO36" s="1220"/>
      <c r="IP36" s="1220"/>
      <c r="IQ36" s="1220"/>
      <c r="IR36" s="1220"/>
      <c r="IS36" s="1220"/>
      <c r="IT36" s="1220"/>
      <c r="IU36" s="1220"/>
      <c r="IV36" s="1220"/>
      <c r="IW36" s="1220"/>
      <c r="IX36" s="1220"/>
      <c r="IY36" s="1220"/>
      <c r="IZ36" s="1220"/>
      <c r="JA36" s="1220"/>
      <c r="JB36" s="1220"/>
      <c r="JC36" s="1220"/>
      <c r="JD36" s="1220"/>
      <c r="JE36" s="1220"/>
      <c r="JF36" s="1220"/>
      <c r="JG36" s="1220"/>
      <c r="JH36" s="1220"/>
      <c r="JI36" s="1220"/>
      <c r="JJ36" s="1220"/>
      <c r="JK36" s="1220"/>
      <c r="JL36" s="1220"/>
      <c r="JM36" s="1220"/>
      <c r="JN36" s="1220"/>
    </row>
    <row r="37" spans="1:274" s="24" customFormat="1" ht="10.5" hidden="1" customHeight="1" outlineLevel="1" x14ac:dyDescent="0.2">
      <c r="A37" s="242" t="s">
        <v>567</v>
      </c>
      <c r="B37" s="20"/>
      <c r="C37" s="272" t="s">
        <v>945</v>
      </c>
      <c r="D37" s="272">
        <f>2.848+0.625</f>
        <v>3.4729999999999999</v>
      </c>
      <c r="E37" s="272">
        <v>18.466000000000001</v>
      </c>
      <c r="F37" s="272">
        <f>0.288+54.632</f>
        <v>54.919999999999995</v>
      </c>
      <c r="G37" s="272">
        <f>0.313+63.311</f>
        <v>63.624000000000002</v>
      </c>
      <c r="H37" s="272">
        <f>0.346+84.931</f>
        <v>85.277000000000001</v>
      </c>
      <c r="I37" s="272">
        <f>0.388+118.715</f>
        <v>119.10300000000001</v>
      </c>
      <c r="J37" s="272">
        <f>0.442+138.359</f>
        <v>138.80100000000002</v>
      </c>
      <c r="K37" s="272">
        <f>163.454+0.476</f>
        <v>163.93</v>
      </c>
      <c r="L37" s="272">
        <v>202.91300000000001</v>
      </c>
      <c r="M37" s="272">
        <v>254.5</v>
      </c>
      <c r="N37" s="242"/>
      <c r="O37" s="242">
        <v>780.06100000000004</v>
      </c>
      <c r="P37" s="242">
        <v>822.72699999999998</v>
      </c>
      <c r="Q37" s="242">
        <v>943.01900000000001</v>
      </c>
      <c r="R37" s="242">
        <v>1211.3579999999999</v>
      </c>
      <c r="S37" s="844">
        <f>R37</f>
        <v>1211.3579999999999</v>
      </c>
      <c r="T37" s="60"/>
      <c r="U37" s="60">
        <v>1305.902</v>
      </c>
      <c r="V37" s="60">
        <v>1461.6959999999999</v>
      </c>
      <c r="W37" s="60">
        <v>1591.153</v>
      </c>
      <c r="X37" s="60">
        <v>1870.4490000000001</v>
      </c>
      <c r="Y37" s="844">
        <f>X37</f>
        <v>1870.4490000000001</v>
      </c>
      <c r="Z37" s="60"/>
      <c r="AA37" s="60">
        <v>1995.8530000000001</v>
      </c>
      <c r="AB37" s="60">
        <v>2135.9360000000001</v>
      </c>
      <c r="AC37" s="60">
        <v>2067.8969999999999</v>
      </c>
      <c r="AD37" s="60">
        <v>2368.8220000000001</v>
      </c>
      <c r="AE37" s="844">
        <f>AD37</f>
        <v>2368.8220000000001</v>
      </c>
      <c r="AF37" s="60"/>
      <c r="AG37" s="60">
        <v>2445.2919999999999</v>
      </c>
      <c r="AH37" s="60">
        <v>2668.5749999999998</v>
      </c>
      <c r="AI37" s="60">
        <v>2577.0340000000001</v>
      </c>
      <c r="AJ37" s="60">
        <v>2957.558</v>
      </c>
      <c r="AK37" s="844">
        <f>AJ37</f>
        <v>2957.558</v>
      </c>
      <c r="AL37" s="60"/>
      <c r="AM37" s="60">
        <v>3081.1990000000001</v>
      </c>
      <c r="AN37" s="60">
        <v>3015.31</v>
      </c>
      <c r="AO37" s="60">
        <v>3341.6489999999999</v>
      </c>
      <c r="AP37" s="60">
        <v>3695.2669999999998</v>
      </c>
      <c r="AQ37" s="844">
        <f>AP37</f>
        <v>3695.2669999999998</v>
      </c>
      <c r="AR37" s="60"/>
      <c r="AS37" s="60">
        <v>3500.4749999999999</v>
      </c>
      <c r="AT37" s="60">
        <v>3400.556</v>
      </c>
      <c r="AU37" s="60">
        <v>3984.288</v>
      </c>
      <c r="AV37" s="60">
        <v>3113</v>
      </c>
      <c r="AW37" s="844">
        <f>AV37</f>
        <v>3113</v>
      </c>
      <c r="AX37" s="60"/>
      <c r="AY37" s="60">
        <v>5370.8980000000001</v>
      </c>
      <c r="AZ37" s="60">
        <v>3949.335</v>
      </c>
      <c r="BA37" s="60">
        <v>3707.5010000000002</v>
      </c>
      <c r="BB37" s="60">
        <v>4821</v>
      </c>
      <c r="BC37" s="844">
        <f>BB37</f>
        <v>4821</v>
      </c>
      <c r="BD37" s="60"/>
      <c r="BE37" s="60">
        <v>4834.8990000000003</v>
      </c>
      <c r="BF37" s="60">
        <v>4946.8819999999996</v>
      </c>
      <c r="BG37" s="60">
        <v>4972.7979999999998</v>
      </c>
      <c r="BH37" s="60">
        <v>5029</v>
      </c>
      <c r="BI37" s="844">
        <f>BH37</f>
        <v>5029</v>
      </c>
      <c r="BJ37" s="60"/>
      <c r="BK37" s="60">
        <v>4982</v>
      </c>
      <c r="BL37" s="60">
        <v>4842</v>
      </c>
      <c r="BM37" s="60">
        <v>4921</v>
      </c>
      <c r="BN37" s="60">
        <f>5101</f>
        <v>5101</v>
      </c>
      <c r="BO37" s="844">
        <f>BN37</f>
        <v>5101</v>
      </c>
      <c r="BP37" s="60"/>
      <c r="BQ37" s="60">
        <f>5146</f>
        <v>5146</v>
      </c>
      <c r="BR37" s="844">
        <v>5280</v>
      </c>
      <c r="BS37" s="844">
        <v>5329</v>
      </c>
      <c r="BT37" s="844">
        <v>5456</v>
      </c>
      <c r="BU37" s="844">
        <f>BT37</f>
        <v>5456</v>
      </c>
      <c r="BV37" s="60"/>
      <c r="BW37" s="844">
        <v>5460</v>
      </c>
      <c r="BX37" s="844">
        <v>5578</v>
      </c>
      <c r="BY37" s="844">
        <v>6372</v>
      </c>
      <c r="BZ37" s="844">
        <v>6596</v>
      </c>
      <c r="CA37" s="844">
        <f>BZ37</f>
        <v>6596</v>
      </c>
      <c r="CB37" s="60"/>
      <c r="CC37" s="844">
        <v>6792</v>
      </c>
      <c r="CD37" s="844">
        <v>6887</v>
      </c>
      <c r="CE37" s="844">
        <v>9038</v>
      </c>
      <c r="CF37" s="844">
        <v>9246</v>
      </c>
      <c r="CG37" s="436">
        <f>CF37</f>
        <v>9246</v>
      </c>
      <c r="CH37" s="60"/>
      <c r="CI37" s="844">
        <v>9362</v>
      </c>
      <c r="CJ37" s="844">
        <v>9874</v>
      </c>
      <c r="CK37" s="844">
        <v>10004</v>
      </c>
      <c r="CL37" s="844">
        <v>10293</v>
      </c>
      <c r="CM37" s="436">
        <f>CL37</f>
        <v>10293</v>
      </c>
      <c r="CN37" s="60"/>
      <c r="CO37" s="844">
        <v>10759</v>
      </c>
      <c r="CP37" s="844">
        <v>11256</v>
      </c>
      <c r="CQ37" s="844">
        <v>11847</v>
      </c>
      <c r="CR37" s="600">
        <v>12236</v>
      </c>
      <c r="CS37" s="436">
        <f>CR37</f>
        <v>12236</v>
      </c>
      <c r="CT37" s="439"/>
      <c r="CU37" s="844">
        <v>12749.318316762512</v>
      </c>
      <c r="CV37" s="844">
        <f>13251.1561384803-1120</f>
        <v>12131.156138480301</v>
      </c>
      <c r="CW37" s="844">
        <v>12758</v>
      </c>
      <c r="CX37" s="844">
        <v>12980</v>
      </c>
      <c r="CY37" s="436">
        <f>CX37</f>
        <v>12980</v>
      </c>
      <c r="CZ37" s="367"/>
      <c r="DA37" s="844">
        <v>13319</v>
      </c>
      <c r="DB37" s="844">
        <v>13529</v>
      </c>
      <c r="DC37" s="844">
        <v>13973</v>
      </c>
      <c r="DD37" s="844">
        <v>14648</v>
      </c>
      <c r="DE37" s="436">
        <f>DD37</f>
        <v>14648</v>
      </c>
      <c r="DF37" s="367"/>
      <c r="DG37" s="844">
        <v>14923</v>
      </c>
      <c r="DH37" s="844">
        <v>15663</v>
      </c>
      <c r="DI37" s="844">
        <v>16131</v>
      </c>
      <c r="DJ37" s="844">
        <v>16653</v>
      </c>
      <c r="DK37" s="436">
        <f>DJ37</f>
        <v>16653</v>
      </c>
      <c r="DL37" s="367"/>
      <c r="DM37" s="844">
        <v>16915</v>
      </c>
      <c r="DN37" s="844">
        <v>17245</v>
      </c>
      <c r="DO37" s="844">
        <v>17341</v>
      </c>
      <c r="DP37" s="844">
        <v>17489</v>
      </c>
      <c r="DQ37" s="436">
        <f>DP37</f>
        <v>17489</v>
      </c>
      <c r="DR37" s="367"/>
      <c r="DS37" s="844">
        <v>17901</v>
      </c>
      <c r="DT37" s="844">
        <v>18015</v>
      </c>
      <c r="DU37" s="844">
        <v>18645</v>
      </c>
      <c r="DV37" s="844">
        <v>18893</v>
      </c>
      <c r="DW37" s="436">
        <f>DV37</f>
        <v>18893</v>
      </c>
      <c r="DX37" s="367"/>
      <c r="DY37" s="844">
        <v>19055</v>
      </c>
      <c r="DZ37" s="844">
        <v>19403</v>
      </c>
      <c r="EA37" s="844">
        <v>20336</v>
      </c>
      <c r="EB37" s="844">
        <v>21077</v>
      </c>
      <c r="EC37" s="436">
        <f>EB37</f>
        <v>21077</v>
      </c>
      <c r="ED37" s="367"/>
      <c r="EE37" s="844">
        <v>21709</v>
      </c>
      <c r="EF37" s="844">
        <v>22039</v>
      </c>
      <c r="EG37" s="844">
        <v>22694</v>
      </c>
      <c r="EH37" s="844">
        <v>23156</v>
      </c>
      <c r="EI37" s="436">
        <f>EH37</f>
        <v>23156</v>
      </c>
      <c r="EJ37" s="367"/>
      <c r="EK37" s="435">
        <v>23272</v>
      </c>
      <c r="EL37" s="844">
        <v>23426</v>
      </c>
      <c r="EM37" s="844">
        <v>23526</v>
      </c>
      <c r="EN37" s="844">
        <v>24217</v>
      </c>
      <c r="EO37" s="436">
        <f>EN37</f>
        <v>24217</v>
      </c>
      <c r="EP37" s="367"/>
      <c r="EQ37" s="435">
        <v>24588</v>
      </c>
      <c r="ER37" s="435">
        <v>25159</v>
      </c>
      <c r="ES37" s="435">
        <v>25970</v>
      </c>
      <c r="ET37" s="435">
        <v>27065</v>
      </c>
      <c r="EU37" s="436">
        <f>ET37</f>
        <v>27065</v>
      </c>
      <c r="EV37" s="367"/>
      <c r="EW37" s="435">
        <v>28089</v>
      </c>
      <c r="EX37" s="435">
        <v>28474</v>
      </c>
      <c r="EY37" s="435">
        <f>EY40-EY39</f>
        <v>18412.16</v>
      </c>
      <c r="EZ37" s="435">
        <f>EZ196</f>
        <v>18508.202126727359</v>
      </c>
      <c r="FA37" s="436">
        <f>EZ37</f>
        <v>18508.202126727359</v>
      </c>
      <c r="FB37" s="367"/>
      <c r="FC37" s="435">
        <f>FC196</f>
        <v>20265.798652259604</v>
      </c>
      <c r="FD37" s="435">
        <f>FD196</f>
        <v>22023.395177791848</v>
      </c>
      <c r="FE37" s="435">
        <f>FE196</f>
        <v>23780.991703324093</v>
      </c>
      <c r="FF37" s="435">
        <f>FF196</f>
        <v>25538.588228856337</v>
      </c>
      <c r="FG37" s="436">
        <f>FF37</f>
        <v>25538.588228856337</v>
      </c>
      <c r="FH37" s="367"/>
      <c r="FI37" s="435">
        <f>FI196</f>
        <v>27524.259174639523</v>
      </c>
      <c r="FJ37" s="435">
        <f>FJ196</f>
        <v>29509.930120422709</v>
      </c>
      <c r="FK37" s="435">
        <f>FK196</f>
        <v>31495.601066205894</v>
      </c>
      <c r="FL37" s="435">
        <f>FL196</f>
        <v>33481.27201198908</v>
      </c>
      <c r="FM37" s="436">
        <f>FL37</f>
        <v>33481.27201198908</v>
      </c>
      <c r="FN37" s="242"/>
      <c r="FO37" s="242"/>
      <c r="FP37" s="242"/>
      <c r="FQ37" s="242"/>
      <c r="FR37"/>
      <c r="FS37"/>
      <c r="FT37"/>
      <c r="FU37"/>
      <c r="FV37"/>
      <c r="FW37"/>
      <c r="FX37" s="242"/>
      <c r="FY37" s="1220"/>
      <c r="FZ37" s="1220"/>
      <c r="GA37" s="1220"/>
      <c r="GB37" s="1220"/>
      <c r="GC37" s="1220"/>
      <c r="GD37" s="1220"/>
      <c r="GE37" s="1220"/>
      <c r="GF37" s="1220"/>
      <c r="GG37" s="1220"/>
      <c r="GH37" s="1220"/>
      <c r="GI37" s="1220"/>
      <c r="GJ37" s="1220"/>
      <c r="GK37" s="1220"/>
      <c r="GL37" s="1220"/>
      <c r="GM37" s="1220"/>
      <c r="GN37" s="1220"/>
      <c r="GO37" s="1220"/>
      <c r="GP37" s="1220"/>
      <c r="GQ37" s="1220"/>
      <c r="GR37" s="1220"/>
      <c r="GS37" s="1220"/>
      <c r="GT37" s="1220"/>
      <c r="GU37" s="1220"/>
      <c r="GV37" s="1220"/>
      <c r="GW37" s="1220"/>
      <c r="GX37" s="1220"/>
      <c r="GY37" s="1220"/>
      <c r="GZ37" s="1220"/>
      <c r="HA37" s="1220"/>
      <c r="HB37" s="1220"/>
      <c r="HC37" s="1220"/>
      <c r="HD37" s="1220"/>
      <c r="HE37" s="1220"/>
      <c r="HF37" s="1220"/>
      <c r="HG37" s="1220"/>
      <c r="HH37" s="1220"/>
      <c r="HI37" s="1220"/>
      <c r="HJ37" s="1220"/>
      <c r="HK37" s="1220"/>
      <c r="HL37" s="1220"/>
      <c r="HM37" s="1220"/>
      <c r="HN37" s="1220"/>
      <c r="HO37" s="1220"/>
      <c r="HP37" s="1220"/>
      <c r="HQ37" s="1220"/>
      <c r="HR37" s="1220"/>
      <c r="HS37" s="1220"/>
      <c r="HT37" s="1220"/>
      <c r="HU37" s="1220"/>
      <c r="HV37" s="1220"/>
      <c r="HW37" s="1220"/>
      <c r="HX37" s="1220"/>
      <c r="HY37" s="1220"/>
      <c r="HZ37" s="1220"/>
      <c r="IA37" s="1220"/>
      <c r="IB37" s="1220"/>
      <c r="IC37" s="1220"/>
      <c r="ID37" s="1220"/>
      <c r="IE37" s="1220"/>
      <c r="IF37" s="1220"/>
      <c r="IG37" s="1220"/>
      <c r="IH37" s="1220"/>
      <c r="II37" s="1220"/>
      <c r="IJ37" s="1220"/>
      <c r="IK37" s="1220"/>
      <c r="IL37" s="1220"/>
      <c r="IM37" s="1220"/>
      <c r="IN37" s="1220"/>
      <c r="IO37" s="1220"/>
      <c r="IP37" s="1220"/>
      <c r="IQ37" s="1220"/>
      <c r="IR37" s="1220"/>
      <c r="IS37" s="1220"/>
      <c r="IT37" s="1220"/>
      <c r="IU37" s="1220"/>
      <c r="IV37" s="1220"/>
      <c r="IW37" s="1220"/>
      <c r="IX37" s="1220"/>
      <c r="IY37" s="1220"/>
      <c r="IZ37" s="1220"/>
      <c r="JA37" s="1220"/>
      <c r="JB37" s="1220"/>
      <c r="JC37" s="1220"/>
      <c r="JD37" s="1220"/>
      <c r="JE37" s="1220"/>
      <c r="JF37" s="1220"/>
      <c r="JG37" s="1220"/>
      <c r="JH37" s="1220"/>
      <c r="JI37" s="1220"/>
      <c r="JJ37" s="1220"/>
      <c r="JK37" s="1220"/>
      <c r="JL37" s="1220"/>
      <c r="JM37" s="1220"/>
      <c r="JN37" s="1220"/>
    </row>
    <row r="38" spans="1:274" s="24" customFormat="1" ht="10.5" hidden="1" customHeight="1" outlineLevel="1" x14ac:dyDescent="0.2">
      <c r="A38" s="242" t="s">
        <v>568</v>
      </c>
      <c r="B38" s="20"/>
      <c r="C38" s="272" t="s">
        <v>945</v>
      </c>
      <c r="D38" s="272" t="s">
        <v>945</v>
      </c>
      <c r="E38" s="272" t="s">
        <v>945</v>
      </c>
      <c r="F38" s="272" t="s">
        <v>945</v>
      </c>
      <c r="G38" s="272" t="s">
        <v>945</v>
      </c>
      <c r="H38" s="272" t="s">
        <v>945</v>
      </c>
      <c r="I38" s="272" t="s">
        <v>945</v>
      </c>
      <c r="J38" s="272" t="s">
        <v>945</v>
      </c>
      <c r="K38" s="272" t="s">
        <v>945</v>
      </c>
      <c r="L38" s="272" t="s">
        <v>945</v>
      </c>
      <c r="M38" s="272" t="s">
        <v>945</v>
      </c>
      <c r="N38" s="242"/>
      <c r="O38" s="272" t="s">
        <v>945</v>
      </c>
      <c r="P38" s="272" t="s">
        <v>945</v>
      </c>
      <c r="Q38" s="272" t="s">
        <v>945</v>
      </c>
      <c r="R38" s="272" t="s">
        <v>945</v>
      </c>
      <c r="S38" s="844" t="str">
        <f>R38</f>
        <v>-</v>
      </c>
      <c r="T38" s="60"/>
      <c r="U38" s="844" t="s">
        <v>945</v>
      </c>
      <c r="V38" s="844" t="s">
        <v>945</v>
      </c>
      <c r="W38" s="844" t="s">
        <v>945</v>
      </c>
      <c r="X38" s="844" t="s">
        <v>945</v>
      </c>
      <c r="Y38" s="844" t="str">
        <f>X38</f>
        <v>-</v>
      </c>
      <c r="Z38" s="60"/>
      <c r="AA38" s="844" t="s">
        <v>945</v>
      </c>
      <c r="AB38" s="844" t="s">
        <v>945</v>
      </c>
      <c r="AC38" s="844" t="s">
        <v>945</v>
      </c>
      <c r="AD38" s="844" t="s">
        <v>945</v>
      </c>
      <c r="AE38" s="844" t="str">
        <f>AD38</f>
        <v>-</v>
      </c>
      <c r="AF38" s="60"/>
      <c r="AG38" s="844" t="s">
        <v>945</v>
      </c>
      <c r="AH38" s="844" t="s">
        <v>945</v>
      </c>
      <c r="AI38" s="844" t="s">
        <v>945</v>
      </c>
      <c r="AJ38" s="844" t="s">
        <v>945</v>
      </c>
      <c r="AK38" s="844" t="str">
        <f>AJ38</f>
        <v>-</v>
      </c>
      <c r="AL38" s="60"/>
      <c r="AM38" s="844" t="s">
        <v>945</v>
      </c>
      <c r="AN38" s="844" t="s">
        <v>945</v>
      </c>
      <c r="AO38" s="844" t="s">
        <v>945</v>
      </c>
      <c r="AP38" s="844" t="s">
        <v>945</v>
      </c>
      <c r="AQ38" s="844" t="str">
        <f>AP38</f>
        <v>-</v>
      </c>
      <c r="AR38" s="60"/>
      <c r="AS38" s="844" t="s">
        <v>945</v>
      </c>
      <c r="AT38" s="844" t="s">
        <v>945</v>
      </c>
      <c r="AU38" s="844" t="s">
        <v>945</v>
      </c>
      <c r="AV38" s="844" t="s">
        <v>945</v>
      </c>
      <c r="AW38" s="844" t="str">
        <f>AV38</f>
        <v>-</v>
      </c>
      <c r="AX38" s="60"/>
      <c r="AY38" s="60">
        <v>0</v>
      </c>
      <c r="AZ38" s="60">
        <v>-85.391999999999996</v>
      </c>
      <c r="BA38" s="60">
        <v>-112.679</v>
      </c>
      <c r="BB38" s="60">
        <v>-154</v>
      </c>
      <c r="BC38" s="844">
        <f>BB38</f>
        <v>-154</v>
      </c>
      <c r="BD38" s="60"/>
      <c r="BE38" s="60">
        <v>-16.059000000000001</v>
      </c>
      <c r="BF38" s="60">
        <v>-152.16999999999999</v>
      </c>
      <c r="BG38" s="60">
        <v>-218.42099999999999</v>
      </c>
      <c r="BH38" s="60">
        <v>-122</v>
      </c>
      <c r="BI38" s="844">
        <f>BH38</f>
        <v>-122</v>
      </c>
      <c r="BJ38" s="60"/>
      <c r="BK38" s="60">
        <v>-100</v>
      </c>
      <c r="BL38" s="60">
        <v>-84</v>
      </c>
      <c r="BM38" s="60">
        <v>6</v>
      </c>
      <c r="BN38" s="60">
        <v>127</v>
      </c>
      <c r="BO38" s="844">
        <f>BN38</f>
        <v>127</v>
      </c>
      <c r="BP38" s="60"/>
      <c r="BQ38" s="60">
        <v>9</v>
      </c>
      <c r="BR38" s="844">
        <v>139</v>
      </c>
      <c r="BS38" s="844">
        <v>249</v>
      </c>
      <c r="BT38" s="844">
        <v>156</v>
      </c>
      <c r="BU38" s="844">
        <f>BT38</f>
        <v>156</v>
      </c>
      <c r="BV38" s="60"/>
      <c r="BW38" s="844">
        <v>158</v>
      </c>
      <c r="BX38" s="844">
        <v>316</v>
      </c>
      <c r="BY38" s="844">
        <f>322-69</f>
        <v>253</v>
      </c>
      <c r="BZ38" s="844">
        <f>243-45</f>
        <v>198</v>
      </c>
      <c r="CA38" s="844">
        <f>BZ38</f>
        <v>198</v>
      </c>
      <c r="CB38" s="60"/>
      <c r="CC38" s="844">
        <f>242-37</f>
        <v>205</v>
      </c>
      <c r="CD38" s="844">
        <f>194-29</f>
        <v>165</v>
      </c>
      <c r="CE38" s="844">
        <f>219-42</f>
        <v>177</v>
      </c>
      <c r="CF38" s="844">
        <f>258-30</f>
        <v>228</v>
      </c>
      <c r="CG38" s="436">
        <f>CF38</f>
        <v>228</v>
      </c>
      <c r="CH38" s="60"/>
      <c r="CI38" s="844">
        <v>242</v>
      </c>
      <c r="CJ38" s="844">
        <v>273</v>
      </c>
      <c r="CK38" s="844">
        <v>276</v>
      </c>
      <c r="CL38" s="844">
        <v>403</v>
      </c>
      <c r="CM38" s="436">
        <f>CL38</f>
        <v>403</v>
      </c>
      <c r="CN38" s="60"/>
      <c r="CO38" s="844">
        <v>407</v>
      </c>
      <c r="CP38" s="844">
        <v>561</v>
      </c>
      <c r="CQ38" s="844">
        <v>600</v>
      </c>
      <c r="CR38" s="600">
        <v>841</v>
      </c>
      <c r="CS38" s="436">
        <f>CR38</f>
        <v>841</v>
      </c>
      <c r="CT38" s="439"/>
      <c r="CU38" s="844">
        <v>500.0816832374876</v>
      </c>
      <c r="CV38" s="844">
        <v>512.6598615196981</v>
      </c>
      <c r="CW38" s="844">
        <v>-149</v>
      </c>
      <c r="CX38" s="844">
        <v>216</v>
      </c>
      <c r="CY38" s="436">
        <f>CX38</f>
        <v>216</v>
      </c>
      <c r="CZ38" s="367"/>
      <c r="DA38" s="600">
        <v>261</v>
      </c>
      <c r="DB38" s="600">
        <v>461</v>
      </c>
      <c r="DC38" s="600">
        <v>246</v>
      </c>
      <c r="DD38" s="844">
        <v>4</v>
      </c>
      <c r="DE38" s="436">
        <f>DD38</f>
        <v>4</v>
      </c>
      <c r="DF38" s="367"/>
      <c r="DG38" s="600">
        <v>156</v>
      </c>
      <c r="DH38" s="600">
        <v>327</v>
      </c>
      <c r="DI38" s="600">
        <v>427</v>
      </c>
      <c r="DJ38" s="600">
        <v>542</v>
      </c>
      <c r="DK38" s="436">
        <f>DJ38</f>
        <v>542</v>
      </c>
      <c r="DL38" s="367"/>
      <c r="DM38" s="600">
        <v>592</v>
      </c>
      <c r="DN38" s="600">
        <f>292</f>
        <v>292</v>
      </c>
      <c r="DO38" s="600">
        <v>416</v>
      </c>
      <c r="DP38" s="600">
        <v>112</v>
      </c>
      <c r="DQ38" s="436">
        <f>DP38</f>
        <v>112</v>
      </c>
      <c r="DR38" s="367"/>
      <c r="DS38" s="600">
        <v>311</v>
      </c>
      <c r="DT38" s="600">
        <v>222</v>
      </c>
      <c r="DU38" s="600">
        <v>154</v>
      </c>
      <c r="DV38" s="600">
        <v>-99</v>
      </c>
      <c r="DW38" s="436">
        <f>DV38</f>
        <v>-99</v>
      </c>
      <c r="DX38" s="367"/>
      <c r="DY38" s="447">
        <v>-344</v>
      </c>
      <c r="DZ38" s="447">
        <v>-226</v>
      </c>
      <c r="EA38" s="447">
        <v>-235</v>
      </c>
      <c r="EB38" s="447">
        <v>-164</v>
      </c>
      <c r="EC38" s="436">
        <f>EB38</f>
        <v>-164</v>
      </c>
      <c r="ED38" s="367"/>
      <c r="EE38" s="447">
        <v>-193</v>
      </c>
      <c r="EF38" s="447">
        <v>-468</v>
      </c>
      <c r="EG38" s="447">
        <v>-764</v>
      </c>
      <c r="EH38" s="447">
        <v>-996</v>
      </c>
      <c r="EI38" s="436">
        <f>EH38</f>
        <v>-996</v>
      </c>
      <c r="EJ38" s="367"/>
      <c r="EK38" s="447">
        <f>-1139</f>
        <v>-1139</v>
      </c>
      <c r="EL38" s="447">
        <v>-1239</v>
      </c>
      <c r="EM38" s="447">
        <v>-1046</v>
      </c>
      <c r="EN38" s="447">
        <v>-816</v>
      </c>
      <c r="EO38" s="436">
        <f>EN38</f>
        <v>-816</v>
      </c>
      <c r="EP38" s="367"/>
      <c r="EQ38" s="447">
        <v>-533</v>
      </c>
      <c r="ER38" s="447">
        <v>-1072</v>
      </c>
      <c r="ES38" s="447">
        <v>-931</v>
      </c>
      <c r="ET38" s="447">
        <v>-803</v>
      </c>
      <c r="EU38" s="436">
        <f>ET38</f>
        <v>-803</v>
      </c>
      <c r="EV38" s="367"/>
      <c r="EW38" s="447">
        <v>-716</v>
      </c>
      <c r="EX38" s="447">
        <v>-902</v>
      </c>
      <c r="EY38" s="447">
        <v>0</v>
      </c>
      <c r="EZ38" s="447">
        <f>EZ213</f>
        <v>0.12810000000172295</v>
      </c>
      <c r="FA38" s="436">
        <f>EZ38</f>
        <v>0.12810000000172295</v>
      </c>
      <c r="FB38" s="367"/>
      <c r="FC38" s="447">
        <f>FC213</f>
        <v>0.12810000000536093</v>
      </c>
      <c r="FD38" s="447">
        <f>FD213</f>
        <v>0.12810000001627486</v>
      </c>
      <c r="FE38" s="447">
        <f>FE213</f>
        <v>0.1281000000089989</v>
      </c>
      <c r="FF38" s="447">
        <f>FF213</f>
        <v>0.12809999999808497</v>
      </c>
      <c r="FG38" s="436">
        <f>FF38</f>
        <v>0.12809999999808497</v>
      </c>
      <c r="FH38" s="367"/>
      <c r="FI38" s="447">
        <f>FI213</f>
        <v>0.12809999999808497</v>
      </c>
      <c r="FJ38" s="447">
        <f>FJ213</f>
        <v>0.12809999998717103</v>
      </c>
      <c r="FK38" s="447">
        <f>FK213</f>
        <v>0.12809999998717103</v>
      </c>
      <c r="FL38" s="447">
        <f>FL213</f>
        <v>0.12810000001627486</v>
      </c>
      <c r="FM38" s="436">
        <f>FL38</f>
        <v>0.12810000001627486</v>
      </c>
      <c r="FN38" s="242"/>
      <c r="FO38" s="242"/>
      <c r="FP38" s="242"/>
      <c r="FQ38" s="242"/>
      <c r="FR38"/>
      <c r="FS38"/>
      <c r="FT38"/>
      <c r="FU38"/>
      <c r="FV38"/>
      <c r="FW38"/>
      <c r="FX38" s="242"/>
      <c r="FY38" s="1220"/>
      <c r="FZ38" s="1220"/>
      <c r="GA38" s="1220"/>
      <c r="GB38" s="1220"/>
      <c r="GC38" s="1220"/>
      <c r="GD38" s="1220"/>
      <c r="GE38" s="1220"/>
      <c r="GF38" s="1220"/>
      <c r="GG38" s="1220"/>
      <c r="GH38" s="1220"/>
      <c r="GI38" s="1220"/>
      <c r="GJ38" s="1220"/>
      <c r="GK38" s="1220"/>
      <c r="GL38" s="1220"/>
      <c r="GM38" s="1220"/>
      <c r="GN38" s="1220"/>
      <c r="GO38" s="1220"/>
      <c r="GP38" s="1220"/>
      <c r="GQ38" s="1220"/>
      <c r="GR38" s="1220"/>
      <c r="GS38" s="1220"/>
      <c r="GT38" s="1220"/>
      <c r="GU38" s="1220"/>
      <c r="GV38" s="1220"/>
      <c r="GW38" s="1220"/>
      <c r="GX38" s="1220"/>
      <c r="GY38" s="1220"/>
      <c r="GZ38" s="1220"/>
      <c r="HA38" s="1220"/>
      <c r="HB38" s="1220"/>
      <c r="HC38" s="1220"/>
      <c r="HD38" s="1220"/>
      <c r="HE38" s="1220"/>
      <c r="HF38" s="1220"/>
      <c r="HG38" s="1220"/>
      <c r="HH38" s="1220"/>
      <c r="HI38" s="1220"/>
      <c r="HJ38" s="1220"/>
      <c r="HK38" s="1220"/>
      <c r="HL38" s="1220"/>
      <c r="HM38" s="1220"/>
      <c r="HN38" s="1220"/>
      <c r="HO38" s="1220"/>
      <c r="HP38" s="1220"/>
      <c r="HQ38" s="1220"/>
      <c r="HR38" s="1220"/>
      <c r="HS38" s="1220"/>
      <c r="HT38" s="1220"/>
      <c r="HU38" s="1220"/>
      <c r="HV38" s="1220"/>
      <c r="HW38" s="1220"/>
      <c r="HX38" s="1220"/>
      <c r="HY38" s="1220"/>
      <c r="HZ38" s="1220"/>
      <c r="IA38" s="1220"/>
      <c r="IB38" s="1220"/>
      <c r="IC38" s="1220"/>
      <c r="ID38" s="1220"/>
      <c r="IE38" s="1220"/>
      <c r="IF38" s="1220"/>
      <c r="IG38" s="1220"/>
      <c r="IH38" s="1220"/>
      <c r="II38" s="1220"/>
      <c r="IJ38" s="1220"/>
      <c r="IK38" s="1220"/>
      <c r="IL38" s="1220"/>
      <c r="IM38" s="1220"/>
      <c r="IN38" s="1220"/>
      <c r="IO38" s="1220"/>
      <c r="IP38" s="1220"/>
      <c r="IQ38" s="1220"/>
      <c r="IR38" s="1220"/>
      <c r="IS38" s="1220"/>
      <c r="IT38" s="1220"/>
      <c r="IU38" s="1220"/>
      <c r="IV38" s="1220"/>
      <c r="IW38" s="1220"/>
      <c r="IX38" s="1220"/>
      <c r="IY38" s="1220"/>
      <c r="IZ38" s="1220"/>
      <c r="JA38" s="1220"/>
      <c r="JB38" s="1220"/>
      <c r="JC38" s="1220"/>
      <c r="JD38" s="1220"/>
      <c r="JE38" s="1220"/>
      <c r="JF38" s="1220"/>
      <c r="JG38" s="1220"/>
      <c r="JH38" s="1220"/>
      <c r="JI38" s="1220"/>
      <c r="JJ38" s="1220"/>
      <c r="JK38" s="1220"/>
      <c r="JL38" s="1220"/>
      <c r="JM38" s="1220"/>
      <c r="JN38" s="1220"/>
    </row>
    <row r="39" spans="1:274" s="24" customFormat="1" ht="10.5" hidden="1" customHeight="1" outlineLevel="1" x14ac:dyDescent="0.2">
      <c r="A39" s="242" t="s">
        <v>569</v>
      </c>
      <c r="B39" s="20"/>
      <c r="C39" s="272" t="s">
        <v>945</v>
      </c>
      <c r="D39" s="272">
        <v>3.8940000000000001</v>
      </c>
      <c r="E39" s="272">
        <f>9.79+0.395</f>
        <v>10.184999999999999</v>
      </c>
      <c r="F39" s="272">
        <f>25.413+2.323</f>
        <v>27.736000000000001</v>
      </c>
      <c r="G39" s="272">
        <f>68.299+2.72</f>
        <v>71.019000000000005</v>
      </c>
      <c r="H39" s="272">
        <f>150.065-4.788</f>
        <v>145.27699999999999</v>
      </c>
      <c r="I39" s="272">
        <f>267.475+1.007</f>
        <v>268.48200000000003</v>
      </c>
      <c r="J39" s="272">
        <f>204.302+1.582</f>
        <v>205.88399999999999</v>
      </c>
      <c r="K39" s="272">
        <f>265.812+5.292</f>
        <v>271.10399999999998</v>
      </c>
      <c r="L39" s="272">
        <f>322.429+2.697</f>
        <v>325.12599999999998</v>
      </c>
      <c r="M39" s="272">
        <f>488.595-2.542</f>
        <v>486.05300000000005</v>
      </c>
      <c r="N39" s="261"/>
      <c r="O39" s="272" t="s">
        <v>945</v>
      </c>
      <c r="P39" s="272" t="s">
        <v>945</v>
      </c>
      <c r="Q39" s="272" t="s">
        <v>945</v>
      </c>
      <c r="R39" s="272" t="s">
        <v>945</v>
      </c>
      <c r="S39" s="844" t="str">
        <f>R39</f>
        <v>-</v>
      </c>
      <c r="T39" s="276"/>
      <c r="U39" s="844" t="s">
        <v>945</v>
      </c>
      <c r="V39" s="844" t="s">
        <v>945</v>
      </c>
      <c r="W39" s="844" t="s">
        <v>945</v>
      </c>
      <c r="X39" s="844" t="s">
        <v>945</v>
      </c>
      <c r="Y39" s="844" t="str">
        <f>X39</f>
        <v>-</v>
      </c>
      <c r="Z39" s="276"/>
      <c r="AA39" s="844" t="s">
        <v>945</v>
      </c>
      <c r="AB39" s="844" t="s">
        <v>945</v>
      </c>
      <c r="AC39" s="844" t="s">
        <v>945</v>
      </c>
      <c r="AD39" s="844" t="s">
        <v>945</v>
      </c>
      <c r="AE39" s="844" t="str">
        <f>AD39</f>
        <v>-</v>
      </c>
      <c r="AF39" s="276"/>
      <c r="AG39" s="844" t="s">
        <v>945</v>
      </c>
      <c r="AH39" s="844" t="s">
        <v>945</v>
      </c>
      <c r="AI39" s="844" t="s">
        <v>945</v>
      </c>
      <c r="AJ39" s="844" t="s">
        <v>945</v>
      </c>
      <c r="AK39" s="844" t="str">
        <f>AJ39</f>
        <v>-</v>
      </c>
      <c r="AL39" s="276"/>
      <c r="AM39" s="844" t="s">
        <v>945</v>
      </c>
      <c r="AN39" s="844" t="s">
        <v>945</v>
      </c>
      <c r="AO39" s="844" t="s">
        <v>945</v>
      </c>
      <c r="AP39" s="844" t="s">
        <v>945</v>
      </c>
      <c r="AQ39" s="844" t="str">
        <f>AP39</f>
        <v>-</v>
      </c>
      <c r="AR39" s="276"/>
      <c r="AS39" s="844" t="s">
        <v>945</v>
      </c>
      <c r="AT39" s="844" t="s">
        <v>945</v>
      </c>
      <c r="AU39" s="844" t="s">
        <v>945</v>
      </c>
      <c r="AV39" s="844">
        <v>3344</v>
      </c>
      <c r="AW39" s="844">
        <f>AV39</f>
        <v>3344</v>
      </c>
      <c r="AX39" s="276"/>
      <c r="AY39" s="60">
        <v>0</v>
      </c>
      <c r="AZ39" s="60">
        <v>1062.52</v>
      </c>
      <c r="BA39" s="60">
        <v>1729.25</v>
      </c>
      <c r="BB39" s="60">
        <v>1609.55</v>
      </c>
      <c r="BC39" s="844">
        <f>BB39</f>
        <v>1609.55</v>
      </c>
      <c r="BD39" s="276"/>
      <c r="BE39" s="60">
        <v>1400.4829999999999</v>
      </c>
      <c r="BF39" s="60">
        <v>910.42</v>
      </c>
      <c r="BG39" s="60">
        <f>1235.324</f>
        <v>1235.3240000000001</v>
      </c>
      <c r="BH39" s="60">
        <v>1210</v>
      </c>
      <c r="BI39" s="844">
        <f>BH39</f>
        <v>1210</v>
      </c>
      <c r="BJ39" s="276"/>
      <c r="BK39" s="60">
        <v>853</v>
      </c>
      <c r="BL39" s="60">
        <v>540</v>
      </c>
      <c r="BM39" s="60">
        <v>657</v>
      </c>
      <c r="BN39" s="60">
        <v>1092</v>
      </c>
      <c r="BO39" s="844">
        <f>BN39</f>
        <v>1092</v>
      </c>
      <c r="BP39" s="276"/>
      <c r="BQ39" s="60">
        <v>1347</v>
      </c>
      <c r="BR39" s="844">
        <v>1780</v>
      </c>
      <c r="BS39" s="844">
        <v>1828</v>
      </c>
      <c r="BT39" s="844">
        <v>2383</v>
      </c>
      <c r="BU39" s="844">
        <f>BT39</f>
        <v>2383</v>
      </c>
      <c r="BV39" s="276"/>
      <c r="BW39" s="844">
        <v>2398</v>
      </c>
      <c r="BX39" s="844">
        <v>2705</v>
      </c>
      <c r="BY39" s="844">
        <v>3245</v>
      </c>
      <c r="BZ39" s="844">
        <v>4043</v>
      </c>
      <c r="CA39" s="844">
        <f>BZ39</f>
        <v>4043</v>
      </c>
      <c r="CB39" s="276"/>
      <c r="CC39" s="844">
        <v>4334</v>
      </c>
      <c r="CD39" s="844">
        <v>5063</v>
      </c>
      <c r="CE39" s="844">
        <v>5828</v>
      </c>
      <c r="CF39" s="844">
        <v>5538</v>
      </c>
      <c r="CG39" s="436">
        <f>CF39</f>
        <v>5538</v>
      </c>
      <c r="CH39" s="276"/>
      <c r="CI39" s="844">
        <v>5295</v>
      </c>
      <c r="CJ39" s="844">
        <v>5367</v>
      </c>
      <c r="CK39" s="844">
        <v>5511</v>
      </c>
      <c r="CL39" s="844">
        <v>6223</v>
      </c>
      <c r="CM39" s="436">
        <f>CL39</f>
        <v>6223</v>
      </c>
      <c r="CN39" s="276"/>
      <c r="CO39" s="844">
        <v>6619</v>
      </c>
      <c r="CP39" s="844">
        <v>7478</v>
      </c>
      <c r="CQ39" s="844">
        <v>8368</v>
      </c>
      <c r="CR39" s="600">
        <v>9948</v>
      </c>
      <c r="CS39" s="436">
        <f>CR39</f>
        <v>9948</v>
      </c>
      <c r="CT39" s="439"/>
      <c r="CU39" s="844">
        <v>10566.6</v>
      </c>
      <c r="CV39" s="844">
        <v>10177.184000000001</v>
      </c>
      <c r="CW39" s="844">
        <v>10468</v>
      </c>
      <c r="CX39" s="844">
        <v>11894</v>
      </c>
      <c r="CY39" s="436">
        <f>CX39</f>
        <v>11894</v>
      </c>
      <c r="CZ39" s="442"/>
      <c r="DA39" s="844">
        <v>12563</v>
      </c>
      <c r="DB39" s="844">
        <v>13541</v>
      </c>
      <c r="DC39" s="844">
        <v>14257</v>
      </c>
      <c r="DD39" s="844">
        <v>16146</v>
      </c>
      <c r="DE39" s="436">
        <f>DD39</f>
        <v>16146</v>
      </c>
      <c r="DF39" s="442"/>
      <c r="DG39" s="844">
        <v>17027</v>
      </c>
      <c r="DH39" s="844">
        <v>18422</v>
      </c>
      <c r="DI39" s="844">
        <v>20059</v>
      </c>
      <c r="DJ39" s="844">
        <v>22581</v>
      </c>
      <c r="DK39" s="436">
        <f>DJ39</f>
        <v>22581</v>
      </c>
      <c r="DL39" s="442"/>
      <c r="DM39" s="844">
        <v>23385</v>
      </c>
      <c r="DN39" s="844">
        <f>24383</f>
        <v>24383</v>
      </c>
      <c r="DO39" s="844">
        <v>25116</v>
      </c>
      <c r="DP39" s="844">
        <v>26087</v>
      </c>
      <c r="DQ39" s="436">
        <f>DP39</f>
        <v>26087</v>
      </c>
      <c r="DR39" s="442"/>
      <c r="DS39" s="844">
        <v>25117</v>
      </c>
      <c r="DT39" s="844">
        <v>24746</v>
      </c>
      <c r="DU39" s="844">
        <v>24549</v>
      </c>
      <c r="DV39" s="844">
        <v>25854</v>
      </c>
      <c r="DW39" s="436">
        <f>DV39</f>
        <v>25854</v>
      </c>
      <c r="DX39" s="442"/>
      <c r="DY39" s="844">
        <v>24830</v>
      </c>
      <c r="DZ39" s="844">
        <v>24386</v>
      </c>
      <c r="EA39" s="844">
        <v>24606</v>
      </c>
      <c r="EB39" s="844">
        <v>25965</v>
      </c>
      <c r="EC39" s="436">
        <f>EB39</f>
        <v>25965</v>
      </c>
      <c r="ED39" s="442"/>
      <c r="EE39" s="844">
        <v>25838</v>
      </c>
      <c r="EF39" s="844">
        <v>25972</v>
      </c>
      <c r="EG39" s="844">
        <v>26165</v>
      </c>
      <c r="EH39" s="844">
        <v>26503</v>
      </c>
      <c r="EI39" s="436">
        <f>EH39</f>
        <v>26503</v>
      </c>
      <c r="EJ39" s="442"/>
      <c r="EK39" s="435">
        <v>24964</v>
      </c>
      <c r="EL39" s="844">
        <v>23737</v>
      </c>
      <c r="EM39" s="844">
        <v>23390</v>
      </c>
      <c r="EN39" s="844">
        <v>23888</v>
      </c>
      <c r="EO39" s="436">
        <f>EN39</f>
        <v>23888</v>
      </c>
      <c r="EP39" s="442"/>
      <c r="EQ39" s="435">
        <v>23380</v>
      </c>
      <c r="ER39" s="435">
        <v>24375</v>
      </c>
      <c r="ES39" s="435">
        <v>25576</v>
      </c>
      <c r="ET39" s="435">
        <v>27598</v>
      </c>
      <c r="EU39" s="436">
        <f>ET39</f>
        <v>27598</v>
      </c>
      <c r="EV39" s="442"/>
      <c r="EW39" s="435">
        <v>28586</v>
      </c>
      <c r="EX39" s="435">
        <v>28296</v>
      </c>
      <c r="EY39" s="435">
        <f>+EX39*1.04</f>
        <v>29427.84</v>
      </c>
      <c r="EZ39" s="435">
        <f>EZ210</f>
        <v>29121.151916543567</v>
      </c>
      <c r="FA39" s="436">
        <f>EZ39</f>
        <v>29121.151916543567</v>
      </c>
      <c r="FB39" s="442"/>
      <c r="FC39" s="435">
        <f>FC210</f>
        <v>27995.179804340263</v>
      </c>
      <c r="FD39" s="435">
        <f>FD210</f>
        <v>27203.213915064356</v>
      </c>
      <c r="FE39" s="435">
        <f>FE210</f>
        <v>26482.922235252343</v>
      </c>
      <c r="FF39" s="435">
        <f>FF210</f>
        <v>26416.67422936868</v>
      </c>
      <c r="FG39" s="436">
        <f>FF39</f>
        <v>26416.67422936868</v>
      </c>
      <c r="FH39" s="442"/>
      <c r="FI39" s="435">
        <f>FI210</f>
        <v>25522.957147806112</v>
      </c>
      <c r="FJ39" s="435">
        <f>FJ210</f>
        <v>24952.006617312436</v>
      </c>
      <c r="FK39" s="435">
        <f>FK210</f>
        <v>24427.939459186662</v>
      </c>
      <c r="FL39" s="435">
        <f>FL210</f>
        <v>24458.911888211725</v>
      </c>
      <c r="FM39" s="436">
        <f>FL39</f>
        <v>24458.911888211725</v>
      </c>
      <c r="FN39" s="242"/>
      <c r="FO39" s="242"/>
      <c r="FP39" s="242"/>
      <c r="FQ39" s="242"/>
      <c r="FR39"/>
      <c r="FS39"/>
      <c r="FT39"/>
      <c r="FU39"/>
      <c r="FV39"/>
      <c r="FW39"/>
      <c r="FX39" s="242"/>
      <c r="FY39" s="1220"/>
      <c r="FZ39" s="1220"/>
      <c r="GA39" s="1220"/>
      <c r="GB39" s="1220"/>
      <c r="GC39" s="1220"/>
      <c r="GD39" s="1220"/>
      <c r="GE39" s="1220"/>
      <c r="GF39" s="1220"/>
      <c r="GG39" s="1220"/>
      <c r="GH39" s="1220"/>
      <c r="GI39" s="1220"/>
      <c r="GJ39" s="1220"/>
      <c r="GK39" s="1220"/>
      <c r="GL39" s="1220"/>
      <c r="GM39" s="1220"/>
      <c r="GN39" s="1220"/>
      <c r="GO39" s="1220"/>
      <c r="GP39" s="1220"/>
      <c r="GQ39" s="1220"/>
      <c r="GR39" s="1220"/>
      <c r="GS39" s="1220"/>
      <c r="GT39" s="1220"/>
      <c r="GU39" s="1220"/>
      <c r="GV39" s="1220"/>
      <c r="GW39" s="1220"/>
      <c r="GX39" s="1220"/>
      <c r="GY39" s="1220"/>
      <c r="GZ39" s="1220"/>
      <c r="HA39" s="1220"/>
      <c r="HB39" s="1220"/>
      <c r="HC39" s="1220"/>
      <c r="HD39" s="1220"/>
      <c r="HE39" s="1220"/>
      <c r="HF39" s="1220"/>
      <c r="HG39" s="1220"/>
      <c r="HH39" s="1220"/>
      <c r="HI39" s="1220"/>
      <c r="HJ39" s="1220"/>
      <c r="HK39" s="1220"/>
      <c r="HL39" s="1220"/>
      <c r="HM39" s="1220"/>
      <c r="HN39" s="1220"/>
      <c r="HO39" s="1220"/>
      <c r="HP39" s="1220"/>
      <c r="HQ39" s="1220"/>
      <c r="HR39" s="1220"/>
      <c r="HS39" s="1220"/>
      <c r="HT39" s="1220"/>
      <c r="HU39" s="1220"/>
      <c r="HV39" s="1220"/>
      <c r="HW39" s="1220"/>
      <c r="HX39" s="1220"/>
      <c r="HY39" s="1220"/>
      <c r="HZ39" s="1220"/>
      <c r="IA39" s="1220"/>
      <c r="IB39" s="1220"/>
      <c r="IC39" s="1220"/>
      <c r="ID39" s="1220"/>
      <c r="IE39" s="1220"/>
      <c r="IF39" s="1220"/>
      <c r="IG39" s="1220"/>
      <c r="IH39" s="1220"/>
      <c r="II39" s="1220"/>
      <c r="IJ39" s="1220"/>
      <c r="IK39" s="1220"/>
      <c r="IL39" s="1220"/>
      <c r="IM39" s="1220"/>
      <c r="IN39" s="1220"/>
      <c r="IO39" s="1220"/>
      <c r="IP39" s="1220"/>
      <c r="IQ39" s="1220"/>
      <c r="IR39" s="1220"/>
      <c r="IS39" s="1220"/>
      <c r="IT39" s="1220"/>
      <c r="IU39" s="1220"/>
      <c r="IV39" s="1220"/>
      <c r="IW39" s="1220"/>
      <c r="IX39" s="1220"/>
      <c r="IY39" s="1220"/>
      <c r="IZ39" s="1220"/>
      <c r="JA39" s="1220"/>
      <c r="JB39" s="1220"/>
      <c r="JC39" s="1220"/>
      <c r="JD39" s="1220"/>
      <c r="JE39" s="1220"/>
      <c r="JF39" s="1220"/>
      <c r="JG39" s="1220"/>
      <c r="JH39" s="1220"/>
      <c r="JI39" s="1220"/>
      <c r="JJ39" s="1220"/>
      <c r="JK39" s="1220"/>
      <c r="JL39" s="1220"/>
      <c r="JM39" s="1220"/>
      <c r="JN39" s="1220"/>
    </row>
    <row r="40" spans="1:274" s="1364" customFormat="1" ht="10.5" customHeight="1" collapsed="1" x14ac:dyDescent="0.2">
      <c r="A40" s="1502" t="s">
        <v>570</v>
      </c>
      <c r="B40" s="1225"/>
      <c r="C40" s="1382">
        <f t="shared" ref="C40:M40" si="62">SUM(C37:C39)</f>
        <v>0</v>
      </c>
      <c r="D40" s="1382">
        <f t="shared" si="62"/>
        <v>7.367</v>
      </c>
      <c r="E40" s="1382">
        <f t="shared" si="62"/>
        <v>28.651</v>
      </c>
      <c r="F40" s="1382">
        <f t="shared" si="62"/>
        <v>82.655999999999992</v>
      </c>
      <c r="G40" s="1382">
        <f t="shared" si="62"/>
        <v>134.643</v>
      </c>
      <c r="H40" s="1382">
        <f t="shared" si="62"/>
        <v>230.55399999999997</v>
      </c>
      <c r="I40" s="1382">
        <f t="shared" si="62"/>
        <v>387.58500000000004</v>
      </c>
      <c r="J40" s="1382">
        <f t="shared" si="62"/>
        <v>344.685</v>
      </c>
      <c r="K40" s="1382">
        <f t="shared" si="62"/>
        <v>435.03399999999999</v>
      </c>
      <c r="L40" s="1382">
        <f t="shared" si="62"/>
        <v>528.03899999999999</v>
      </c>
      <c r="M40" s="1382">
        <f t="shared" si="62"/>
        <v>740.55300000000011</v>
      </c>
      <c r="N40" s="1503"/>
      <c r="O40" s="1382">
        <f>SUM(O37:O39)</f>
        <v>780.06100000000004</v>
      </c>
      <c r="P40" s="1382">
        <f>SUM(P37:P39)</f>
        <v>822.72699999999998</v>
      </c>
      <c r="Q40" s="1382">
        <f>SUM(Q37:Q39)</f>
        <v>943.01900000000001</v>
      </c>
      <c r="R40" s="1382">
        <f>SUM(R37:R39)</f>
        <v>1211.3579999999999</v>
      </c>
      <c r="S40" s="1504">
        <f>R40</f>
        <v>1211.3579999999999</v>
      </c>
      <c r="T40" s="1504"/>
      <c r="U40" s="1505">
        <f>SUM(U37:U39)</f>
        <v>1305.902</v>
      </c>
      <c r="V40" s="1505">
        <f>SUM(V37:V39)</f>
        <v>1461.6959999999999</v>
      </c>
      <c r="W40" s="1505">
        <f>SUM(W37:W39)</f>
        <v>1591.153</v>
      </c>
      <c r="X40" s="1505">
        <f>SUM(X37:X39)</f>
        <v>1870.4490000000001</v>
      </c>
      <c r="Y40" s="1504">
        <f>X40</f>
        <v>1870.4490000000001</v>
      </c>
      <c r="Z40" s="1504"/>
      <c r="AA40" s="1505">
        <f>SUM(AA37:AA39)</f>
        <v>1995.8530000000001</v>
      </c>
      <c r="AB40" s="1505">
        <f>SUM(AB37:AB39)</f>
        <v>2135.9360000000001</v>
      </c>
      <c r="AC40" s="1505">
        <f>SUM(AC37:AC39)</f>
        <v>2067.8969999999999</v>
      </c>
      <c r="AD40" s="1505">
        <f>SUM(AD37:AD39)</f>
        <v>2368.8220000000001</v>
      </c>
      <c r="AE40" s="1504">
        <f>AD40</f>
        <v>2368.8220000000001</v>
      </c>
      <c r="AF40" s="1504"/>
      <c r="AG40" s="1505">
        <f>SUM(AG37:AG39)</f>
        <v>2445.2919999999999</v>
      </c>
      <c r="AH40" s="1505">
        <f>SUM(AH37:AH39)</f>
        <v>2668.5749999999998</v>
      </c>
      <c r="AI40" s="1505">
        <f>SUM(AI37:AI39)</f>
        <v>2577.0340000000001</v>
      </c>
      <c r="AJ40" s="1505">
        <f>SUM(AJ37:AJ39)</f>
        <v>2957.558</v>
      </c>
      <c r="AK40" s="1504">
        <f>AJ40</f>
        <v>2957.558</v>
      </c>
      <c r="AL40" s="1504"/>
      <c r="AM40" s="1505">
        <f>SUM(AM37:AM39)</f>
        <v>3081.1990000000001</v>
      </c>
      <c r="AN40" s="1505">
        <f>SUM(AN37:AN39)</f>
        <v>3015.31</v>
      </c>
      <c r="AO40" s="1505">
        <f>SUM(AO37:AO39)</f>
        <v>3341.6489999999999</v>
      </c>
      <c r="AP40" s="1505">
        <f>SUM(AP37:AP39)</f>
        <v>3695.2669999999998</v>
      </c>
      <c r="AQ40" s="1504">
        <f>AP40</f>
        <v>3695.2669999999998</v>
      </c>
      <c r="AR40" s="1504"/>
      <c r="AS40" s="1505">
        <f>SUM(AS37:AS39)</f>
        <v>3500.4749999999999</v>
      </c>
      <c r="AT40" s="1505">
        <f>SUM(AT37:AT39)</f>
        <v>3400.556</v>
      </c>
      <c r="AU40" s="1505">
        <f>SUM(AU37:AU39)</f>
        <v>3984.288</v>
      </c>
      <c r="AV40" s="1505">
        <f>SUM(AV37:AV39)</f>
        <v>6457</v>
      </c>
      <c r="AW40" s="1504">
        <f>AV40</f>
        <v>6457</v>
      </c>
      <c r="AX40" s="1504"/>
      <c r="AY40" s="1505">
        <f>SUM(AY37:AY39)</f>
        <v>5370.8980000000001</v>
      </c>
      <c r="AZ40" s="1505">
        <f>SUM(AZ37:AZ39)</f>
        <v>4926.4629999999997</v>
      </c>
      <c r="BA40" s="1505">
        <f>SUM(BA37:BA39)</f>
        <v>5324.0720000000001</v>
      </c>
      <c r="BB40" s="1505">
        <f>SUM(BB37:BB39)</f>
        <v>6276.55</v>
      </c>
      <c r="BC40" s="1504">
        <f>BB40</f>
        <v>6276.55</v>
      </c>
      <c r="BD40" s="1504"/>
      <c r="BE40" s="1505">
        <f>SUM(BE37:BE39)</f>
        <v>6219.3230000000003</v>
      </c>
      <c r="BF40" s="1505">
        <f>SUM(BF37:BF39)</f>
        <v>5705.1319999999996</v>
      </c>
      <c r="BG40" s="1505">
        <f>SUM(BG37:BG39)</f>
        <v>5989.7009999999991</v>
      </c>
      <c r="BH40" s="1505">
        <f>SUM(BH37:BH39)</f>
        <v>6117</v>
      </c>
      <c r="BI40" s="1504">
        <f>BH40</f>
        <v>6117</v>
      </c>
      <c r="BJ40" s="1504"/>
      <c r="BK40" s="1505">
        <f>SUM(BK37:BK39)</f>
        <v>5735</v>
      </c>
      <c r="BL40" s="1505">
        <f>SUM(BL37:BL39)</f>
        <v>5298</v>
      </c>
      <c r="BM40" s="1505">
        <f>SUM(BM37:BM39)</f>
        <v>5584</v>
      </c>
      <c r="BN40" s="1505">
        <f>SUM(BN37:BN39)</f>
        <v>6320</v>
      </c>
      <c r="BO40" s="1504">
        <f>BN40</f>
        <v>6320</v>
      </c>
      <c r="BP40" s="1504"/>
      <c r="BQ40" s="1505">
        <f>SUM(BQ37:BQ39)</f>
        <v>6502</v>
      </c>
      <c r="BR40" s="1505">
        <f>SUM(BR37:BR39)</f>
        <v>7199</v>
      </c>
      <c r="BS40" s="1505">
        <f>SUM(BS37:BS39)</f>
        <v>7406</v>
      </c>
      <c r="BT40" s="1505">
        <v>7995</v>
      </c>
      <c r="BU40" s="1504">
        <f>BT40</f>
        <v>7995</v>
      </c>
      <c r="BV40" s="1504"/>
      <c r="BW40" s="1505">
        <f>SUM(BW37:BW39)</f>
        <v>8016</v>
      </c>
      <c r="BX40" s="1505">
        <f>SUM(BX37:BX39)</f>
        <v>8599</v>
      </c>
      <c r="BY40" s="1505">
        <f>SUM(BY37:BY39)</f>
        <v>9870</v>
      </c>
      <c r="BZ40" s="1505">
        <f>SUM(BZ37:BZ39)</f>
        <v>10837</v>
      </c>
      <c r="CA40" s="1504">
        <f>BZ40</f>
        <v>10837</v>
      </c>
      <c r="CB40" s="1504"/>
      <c r="CC40" s="1505">
        <f>SUM(CC37:CC39)</f>
        <v>11331</v>
      </c>
      <c r="CD40" s="1505">
        <f>SUM(CD37:CD39)</f>
        <v>12115</v>
      </c>
      <c r="CE40" s="1505">
        <f>SUM(CE37:CE39)</f>
        <v>15043</v>
      </c>
      <c r="CF40" s="1505">
        <f>SUM(CF37:CF39)</f>
        <v>15012</v>
      </c>
      <c r="CG40" s="1507">
        <f>CF40</f>
        <v>15012</v>
      </c>
      <c r="CH40" s="1504"/>
      <c r="CI40" s="1505">
        <f>SUM(CI37:CI39)</f>
        <v>14899</v>
      </c>
      <c r="CJ40" s="1505">
        <f>SUM(CJ37:CJ39)</f>
        <v>15514</v>
      </c>
      <c r="CK40" s="1505">
        <f>SUM(CK37:CK39)</f>
        <v>15791</v>
      </c>
      <c r="CL40" s="1505">
        <f>SUM(CL37:CL39)</f>
        <v>16919</v>
      </c>
      <c r="CM40" s="1507">
        <f>CL40</f>
        <v>16919</v>
      </c>
      <c r="CN40" s="1504"/>
      <c r="CO40" s="1505">
        <f>SUM(CO37:CO39)</f>
        <v>17785</v>
      </c>
      <c r="CP40" s="1505">
        <f>SUM(CP37:CP39)</f>
        <v>19295</v>
      </c>
      <c r="CQ40" s="1505">
        <v>20815</v>
      </c>
      <c r="CR40" s="1505">
        <f>SUM(CR37:CR39)</f>
        <v>23025</v>
      </c>
      <c r="CS40" s="1507">
        <f>CR40</f>
        <v>23025</v>
      </c>
      <c r="CT40" s="1379"/>
      <c r="CU40" s="1505">
        <f>SUM(CU37:CU39)</f>
        <v>23816</v>
      </c>
      <c r="CV40" s="1505">
        <f>SUM(CV37:CV39)</f>
        <v>22821</v>
      </c>
      <c r="CW40" s="1505">
        <f>SUM(CW37:CW39)</f>
        <v>23077</v>
      </c>
      <c r="CX40" s="1505">
        <f>SUM(CX37:CX39)</f>
        <v>25090</v>
      </c>
      <c r="CY40" s="1507">
        <f>CX40</f>
        <v>25090</v>
      </c>
      <c r="CZ40" s="1508"/>
      <c r="DA40" s="1505">
        <f>SUM(DA37:DA39)</f>
        <v>26143</v>
      </c>
      <c r="DB40" s="1505">
        <f>SUM(DB37:DB39)</f>
        <v>27531</v>
      </c>
      <c r="DC40" s="1505">
        <f>SUM(DC37:DC39)</f>
        <v>28476</v>
      </c>
      <c r="DD40" s="1505">
        <f>SUM(DD37:DD39)</f>
        <v>30798</v>
      </c>
      <c r="DE40" s="1507">
        <f>DD40</f>
        <v>30798</v>
      </c>
      <c r="DF40" s="1508"/>
      <c r="DG40" s="1505">
        <f>SUM(DG37:DG39)</f>
        <v>32106</v>
      </c>
      <c r="DH40" s="1505">
        <f>SUM(DH37:DH39)</f>
        <v>34412</v>
      </c>
      <c r="DI40" s="1505">
        <f>SUM(DI37:DI39)</f>
        <v>36617</v>
      </c>
      <c r="DJ40" s="1505">
        <f>SUM(DJ37:DJ39)</f>
        <v>39776</v>
      </c>
      <c r="DK40" s="1507">
        <f>DJ40</f>
        <v>39776</v>
      </c>
      <c r="DL40" s="1508"/>
      <c r="DM40" s="1505">
        <f>SUM(DM37:DM39)</f>
        <v>40892</v>
      </c>
      <c r="DN40" s="1505">
        <f>SUM(DN37:DN39)</f>
        <v>41920</v>
      </c>
      <c r="DO40" s="1505">
        <f>SUM(DO37:DO39)</f>
        <v>42873</v>
      </c>
      <c r="DP40" s="1505">
        <f>44087-393</f>
        <v>43694</v>
      </c>
      <c r="DQ40" s="1507">
        <f>DP40</f>
        <v>43694</v>
      </c>
      <c r="DR40" s="1508"/>
      <c r="DS40" s="1505">
        <f>43736-407</f>
        <v>43329</v>
      </c>
      <c r="DT40" s="1505">
        <f>43410-427</f>
        <v>42983</v>
      </c>
      <c r="DU40" s="1505">
        <v>43348</v>
      </c>
      <c r="DV40" s="1505">
        <v>44648</v>
      </c>
      <c r="DW40" s="1507">
        <f>DV40</f>
        <v>44648</v>
      </c>
      <c r="DX40" s="1508"/>
      <c r="DY40" s="1505">
        <v>43541</v>
      </c>
      <c r="DZ40" s="1505">
        <f>44066-DZ41</f>
        <v>43563</v>
      </c>
      <c r="EA40" s="1505">
        <f>45235-EA41</f>
        <v>44707</v>
      </c>
      <c r="EB40" s="1505">
        <f>47447-EB41</f>
        <v>46878</v>
      </c>
      <c r="EC40" s="1507">
        <f>EB40</f>
        <v>46878</v>
      </c>
      <c r="ED40" s="1508"/>
      <c r="EE40" s="1505">
        <f>47931-EE41</f>
        <v>47354</v>
      </c>
      <c r="EF40" s="1505">
        <f>47962-EF41</f>
        <v>47543</v>
      </c>
      <c r="EG40" s="1505">
        <f>48532-EG41</f>
        <v>48095</v>
      </c>
      <c r="EH40" s="1505">
        <f>49098-EH41</f>
        <v>48663</v>
      </c>
      <c r="EI40" s="1507">
        <f>EH40</f>
        <v>48663</v>
      </c>
      <c r="EJ40" s="1380"/>
      <c r="EK40" s="1376">
        <f>47538-EK41</f>
        <v>47097</v>
      </c>
      <c r="EL40" s="1505">
        <f>46332-EL41</f>
        <v>45924</v>
      </c>
      <c r="EM40" s="1505">
        <f>46336-EM41</f>
        <v>45870</v>
      </c>
      <c r="EN40" s="1505">
        <f>47790-EN41</f>
        <v>47289</v>
      </c>
      <c r="EO40" s="1378">
        <f>EN40</f>
        <v>47289</v>
      </c>
      <c r="EP40" s="1380"/>
      <c r="EQ40" s="1376">
        <f>47832-EQ41</f>
        <v>47435</v>
      </c>
      <c r="ER40" s="1376">
        <f>48845-ER41</f>
        <v>48462</v>
      </c>
      <c r="ES40" s="1376">
        <f>51023-ES41</f>
        <v>50615</v>
      </c>
      <c r="ET40" s="1505">
        <f>54246-ET41</f>
        <v>53860</v>
      </c>
      <c r="EU40" s="1378">
        <f>ET40</f>
        <v>53860</v>
      </c>
      <c r="EV40" s="1380"/>
      <c r="EW40" s="1376">
        <f>56366-EW41</f>
        <v>55959</v>
      </c>
      <c r="EX40" s="1376">
        <f>56300-EX41</f>
        <v>55868</v>
      </c>
      <c r="EY40" s="1376">
        <f>48272-EY41</f>
        <v>47840</v>
      </c>
      <c r="EZ40" s="1376">
        <f>SUM(EZ37:EZ39)</f>
        <v>47629.482143270929</v>
      </c>
      <c r="FA40" s="1378">
        <f>EZ40</f>
        <v>47629.482143270929</v>
      </c>
      <c r="FB40" s="1380"/>
      <c r="FC40" s="1376">
        <f>SUM(FC37:FC39)</f>
        <v>48261.106556599872</v>
      </c>
      <c r="FD40" s="1376">
        <f>SUM(FD37:FD39)</f>
        <v>49226.737192856221</v>
      </c>
      <c r="FE40" s="1376">
        <f>SUM(FE37:FE39)</f>
        <v>50264.042038576445</v>
      </c>
      <c r="FF40" s="1376">
        <f>SUM(FF37:FF39)</f>
        <v>51955.390558225015</v>
      </c>
      <c r="FG40" s="1378">
        <f>FF40</f>
        <v>51955.390558225015</v>
      </c>
      <c r="FH40" s="1380"/>
      <c r="FI40" s="1376">
        <f>SUM(FI37:FI39)</f>
        <v>53047.344422445633</v>
      </c>
      <c r="FJ40" s="1376">
        <f>SUM(FJ37:FJ39)</f>
        <v>54462.064837735132</v>
      </c>
      <c r="FK40" s="1376">
        <f>SUM(FK37:FK39)</f>
        <v>55923.668625392544</v>
      </c>
      <c r="FL40" s="1376">
        <f>SUM(FL37:FL39)</f>
        <v>57940.312000200822</v>
      </c>
      <c r="FM40" s="1378">
        <f>FL40</f>
        <v>57940.312000200822</v>
      </c>
      <c r="FN40" s="1399"/>
      <c r="FO40" s="1400"/>
      <c r="FP40" s="1399"/>
      <c r="FQ40" s="1399"/>
      <c r="FR40"/>
      <c r="FS40"/>
      <c r="FT40"/>
      <c r="FU40"/>
      <c r="FV40"/>
      <c r="FW40"/>
      <c r="FX40" s="1399"/>
      <c r="FY40" s="1397"/>
      <c r="FZ40" s="1397"/>
      <c r="GA40" s="1397"/>
      <c r="GB40" s="1397"/>
      <c r="GC40" s="1397"/>
      <c r="GD40" s="1397"/>
      <c r="GE40" s="1397"/>
      <c r="GF40" s="1397"/>
      <c r="GG40" s="1397"/>
      <c r="GH40" s="1397"/>
      <c r="GI40" s="1397"/>
      <c r="GJ40" s="1397"/>
      <c r="GK40" s="1397"/>
      <c r="GL40" s="1397"/>
      <c r="GM40" s="1397"/>
      <c r="GN40" s="1397"/>
      <c r="GO40" s="1397"/>
      <c r="GP40" s="1397"/>
      <c r="GQ40" s="1397"/>
      <c r="GR40" s="1397"/>
      <c r="GS40" s="1397"/>
      <c r="GT40" s="1397"/>
      <c r="GU40" s="1397"/>
      <c r="GV40" s="1397"/>
      <c r="GW40" s="1397"/>
      <c r="GX40" s="1397"/>
      <c r="GY40" s="1397"/>
      <c r="GZ40" s="1397"/>
      <c r="HA40" s="1397"/>
      <c r="HB40" s="1397"/>
      <c r="HC40" s="1397"/>
      <c r="HD40" s="1397"/>
      <c r="HE40" s="1397"/>
      <c r="HF40" s="1397"/>
      <c r="HG40" s="1397"/>
      <c r="HH40" s="1397"/>
      <c r="HI40" s="1397"/>
      <c r="HJ40" s="1397"/>
      <c r="HK40" s="1397"/>
      <c r="HL40" s="1397"/>
      <c r="HM40" s="1397"/>
      <c r="HN40" s="1397"/>
      <c r="HO40" s="1397"/>
      <c r="HP40" s="1397"/>
      <c r="HQ40" s="1397"/>
      <c r="HR40" s="1397"/>
      <c r="HS40" s="1397"/>
      <c r="HT40" s="1397"/>
      <c r="HU40" s="1397"/>
      <c r="HV40" s="1397"/>
      <c r="HW40" s="1397"/>
      <c r="HX40" s="1397"/>
      <c r="HY40" s="1397"/>
      <c r="HZ40" s="1397"/>
      <c r="IA40" s="1397"/>
      <c r="IB40" s="1397"/>
      <c r="IC40" s="1397"/>
      <c r="ID40" s="1397"/>
      <c r="IE40" s="1397"/>
      <c r="IF40" s="1397"/>
      <c r="IG40" s="1397"/>
      <c r="IH40" s="1397"/>
      <c r="II40" s="1397"/>
      <c r="IJ40" s="1397"/>
      <c r="IK40" s="1397"/>
      <c r="IL40" s="1397"/>
      <c r="IM40" s="1397"/>
      <c r="IN40" s="1397"/>
      <c r="IO40" s="1397"/>
      <c r="IP40" s="1397"/>
      <c r="IQ40" s="1397"/>
      <c r="IR40" s="1397"/>
      <c r="IS40" s="1397"/>
      <c r="IT40" s="1397"/>
      <c r="IU40" s="1397"/>
      <c r="IV40" s="1397"/>
      <c r="IW40" s="1397"/>
      <c r="IX40" s="1397"/>
      <c r="IY40" s="1397"/>
      <c r="IZ40" s="1397"/>
      <c r="JA40" s="1397"/>
      <c r="JB40" s="1397"/>
      <c r="JC40" s="1397"/>
      <c r="JD40" s="1397"/>
      <c r="JE40" s="1397"/>
      <c r="JF40" s="1397"/>
      <c r="JG40" s="1397"/>
      <c r="JH40" s="1397"/>
      <c r="JI40" s="1397"/>
      <c r="JJ40" s="1397"/>
      <c r="JK40" s="1397"/>
      <c r="JL40" s="1397"/>
      <c r="JM40" s="1397"/>
      <c r="JN40" s="1397"/>
    </row>
    <row r="41" spans="1:274" s="1523" customFormat="1" ht="12.75" customHeight="1" x14ac:dyDescent="0.2">
      <c r="A41" s="1550" t="s">
        <v>518</v>
      </c>
      <c r="B41" s="1517"/>
      <c r="C41" s="1551"/>
      <c r="D41" s="1551"/>
      <c r="E41" s="1551"/>
      <c r="F41" s="1551"/>
      <c r="G41" s="1551"/>
      <c r="H41" s="1551"/>
      <c r="I41" s="1551"/>
      <c r="J41" s="1551"/>
      <c r="K41" s="1551"/>
      <c r="L41" s="1551"/>
      <c r="M41" s="1551"/>
      <c r="N41" s="1551"/>
      <c r="O41" s="1552"/>
      <c r="P41" s="1552"/>
      <c r="Q41" s="1552"/>
      <c r="R41" s="1551"/>
      <c r="S41" s="1553"/>
      <c r="T41" s="1553"/>
      <c r="U41" s="1553"/>
      <c r="V41" s="1553"/>
      <c r="W41" s="1553"/>
      <c r="X41" s="1553"/>
      <c r="Y41" s="1553"/>
      <c r="Z41" s="1553"/>
      <c r="AA41" s="1553"/>
      <c r="AB41" s="1553"/>
      <c r="AC41" s="1553"/>
      <c r="AD41" s="1553"/>
      <c r="AE41" s="1553"/>
      <c r="AF41" s="1553"/>
      <c r="AG41" s="1553"/>
      <c r="AH41" s="1553"/>
      <c r="AI41" s="1553"/>
      <c r="AJ41" s="1553"/>
      <c r="AK41" s="1553"/>
      <c r="AL41" s="1553"/>
      <c r="AM41" s="1553"/>
      <c r="AN41" s="1553"/>
      <c r="AO41" s="1553"/>
      <c r="AP41" s="1553"/>
      <c r="AQ41" s="1553"/>
      <c r="AR41" s="1553"/>
      <c r="AS41" s="1553"/>
      <c r="AT41" s="1553"/>
      <c r="AU41" s="1553"/>
      <c r="AV41" s="1553"/>
      <c r="AW41" s="1553"/>
      <c r="AX41" s="1553"/>
      <c r="AY41" s="1553"/>
      <c r="AZ41" s="1553"/>
      <c r="BA41" s="1553"/>
      <c r="BB41" s="1553"/>
      <c r="BC41" s="1553"/>
      <c r="BD41" s="1553"/>
      <c r="BE41" s="1553"/>
      <c r="BF41" s="1553"/>
      <c r="BG41" s="1553"/>
      <c r="BH41" s="1553"/>
      <c r="BI41" s="1553"/>
      <c r="BJ41" s="1553"/>
      <c r="BK41" s="1553"/>
      <c r="BL41" s="1553"/>
      <c r="BM41" s="1553"/>
      <c r="BN41" s="1553"/>
      <c r="BO41" s="1553"/>
      <c r="BP41" s="1553"/>
      <c r="BQ41" s="1553"/>
      <c r="BR41" s="1553"/>
      <c r="BS41" s="1553"/>
      <c r="BT41" s="1553"/>
      <c r="BU41" s="1553"/>
      <c r="BV41" s="1553"/>
      <c r="BW41" s="1553"/>
      <c r="BX41" s="1553"/>
      <c r="BY41" s="1553"/>
      <c r="BZ41" s="1553"/>
      <c r="CA41" s="1553"/>
      <c r="CB41" s="1553"/>
      <c r="CC41" s="1553"/>
      <c r="CD41" s="1553"/>
      <c r="CE41" s="1553"/>
      <c r="CF41" s="1553"/>
      <c r="CG41" s="1554"/>
      <c r="CH41" s="1553"/>
      <c r="CI41" s="1553"/>
      <c r="CJ41" s="1553"/>
      <c r="CK41" s="1553"/>
      <c r="CL41" s="1553"/>
      <c r="CM41" s="1554"/>
      <c r="CN41" s="1553"/>
      <c r="CO41" s="1553"/>
      <c r="CP41" s="1553"/>
      <c r="CQ41" s="1553"/>
      <c r="CR41" s="1553"/>
      <c r="CS41" s="1554"/>
      <c r="CT41" s="1531"/>
      <c r="CU41" s="1553"/>
      <c r="CV41" s="1553"/>
      <c r="CW41" s="1553"/>
      <c r="CX41" s="1553"/>
      <c r="CY41" s="1554"/>
      <c r="CZ41" s="1553"/>
      <c r="DA41" s="1529">
        <v>344</v>
      </c>
      <c r="DB41" s="1529">
        <v>384</v>
      </c>
      <c r="DC41" s="1529">
        <v>375</v>
      </c>
      <c r="DD41" s="1529">
        <v>401</v>
      </c>
      <c r="DE41" s="1536">
        <f>DD41</f>
        <v>401</v>
      </c>
      <c r="DF41" s="1553"/>
      <c r="DG41" s="1529">
        <v>406</v>
      </c>
      <c r="DH41" s="1529">
        <v>438</v>
      </c>
      <c r="DI41" s="1529">
        <v>442</v>
      </c>
      <c r="DJ41" s="1529">
        <v>469</v>
      </c>
      <c r="DK41" s="1536">
        <f>DJ41</f>
        <v>469</v>
      </c>
      <c r="DL41" s="1553"/>
      <c r="DM41" s="1529">
        <v>347</v>
      </c>
      <c r="DN41" s="1529">
        <v>347</v>
      </c>
      <c r="DO41" s="1529">
        <v>393</v>
      </c>
      <c r="DP41" s="1529">
        <v>399</v>
      </c>
      <c r="DQ41" s="1536">
        <f>DP41</f>
        <v>399</v>
      </c>
      <c r="DR41" s="1553"/>
      <c r="DS41" s="1529">
        <v>407</v>
      </c>
      <c r="DT41" s="1529">
        <v>427</v>
      </c>
      <c r="DU41" s="1529">
        <v>442</v>
      </c>
      <c r="DV41" s="1529">
        <v>497</v>
      </c>
      <c r="DW41" s="1536">
        <f>DV41</f>
        <v>497</v>
      </c>
      <c r="DX41" s="1553"/>
      <c r="DY41" s="1529">
        <v>445</v>
      </c>
      <c r="DZ41" s="1529">
        <v>503</v>
      </c>
      <c r="EA41" s="1529">
        <v>528</v>
      </c>
      <c r="EB41" s="1529">
        <v>569</v>
      </c>
      <c r="EC41" s="1536">
        <f>EB41</f>
        <v>569</v>
      </c>
      <c r="ED41" s="1553"/>
      <c r="EE41" s="1529">
        <v>577</v>
      </c>
      <c r="EF41" s="1529">
        <v>419</v>
      </c>
      <c r="EG41" s="1529">
        <v>437</v>
      </c>
      <c r="EH41" s="60">
        <v>435</v>
      </c>
      <c r="EI41" s="1536">
        <f>EH41</f>
        <v>435</v>
      </c>
      <c r="EJ41" s="1553"/>
      <c r="EK41" s="1529">
        <v>441</v>
      </c>
      <c r="EL41" s="1529">
        <v>408</v>
      </c>
      <c r="EM41" s="1529">
        <v>466</v>
      </c>
      <c r="EN41" s="60">
        <v>501</v>
      </c>
      <c r="EO41" s="1536">
        <f>EN41</f>
        <v>501</v>
      </c>
      <c r="EP41" s="1553"/>
      <c r="EQ41" s="1529">
        <v>397</v>
      </c>
      <c r="ER41" s="1529">
        <v>383</v>
      </c>
      <c r="ES41" s="1529">
        <v>408</v>
      </c>
      <c r="ET41" s="60">
        <v>386</v>
      </c>
      <c r="EU41" s="1536">
        <f>ET41</f>
        <v>386</v>
      </c>
      <c r="EV41" s="1553"/>
      <c r="EW41" s="1529">
        <v>407</v>
      </c>
      <c r="EX41" s="1529">
        <v>432</v>
      </c>
      <c r="EY41" s="1529">
        <f>EX41</f>
        <v>432</v>
      </c>
      <c r="EZ41" s="1529">
        <f>EY41</f>
        <v>432</v>
      </c>
      <c r="FA41" s="1536">
        <f>EZ41</f>
        <v>432</v>
      </c>
      <c r="FB41" s="1553"/>
      <c r="FC41" s="1529">
        <f>EZ41</f>
        <v>432</v>
      </c>
      <c r="FD41" s="1529">
        <f>FC41</f>
        <v>432</v>
      </c>
      <c r="FE41" s="1529">
        <f>FD41</f>
        <v>432</v>
      </c>
      <c r="FF41" s="1529">
        <f>FE41</f>
        <v>432</v>
      </c>
      <c r="FG41" s="1536">
        <f>FF41</f>
        <v>432</v>
      </c>
      <c r="FH41" s="1553"/>
      <c r="FI41" s="1529">
        <f>FF41</f>
        <v>432</v>
      </c>
      <c r="FJ41" s="1529">
        <f>FI41</f>
        <v>432</v>
      </c>
      <c r="FK41" s="1529">
        <f>FJ41</f>
        <v>432</v>
      </c>
      <c r="FL41" s="1529">
        <f>FK41</f>
        <v>432</v>
      </c>
      <c r="FM41" s="1536">
        <f>FL41</f>
        <v>432</v>
      </c>
      <c r="FN41" s="1551"/>
      <c r="FO41" s="1524"/>
      <c r="FP41" s="1555"/>
      <c r="FQ41" s="1555"/>
      <c r="FR41"/>
      <c r="FS41"/>
      <c r="FT41"/>
      <c r="FU41"/>
      <c r="FV41"/>
      <c r="FW41"/>
      <c r="FX41" s="1551"/>
      <c r="FY41" s="1522"/>
      <c r="FZ41" s="1522"/>
      <c r="GA41" s="1522"/>
      <c r="GB41" s="1522"/>
      <c r="GC41" s="1522"/>
      <c r="GD41" s="1522"/>
      <c r="GE41" s="1522"/>
      <c r="GF41" s="1522"/>
      <c r="GG41" s="1522"/>
      <c r="GH41" s="1522"/>
      <c r="GI41" s="1522"/>
      <c r="GJ41" s="1522"/>
      <c r="GK41" s="1522"/>
      <c r="GL41" s="1522"/>
      <c r="GM41" s="1522"/>
      <c r="GN41" s="1522"/>
      <c r="GO41" s="1522"/>
      <c r="GP41" s="1522"/>
      <c r="GQ41" s="1522"/>
      <c r="GR41" s="1522"/>
      <c r="GS41" s="1522"/>
      <c r="GT41" s="1522"/>
      <c r="GU41" s="1522"/>
      <c r="GV41" s="1522"/>
      <c r="GW41" s="1522"/>
      <c r="GX41" s="1522"/>
      <c r="GY41" s="1522"/>
      <c r="GZ41" s="1522"/>
      <c r="HA41" s="1522"/>
      <c r="HB41" s="1522"/>
      <c r="HC41" s="1522"/>
      <c r="HD41" s="1522"/>
      <c r="HE41" s="1522"/>
      <c r="HF41" s="1522"/>
      <c r="HG41" s="1522"/>
      <c r="HH41" s="1522"/>
      <c r="HI41" s="1522"/>
      <c r="HJ41" s="1522"/>
      <c r="HK41" s="1522"/>
      <c r="HL41" s="1522"/>
      <c r="HM41" s="1522"/>
      <c r="HN41" s="1522"/>
      <c r="HO41" s="1522"/>
      <c r="HP41" s="1522"/>
      <c r="HQ41" s="1522"/>
      <c r="HR41" s="1522"/>
      <c r="HS41" s="1522"/>
      <c r="HT41" s="1522"/>
      <c r="HU41" s="1522"/>
      <c r="HV41" s="1522"/>
      <c r="HW41" s="1522"/>
      <c r="HX41" s="1522"/>
      <c r="HY41" s="1522"/>
      <c r="HZ41" s="1522"/>
      <c r="IA41" s="1522"/>
      <c r="IB41" s="1522"/>
      <c r="IC41" s="1522"/>
      <c r="ID41" s="1522"/>
      <c r="IE41" s="1522"/>
      <c r="IF41" s="1522"/>
      <c r="IG41" s="1522"/>
      <c r="IH41" s="1522"/>
      <c r="II41" s="1522"/>
      <c r="IJ41" s="1522"/>
      <c r="IK41" s="1522"/>
      <c r="IL41" s="1522"/>
      <c r="IM41" s="1522"/>
      <c r="IN41" s="1522"/>
      <c r="IO41" s="1522"/>
      <c r="IP41" s="1522"/>
      <c r="IQ41" s="1522"/>
      <c r="IR41" s="1522"/>
      <c r="IS41" s="1522"/>
      <c r="IT41" s="1522"/>
      <c r="IU41" s="1522"/>
      <c r="IV41" s="1522"/>
      <c r="IW41" s="1522"/>
      <c r="IX41" s="1522"/>
      <c r="IY41" s="1522"/>
      <c r="IZ41" s="1522"/>
      <c r="JA41" s="1522"/>
      <c r="JB41" s="1522"/>
      <c r="JC41" s="1522"/>
      <c r="JD41" s="1522"/>
      <c r="JE41" s="1522"/>
      <c r="JF41" s="1522"/>
      <c r="JG41" s="1522"/>
      <c r="JH41" s="1522"/>
      <c r="JI41" s="1522"/>
      <c r="JJ41" s="1522"/>
      <c r="JK41" s="1522"/>
      <c r="JL41" s="1522"/>
      <c r="JM41" s="1522"/>
      <c r="JN41" s="1522"/>
    </row>
    <row r="42" spans="1:274" s="24" customFormat="1" ht="5.25" customHeight="1" thickBot="1" x14ac:dyDescent="0.25">
      <c r="A42" s="341"/>
      <c r="B42" s="20"/>
      <c r="C42" s="135"/>
      <c r="D42" s="135"/>
      <c r="E42" s="135"/>
      <c r="F42" s="135"/>
      <c r="G42" s="135"/>
      <c r="H42" s="135"/>
      <c r="I42" s="135"/>
      <c r="J42" s="135"/>
      <c r="K42" s="135"/>
      <c r="L42" s="135"/>
      <c r="M42" s="135"/>
      <c r="N42" s="135"/>
      <c r="O42" s="42"/>
      <c r="P42" s="42"/>
      <c r="Q42" s="42"/>
      <c r="R42" s="135"/>
      <c r="S42" s="444"/>
      <c r="T42" s="444"/>
      <c r="U42" s="444"/>
      <c r="V42" s="444"/>
      <c r="W42" s="444"/>
      <c r="X42" s="444"/>
      <c r="Y42" s="444"/>
      <c r="Z42" s="444"/>
      <c r="AA42" s="444"/>
      <c r="AB42" s="444"/>
      <c r="AC42" s="444"/>
      <c r="AD42" s="444"/>
      <c r="AE42" s="444"/>
      <c r="AF42" s="444"/>
      <c r="AG42" s="444"/>
      <c r="AH42" s="444"/>
      <c r="AI42" s="444"/>
      <c r="AJ42" s="444"/>
      <c r="AK42" s="444"/>
      <c r="AL42" s="444"/>
      <c r="AM42" s="444"/>
      <c r="AN42" s="444"/>
      <c r="AO42" s="444"/>
      <c r="AP42" s="444"/>
      <c r="AQ42" s="444"/>
      <c r="AR42" s="444"/>
      <c r="AS42" s="444"/>
      <c r="AT42" s="444"/>
      <c r="AU42" s="444"/>
      <c r="AV42" s="444"/>
      <c r="AW42" s="444"/>
      <c r="AX42" s="444"/>
      <c r="AY42" s="444"/>
      <c r="AZ42" s="444"/>
      <c r="BA42" s="444"/>
      <c r="BB42" s="444"/>
      <c r="BC42" s="444"/>
      <c r="BD42" s="444"/>
      <c r="BE42" s="444"/>
      <c r="BF42" s="444"/>
      <c r="BG42" s="444"/>
      <c r="BH42" s="444"/>
      <c r="BI42" s="444"/>
      <c r="BJ42" s="444"/>
      <c r="BK42" s="444"/>
      <c r="BL42" s="444"/>
      <c r="BM42" s="444"/>
      <c r="BN42" s="444"/>
      <c r="BO42" s="444"/>
      <c r="BP42" s="444"/>
      <c r="BQ42" s="444"/>
      <c r="BR42" s="444"/>
      <c r="BS42" s="444"/>
      <c r="BT42" s="444"/>
      <c r="BU42" s="444"/>
      <c r="BV42" s="444"/>
      <c r="BW42" s="444"/>
      <c r="BX42" s="444"/>
      <c r="BY42" s="444"/>
      <c r="BZ42" s="444"/>
      <c r="CA42" s="444"/>
      <c r="CB42" s="444"/>
      <c r="CC42" s="444"/>
      <c r="CD42" s="444"/>
      <c r="CE42" s="444"/>
      <c r="CF42" s="444"/>
      <c r="CG42" s="984"/>
      <c r="CH42" s="444"/>
      <c r="CI42" s="444"/>
      <c r="CJ42" s="444"/>
      <c r="CK42" s="444"/>
      <c r="CL42" s="444"/>
      <c r="CM42" s="984"/>
      <c r="CN42" s="444"/>
      <c r="CO42" s="444"/>
      <c r="CP42" s="444"/>
      <c r="CQ42" s="444"/>
      <c r="CR42" s="444"/>
      <c r="CS42" s="984"/>
      <c r="CT42" s="437"/>
      <c r="CU42" s="444"/>
      <c r="CV42" s="444"/>
      <c r="CW42" s="444"/>
      <c r="CX42" s="444"/>
      <c r="CY42" s="984"/>
      <c r="CZ42" s="444"/>
      <c r="DA42" s="444"/>
      <c r="DB42" s="444"/>
      <c r="DC42" s="444"/>
      <c r="DD42" s="444"/>
      <c r="DE42" s="984"/>
      <c r="DF42" s="444"/>
      <c r="DG42" s="444"/>
      <c r="DH42" s="444"/>
      <c r="DI42" s="444"/>
      <c r="DJ42" s="444"/>
      <c r="DK42" s="984"/>
      <c r="DL42" s="444"/>
      <c r="DM42" s="444"/>
      <c r="DN42" s="444"/>
      <c r="DO42" s="444"/>
      <c r="DP42" s="444"/>
      <c r="DQ42" s="984"/>
      <c r="DR42" s="444"/>
      <c r="DS42" s="444"/>
      <c r="DT42" s="444"/>
      <c r="DU42" s="444"/>
      <c r="DV42" s="444"/>
      <c r="DW42" s="984"/>
      <c r="DX42" s="444"/>
      <c r="DY42" s="444"/>
      <c r="DZ42" s="444"/>
      <c r="EA42" s="444"/>
      <c r="EB42" s="444"/>
      <c r="EC42" s="984"/>
      <c r="ED42" s="444"/>
      <c r="EE42" s="444"/>
      <c r="EF42" s="444"/>
      <c r="EG42" s="444"/>
      <c r="EH42" s="444"/>
      <c r="EI42" s="984"/>
      <c r="EJ42" s="444"/>
      <c r="EK42" s="444"/>
      <c r="EL42" s="444"/>
      <c r="EM42" s="444"/>
      <c r="EN42" s="444"/>
      <c r="EO42" s="984"/>
      <c r="EP42" s="444"/>
      <c r="EQ42" s="444"/>
      <c r="ER42" s="444"/>
      <c r="ES42" s="444"/>
      <c r="ET42" s="444"/>
      <c r="EU42" s="984"/>
      <c r="EV42" s="444"/>
      <c r="EW42" s="444"/>
      <c r="EX42" s="444"/>
      <c r="EY42" s="444"/>
      <c r="EZ42" s="444"/>
      <c r="FA42" s="984"/>
      <c r="FB42" s="444"/>
      <c r="FC42" s="444"/>
      <c r="FD42" s="444"/>
      <c r="FE42" s="444"/>
      <c r="FF42" s="444"/>
      <c r="FG42" s="984"/>
      <c r="FH42" s="444"/>
      <c r="FI42" s="444"/>
      <c r="FJ42" s="444"/>
      <c r="FK42" s="444"/>
      <c r="FL42" s="444"/>
      <c r="FM42" s="984"/>
      <c r="FN42" s="135"/>
      <c r="FO42" s="242"/>
      <c r="FP42" s="135"/>
      <c r="FQ42" s="135"/>
      <c r="FR42"/>
      <c r="FS42"/>
      <c r="FT42"/>
      <c r="FU42"/>
      <c r="FV42"/>
      <c r="FW42"/>
      <c r="FX42" s="135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</row>
    <row r="43" spans="1:274" s="24" customFormat="1" ht="12.75" customHeight="1" thickBot="1" x14ac:dyDescent="0.25">
      <c r="A43" s="1512" t="s">
        <v>575</v>
      </c>
      <c r="B43" s="1383"/>
      <c r="C43" s="1384">
        <f t="shared" ref="C43:H43" si="63">C40+C35</f>
        <v>0</v>
      </c>
      <c r="D43" s="1384">
        <f t="shared" si="63"/>
        <v>15.463000000000001</v>
      </c>
      <c r="E43" s="1384">
        <f t="shared" si="63"/>
        <v>57.427999999999997</v>
      </c>
      <c r="F43" s="1384">
        <f t="shared" si="63"/>
        <v>143.79199999999997</v>
      </c>
      <c r="G43" s="1384">
        <f t="shared" si="63"/>
        <v>249.56799999999998</v>
      </c>
      <c r="H43" s="1384">
        <f t="shared" si="63"/>
        <v>460.20899999999995</v>
      </c>
      <c r="I43" s="1384">
        <f>I40+I35</f>
        <v>787.24700000000007</v>
      </c>
      <c r="J43" s="1384">
        <f>J40+J35</f>
        <v>857.63999999999987</v>
      </c>
      <c r="K43" s="1384">
        <f>K40+K35</f>
        <v>955.572</v>
      </c>
      <c r="L43" s="1384">
        <f>L40+L35</f>
        <v>1184.02</v>
      </c>
      <c r="M43" s="1384">
        <f>M40+M35</f>
        <v>1594.9840000000002</v>
      </c>
      <c r="N43" s="1384"/>
      <c r="O43" s="1384">
        <f>O40+O35</f>
        <v>1622.364</v>
      </c>
      <c r="P43" s="1384">
        <f>P40+P35</f>
        <v>1744.4189999999999</v>
      </c>
      <c r="Q43" s="1384">
        <f>Q40+Q35</f>
        <v>1910.4090000000001</v>
      </c>
      <c r="R43" s="1384">
        <f>R40+R35</f>
        <v>2424.5169999999998</v>
      </c>
      <c r="S43" s="1513">
        <f>R43</f>
        <v>2424.5169999999998</v>
      </c>
      <c r="T43" s="1387"/>
      <c r="U43" s="1387">
        <f>U40+U35</f>
        <v>2349.4079999999999</v>
      </c>
      <c r="V43" s="1387">
        <f>V40+V35</f>
        <v>2530.2929999999997</v>
      </c>
      <c r="W43" s="1387">
        <f>W40+W35</f>
        <v>2763.0320000000002</v>
      </c>
      <c r="X43" s="1387">
        <f>X40+X35</f>
        <v>3357.2429999999999</v>
      </c>
      <c r="Y43" s="1513">
        <f>X43</f>
        <v>3357.2429999999999</v>
      </c>
      <c r="Z43" s="1387"/>
      <c r="AA43" s="1387">
        <f>AA40+AA35</f>
        <v>3330.5770000000002</v>
      </c>
      <c r="AB43" s="1387">
        <f>AB40+AB35</f>
        <v>3460.8950000000004</v>
      </c>
      <c r="AC43" s="1387">
        <f>AC40+AC35</f>
        <v>3740.4139999999998</v>
      </c>
      <c r="AD43" s="1387">
        <f>AD40+AD35</f>
        <v>4624.3150000000005</v>
      </c>
      <c r="AE43" s="1513">
        <f>AD43</f>
        <v>4624.3150000000005</v>
      </c>
      <c r="AF43" s="1387"/>
      <c r="AG43" s="1387">
        <f>AG40+AG35</f>
        <v>4597.0650000000005</v>
      </c>
      <c r="AH43" s="1387">
        <f>AH40+AH35</f>
        <v>4762.7169999999996</v>
      </c>
      <c r="AI43" s="1387">
        <f>AI40+AI35</f>
        <v>4749.7560000000003</v>
      </c>
      <c r="AJ43" s="1387">
        <f>AJ40+AJ35</f>
        <v>5818.9160000000002</v>
      </c>
      <c r="AK43" s="1513">
        <f>AJ43</f>
        <v>5818.9160000000002</v>
      </c>
      <c r="AL43" s="1387"/>
      <c r="AM43" s="1387">
        <f>AM40+AM35</f>
        <v>5691.4629999999997</v>
      </c>
      <c r="AN43" s="1387">
        <f>AN40+AN35</f>
        <v>5646.5910000000003</v>
      </c>
      <c r="AO43" s="1387">
        <f>AO40+AO35</f>
        <v>6102.3279999999995</v>
      </c>
      <c r="AP43" s="1387">
        <f>AP40+AP35</f>
        <v>7259.6539999999995</v>
      </c>
      <c r="AQ43" s="1513">
        <f>AP43</f>
        <v>7259.6539999999995</v>
      </c>
      <c r="AR43" s="1387"/>
      <c r="AS43" s="1387">
        <f>AS40+AS35</f>
        <v>6579.3989999999994</v>
      </c>
      <c r="AT43" s="1387">
        <f>AT40+AT35</f>
        <v>6376.2289999999994</v>
      </c>
      <c r="AU43" s="1387">
        <f>AU40+AU35</f>
        <v>7349.3670000000002</v>
      </c>
      <c r="AV43" s="1387">
        <f>AV40+AV35</f>
        <v>13072.315999999999</v>
      </c>
      <c r="AW43" s="1513">
        <f>AV43</f>
        <v>13072.315999999999</v>
      </c>
      <c r="AX43" s="1387"/>
      <c r="AY43" s="1387">
        <f>AY40+AY35</f>
        <v>9512.527</v>
      </c>
      <c r="AZ43" s="1387">
        <f>AZ40+AZ35</f>
        <v>8923.7669999999998</v>
      </c>
      <c r="BA43" s="1387">
        <f>BA40+BA35</f>
        <v>9450.7400000000016</v>
      </c>
      <c r="BB43" s="1387">
        <f>BB40+BB35</f>
        <v>11029.55</v>
      </c>
      <c r="BC43" s="1513">
        <f>BB43</f>
        <v>11029.55</v>
      </c>
      <c r="BD43" s="1387"/>
      <c r="BE43" s="1387">
        <f>BE40+BE35</f>
        <v>11185.94</v>
      </c>
      <c r="BF43" s="1387">
        <f>BF40+BF35</f>
        <v>10285.459999999999</v>
      </c>
      <c r="BG43" s="1387">
        <f>BG40+BG35</f>
        <v>10374.921999999999</v>
      </c>
      <c r="BH43" s="1387">
        <f>BH40+BH35</f>
        <v>10800</v>
      </c>
      <c r="BI43" s="1513">
        <f>BH43</f>
        <v>10800</v>
      </c>
      <c r="BJ43" s="1387"/>
      <c r="BK43" s="1387">
        <f>BK40+BK35</f>
        <v>10412</v>
      </c>
      <c r="BL43" s="1387">
        <f>BL40+BL35</f>
        <v>9752</v>
      </c>
      <c r="BM43" s="1387">
        <f>BM40+BM35</f>
        <v>9948</v>
      </c>
      <c r="BN43" s="1387">
        <f>BN40+BN35</f>
        <v>11064</v>
      </c>
      <c r="BO43" s="1513">
        <f>BN43</f>
        <v>11064</v>
      </c>
      <c r="BP43" s="1387"/>
      <c r="BQ43" s="1387">
        <f>BQ40+BQ35</f>
        <v>11215</v>
      </c>
      <c r="BR43" s="1387">
        <f>BR40+BR35</f>
        <v>11777</v>
      </c>
      <c r="BS43" s="1387">
        <f>BS40+BS35</f>
        <v>11715</v>
      </c>
      <c r="BT43" s="1387">
        <f>BT40+BT35</f>
        <v>12763</v>
      </c>
      <c r="BU43" s="1513">
        <f>BT43</f>
        <v>12763</v>
      </c>
      <c r="BV43" s="1387"/>
      <c r="BW43" s="1387">
        <f>BW40+BW35</f>
        <v>12688.205600000001</v>
      </c>
      <c r="BX43" s="1387">
        <f>BX40+BX35</f>
        <v>13137</v>
      </c>
      <c r="BY43" s="1387">
        <f>BY40+BY35</f>
        <v>23767</v>
      </c>
      <c r="BZ43" s="1387">
        <f>BZ40+BZ35</f>
        <v>20687</v>
      </c>
      <c r="CA43" s="1513">
        <f>BZ43</f>
        <v>20687</v>
      </c>
      <c r="CB43" s="1387"/>
      <c r="CC43" s="1387">
        <f>CC40+CC35</f>
        <v>19596</v>
      </c>
      <c r="CD43" s="1387">
        <f>CD40+CD35</f>
        <v>19346</v>
      </c>
      <c r="CE43" s="1387">
        <f>CE40+CE35</f>
        <v>28464</v>
      </c>
      <c r="CF43" s="1387">
        <f>CF40+CF35</f>
        <v>29029</v>
      </c>
      <c r="CG43" s="1388">
        <f>CF43</f>
        <v>29029</v>
      </c>
      <c r="CH43" s="1387"/>
      <c r="CI43" s="1387">
        <f>CI40+CI35</f>
        <v>28848</v>
      </c>
      <c r="CJ43" s="1387">
        <f>CJ40+CJ35</f>
        <v>28927</v>
      </c>
      <c r="CK43" s="1387">
        <f>CK40+CK35</f>
        <v>29369</v>
      </c>
      <c r="CL43" s="1387">
        <f>CL40+CL35</f>
        <v>34572</v>
      </c>
      <c r="CM43" s="1388">
        <f>CL43</f>
        <v>34572</v>
      </c>
      <c r="CN43" s="1387"/>
      <c r="CO43" s="1387">
        <f>CO40+CO35</f>
        <v>34315</v>
      </c>
      <c r="CP43" s="1387">
        <f>CP40+CP35</f>
        <v>35653</v>
      </c>
      <c r="CQ43" s="1387">
        <f>CQ40+CQ35</f>
        <v>37316</v>
      </c>
      <c r="CR43" s="1387">
        <f>CR40+CR35</f>
        <v>47268</v>
      </c>
      <c r="CS43" s="1388">
        <f>CR43</f>
        <v>47268</v>
      </c>
      <c r="CT43" s="1514"/>
      <c r="CU43" s="1387">
        <f>CU40+CU35</f>
        <v>47253</v>
      </c>
      <c r="CV43" s="1387">
        <f>CV40+CV35</f>
        <v>44802</v>
      </c>
      <c r="CW43" s="1387">
        <f>CW40+CW35</f>
        <v>44949</v>
      </c>
      <c r="CX43" s="1387">
        <f>CX40+CX35</f>
        <v>47416</v>
      </c>
      <c r="CY43" s="1388">
        <f>CX43</f>
        <v>47416</v>
      </c>
      <c r="CZ43" s="1386"/>
      <c r="DA43" s="1387">
        <f>DA40+DA35+DA41</f>
        <v>52998</v>
      </c>
      <c r="DB43" s="1387">
        <f>DB40+DB35+DB41</f>
        <v>53833</v>
      </c>
      <c r="DC43" s="1387">
        <f>DC40+DC35+DC41</f>
        <v>59386</v>
      </c>
      <c r="DD43" s="1387">
        <f>DD40+DD35+DD41</f>
        <v>61578</v>
      </c>
      <c r="DE43" s="1388">
        <f>DD43</f>
        <v>61578</v>
      </c>
      <c r="DF43" s="1386"/>
      <c r="DG43" s="1387">
        <f>DG40+DG35+DG41</f>
        <v>65255</v>
      </c>
      <c r="DH43" s="1387">
        <f>DH40+DH35+DH41</f>
        <v>67243</v>
      </c>
      <c r="DI43" s="1387">
        <f>DI40+DI35+DI41</f>
        <v>67666</v>
      </c>
      <c r="DJ43" s="1387">
        <f>DJ40+DJ35+DJ41</f>
        <v>73535</v>
      </c>
      <c r="DK43" s="1388">
        <f>DJ43</f>
        <v>73535</v>
      </c>
      <c r="DL43" s="1386"/>
      <c r="DM43" s="1387">
        <f>DM40+DM35+DM41</f>
        <v>73859</v>
      </c>
      <c r="DN43" s="1387">
        <f>DN40+DN35+DN41</f>
        <v>72910</v>
      </c>
      <c r="DO43" s="1387">
        <f>DO40+DO35+DO41</f>
        <v>74361</v>
      </c>
      <c r="DP43" s="1387">
        <f>DP40+DP35+DP41</f>
        <v>78333</v>
      </c>
      <c r="DQ43" s="1388">
        <f>DP43</f>
        <v>78333</v>
      </c>
      <c r="DR43" s="1386"/>
      <c r="DS43" s="1387">
        <f>DS40+DS35+DS41</f>
        <v>76558</v>
      </c>
      <c r="DT43" s="1387">
        <f>DT40+DT35+DT41</f>
        <v>79657</v>
      </c>
      <c r="DU43" s="1387">
        <f>DU40+DU35+DU41</f>
        <v>79450</v>
      </c>
      <c r="DV43" s="1387">
        <f>DV40+DV35+DV41</f>
        <v>81812</v>
      </c>
      <c r="DW43" s="1388">
        <f>DV43</f>
        <v>81812</v>
      </c>
      <c r="DX43" s="1386"/>
      <c r="DY43" s="1387">
        <f>DY40+DY35+DY41</f>
        <v>86406</v>
      </c>
      <c r="DZ43" s="1387">
        <f>DZ40+DZ35+DZ41</f>
        <v>85238</v>
      </c>
      <c r="EA43" s="1387">
        <f>EA40+EA35+EA41</f>
        <v>86562</v>
      </c>
      <c r="EB43" s="1387">
        <f>EB40+EB35+EB41</f>
        <v>90344</v>
      </c>
      <c r="EC43" s="1388">
        <f>EB43</f>
        <v>90344</v>
      </c>
      <c r="ED43" s="1386"/>
      <c r="EE43" s="1387">
        <f>EE40+EE35+EE41</f>
        <v>99726</v>
      </c>
      <c r="EF43" s="1387">
        <f>EF40+EF35+EF41</f>
        <v>98305</v>
      </c>
      <c r="EG43" s="1387">
        <f>EG40+EG35+EG41</f>
        <v>98816</v>
      </c>
      <c r="EH43" s="1387">
        <f>EH40+EH35+EH41</f>
        <v>110903</v>
      </c>
      <c r="EI43" s="1388">
        <f>EH43</f>
        <v>110903</v>
      </c>
      <c r="EJ43" s="1386"/>
      <c r="EK43" s="1387">
        <f>EK40+EK35+EK41</f>
        <v>109706</v>
      </c>
      <c r="EL43" s="1387">
        <f>EL40+EL35+EL41</f>
        <v>106483</v>
      </c>
      <c r="EM43" s="1387">
        <f>EM40+EM35+EM41</f>
        <v>104894</v>
      </c>
      <c r="EN43" s="1387">
        <f>EN40+EN35+EN41</f>
        <v>112180</v>
      </c>
      <c r="EO43" s="1388">
        <f>EN43</f>
        <v>112180</v>
      </c>
      <c r="EP43" s="1386"/>
      <c r="EQ43" s="1387">
        <f>EQ40+EQ35+EQ41</f>
        <v>123223</v>
      </c>
      <c r="ER43" s="1387">
        <f>ER40+ER35+ER41</f>
        <v>123600</v>
      </c>
      <c r="ES43" s="1387">
        <f>ES40+ES35+ES41</f>
        <v>125382</v>
      </c>
      <c r="ET43" s="1387">
        <f>ET40+ET35+ET41</f>
        <v>134991</v>
      </c>
      <c r="EU43" s="1388">
        <f>ET43</f>
        <v>134991</v>
      </c>
      <c r="EV43" s="1386"/>
      <c r="EW43" s="1387">
        <f>EW40+EW35+EW41</f>
        <v>133597</v>
      </c>
      <c r="EX43" s="1387">
        <f>EX40+EX35+EX41</f>
        <v>138762</v>
      </c>
      <c r="EY43" s="1387">
        <f>EY40+EY35+EY41</f>
        <v>138201</v>
      </c>
      <c r="EZ43" s="1387">
        <f>EZ40+EZ35+EZ41</f>
        <v>139548.44512952317</v>
      </c>
      <c r="FA43" s="1388">
        <f>EZ43</f>
        <v>139548.44512952317</v>
      </c>
      <c r="FB43" s="1386"/>
      <c r="FC43" s="1387">
        <f>FC40+FC35+FC41</f>
        <v>138542.84281648332</v>
      </c>
      <c r="FD43" s="1387">
        <f>FD40+FD35+FD41</f>
        <v>137034.16152792907</v>
      </c>
      <c r="FE43" s="1387">
        <f>FE40+FE35+FE41</f>
        <v>138332.76969667253</v>
      </c>
      <c r="FF43" s="1387">
        <f>FF40+FF35+FF41</f>
        <v>140139.9534201599</v>
      </c>
      <c r="FG43" s="1388">
        <f>FF43</f>
        <v>140139.9534201599</v>
      </c>
      <c r="FH43" s="1386"/>
      <c r="FI43" s="1387">
        <f>FI40+FI35+FI41</f>
        <v>142250.86866354555</v>
      </c>
      <c r="FJ43" s="1387">
        <f>FJ40+FJ35+FJ41</f>
        <v>138419.10591629532</v>
      </c>
      <c r="FK43" s="1387">
        <f>FK40+FK35+FK41</f>
        <v>137913.94470039455</v>
      </c>
      <c r="FL43" s="1387">
        <f>FL40+FL35+FL41</f>
        <v>142792.05989664476</v>
      </c>
      <c r="FM43" s="1388">
        <f>FL43</f>
        <v>142792.05989664476</v>
      </c>
      <c r="FN43" s="261"/>
      <c r="FO43" s="242"/>
      <c r="FP43" s="261"/>
      <c r="FQ43" s="261"/>
      <c r="FR43"/>
      <c r="FS43"/>
      <c r="FT43"/>
      <c r="FU43"/>
      <c r="FV43"/>
      <c r="FW43"/>
      <c r="FX43" s="261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</row>
    <row r="44" spans="1:274" s="24" customFormat="1" ht="10.5" customHeight="1" x14ac:dyDescent="0.2">
      <c r="A44" s="345"/>
      <c r="B44" s="20"/>
      <c r="C44" s="271"/>
      <c r="D44" s="271"/>
      <c r="E44" s="271"/>
      <c r="F44" s="271"/>
      <c r="G44" s="271"/>
      <c r="H44" s="271"/>
      <c r="I44" s="271"/>
      <c r="J44" s="271"/>
      <c r="K44" s="271"/>
      <c r="L44" s="271"/>
      <c r="M44" s="271"/>
      <c r="N44" s="364"/>
      <c r="O44" s="364"/>
      <c r="P44" s="364"/>
      <c r="Q44" s="364"/>
      <c r="R44" s="364"/>
      <c r="S44" s="364"/>
      <c r="T44" s="271"/>
      <c r="U44" s="271"/>
      <c r="V44" s="271"/>
      <c r="W44" s="271"/>
      <c r="X44" s="271"/>
      <c r="Y44" s="271"/>
      <c r="Z44" s="271"/>
      <c r="AA44" s="271"/>
      <c r="AB44" s="271"/>
      <c r="AC44" s="271"/>
      <c r="AD44" s="271"/>
      <c r="AE44" s="271"/>
      <c r="AF44" s="271"/>
      <c r="AG44" s="271"/>
      <c r="AH44" s="271"/>
      <c r="AI44" s="271"/>
      <c r="AJ44" s="271"/>
      <c r="AK44" s="271"/>
      <c r="AL44" s="271"/>
      <c r="AM44" s="271"/>
      <c r="AN44" s="271"/>
      <c r="AO44" s="271"/>
      <c r="AP44" s="271"/>
      <c r="AQ44" s="271"/>
      <c r="AR44" s="271"/>
      <c r="AS44" s="271"/>
      <c r="AT44" s="271"/>
      <c r="AU44" s="271"/>
      <c r="AV44" s="271"/>
      <c r="AW44" s="271"/>
      <c r="AX44" s="271"/>
      <c r="AY44" s="271"/>
      <c r="AZ44" s="271"/>
      <c r="BA44" s="271"/>
      <c r="BB44" s="271"/>
      <c r="BC44" s="271"/>
      <c r="BD44" s="271"/>
      <c r="BE44" s="271"/>
      <c r="BF44" s="271"/>
      <c r="BG44" s="271"/>
      <c r="BH44" s="271"/>
      <c r="BI44" s="271"/>
      <c r="BJ44" s="271"/>
      <c r="BK44" s="271"/>
      <c r="BL44" s="271"/>
      <c r="BM44" s="271"/>
      <c r="BN44" s="271"/>
      <c r="BO44" s="271"/>
      <c r="BP44" s="271"/>
      <c r="BQ44" s="271"/>
      <c r="BR44" s="271"/>
      <c r="BS44" s="271"/>
      <c r="BT44" s="448"/>
      <c r="BU44" s="271"/>
      <c r="BV44" s="364"/>
      <c r="BW44" s="449"/>
      <c r="BX44" s="271"/>
      <c r="BY44" s="271"/>
      <c r="BZ44" s="271"/>
      <c r="CA44" s="271"/>
      <c r="CB44" s="364"/>
      <c r="CC44" s="271"/>
      <c r="CD44" s="271"/>
      <c r="CE44" s="271"/>
      <c r="CF44" s="271"/>
      <c r="CG44" s="271"/>
      <c r="CH44" s="271"/>
      <c r="CI44" s="271"/>
      <c r="CJ44" s="271"/>
      <c r="CK44" s="271"/>
      <c r="CL44" s="271"/>
      <c r="CM44" s="271"/>
      <c r="CN44" s="271"/>
      <c r="CO44" s="271"/>
      <c r="CP44" s="271"/>
      <c r="CQ44" s="271"/>
      <c r="CR44" s="271"/>
      <c r="CS44" s="271"/>
      <c r="CT44" s="271"/>
      <c r="CU44" s="271"/>
      <c r="CV44" s="271"/>
      <c r="CW44" s="271"/>
      <c r="CX44" s="271"/>
      <c r="CY44" s="271"/>
      <c r="CZ44" s="271"/>
      <c r="DA44" s="271"/>
      <c r="DB44" s="271"/>
      <c r="DC44" s="271"/>
      <c r="DD44" s="271"/>
      <c r="DE44" s="271"/>
      <c r="DF44" s="271"/>
      <c r="DG44" s="271"/>
      <c r="DH44" s="271"/>
      <c r="DI44" s="271"/>
      <c r="DJ44" s="271"/>
      <c r="DK44" s="271"/>
      <c r="DL44" s="271"/>
      <c r="DM44" s="271"/>
      <c r="DN44" s="271"/>
      <c r="DO44" s="271"/>
      <c r="DP44" s="271"/>
      <c r="DQ44" s="271"/>
      <c r="DR44" s="271"/>
      <c r="DS44" s="271"/>
      <c r="DT44" s="271"/>
      <c r="DU44" s="271"/>
      <c r="DV44" s="271"/>
      <c r="DW44" s="271"/>
      <c r="DX44" s="271"/>
      <c r="DY44" s="271"/>
      <c r="DZ44" s="271"/>
      <c r="EA44" s="271"/>
      <c r="EB44" s="271"/>
      <c r="EC44" s="271"/>
      <c r="ED44" s="271"/>
      <c r="EE44" s="271"/>
      <c r="EF44" s="271"/>
      <c r="EG44" s="271"/>
      <c r="EH44" s="271"/>
      <c r="EI44" s="271"/>
      <c r="EJ44" s="271"/>
      <c r="EK44" s="271"/>
      <c r="EL44" s="271"/>
      <c r="EM44" s="271"/>
      <c r="EN44" s="271"/>
      <c r="EO44" s="271"/>
      <c r="EP44" s="271"/>
      <c r="EQ44" s="271"/>
      <c r="ER44" s="271"/>
      <c r="ES44" s="271"/>
      <c r="ET44" s="271"/>
      <c r="EU44" s="271"/>
      <c r="EV44" s="271"/>
      <c r="EW44" s="271"/>
      <c r="EX44" s="271"/>
      <c r="EY44" s="271"/>
      <c r="EZ44" s="271"/>
      <c r="FA44" s="271"/>
      <c r="FB44" s="271"/>
      <c r="FC44" s="271"/>
      <c r="FD44" s="271"/>
      <c r="FE44" s="271"/>
      <c r="FF44" s="271"/>
      <c r="FG44" s="271"/>
      <c r="FH44" s="271"/>
      <c r="FI44" s="271"/>
      <c r="FJ44" s="271"/>
      <c r="FK44" s="271"/>
      <c r="FL44" s="271"/>
      <c r="FM44" s="271"/>
      <c r="FN44" s="345"/>
      <c r="FO44" s="345"/>
      <c r="FP44" s="345"/>
      <c r="FQ44" s="345"/>
      <c r="FR44"/>
      <c r="FS44"/>
      <c r="FT44"/>
      <c r="FU44"/>
      <c r="FV44"/>
      <c r="FW44"/>
      <c r="FX44" s="345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</row>
    <row r="45" spans="1:274" s="24" customFormat="1" ht="10.5" customHeight="1" x14ac:dyDescent="0.2">
      <c r="A45" s="345" t="s">
        <v>467</v>
      </c>
      <c r="B45" s="20"/>
      <c r="C45" s="367"/>
      <c r="D45" s="367"/>
      <c r="E45" s="367"/>
      <c r="F45" s="367"/>
      <c r="G45" s="367"/>
      <c r="H45" s="367"/>
      <c r="I45" s="367"/>
      <c r="J45" s="367"/>
      <c r="K45" s="367"/>
      <c r="L45" s="367"/>
      <c r="M45" s="367"/>
      <c r="N45" s="367"/>
      <c r="O45" s="367"/>
      <c r="P45" s="367"/>
      <c r="Q45" s="367"/>
      <c r="R45" s="367"/>
      <c r="S45" s="367">
        <f>S8+S9-S25-S32</f>
        <v>494.49799999999993</v>
      </c>
      <c r="T45" s="367"/>
      <c r="U45" s="367"/>
      <c r="V45" s="367"/>
      <c r="W45" s="367"/>
      <c r="X45" s="367"/>
      <c r="Y45" s="367">
        <f>Y8+Y9-Y25-Y32</f>
        <v>834.38799999999981</v>
      </c>
      <c r="Z45" s="367"/>
      <c r="AA45" s="367"/>
      <c r="AB45" s="367"/>
      <c r="AC45" s="367"/>
      <c r="AD45" s="367"/>
      <c r="AE45" s="367">
        <f>AE8+AE9-AE25-AE32</f>
        <v>908.05</v>
      </c>
      <c r="AF45" s="367"/>
      <c r="AG45" s="367"/>
      <c r="AH45" s="367"/>
      <c r="AI45" s="367"/>
      <c r="AJ45" s="367"/>
      <c r="AK45" s="367">
        <f>AK8+AK9-AK25-AK32</f>
        <v>1611.9380000000001</v>
      </c>
      <c r="AL45" s="367"/>
      <c r="AM45" s="367"/>
      <c r="AN45" s="367"/>
      <c r="AO45" s="367"/>
      <c r="AP45" s="367"/>
      <c r="AQ45" s="367">
        <f>AQ8+AQ9-AQ25-AQ32</f>
        <v>2254.9860000000003</v>
      </c>
      <c r="AR45" s="367"/>
      <c r="AS45" s="367">
        <f>AS8+AS9-AS25-AS32</f>
        <v>2417.3630000000003</v>
      </c>
      <c r="AT45" s="367">
        <f>AT8+AT9-AT25-AT32</f>
        <v>1829.9099999999996</v>
      </c>
      <c r="AU45" s="367">
        <f>AU8+AU9-AU25-AU32</f>
        <v>2460.5950000000003</v>
      </c>
      <c r="AV45" s="367">
        <f>AV8+AV9-AV25-AV32</f>
        <v>7460.5370000000003</v>
      </c>
      <c r="AW45" s="367">
        <f>AW8+AW9-AW25-AW32</f>
        <v>7460.5370000000003</v>
      </c>
      <c r="AX45" s="367"/>
      <c r="AY45" s="367">
        <f>AY8+AY9-AY25-AY32</f>
        <v>4758.1810000000005</v>
      </c>
      <c r="AZ45" s="367">
        <f>AZ8+AZ9-AZ25-AZ32</f>
        <v>4052.7670000000003</v>
      </c>
      <c r="BA45" s="367">
        <f>BA8+BA9-BA25-BA32</f>
        <v>4681.4929999999995</v>
      </c>
      <c r="BB45" s="367">
        <f>BB8+BB9-BB25-BB32</f>
        <v>5583</v>
      </c>
      <c r="BC45" s="367">
        <f>BC8+BC9-BC25-BC32</f>
        <v>5583</v>
      </c>
      <c r="BD45" s="367"/>
      <c r="BE45" s="367">
        <f>BE8+BE9-BE25-BE32</f>
        <v>5747.0320000000002</v>
      </c>
      <c r="BF45" s="367">
        <f>BF8+BF9-BF25-BF32</f>
        <v>4657.5590000000002</v>
      </c>
      <c r="BG45" s="367">
        <f>BG8+BG9-BG25-BG32</f>
        <v>5308.0249999999996</v>
      </c>
      <c r="BH45" s="367">
        <f>BH8+BH9-BH25-BH32</f>
        <v>5543</v>
      </c>
      <c r="BI45" s="367">
        <f>BI8+BI9-BI25-BI32</f>
        <v>5543</v>
      </c>
      <c r="BJ45" s="367"/>
      <c r="BK45" s="367">
        <f>BK8+BK9-BK25-BK32</f>
        <v>6108</v>
      </c>
      <c r="BL45" s="367">
        <f>BL8+BL9-BL25-BL32</f>
        <v>5168</v>
      </c>
      <c r="BM45" s="367">
        <f>BM8+BM9-BM25-BM32</f>
        <v>5725</v>
      </c>
      <c r="BN45" s="367">
        <f>BN8+BN9-BN25-BN32</f>
        <v>6191</v>
      </c>
      <c r="BO45" s="367">
        <f>BO8+BO9-BO25-BO32</f>
        <v>6191</v>
      </c>
      <c r="BP45" s="367"/>
      <c r="BQ45" s="367">
        <f>BQ8+BQ9-BQ25-BQ32</f>
        <v>7084</v>
      </c>
      <c r="BR45" s="367">
        <f>BR8+BR9-BR25-BR32</f>
        <v>7753</v>
      </c>
      <c r="BS45" s="367">
        <f>BS8+BS9-BS25-BS32</f>
        <v>7848</v>
      </c>
      <c r="BT45" s="367">
        <f>BT8+BT9-BT25-BT32</f>
        <v>8415</v>
      </c>
      <c r="BU45" s="367">
        <f>BU8+BU9-BU25-BU32</f>
        <v>8415</v>
      </c>
      <c r="BV45" s="367"/>
      <c r="BW45" s="367">
        <f>BW8+BW9-BW25-BW32</f>
        <v>9273.2056000000011</v>
      </c>
      <c r="BX45" s="367">
        <f>BX8+BX9-BX25-BX32</f>
        <v>9265</v>
      </c>
      <c r="BY45" s="367">
        <f>BY8+BY9-BY25-BY32</f>
        <v>1764</v>
      </c>
      <c r="BZ45" s="367">
        <f>BZ8+BZ9-BZ25-BZ32</f>
        <v>1919</v>
      </c>
      <c r="CA45" s="367">
        <f>CA8+CA9-CA25-CA32</f>
        <v>1919</v>
      </c>
      <c r="CB45" s="367"/>
      <c r="CC45" s="367">
        <f>CC8+CC9-CC25-CC32</f>
        <v>2953</v>
      </c>
      <c r="CD45" s="367">
        <f>CD8+CD9-CD25-CD32</f>
        <v>2340</v>
      </c>
      <c r="CE45" s="367">
        <f>CE8+CE9-CE25-CE32</f>
        <v>1682</v>
      </c>
      <c r="CF45" s="367">
        <f>CF8+CF9-CF25-CF32</f>
        <v>1711</v>
      </c>
      <c r="CG45" s="367">
        <f>CG8+CG9-CG25-CG32</f>
        <v>1711</v>
      </c>
      <c r="CH45" s="367"/>
      <c r="CI45" s="367">
        <f>CI8+CI9-CI25-CI32</f>
        <v>2395</v>
      </c>
      <c r="CJ45" s="367">
        <f>CJ8+CJ9-CJ25-CJ32</f>
        <v>1922</v>
      </c>
      <c r="CK45" s="367">
        <f>CK8+CK9-CK25-CK32</f>
        <v>706</v>
      </c>
      <c r="CL45" s="367">
        <f>CL8+CL9-CL25-CL32</f>
        <v>-573</v>
      </c>
      <c r="CM45" s="367">
        <f>CM8+CM9-CM25-CM32</f>
        <v>-573</v>
      </c>
      <c r="CN45" s="367"/>
      <c r="CO45" s="367">
        <f>CO8+CO9-CO25-CO32</f>
        <v>1505</v>
      </c>
      <c r="CP45" s="367">
        <f>CP8+CP9-CP25-CP32</f>
        <v>2194</v>
      </c>
      <c r="CQ45" s="367">
        <f>CQ8+CQ9-CQ25-CQ32</f>
        <v>4268</v>
      </c>
      <c r="CR45" s="367">
        <f>CR8+CR9-CR25-CR32</f>
        <v>-193</v>
      </c>
      <c r="CS45" s="367">
        <f>CS8+CS9-CS25-CS32</f>
        <v>-193</v>
      </c>
      <c r="CT45" s="367"/>
      <c r="CU45" s="367">
        <f>CU8+CU9-CU25-CU32</f>
        <v>1784</v>
      </c>
      <c r="CV45" s="367">
        <f>CV8+CV9-CV25-CV32</f>
        <v>-592</v>
      </c>
      <c r="CW45" s="367">
        <f>CW8+CW9-CW25-CW32</f>
        <v>56</v>
      </c>
      <c r="CX45" s="367">
        <f>CX8+CX9-CX25-CX32</f>
        <v>2386</v>
      </c>
      <c r="CY45" s="367">
        <f>CY8+CY9-CY25-CY32</f>
        <v>2386</v>
      </c>
      <c r="CZ45" s="367"/>
      <c r="DA45" s="367">
        <f>DA8+DA9-DA25-DA32</f>
        <v>5841</v>
      </c>
      <c r="DB45" s="367">
        <f>DB8+DB9-DB25-DB32</f>
        <v>6032</v>
      </c>
      <c r="DC45" s="367">
        <f>DC8+DC9-DC25-DC32</f>
        <v>1771</v>
      </c>
      <c r="DD45" s="367">
        <f>DD8+DD9-DD25-DD32</f>
        <v>3814</v>
      </c>
      <c r="DE45" s="367">
        <f>DE8+DE9-DE25-DE32</f>
        <v>3814</v>
      </c>
      <c r="DF45" s="367"/>
      <c r="DG45" s="367">
        <f>DG8+DG9-DG25-DG32</f>
        <v>6599</v>
      </c>
      <c r="DH45" s="367">
        <f>DH8+DH9-DH25-DH32</f>
        <v>7810</v>
      </c>
      <c r="DI45" s="367">
        <f>DI8+DI9-DI25-DI32</f>
        <v>9603</v>
      </c>
      <c r="DJ45" s="367">
        <f>DJ8+DJ9-DJ25-DJ32</f>
        <v>12926</v>
      </c>
      <c r="DK45" s="367">
        <f>DK8+DK9-DK25-DK32</f>
        <v>12926</v>
      </c>
      <c r="DL45" s="367"/>
      <c r="DM45" s="367">
        <f>DM8+DM9-DM25-DM32</f>
        <v>16871</v>
      </c>
      <c r="DN45" s="367">
        <f>DN8+DN9-DN25-DN32</f>
        <v>16234</v>
      </c>
      <c r="DO45" s="367">
        <f>DO8+DO9-DO25-DO32</f>
        <v>14965</v>
      </c>
      <c r="DP45" s="367">
        <f>DP8+DP9-DP25-DP32</f>
        <v>14202</v>
      </c>
      <c r="DQ45" s="367">
        <f>DQ8+DQ9-DQ25-DQ32</f>
        <v>14202</v>
      </c>
      <c r="DR45" s="367"/>
      <c r="DS45" s="367">
        <f>DS8+DS9-DS25-DS32</f>
        <v>16836</v>
      </c>
      <c r="DT45" s="367">
        <f>DT8+DT9-DT25-DT32</f>
        <v>13938</v>
      </c>
      <c r="DU45" s="367">
        <f>DU8+DU9-DU25-DU32</f>
        <v>13655</v>
      </c>
      <c r="DV45" s="367">
        <f>DV8+DV9-DV25-DV32</f>
        <v>13722</v>
      </c>
      <c r="DW45" s="367">
        <f>DW8+DW9-DW25-DW32</f>
        <v>13722</v>
      </c>
      <c r="DX45" s="367"/>
      <c r="DY45" s="367">
        <f>DY8+DY9-DY25-DY32</f>
        <v>14996</v>
      </c>
      <c r="DZ45" s="367">
        <f>DZ8+DZ9-DZ25-DZ32</f>
        <v>12808</v>
      </c>
      <c r="EA45" s="367">
        <f>EA8+EA9-EA25-EA32</f>
        <v>13032</v>
      </c>
      <c r="EB45" s="367">
        <f>EB8+EB9-EB25-EB32</f>
        <v>14644</v>
      </c>
      <c r="EC45" s="367">
        <f>EC8+EC9-EC25-EC32</f>
        <v>14644</v>
      </c>
      <c r="ED45" s="367"/>
      <c r="EE45" s="367">
        <f>EE8+EE9-EE25-EE32</f>
        <v>19049</v>
      </c>
      <c r="EF45" s="367">
        <f>EF8+EF9-EF25-EF32</f>
        <v>12277</v>
      </c>
      <c r="EG45" s="367">
        <f>EG8+EG9-EG25-EG32</f>
        <v>11520</v>
      </c>
      <c r="EH45" s="367">
        <f>EH8+EH9-EH25-EH32</f>
        <v>12410</v>
      </c>
      <c r="EI45" s="367">
        <f>EI8+EI9-EI25-EI32</f>
        <v>12410</v>
      </c>
      <c r="EJ45" s="367"/>
      <c r="EK45" s="367">
        <f>EK8+EK9-EK25-EK32</f>
        <v>13880</v>
      </c>
      <c r="EL45" s="367">
        <f>EL8+EL9-EL25-EL32</f>
        <v>10395</v>
      </c>
      <c r="EM45" s="367">
        <f>EM8+EM9-EM25-EM32</f>
        <v>10661</v>
      </c>
      <c r="EN45" s="367">
        <f>EN8+EN9-EN25-EN32</f>
        <v>12270</v>
      </c>
      <c r="EO45" s="367">
        <f>EO8+EO9-EO25-EO32</f>
        <v>12270</v>
      </c>
      <c r="EP45" s="367"/>
      <c r="EQ45" s="367">
        <f>EQ8+EQ9-EQ25-EQ32</f>
        <v>14340</v>
      </c>
      <c r="ER45" s="367">
        <f>ER8+ER9-ER25-ER32</f>
        <v>3879</v>
      </c>
      <c r="ES45" s="367">
        <f>ES8+ES9-ES25-ES32</f>
        <v>5385</v>
      </c>
      <c r="ET45" s="367">
        <f>ET8+ET9-ET25-ET32</f>
        <v>8169</v>
      </c>
      <c r="EU45" s="367">
        <f>EU8+EU9-EU25-EU32</f>
        <v>8169</v>
      </c>
      <c r="EV45" s="367"/>
      <c r="EW45" s="367">
        <f>EW8+EW9-EW25-EW32</f>
        <v>13606</v>
      </c>
      <c r="EX45" s="367">
        <f>EX8+EX9-EX25-EX32</f>
        <v>10911</v>
      </c>
      <c r="EY45" s="367">
        <f>EY8+EY9-EY25-EY32</f>
        <v>9740</v>
      </c>
      <c r="EZ45" s="367">
        <f>EZ8+EZ9-EZ25-EZ32</f>
        <v>9848.6456295621756</v>
      </c>
      <c r="FA45" s="367">
        <f>FA8+FA9-FA25-FA32</f>
        <v>9848.6456295621756</v>
      </c>
      <c r="FB45" s="367"/>
      <c r="FC45" s="367">
        <f>FC8+FC9-FC25-FC32</f>
        <v>13129.682075827033</v>
      </c>
      <c r="FD45" s="367">
        <f>FD8+FD9-FD25-FD32</f>
        <v>11362.795395241672</v>
      </c>
      <c r="FE45" s="367">
        <f>FE8+FE9-FE25-FE32</f>
        <v>12911.373558817228</v>
      </c>
      <c r="FF45" s="367">
        <f>FF8+FF9-FF25-FF32</f>
        <v>15384.480472891431</v>
      </c>
      <c r="FG45" s="367">
        <f>FG8+FG9-FG25-FG32</f>
        <v>15384.480472891431</v>
      </c>
      <c r="FH45" s="367"/>
      <c r="FI45" s="367">
        <f>FI8+FI9-FI25-FI32</f>
        <v>19275.695139864882</v>
      </c>
      <c r="FJ45" s="367">
        <f>FJ8+FJ9-FJ25-FJ32</f>
        <v>17735.56314334675</v>
      </c>
      <c r="FK45" s="367">
        <f>FK8+FK9-FK25-FK32</f>
        <v>19566.852006080095</v>
      </c>
      <c r="FL45" s="367">
        <f>FL8+FL9-FL25-FL32</f>
        <v>23096.658980066015</v>
      </c>
      <c r="FM45" s="367">
        <f>FM8+FM9-FM25-FM32</f>
        <v>23096.658980066015</v>
      </c>
      <c r="FN45" s="345"/>
      <c r="FO45" s="345"/>
      <c r="FP45" s="345"/>
      <c r="FQ45" s="345"/>
      <c r="FR45"/>
      <c r="FS45"/>
      <c r="FT45"/>
      <c r="FU45"/>
      <c r="FV45"/>
      <c r="FW45"/>
      <c r="FX45" s="3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</row>
    <row r="46" spans="1:274" s="24" customFormat="1" ht="10.5" customHeight="1" x14ac:dyDescent="0.2">
      <c r="A46" s="345" t="s">
        <v>576</v>
      </c>
      <c r="B46" s="20"/>
      <c r="C46" s="271"/>
      <c r="D46" s="271"/>
      <c r="E46" s="271"/>
      <c r="F46" s="271"/>
      <c r="G46" s="271"/>
      <c r="H46" s="271"/>
      <c r="I46" s="271"/>
      <c r="J46" s="271"/>
      <c r="K46" s="271"/>
      <c r="L46" s="271"/>
      <c r="M46" s="271"/>
      <c r="N46" s="364"/>
      <c r="O46" s="364"/>
      <c r="P46" s="364"/>
      <c r="Q46" s="364"/>
      <c r="R46" s="364"/>
      <c r="S46" s="364"/>
      <c r="T46" s="271"/>
      <c r="U46" s="271"/>
      <c r="V46" s="271"/>
      <c r="W46" s="271"/>
      <c r="X46" s="271"/>
      <c r="Y46" s="364"/>
      <c r="Z46" s="271"/>
      <c r="AA46" s="271"/>
      <c r="AB46" s="271"/>
      <c r="AC46" s="271"/>
      <c r="AD46" s="271"/>
      <c r="AE46" s="364"/>
      <c r="AF46" s="271"/>
      <c r="AG46" s="271"/>
      <c r="AH46" s="271"/>
      <c r="AI46" s="271"/>
      <c r="AJ46" s="271"/>
      <c r="AK46" s="364"/>
      <c r="AL46" s="271"/>
      <c r="AM46" s="271"/>
      <c r="AN46" s="271"/>
      <c r="AO46" s="271"/>
      <c r="AP46" s="271"/>
      <c r="AQ46" s="364"/>
      <c r="AR46" s="271"/>
      <c r="AS46" s="364"/>
      <c r="AT46" s="364"/>
      <c r="AU46" s="364"/>
      <c r="AV46" s="364"/>
      <c r="AW46" s="364"/>
      <c r="AX46" s="271"/>
      <c r="AY46" s="364"/>
      <c r="AZ46" s="364"/>
      <c r="BA46" s="364"/>
      <c r="BB46" s="364"/>
      <c r="BC46" s="364"/>
      <c r="BD46" s="271"/>
      <c r="BE46" s="364"/>
      <c r="BF46" s="364"/>
      <c r="BG46" s="364"/>
      <c r="BH46" s="364"/>
      <c r="BI46" s="364"/>
      <c r="BJ46" s="271"/>
      <c r="BK46" s="364"/>
      <c r="BL46" s="364"/>
      <c r="BM46" s="364"/>
      <c r="BN46" s="364"/>
      <c r="BO46" s="364"/>
      <c r="BP46" s="271"/>
      <c r="BQ46" s="364"/>
      <c r="BR46" s="364"/>
      <c r="BS46" s="364"/>
      <c r="BT46" s="364"/>
      <c r="BU46" s="364"/>
      <c r="BV46" s="364"/>
      <c r="BW46" s="364"/>
      <c r="BX46" s="364"/>
      <c r="BY46" s="364"/>
      <c r="BZ46" s="364"/>
      <c r="CA46" s="364"/>
      <c r="CB46" s="364"/>
      <c r="CC46" s="364"/>
      <c r="CD46" s="364"/>
      <c r="CE46" s="364"/>
      <c r="CF46" s="364"/>
      <c r="CG46" s="364"/>
      <c r="CH46" s="271"/>
      <c r="CI46" s="364"/>
      <c r="CJ46" s="364"/>
      <c r="CK46" s="364"/>
      <c r="CL46" s="364"/>
      <c r="CM46" s="364"/>
      <c r="CN46" s="271"/>
      <c r="CO46" s="351">
        <f>CO45/Model!CO223</f>
        <v>0.28831417624521072</v>
      </c>
      <c r="CP46" s="351">
        <f>CP45/Model!CP223</f>
        <v>0.41926237339957961</v>
      </c>
      <c r="CQ46" s="351">
        <f>CQ45/Model!CQ223</f>
        <v>0.82282629651050698</v>
      </c>
      <c r="CR46" s="351">
        <f>CR45/Model!CR223</f>
        <v>-3.6881330021020446E-2</v>
      </c>
      <c r="CS46" s="351">
        <f>CS45/Model!CS223</f>
        <v>-3.6985579456714414E-2</v>
      </c>
      <c r="CT46" s="351"/>
      <c r="CU46" s="351">
        <f>CU45/Model!CU223</f>
        <v>0.3407831900668577</v>
      </c>
      <c r="CV46" s="351">
        <f>CV45/Model!CV223</f>
        <v>-0.11413148255253519</v>
      </c>
      <c r="CW46" s="351">
        <f>CW45/Model!CW223</f>
        <v>1.1075949367088608E-2</v>
      </c>
      <c r="CX46" s="351">
        <f>CX45/Model!CX223</f>
        <v>0.4731310727741424</v>
      </c>
      <c r="CY46" s="351">
        <f>CY45/Model!CY223</f>
        <v>0.46508454753666978</v>
      </c>
      <c r="CZ46" s="351"/>
      <c r="DA46" s="351">
        <f>DA45/Model!DA223</f>
        <v>1.1536638356705511</v>
      </c>
      <c r="DB46" s="351">
        <f>DB45/Model!DB223</f>
        <v>1.1911532385466035</v>
      </c>
      <c r="DC46" s="351">
        <f>DC45/Model!DC223</f>
        <v>0.34889676910953504</v>
      </c>
      <c r="DD46" s="351">
        <f>DD45/Model!DD223</f>
        <v>0.74931237721021615</v>
      </c>
      <c r="DE46" s="351">
        <f>DE45/Model!DE223</f>
        <v>0.75178633026166664</v>
      </c>
      <c r="DF46" s="351"/>
      <c r="DG46" s="351">
        <f>DG45/Model!DG223</f>
        <v>1.2982490655124925</v>
      </c>
      <c r="DH46" s="351">
        <f>DH45/Model!DH223</f>
        <v>1.5262849325776822</v>
      </c>
      <c r="DI46" s="351">
        <f>DI45/Model!DI223</f>
        <v>1.8650223344338706</v>
      </c>
      <c r="DJ46" s="351">
        <f>DJ45/Model!DJ223</f>
        <v>2.5030983733539891</v>
      </c>
      <c r="DK46" s="351">
        <f>DK45/Model!DK223</f>
        <v>2.5205479452054793</v>
      </c>
      <c r="DL46" s="351"/>
      <c r="DM46" s="351">
        <f>DM45/Model!DM223</f>
        <v>3.2759223300970874</v>
      </c>
      <c r="DN46" s="351">
        <f>DN45/Model!DN223</f>
        <v>3.1688463790747607</v>
      </c>
      <c r="DO46" s="351">
        <f>DO45/Model!DO223</f>
        <v>2.9458661417322833</v>
      </c>
      <c r="DP46" s="351">
        <f>DP45/Model!DP223</f>
        <v>2.8251442212054902</v>
      </c>
      <c r="DQ46" s="351">
        <f>DQ45/Model!DQ223</f>
        <v>2.7874386653581942</v>
      </c>
      <c r="DR46" s="351"/>
      <c r="DS46" s="351">
        <f>DS45/Model!DS223</f>
        <v>3.4087872038874267</v>
      </c>
      <c r="DT46" s="351">
        <f>DT45/Model!DT223</f>
        <v>2.8631881676253079</v>
      </c>
      <c r="DU46" s="351">
        <f>DU45/Model!DU223</f>
        <v>2.8376974231088945</v>
      </c>
      <c r="DV46" s="351">
        <f>DV45/Model!DV223</f>
        <v>2.8851976450798991</v>
      </c>
      <c r="DW46" s="351">
        <f>DW45/Model!DW223</f>
        <v>2.8329290322580647</v>
      </c>
      <c r="DX46" s="351"/>
      <c r="DY46" s="351">
        <f>DY45/Model!DY223</f>
        <v>3.2083868207103126</v>
      </c>
      <c r="DZ46" s="351">
        <f>DZ45/Model!DZ223</f>
        <v>2.7843478260869565</v>
      </c>
      <c r="EA46" s="351">
        <f>EA45/Model!EA223</f>
        <v>2.8485245901639344</v>
      </c>
      <c r="EB46" s="351">
        <f>EB45/Model!EB223</f>
        <v>3.2050776975268112</v>
      </c>
      <c r="EC46" s="351">
        <f>EC45/Model!EC223</f>
        <v>3.1803670322510587</v>
      </c>
      <c r="ED46" s="351"/>
      <c r="EE46" s="351">
        <f>EE45/Model!EE223</f>
        <v>4.1884344766930521</v>
      </c>
      <c r="EF46" s="351">
        <f>EF45/Model!EF223</f>
        <v>2.7251942286348503</v>
      </c>
      <c r="EG46" s="351">
        <f>EG45/Model!EG223</f>
        <v>2.5634178905206944</v>
      </c>
      <c r="EH46" s="351">
        <f>EH45/Model!EH223</f>
        <v>2.7806408245574725</v>
      </c>
      <c r="EI46" s="351">
        <f>EI45/Model!EI223</f>
        <v>2.7562465297057193</v>
      </c>
      <c r="EJ46" s="351"/>
      <c r="EK46" s="351">
        <f>EK45/Model!EK223</f>
        <v>3.1459655485040798</v>
      </c>
      <c r="EL46" s="351">
        <f>EL45/Model!EL223</f>
        <v>2.4084800741427248</v>
      </c>
      <c r="EM46" s="351">
        <f>EM45/Model!EM223</f>
        <v>2.5049342105263159</v>
      </c>
      <c r="EN46" s="351">
        <f>EN45/Model!EN223</f>
        <v>2.895233600755073</v>
      </c>
      <c r="EO46" s="351">
        <f>EO45/Model!EO223</f>
        <v>2.8498432237835325</v>
      </c>
      <c r="EP46" s="351"/>
      <c r="EQ46" s="351">
        <f>EQ45/Model!EQ223</f>
        <v>3.3972992181947408</v>
      </c>
      <c r="ER46" s="351">
        <f>ER45/Model!ER223</f>
        <v>0.92467222884386169</v>
      </c>
      <c r="ES46" s="351">
        <f>ES45/Model!ES223</f>
        <v>1.2809229305423406</v>
      </c>
      <c r="ET46" s="351">
        <f>ET45/Model!ET223</f>
        <v>1.9230225988700564</v>
      </c>
      <c r="EU46" s="351">
        <f>EU45/Model!EU223</f>
        <v>1.9371591178562959</v>
      </c>
      <c r="EV46" s="351"/>
      <c r="EW46" s="351">
        <f>EW45/Model!EW223</f>
        <v>3.1760037348272641</v>
      </c>
      <c r="EX46" s="351">
        <f>EX45/Model!EX223</f>
        <v>2.5475134251692739</v>
      </c>
      <c r="EY46" s="351">
        <f>EY45/Model!EY223</f>
        <v>2.2993389990557129</v>
      </c>
      <c r="EZ46" s="351">
        <f>EZ45/Model!EZ223</f>
        <v>2.3483888625381035</v>
      </c>
      <c r="FA46" s="351">
        <f>FA45/Model!FA223</f>
        <v>2.3177662701645172</v>
      </c>
      <c r="FB46" s="351"/>
      <c r="FC46" s="351">
        <f>FC45/Model!FC223</f>
        <v>3.1656166199296507</v>
      </c>
      <c r="FD46" s="351">
        <f>FD45/Model!FD223</f>
        <v>2.7606019883132364</v>
      </c>
      <c r="FE46" s="351">
        <f>FE45/Model!FE223</f>
        <v>3.160374925832194</v>
      </c>
      <c r="FF46" s="351">
        <f>FF45/Model!FF223</f>
        <v>3.7934054953309158</v>
      </c>
      <c r="FG46" s="351">
        <f>FG45/Model!FG223</f>
        <v>3.7512541074636916</v>
      </c>
      <c r="FH46" s="351"/>
      <c r="FI46" s="351">
        <f>FI45/Model!FI223</f>
        <v>4.7863559241666866</v>
      </c>
      <c r="FJ46" s="351">
        <f>FJ45/Model!FJ223</f>
        <v>4.433585263353379</v>
      </c>
      <c r="FK46" s="351">
        <f>FK45/Model!FK223</f>
        <v>4.9235272653554727</v>
      </c>
      <c r="FL46" s="351">
        <f>FL45/Model!FL223</f>
        <v>5.8489760197168508</v>
      </c>
      <c r="FM46" s="351">
        <f>FM45/Model!FM223</f>
        <v>5.7920897407245002</v>
      </c>
      <c r="FN46" s="345"/>
      <c r="FO46" s="345"/>
      <c r="FP46" s="345"/>
      <c r="FQ46" s="345"/>
      <c r="FR46"/>
      <c r="FS46"/>
      <c r="FT46"/>
      <c r="FU46"/>
      <c r="FV46"/>
      <c r="FW46"/>
      <c r="FX46" s="345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</row>
    <row r="47" spans="1:274" s="24" customFormat="1" ht="10.5" customHeight="1" x14ac:dyDescent="0.2">
      <c r="A47" s="345"/>
      <c r="B47" s="20"/>
      <c r="C47" s="271"/>
      <c r="D47" s="271"/>
      <c r="E47" s="271"/>
      <c r="F47" s="271"/>
      <c r="G47" s="271"/>
      <c r="H47" s="271"/>
      <c r="I47" s="271"/>
      <c r="J47" s="271"/>
      <c r="K47" s="271"/>
      <c r="L47" s="271"/>
      <c r="M47" s="271"/>
      <c r="N47" s="364"/>
      <c r="O47" s="364"/>
      <c r="P47" s="364"/>
      <c r="Q47" s="364"/>
      <c r="R47" s="364"/>
      <c r="S47" s="364"/>
      <c r="T47" s="271"/>
      <c r="U47" s="271"/>
      <c r="V47" s="271"/>
      <c r="W47" s="271"/>
      <c r="X47" s="271"/>
      <c r="Y47" s="271"/>
      <c r="Z47" s="271"/>
      <c r="AA47" s="271"/>
      <c r="AB47" s="271"/>
      <c r="AC47" s="271"/>
      <c r="AD47" s="271"/>
      <c r="AE47" s="271"/>
      <c r="AF47" s="271"/>
      <c r="AG47" s="271"/>
      <c r="AH47" s="271"/>
      <c r="AI47" s="271"/>
      <c r="AJ47" s="271"/>
      <c r="AK47" s="271"/>
      <c r="AL47" s="271"/>
      <c r="AM47" s="271"/>
      <c r="AN47" s="271"/>
      <c r="AO47" s="271"/>
      <c r="AP47" s="271"/>
      <c r="AQ47" s="271"/>
      <c r="AR47" s="271"/>
      <c r="AS47" s="271"/>
      <c r="AT47" s="271"/>
      <c r="AU47" s="271"/>
      <c r="AV47" s="271"/>
      <c r="AW47" s="271"/>
      <c r="AX47" s="271"/>
      <c r="AY47" s="271"/>
      <c r="AZ47" s="271"/>
      <c r="BA47" s="271"/>
      <c r="BB47" s="271"/>
      <c r="BC47" s="271"/>
      <c r="BD47" s="271"/>
      <c r="BE47" s="271"/>
      <c r="BF47" s="271"/>
      <c r="BG47" s="271"/>
      <c r="BH47" s="271"/>
      <c r="BI47" s="271"/>
      <c r="BJ47" s="271"/>
      <c r="BK47" s="271"/>
      <c r="BL47" s="271"/>
      <c r="BM47" s="271"/>
      <c r="BN47" s="271"/>
      <c r="BO47" s="271"/>
      <c r="BP47" s="271"/>
      <c r="BQ47" s="271"/>
      <c r="BR47" s="271"/>
      <c r="BS47" s="271"/>
      <c r="BT47" s="448"/>
      <c r="BU47" s="271"/>
      <c r="BV47" s="364"/>
      <c r="BW47" s="449"/>
      <c r="BX47" s="271"/>
      <c r="BY47" s="271"/>
      <c r="BZ47" s="271"/>
      <c r="CA47" s="271"/>
      <c r="CB47" s="364"/>
      <c r="CC47" s="271"/>
      <c r="CD47" s="271"/>
      <c r="CE47" s="271"/>
      <c r="CF47" s="271"/>
      <c r="CG47" s="271"/>
      <c r="CH47" s="271"/>
      <c r="CI47" s="271"/>
      <c r="CJ47" s="271"/>
      <c r="CK47" s="271"/>
      <c r="CL47" s="271"/>
      <c r="CM47" s="271"/>
      <c r="CN47" s="271"/>
      <c r="CO47" s="271"/>
      <c r="CP47" s="271"/>
      <c r="CQ47" s="271"/>
      <c r="CR47" s="271"/>
      <c r="CS47" s="271"/>
      <c r="CT47" s="271"/>
      <c r="CU47" s="271"/>
      <c r="CV47" s="271"/>
      <c r="CW47" s="271"/>
      <c r="CX47" s="271"/>
      <c r="CY47" s="271"/>
      <c r="CZ47" s="271"/>
      <c r="DA47" s="271"/>
      <c r="DB47" s="271"/>
      <c r="DC47" s="271"/>
      <c r="DD47" s="271"/>
      <c r="DE47" s="271"/>
      <c r="DF47" s="271"/>
      <c r="DG47" s="271"/>
      <c r="DH47" s="271"/>
      <c r="DI47" s="271"/>
      <c r="DJ47" s="271"/>
      <c r="DK47" s="271"/>
      <c r="DL47" s="271"/>
      <c r="DM47" s="271"/>
      <c r="DN47" s="271"/>
      <c r="DO47" s="271"/>
      <c r="DP47" s="271"/>
      <c r="DQ47" s="271"/>
      <c r="DR47" s="271"/>
      <c r="DS47" s="271"/>
      <c r="DT47" s="271"/>
      <c r="DU47" s="271"/>
      <c r="DV47" s="271"/>
      <c r="DW47" s="271"/>
      <c r="DX47" s="271"/>
      <c r="DY47" s="271"/>
      <c r="DZ47" s="271"/>
      <c r="EA47" s="271"/>
      <c r="EB47" s="271"/>
      <c r="EC47" s="271"/>
      <c r="ED47" s="271"/>
      <c r="EE47" s="271"/>
      <c r="EF47" s="271"/>
      <c r="EG47" s="271"/>
      <c r="EH47" s="271"/>
      <c r="EI47" s="271"/>
      <c r="EJ47" s="271"/>
      <c r="EK47" s="271"/>
      <c r="EL47" s="271"/>
      <c r="EM47" s="271"/>
      <c r="EN47" s="271"/>
      <c r="EO47" s="271"/>
      <c r="EP47" s="271"/>
      <c r="EQ47" s="271"/>
      <c r="ER47" s="271"/>
      <c r="ES47" s="271"/>
      <c r="ET47" s="271"/>
      <c r="EU47" s="271"/>
      <c r="EV47" s="271"/>
      <c r="EW47" s="271"/>
      <c r="EX47" s="271"/>
      <c r="EY47" s="271"/>
      <c r="EZ47" s="271"/>
      <c r="FA47" s="271"/>
      <c r="FB47" s="271"/>
      <c r="FC47" s="271"/>
      <c r="FD47" s="271"/>
      <c r="FE47" s="271"/>
      <c r="FF47" s="271"/>
      <c r="FG47" s="271"/>
      <c r="FH47" s="271"/>
      <c r="FI47" s="271"/>
      <c r="FJ47" s="271"/>
      <c r="FK47" s="271"/>
      <c r="FL47" s="271"/>
      <c r="FM47" s="271"/>
      <c r="FN47" s="345"/>
      <c r="FO47" s="345"/>
      <c r="FP47" s="345"/>
      <c r="FQ47" s="345"/>
      <c r="FR47"/>
      <c r="FS47"/>
      <c r="FT47"/>
      <c r="FU47"/>
      <c r="FV47"/>
      <c r="FW47"/>
      <c r="FX47" s="345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</row>
    <row r="48" spans="1:274" s="24" customFormat="1" ht="10.5" customHeight="1" x14ac:dyDescent="0.2">
      <c r="A48" s="345" t="s">
        <v>577</v>
      </c>
      <c r="B48" s="20"/>
      <c r="C48" s="271"/>
      <c r="D48" s="271"/>
      <c r="E48" s="271"/>
      <c r="F48" s="271"/>
      <c r="G48" s="271"/>
      <c r="H48" s="271"/>
      <c r="I48" s="271"/>
      <c r="J48" s="271"/>
      <c r="K48" s="271"/>
      <c r="L48" s="271"/>
      <c r="M48" s="271"/>
      <c r="N48" s="364"/>
      <c r="O48" s="364"/>
      <c r="P48" s="364"/>
      <c r="Q48" s="364"/>
      <c r="R48" s="364"/>
      <c r="S48" s="364"/>
      <c r="T48" s="271"/>
      <c r="U48" s="271"/>
      <c r="V48" s="271"/>
      <c r="W48" s="271"/>
      <c r="X48" s="271"/>
      <c r="Y48" s="271"/>
      <c r="Z48" s="271"/>
      <c r="AA48" s="271"/>
      <c r="AB48" s="271"/>
      <c r="AC48" s="271"/>
      <c r="AD48" s="271"/>
      <c r="AE48" s="271"/>
      <c r="AF48" s="271"/>
      <c r="AG48" s="271"/>
      <c r="AH48" s="271"/>
      <c r="AI48" s="271"/>
      <c r="AJ48" s="271"/>
      <c r="AK48" s="271"/>
      <c r="AL48" s="271"/>
      <c r="AM48" s="271"/>
      <c r="AN48" s="271"/>
      <c r="AO48" s="271"/>
      <c r="AP48" s="271"/>
      <c r="AQ48" s="271"/>
      <c r="AR48" s="271"/>
      <c r="AS48" s="271"/>
      <c r="AT48" s="271"/>
      <c r="AU48" s="271"/>
      <c r="AV48" s="271"/>
      <c r="AW48" s="271"/>
      <c r="AX48" s="271"/>
      <c r="AY48" s="271"/>
      <c r="AZ48" s="271"/>
      <c r="BA48" s="271"/>
      <c r="BB48" s="271"/>
      <c r="BC48" s="271"/>
      <c r="BD48" s="271"/>
      <c r="BE48" s="271"/>
      <c r="BF48" s="271"/>
      <c r="BG48" s="271"/>
      <c r="BH48" s="271"/>
      <c r="BI48" s="271"/>
      <c r="BJ48" s="271"/>
      <c r="BK48" s="271"/>
      <c r="BL48" s="271"/>
      <c r="BM48" s="271"/>
      <c r="BN48" s="271"/>
      <c r="BO48" s="367"/>
      <c r="BP48" s="367"/>
      <c r="BQ48" s="367"/>
      <c r="BR48" s="367"/>
      <c r="BS48" s="367"/>
      <c r="BT48" s="367"/>
      <c r="BU48" s="367"/>
      <c r="BV48" s="367"/>
      <c r="BW48" s="367"/>
      <c r="BX48" s="367"/>
      <c r="BY48" s="367"/>
      <c r="BZ48" s="367"/>
      <c r="CA48" s="367"/>
      <c r="CB48" s="367"/>
      <c r="CC48" s="367"/>
      <c r="CD48" s="367"/>
      <c r="CE48" s="367">
        <f>SUM(CE49:CE84)</f>
        <v>5750</v>
      </c>
      <c r="CF48" s="367">
        <f>SUM(CF49:CF84)</f>
        <v>5750</v>
      </c>
      <c r="CG48" s="367"/>
      <c r="CH48" s="367"/>
      <c r="CI48" s="367">
        <f>SUM(CI49:CI84)</f>
        <v>5750</v>
      </c>
      <c r="CJ48" s="367">
        <f>SUM(CJ49:CJ84)</f>
        <v>5750</v>
      </c>
      <c r="CK48" s="367">
        <f>SUM(CK49:CK84)</f>
        <v>5750</v>
      </c>
      <c r="CL48" s="367">
        <f>SUM(CL49:CL84)</f>
        <v>6250</v>
      </c>
      <c r="CM48" s="367"/>
      <c r="CN48" s="367"/>
      <c r="CO48" s="367">
        <f>SUM(CO49:CO84)</f>
        <v>6250</v>
      </c>
      <c r="CP48" s="367">
        <f>SUM(CP49:CP84)</f>
        <v>6250</v>
      </c>
      <c r="CQ48" s="367">
        <f>SUM(CQ49:CQ84)</f>
        <v>6250</v>
      </c>
      <c r="CR48" s="367">
        <f>SUM(CR49:CR84)</f>
        <v>11237</v>
      </c>
      <c r="CS48" s="367"/>
      <c r="CT48" s="367"/>
      <c r="CU48" s="367">
        <f>SUM(CU49:CU84)</f>
        <v>11237</v>
      </c>
      <c r="CV48" s="367">
        <f>SUM(CV49:CV84)</f>
        <v>11237</v>
      </c>
      <c r="CW48" s="367">
        <f>SUM(CW49:CW84)</f>
        <v>11237</v>
      </c>
      <c r="CX48" s="367">
        <f>SUM(CX49:CX84)</f>
        <v>10240</v>
      </c>
      <c r="CY48" s="367"/>
      <c r="CZ48" s="367"/>
      <c r="DA48" s="367">
        <f>SUM(DA49:DA86)</f>
        <v>14740</v>
      </c>
      <c r="DB48" s="367">
        <f>SUM(DB49:DB86)</f>
        <v>14740</v>
      </c>
      <c r="DC48" s="367">
        <f>SUM(DC49:DC86)</f>
        <v>15740</v>
      </c>
      <c r="DD48" s="367">
        <f>SUM(DD49:DD86)</f>
        <v>14740</v>
      </c>
      <c r="DE48" s="367"/>
      <c r="DF48" s="367"/>
      <c r="DG48" s="367">
        <f>SUM(DG49:DG86)</f>
        <v>16990</v>
      </c>
      <c r="DH48" s="367">
        <f>SUM(DH49:DH86)</f>
        <v>16990</v>
      </c>
      <c r="DI48" s="367">
        <f>SUM(DI49:DI86)</f>
        <v>14743</v>
      </c>
      <c r="DJ48" s="367">
        <f>SUM(DJ49:DJ86)</f>
        <v>14743</v>
      </c>
      <c r="DK48" s="367"/>
      <c r="DL48" s="367"/>
      <c r="DM48" s="367">
        <f>SUM(DM49:DM86)</f>
        <v>14831</v>
      </c>
      <c r="DN48" s="367">
        <f>SUM(DN49:DN86)</f>
        <v>14831</v>
      </c>
      <c r="DO48" s="367">
        <f>SUM(DO49:DO86)</f>
        <v>14831</v>
      </c>
      <c r="DP48" s="367">
        <f>SUM(DP49:DP86)</f>
        <v>14815</v>
      </c>
      <c r="DQ48" s="367"/>
      <c r="DR48" s="367"/>
      <c r="DS48" s="367">
        <f>SUM(DS49:DS86)</f>
        <v>14815</v>
      </c>
      <c r="DT48" s="367">
        <f>SUM(DT49:DT86)</f>
        <v>19815</v>
      </c>
      <c r="DU48" s="367">
        <f>SUM(DU49:DU86)</f>
        <v>19815</v>
      </c>
      <c r="DV48" s="367">
        <f>SUM(DV49:DV86)</f>
        <v>18538</v>
      </c>
      <c r="DW48" s="367"/>
      <c r="DX48" s="367"/>
      <c r="DY48" s="367">
        <f>SUM(DY49:DY86)</f>
        <v>24130</v>
      </c>
      <c r="DZ48" s="367">
        <f>SUM(DZ49:DZ86)</f>
        <v>24119</v>
      </c>
      <c r="EA48" s="367">
        <f>SUM(EA49:EA86)</f>
        <v>24107</v>
      </c>
      <c r="EB48" s="367">
        <f>SUM(EB49:EB86)</f>
        <v>24105</v>
      </c>
      <c r="EC48" s="367"/>
      <c r="ED48" s="367"/>
      <c r="EE48" s="367">
        <f>SUM(EE49:EE91)</f>
        <v>30847</v>
      </c>
      <c r="EF48" s="367">
        <f>SUM(EF49:EF91)</f>
        <v>30847</v>
      </c>
      <c r="EG48" s="367">
        <f>SUM(EG49:EG91)</f>
        <v>30847</v>
      </c>
      <c r="EH48" s="367">
        <f>SUM(EH49:EH91)</f>
        <v>39597</v>
      </c>
      <c r="EI48" s="367"/>
      <c r="EJ48" s="367"/>
      <c r="EK48" s="367">
        <f>SUM(EK49:EK91)</f>
        <v>42227</v>
      </c>
      <c r="EL48" s="367">
        <f>SUM(EL49:EL91)</f>
        <v>42227</v>
      </c>
      <c r="EM48" s="367">
        <f>SUM(EM49:EM91)</f>
        <v>40230</v>
      </c>
      <c r="EN48" s="367">
        <f>SUM(EN49:EN91)</f>
        <v>43980</v>
      </c>
      <c r="EO48" s="367"/>
      <c r="EP48" s="367"/>
      <c r="EQ48" s="367">
        <f>SUM(EQ49:EQ91)</f>
        <v>54230</v>
      </c>
      <c r="ER48" s="367">
        <f>SUM(ER49:ER91)</f>
        <v>54230</v>
      </c>
      <c r="ES48" s="367">
        <f>SUM(ES49:ES91)</f>
        <v>54230</v>
      </c>
      <c r="ET48" s="367">
        <f>SUM(ET49:ET91)</f>
        <v>54230</v>
      </c>
      <c r="EU48" s="367"/>
      <c r="EV48" s="367"/>
      <c r="EW48" s="367">
        <f>SUM(EW49:EW91)</f>
        <v>54230</v>
      </c>
      <c r="EX48" s="367">
        <f>SUM(EX49:EX91)</f>
        <v>63230</v>
      </c>
      <c r="EY48" s="367">
        <f>SUM(EY49:EY91)</f>
        <v>60730</v>
      </c>
      <c r="EZ48" s="367">
        <f>SUM(EZ49:EZ91)</f>
        <v>60730</v>
      </c>
      <c r="FA48" s="367"/>
      <c r="FB48" s="367"/>
      <c r="FC48" s="367">
        <f>SUM(FC49:FC91)</f>
        <v>58230</v>
      </c>
      <c r="FD48" s="367">
        <f>SUM(FD49:FD91)</f>
        <v>58230</v>
      </c>
      <c r="FE48" s="367">
        <f>SUM(FE49:FE91)</f>
        <v>58230</v>
      </c>
      <c r="FF48" s="367">
        <f>SUM(FF49:FF91)</f>
        <v>56230</v>
      </c>
      <c r="FG48" s="367"/>
      <c r="FH48" s="367"/>
      <c r="FI48" s="367">
        <f>SUM(FI49:FI91)</f>
        <v>56230</v>
      </c>
      <c r="FJ48" s="367">
        <f>SUM(FJ49:FJ91)</f>
        <v>53730</v>
      </c>
      <c r="FK48" s="367">
        <f>SUM(FK49:FK91)</f>
        <v>51730</v>
      </c>
      <c r="FL48" s="367">
        <f>SUM(FL49:FL91)</f>
        <v>51730</v>
      </c>
      <c r="FM48" s="367"/>
      <c r="FN48" s="345"/>
      <c r="FO48" s="345"/>
      <c r="FP48" s="345"/>
      <c r="FQ48" s="345"/>
      <c r="FR48"/>
      <c r="FS48"/>
      <c r="FT48"/>
      <c r="FU48"/>
      <c r="FV48"/>
      <c r="FW48"/>
      <c r="FX48" s="345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</row>
    <row r="49" spans="1:274" s="856" customFormat="1" ht="12" hidden="1" customHeight="1" outlineLevel="1" x14ac:dyDescent="0.2">
      <c r="A49" s="44" t="s">
        <v>985</v>
      </c>
      <c r="B49" s="1001"/>
      <c r="C49" s="1002"/>
      <c r="D49" s="1002"/>
      <c r="E49" s="1002"/>
      <c r="F49" s="1002"/>
      <c r="G49" s="1002"/>
      <c r="H49" s="1002"/>
      <c r="I49" s="1002"/>
      <c r="J49" s="1002"/>
      <c r="K49" s="1002"/>
      <c r="L49" s="1002"/>
      <c r="M49" s="1002"/>
      <c r="N49" s="1002"/>
      <c r="O49" s="1002"/>
      <c r="P49" s="1002"/>
      <c r="Q49" s="1002"/>
      <c r="R49" s="1002"/>
      <c r="S49" s="1002"/>
      <c r="T49" s="1002"/>
      <c r="U49" s="1002"/>
      <c r="V49" s="1002"/>
      <c r="W49" s="1002"/>
      <c r="X49" s="1002"/>
      <c r="Y49" s="1002"/>
      <c r="Z49" s="1002"/>
      <c r="AA49" s="1002"/>
      <c r="AB49" s="1002"/>
      <c r="AC49" s="1002"/>
      <c r="AD49" s="1002"/>
      <c r="AE49" s="1002"/>
      <c r="AF49" s="1002"/>
      <c r="AG49" s="1002"/>
      <c r="AH49" s="1002"/>
      <c r="AI49" s="1002"/>
      <c r="AJ49" s="1002"/>
      <c r="AK49" s="1002"/>
      <c r="AL49" s="1002"/>
      <c r="AM49" s="1002"/>
      <c r="AN49" s="1002"/>
      <c r="AO49" s="1002"/>
      <c r="AP49" s="1002"/>
      <c r="AQ49" s="1002"/>
      <c r="AR49" s="1002"/>
      <c r="AS49" s="1002"/>
      <c r="AT49" s="1002"/>
      <c r="AU49" s="1002"/>
      <c r="AV49" s="1002"/>
      <c r="AW49" s="451"/>
      <c r="AX49" s="1002"/>
      <c r="AY49" s="1002"/>
      <c r="AZ49" s="1002"/>
      <c r="BA49" s="1002"/>
      <c r="BB49" s="1002"/>
      <c r="BC49" s="451"/>
      <c r="BD49" s="1002"/>
      <c r="BE49" s="1002"/>
      <c r="BF49" s="1002"/>
      <c r="BG49" s="1002"/>
      <c r="BH49" s="1002"/>
      <c r="BI49" s="451"/>
      <c r="BJ49" s="1002"/>
      <c r="BK49" s="451"/>
      <c r="BL49" s="451"/>
      <c r="BM49" s="451"/>
      <c r="BN49" s="451"/>
      <c r="BO49" s="451"/>
      <c r="BP49" s="1002"/>
      <c r="BQ49" s="451"/>
      <c r="BR49" s="451"/>
      <c r="BS49" s="451"/>
      <c r="BT49" s="451"/>
      <c r="BU49" s="451"/>
      <c r="BV49" s="1002"/>
      <c r="BW49" s="451"/>
      <c r="BX49" s="451"/>
      <c r="BY49" s="451"/>
      <c r="BZ49" s="451"/>
      <c r="CA49" s="451"/>
      <c r="CB49" s="1003"/>
      <c r="CC49" s="451"/>
      <c r="CD49" s="451"/>
      <c r="CE49" s="451"/>
      <c r="CF49" s="451"/>
      <c r="CG49" s="1003"/>
      <c r="CH49" s="1003"/>
      <c r="CI49" s="451"/>
      <c r="CJ49" s="451"/>
      <c r="CK49" s="451"/>
      <c r="CL49" s="451"/>
      <c r="CM49" s="1002"/>
      <c r="CN49" s="1003"/>
      <c r="CO49" s="451"/>
      <c r="CP49" s="451"/>
      <c r="CQ49" s="451"/>
      <c r="CR49" s="452"/>
      <c r="CS49" s="1002"/>
      <c r="CT49" s="1003"/>
      <c r="CU49" s="451"/>
      <c r="CV49" s="451"/>
      <c r="CW49" s="451"/>
      <c r="CX49" s="451"/>
      <c r="CY49" s="1002"/>
      <c r="CZ49" s="1003"/>
      <c r="DA49" s="451"/>
      <c r="DB49" s="451"/>
      <c r="DC49" s="451"/>
      <c r="DD49" s="451"/>
      <c r="DE49" s="1002"/>
      <c r="DF49" s="1003"/>
      <c r="DG49" s="451"/>
      <c r="DH49" s="451"/>
      <c r="DI49" s="451"/>
      <c r="DJ49" s="451"/>
      <c r="DK49" s="1002"/>
      <c r="DL49" s="1003"/>
      <c r="DM49" s="451"/>
      <c r="DN49" s="451"/>
      <c r="DO49" s="451"/>
      <c r="DP49" s="452"/>
      <c r="DQ49" s="1002"/>
      <c r="DR49" s="1003"/>
      <c r="DS49" s="451"/>
      <c r="DT49" s="451"/>
      <c r="DU49" s="451"/>
      <c r="DV49" s="451"/>
      <c r="DW49" s="1002"/>
      <c r="DX49" s="1003"/>
      <c r="DY49" s="451"/>
      <c r="DZ49" s="451"/>
      <c r="EA49" s="451"/>
      <c r="EB49" s="451"/>
      <c r="EC49" s="1002"/>
      <c r="ED49" s="1003"/>
      <c r="EE49" s="451"/>
      <c r="EF49" s="451"/>
      <c r="EG49" s="451"/>
      <c r="EH49" s="451"/>
      <c r="EI49" s="1002"/>
      <c r="EJ49" s="1003"/>
      <c r="EK49" s="451"/>
      <c r="EL49" s="451"/>
      <c r="EM49" s="451"/>
      <c r="EN49" s="452">
        <v>3750</v>
      </c>
      <c r="EO49" s="1002"/>
      <c r="EP49" s="1003"/>
      <c r="EQ49" s="451"/>
      <c r="ER49" s="451"/>
      <c r="ES49" s="451"/>
      <c r="ET49" s="451"/>
      <c r="EU49" s="1002"/>
      <c r="EV49" s="1003"/>
      <c r="EW49" s="451"/>
      <c r="EX49" s="451"/>
      <c r="EY49" s="451"/>
      <c r="EZ49" s="451"/>
      <c r="FA49" s="1002"/>
      <c r="FB49" s="1003"/>
      <c r="FC49" s="451"/>
      <c r="FD49" s="451"/>
      <c r="FE49" s="451"/>
      <c r="FF49" s="451"/>
      <c r="FG49" s="1002"/>
      <c r="FH49" s="1003"/>
      <c r="FI49" s="451"/>
      <c r="FJ49" s="451"/>
      <c r="FK49" s="451"/>
      <c r="FL49" s="451"/>
      <c r="FM49" s="1002"/>
      <c r="FN49" s="853"/>
      <c r="FO49" s="853"/>
      <c r="FP49" s="853"/>
      <c r="FQ49" s="853"/>
      <c r="FR49"/>
      <c r="FS49"/>
      <c r="FT49"/>
      <c r="FU49"/>
      <c r="FV49"/>
      <c r="FW49"/>
      <c r="FX49" s="942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</row>
    <row r="50" spans="1:274" s="856" customFormat="1" ht="12" hidden="1" customHeight="1" outlineLevel="1" x14ac:dyDescent="0.2">
      <c r="A50" s="44" t="s">
        <v>578</v>
      </c>
      <c r="B50" s="1001"/>
      <c r="C50" s="1002"/>
      <c r="D50" s="1002"/>
      <c r="E50" s="1002"/>
      <c r="F50" s="1002"/>
      <c r="G50" s="1002"/>
      <c r="H50" s="1002"/>
      <c r="I50" s="1002"/>
      <c r="J50" s="1002"/>
      <c r="K50" s="1002"/>
      <c r="L50" s="1002"/>
      <c r="M50" s="1002"/>
      <c r="N50" s="1002"/>
      <c r="O50" s="1002"/>
      <c r="P50" s="1002"/>
      <c r="Q50" s="1002"/>
      <c r="R50" s="1002"/>
      <c r="S50" s="1002"/>
      <c r="T50" s="1002"/>
      <c r="U50" s="1002"/>
      <c r="V50" s="1002"/>
      <c r="W50" s="1002"/>
      <c r="X50" s="1002"/>
      <c r="Y50" s="1002"/>
      <c r="Z50" s="1002"/>
      <c r="AA50" s="1002"/>
      <c r="AB50" s="1002"/>
      <c r="AC50" s="1002"/>
      <c r="AD50" s="1002"/>
      <c r="AE50" s="1002"/>
      <c r="AF50" s="1002"/>
      <c r="AG50" s="1002"/>
      <c r="AH50" s="1002"/>
      <c r="AI50" s="1002"/>
      <c r="AJ50" s="1002"/>
      <c r="AK50" s="1002"/>
      <c r="AL50" s="1002"/>
      <c r="AM50" s="1002"/>
      <c r="AN50" s="1002"/>
      <c r="AO50" s="1002"/>
      <c r="AP50" s="1002"/>
      <c r="AQ50" s="1002"/>
      <c r="AR50" s="1002"/>
      <c r="AS50" s="1002"/>
      <c r="AT50" s="1002"/>
      <c r="AU50" s="1002"/>
      <c r="AV50" s="1002"/>
      <c r="AW50" s="451"/>
      <c r="AX50" s="1002"/>
      <c r="AY50" s="1002"/>
      <c r="AZ50" s="1002"/>
      <c r="BA50" s="1002"/>
      <c r="BB50" s="1002"/>
      <c r="BC50" s="451"/>
      <c r="BD50" s="1002"/>
      <c r="BE50" s="1002"/>
      <c r="BF50" s="1002"/>
      <c r="BG50" s="1002"/>
      <c r="BH50" s="1002"/>
      <c r="BI50" s="451"/>
      <c r="BJ50" s="1002"/>
      <c r="BK50" s="451"/>
      <c r="BL50" s="451"/>
      <c r="BM50" s="451"/>
      <c r="BN50" s="451"/>
      <c r="BO50" s="451"/>
      <c r="BP50" s="1002"/>
      <c r="BQ50" s="451"/>
      <c r="BR50" s="451"/>
      <c r="BS50" s="451"/>
      <c r="BT50" s="451"/>
      <c r="BU50" s="451"/>
      <c r="BV50" s="1002"/>
      <c r="BW50" s="451"/>
      <c r="BX50" s="451"/>
      <c r="BY50" s="451"/>
      <c r="BZ50" s="451"/>
      <c r="CA50" s="451"/>
      <c r="CB50" s="1003"/>
      <c r="CC50" s="451"/>
      <c r="CD50" s="451"/>
      <c r="CE50" s="452">
        <v>1500</v>
      </c>
      <c r="CF50" s="452">
        <v>1500</v>
      </c>
      <c r="CG50" s="1004"/>
      <c r="CH50" s="1004"/>
      <c r="CI50" s="452">
        <v>1500</v>
      </c>
      <c r="CJ50" s="452">
        <v>1500</v>
      </c>
      <c r="CK50" s="452">
        <v>1500</v>
      </c>
      <c r="CL50" s="452">
        <v>1000</v>
      </c>
      <c r="CM50" s="1004"/>
      <c r="CN50" s="1004"/>
      <c r="CO50" s="452">
        <v>1000</v>
      </c>
      <c r="CP50" s="452">
        <v>1000</v>
      </c>
      <c r="CQ50" s="452">
        <v>1000</v>
      </c>
      <c r="CR50" s="452">
        <v>1000</v>
      </c>
      <c r="CS50" s="1004"/>
      <c r="CT50" s="1004"/>
      <c r="CU50" s="452">
        <v>1000</v>
      </c>
      <c r="CV50" s="452">
        <v>1000</v>
      </c>
      <c r="CW50" s="452">
        <v>1000</v>
      </c>
      <c r="CX50" s="452"/>
      <c r="CY50" s="1002"/>
      <c r="CZ50" s="1003"/>
      <c r="DA50" s="453"/>
      <c r="DB50" s="453"/>
      <c r="DC50" s="453"/>
      <c r="DD50" s="453"/>
      <c r="DE50" s="1002"/>
      <c r="DF50" s="1003"/>
      <c r="DG50" s="453"/>
      <c r="DH50" s="453"/>
      <c r="DI50" s="453"/>
      <c r="DJ50" s="453"/>
      <c r="DK50" s="1002"/>
      <c r="DL50" s="1003"/>
      <c r="DM50" s="453"/>
      <c r="DN50" s="453"/>
      <c r="DO50" s="453"/>
      <c r="DP50" s="453"/>
      <c r="DQ50" s="1002"/>
      <c r="DR50" s="1003"/>
      <c r="DS50" s="453"/>
      <c r="DT50" s="453"/>
      <c r="DU50" s="453"/>
      <c r="DV50" s="453"/>
      <c r="DW50" s="1002"/>
      <c r="DX50" s="1003"/>
      <c r="DY50" s="453"/>
      <c r="DZ50" s="453"/>
      <c r="EA50" s="453"/>
      <c r="EB50" s="453"/>
      <c r="EC50" s="1002"/>
      <c r="ED50" s="1003"/>
      <c r="EE50" s="453"/>
      <c r="EF50" s="453"/>
      <c r="EG50" s="453"/>
      <c r="EH50" s="453"/>
      <c r="EI50" s="1002"/>
      <c r="EJ50" s="1003"/>
      <c r="EK50" s="453"/>
      <c r="EL50" s="453"/>
      <c r="EM50" s="453"/>
      <c r="EN50" s="453"/>
      <c r="EO50" s="1002"/>
      <c r="EP50" s="1003"/>
      <c r="EQ50" s="453"/>
      <c r="ER50" s="453"/>
      <c r="ES50" s="453"/>
      <c r="ET50" s="453"/>
      <c r="EU50" s="1002"/>
      <c r="EV50" s="1003"/>
      <c r="EW50" s="453"/>
      <c r="EX50" s="453"/>
      <c r="EY50" s="453"/>
      <c r="EZ50" s="453"/>
      <c r="FA50" s="1002"/>
      <c r="FB50" s="1003"/>
      <c r="FC50" s="453"/>
      <c r="FD50" s="453"/>
      <c r="FE50" s="453"/>
      <c r="FF50" s="453"/>
      <c r="FG50" s="1002"/>
      <c r="FH50" s="1003"/>
      <c r="FI50" s="453"/>
      <c r="FJ50" s="453"/>
      <c r="FK50" s="453"/>
      <c r="FL50" s="453"/>
      <c r="FM50" s="1002"/>
      <c r="FN50" s="853"/>
      <c r="FO50" s="853"/>
      <c r="FP50" s="853"/>
      <c r="FQ50" s="853"/>
      <c r="FR50"/>
      <c r="FS50"/>
      <c r="FT50"/>
      <c r="FU50"/>
      <c r="FV50"/>
      <c r="FW50"/>
      <c r="FX50" s="942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</row>
    <row r="51" spans="1:274" s="856" customFormat="1" ht="12" hidden="1" customHeight="1" outlineLevel="1" x14ac:dyDescent="0.2">
      <c r="A51" s="44" t="s">
        <v>579</v>
      </c>
      <c r="B51" s="1001"/>
      <c r="C51" s="1002"/>
      <c r="D51" s="1002"/>
      <c r="E51" s="1002"/>
      <c r="F51" s="1002"/>
      <c r="G51" s="1002"/>
      <c r="H51" s="1002"/>
      <c r="I51" s="1002"/>
      <c r="J51" s="1002"/>
      <c r="K51" s="1002"/>
      <c r="L51" s="1002"/>
      <c r="M51" s="1002"/>
      <c r="N51" s="1002"/>
      <c r="O51" s="1002"/>
      <c r="P51" s="1002"/>
      <c r="Q51" s="1002"/>
      <c r="R51" s="1002"/>
      <c r="S51" s="1002"/>
      <c r="T51" s="1002"/>
      <c r="U51" s="1002"/>
      <c r="V51" s="1002"/>
      <c r="W51" s="1002"/>
      <c r="X51" s="1002"/>
      <c r="Y51" s="1002"/>
      <c r="Z51" s="1002"/>
      <c r="AA51" s="1002"/>
      <c r="AB51" s="1002"/>
      <c r="AC51" s="1002"/>
      <c r="AD51" s="1002"/>
      <c r="AE51" s="1002"/>
      <c r="AF51" s="1002"/>
      <c r="AG51" s="1002"/>
      <c r="AH51" s="1002"/>
      <c r="AI51" s="1002"/>
      <c r="AJ51" s="1002"/>
      <c r="AK51" s="1002"/>
      <c r="AL51" s="1002"/>
      <c r="AM51" s="1002"/>
      <c r="AN51" s="1002"/>
      <c r="AO51" s="1002"/>
      <c r="AP51" s="1002"/>
      <c r="AQ51" s="1002"/>
      <c r="AR51" s="1002"/>
      <c r="AS51" s="1002"/>
      <c r="AT51" s="1002"/>
      <c r="AU51" s="1002"/>
      <c r="AV51" s="1002"/>
      <c r="AW51" s="451"/>
      <c r="AX51" s="1002"/>
      <c r="AY51" s="1002"/>
      <c r="AZ51" s="1002"/>
      <c r="BA51" s="1002"/>
      <c r="BB51" s="1002"/>
      <c r="BC51" s="451"/>
      <c r="BD51" s="1002"/>
      <c r="BE51" s="1002"/>
      <c r="BF51" s="1002"/>
      <c r="BG51" s="1002"/>
      <c r="BH51" s="1002"/>
      <c r="BI51" s="451"/>
      <c r="BJ51" s="1002"/>
      <c r="BK51" s="451"/>
      <c r="BL51" s="451"/>
      <c r="BM51" s="451"/>
      <c r="BN51" s="451"/>
      <c r="BO51" s="451"/>
      <c r="BP51" s="1002"/>
      <c r="BQ51" s="451"/>
      <c r="BR51" s="451"/>
      <c r="BS51" s="451"/>
      <c r="BT51" s="451"/>
      <c r="BU51" s="451"/>
      <c r="BV51" s="1002"/>
      <c r="BW51" s="451"/>
      <c r="BX51" s="451"/>
      <c r="BY51" s="451"/>
      <c r="BZ51" s="451"/>
      <c r="CA51" s="451"/>
      <c r="CB51" s="1003"/>
      <c r="CC51" s="451"/>
      <c r="CD51" s="451"/>
      <c r="CE51" s="452"/>
      <c r="CF51" s="452"/>
      <c r="CG51" s="1004"/>
      <c r="CH51" s="1004"/>
      <c r="CI51" s="452"/>
      <c r="CJ51" s="452"/>
      <c r="CK51" s="452"/>
      <c r="CL51" s="452">
        <v>1000</v>
      </c>
      <c r="CM51" s="1004"/>
      <c r="CN51" s="1004"/>
      <c r="CO51" s="452">
        <v>1000</v>
      </c>
      <c r="CP51" s="452">
        <v>1000</v>
      </c>
      <c r="CQ51" s="452">
        <v>1000</v>
      </c>
      <c r="CR51" s="452">
        <v>1000</v>
      </c>
      <c r="CS51" s="1004"/>
      <c r="CT51" s="1004"/>
      <c r="CU51" s="452">
        <v>1000</v>
      </c>
      <c r="CV51" s="452">
        <v>1000</v>
      </c>
      <c r="CW51" s="452">
        <v>1000</v>
      </c>
      <c r="CX51" s="452">
        <v>1000</v>
      </c>
      <c r="CY51" s="1002"/>
      <c r="CZ51" s="1003"/>
      <c r="DA51" s="452">
        <v>1000</v>
      </c>
      <c r="DB51" s="452">
        <v>1000</v>
      </c>
      <c r="DC51" s="452">
        <v>1000</v>
      </c>
      <c r="DD51" s="453"/>
      <c r="DE51" s="1002"/>
      <c r="DF51" s="1003"/>
      <c r="DG51" s="452"/>
      <c r="DH51" s="452"/>
      <c r="DI51" s="452"/>
      <c r="DJ51" s="453"/>
      <c r="DK51" s="1002"/>
      <c r="DL51" s="1003"/>
      <c r="DM51" s="452"/>
      <c r="DN51" s="452"/>
      <c r="DO51" s="452"/>
      <c r="DP51" s="453"/>
      <c r="DQ51" s="1002"/>
      <c r="DR51" s="1003"/>
      <c r="DS51" s="452"/>
      <c r="DT51" s="452"/>
      <c r="DU51" s="452"/>
      <c r="DV51" s="453"/>
      <c r="DW51" s="1002"/>
      <c r="DX51" s="1003"/>
      <c r="DY51" s="452"/>
      <c r="DZ51" s="452"/>
      <c r="EA51" s="452"/>
      <c r="EB51" s="453"/>
      <c r="EC51" s="1002"/>
      <c r="ED51" s="1003"/>
      <c r="EE51" s="452"/>
      <c r="EF51" s="452"/>
      <c r="EG51" s="452"/>
      <c r="EH51" s="453"/>
      <c r="EI51" s="1002"/>
      <c r="EJ51" s="1003"/>
      <c r="EK51" s="452"/>
      <c r="EL51" s="452"/>
      <c r="EM51" s="452"/>
      <c r="EN51" s="453"/>
      <c r="EO51" s="1002"/>
      <c r="EP51" s="1003"/>
      <c r="EQ51" s="452"/>
      <c r="ER51" s="452"/>
      <c r="ES51" s="452"/>
      <c r="ET51" s="453"/>
      <c r="EU51" s="1002"/>
      <c r="EV51" s="1003"/>
      <c r="EW51" s="452"/>
      <c r="EX51" s="452"/>
      <c r="EY51" s="452"/>
      <c r="EZ51" s="453"/>
      <c r="FA51" s="1002"/>
      <c r="FB51" s="1003"/>
      <c r="FC51" s="452"/>
      <c r="FD51" s="452"/>
      <c r="FE51" s="452"/>
      <c r="FF51" s="453"/>
      <c r="FG51" s="1002"/>
      <c r="FH51" s="1003"/>
      <c r="FI51" s="452"/>
      <c r="FJ51" s="452"/>
      <c r="FK51" s="452"/>
      <c r="FL51" s="453"/>
      <c r="FM51" s="1002"/>
      <c r="FN51" s="853"/>
      <c r="FO51" s="853"/>
      <c r="FP51" s="853"/>
      <c r="FQ51" s="853"/>
      <c r="FR51"/>
      <c r="FS51"/>
      <c r="FT51"/>
      <c r="FU51"/>
      <c r="FV51"/>
      <c r="FW51"/>
      <c r="FX51" s="942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</row>
    <row r="52" spans="1:274" s="856" customFormat="1" ht="12" hidden="1" customHeight="1" outlineLevel="1" x14ac:dyDescent="0.2">
      <c r="A52" s="44" t="s">
        <v>1212</v>
      </c>
      <c r="B52" s="1001"/>
      <c r="C52" s="1002"/>
      <c r="D52" s="1002"/>
      <c r="E52" s="1002"/>
      <c r="F52" s="1002"/>
      <c r="G52" s="1002"/>
      <c r="H52" s="1002"/>
      <c r="I52" s="1002"/>
      <c r="J52" s="1002"/>
      <c r="K52" s="1002"/>
      <c r="L52" s="1002"/>
      <c r="M52" s="1002"/>
      <c r="N52" s="1002"/>
      <c r="O52" s="1002"/>
      <c r="P52" s="1002"/>
      <c r="Q52" s="1002"/>
      <c r="R52" s="1002"/>
      <c r="S52" s="1002"/>
      <c r="T52" s="1002"/>
      <c r="U52" s="1002"/>
      <c r="V52" s="1002"/>
      <c r="W52" s="1002"/>
      <c r="X52" s="1002"/>
      <c r="Y52" s="1002"/>
      <c r="Z52" s="1002"/>
      <c r="AA52" s="1002"/>
      <c r="AB52" s="1002"/>
      <c r="AC52" s="1002"/>
      <c r="AD52" s="1002"/>
      <c r="AE52" s="1002"/>
      <c r="AF52" s="1002"/>
      <c r="AG52" s="1002"/>
      <c r="AH52" s="1002"/>
      <c r="AI52" s="1002"/>
      <c r="AJ52" s="1002"/>
      <c r="AK52" s="1002"/>
      <c r="AL52" s="1002"/>
      <c r="AM52" s="1002"/>
      <c r="AN52" s="1002"/>
      <c r="AO52" s="1002"/>
      <c r="AP52" s="1002"/>
      <c r="AQ52" s="1002"/>
      <c r="AR52" s="1002"/>
      <c r="AS52" s="1002"/>
      <c r="AT52" s="1002"/>
      <c r="AU52" s="1002"/>
      <c r="AV52" s="1002"/>
      <c r="AW52" s="451"/>
      <c r="AX52" s="1002"/>
      <c r="AY52" s="1002"/>
      <c r="AZ52" s="1002"/>
      <c r="BA52" s="1002"/>
      <c r="BB52" s="1002"/>
      <c r="BC52" s="451"/>
      <c r="BD52" s="1002"/>
      <c r="BE52" s="1002"/>
      <c r="BF52" s="1002"/>
      <c r="BG52" s="1002"/>
      <c r="BH52" s="1002"/>
      <c r="BI52" s="451"/>
      <c r="BJ52" s="1002"/>
      <c r="BK52" s="451"/>
      <c r="BL52" s="451"/>
      <c r="BM52" s="451"/>
      <c r="BN52" s="451"/>
      <c r="BO52" s="451"/>
      <c r="BP52" s="1002"/>
      <c r="BQ52" s="451"/>
      <c r="BR52" s="451"/>
      <c r="BS52" s="451"/>
      <c r="BT52" s="451"/>
      <c r="BU52" s="451"/>
      <c r="BV52" s="1002"/>
      <c r="BW52" s="451"/>
      <c r="BX52" s="451"/>
      <c r="BY52" s="451"/>
      <c r="BZ52" s="451"/>
      <c r="CA52" s="451"/>
      <c r="CB52" s="1003"/>
      <c r="CC52" s="451"/>
      <c r="CD52" s="451"/>
      <c r="CE52" s="452"/>
      <c r="CF52" s="452"/>
      <c r="CG52" s="1004"/>
      <c r="CH52" s="1004"/>
      <c r="CI52" s="452"/>
      <c r="CJ52" s="452"/>
      <c r="CK52" s="452"/>
      <c r="CL52" s="452"/>
      <c r="CM52" s="1004"/>
      <c r="CN52" s="1004"/>
      <c r="CO52" s="452"/>
      <c r="CP52" s="452"/>
      <c r="CQ52" s="452"/>
      <c r="CR52" s="452"/>
      <c r="CS52" s="1004"/>
      <c r="CT52" s="1004"/>
      <c r="CU52" s="452"/>
      <c r="CV52" s="452"/>
      <c r="CW52" s="452"/>
      <c r="CX52" s="452"/>
      <c r="CY52" s="1002"/>
      <c r="CZ52" s="1003"/>
      <c r="DA52" s="452"/>
      <c r="DB52" s="452"/>
      <c r="DC52" s="452"/>
      <c r="DD52" s="453"/>
      <c r="DE52" s="1002"/>
      <c r="DF52" s="1003"/>
      <c r="DG52" s="452"/>
      <c r="DH52" s="452"/>
      <c r="DI52" s="452"/>
      <c r="DJ52" s="453"/>
      <c r="DK52" s="1002"/>
      <c r="DL52" s="1003"/>
      <c r="DM52" s="452"/>
      <c r="DN52" s="452"/>
      <c r="DO52" s="452"/>
      <c r="DP52" s="453"/>
      <c r="DQ52" s="1002"/>
      <c r="DR52" s="1003"/>
      <c r="DS52" s="452"/>
      <c r="DT52" s="452"/>
      <c r="DU52" s="452"/>
      <c r="DV52" s="453"/>
      <c r="DW52" s="1002"/>
      <c r="DX52" s="1003"/>
      <c r="DY52" s="452"/>
      <c r="DZ52" s="452"/>
      <c r="EA52" s="452"/>
      <c r="EB52" s="453"/>
      <c r="EC52" s="1002"/>
      <c r="ED52" s="1003"/>
      <c r="EE52" s="452">
        <v>1000</v>
      </c>
      <c r="EF52" s="452">
        <v>1000</v>
      </c>
      <c r="EG52" s="452">
        <v>1000</v>
      </c>
      <c r="EH52" s="452">
        <v>1000</v>
      </c>
      <c r="EI52" s="1002"/>
      <c r="EJ52" s="1003"/>
      <c r="EK52" s="452">
        <v>1000</v>
      </c>
      <c r="EL52" s="452">
        <v>1000</v>
      </c>
      <c r="EM52" s="452">
        <v>1000</v>
      </c>
      <c r="EN52" s="452">
        <v>1000</v>
      </c>
      <c r="EO52" s="1002"/>
      <c r="EP52" s="1003"/>
      <c r="EQ52" s="452">
        <v>1000</v>
      </c>
      <c r="ER52" s="452">
        <v>1000</v>
      </c>
      <c r="ES52" s="452">
        <v>1000</v>
      </c>
      <c r="ET52" s="452">
        <v>1000</v>
      </c>
      <c r="EU52" s="1002"/>
      <c r="EV52" s="1003"/>
      <c r="EW52" s="452">
        <v>1000</v>
      </c>
      <c r="EX52" s="452"/>
      <c r="EY52" s="452"/>
      <c r="EZ52" s="453"/>
      <c r="FA52" s="1002"/>
      <c r="FB52" s="1003"/>
      <c r="FC52" s="452"/>
      <c r="FD52" s="452"/>
      <c r="FE52" s="452"/>
      <c r="FF52" s="453"/>
      <c r="FG52" s="1002"/>
      <c r="FH52" s="1003"/>
      <c r="FI52" s="452"/>
      <c r="FJ52" s="452"/>
      <c r="FK52" s="452"/>
      <c r="FL52" s="453"/>
      <c r="FM52" s="1002"/>
      <c r="FN52" s="853"/>
      <c r="FO52" s="853"/>
      <c r="FP52" s="853"/>
      <c r="FQ52" s="853"/>
      <c r="FR52"/>
      <c r="FS52"/>
      <c r="FT52"/>
      <c r="FU52"/>
      <c r="FV52"/>
      <c r="FW52"/>
      <c r="FX52" s="94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</row>
    <row r="53" spans="1:274" s="856" customFormat="1" ht="12" hidden="1" customHeight="1" outlineLevel="1" x14ac:dyDescent="0.2">
      <c r="A53" s="44" t="s">
        <v>435</v>
      </c>
      <c r="B53" s="1001"/>
      <c r="C53" s="1002"/>
      <c r="D53" s="1002"/>
      <c r="E53" s="1002"/>
      <c r="F53" s="1002"/>
      <c r="G53" s="1002"/>
      <c r="H53" s="1002"/>
      <c r="I53" s="1002"/>
      <c r="J53" s="1002"/>
      <c r="K53" s="1002"/>
      <c r="L53" s="1002"/>
      <c r="M53" s="1002"/>
      <c r="N53" s="1002"/>
      <c r="O53" s="1002"/>
      <c r="P53" s="1002"/>
      <c r="Q53" s="1002"/>
      <c r="R53" s="1002"/>
      <c r="S53" s="1002"/>
      <c r="T53" s="1002"/>
      <c r="U53" s="1002"/>
      <c r="V53" s="1002"/>
      <c r="W53" s="1002"/>
      <c r="X53" s="1002"/>
      <c r="Y53" s="1002"/>
      <c r="Z53" s="1002"/>
      <c r="AA53" s="1002"/>
      <c r="AB53" s="1002"/>
      <c r="AC53" s="1002"/>
      <c r="AD53" s="1002"/>
      <c r="AE53" s="1002"/>
      <c r="AF53" s="1002"/>
      <c r="AG53" s="1002"/>
      <c r="AH53" s="1002"/>
      <c r="AI53" s="1002"/>
      <c r="AJ53" s="1002"/>
      <c r="AK53" s="1002"/>
      <c r="AL53" s="1002"/>
      <c r="AM53" s="1002"/>
      <c r="AN53" s="1002"/>
      <c r="AO53" s="1002"/>
      <c r="AP53" s="1002"/>
      <c r="AQ53" s="1002"/>
      <c r="AR53" s="1002"/>
      <c r="AS53" s="1002"/>
      <c r="AT53" s="1002"/>
      <c r="AU53" s="1002"/>
      <c r="AV53" s="1002"/>
      <c r="AW53" s="451"/>
      <c r="AX53" s="1002"/>
      <c r="AY53" s="1002"/>
      <c r="AZ53" s="1002"/>
      <c r="BA53" s="1002"/>
      <c r="BB53" s="1002"/>
      <c r="BC53" s="451"/>
      <c r="BD53" s="1002"/>
      <c r="BE53" s="1002"/>
      <c r="BF53" s="1002"/>
      <c r="BG53" s="1002"/>
      <c r="BH53" s="1002"/>
      <c r="BI53" s="451"/>
      <c r="BJ53" s="1002"/>
      <c r="BK53" s="451"/>
      <c r="BL53" s="451"/>
      <c r="BM53" s="451"/>
      <c r="BN53" s="451"/>
      <c r="BO53" s="451"/>
      <c r="BP53" s="1002"/>
      <c r="BQ53" s="451"/>
      <c r="BR53" s="451"/>
      <c r="BS53" s="451"/>
      <c r="BT53" s="451"/>
      <c r="BU53" s="451"/>
      <c r="BV53" s="1002"/>
      <c r="BW53" s="451"/>
      <c r="BX53" s="451"/>
      <c r="BY53" s="451"/>
      <c r="BZ53" s="451"/>
      <c r="CA53" s="451"/>
      <c r="CB53" s="1003"/>
      <c r="CC53" s="451"/>
      <c r="CD53" s="451"/>
      <c r="CE53" s="452"/>
      <c r="CF53" s="452"/>
      <c r="CG53" s="1004"/>
      <c r="CH53" s="1004"/>
      <c r="CI53" s="452"/>
      <c r="CJ53" s="452"/>
      <c r="CK53" s="452"/>
      <c r="CL53" s="452"/>
      <c r="CM53" s="1004"/>
      <c r="CN53" s="1004"/>
      <c r="CO53" s="452"/>
      <c r="CP53" s="452"/>
      <c r="CQ53" s="452"/>
      <c r="CR53" s="452"/>
      <c r="CS53" s="1004"/>
      <c r="CT53" s="1004"/>
      <c r="CU53" s="452"/>
      <c r="CV53" s="452"/>
      <c r="CW53" s="452"/>
      <c r="CX53" s="452"/>
      <c r="CY53" s="1002"/>
      <c r="CZ53" s="1003"/>
      <c r="DA53" s="452"/>
      <c r="DB53" s="452"/>
      <c r="DC53" s="452"/>
      <c r="DD53" s="453"/>
      <c r="DE53" s="1002"/>
      <c r="DF53" s="1003"/>
      <c r="DG53" s="452"/>
      <c r="DH53" s="452"/>
      <c r="DI53" s="452"/>
      <c r="DJ53" s="453"/>
      <c r="DK53" s="1002"/>
      <c r="DL53" s="1003"/>
      <c r="DM53" s="452"/>
      <c r="DN53" s="452"/>
      <c r="DO53" s="452"/>
      <c r="DP53" s="453"/>
      <c r="DQ53" s="1002"/>
      <c r="DR53" s="1003"/>
      <c r="DS53" s="452"/>
      <c r="DT53" s="452"/>
      <c r="DU53" s="452"/>
      <c r="DV53" s="453"/>
      <c r="DW53" s="1002"/>
      <c r="DX53" s="1003"/>
      <c r="DY53" s="452">
        <v>500</v>
      </c>
      <c r="DZ53" s="452">
        <f>DY53</f>
        <v>500</v>
      </c>
      <c r="EA53" s="452">
        <f>DZ53</f>
        <v>500</v>
      </c>
      <c r="EB53" s="452">
        <f>EA53</f>
        <v>500</v>
      </c>
      <c r="EC53" s="1002"/>
      <c r="ED53" s="1003"/>
      <c r="EE53" s="452">
        <f>EB53</f>
        <v>500</v>
      </c>
      <c r="EF53" s="452">
        <f>EE53</f>
        <v>500</v>
      </c>
      <c r="EG53" s="452">
        <f>EF53</f>
        <v>500</v>
      </c>
      <c r="EH53" s="452">
        <f>EG53</f>
        <v>500</v>
      </c>
      <c r="EI53" s="1002"/>
      <c r="EJ53" s="1003"/>
      <c r="EK53" s="452">
        <f>EH53</f>
        <v>500</v>
      </c>
      <c r="EL53" s="452">
        <f>EK53</f>
        <v>500</v>
      </c>
      <c r="EM53" s="452">
        <f>EL53</f>
        <v>500</v>
      </c>
      <c r="EN53" s="452">
        <f>EM53</f>
        <v>500</v>
      </c>
      <c r="EO53" s="1002"/>
      <c r="EP53" s="1003"/>
      <c r="EQ53" s="452">
        <f>EN53</f>
        <v>500</v>
      </c>
      <c r="ER53" s="452">
        <f>EQ53</f>
        <v>500</v>
      </c>
      <c r="ES53" s="452">
        <f>ER53</f>
        <v>500</v>
      </c>
      <c r="ET53" s="452">
        <f>ES53</f>
        <v>500</v>
      </c>
      <c r="EU53" s="1002"/>
      <c r="EV53" s="1003"/>
      <c r="EW53" s="452">
        <f>ET53</f>
        <v>500</v>
      </c>
      <c r="EX53" s="452">
        <f>EW53</f>
        <v>500</v>
      </c>
      <c r="EY53" s="452">
        <f>EX53</f>
        <v>500</v>
      </c>
      <c r="EZ53" s="452">
        <f>EY53</f>
        <v>500</v>
      </c>
      <c r="FA53" s="1002"/>
      <c r="FB53" s="1003"/>
      <c r="FC53" s="452">
        <f>EZ53</f>
        <v>500</v>
      </c>
      <c r="FD53" s="452">
        <f>FC53</f>
        <v>500</v>
      </c>
      <c r="FE53" s="452">
        <f>FD53</f>
        <v>500</v>
      </c>
      <c r="FF53" s="452"/>
      <c r="FG53" s="1002"/>
      <c r="FH53" s="1003"/>
      <c r="FI53" s="452">
        <f>FF53</f>
        <v>0</v>
      </c>
      <c r="FJ53" s="452">
        <f>FI53</f>
        <v>0</v>
      </c>
      <c r="FK53" s="452">
        <f>FJ53</f>
        <v>0</v>
      </c>
      <c r="FL53" s="452"/>
      <c r="FM53" s="1002"/>
      <c r="FN53" s="853"/>
      <c r="FO53" s="853"/>
      <c r="FP53" s="853"/>
      <c r="FQ53" s="853"/>
      <c r="FR53"/>
      <c r="FS53"/>
      <c r="FT53"/>
      <c r="FU53"/>
      <c r="FV53"/>
      <c r="FW53"/>
      <c r="FX53" s="942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</row>
    <row r="54" spans="1:274" s="856" customFormat="1" ht="12" hidden="1" customHeight="1" outlineLevel="1" x14ac:dyDescent="0.2">
      <c r="A54" s="44" t="s">
        <v>1213</v>
      </c>
      <c r="B54" s="1001"/>
      <c r="C54" s="1002"/>
      <c r="D54" s="1002"/>
      <c r="E54" s="1002"/>
      <c r="F54" s="1002"/>
      <c r="G54" s="1002"/>
      <c r="H54" s="1002"/>
      <c r="I54" s="1002"/>
      <c r="J54" s="1002"/>
      <c r="K54" s="1002"/>
      <c r="L54" s="1002"/>
      <c r="M54" s="1002"/>
      <c r="N54" s="1002"/>
      <c r="O54" s="1002"/>
      <c r="P54" s="1002"/>
      <c r="Q54" s="1002"/>
      <c r="R54" s="1002"/>
      <c r="S54" s="1002"/>
      <c r="T54" s="1002"/>
      <c r="U54" s="1002"/>
      <c r="V54" s="1002"/>
      <c r="W54" s="1002"/>
      <c r="X54" s="1002"/>
      <c r="Y54" s="1002"/>
      <c r="Z54" s="1002"/>
      <c r="AA54" s="1002"/>
      <c r="AB54" s="1002"/>
      <c r="AC54" s="1002"/>
      <c r="AD54" s="1002"/>
      <c r="AE54" s="1002"/>
      <c r="AF54" s="1002"/>
      <c r="AG54" s="1002"/>
      <c r="AH54" s="1002"/>
      <c r="AI54" s="1002"/>
      <c r="AJ54" s="1002"/>
      <c r="AK54" s="1002"/>
      <c r="AL54" s="1002"/>
      <c r="AM54" s="1002"/>
      <c r="AN54" s="1002"/>
      <c r="AO54" s="1002"/>
      <c r="AP54" s="1002"/>
      <c r="AQ54" s="1002"/>
      <c r="AR54" s="1002"/>
      <c r="AS54" s="1002"/>
      <c r="AT54" s="1002"/>
      <c r="AU54" s="1002"/>
      <c r="AV54" s="1002"/>
      <c r="AW54" s="451"/>
      <c r="AX54" s="1002"/>
      <c r="AY54" s="1002"/>
      <c r="AZ54" s="1002"/>
      <c r="BA54" s="1002"/>
      <c r="BB54" s="1002"/>
      <c r="BC54" s="451"/>
      <c r="BD54" s="1002"/>
      <c r="BE54" s="1002"/>
      <c r="BF54" s="1002"/>
      <c r="BG54" s="1002"/>
      <c r="BH54" s="1002"/>
      <c r="BI54" s="451"/>
      <c r="BJ54" s="1002"/>
      <c r="BK54" s="451"/>
      <c r="BL54" s="451"/>
      <c r="BM54" s="451"/>
      <c r="BN54" s="451"/>
      <c r="BO54" s="451"/>
      <c r="BP54" s="1002"/>
      <c r="BQ54" s="451"/>
      <c r="BR54" s="451"/>
      <c r="BS54" s="451"/>
      <c r="BT54" s="451"/>
      <c r="BU54" s="451"/>
      <c r="BV54" s="1002"/>
      <c r="BW54" s="451"/>
      <c r="BX54" s="451"/>
      <c r="BY54" s="451"/>
      <c r="BZ54" s="451"/>
      <c r="CA54" s="451"/>
      <c r="CB54" s="1003"/>
      <c r="CC54" s="451"/>
      <c r="CD54" s="451"/>
      <c r="CE54" s="452"/>
      <c r="CF54" s="452"/>
      <c r="CG54" s="1004"/>
      <c r="CH54" s="1004"/>
      <c r="CI54" s="452"/>
      <c r="CJ54" s="452"/>
      <c r="CK54" s="452"/>
      <c r="CL54" s="452"/>
      <c r="CM54" s="1004"/>
      <c r="CN54" s="1004"/>
      <c r="CO54" s="452"/>
      <c r="CP54" s="452"/>
      <c r="CQ54" s="452"/>
      <c r="CR54" s="452"/>
      <c r="CS54" s="1004"/>
      <c r="CT54" s="1004"/>
      <c r="CU54" s="452"/>
      <c r="CV54" s="452"/>
      <c r="CW54" s="452"/>
      <c r="CX54" s="452"/>
      <c r="CY54" s="1002"/>
      <c r="CZ54" s="1003"/>
      <c r="DA54" s="452"/>
      <c r="DB54" s="452"/>
      <c r="DC54" s="452"/>
      <c r="DD54" s="453"/>
      <c r="DE54" s="1002"/>
      <c r="DF54" s="1003"/>
      <c r="DG54" s="452"/>
      <c r="DH54" s="452"/>
      <c r="DI54" s="452"/>
      <c r="DJ54" s="453"/>
      <c r="DK54" s="1002"/>
      <c r="DL54" s="1003"/>
      <c r="DM54" s="452"/>
      <c r="DN54" s="452"/>
      <c r="DO54" s="452"/>
      <c r="DP54" s="453"/>
      <c r="DQ54" s="1002"/>
      <c r="DR54" s="1003"/>
      <c r="DS54" s="452"/>
      <c r="DT54" s="452"/>
      <c r="DU54" s="452"/>
      <c r="DV54" s="453"/>
      <c r="DW54" s="1002"/>
      <c r="DX54" s="1003"/>
      <c r="DY54" s="452"/>
      <c r="DZ54" s="452"/>
      <c r="EA54" s="452"/>
      <c r="EB54" s="452"/>
      <c r="EC54" s="1002"/>
      <c r="ED54" s="1003"/>
      <c r="EE54" s="452">
        <v>750</v>
      </c>
      <c r="EF54" s="452">
        <v>750</v>
      </c>
      <c r="EG54" s="452">
        <v>750</v>
      </c>
      <c r="EH54" s="452">
        <v>750</v>
      </c>
      <c r="EI54" s="1002"/>
      <c r="EJ54" s="1003"/>
      <c r="EK54" s="452">
        <v>750</v>
      </c>
      <c r="EL54" s="452">
        <v>750</v>
      </c>
      <c r="EM54" s="452">
        <v>750</v>
      </c>
      <c r="EN54" s="452">
        <v>750</v>
      </c>
      <c r="EO54" s="1002"/>
      <c r="EP54" s="1003"/>
      <c r="EQ54" s="452">
        <v>750</v>
      </c>
      <c r="ER54" s="452">
        <v>750</v>
      </c>
      <c r="ES54" s="452">
        <v>750</v>
      </c>
      <c r="ET54" s="452">
        <v>750</v>
      </c>
      <c r="EU54" s="1002"/>
      <c r="EV54" s="1003"/>
      <c r="EW54" s="452">
        <v>750</v>
      </c>
      <c r="EX54" s="452">
        <v>750</v>
      </c>
      <c r="EY54" s="452">
        <v>750</v>
      </c>
      <c r="EZ54" s="452">
        <v>750</v>
      </c>
      <c r="FA54" s="1002"/>
      <c r="FB54" s="1003"/>
      <c r="FC54" s="452">
        <v>750</v>
      </c>
      <c r="FD54" s="452">
        <v>750</v>
      </c>
      <c r="FE54" s="452">
        <v>750</v>
      </c>
      <c r="FF54" s="452">
        <v>750</v>
      </c>
      <c r="FG54" s="1002"/>
      <c r="FH54" s="1003"/>
      <c r="FI54" s="452">
        <v>750</v>
      </c>
      <c r="FJ54" s="452">
        <v>0</v>
      </c>
      <c r="FK54" s="452">
        <v>0</v>
      </c>
      <c r="FL54" s="452">
        <v>0</v>
      </c>
      <c r="FM54" s="1002"/>
      <c r="FN54" s="853"/>
      <c r="FO54" s="853"/>
      <c r="FP54" s="853"/>
      <c r="FQ54" s="853"/>
      <c r="FR54"/>
      <c r="FS54"/>
      <c r="FT54"/>
      <c r="FU54"/>
      <c r="FV54"/>
      <c r="FW54"/>
      <c r="FX54" s="942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</row>
    <row r="55" spans="1:274" s="856" customFormat="1" ht="12" hidden="1" customHeight="1" outlineLevel="1" x14ac:dyDescent="0.2">
      <c r="A55" s="44" t="s">
        <v>826</v>
      </c>
      <c r="B55" s="1001"/>
      <c r="C55" s="1002"/>
      <c r="D55" s="1002"/>
      <c r="E55" s="1002"/>
      <c r="F55" s="1002"/>
      <c r="G55" s="1002"/>
      <c r="H55" s="1002"/>
      <c r="I55" s="1002"/>
      <c r="J55" s="1002"/>
      <c r="K55" s="1002"/>
      <c r="L55" s="1002"/>
      <c r="M55" s="1002"/>
      <c r="N55" s="1002"/>
      <c r="O55" s="1002"/>
      <c r="P55" s="1002"/>
      <c r="Q55" s="1002"/>
      <c r="R55" s="1002"/>
      <c r="S55" s="1002"/>
      <c r="T55" s="1002"/>
      <c r="U55" s="1002"/>
      <c r="V55" s="1002"/>
      <c r="W55" s="1002"/>
      <c r="X55" s="1002"/>
      <c r="Y55" s="1002"/>
      <c r="Z55" s="1002"/>
      <c r="AA55" s="1002"/>
      <c r="AB55" s="1002"/>
      <c r="AC55" s="1002"/>
      <c r="AD55" s="1002"/>
      <c r="AE55" s="1002"/>
      <c r="AF55" s="1002"/>
      <c r="AG55" s="1002"/>
      <c r="AH55" s="1002"/>
      <c r="AI55" s="1002"/>
      <c r="AJ55" s="1002"/>
      <c r="AK55" s="1002"/>
      <c r="AL55" s="1002"/>
      <c r="AM55" s="1002"/>
      <c r="AN55" s="1002"/>
      <c r="AO55" s="1002"/>
      <c r="AP55" s="1002"/>
      <c r="AQ55" s="1002"/>
      <c r="AR55" s="1002"/>
      <c r="AS55" s="1002"/>
      <c r="AT55" s="1002"/>
      <c r="AU55" s="1002"/>
      <c r="AV55" s="1002"/>
      <c r="AW55" s="451"/>
      <c r="AX55" s="1002"/>
      <c r="AY55" s="1002"/>
      <c r="AZ55" s="1002"/>
      <c r="BA55" s="1002"/>
      <c r="BB55" s="1002"/>
      <c r="BC55" s="451"/>
      <c r="BD55" s="1002"/>
      <c r="BE55" s="1002"/>
      <c r="BF55" s="1002"/>
      <c r="BG55" s="1002"/>
      <c r="BH55" s="1002"/>
      <c r="BI55" s="451"/>
      <c r="BJ55" s="1002"/>
      <c r="BK55" s="451"/>
      <c r="BL55" s="451"/>
      <c r="BM55" s="451"/>
      <c r="BN55" s="451"/>
      <c r="BO55" s="451"/>
      <c r="BP55" s="1002"/>
      <c r="BQ55" s="451"/>
      <c r="BR55" s="451"/>
      <c r="BS55" s="451"/>
      <c r="BT55" s="451"/>
      <c r="BU55" s="451"/>
      <c r="BV55" s="1002"/>
      <c r="BW55" s="451"/>
      <c r="BX55" s="451"/>
      <c r="BY55" s="451"/>
      <c r="BZ55" s="451"/>
      <c r="CA55" s="451"/>
      <c r="CB55" s="1003"/>
      <c r="CC55" s="451"/>
      <c r="CD55" s="451"/>
      <c r="CE55" s="452">
        <v>2250</v>
      </c>
      <c r="CF55" s="452">
        <v>2250</v>
      </c>
      <c r="CG55" s="1004"/>
      <c r="CH55" s="1004"/>
      <c r="CI55" s="452">
        <v>2250</v>
      </c>
      <c r="CJ55" s="452">
        <v>2250</v>
      </c>
      <c r="CK55" s="452">
        <v>2250</v>
      </c>
      <c r="CL55" s="452">
        <v>2250</v>
      </c>
      <c r="CM55" s="1004"/>
      <c r="CN55" s="1004"/>
      <c r="CO55" s="452">
        <v>2250</v>
      </c>
      <c r="CP55" s="452">
        <v>2250</v>
      </c>
      <c r="CQ55" s="452">
        <v>2250</v>
      </c>
      <c r="CR55" s="452">
        <v>2246</v>
      </c>
      <c r="CS55" s="1004"/>
      <c r="CT55" s="1004"/>
      <c r="CU55" s="452">
        <f>CR55</f>
        <v>2246</v>
      </c>
      <c r="CV55" s="452">
        <f>CU55</f>
        <v>2246</v>
      </c>
      <c r="CW55" s="452">
        <f>CV55</f>
        <v>2246</v>
      </c>
      <c r="CX55" s="452">
        <v>2247</v>
      </c>
      <c r="CY55" s="1002"/>
      <c r="CZ55" s="1003"/>
      <c r="DA55" s="452">
        <f>CX55</f>
        <v>2247</v>
      </c>
      <c r="DB55" s="452">
        <f t="shared" ref="DB55:DD58" si="64">DA55</f>
        <v>2247</v>
      </c>
      <c r="DC55" s="452">
        <f t="shared" si="64"/>
        <v>2247</v>
      </c>
      <c r="DD55" s="452">
        <f t="shared" si="64"/>
        <v>2247</v>
      </c>
      <c r="DE55" s="1002"/>
      <c r="DF55" s="1003"/>
      <c r="DG55" s="452">
        <f>DD55</f>
        <v>2247</v>
      </c>
      <c r="DH55" s="452">
        <f>DG55</f>
        <v>2247</v>
      </c>
      <c r="DI55" s="452"/>
      <c r="DJ55" s="452"/>
      <c r="DK55" s="1002"/>
      <c r="DL55" s="1003"/>
      <c r="DM55" s="452"/>
      <c r="DN55" s="452"/>
      <c r="DO55" s="452"/>
      <c r="DP55" s="452"/>
      <c r="DQ55" s="1002"/>
      <c r="DR55" s="1003"/>
      <c r="DS55" s="452"/>
      <c r="DT55" s="452"/>
      <c r="DU55" s="452"/>
      <c r="DV55" s="452"/>
      <c r="DW55" s="1002"/>
      <c r="DX55" s="1003"/>
      <c r="DY55" s="452"/>
      <c r="DZ55" s="452"/>
      <c r="EA55" s="452"/>
      <c r="EB55" s="452"/>
      <c r="EC55" s="1002"/>
      <c r="ED55" s="1003"/>
      <c r="EE55" s="452"/>
      <c r="EF55" s="452"/>
      <c r="EG55" s="452"/>
      <c r="EH55" s="452"/>
      <c r="EI55" s="1002"/>
      <c r="EJ55" s="1003"/>
      <c r="EK55" s="452"/>
      <c r="EL55" s="452"/>
      <c r="EM55" s="452"/>
      <c r="EN55" s="452"/>
      <c r="EO55" s="1002"/>
      <c r="EP55" s="1003"/>
      <c r="EQ55" s="452"/>
      <c r="ER55" s="452"/>
      <c r="ES55" s="452"/>
      <c r="ET55" s="452"/>
      <c r="EU55" s="1002"/>
      <c r="EV55" s="1003"/>
      <c r="EW55" s="452"/>
      <c r="EX55" s="452"/>
      <c r="EY55" s="452"/>
      <c r="EZ55" s="452"/>
      <c r="FA55" s="1002"/>
      <c r="FB55" s="1003"/>
      <c r="FC55" s="452"/>
      <c r="FD55" s="452"/>
      <c r="FE55" s="452"/>
      <c r="FF55" s="452"/>
      <c r="FG55" s="1002"/>
      <c r="FH55" s="1003"/>
      <c r="FI55" s="452"/>
      <c r="FJ55" s="452"/>
      <c r="FK55" s="452"/>
      <c r="FL55" s="452"/>
      <c r="FM55" s="1002"/>
      <c r="FN55" s="853"/>
      <c r="FO55" s="853"/>
      <c r="FP55" s="853"/>
      <c r="FQ55" s="853"/>
      <c r="FR55"/>
      <c r="FS55"/>
      <c r="FT55"/>
      <c r="FU55"/>
      <c r="FV55"/>
      <c r="FW55"/>
      <c r="FX55" s="942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</row>
    <row r="56" spans="1:274" s="856" customFormat="1" ht="12" hidden="1" customHeight="1" outlineLevel="1" x14ac:dyDescent="0.2">
      <c r="A56" s="44" t="s">
        <v>922</v>
      </c>
      <c r="B56" s="1001"/>
      <c r="C56" s="1002"/>
      <c r="D56" s="1002"/>
      <c r="E56" s="1002"/>
      <c r="F56" s="1002"/>
      <c r="G56" s="1002"/>
      <c r="H56" s="1002"/>
      <c r="I56" s="1002"/>
      <c r="J56" s="1002"/>
      <c r="K56" s="1002"/>
      <c r="L56" s="1002"/>
      <c r="M56" s="1002"/>
      <c r="N56" s="1002"/>
      <c r="O56" s="1002"/>
      <c r="P56" s="1002"/>
      <c r="Q56" s="1002"/>
      <c r="R56" s="1002"/>
      <c r="S56" s="1002"/>
      <c r="T56" s="1002"/>
      <c r="U56" s="1002"/>
      <c r="V56" s="1002"/>
      <c r="W56" s="1002"/>
      <c r="X56" s="1002"/>
      <c r="Y56" s="1002"/>
      <c r="Z56" s="1002"/>
      <c r="AA56" s="1002"/>
      <c r="AB56" s="1002"/>
      <c r="AC56" s="1002"/>
      <c r="AD56" s="1002"/>
      <c r="AE56" s="1002"/>
      <c r="AF56" s="1002"/>
      <c r="AG56" s="1002"/>
      <c r="AH56" s="1002"/>
      <c r="AI56" s="1002"/>
      <c r="AJ56" s="1002"/>
      <c r="AK56" s="1002"/>
      <c r="AL56" s="1002"/>
      <c r="AM56" s="1002"/>
      <c r="AN56" s="1002"/>
      <c r="AO56" s="1002"/>
      <c r="AP56" s="1002"/>
      <c r="AQ56" s="1002"/>
      <c r="AR56" s="1002"/>
      <c r="AS56" s="1002"/>
      <c r="AT56" s="1002"/>
      <c r="AU56" s="1002"/>
      <c r="AV56" s="1002"/>
      <c r="AW56" s="451"/>
      <c r="AX56" s="1002"/>
      <c r="AY56" s="1002"/>
      <c r="AZ56" s="1002"/>
      <c r="BA56" s="1002"/>
      <c r="BB56" s="1002"/>
      <c r="BC56" s="451"/>
      <c r="BD56" s="1002"/>
      <c r="BE56" s="1002"/>
      <c r="BF56" s="1002"/>
      <c r="BG56" s="1002"/>
      <c r="BH56" s="1002"/>
      <c r="BI56" s="451"/>
      <c r="BJ56" s="1002"/>
      <c r="BK56" s="451"/>
      <c r="BL56" s="451"/>
      <c r="BM56" s="451"/>
      <c r="BN56" s="451"/>
      <c r="BO56" s="451"/>
      <c r="BP56" s="1002"/>
      <c r="BQ56" s="451"/>
      <c r="BR56" s="451"/>
      <c r="BS56" s="451"/>
      <c r="BT56" s="451"/>
      <c r="BU56" s="451"/>
      <c r="BV56" s="1002"/>
      <c r="BW56" s="451"/>
      <c r="BX56" s="451"/>
      <c r="BY56" s="451"/>
      <c r="BZ56" s="451"/>
      <c r="CA56" s="451"/>
      <c r="CB56" s="1003"/>
      <c r="CC56" s="451"/>
      <c r="CD56" s="451"/>
      <c r="CE56" s="452"/>
      <c r="CF56" s="452"/>
      <c r="CG56" s="1004"/>
      <c r="CH56" s="1004"/>
      <c r="CI56" s="452"/>
      <c r="CJ56" s="452"/>
      <c r="CK56" s="452"/>
      <c r="CL56" s="452"/>
      <c r="CM56" s="1004"/>
      <c r="CN56" s="1004"/>
      <c r="CO56" s="452"/>
      <c r="CP56" s="452"/>
      <c r="CQ56" s="452"/>
      <c r="CR56" s="452">
        <v>1250</v>
      </c>
      <c r="CS56" s="1004"/>
      <c r="CT56" s="1004"/>
      <c r="CU56" s="452">
        <f>CR56</f>
        <v>1250</v>
      </c>
      <c r="CV56" s="452">
        <f>CU56</f>
        <v>1250</v>
      </c>
      <c r="CW56" s="452">
        <f>CV56</f>
        <v>1250</v>
      </c>
      <c r="CX56" s="452">
        <f>CW56</f>
        <v>1250</v>
      </c>
      <c r="CY56" s="1002"/>
      <c r="CZ56" s="1003"/>
      <c r="DA56" s="452">
        <f>CX56</f>
        <v>1250</v>
      </c>
      <c r="DB56" s="452">
        <f t="shared" si="64"/>
        <v>1250</v>
      </c>
      <c r="DC56" s="452">
        <f t="shared" si="64"/>
        <v>1250</v>
      </c>
      <c r="DD56" s="452">
        <f t="shared" si="64"/>
        <v>1250</v>
      </c>
      <c r="DE56" s="1002"/>
      <c r="DF56" s="1003"/>
      <c r="DG56" s="452">
        <f>DD56</f>
        <v>1250</v>
      </c>
      <c r="DH56" s="452">
        <f>DG56</f>
        <v>1250</v>
      </c>
      <c r="DI56" s="452">
        <f t="shared" ref="DI56:DJ58" si="65">DH56</f>
        <v>1250</v>
      </c>
      <c r="DJ56" s="452">
        <f t="shared" si="65"/>
        <v>1250</v>
      </c>
      <c r="DK56" s="1002"/>
      <c r="DL56" s="1003"/>
      <c r="DM56" s="452">
        <v>1250</v>
      </c>
      <c r="DN56" s="452">
        <v>1250</v>
      </c>
      <c r="DO56" s="452">
        <f>DN56</f>
        <v>1250</v>
      </c>
      <c r="DP56" s="452">
        <f>DO56</f>
        <v>1250</v>
      </c>
      <c r="DQ56" s="1002"/>
      <c r="DR56" s="1003"/>
      <c r="DS56" s="452">
        <f>DP56</f>
        <v>1250</v>
      </c>
      <c r="DT56" s="452">
        <f t="shared" ref="DT56:DU58" si="66">DS56</f>
        <v>1250</v>
      </c>
      <c r="DU56" s="452">
        <f t="shared" si="66"/>
        <v>1250</v>
      </c>
      <c r="DV56" s="452">
        <v>0</v>
      </c>
      <c r="DW56" s="1002"/>
      <c r="DX56" s="1003"/>
      <c r="DY56" s="452"/>
      <c r="DZ56" s="452"/>
      <c r="EA56" s="452"/>
      <c r="EB56" s="452"/>
      <c r="EC56" s="1002"/>
      <c r="ED56" s="1003"/>
      <c r="EE56" s="452"/>
      <c r="EF56" s="452"/>
      <c r="EG56" s="452"/>
      <c r="EH56" s="452"/>
      <c r="EI56" s="1002"/>
      <c r="EJ56" s="1003"/>
      <c r="EK56" s="452"/>
      <c r="EL56" s="452"/>
      <c r="EM56" s="452"/>
      <c r="EN56" s="452"/>
      <c r="EO56" s="1002"/>
      <c r="EP56" s="1003"/>
      <c r="EQ56" s="452"/>
      <c r="ER56" s="452"/>
      <c r="ES56" s="452"/>
      <c r="ET56" s="452"/>
      <c r="EU56" s="1002"/>
      <c r="EV56" s="1003"/>
      <c r="EW56" s="452"/>
      <c r="EX56" s="452"/>
      <c r="EY56" s="452"/>
      <c r="EZ56" s="452"/>
      <c r="FA56" s="1002"/>
      <c r="FB56" s="1003"/>
      <c r="FC56" s="452"/>
      <c r="FD56" s="452"/>
      <c r="FE56" s="452"/>
      <c r="FF56" s="452"/>
      <c r="FG56" s="1002"/>
      <c r="FH56" s="1003"/>
      <c r="FI56" s="452"/>
      <c r="FJ56" s="452"/>
      <c r="FK56" s="452"/>
      <c r="FL56" s="452"/>
      <c r="FM56" s="1002"/>
      <c r="FN56" s="853"/>
      <c r="FO56" s="853"/>
      <c r="FP56" s="853"/>
      <c r="FQ56" s="853"/>
      <c r="FR56"/>
      <c r="FS56"/>
      <c r="FT56"/>
      <c r="FU56"/>
      <c r="FV56"/>
      <c r="FW56"/>
      <c r="FX56" s="942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</row>
    <row r="57" spans="1:274" s="856" customFormat="1" ht="12" hidden="1" customHeight="1" outlineLevel="1" x14ac:dyDescent="0.2">
      <c r="A57" s="44" t="s">
        <v>993</v>
      </c>
      <c r="B57" s="1001"/>
      <c r="C57" s="1002"/>
      <c r="D57" s="1002"/>
      <c r="E57" s="1002"/>
      <c r="F57" s="1002"/>
      <c r="G57" s="1002"/>
      <c r="H57" s="1002"/>
      <c r="I57" s="1002"/>
      <c r="J57" s="1002"/>
      <c r="K57" s="1002"/>
      <c r="L57" s="1002"/>
      <c r="M57" s="1002"/>
      <c r="N57" s="1002"/>
      <c r="O57" s="1002"/>
      <c r="P57" s="1002"/>
      <c r="Q57" s="1002"/>
      <c r="R57" s="1002"/>
      <c r="S57" s="1002"/>
      <c r="T57" s="1002"/>
      <c r="U57" s="1002"/>
      <c r="V57" s="1002"/>
      <c r="W57" s="1002"/>
      <c r="X57" s="1002"/>
      <c r="Y57" s="1002"/>
      <c r="Z57" s="1002"/>
      <c r="AA57" s="1002"/>
      <c r="AB57" s="1002"/>
      <c r="AC57" s="1002"/>
      <c r="AD57" s="1002"/>
      <c r="AE57" s="1002"/>
      <c r="AF57" s="1002"/>
      <c r="AG57" s="1002"/>
      <c r="AH57" s="1002"/>
      <c r="AI57" s="1002"/>
      <c r="AJ57" s="1002"/>
      <c r="AK57" s="1002"/>
      <c r="AL57" s="1002"/>
      <c r="AM57" s="1002"/>
      <c r="AN57" s="1002"/>
      <c r="AO57" s="1002"/>
      <c r="AP57" s="1002"/>
      <c r="AQ57" s="1002"/>
      <c r="AR57" s="1002"/>
      <c r="AS57" s="1002"/>
      <c r="AT57" s="1002"/>
      <c r="AU57" s="1002"/>
      <c r="AV57" s="1002"/>
      <c r="AW57" s="451"/>
      <c r="AX57" s="1002"/>
      <c r="AY57" s="1002"/>
      <c r="AZ57" s="1002"/>
      <c r="BA57" s="1002"/>
      <c r="BB57" s="1002"/>
      <c r="BC57" s="451"/>
      <c r="BD57" s="1002"/>
      <c r="BE57" s="1002"/>
      <c r="BF57" s="1002"/>
      <c r="BG57" s="1002"/>
      <c r="BH57" s="1002"/>
      <c r="BI57" s="451"/>
      <c r="BJ57" s="1002"/>
      <c r="BK57" s="451"/>
      <c r="BL57" s="451"/>
      <c r="BM57" s="451"/>
      <c r="BN57" s="451"/>
      <c r="BO57" s="451"/>
      <c r="BP57" s="1002"/>
      <c r="BQ57" s="451"/>
      <c r="BR57" s="451"/>
      <c r="BS57" s="451"/>
      <c r="BT57" s="451"/>
      <c r="BU57" s="451"/>
      <c r="BV57" s="1002"/>
      <c r="BW57" s="451"/>
      <c r="BX57" s="451"/>
      <c r="BY57" s="451"/>
      <c r="BZ57" s="451"/>
      <c r="CA57" s="451"/>
      <c r="CB57" s="1003"/>
      <c r="CC57" s="451"/>
      <c r="CD57" s="451"/>
      <c r="CE57" s="452"/>
      <c r="CF57" s="452"/>
      <c r="CG57" s="1004"/>
      <c r="CH57" s="1004"/>
      <c r="CI57" s="452"/>
      <c r="CJ57" s="452"/>
      <c r="CK57" s="452"/>
      <c r="CL57" s="452"/>
      <c r="CM57" s="1004"/>
      <c r="CN57" s="1004"/>
      <c r="CO57" s="452"/>
      <c r="CP57" s="452"/>
      <c r="CQ57" s="452"/>
      <c r="CR57" s="452"/>
      <c r="CS57" s="1004"/>
      <c r="CT57" s="1004"/>
      <c r="CU57" s="452"/>
      <c r="CV57" s="452"/>
      <c r="CW57" s="452"/>
      <c r="CX57" s="452"/>
      <c r="CY57" s="1002"/>
      <c r="CZ57" s="1003"/>
      <c r="DA57" s="452">
        <v>1500</v>
      </c>
      <c r="DB57" s="452">
        <f t="shared" si="64"/>
        <v>1500</v>
      </c>
      <c r="DC57" s="452">
        <f t="shared" si="64"/>
        <v>1500</v>
      </c>
      <c r="DD57" s="452">
        <f t="shared" si="64"/>
        <v>1500</v>
      </c>
      <c r="DE57" s="1002"/>
      <c r="DF57" s="1003"/>
      <c r="DG57" s="452">
        <f>DD57</f>
        <v>1500</v>
      </c>
      <c r="DH57" s="452">
        <f>DG57</f>
        <v>1500</v>
      </c>
      <c r="DI57" s="452">
        <f t="shared" si="65"/>
        <v>1500</v>
      </c>
      <c r="DJ57" s="452">
        <f t="shared" si="65"/>
        <v>1500</v>
      </c>
      <c r="DK57" s="1002"/>
      <c r="DL57" s="1003"/>
      <c r="DM57" s="452">
        <v>1586</v>
      </c>
      <c r="DN57" s="452">
        <v>1586</v>
      </c>
      <c r="DO57" s="452">
        <f>DN57</f>
        <v>1586</v>
      </c>
      <c r="DP57" s="452">
        <v>1569</v>
      </c>
      <c r="DQ57" s="1002"/>
      <c r="DR57" s="1003"/>
      <c r="DS57" s="452">
        <f>DP57</f>
        <v>1569</v>
      </c>
      <c r="DT57" s="452">
        <f t="shared" si="66"/>
        <v>1569</v>
      </c>
      <c r="DU57" s="452">
        <f t="shared" si="66"/>
        <v>1569</v>
      </c>
      <c r="DV57" s="452">
        <v>1541</v>
      </c>
      <c r="DW57" s="1002"/>
      <c r="DX57" s="1003"/>
      <c r="DY57" s="452">
        <v>1533</v>
      </c>
      <c r="DZ57" s="452">
        <v>1522</v>
      </c>
      <c r="EA57" s="452">
        <v>1510</v>
      </c>
      <c r="EB57" s="452">
        <v>1508</v>
      </c>
      <c r="EC57" s="1002"/>
      <c r="ED57" s="1003"/>
      <c r="EE57" s="452"/>
      <c r="EF57" s="452"/>
      <c r="EG57" s="452"/>
      <c r="EH57" s="452"/>
      <c r="EI57" s="1002"/>
      <c r="EJ57" s="1003"/>
      <c r="EK57" s="452"/>
      <c r="EL57" s="452"/>
      <c r="EM57" s="452"/>
      <c r="EN57" s="452"/>
      <c r="EO57" s="1002"/>
      <c r="EP57" s="1003"/>
      <c r="EQ57" s="452"/>
      <c r="ER57" s="452"/>
      <c r="ES57" s="452"/>
      <c r="ET57" s="452"/>
      <c r="EU57" s="1002"/>
      <c r="EV57" s="1003"/>
      <c r="EW57" s="452"/>
      <c r="EX57" s="452"/>
      <c r="EY57" s="452"/>
      <c r="EZ57" s="452"/>
      <c r="FA57" s="1002"/>
      <c r="FB57" s="1003"/>
      <c r="FC57" s="452"/>
      <c r="FD57" s="452"/>
      <c r="FE57" s="452"/>
      <c r="FF57" s="452"/>
      <c r="FG57" s="1002"/>
      <c r="FH57" s="1003"/>
      <c r="FI57" s="452"/>
      <c r="FJ57" s="452"/>
      <c r="FK57" s="452"/>
      <c r="FL57" s="452"/>
      <c r="FM57" s="1002"/>
      <c r="FN57" s="853"/>
      <c r="FO57" s="853"/>
      <c r="FP57" s="853"/>
      <c r="FQ57" s="853"/>
      <c r="FR57"/>
      <c r="FS57"/>
      <c r="FT57"/>
      <c r="FU57"/>
      <c r="FV57"/>
      <c r="FW57"/>
      <c r="FX57" s="942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</row>
    <row r="58" spans="1:274" s="856" customFormat="1" ht="12" hidden="1" customHeight="1" outlineLevel="1" x14ac:dyDescent="0.2">
      <c r="A58" s="44" t="s">
        <v>921</v>
      </c>
      <c r="B58" s="1001"/>
      <c r="C58" s="1002"/>
      <c r="D58" s="1002"/>
      <c r="E58" s="1002"/>
      <c r="F58" s="1002"/>
      <c r="G58" s="1002"/>
      <c r="H58" s="1002"/>
      <c r="I58" s="1002"/>
      <c r="J58" s="1002"/>
      <c r="K58" s="1002"/>
      <c r="L58" s="1002"/>
      <c r="M58" s="1002"/>
      <c r="N58" s="1002"/>
      <c r="O58" s="1002"/>
      <c r="P58" s="1002"/>
      <c r="Q58" s="1002"/>
      <c r="R58" s="1002"/>
      <c r="S58" s="1002"/>
      <c r="T58" s="1002"/>
      <c r="U58" s="1002"/>
      <c r="V58" s="1002"/>
      <c r="W58" s="1002"/>
      <c r="X58" s="1002"/>
      <c r="Y58" s="1002"/>
      <c r="Z58" s="1002"/>
      <c r="AA58" s="1002"/>
      <c r="AB58" s="1002"/>
      <c r="AC58" s="1002"/>
      <c r="AD58" s="1002"/>
      <c r="AE58" s="1002"/>
      <c r="AF58" s="1002"/>
      <c r="AG58" s="1002"/>
      <c r="AH58" s="1002"/>
      <c r="AI58" s="1002"/>
      <c r="AJ58" s="1002"/>
      <c r="AK58" s="1002"/>
      <c r="AL58" s="1002"/>
      <c r="AM58" s="1002"/>
      <c r="AN58" s="1002"/>
      <c r="AO58" s="1002"/>
      <c r="AP58" s="1002"/>
      <c r="AQ58" s="1002"/>
      <c r="AR58" s="1002"/>
      <c r="AS58" s="1002"/>
      <c r="AT58" s="1002"/>
      <c r="AU58" s="1002"/>
      <c r="AV58" s="1002"/>
      <c r="AW58" s="451"/>
      <c r="AX58" s="1002"/>
      <c r="AY58" s="1002"/>
      <c r="AZ58" s="1002"/>
      <c r="BA58" s="1002"/>
      <c r="BB58" s="1002"/>
      <c r="BC58" s="451"/>
      <c r="BD58" s="1002"/>
      <c r="BE58" s="1002"/>
      <c r="BF58" s="1002"/>
      <c r="BG58" s="1002"/>
      <c r="BH58" s="1002"/>
      <c r="BI58" s="451"/>
      <c r="BJ58" s="1002"/>
      <c r="BK58" s="451"/>
      <c r="BL58" s="451"/>
      <c r="BM58" s="451"/>
      <c r="BN58" s="451"/>
      <c r="BO58" s="451"/>
      <c r="BP58" s="1002"/>
      <c r="BQ58" s="451"/>
      <c r="BR58" s="451"/>
      <c r="BS58" s="451"/>
      <c r="BT58" s="451"/>
      <c r="BU58" s="451"/>
      <c r="BV58" s="1002"/>
      <c r="BW58" s="451"/>
      <c r="BX58" s="451"/>
      <c r="BY58" s="451"/>
      <c r="BZ58" s="451"/>
      <c r="CA58" s="451"/>
      <c r="CB58" s="1003"/>
      <c r="CC58" s="451"/>
      <c r="CD58" s="451"/>
      <c r="CE58" s="452">
        <v>2000</v>
      </c>
      <c r="CF58" s="452">
        <v>2000</v>
      </c>
      <c r="CG58" s="1004"/>
      <c r="CH58" s="1004"/>
      <c r="CI58" s="452">
        <v>2000</v>
      </c>
      <c r="CJ58" s="452">
        <v>2000</v>
      </c>
      <c r="CK58" s="452">
        <v>2000</v>
      </c>
      <c r="CL58" s="452">
        <v>2000</v>
      </c>
      <c r="CM58" s="1004"/>
      <c r="CN58" s="1004"/>
      <c r="CO58" s="452">
        <v>2000</v>
      </c>
      <c r="CP58" s="452">
        <v>2000</v>
      </c>
      <c r="CQ58" s="452">
        <v>2000</v>
      </c>
      <c r="CR58" s="452">
        <v>1991</v>
      </c>
      <c r="CS58" s="1004"/>
      <c r="CT58" s="1004"/>
      <c r="CU58" s="452">
        <f>CR58</f>
        <v>1991</v>
      </c>
      <c r="CV58" s="452">
        <f>CU58</f>
        <v>1991</v>
      </c>
      <c r="CW58" s="452">
        <f>CV58</f>
        <v>1991</v>
      </c>
      <c r="CX58" s="452">
        <v>1993</v>
      </c>
      <c r="CY58" s="1002"/>
      <c r="CZ58" s="1003"/>
      <c r="DA58" s="452">
        <f>CX58</f>
        <v>1993</v>
      </c>
      <c r="DB58" s="452">
        <f t="shared" si="64"/>
        <v>1993</v>
      </c>
      <c r="DC58" s="452">
        <f t="shared" si="64"/>
        <v>1993</v>
      </c>
      <c r="DD58" s="452">
        <f t="shared" si="64"/>
        <v>1993</v>
      </c>
      <c r="DE58" s="1002"/>
      <c r="DF58" s="1003"/>
      <c r="DG58" s="452">
        <f>DD58</f>
        <v>1993</v>
      </c>
      <c r="DH58" s="452">
        <f>DG58</f>
        <v>1993</v>
      </c>
      <c r="DI58" s="452">
        <f t="shared" si="65"/>
        <v>1993</v>
      </c>
      <c r="DJ58" s="452">
        <f t="shared" si="65"/>
        <v>1993</v>
      </c>
      <c r="DK58" s="1002"/>
      <c r="DL58" s="1003"/>
      <c r="DM58" s="452">
        <v>1995</v>
      </c>
      <c r="DN58" s="452">
        <v>1995</v>
      </c>
      <c r="DO58" s="452">
        <f>DN58</f>
        <v>1995</v>
      </c>
      <c r="DP58" s="452">
        <v>1996</v>
      </c>
      <c r="DQ58" s="1002"/>
      <c r="DR58" s="1003"/>
      <c r="DS58" s="452">
        <f>DP58</f>
        <v>1996</v>
      </c>
      <c r="DT58" s="452">
        <f t="shared" si="66"/>
        <v>1996</v>
      </c>
      <c r="DU58" s="452">
        <f t="shared" si="66"/>
        <v>1996</v>
      </c>
      <c r="DV58" s="452">
        <v>1997</v>
      </c>
      <c r="DW58" s="1002"/>
      <c r="DX58" s="1003"/>
      <c r="DY58" s="452">
        <f>DV58</f>
        <v>1997</v>
      </c>
      <c r="DZ58" s="452">
        <f t="shared" ref="DZ58:EB59" si="67">DY58</f>
        <v>1997</v>
      </c>
      <c r="EA58" s="452">
        <f t="shared" si="67"/>
        <v>1997</v>
      </c>
      <c r="EB58" s="452">
        <f t="shared" si="67"/>
        <v>1997</v>
      </c>
      <c r="EC58" s="1002"/>
      <c r="ED58" s="1003"/>
      <c r="EE58" s="452">
        <f>EB58</f>
        <v>1997</v>
      </c>
      <c r="EF58" s="452">
        <f t="shared" ref="EF58:EH60" si="68">EE58</f>
        <v>1997</v>
      </c>
      <c r="EG58" s="452">
        <f t="shared" si="68"/>
        <v>1997</v>
      </c>
      <c r="EH58" s="452">
        <f t="shared" si="68"/>
        <v>1997</v>
      </c>
      <c r="EI58" s="1002"/>
      <c r="EJ58" s="1003"/>
      <c r="EK58" s="452">
        <f t="shared" ref="EK58:EK64" si="69">EH58</f>
        <v>1997</v>
      </c>
      <c r="EL58" s="452">
        <f>EK58</f>
        <v>1997</v>
      </c>
      <c r="EM58" s="452"/>
      <c r="EN58" s="452"/>
      <c r="EO58" s="1002"/>
      <c r="EP58" s="1003"/>
      <c r="EQ58" s="452"/>
      <c r="ER58" s="452"/>
      <c r="ES58" s="452"/>
      <c r="ET58" s="452"/>
      <c r="EU58" s="1002"/>
      <c r="EV58" s="1003"/>
      <c r="EW58" s="452"/>
      <c r="EX58" s="452"/>
      <c r="EY58" s="452"/>
      <c r="EZ58" s="452"/>
      <c r="FA58" s="1002"/>
      <c r="FB58" s="1003"/>
      <c r="FC58" s="452"/>
      <c r="FD58" s="452"/>
      <c r="FE58" s="452"/>
      <c r="FF58" s="452"/>
      <c r="FG58" s="1002"/>
      <c r="FH58" s="1003"/>
      <c r="FI58" s="452"/>
      <c r="FJ58" s="452"/>
      <c r="FK58" s="452"/>
      <c r="FL58" s="452"/>
      <c r="FM58" s="1002"/>
      <c r="FN58" s="853"/>
      <c r="FO58" s="853"/>
      <c r="FP58" s="853"/>
      <c r="FQ58" s="853"/>
      <c r="FR58"/>
      <c r="FS58"/>
      <c r="FT58"/>
      <c r="FU58"/>
      <c r="FV58"/>
      <c r="FW58"/>
      <c r="FX58" s="942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</row>
    <row r="59" spans="1:274" s="856" customFormat="1" ht="12" hidden="1" customHeight="1" outlineLevel="1" x14ac:dyDescent="0.2">
      <c r="A59" s="44" t="s">
        <v>1014</v>
      </c>
      <c r="B59" s="1001"/>
      <c r="C59" s="1002"/>
      <c r="D59" s="1002"/>
      <c r="E59" s="1002"/>
      <c r="F59" s="1002"/>
      <c r="G59" s="1002"/>
      <c r="H59" s="1002"/>
      <c r="I59" s="1002"/>
      <c r="J59" s="1002"/>
      <c r="K59" s="1002"/>
      <c r="L59" s="1002"/>
      <c r="M59" s="1002"/>
      <c r="N59" s="1002"/>
      <c r="O59" s="1002"/>
      <c r="P59" s="1002"/>
      <c r="Q59" s="1002"/>
      <c r="R59" s="1002"/>
      <c r="S59" s="1002"/>
      <c r="T59" s="1002"/>
      <c r="U59" s="1002"/>
      <c r="V59" s="1002"/>
      <c r="W59" s="1002"/>
      <c r="X59" s="1002"/>
      <c r="Y59" s="1002"/>
      <c r="Z59" s="1002"/>
      <c r="AA59" s="1002"/>
      <c r="AB59" s="1002"/>
      <c r="AC59" s="1002"/>
      <c r="AD59" s="1002"/>
      <c r="AE59" s="1002"/>
      <c r="AF59" s="1002"/>
      <c r="AG59" s="1002"/>
      <c r="AH59" s="1002"/>
      <c r="AI59" s="1002"/>
      <c r="AJ59" s="1002"/>
      <c r="AK59" s="1002"/>
      <c r="AL59" s="1002"/>
      <c r="AM59" s="1002"/>
      <c r="AN59" s="1002"/>
      <c r="AO59" s="1002"/>
      <c r="AP59" s="1002"/>
      <c r="AQ59" s="1002"/>
      <c r="AR59" s="1002"/>
      <c r="AS59" s="1002"/>
      <c r="AT59" s="1002"/>
      <c r="AU59" s="1002"/>
      <c r="AV59" s="1002"/>
      <c r="AW59" s="451"/>
      <c r="AX59" s="1002"/>
      <c r="AY59" s="1002"/>
      <c r="AZ59" s="1002"/>
      <c r="BA59" s="1002"/>
      <c r="BB59" s="1002"/>
      <c r="BC59" s="451"/>
      <c r="BD59" s="1002"/>
      <c r="BE59" s="1002"/>
      <c r="BF59" s="1002"/>
      <c r="BG59" s="1002"/>
      <c r="BH59" s="1002"/>
      <c r="BI59" s="451"/>
      <c r="BJ59" s="1002"/>
      <c r="BK59" s="451"/>
      <c r="BL59" s="451"/>
      <c r="BM59" s="451"/>
      <c r="BN59" s="451"/>
      <c r="BO59" s="451"/>
      <c r="BP59" s="1002"/>
      <c r="BQ59" s="451"/>
      <c r="BR59" s="451"/>
      <c r="BS59" s="451"/>
      <c r="BT59" s="451"/>
      <c r="BU59" s="451"/>
      <c r="BV59" s="1002"/>
      <c r="BW59" s="451"/>
      <c r="BX59" s="451"/>
      <c r="BY59" s="451"/>
      <c r="BZ59" s="451"/>
      <c r="CA59" s="451"/>
      <c r="CB59" s="1003"/>
      <c r="CC59" s="451"/>
      <c r="CD59" s="451"/>
      <c r="CE59" s="452"/>
      <c r="CF59" s="452"/>
      <c r="CG59" s="1004"/>
      <c r="CH59" s="1004"/>
      <c r="CI59" s="452"/>
      <c r="CJ59" s="452"/>
      <c r="CK59" s="452"/>
      <c r="CL59" s="452"/>
      <c r="CM59" s="1004"/>
      <c r="CN59" s="1004"/>
      <c r="CO59" s="452"/>
      <c r="CP59" s="452"/>
      <c r="CQ59" s="452"/>
      <c r="CR59" s="452"/>
      <c r="CS59" s="1004"/>
      <c r="CT59" s="1004"/>
      <c r="CU59" s="452"/>
      <c r="CV59" s="452"/>
      <c r="CW59" s="452"/>
      <c r="CX59" s="452"/>
      <c r="CY59" s="1002"/>
      <c r="CZ59" s="1003"/>
      <c r="DA59" s="452"/>
      <c r="DB59" s="452"/>
      <c r="DC59" s="452"/>
      <c r="DD59" s="452"/>
      <c r="DE59" s="1002"/>
      <c r="DF59" s="1003"/>
      <c r="DG59" s="452"/>
      <c r="DH59" s="452"/>
      <c r="DI59" s="452"/>
      <c r="DJ59" s="452"/>
      <c r="DK59" s="1002"/>
      <c r="DL59" s="1003"/>
      <c r="DM59" s="452"/>
      <c r="DN59" s="452"/>
      <c r="DO59" s="452"/>
      <c r="DP59" s="452"/>
      <c r="DQ59" s="1002"/>
      <c r="DR59" s="1003"/>
      <c r="DS59" s="452"/>
      <c r="DT59" s="452">
        <v>2500</v>
      </c>
      <c r="DU59" s="452">
        <f>DT59</f>
        <v>2500</v>
      </c>
      <c r="DV59" s="452">
        <v>2500</v>
      </c>
      <c r="DW59" s="1002"/>
      <c r="DX59" s="1003"/>
      <c r="DY59" s="452">
        <f>DV59</f>
        <v>2500</v>
      </c>
      <c r="DZ59" s="452">
        <f t="shared" si="67"/>
        <v>2500</v>
      </c>
      <c r="EA59" s="452">
        <f t="shared" si="67"/>
        <v>2500</v>
      </c>
      <c r="EB59" s="452">
        <f t="shared" si="67"/>
        <v>2500</v>
      </c>
      <c r="EC59" s="1002"/>
      <c r="ED59" s="1003"/>
      <c r="EE59" s="452">
        <f>EB59</f>
        <v>2500</v>
      </c>
      <c r="EF59" s="452">
        <f t="shared" si="68"/>
        <v>2500</v>
      </c>
      <c r="EG59" s="452">
        <f t="shared" si="68"/>
        <v>2500</v>
      </c>
      <c r="EH59" s="452">
        <f t="shared" si="68"/>
        <v>2500</v>
      </c>
      <c r="EI59" s="1002"/>
      <c r="EJ59" s="1003"/>
      <c r="EK59" s="452">
        <f t="shared" si="69"/>
        <v>2500</v>
      </c>
      <c r="EL59" s="452">
        <f>EK59</f>
        <v>2500</v>
      </c>
      <c r="EM59" s="452">
        <f>EL59</f>
        <v>2500</v>
      </c>
      <c r="EN59" s="452">
        <f>EM59</f>
        <v>2500</v>
      </c>
      <c r="EO59" s="1002"/>
      <c r="EP59" s="1003"/>
      <c r="EQ59" s="452">
        <f t="shared" ref="EQ59:EQ66" si="70">EN59</f>
        <v>2500</v>
      </c>
      <c r="ER59" s="452">
        <f t="shared" ref="ER59:ET60" si="71">EQ59</f>
        <v>2500</v>
      </c>
      <c r="ES59" s="452">
        <f t="shared" si="71"/>
        <v>2500</v>
      </c>
      <c r="ET59" s="452">
        <f t="shared" si="71"/>
        <v>2500</v>
      </c>
      <c r="EU59" s="1002"/>
      <c r="EV59" s="1003"/>
      <c r="EW59" s="452">
        <f t="shared" ref="EW59:EW68" si="72">ET59</f>
        <v>2500</v>
      </c>
      <c r="EX59" s="452">
        <f t="shared" ref="EX59:EX77" si="73">EW59</f>
        <v>2500</v>
      </c>
      <c r="EY59" s="452"/>
      <c r="EZ59" s="452"/>
      <c r="FA59" s="1002"/>
      <c r="FB59" s="1003"/>
      <c r="FC59" s="452"/>
      <c r="FD59" s="452"/>
      <c r="FE59" s="452"/>
      <c r="FF59" s="452"/>
      <c r="FG59" s="1002"/>
      <c r="FH59" s="1003"/>
      <c r="FI59" s="452"/>
      <c r="FJ59" s="452"/>
      <c r="FK59" s="452"/>
      <c r="FL59" s="452"/>
      <c r="FM59" s="1002"/>
      <c r="FN59" s="853"/>
      <c r="FO59" s="853"/>
      <c r="FP59" s="853"/>
      <c r="FQ59" s="853"/>
      <c r="FR59"/>
      <c r="FS59"/>
      <c r="FT59"/>
      <c r="FU59"/>
      <c r="FV59"/>
      <c r="FW59"/>
      <c r="FX59" s="942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</row>
    <row r="60" spans="1:274" s="856" customFormat="1" ht="12" hidden="1" customHeight="1" outlineLevel="1" x14ac:dyDescent="0.2">
      <c r="A60" s="44" t="s">
        <v>923</v>
      </c>
      <c r="B60" s="1001"/>
      <c r="C60" s="1002"/>
      <c r="D60" s="1002"/>
      <c r="E60" s="1002"/>
      <c r="F60" s="1002"/>
      <c r="G60" s="1002"/>
      <c r="H60" s="1002"/>
      <c r="I60" s="1002"/>
      <c r="J60" s="1002"/>
      <c r="K60" s="1002"/>
      <c r="L60" s="1002"/>
      <c r="M60" s="1002"/>
      <c r="N60" s="1002"/>
      <c r="O60" s="1002"/>
      <c r="P60" s="1002"/>
      <c r="Q60" s="1002"/>
      <c r="R60" s="1002"/>
      <c r="S60" s="1002"/>
      <c r="T60" s="1002"/>
      <c r="U60" s="1002"/>
      <c r="V60" s="1002"/>
      <c r="W60" s="1002"/>
      <c r="X60" s="1002"/>
      <c r="Y60" s="1002"/>
      <c r="Z60" s="1002"/>
      <c r="AA60" s="1002"/>
      <c r="AB60" s="1002"/>
      <c r="AC60" s="1002"/>
      <c r="AD60" s="1002"/>
      <c r="AE60" s="1002"/>
      <c r="AF60" s="1002"/>
      <c r="AG60" s="1002"/>
      <c r="AH60" s="1002"/>
      <c r="AI60" s="1002"/>
      <c r="AJ60" s="1002"/>
      <c r="AK60" s="1002"/>
      <c r="AL60" s="1002"/>
      <c r="AM60" s="1002"/>
      <c r="AN60" s="1002"/>
      <c r="AO60" s="1002"/>
      <c r="AP60" s="1002"/>
      <c r="AQ60" s="1002"/>
      <c r="AR60" s="1002"/>
      <c r="AS60" s="1002"/>
      <c r="AT60" s="1002"/>
      <c r="AU60" s="1002"/>
      <c r="AV60" s="1002"/>
      <c r="AW60" s="451"/>
      <c r="AX60" s="1002"/>
      <c r="AY60" s="1002"/>
      <c r="AZ60" s="1002"/>
      <c r="BA60" s="1002"/>
      <c r="BB60" s="1002"/>
      <c r="BC60" s="451"/>
      <c r="BD60" s="1002"/>
      <c r="BE60" s="1002"/>
      <c r="BF60" s="1002"/>
      <c r="BG60" s="1002"/>
      <c r="BH60" s="1002"/>
      <c r="BI60" s="451"/>
      <c r="BJ60" s="1002"/>
      <c r="BK60" s="451"/>
      <c r="BL60" s="451"/>
      <c r="BM60" s="451"/>
      <c r="BN60" s="451"/>
      <c r="BO60" s="451"/>
      <c r="BP60" s="1002"/>
      <c r="BQ60" s="451"/>
      <c r="BR60" s="451"/>
      <c r="BS60" s="451"/>
      <c r="BT60" s="451"/>
      <c r="BU60" s="451"/>
      <c r="BV60" s="1002"/>
      <c r="BW60" s="451"/>
      <c r="BX60" s="451"/>
      <c r="BY60" s="451"/>
      <c r="BZ60" s="451"/>
      <c r="CA60" s="451"/>
      <c r="CB60" s="1003"/>
      <c r="CC60" s="451"/>
      <c r="CD60" s="451"/>
      <c r="CE60" s="452"/>
      <c r="CF60" s="452"/>
      <c r="CG60" s="1004"/>
      <c r="CH60" s="1004"/>
      <c r="CI60" s="452"/>
      <c r="CJ60" s="452"/>
      <c r="CK60" s="452"/>
      <c r="CL60" s="452"/>
      <c r="CM60" s="1004"/>
      <c r="CN60" s="1004"/>
      <c r="CO60" s="452"/>
      <c r="CP60" s="452"/>
      <c r="CQ60" s="452"/>
      <c r="CR60" s="452">
        <v>2500</v>
      </c>
      <c r="CS60" s="1004"/>
      <c r="CT60" s="1004"/>
      <c r="CU60" s="452">
        <f>CR60</f>
        <v>2500</v>
      </c>
      <c r="CV60" s="452">
        <f>CU60</f>
        <v>2500</v>
      </c>
      <c r="CW60" s="452">
        <f>CV60</f>
        <v>2500</v>
      </c>
      <c r="CX60" s="452">
        <f>CW60</f>
        <v>2500</v>
      </c>
      <c r="CY60" s="1002"/>
      <c r="CZ60" s="1003"/>
      <c r="DA60" s="452">
        <f>CX60</f>
        <v>2500</v>
      </c>
      <c r="DB60" s="452">
        <f>DA60</f>
        <v>2500</v>
      </c>
      <c r="DC60" s="452">
        <f>DB60</f>
        <v>2500</v>
      </c>
      <c r="DD60" s="452">
        <f>DC60</f>
        <v>2500</v>
      </c>
      <c r="DE60" s="1002"/>
      <c r="DF60" s="1003"/>
      <c r="DG60" s="452">
        <f>DD60</f>
        <v>2500</v>
      </c>
      <c r="DH60" s="452">
        <f>DG60</f>
        <v>2500</v>
      </c>
      <c r="DI60" s="452">
        <f>DH60</f>
        <v>2500</v>
      </c>
      <c r="DJ60" s="452">
        <f>DI60</f>
        <v>2500</v>
      </c>
      <c r="DK60" s="1002"/>
      <c r="DL60" s="1003"/>
      <c r="DM60" s="452">
        <f>DJ60</f>
        <v>2500</v>
      </c>
      <c r="DN60" s="452">
        <f>DM60</f>
        <v>2500</v>
      </c>
      <c r="DO60" s="452">
        <f>DN60</f>
        <v>2500</v>
      </c>
      <c r="DP60" s="452">
        <f>DO60</f>
        <v>2500</v>
      </c>
      <c r="DQ60" s="1002"/>
      <c r="DR60" s="1003"/>
      <c r="DS60" s="452">
        <f>DP60</f>
        <v>2500</v>
      </c>
      <c r="DT60" s="452">
        <f>DS60</f>
        <v>2500</v>
      </c>
      <c r="DU60" s="452">
        <f>DT60</f>
        <v>2500</v>
      </c>
      <c r="DV60" s="452">
        <f>DU60</f>
        <v>2500</v>
      </c>
      <c r="DW60" s="1002"/>
      <c r="DX60" s="1003"/>
      <c r="DY60" s="452">
        <f>DV60</f>
        <v>2500</v>
      </c>
      <c r="DZ60" s="452">
        <f t="shared" ref="DZ60:EB62" si="74">DY60</f>
        <v>2500</v>
      </c>
      <c r="EA60" s="452">
        <f t="shared" si="74"/>
        <v>2500</v>
      </c>
      <c r="EB60" s="452">
        <f t="shared" si="74"/>
        <v>2500</v>
      </c>
      <c r="EC60" s="1002"/>
      <c r="ED60" s="1003"/>
      <c r="EE60" s="452">
        <f>EB60</f>
        <v>2500</v>
      </c>
      <c r="EF60" s="452">
        <f t="shared" si="68"/>
        <v>2500</v>
      </c>
      <c r="EG60" s="452">
        <f t="shared" si="68"/>
        <v>2500</v>
      </c>
      <c r="EH60" s="452">
        <f t="shared" si="68"/>
        <v>2500</v>
      </c>
      <c r="EI60" s="1002"/>
      <c r="EJ60" s="1003"/>
      <c r="EK60" s="452">
        <f t="shared" si="69"/>
        <v>2500</v>
      </c>
      <c r="EL60" s="452">
        <f>EK60</f>
        <v>2500</v>
      </c>
      <c r="EM60" s="452">
        <f>EL60</f>
        <v>2500</v>
      </c>
      <c r="EN60" s="452">
        <f>EM60</f>
        <v>2500</v>
      </c>
      <c r="EO60" s="1002"/>
      <c r="EP60" s="1003"/>
      <c r="EQ60" s="452">
        <f t="shared" si="70"/>
        <v>2500</v>
      </c>
      <c r="ER60" s="452">
        <f t="shared" si="71"/>
        <v>2500</v>
      </c>
      <c r="ES60" s="452">
        <f t="shared" si="71"/>
        <v>2500</v>
      </c>
      <c r="ET60" s="452">
        <f t="shared" si="71"/>
        <v>2500</v>
      </c>
      <c r="EU60" s="1002"/>
      <c r="EV60" s="1003"/>
      <c r="EW60" s="452">
        <f t="shared" si="72"/>
        <v>2500</v>
      </c>
      <c r="EX60" s="452">
        <f t="shared" si="73"/>
        <v>2500</v>
      </c>
      <c r="EY60" s="452">
        <f t="shared" ref="EY60:EZ77" si="75">EX60</f>
        <v>2500</v>
      </c>
      <c r="EZ60" s="452">
        <f t="shared" si="75"/>
        <v>2500</v>
      </c>
      <c r="FA60" s="1002"/>
      <c r="FB60" s="1003"/>
      <c r="FC60" s="452"/>
      <c r="FD60" s="452"/>
      <c r="FE60" s="452"/>
      <c r="FF60" s="452"/>
      <c r="FG60" s="1002"/>
      <c r="FH60" s="1003"/>
      <c r="FI60" s="452"/>
      <c r="FJ60" s="452"/>
      <c r="FK60" s="452"/>
      <c r="FL60" s="452"/>
      <c r="FM60" s="1002"/>
      <c r="FN60" s="853"/>
      <c r="FO60" s="853"/>
      <c r="FP60" s="853"/>
      <c r="FQ60" s="853"/>
      <c r="FR60"/>
      <c r="FS60"/>
      <c r="FT60"/>
      <c r="FU60"/>
      <c r="FV60"/>
      <c r="FW60"/>
      <c r="FX60" s="942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</row>
    <row r="61" spans="1:274" s="856" customFormat="1" ht="12" hidden="1" customHeight="1" outlineLevel="1" x14ac:dyDescent="0.2">
      <c r="A61" s="44" t="s">
        <v>436</v>
      </c>
      <c r="B61" s="1001"/>
      <c r="C61" s="1002"/>
      <c r="D61" s="1002"/>
      <c r="E61" s="1002"/>
      <c r="F61" s="1002"/>
      <c r="G61" s="1002"/>
      <c r="H61" s="1002"/>
      <c r="I61" s="1002"/>
      <c r="J61" s="1002"/>
      <c r="K61" s="1002"/>
      <c r="L61" s="1002"/>
      <c r="M61" s="1002"/>
      <c r="N61" s="1002"/>
      <c r="O61" s="1002"/>
      <c r="P61" s="1002"/>
      <c r="Q61" s="1002"/>
      <c r="R61" s="1002"/>
      <c r="S61" s="1002"/>
      <c r="T61" s="1002"/>
      <c r="U61" s="1002"/>
      <c r="V61" s="1002"/>
      <c r="W61" s="1002"/>
      <c r="X61" s="1002"/>
      <c r="Y61" s="1002"/>
      <c r="Z61" s="1002"/>
      <c r="AA61" s="1002"/>
      <c r="AB61" s="1002"/>
      <c r="AC61" s="1002"/>
      <c r="AD61" s="1002"/>
      <c r="AE61" s="1002"/>
      <c r="AF61" s="1002"/>
      <c r="AG61" s="1002"/>
      <c r="AH61" s="1002"/>
      <c r="AI61" s="1002"/>
      <c r="AJ61" s="1002"/>
      <c r="AK61" s="1002"/>
      <c r="AL61" s="1002"/>
      <c r="AM61" s="1002"/>
      <c r="AN61" s="1002"/>
      <c r="AO61" s="1002"/>
      <c r="AP61" s="1002"/>
      <c r="AQ61" s="1002"/>
      <c r="AR61" s="1002"/>
      <c r="AS61" s="1002"/>
      <c r="AT61" s="1002"/>
      <c r="AU61" s="1002"/>
      <c r="AV61" s="1002"/>
      <c r="AW61" s="451"/>
      <c r="AX61" s="1002"/>
      <c r="AY61" s="1002"/>
      <c r="AZ61" s="1002"/>
      <c r="BA61" s="1002"/>
      <c r="BB61" s="1002"/>
      <c r="BC61" s="451"/>
      <c r="BD61" s="1002"/>
      <c r="BE61" s="1002"/>
      <c r="BF61" s="1002"/>
      <c r="BG61" s="1002"/>
      <c r="BH61" s="1002"/>
      <c r="BI61" s="451"/>
      <c r="BJ61" s="1002"/>
      <c r="BK61" s="451"/>
      <c r="BL61" s="451"/>
      <c r="BM61" s="451"/>
      <c r="BN61" s="451"/>
      <c r="BO61" s="451"/>
      <c r="BP61" s="1002"/>
      <c r="BQ61" s="451"/>
      <c r="BR61" s="451"/>
      <c r="BS61" s="451"/>
      <c r="BT61" s="451"/>
      <c r="BU61" s="451"/>
      <c r="BV61" s="1002"/>
      <c r="BW61" s="451"/>
      <c r="BX61" s="451"/>
      <c r="BY61" s="451"/>
      <c r="BZ61" s="451"/>
      <c r="CA61" s="451"/>
      <c r="CB61" s="1003"/>
      <c r="CC61" s="451"/>
      <c r="CD61" s="451"/>
      <c r="CE61" s="452"/>
      <c r="CF61" s="452"/>
      <c r="CG61" s="1004"/>
      <c r="CH61" s="1004"/>
      <c r="CI61" s="452"/>
      <c r="CJ61" s="452"/>
      <c r="CK61" s="452"/>
      <c r="CL61" s="452"/>
      <c r="CM61" s="1004"/>
      <c r="CN61" s="1004"/>
      <c r="CO61" s="452"/>
      <c r="CP61" s="452"/>
      <c r="CQ61" s="452"/>
      <c r="CR61" s="452"/>
      <c r="CS61" s="1004"/>
      <c r="CT61" s="1004"/>
      <c r="CU61" s="452"/>
      <c r="CV61" s="452"/>
      <c r="CW61" s="452"/>
      <c r="CX61" s="452"/>
      <c r="CY61" s="1002"/>
      <c r="CZ61" s="1003"/>
      <c r="DA61" s="452"/>
      <c r="DB61" s="452"/>
      <c r="DC61" s="452"/>
      <c r="DD61" s="452"/>
      <c r="DE61" s="1002"/>
      <c r="DF61" s="1003"/>
      <c r="DG61" s="452"/>
      <c r="DH61" s="452"/>
      <c r="DI61" s="452"/>
      <c r="DJ61" s="452"/>
      <c r="DK61" s="1002"/>
      <c r="DL61" s="1003"/>
      <c r="DM61" s="452"/>
      <c r="DN61" s="452"/>
      <c r="DO61" s="452"/>
      <c r="DP61" s="452"/>
      <c r="DQ61" s="1002"/>
      <c r="DR61" s="1003"/>
      <c r="DS61" s="452"/>
      <c r="DT61" s="452"/>
      <c r="DU61" s="452"/>
      <c r="DV61" s="452"/>
      <c r="DW61" s="1002"/>
      <c r="DX61" s="1003"/>
      <c r="DY61" s="452">
        <v>1500</v>
      </c>
      <c r="DZ61" s="452">
        <f t="shared" si="74"/>
        <v>1500</v>
      </c>
      <c r="EA61" s="452">
        <f t="shared" si="74"/>
        <v>1500</v>
      </c>
      <c r="EB61" s="452">
        <f t="shared" si="74"/>
        <v>1500</v>
      </c>
      <c r="EC61" s="1002"/>
      <c r="ED61" s="1003"/>
      <c r="EE61" s="452">
        <f>EB61</f>
        <v>1500</v>
      </c>
      <c r="EF61" s="452">
        <f t="shared" ref="EF61:EH62" si="76">EE61</f>
        <v>1500</v>
      </c>
      <c r="EG61" s="452">
        <f t="shared" si="76"/>
        <v>1500</v>
      </c>
      <c r="EH61" s="452">
        <f t="shared" si="76"/>
        <v>1500</v>
      </c>
      <c r="EI61" s="1002"/>
      <c r="EJ61" s="1003"/>
      <c r="EK61" s="452">
        <f t="shared" si="69"/>
        <v>1500</v>
      </c>
      <c r="EL61" s="452">
        <f t="shared" ref="EL61:EN64" si="77">EK61</f>
        <v>1500</v>
      </c>
      <c r="EM61" s="452">
        <f t="shared" si="77"/>
        <v>1500</v>
      </c>
      <c r="EN61" s="452">
        <f t="shared" si="77"/>
        <v>1500</v>
      </c>
      <c r="EO61" s="1002"/>
      <c r="EP61" s="1003"/>
      <c r="EQ61" s="452">
        <f t="shared" si="70"/>
        <v>1500</v>
      </c>
      <c r="ER61" s="452">
        <f t="shared" ref="ER61:ET66" si="78">EQ61</f>
        <v>1500</v>
      </c>
      <c r="ES61" s="452">
        <f t="shared" si="78"/>
        <v>1500</v>
      </c>
      <c r="ET61" s="452">
        <f t="shared" si="78"/>
        <v>1500</v>
      </c>
      <c r="EU61" s="1002"/>
      <c r="EV61" s="1003"/>
      <c r="EW61" s="452">
        <f t="shared" si="72"/>
        <v>1500</v>
      </c>
      <c r="EX61" s="452">
        <f t="shared" si="73"/>
        <v>1500</v>
      </c>
      <c r="EY61" s="452">
        <f t="shared" si="75"/>
        <v>1500</v>
      </c>
      <c r="EZ61" s="452">
        <f t="shared" si="75"/>
        <v>1500</v>
      </c>
      <c r="FA61" s="1002"/>
      <c r="FB61" s="1003"/>
      <c r="FC61" s="452">
        <f t="shared" ref="FC61:FC86" si="79">EZ61</f>
        <v>1500</v>
      </c>
      <c r="FD61" s="452">
        <f t="shared" ref="FD61:FE75" si="80">FC61</f>
        <v>1500</v>
      </c>
      <c r="FE61" s="452">
        <f t="shared" si="80"/>
        <v>1500</v>
      </c>
      <c r="FF61" s="452"/>
      <c r="FG61" s="1002"/>
      <c r="FH61" s="1003"/>
      <c r="FI61" s="452"/>
      <c r="FJ61" s="452"/>
      <c r="FK61" s="452"/>
      <c r="FL61" s="452"/>
      <c r="FM61" s="1002"/>
      <c r="FN61" s="853"/>
      <c r="FO61" s="853"/>
      <c r="FP61" s="853"/>
      <c r="FQ61" s="853"/>
      <c r="FR61"/>
      <c r="FS61"/>
      <c r="FT61"/>
      <c r="FU61"/>
      <c r="FV61"/>
      <c r="FW61"/>
      <c r="FX61" s="942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</row>
    <row r="62" spans="1:274" s="856" customFormat="1" ht="12" hidden="1" customHeight="1" outlineLevel="1" x14ac:dyDescent="0.2">
      <c r="A62" s="44" t="s">
        <v>170</v>
      </c>
      <c r="B62" s="1001"/>
      <c r="C62" s="1002"/>
      <c r="D62" s="1002"/>
      <c r="E62" s="1002"/>
      <c r="F62" s="1002"/>
      <c r="G62" s="1002"/>
      <c r="H62" s="1002"/>
      <c r="I62" s="1002"/>
      <c r="J62" s="1002"/>
      <c r="K62" s="1002"/>
      <c r="L62" s="1002"/>
      <c r="M62" s="1002"/>
      <c r="N62" s="1002"/>
      <c r="O62" s="1002"/>
      <c r="P62" s="1002"/>
      <c r="Q62" s="1002"/>
      <c r="R62" s="1002"/>
      <c r="S62" s="1002"/>
      <c r="T62" s="1002"/>
      <c r="U62" s="1002"/>
      <c r="V62" s="1002"/>
      <c r="W62" s="1002"/>
      <c r="X62" s="1002"/>
      <c r="Y62" s="1002"/>
      <c r="Z62" s="1002"/>
      <c r="AA62" s="1002"/>
      <c r="AB62" s="1002"/>
      <c r="AC62" s="1002"/>
      <c r="AD62" s="1002"/>
      <c r="AE62" s="1002"/>
      <c r="AF62" s="1002"/>
      <c r="AG62" s="1002"/>
      <c r="AH62" s="1002"/>
      <c r="AI62" s="1002"/>
      <c r="AJ62" s="1002"/>
      <c r="AK62" s="1002"/>
      <c r="AL62" s="1002"/>
      <c r="AM62" s="1002"/>
      <c r="AN62" s="1002"/>
      <c r="AO62" s="1002"/>
      <c r="AP62" s="1002"/>
      <c r="AQ62" s="1002"/>
      <c r="AR62" s="1002"/>
      <c r="AS62" s="1002"/>
      <c r="AT62" s="1002"/>
      <c r="AU62" s="1002"/>
      <c r="AV62" s="1002"/>
      <c r="AW62" s="451"/>
      <c r="AX62" s="1002"/>
      <c r="AY62" s="1002"/>
      <c r="AZ62" s="1002"/>
      <c r="BA62" s="1002"/>
      <c r="BB62" s="1002"/>
      <c r="BC62" s="451"/>
      <c r="BD62" s="1002"/>
      <c r="BE62" s="1002"/>
      <c r="BF62" s="1002"/>
      <c r="BG62" s="1002"/>
      <c r="BH62" s="1002"/>
      <c r="BI62" s="451"/>
      <c r="BJ62" s="1002"/>
      <c r="BK62" s="451"/>
      <c r="BL62" s="451"/>
      <c r="BM62" s="451"/>
      <c r="BN62" s="451"/>
      <c r="BO62" s="451"/>
      <c r="BP62" s="1002"/>
      <c r="BQ62" s="451"/>
      <c r="BR62" s="451"/>
      <c r="BS62" s="451"/>
      <c r="BT62" s="451"/>
      <c r="BU62" s="451"/>
      <c r="BV62" s="1002"/>
      <c r="BW62" s="451"/>
      <c r="BX62" s="451"/>
      <c r="BY62" s="451"/>
      <c r="BZ62" s="451"/>
      <c r="CA62" s="451"/>
      <c r="CB62" s="1003"/>
      <c r="CC62" s="451"/>
      <c r="CD62" s="451"/>
      <c r="CE62" s="452"/>
      <c r="CF62" s="452"/>
      <c r="CG62" s="1004"/>
      <c r="CH62" s="1004"/>
      <c r="CI62" s="452"/>
      <c r="CJ62" s="452"/>
      <c r="CK62" s="452"/>
      <c r="CL62" s="452"/>
      <c r="CM62" s="1004"/>
      <c r="CN62" s="1004"/>
      <c r="CO62" s="452"/>
      <c r="CP62" s="452"/>
      <c r="CQ62" s="452"/>
      <c r="CR62" s="452"/>
      <c r="CS62" s="1004"/>
      <c r="CT62" s="1004"/>
      <c r="CU62" s="452"/>
      <c r="CV62" s="452"/>
      <c r="CW62" s="452"/>
      <c r="CX62" s="452"/>
      <c r="CY62" s="1002"/>
      <c r="CZ62" s="1003"/>
      <c r="DA62" s="452">
        <v>1750</v>
      </c>
      <c r="DB62" s="452">
        <f>DA62</f>
        <v>1750</v>
      </c>
      <c r="DC62" s="452">
        <f>DB62</f>
        <v>1750</v>
      </c>
      <c r="DD62" s="452">
        <f>DC62</f>
        <v>1750</v>
      </c>
      <c r="DE62" s="1002"/>
      <c r="DF62" s="1003"/>
      <c r="DG62" s="452">
        <f>DD62</f>
        <v>1750</v>
      </c>
      <c r="DH62" s="452">
        <f>DG62</f>
        <v>1750</v>
      </c>
      <c r="DI62" s="452">
        <f>DH62</f>
        <v>1750</v>
      </c>
      <c r="DJ62" s="452">
        <f>DI62</f>
        <v>1750</v>
      </c>
      <c r="DK62" s="1002"/>
      <c r="DL62" s="1003"/>
      <c r="DM62" s="452">
        <f>DJ62</f>
        <v>1750</v>
      </c>
      <c r="DN62" s="452">
        <f>DM62</f>
        <v>1750</v>
      </c>
      <c r="DO62" s="452">
        <f>DN62</f>
        <v>1750</v>
      </c>
      <c r="DP62" s="452">
        <f>DO62</f>
        <v>1750</v>
      </c>
      <c r="DQ62" s="1002"/>
      <c r="DR62" s="1003"/>
      <c r="DS62" s="452">
        <f>DP62</f>
        <v>1750</v>
      </c>
      <c r="DT62" s="452">
        <f>DS62</f>
        <v>1750</v>
      </c>
      <c r="DU62" s="452">
        <f>DT62</f>
        <v>1750</v>
      </c>
      <c r="DV62" s="452">
        <f>DU62</f>
        <v>1750</v>
      </c>
      <c r="DW62" s="1002"/>
      <c r="DX62" s="1003"/>
      <c r="DY62" s="452">
        <f>DV62</f>
        <v>1750</v>
      </c>
      <c r="DZ62" s="452">
        <f t="shared" si="74"/>
        <v>1750</v>
      </c>
      <c r="EA62" s="452">
        <f t="shared" si="74"/>
        <v>1750</v>
      </c>
      <c r="EB62" s="452">
        <f t="shared" si="74"/>
        <v>1750</v>
      </c>
      <c r="EC62" s="1002"/>
      <c r="ED62" s="1003"/>
      <c r="EE62" s="452">
        <f>EB62</f>
        <v>1750</v>
      </c>
      <c r="EF62" s="452">
        <f t="shared" si="76"/>
        <v>1750</v>
      </c>
      <c r="EG62" s="452">
        <f t="shared" si="76"/>
        <v>1750</v>
      </c>
      <c r="EH62" s="452">
        <f t="shared" si="76"/>
        <v>1750</v>
      </c>
      <c r="EI62" s="1002"/>
      <c r="EJ62" s="1003"/>
      <c r="EK62" s="452">
        <f t="shared" si="69"/>
        <v>1750</v>
      </c>
      <c r="EL62" s="452">
        <f t="shared" si="77"/>
        <v>1750</v>
      </c>
      <c r="EM62" s="452">
        <f t="shared" si="77"/>
        <v>1750</v>
      </c>
      <c r="EN62" s="452">
        <f t="shared" si="77"/>
        <v>1750</v>
      </c>
      <c r="EO62" s="1002"/>
      <c r="EP62" s="1003"/>
      <c r="EQ62" s="452">
        <f t="shared" si="70"/>
        <v>1750</v>
      </c>
      <c r="ER62" s="452">
        <f t="shared" si="78"/>
        <v>1750</v>
      </c>
      <c r="ES62" s="452">
        <f t="shared" si="78"/>
        <v>1750</v>
      </c>
      <c r="ET62" s="452">
        <f t="shared" si="78"/>
        <v>1750</v>
      </c>
      <c r="EU62" s="1002"/>
      <c r="EV62" s="1003"/>
      <c r="EW62" s="452">
        <f t="shared" si="72"/>
        <v>1750</v>
      </c>
      <c r="EX62" s="452">
        <f t="shared" si="73"/>
        <v>1750</v>
      </c>
      <c r="EY62" s="452">
        <f t="shared" si="75"/>
        <v>1750</v>
      </c>
      <c r="EZ62" s="452">
        <f t="shared" si="75"/>
        <v>1750</v>
      </c>
      <c r="FA62" s="1002"/>
      <c r="FB62" s="1003"/>
      <c r="FC62" s="452">
        <f t="shared" si="79"/>
        <v>1750</v>
      </c>
      <c r="FD62" s="452">
        <f t="shared" si="80"/>
        <v>1750</v>
      </c>
      <c r="FE62" s="452">
        <f t="shared" si="80"/>
        <v>1750</v>
      </c>
      <c r="FF62" s="452">
        <f t="shared" ref="FF62:FF75" si="81">FE62</f>
        <v>1750</v>
      </c>
      <c r="FG62" s="1002"/>
      <c r="FH62" s="1003"/>
      <c r="FI62" s="452">
        <f t="shared" ref="FI62:FI86" si="82">FF62</f>
        <v>1750</v>
      </c>
      <c r="FJ62" s="452"/>
      <c r="FK62" s="452"/>
      <c r="FL62" s="452"/>
      <c r="FM62" s="1002"/>
      <c r="FN62" s="853"/>
      <c r="FO62" s="853"/>
      <c r="FP62" s="853"/>
      <c r="FQ62" s="853"/>
      <c r="FR62"/>
      <c r="FS62"/>
      <c r="FT62"/>
      <c r="FU62"/>
      <c r="FV62"/>
      <c r="FW62"/>
      <c r="FX62" s="94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</row>
    <row r="63" spans="1:274" s="856" customFormat="1" ht="12" hidden="1" customHeight="1" outlineLevel="1" x14ac:dyDescent="0.2">
      <c r="A63" s="44" t="s">
        <v>1211</v>
      </c>
      <c r="B63" s="1001"/>
      <c r="C63" s="1002"/>
      <c r="D63" s="1002"/>
      <c r="E63" s="1002"/>
      <c r="F63" s="1002"/>
      <c r="G63" s="1002"/>
      <c r="H63" s="1002"/>
      <c r="I63" s="1002"/>
      <c r="J63" s="1002"/>
      <c r="K63" s="1002"/>
      <c r="L63" s="1002"/>
      <c r="M63" s="1002"/>
      <c r="N63" s="1002"/>
      <c r="O63" s="1002"/>
      <c r="P63" s="1002"/>
      <c r="Q63" s="1002"/>
      <c r="R63" s="1002"/>
      <c r="S63" s="1002"/>
      <c r="T63" s="1002"/>
      <c r="U63" s="1002"/>
      <c r="V63" s="1002"/>
      <c r="W63" s="1002"/>
      <c r="X63" s="1002"/>
      <c r="Y63" s="1002"/>
      <c r="Z63" s="1002"/>
      <c r="AA63" s="1002"/>
      <c r="AB63" s="1002"/>
      <c r="AC63" s="1002"/>
      <c r="AD63" s="1002"/>
      <c r="AE63" s="1002"/>
      <c r="AF63" s="1002"/>
      <c r="AG63" s="1002"/>
      <c r="AH63" s="1002"/>
      <c r="AI63" s="1002"/>
      <c r="AJ63" s="1002"/>
      <c r="AK63" s="1002"/>
      <c r="AL63" s="1002"/>
      <c r="AM63" s="1002"/>
      <c r="AN63" s="1002"/>
      <c r="AO63" s="1002"/>
      <c r="AP63" s="1002"/>
      <c r="AQ63" s="1002"/>
      <c r="AR63" s="1002"/>
      <c r="AS63" s="1002"/>
      <c r="AT63" s="1002"/>
      <c r="AU63" s="1002"/>
      <c r="AV63" s="1002"/>
      <c r="AW63" s="451"/>
      <c r="AX63" s="1002"/>
      <c r="AY63" s="1002"/>
      <c r="AZ63" s="1002"/>
      <c r="BA63" s="1002"/>
      <c r="BB63" s="1002"/>
      <c r="BC63" s="451"/>
      <c r="BD63" s="1002"/>
      <c r="BE63" s="1002"/>
      <c r="BF63" s="1002"/>
      <c r="BG63" s="1002"/>
      <c r="BH63" s="1002"/>
      <c r="BI63" s="451"/>
      <c r="BJ63" s="1002"/>
      <c r="BK63" s="451"/>
      <c r="BL63" s="451"/>
      <c r="BM63" s="451"/>
      <c r="BN63" s="451"/>
      <c r="BO63" s="451"/>
      <c r="BP63" s="1002"/>
      <c r="BQ63" s="451"/>
      <c r="BR63" s="451"/>
      <c r="BS63" s="451"/>
      <c r="BT63" s="451"/>
      <c r="BU63" s="451"/>
      <c r="BV63" s="1002"/>
      <c r="BW63" s="451"/>
      <c r="BX63" s="451"/>
      <c r="BY63" s="451"/>
      <c r="BZ63" s="451"/>
      <c r="CA63" s="451"/>
      <c r="CB63" s="1003"/>
      <c r="CC63" s="451"/>
      <c r="CD63" s="451"/>
      <c r="CE63" s="452"/>
      <c r="CF63" s="452"/>
      <c r="CG63" s="1004"/>
      <c r="CH63" s="1004"/>
      <c r="CI63" s="452"/>
      <c r="CJ63" s="452"/>
      <c r="CK63" s="452"/>
      <c r="CL63" s="452"/>
      <c r="CM63" s="1004"/>
      <c r="CN63" s="1004"/>
      <c r="CO63" s="452"/>
      <c r="CP63" s="452"/>
      <c r="CQ63" s="452"/>
      <c r="CR63" s="452"/>
      <c r="CS63" s="1004"/>
      <c r="CT63" s="1004"/>
      <c r="CU63" s="452"/>
      <c r="CV63" s="452"/>
      <c r="CW63" s="452"/>
      <c r="CX63" s="452"/>
      <c r="CY63" s="1002"/>
      <c r="CZ63" s="1003"/>
      <c r="DA63" s="452"/>
      <c r="DB63" s="452"/>
      <c r="DC63" s="452"/>
      <c r="DD63" s="452"/>
      <c r="DE63" s="1002"/>
      <c r="DF63" s="1003"/>
      <c r="DG63" s="452"/>
      <c r="DH63" s="452"/>
      <c r="DI63" s="452"/>
      <c r="DJ63" s="452"/>
      <c r="DK63" s="1002"/>
      <c r="DL63" s="1003"/>
      <c r="DM63" s="452"/>
      <c r="DN63" s="452"/>
      <c r="DO63" s="452"/>
      <c r="DP63" s="452"/>
      <c r="DQ63" s="1002"/>
      <c r="DR63" s="1003"/>
      <c r="DS63" s="452"/>
      <c r="DT63" s="452"/>
      <c r="DU63" s="452"/>
      <c r="DV63" s="452"/>
      <c r="DW63" s="1002"/>
      <c r="DX63" s="1003"/>
      <c r="DY63" s="452"/>
      <c r="DZ63" s="452"/>
      <c r="EA63" s="452"/>
      <c r="EB63" s="452"/>
      <c r="EC63" s="1002"/>
      <c r="ED63" s="1003"/>
      <c r="EE63" s="452">
        <v>2000</v>
      </c>
      <c r="EF63" s="452">
        <v>2000</v>
      </c>
      <c r="EG63" s="452">
        <v>2000</v>
      </c>
      <c r="EH63" s="452">
        <v>2000</v>
      </c>
      <c r="EI63" s="1002"/>
      <c r="EJ63" s="1003"/>
      <c r="EK63" s="452">
        <f t="shared" si="69"/>
        <v>2000</v>
      </c>
      <c r="EL63" s="452">
        <f t="shared" si="77"/>
        <v>2000</v>
      </c>
      <c r="EM63" s="452">
        <f t="shared" si="77"/>
        <v>2000</v>
      </c>
      <c r="EN63" s="452">
        <f t="shared" si="77"/>
        <v>2000</v>
      </c>
      <c r="EO63" s="1002"/>
      <c r="EP63" s="1003"/>
      <c r="EQ63" s="452">
        <f t="shared" si="70"/>
        <v>2000</v>
      </c>
      <c r="ER63" s="452">
        <f t="shared" si="78"/>
        <v>2000</v>
      </c>
      <c r="ES63" s="452">
        <f t="shared" si="78"/>
        <v>2000</v>
      </c>
      <c r="ET63" s="452">
        <f t="shared" si="78"/>
        <v>2000</v>
      </c>
      <c r="EU63" s="1002"/>
      <c r="EV63" s="1003"/>
      <c r="EW63" s="452">
        <f t="shared" si="72"/>
        <v>2000</v>
      </c>
      <c r="EX63" s="452">
        <f t="shared" si="73"/>
        <v>2000</v>
      </c>
      <c r="EY63" s="452">
        <f t="shared" si="75"/>
        <v>2000</v>
      </c>
      <c r="EZ63" s="452">
        <f t="shared" si="75"/>
        <v>2000</v>
      </c>
      <c r="FA63" s="1002"/>
      <c r="FB63" s="1003"/>
      <c r="FC63" s="452">
        <f t="shared" si="79"/>
        <v>2000</v>
      </c>
      <c r="FD63" s="452">
        <f t="shared" si="80"/>
        <v>2000</v>
      </c>
      <c r="FE63" s="452">
        <f t="shared" si="80"/>
        <v>2000</v>
      </c>
      <c r="FF63" s="452">
        <f t="shared" si="81"/>
        <v>2000</v>
      </c>
      <c r="FG63" s="1002"/>
      <c r="FH63" s="1003"/>
      <c r="FI63" s="452">
        <f t="shared" si="82"/>
        <v>2000</v>
      </c>
      <c r="FJ63" s="452">
        <f>FI63</f>
        <v>2000</v>
      </c>
      <c r="FK63" s="452"/>
      <c r="FL63" s="452"/>
      <c r="FM63" s="1002"/>
      <c r="FN63" s="853"/>
      <c r="FO63" s="853"/>
      <c r="FP63" s="853"/>
      <c r="FQ63" s="853"/>
      <c r="FR63"/>
      <c r="FS63"/>
      <c r="FT63"/>
      <c r="FU63"/>
      <c r="FV63"/>
      <c r="FW63"/>
      <c r="FX63" s="942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</row>
    <row r="64" spans="1:274" s="856" customFormat="1" ht="12" hidden="1" customHeight="1" outlineLevel="1" x14ac:dyDescent="0.2">
      <c r="A64" s="44" t="s">
        <v>904</v>
      </c>
      <c r="B64" s="1001"/>
      <c r="C64" s="1002"/>
      <c r="D64" s="1002"/>
      <c r="E64" s="1002"/>
      <c r="F64" s="1002"/>
      <c r="G64" s="1002"/>
      <c r="H64" s="1002"/>
      <c r="I64" s="1002"/>
      <c r="J64" s="1002"/>
      <c r="K64" s="1002"/>
      <c r="L64" s="1002"/>
      <c r="M64" s="1002"/>
      <c r="N64" s="1002"/>
      <c r="O64" s="1002"/>
      <c r="P64" s="1002"/>
      <c r="Q64" s="1002"/>
      <c r="R64" s="1002"/>
      <c r="S64" s="1002"/>
      <c r="T64" s="1002"/>
      <c r="U64" s="1002"/>
      <c r="V64" s="1002"/>
      <c r="W64" s="1002"/>
      <c r="X64" s="1002"/>
      <c r="Y64" s="1002"/>
      <c r="Z64" s="1002"/>
      <c r="AA64" s="1002"/>
      <c r="AB64" s="1002"/>
      <c r="AC64" s="1002"/>
      <c r="AD64" s="1002"/>
      <c r="AE64" s="1002"/>
      <c r="AF64" s="1002"/>
      <c r="AG64" s="1002"/>
      <c r="AH64" s="1002"/>
      <c r="AI64" s="1002"/>
      <c r="AJ64" s="1002"/>
      <c r="AK64" s="1002"/>
      <c r="AL64" s="1002"/>
      <c r="AM64" s="1002"/>
      <c r="AN64" s="1002"/>
      <c r="AO64" s="1002"/>
      <c r="AP64" s="1002"/>
      <c r="AQ64" s="1002"/>
      <c r="AR64" s="1002"/>
      <c r="AS64" s="1002"/>
      <c r="AT64" s="1002"/>
      <c r="AU64" s="1002"/>
      <c r="AV64" s="1002"/>
      <c r="AW64" s="451"/>
      <c r="AX64" s="1002"/>
      <c r="AY64" s="1002"/>
      <c r="AZ64" s="1002"/>
      <c r="BA64" s="1002"/>
      <c r="BB64" s="1002"/>
      <c r="BC64" s="451"/>
      <c r="BD64" s="1002"/>
      <c r="BE64" s="1002"/>
      <c r="BF64" s="1002"/>
      <c r="BG64" s="1002"/>
      <c r="BH64" s="1002"/>
      <c r="BI64" s="451"/>
      <c r="BJ64" s="1002"/>
      <c r="BK64" s="451"/>
      <c r="BL64" s="451"/>
      <c r="BM64" s="451"/>
      <c r="BN64" s="451"/>
      <c r="BO64" s="451"/>
      <c r="BP64" s="1002"/>
      <c r="BQ64" s="451"/>
      <c r="BR64" s="451"/>
      <c r="BS64" s="451"/>
      <c r="BT64" s="451"/>
      <c r="BU64" s="451"/>
      <c r="BV64" s="1002"/>
      <c r="BW64" s="451"/>
      <c r="BX64" s="451"/>
      <c r="BY64" s="451"/>
      <c r="BZ64" s="451"/>
      <c r="CA64" s="451"/>
      <c r="CB64" s="1003"/>
      <c r="CC64" s="451"/>
      <c r="CD64" s="451"/>
      <c r="CE64" s="452"/>
      <c r="CF64" s="452"/>
      <c r="CG64" s="1004"/>
      <c r="CH64" s="1004"/>
      <c r="CI64" s="452"/>
      <c r="CJ64" s="452"/>
      <c r="CK64" s="452"/>
      <c r="CL64" s="452"/>
      <c r="CM64" s="1004"/>
      <c r="CN64" s="1004"/>
      <c r="CO64" s="452"/>
      <c r="CP64" s="452"/>
      <c r="CQ64" s="452"/>
      <c r="CR64" s="452"/>
      <c r="CS64" s="1004"/>
      <c r="CT64" s="1004"/>
      <c r="CU64" s="452"/>
      <c r="CV64" s="452"/>
      <c r="CW64" s="452"/>
      <c r="CX64" s="452"/>
      <c r="CY64" s="1002"/>
      <c r="CZ64" s="1003"/>
      <c r="DA64" s="452"/>
      <c r="DB64" s="452"/>
      <c r="DC64" s="452">
        <v>1000</v>
      </c>
      <c r="DD64" s="452">
        <f>DC64</f>
        <v>1000</v>
      </c>
      <c r="DE64" s="1002"/>
      <c r="DF64" s="1003"/>
      <c r="DG64" s="452">
        <f>DD64</f>
        <v>1000</v>
      </c>
      <c r="DH64" s="452">
        <f>DG64</f>
        <v>1000</v>
      </c>
      <c r="DI64" s="452">
        <f>DH64</f>
        <v>1000</v>
      </c>
      <c r="DJ64" s="452">
        <f>DI64</f>
        <v>1000</v>
      </c>
      <c r="DK64" s="1002"/>
      <c r="DL64" s="1003"/>
      <c r="DM64" s="452">
        <f>DJ64</f>
        <v>1000</v>
      </c>
      <c r="DN64" s="452">
        <f>DM64</f>
        <v>1000</v>
      </c>
      <c r="DO64" s="452">
        <f>DN64</f>
        <v>1000</v>
      </c>
      <c r="DP64" s="452">
        <f>DO64</f>
        <v>1000</v>
      </c>
      <c r="DQ64" s="1002"/>
      <c r="DR64" s="1003"/>
      <c r="DS64" s="452">
        <f>DP64</f>
        <v>1000</v>
      </c>
      <c r="DT64" s="452">
        <f>DS64</f>
        <v>1000</v>
      </c>
      <c r="DU64" s="452">
        <f>DT64</f>
        <v>1000</v>
      </c>
      <c r="DV64" s="452">
        <f>DU64</f>
        <v>1000</v>
      </c>
      <c r="DW64" s="1002"/>
      <c r="DX64" s="1003"/>
      <c r="DY64" s="452">
        <f>DV64</f>
        <v>1000</v>
      </c>
      <c r="DZ64" s="452">
        <f t="shared" ref="DZ64:EB65" si="83">DY64</f>
        <v>1000</v>
      </c>
      <c r="EA64" s="452">
        <f t="shared" si="83"/>
        <v>1000</v>
      </c>
      <c r="EB64" s="452">
        <f t="shared" si="83"/>
        <v>1000</v>
      </c>
      <c r="EC64" s="1002"/>
      <c r="ED64" s="1003"/>
      <c r="EE64" s="452">
        <f>EB64</f>
        <v>1000</v>
      </c>
      <c r="EF64" s="452">
        <f t="shared" ref="EF64:EH65" si="84">EE64</f>
        <v>1000</v>
      </c>
      <c r="EG64" s="452">
        <f t="shared" si="84"/>
        <v>1000</v>
      </c>
      <c r="EH64" s="452">
        <f t="shared" si="84"/>
        <v>1000</v>
      </c>
      <c r="EI64" s="1002"/>
      <c r="EJ64" s="1003"/>
      <c r="EK64" s="452">
        <f t="shared" si="69"/>
        <v>1000</v>
      </c>
      <c r="EL64" s="452">
        <f t="shared" si="77"/>
        <v>1000</v>
      </c>
      <c r="EM64" s="452">
        <f t="shared" si="77"/>
        <v>1000</v>
      </c>
      <c r="EN64" s="452">
        <f t="shared" si="77"/>
        <v>1000</v>
      </c>
      <c r="EO64" s="1002"/>
      <c r="EP64" s="1003"/>
      <c r="EQ64" s="452">
        <f t="shared" si="70"/>
        <v>1000</v>
      </c>
      <c r="ER64" s="452">
        <f t="shared" si="78"/>
        <v>1000</v>
      </c>
      <c r="ES64" s="452">
        <f t="shared" si="78"/>
        <v>1000</v>
      </c>
      <c r="ET64" s="452">
        <f t="shared" si="78"/>
        <v>1000</v>
      </c>
      <c r="EU64" s="1002"/>
      <c r="EV64" s="1003"/>
      <c r="EW64" s="452">
        <f t="shared" si="72"/>
        <v>1000</v>
      </c>
      <c r="EX64" s="452">
        <f t="shared" si="73"/>
        <v>1000</v>
      </c>
      <c r="EY64" s="452">
        <f t="shared" si="75"/>
        <v>1000</v>
      </c>
      <c r="EZ64" s="452">
        <f t="shared" si="75"/>
        <v>1000</v>
      </c>
      <c r="FA64" s="1002"/>
      <c r="FB64" s="1003"/>
      <c r="FC64" s="452">
        <f t="shared" si="79"/>
        <v>1000</v>
      </c>
      <c r="FD64" s="452">
        <f t="shared" si="80"/>
        <v>1000</v>
      </c>
      <c r="FE64" s="452">
        <f t="shared" si="80"/>
        <v>1000</v>
      </c>
      <c r="FF64" s="452">
        <f t="shared" si="81"/>
        <v>1000</v>
      </c>
      <c r="FG64" s="1002"/>
      <c r="FH64" s="1003"/>
      <c r="FI64" s="452">
        <f t="shared" si="82"/>
        <v>1000</v>
      </c>
      <c r="FJ64" s="452">
        <f t="shared" ref="FJ64:FJ81" si="85">FI64</f>
        <v>1000</v>
      </c>
      <c r="FK64" s="452">
        <f t="shared" ref="FK64:FK81" si="86">FJ64</f>
        <v>1000</v>
      </c>
      <c r="FL64" s="452">
        <f t="shared" ref="FL64:FL81" si="87">FK64</f>
        <v>1000</v>
      </c>
      <c r="FM64" s="1002"/>
      <c r="FN64" s="853"/>
      <c r="FO64" s="853"/>
      <c r="FP64" s="853"/>
      <c r="FQ64" s="853"/>
      <c r="FR64"/>
      <c r="FS64"/>
      <c r="FT64"/>
      <c r="FU64"/>
      <c r="FV64"/>
      <c r="FW64"/>
      <c r="FX64" s="942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</row>
    <row r="65" spans="1:274" s="856" customFormat="1" ht="12" hidden="1" customHeight="1" outlineLevel="1" x14ac:dyDescent="0.2">
      <c r="A65" s="44" t="s">
        <v>438</v>
      </c>
      <c r="B65" s="1001"/>
      <c r="C65" s="1002"/>
      <c r="D65" s="1002"/>
      <c r="E65" s="1002"/>
      <c r="F65" s="1002"/>
      <c r="G65" s="1002"/>
      <c r="H65" s="1002"/>
      <c r="I65" s="1002"/>
      <c r="J65" s="1002"/>
      <c r="K65" s="1002"/>
      <c r="L65" s="1002"/>
      <c r="M65" s="1002"/>
      <c r="N65" s="1002"/>
      <c r="O65" s="1002"/>
      <c r="P65" s="1002"/>
      <c r="Q65" s="1002"/>
      <c r="R65" s="1002"/>
      <c r="S65" s="1002"/>
      <c r="T65" s="1002"/>
      <c r="U65" s="1002"/>
      <c r="V65" s="1002"/>
      <c r="W65" s="1002"/>
      <c r="X65" s="1002"/>
      <c r="Y65" s="1002"/>
      <c r="Z65" s="1002"/>
      <c r="AA65" s="1002"/>
      <c r="AB65" s="1002"/>
      <c r="AC65" s="1002"/>
      <c r="AD65" s="1002"/>
      <c r="AE65" s="1002"/>
      <c r="AF65" s="1002"/>
      <c r="AG65" s="1002"/>
      <c r="AH65" s="1002"/>
      <c r="AI65" s="1002"/>
      <c r="AJ65" s="1002"/>
      <c r="AK65" s="1002"/>
      <c r="AL65" s="1002"/>
      <c r="AM65" s="1002"/>
      <c r="AN65" s="1002"/>
      <c r="AO65" s="1002"/>
      <c r="AP65" s="1002"/>
      <c r="AQ65" s="1002"/>
      <c r="AR65" s="1002"/>
      <c r="AS65" s="1002"/>
      <c r="AT65" s="1002"/>
      <c r="AU65" s="1002"/>
      <c r="AV65" s="1002"/>
      <c r="AW65" s="451"/>
      <c r="AX65" s="1002"/>
      <c r="AY65" s="1002"/>
      <c r="AZ65" s="1002"/>
      <c r="BA65" s="1002"/>
      <c r="BB65" s="1002"/>
      <c r="BC65" s="451"/>
      <c r="BD65" s="1002"/>
      <c r="BE65" s="1002"/>
      <c r="BF65" s="1002"/>
      <c r="BG65" s="1002"/>
      <c r="BH65" s="1002"/>
      <c r="BI65" s="451"/>
      <c r="BJ65" s="1002"/>
      <c r="BK65" s="451"/>
      <c r="BL65" s="451"/>
      <c r="BM65" s="451"/>
      <c r="BN65" s="451"/>
      <c r="BO65" s="451"/>
      <c r="BP65" s="1002"/>
      <c r="BQ65" s="451"/>
      <c r="BR65" s="451"/>
      <c r="BS65" s="451"/>
      <c r="BT65" s="451"/>
      <c r="BU65" s="451"/>
      <c r="BV65" s="1002"/>
      <c r="BW65" s="451"/>
      <c r="BX65" s="451"/>
      <c r="BY65" s="451"/>
      <c r="BZ65" s="451"/>
      <c r="CA65" s="451"/>
      <c r="CB65" s="1003"/>
      <c r="CC65" s="451"/>
      <c r="CD65" s="451"/>
      <c r="CE65" s="452"/>
      <c r="CF65" s="452"/>
      <c r="CG65" s="1004"/>
      <c r="CH65" s="1004"/>
      <c r="CI65" s="452"/>
      <c r="CJ65" s="452"/>
      <c r="CK65" s="452"/>
      <c r="CL65" s="452"/>
      <c r="CM65" s="1004"/>
      <c r="CN65" s="1004"/>
      <c r="CO65" s="452"/>
      <c r="CP65" s="452"/>
      <c r="CQ65" s="452"/>
      <c r="CR65" s="452"/>
      <c r="CS65" s="1004"/>
      <c r="CT65" s="1004"/>
      <c r="CU65" s="452"/>
      <c r="CV65" s="452"/>
      <c r="CW65" s="452"/>
      <c r="CX65" s="452"/>
      <c r="CY65" s="1002"/>
      <c r="CZ65" s="1003"/>
      <c r="DA65" s="452"/>
      <c r="DB65" s="452"/>
      <c r="DC65" s="452"/>
      <c r="DD65" s="452"/>
      <c r="DE65" s="1002"/>
      <c r="DF65" s="1003"/>
      <c r="DG65" s="452"/>
      <c r="DH65" s="452"/>
      <c r="DI65" s="452"/>
      <c r="DJ65" s="452"/>
      <c r="DK65" s="1002"/>
      <c r="DL65" s="1003"/>
      <c r="DM65" s="452"/>
      <c r="DN65" s="452"/>
      <c r="DO65" s="452"/>
      <c r="DP65" s="452"/>
      <c r="DQ65" s="1002"/>
      <c r="DR65" s="1003"/>
      <c r="DS65" s="452"/>
      <c r="DT65" s="452"/>
      <c r="DU65" s="452"/>
      <c r="DV65" s="452"/>
      <c r="DW65" s="1002"/>
      <c r="DX65" s="1003"/>
      <c r="DY65" s="452">
        <f>1250*1.3</f>
        <v>1625</v>
      </c>
      <c r="DZ65" s="452">
        <f t="shared" si="83"/>
        <v>1625</v>
      </c>
      <c r="EA65" s="452">
        <f t="shared" si="83"/>
        <v>1625</v>
      </c>
      <c r="EB65" s="452">
        <f t="shared" si="83"/>
        <v>1625</v>
      </c>
      <c r="EC65" s="1002"/>
      <c r="ED65" s="1003"/>
      <c r="EE65" s="452">
        <f>EB65</f>
        <v>1625</v>
      </c>
      <c r="EF65" s="452">
        <f t="shared" si="84"/>
        <v>1625</v>
      </c>
      <c r="EG65" s="452">
        <f t="shared" si="84"/>
        <v>1625</v>
      </c>
      <c r="EH65" s="452">
        <f t="shared" si="84"/>
        <v>1625</v>
      </c>
      <c r="EI65" s="1002"/>
      <c r="EJ65" s="1003"/>
      <c r="EK65" s="452">
        <v>1394</v>
      </c>
      <c r="EL65" s="452">
        <v>1394</v>
      </c>
      <c r="EM65" s="452">
        <v>1394</v>
      </c>
      <c r="EN65" s="452">
        <v>1394</v>
      </c>
      <c r="EO65" s="1002"/>
      <c r="EP65" s="1003"/>
      <c r="EQ65" s="452">
        <f t="shared" si="70"/>
        <v>1394</v>
      </c>
      <c r="ER65" s="452">
        <f t="shared" si="78"/>
        <v>1394</v>
      </c>
      <c r="ES65" s="452">
        <f t="shared" si="78"/>
        <v>1394</v>
      </c>
      <c r="ET65" s="452">
        <f t="shared" si="78"/>
        <v>1394</v>
      </c>
      <c r="EU65" s="1002"/>
      <c r="EV65" s="1003"/>
      <c r="EW65" s="452">
        <f t="shared" si="72"/>
        <v>1394</v>
      </c>
      <c r="EX65" s="452">
        <f t="shared" si="73"/>
        <v>1394</v>
      </c>
      <c r="EY65" s="452">
        <f t="shared" si="75"/>
        <v>1394</v>
      </c>
      <c r="EZ65" s="452">
        <f t="shared" si="75"/>
        <v>1394</v>
      </c>
      <c r="FA65" s="1002"/>
      <c r="FB65" s="1003"/>
      <c r="FC65" s="452">
        <f t="shared" si="79"/>
        <v>1394</v>
      </c>
      <c r="FD65" s="452">
        <f t="shared" si="80"/>
        <v>1394</v>
      </c>
      <c r="FE65" s="452">
        <f t="shared" si="80"/>
        <v>1394</v>
      </c>
      <c r="FF65" s="452">
        <f t="shared" si="81"/>
        <v>1394</v>
      </c>
      <c r="FG65" s="1002"/>
      <c r="FH65" s="1003"/>
      <c r="FI65" s="452">
        <f t="shared" si="82"/>
        <v>1394</v>
      </c>
      <c r="FJ65" s="452">
        <f t="shared" si="85"/>
        <v>1394</v>
      </c>
      <c r="FK65" s="452">
        <f t="shared" si="86"/>
        <v>1394</v>
      </c>
      <c r="FL65" s="452">
        <f t="shared" si="87"/>
        <v>1394</v>
      </c>
      <c r="FM65" s="1002"/>
      <c r="FN65" s="853"/>
      <c r="FO65" s="853"/>
      <c r="FP65" s="853"/>
      <c r="FQ65" s="853"/>
      <c r="FR65"/>
      <c r="FS65"/>
      <c r="FT65"/>
      <c r="FU65"/>
      <c r="FV65"/>
      <c r="FW65"/>
      <c r="FX65" s="942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</row>
    <row r="66" spans="1:274" s="856" customFormat="1" ht="12" hidden="1" customHeight="1" outlineLevel="1" x14ac:dyDescent="0.2">
      <c r="A66" s="44" t="s">
        <v>1210</v>
      </c>
      <c r="B66" s="1001"/>
      <c r="C66" s="1002"/>
      <c r="D66" s="1002"/>
      <c r="E66" s="1002"/>
      <c r="F66" s="1002"/>
      <c r="G66" s="1002"/>
      <c r="H66" s="1002"/>
      <c r="I66" s="1002"/>
      <c r="J66" s="1002"/>
      <c r="K66" s="1002"/>
      <c r="L66" s="1002"/>
      <c r="M66" s="1002"/>
      <c r="N66" s="1002"/>
      <c r="O66" s="1002"/>
      <c r="P66" s="1002"/>
      <c r="Q66" s="1002"/>
      <c r="R66" s="1002"/>
      <c r="S66" s="1002"/>
      <c r="T66" s="1002"/>
      <c r="U66" s="1002"/>
      <c r="V66" s="1002"/>
      <c r="W66" s="1002"/>
      <c r="X66" s="1002"/>
      <c r="Y66" s="1002"/>
      <c r="Z66" s="1002"/>
      <c r="AA66" s="1002"/>
      <c r="AB66" s="1002"/>
      <c r="AC66" s="1002"/>
      <c r="AD66" s="1002"/>
      <c r="AE66" s="1002"/>
      <c r="AF66" s="1002"/>
      <c r="AG66" s="1002"/>
      <c r="AH66" s="1002"/>
      <c r="AI66" s="1002"/>
      <c r="AJ66" s="1002"/>
      <c r="AK66" s="1002"/>
      <c r="AL66" s="1002"/>
      <c r="AM66" s="1002"/>
      <c r="AN66" s="1002"/>
      <c r="AO66" s="1002"/>
      <c r="AP66" s="1002"/>
      <c r="AQ66" s="1002"/>
      <c r="AR66" s="1002"/>
      <c r="AS66" s="1002"/>
      <c r="AT66" s="1002"/>
      <c r="AU66" s="1002"/>
      <c r="AV66" s="1002"/>
      <c r="AW66" s="451"/>
      <c r="AX66" s="1002"/>
      <c r="AY66" s="1002"/>
      <c r="AZ66" s="1002"/>
      <c r="BA66" s="1002"/>
      <c r="BB66" s="1002"/>
      <c r="BC66" s="451"/>
      <c r="BD66" s="1002"/>
      <c r="BE66" s="1002"/>
      <c r="BF66" s="1002"/>
      <c r="BG66" s="1002"/>
      <c r="BH66" s="1002"/>
      <c r="BI66" s="451"/>
      <c r="BJ66" s="1002"/>
      <c r="BK66" s="451"/>
      <c r="BL66" s="451"/>
      <c r="BM66" s="451"/>
      <c r="BN66" s="451"/>
      <c r="BO66" s="451"/>
      <c r="BP66" s="1002"/>
      <c r="BQ66" s="451"/>
      <c r="BR66" s="451"/>
      <c r="BS66" s="451"/>
      <c r="BT66" s="451"/>
      <c r="BU66" s="451"/>
      <c r="BV66" s="1002"/>
      <c r="BW66" s="451"/>
      <c r="BX66" s="451"/>
      <c r="BY66" s="451"/>
      <c r="BZ66" s="451"/>
      <c r="CA66" s="451"/>
      <c r="CB66" s="1003"/>
      <c r="CC66" s="451"/>
      <c r="CD66" s="451"/>
      <c r="CE66" s="452"/>
      <c r="CF66" s="452"/>
      <c r="CG66" s="1004"/>
      <c r="CH66" s="1004"/>
      <c r="CI66" s="452"/>
      <c r="CJ66" s="452"/>
      <c r="CK66" s="452"/>
      <c r="CL66" s="452"/>
      <c r="CM66" s="1004"/>
      <c r="CN66" s="1004"/>
      <c r="CO66" s="452"/>
      <c r="CP66" s="452"/>
      <c r="CQ66" s="452"/>
      <c r="CR66" s="452"/>
      <c r="CS66" s="1004"/>
      <c r="CT66" s="1004"/>
      <c r="CU66" s="452"/>
      <c r="CV66" s="452"/>
      <c r="CW66" s="452"/>
      <c r="CX66" s="452"/>
      <c r="CY66" s="1002"/>
      <c r="CZ66" s="1003"/>
      <c r="DA66" s="452"/>
      <c r="DB66" s="452"/>
      <c r="DC66" s="452"/>
      <c r="DD66" s="452"/>
      <c r="DE66" s="1002"/>
      <c r="DF66" s="1003"/>
      <c r="DG66" s="452"/>
      <c r="DH66" s="452"/>
      <c r="DI66" s="452"/>
      <c r="DJ66" s="452"/>
      <c r="DK66" s="1002"/>
      <c r="DL66" s="1003"/>
      <c r="DM66" s="452"/>
      <c r="DN66" s="452"/>
      <c r="DO66" s="452"/>
      <c r="DP66" s="452"/>
      <c r="DQ66" s="1002"/>
      <c r="DR66" s="1003"/>
      <c r="DS66" s="452"/>
      <c r="DT66" s="452"/>
      <c r="DU66" s="452"/>
      <c r="DV66" s="452"/>
      <c r="DW66" s="1002"/>
      <c r="DX66" s="1003"/>
      <c r="DY66" s="452"/>
      <c r="DZ66" s="452"/>
      <c r="EA66" s="452"/>
      <c r="EB66" s="452"/>
      <c r="EC66" s="1002"/>
      <c r="ED66" s="1003"/>
      <c r="EE66" s="452">
        <v>1500</v>
      </c>
      <c r="EF66" s="452">
        <v>1500</v>
      </c>
      <c r="EG66" s="452">
        <v>1500</v>
      </c>
      <c r="EH66" s="452">
        <v>1500</v>
      </c>
      <c r="EI66" s="1002"/>
      <c r="EJ66" s="1003"/>
      <c r="EK66" s="452">
        <v>1500</v>
      </c>
      <c r="EL66" s="452">
        <v>1500</v>
      </c>
      <c r="EM66" s="452">
        <v>1500</v>
      </c>
      <c r="EN66" s="452">
        <v>1500</v>
      </c>
      <c r="EO66" s="1002"/>
      <c r="EP66" s="1003"/>
      <c r="EQ66" s="452">
        <f t="shared" si="70"/>
        <v>1500</v>
      </c>
      <c r="ER66" s="452">
        <f t="shared" si="78"/>
        <v>1500</v>
      </c>
      <c r="ES66" s="452">
        <f t="shared" si="78"/>
        <v>1500</v>
      </c>
      <c r="ET66" s="452">
        <f t="shared" si="78"/>
        <v>1500</v>
      </c>
      <c r="EU66" s="1002"/>
      <c r="EV66" s="1003"/>
      <c r="EW66" s="452">
        <f t="shared" si="72"/>
        <v>1500</v>
      </c>
      <c r="EX66" s="452">
        <f t="shared" si="73"/>
        <v>1500</v>
      </c>
      <c r="EY66" s="452">
        <f t="shared" si="75"/>
        <v>1500</v>
      </c>
      <c r="EZ66" s="452">
        <f t="shared" si="75"/>
        <v>1500</v>
      </c>
      <c r="FA66" s="1002"/>
      <c r="FB66" s="1003"/>
      <c r="FC66" s="452">
        <f t="shared" si="79"/>
        <v>1500</v>
      </c>
      <c r="FD66" s="452">
        <f t="shared" si="80"/>
        <v>1500</v>
      </c>
      <c r="FE66" s="452">
        <f t="shared" si="80"/>
        <v>1500</v>
      </c>
      <c r="FF66" s="452">
        <f t="shared" si="81"/>
        <v>1500</v>
      </c>
      <c r="FG66" s="1002"/>
      <c r="FH66" s="1003"/>
      <c r="FI66" s="452">
        <f t="shared" si="82"/>
        <v>1500</v>
      </c>
      <c r="FJ66" s="452">
        <f t="shared" si="85"/>
        <v>1500</v>
      </c>
      <c r="FK66" s="452">
        <f t="shared" si="86"/>
        <v>1500</v>
      </c>
      <c r="FL66" s="452">
        <f t="shared" si="87"/>
        <v>1500</v>
      </c>
      <c r="FM66" s="1002"/>
      <c r="FN66" s="853"/>
      <c r="FO66" s="853"/>
      <c r="FP66" s="853"/>
      <c r="FQ66" s="853"/>
      <c r="FR66"/>
      <c r="FS66"/>
      <c r="FT66"/>
      <c r="FU66"/>
      <c r="FV66"/>
      <c r="FW66"/>
      <c r="FX66" s="942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</row>
    <row r="67" spans="1:274" s="856" customFormat="1" ht="12" hidden="1" customHeight="1" outlineLevel="1" x14ac:dyDescent="0.2">
      <c r="A67" s="44" t="s">
        <v>1215</v>
      </c>
      <c r="B67" s="1001"/>
      <c r="C67" s="1002"/>
      <c r="D67" s="1002"/>
      <c r="E67" s="1002"/>
      <c r="F67" s="1002"/>
      <c r="G67" s="1002"/>
      <c r="H67" s="1002"/>
      <c r="I67" s="1002"/>
      <c r="J67" s="1002"/>
      <c r="K67" s="1002"/>
      <c r="L67" s="1002"/>
      <c r="M67" s="1002"/>
      <c r="N67" s="1002"/>
      <c r="O67" s="1002"/>
      <c r="P67" s="1002"/>
      <c r="Q67" s="1002"/>
      <c r="R67" s="1002"/>
      <c r="S67" s="1002"/>
      <c r="T67" s="1002"/>
      <c r="U67" s="1002"/>
      <c r="V67" s="1002"/>
      <c r="W67" s="1002"/>
      <c r="X67" s="1002"/>
      <c r="Y67" s="1002"/>
      <c r="Z67" s="1002"/>
      <c r="AA67" s="1002"/>
      <c r="AB67" s="1002"/>
      <c r="AC67" s="1002"/>
      <c r="AD67" s="1002"/>
      <c r="AE67" s="1002"/>
      <c r="AF67" s="1002"/>
      <c r="AG67" s="1002"/>
      <c r="AH67" s="1002"/>
      <c r="AI67" s="1002"/>
      <c r="AJ67" s="1002"/>
      <c r="AK67" s="1002"/>
      <c r="AL67" s="1002"/>
      <c r="AM67" s="1002"/>
      <c r="AN67" s="1002"/>
      <c r="AO67" s="1002"/>
      <c r="AP67" s="1002"/>
      <c r="AQ67" s="1002"/>
      <c r="AR67" s="1002"/>
      <c r="AS67" s="1002"/>
      <c r="AT67" s="1002"/>
      <c r="AU67" s="1002"/>
      <c r="AV67" s="1002"/>
      <c r="AW67" s="451"/>
      <c r="AX67" s="1002"/>
      <c r="AY67" s="1002"/>
      <c r="AZ67" s="1002"/>
      <c r="BA67" s="1002"/>
      <c r="BB67" s="1002"/>
      <c r="BC67" s="451"/>
      <c r="BD67" s="1002"/>
      <c r="BE67" s="1002"/>
      <c r="BF67" s="1002"/>
      <c r="BG67" s="1002"/>
      <c r="BH67" s="1002"/>
      <c r="BI67" s="451"/>
      <c r="BJ67" s="1002"/>
      <c r="BK67" s="451"/>
      <c r="BL67" s="451"/>
      <c r="BM67" s="451"/>
      <c r="BN67" s="451"/>
      <c r="BO67" s="451"/>
      <c r="BP67" s="1002"/>
      <c r="BQ67" s="451"/>
      <c r="BR67" s="451"/>
      <c r="BS67" s="451"/>
      <c r="BT67" s="451"/>
      <c r="BU67" s="451"/>
      <c r="BV67" s="1002"/>
      <c r="BW67" s="451"/>
      <c r="BX67" s="451"/>
      <c r="BY67" s="451"/>
      <c r="BZ67" s="451"/>
      <c r="CA67" s="451"/>
      <c r="CB67" s="1003"/>
      <c r="CC67" s="451"/>
      <c r="CD67" s="451"/>
      <c r="CE67" s="452"/>
      <c r="CF67" s="452"/>
      <c r="CG67" s="1004"/>
      <c r="CH67" s="1004"/>
      <c r="CI67" s="452"/>
      <c r="CJ67" s="452"/>
      <c r="CK67" s="452"/>
      <c r="CL67" s="452"/>
      <c r="CM67" s="1004"/>
      <c r="CN67" s="1004"/>
      <c r="CO67" s="452"/>
      <c r="CP67" s="452"/>
      <c r="CQ67" s="452"/>
      <c r="CR67" s="452"/>
      <c r="CS67" s="1004"/>
      <c r="CT67" s="1004"/>
      <c r="CU67" s="452"/>
      <c r="CV67" s="452"/>
      <c r="CW67" s="452"/>
      <c r="CX67" s="452"/>
      <c r="CY67" s="1002"/>
      <c r="CZ67" s="1003"/>
      <c r="DA67" s="452"/>
      <c r="DB67" s="452"/>
      <c r="DC67" s="452"/>
      <c r="DD67" s="452"/>
      <c r="DE67" s="1002"/>
      <c r="DF67" s="1003"/>
      <c r="DG67" s="452"/>
      <c r="DH67" s="452"/>
      <c r="DI67" s="452"/>
      <c r="DJ67" s="452"/>
      <c r="DK67" s="1002"/>
      <c r="DL67" s="1003"/>
      <c r="DM67" s="452"/>
      <c r="DN67" s="452"/>
      <c r="DO67" s="452"/>
      <c r="DP67" s="452"/>
      <c r="DQ67" s="1002"/>
      <c r="DR67" s="1003"/>
      <c r="DS67" s="452"/>
      <c r="DT67" s="452"/>
      <c r="DU67" s="452"/>
      <c r="DV67" s="452"/>
      <c r="DW67" s="1002"/>
      <c r="DX67" s="1003"/>
      <c r="DY67" s="452"/>
      <c r="DZ67" s="452"/>
      <c r="EA67" s="452"/>
      <c r="EB67" s="452"/>
      <c r="EC67" s="1002"/>
      <c r="ED67" s="1003"/>
      <c r="EE67" s="452"/>
      <c r="EF67" s="452"/>
      <c r="EG67" s="452"/>
      <c r="EH67" s="452"/>
      <c r="EI67" s="1002"/>
      <c r="EJ67" s="1003"/>
      <c r="EK67" s="452"/>
      <c r="EL67" s="452"/>
      <c r="EM67" s="452"/>
      <c r="EN67" s="452"/>
      <c r="EO67" s="1002"/>
      <c r="EP67" s="1003"/>
      <c r="EQ67" s="452">
        <v>4250</v>
      </c>
      <c r="ER67" s="452">
        <f t="shared" ref="ER67:ET69" si="88">EQ67</f>
        <v>4250</v>
      </c>
      <c r="ES67" s="452">
        <f t="shared" si="88"/>
        <v>4250</v>
      </c>
      <c r="ET67" s="452">
        <f t="shared" si="88"/>
        <v>4250</v>
      </c>
      <c r="EU67" s="1002"/>
      <c r="EV67" s="1003"/>
      <c r="EW67" s="452">
        <f t="shared" si="72"/>
        <v>4250</v>
      </c>
      <c r="EX67" s="452">
        <f t="shared" si="73"/>
        <v>4250</v>
      </c>
      <c r="EY67" s="452">
        <f t="shared" si="75"/>
        <v>4250</v>
      </c>
      <c r="EZ67" s="452">
        <f t="shared" si="75"/>
        <v>4250</v>
      </c>
      <c r="FA67" s="1002"/>
      <c r="FB67" s="1003"/>
      <c r="FC67" s="452">
        <f t="shared" si="79"/>
        <v>4250</v>
      </c>
      <c r="FD67" s="452">
        <f t="shared" si="80"/>
        <v>4250</v>
      </c>
      <c r="FE67" s="452">
        <f t="shared" si="80"/>
        <v>4250</v>
      </c>
      <c r="FF67" s="452">
        <f t="shared" si="81"/>
        <v>4250</v>
      </c>
      <c r="FG67" s="1002"/>
      <c r="FH67" s="1003"/>
      <c r="FI67" s="452">
        <f t="shared" si="82"/>
        <v>4250</v>
      </c>
      <c r="FJ67" s="452">
        <f t="shared" si="85"/>
        <v>4250</v>
      </c>
      <c r="FK67" s="452">
        <f t="shared" si="86"/>
        <v>4250</v>
      </c>
      <c r="FL67" s="452">
        <f t="shared" si="87"/>
        <v>4250</v>
      </c>
      <c r="FM67" s="1002"/>
      <c r="FN67" s="853"/>
      <c r="FO67" s="853"/>
      <c r="FP67" s="853"/>
      <c r="FQ67" s="853"/>
      <c r="FR67"/>
      <c r="FS67"/>
      <c r="FT67"/>
      <c r="FU67"/>
      <c r="FV67"/>
      <c r="FW67"/>
      <c r="FX67" s="942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</row>
    <row r="68" spans="1:274" s="856" customFormat="1" ht="12" hidden="1" customHeight="1" outlineLevel="1" x14ac:dyDescent="0.2">
      <c r="A68" s="44" t="s">
        <v>1149</v>
      </c>
      <c r="B68" s="1001"/>
      <c r="C68" s="1002"/>
      <c r="D68" s="1002"/>
      <c r="E68" s="1002"/>
      <c r="F68" s="1002"/>
      <c r="G68" s="1002"/>
      <c r="H68" s="1002"/>
      <c r="I68" s="1002"/>
      <c r="J68" s="1002"/>
      <c r="K68" s="1002"/>
      <c r="L68" s="1002"/>
      <c r="M68" s="1002"/>
      <c r="N68" s="1002"/>
      <c r="O68" s="1002"/>
      <c r="P68" s="1002"/>
      <c r="Q68" s="1002"/>
      <c r="R68" s="1002"/>
      <c r="S68" s="1002"/>
      <c r="T68" s="1002"/>
      <c r="U68" s="1002"/>
      <c r="V68" s="1002"/>
      <c r="W68" s="1002"/>
      <c r="X68" s="1002"/>
      <c r="Y68" s="1002"/>
      <c r="Z68" s="1002"/>
      <c r="AA68" s="1002"/>
      <c r="AB68" s="1002"/>
      <c r="AC68" s="1002"/>
      <c r="AD68" s="1002"/>
      <c r="AE68" s="1002"/>
      <c r="AF68" s="1002"/>
      <c r="AG68" s="1002"/>
      <c r="AH68" s="1002"/>
      <c r="AI68" s="1002"/>
      <c r="AJ68" s="1002"/>
      <c r="AK68" s="1002"/>
      <c r="AL68" s="1002"/>
      <c r="AM68" s="1002"/>
      <c r="AN68" s="1002"/>
      <c r="AO68" s="1002"/>
      <c r="AP68" s="1002"/>
      <c r="AQ68" s="1002"/>
      <c r="AR68" s="1002"/>
      <c r="AS68" s="1002"/>
      <c r="AT68" s="1002"/>
      <c r="AU68" s="1002"/>
      <c r="AV68" s="1002"/>
      <c r="AW68" s="451"/>
      <c r="AX68" s="1002"/>
      <c r="AY68" s="1002"/>
      <c r="AZ68" s="1002"/>
      <c r="BA68" s="1002"/>
      <c r="BB68" s="1002"/>
      <c r="BC68" s="451"/>
      <c r="BD68" s="1002"/>
      <c r="BE68" s="1002"/>
      <c r="BF68" s="1002"/>
      <c r="BG68" s="1002"/>
      <c r="BH68" s="1002"/>
      <c r="BI68" s="451"/>
      <c r="BJ68" s="1002"/>
      <c r="BK68" s="451"/>
      <c r="BL68" s="451"/>
      <c r="BM68" s="451"/>
      <c r="BN68" s="451"/>
      <c r="BO68" s="451"/>
      <c r="BP68" s="1002"/>
      <c r="BQ68" s="451"/>
      <c r="BR68" s="451"/>
      <c r="BS68" s="451"/>
      <c r="BT68" s="451"/>
      <c r="BU68" s="451"/>
      <c r="BV68" s="1002"/>
      <c r="BW68" s="451"/>
      <c r="BX68" s="451"/>
      <c r="BY68" s="451"/>
      <c r="BZ68" s="451"/>
      <c r="CA68" s="451"/>
      <c r="CB68" s="1003"/>
      <c r="CC68" s="451"/>
      <c r="CD68" s="451"/>
      <c r="CE68" s="452"/>
      <c r="CF68" s="452"/>
      <c r="CG68" s="1004"/>
      <c r="CH68" s="1004"/>
      <c r="CI68" s="452"/>
      <c r="CJ68" s="452"/>
      <c r="CK68" s="452"/>
      <c r="CL68" s="452"/>
      <c r="CM68" s="1004"/>
      <c r="CN68" s="1004"/>
      <c r="CO68" s="452"/>
      <c r="CP68" s="452"/>
      <c r="CQ68" s="452"/>
      <c r="CR68" s="452"/>
      <c r="CS68" s="1004"/>
      <c r="CT68" s="1004"/>
      <c r="CU68" s="452"/>
      <c r="CV68" s="452"/>
      <c r="CW68" s="452"/>
      <c r="CX68" s="452"/>
      <c r="CY68" s="1002"/>
      <c r="CZ68" s="1003"/>
      <c r="DA68" s="452"/>
      <c r="DB68" s="452"/>
      <c r="DC68" s="452"/>
      <c r="DD68" s="452"/>
      <c r="DE68" s="1002"/>
      <c r="DF68" s="1003"/>
      <c r="DG68" s="452"/>
      <c r="DH68" s="452"/>
      <c r="DI68" s="452"/>
      <c r="DJ68" s="452"/>
      <c r="DK68" s="1002"/>
      <c r="DL68" s="1003"/>
      <c r="DM68" s="452"/>
      <c r="DN68" s="452"/>
      <c r="DO68" s="452"/>
      <c r="DP68" s="452"/>
      <c r="DQ68" s="1002"/>
      <c r="DR68" s="1003"/>
      <c r="DS68" s="452"/>
      <c r="DT68" s="452"/>
      <c r="DU68" s="452"/>
      <c r="DV68" s="452"/>
      <c r="DW68" s="1002"/>
      <c r="DX68" s="1003"/>
      <c r="DY68" s="452"/>
      <c r="DZ68" s="452"/>
      <c r="EA68" s="452"/>
      <c r="EB68" s="452"/>
      <c r="EC68" s="1002"/>
      <c r="ED68" s="1003"/>
      <c r="EE68" s="452"/>
      <c r="EF68" s="452"/>
      <c r="EG68" s="452"/>
      <c r="EH68" s="452">
        <v>2500</v>
      </c>
      <c r="EI68" s="1002"/>
      <c r="EJ68" s="1003"/>
      <c r="EK68" s="452">
        <v>2500</v>
      </c>
      <c r="EL68" s="452">
        <f t="shared" ref="EL68:EN69" si="89">EK68</f>
        <v>2500</v>
      </c>
      <c r="EM68" s="452">
        <f t="shared" si="89"/>
        <v>2500</v>
      </c>
      <c r="EN68" s="452">
        <f t="shared" si="89"/>
        <v>2500</v>
      </c>
      <c r="EO68" s="1002"/>
      <c r="EP68" s="1003"/>
      <c r="EQ68" s="452">
        <f>EN68</f>
        <v>2500</v>
      </c>
      <c r="ER68" s="452">
        <f t="shared" si="88"/>
        <v>2500</v>
      </c>
      <c r="ES68" s="452">
        <f t="shared" si="88"/>
        <v>2500</v>
      </c>
      <c r="ET68" s="452">
        <f t="shared" si="88"/>
        <v>2500</v>
      </c>
      <c r="EU68" s="1002"/>
      <c r="EV68" s="1003"/>
      <c r="EW68" s="452">
        <f t="shared" si="72"/>
        <v>2500</v>
      </c>
      <c r="EX68" s="452">
        <f t="shared" si="73"/>
        <v>2500</v>
      </c>
      <c r="EY68" s="452">
        <f t="shared" si="75"/>
        <v>2500</v>
      </c>
      <c r="EZ68" s="452">
        <f t="shared" si="75"/>
        <v>2500</v>
      </c>
      <c r="FA68" s="1002"/>
      <c r="FB68" s="1003"/>
      <c r="FC68" s="452">
        <f t="shared" si="79"/>
        <v>2500</v>
      </c>
      <c r="FD68" s="452">
        <f t="shared" si="80"/>
        <v>2500</v>
      </c>
      <c r="FE68" s="452">
        <f t="shared" si="80"/>
        <v>2500</v>
      </c>
      <c r="FF68" s="452">
        <f t="shared" si="81"/>
        <v>2500</v>
      </c>
      <c r="FG68" s="1002"/>
      <c r="FH68" s="1003"/>
      <c r="FI68" s="452">
        <f t="shared" si="82"/>
        <v>2500</v>
      </c>
      <c r="FJ68" s="452">
        <f t="shared" si="85"/>
        <v>2500</v>
      </c>
      <c r="FK68" s="452">
        <f t="shared" si="86"/>
        <v>2500</v>
      </c>
      <c r="FL68" s="452">
        <f t="shared" si="87"/>
        <v>2500</v>
      </c>
      <c r="FM68" s="1002"/>
      <c r="FN68" s="853"/>
      <c r="FO68" s="853"/>
      <c r="FP68" s="853"/>
      <c r="FQ68" s="853"/>
      <c r="FR68"/>
      <c r="FS68"/>
      <c r="FT68"/>
      <c r="FU68"/>
      <c r="FV68"/>
      <c r="FW68"/>
      <c r="FX68" s="942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</row>
    <row r="69" spans="1:274" s="856" customFormat="1" ht="12" hidden="1" customHeight="1" outlineLevel="1" x14ac:dyDescent="0.2">
      <c r="A69" s="44" t="s">
        <v>1015</v>
      </c>
      <c r="B69" s="1001"/>
      <c r="C69" s="1002"/>
      <c r="D69" s="1002"/>
      <c r="E69" s="1002"/>
      <c r="F69" s="1002"/>
      <c r="G69" s="1002"/>
      <c r="H69" s="1002"/>
      <c r="I69" s="1002"/>
      <c r="J69" s="1002"/>
      <c r="K69" s="1002"/>
      <c r="L69" s="1002"/>
      <c r="M69" s="1002"/>
      <c r="N69" s="1002"/>
      <c r="O69" s="1002"/>
      <c r="P69" s="1002"/>
      <c r="Q69" s="1002"/>
      <c r="R69" s="1002"/>
      <c r="S69" s="1002"/>
      <c r="T69" s="1002"/>
      <c r="U69" s="1002"/>
      <c r="V69" s="1002"/>
      <c r="W69" s="1002"/>
      <c r="X69" s="1002"/>
      <c r="Y69" s="1002"/>
      <c r="Z69" s="1002"/>
      <c r="AA69" s="1002"/>
      <c r="AB69" s="1002"/>
      <c r="AC69" s="1002"/>
      <c r="AD69" s="1002"/>
      <c r="AE69" s="1002"/>
      <c r="AF69" s="1002"/>
      <c r="AG69" s="1002"/>
      <c r="AH69" s="1002"/>
      <c r="AI69" s="1002"/>
      <c r="AJ69" s="1002"/>
      <c r="AK69" s="1002"/>
      <c r="AL69" s="1002"/>
      <c r="AM69" s="1002"/>
      <c r="AN69" s="1002"/>
      <c r="AO69" s="1002"/>
      <c r="AP69" s="1002"/>
      <c r="AQ69" s="1002"/>
      <c r="AR69" s="1002"/>
      <c r="AS69" s="1002"/>
      <c r="AT69" s="1002"/>
      <c r="AU69" s="1002"/>
      <c r="AV69" s="1002"/>
      <c r="AW69" s="451"/>
      <c r="AX69" s="1002"/>
      <c r="AY69" s="1002"/>
      <c r="AZ69" s="1002"/>
      <c r="BA69" s="1002"/>
      <c r="BB69" s="1002"/>
      <c r="BC69" s="451"/>
      <c r="BD69" s="1002"/>
      <c r="BE69" s="1002"/>
      <c r="BF69" s="1002"/>
      <c r="BG69" s="1002"/>
      <c r="BH69" s="1002"/>
      <c r="BI69" s="451"/>
      <c r="BJ69" s="1002"/>
      <c r="BK69" s="451"/>
      <c r="BL69" s="451"/>
      <c r="BM69" s="451"/>
      <c r="BN69" s="451"/>
      <c r="BO69" s="451"/>
      <c r="BP69" s="1002"/>
      <c r="BQ69" s="451"/>
      <c r="BR69" s="451"/>
      <c r="BS69" s="451"/>
      <c r="BT69" s="451"/>
      <c r="BU69" s="451"/>
      <c r="BV69" s="1002"/>
      <c r="BW69" s="451"/>
      <c r="BX69" s="451"/>
      <c r="BY69" s="451"/>
      <c r="BZ69" s="451"/>
      <c r="CA69" s="451"/>
      <c r="CB69" s="1003"/>
      <c r="CC69" s="451"/>
      <c r="CD69" s="451"/>
      <c r="CE69" s="452"/>
      <c r="CF69" s="452"/>
      <c r="CG69" s="1004"/>
      <c r="CH69" s="1004"/>
      <c r="CI69" s="452"/>
      <c r="CJ69" s="452"/>
      <c r="CK69" s="452"/>
      <c r="CL69" s="452"/>
      <c r="CM69" s="1004"/>
      <c r="CN69" s="1004"/>
      <c r="CO69" s="452"/>
      <c r="CP69" s="452"/>
      <c r="CQ69" s="452"/>
      <c r="CR69" s="452"/>
      <c r="CS69" s="1004"/>
      <c r="CT69" s="1004"/>
      <c r="CU69" s="452"/>
      <c r="CV69" s="452"/>
      <c r="CW69" s="452"/>
      <c r="CX69" s="452"/>
      <c r="CY69" s="1002"/>
      <c r="CZ69" s="1003"/>
      <c r="DA69" s="452"/>
      <c r="DB69" s="452"/>
      <c r="DC69" s="452"/>
      <c r="DD69" s="452"/>
      <c r="DE69" s="1002"/>
      <c r="DF69" s="1003"/>
      <c r="DG69" s="452"/>
      <c r="DH69" s="452"/>
      <c r="DI69" s="452"/>
      <c r="DJ69" s="452"/>
      <c r="DK69" s="1002"/>
      <c r="DL69" s="1003"/>
      <c r="DM69" s="452"/>
      <c r="DN69" s="452"/>
      <c r="DO69" s="452"/>
      <c r="DP69" s="452"/>
      <c r="DQ69" s="1002"/>
      <c r="DR69" s="1003"/>
      <c r="DS69" s="452"/>
      <c r="DT69" s="452">
        <v>2500</v>
      </c>
      <c r="DU69" s="452">
        <f>DT69</f>
        <v>2500</v>
      </c>
      <c r="DV69" s="452">
        <v>2500</v>
      </c>
      <c r="DW69" s="1002"/>
      <c r="DX69" s="1003"/>
      <c r="DY69" s="452">
        <f>DV69</f>
        <v>2500</v>
      </c>
      <c r="DZ69" s="452">
        <f t="shared" ref="DZ69:EB71" si="90">DY69</f>
        <v>2500</v>
      </c>
      <c r="EA69" s="452">
        <f t="shared" si="90"/>
        <v>2500</v>
      </c>
      <c r="EB69" s="452">
        <f t="shared" si="90"/>
        <v>2500</v>
      </c>
      <c r="EC69" s="1002"/>
      <c r="ED69" s="1003"/>
      <c r="EE69" s="452">
        <f>EB69</f>
        <v>2500</v>
      </c>
      <c r="EF69" s="452">
        <f>EE69</f>
        <v>2500</v>
      </c>
      <c r="EG69" s="452">
        <f>EF69</f>
        <v>2500</v>
      </c>
      <c r="EH69" s="452">
        <f>EG69</f>
        <v>2500</v>
      </c>
      <c r="EI69" s="1002"/>
      <c r="EJ69" s="1003"/>
      <c r="EK69" s="452">
        <f>EH69</f>
        <v>2500</v>
      </c>
      <c r="EL69" s="452">
        <f t="shared" si="89"/>
        <v>2500</v>
      </c>
      <c r="EM69" s="452">
        <f t="shared" si="89"/>
        <v>2500</v>
      </c>
      <c r="EN69" s="452">
        <f t="shared" si="89"/>
        <v>2500</v>
      </c>
      <c r="EO69" s="1002"/>
      <c r="EP69" s="1003"/>
      <c r="EQ69" s="452">
        <f>EN69</f>
        <v>2500</v>
      </c>
      <c r="ER69" s="452">
        <f t="shared" si="88"/>
        <v>2500</v>
      </c>
      <c r="ES69" s="452">
        <f t="shared" si="88"/>
        <v>2500</v>
      </c>
      <c r="ET69" s="452">
        <f t="shared" si="88"/>
        <v>2500</v>
      </c>
      <c r="EU69" s="1002"/>
      <c r="EV69" s="1003"/>
      <c r="EW69" s="452">
        <f t="shared" ref="EW69:EW86" si="91">ET69</f>
        <v>2500</v>
      </c>
      <c r="EX69" s="452">
        <f t="shared" si="73"/>
        <v>2500</v>
      </c>
      <c r="EY69" s="452">
        <f t="shared" si="75"/>
        <v>2500</v>
      </c>
      <c r="EZ69" s="452">
        <f t="shared" si="75"/>
        <v>2500</v>
      </c>
      <c r="FA69" s="1002"/>
      <c r="FB69" s="1003"/>
      <c r="FC69" s="452">
        <f t="shared" si="79"/>
        <v>2500</v>
      </c>
      <c r="FD69" s="452">
        <f t="shared" si="80"/>
        <v>2500</v>
      </c>
      <c r="FE69" s="452">
        <f t="shared" si="80"/>
        <v>2500</v>
      </c>
      <c r="FF69" s="452">
        <f t="shared" si="81"/>
        <v>2500</v>
      </c>
      <c r="FG69" s="1002"/>
      <c r="FH69" s="1003"/>
      <c r="FI69" s="452">
        <f t="shared" si="82"/>
        <v>2500</v>
      </c>
      <c r="FJ69" s="452">
        <f t="shared" si="85"/>
        <v>2500</v>
      </c>
      <c r="FK69" s="452">
        <f t="shared" si="86"/>
        <v>2500</v>
      </c>
      <c r="FL69" s="452">
        <f t="shared" si="87"/>
        <v>2500</v>
      </c>
      <c r="FM69" s="1002"/>
      <c r="FN69" s="853"/>
      <c r="FO69" s="853"/>
      <c r="FP69" s="853"/>
      <c r="FQ69" s="853"/>
      <c r="FR69"/>
      <c r="FS69"/>
      <c r="FT69"/>
      <c r="FU69"/>
      <c r="FV69"/>
      <c r="FW69"/>
      <c r="FX69" s="942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</row>
    <row r="70" spans="1:274" s="856" customFormat="1" ht="12" hidden="1" customHeight="1" outlineLevel="1" x14ac:dyDescent="0.2">
      <c r="A70" s="44" t="s">
        <v>1296</v>
      </c>
      <c r="B70" s="1001"/>
      <c r="C70" s="1002"/>
      <c r="D70" s="1002"/>
      <c r="E70" s="1002"/>
      <c r="F70" s="1002"/>
      <c r="G70" s="1002"/>
      <c r="H70" s="1002"/>
      <c r="I70" s="1002"/>
      <c r="J70" s="1002"/>
      <c r="K70" s="1002"/>
      <c r="L70" s="1002"/>
      <c r="M70" s="1002"/>
      <c r="N70" s="1002"/>
      <c r="O70" s="1002"/>
      <c r="P70" s="1002"/>
      <c r="Q70" s="1002"/>
      <c r="R70" s="1002"/>
      <c r="S70" s="1002"/>
      <c r="T70" s="1002"/>
      <c r="U70" s="1002"/>
      <c r="V70" s="1002"/>
      <c r="W70" s="1002"/>
      <c r="X70" s="1002"/>
      <c r="Y70" s="1002"/>
      <c r="Z70" s="1002"/>
      <c r="AA70" s="1002"/>
      <c r="AB70" s="1002"/>
      <c r="AC70" s="1002"/>
      <c r="AD70" s="1002"/>
      <c r="AE70" s="1002"/>
      <c r="AF70" s="1002"/>
      <c r="AG70" s="1002"/>
      <c r="AH70" s="1002"/>
      <c r="AI70" s="1002"/>
      <c r="AJ70" s="1002"/>
      <c r="AK70" s="1002"/>
      <c r="AL70" s="1002"/>
      <c r="AM70" s="1002"/>
      <c r="AN70" s="1002"/>
      <c r="AO70" s="1002"/>
      <c r="AP70" s="1002"/>
      <c r="AQ70" s="1002"/>
      <c r="AR70" s="1002"/>
      <c r="AS70" s="1002"/>
      <c r="AT70" s="1002"/>
      <c r="AU70" s="1002"/>
      <c r="AV70" s="1002"/>
      <c r="AW70" s="451"/>
      <c r="AX70" s="1002"/>
      <c r="AY70" s="1002"/>
      <c r="AZ70" s="1002"/>
      <c r="BA70" s="1002"/>
      <c r="BB70" s="1002"/>
      <c r="BC70" s="451"/>
      <c r="BD70" s="1002"/>
      <c r="BE70" s="1002"/>
      <c r="BF70" s="1002"/>
      <c r="BG70" s="1002"/>
      <c r="BH70" s="1002"/>
      <c r="BI70" s="451"/>
      <c r="BJ70" s="1002"/>
      <c r="BK70" s="451"/>
      <c r="BL70" s="451"/>
      <c r="BM70" s="451"/>
      <c r="BN70" s="451"/>
      <c r="BO70" s="451"/>
      <c r="BP70" s="1002"/>
      <c r="BQ70" s="451"/>
      <c r="BR70" s="451"/>
      <c r="BS70" s="451"/>
      <c r="BT70" s="451"/>
      <c r="BU70" s="451"/>
      <c r="BV70" s="1002"/>
      <c r="BW70" s="451"/>
      <c r="BX70" s="451"/>
      <c r="BY70" s="451"/>
      <c r="BZ70" s="451"/>
      <c r="CA70" s="451"/>
      <c r="CB70" s="1003"/>
      <c r="CC70" s="451"/>
      <c r="CD70" s="451"/>
      <c r="CE70" s="452"/>
      <c r="CF70" s="452"/>
      <c r="CG70" s="1004"/>
      <c r="CH70" s="1004"/>
      <c r="CI70" s="452"/>
      <c r="CJ70" s="452"/>
      <c r="CK70" s="452"/>
      <c r="CL70" s="452"/>
      <c r="CM70" s="1004"/>
      <c r="CN70" s="1004"/>
      <c r="CO70" s="452"/>
      <c r="CP70" s="452"/>
      <c r="CQ70" s="452"/>
      <c r="CR70" s="452"/>
      <c r="CS70" s="1004"/>
      <c r="CT70" s="1004"/>
      <c r="CU70" s="452"/>
      <c r="CV70" s="452"/>
      <c r="CW70" s="452"/>
      <c r="CX70" s="452"/>
      <c r="CY70" s="1002"/>
      <c r="CZ70" s="1003"/>
      <c r="DA70" s="452"/>
      <c r="DB70" s="452"/>
      <c r="DC70" s="452"/>
      <c r="DD70" s="452"/>
      <c r="DE70" s="1002"/>
      <c r="DF70" s="1003"/>
      <c r="DG70" s="452"/>
      <c r="DH70" s="452"/>
      <c r="DI70" s="452"/>
      <c r="DJ70" s="452"/>
      <c r="DK70" s="1002"/>
      <c r="DL70" s="1003"/>
      <c r="DM70" s="452"/>
      <c r="DN70" s="452"/>
      <c r="DO70" s="452"/>
      <c r="DP70" s="452"/>
      <c r="DQ70" s="1002"/>
      <c r="DR70" s="1003"/>
      <c r="DS70" s="452"/>
      <c r="DT70" s="452"/>
      <c r="DU70" s="452"/>
      <c r="DV70" s="452"/>
      <c r="DW70" s="1002"/>
      <c r="DX70" s="1003"/>
      <c r="DY70" s="452"/>
      <c r="DZ70" s="452"/>
      <c r="EA70" s="452"/>
      <c r="EB70" s="452"/>
      <c r="EC70" s="1002"/>
      <c r="ED70" s="1003"/>
      <c r="EE70" s="452"/>
      <c r="EF70" s="452"/>
      <c r="EG70" s="452"/>
      <c r="EH70" s="452"/>
      <c r="EI70" s="1002"/>
      <c r="EJ70" s="1003"/>
      <c r="EK70" s="452"/>
      <c r="EL70" s="452"/>
      <c r="EM70" s="452"/>
      <c r="EN70" s="452"/>
      <c r="EO70" s="1002"/>
      <c r="EP70" s="1003"/>
      <c r="EQ70" s="452"/>
      <c r="ER70" s="452"/>
      <c r="ES70" s="452"/>
      <c r="ET70" s="452"/>
      <c r="EU70" s="1002"/>
      <c r="EV70" s="1003"/>
      <c r="EW70" s="452"/>
      <c r="EX70" s="452">
        <v>1250</v>
      </c>
      <c r="EY70" s="452">
        <v>1250</v>
      </c>
      <c r="EZ70" s="452">
        <v>1250</v>
      </c>
      <c r="FA70" s="1002"/>
      <c r="FB70" s="1003"/>
      <c r="FC70" s="452">
        <v>1250</v>
      </c>
      <c r="FD70" s="452">
        <v>1250</v>
      </c>
      <c r="FE70" s="452">
        <v>1250</v>
      </c>
      <c r="FF70" s="452">
        <v>1250</v>
      </c>
      <c r="FG70" s="1002"/>
      <c r="FH70" s="1003"/>
      <c r="FI70" s="452">
        <v>1250</v>
      </c>
      <c r="FJ70" s="452">
        <v>1250</v>
      </c>
      <c r="FK70" s="452">
        <v>1250</v>
      </c>
      <c r="FL70" s="452">
        <v>1250</v>
      </c>
      <c r="FM70" s="1002"/>
      <c r="FN70" s="853"/>
      <c r="FO70" s="853"/>
      <c r="FP70" s="853"/>
      <c r="FQ70" s="853"/>
      <c r="FR70"/>
      <c r="FS70"/>
      <c r="FT70"/>
      <c r="FU70"/>
      <c r="FV70"/>
      <c r="FW70"/>
      <c r="FX70" s="942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</row>
    <row r="71" spans="1:274" s="856" customFormat="1" ht="12" hidden="1" customHeight="1" outlineLevel="1" x14ac:dyDescent="0.2">
      <c r="A71" s="44" t="s">
        <v>437</v>
      </c>
      <c r="B71" s="1001"/>
      <c r="C71" s="1002"/>
      <c r="D71" s="1002"/>
      <c r="E71" s="1002"/>
      <c r="F71" s="1002"/>
      <c r="G71" s="1002"/>
      <c r="H71" s="1002"/>
      <c r="I71" s="1002"/>
      <c r="J71" s="1002"/>
      <c r="K71" s="1002"/>
      <c r="L71" s="1002"/>
      <c r="M71" s="1002"/>
      <c r="N71" s="1002"/>
      <c r="O71" s="1002"/>
      <c r="P71" s="1002"/>
      <c r="Q71" s="1002"/>
      <c r="R71" s="1002"/>
      <c r="S71" s="1002"/>
      <c r="T71" s="1002"/>
      <c r="U71" s="1002"/>
      <c r="V71" s="1002"/>
      <c r="W71" s="1002"/>
      <c r="X71" s="1002"/>
      <c r="Y71" s="1002"/>
      <c r="Z71" s="1002"/>
      <c r="AA71" s="1002"/>
      <c r="AB71" s="1002"/>
      <c r="AC71" s="1002"/>
      <c r="AD71" s="1002"/>
      <c r="AE71" s="1002"/>
      <c r="AF71" s="1002"/>
      <c r="AG71" s="1002"/>
      <c r="AH71" s="1002"/>
      <c r="AI71" s="1002"/>
      <c r="AJ71" s="1002"/>
      <c r="AK71" s="1002"/>
      <c r="AL71" s="1002"/>
      <c r="AM71" s="1002"/>
      <c r="AN71" s="1002"/>
      <c r="AO71" s="1002"/>
      <c r="AP71" s="1002"/>
      <c r="AQ71" s="1002"/>
      <c r="AR71" s="1002"/>
      <c r="AS71" s="1002"/>
      <c r="AT71" s="1002"/>
      <c r="AU71" s="1002"/>
      <c r="AV71" s="1002"/>
      <c r="AW71" s="451"/>
      <c r="AX71" s="1002"/>
      <c r="AY71" s="1002"/>
      <c r="AZ71" s="1002"/>
      <c r="BA71" s="1002"/>
      <c r="BB71" s="1002"/>
      <c r="BC71" s="451"/>
      <c r="BD71" s="1002"/>
      <c r="BE71" s="1002"/>
      <c r="BF71" s="1002"/>
      <c r="BG71" s="1002"/>
      <c r="BH71" s="1002"/>
      <c r="BI71" s="451"/>
      <c r="BJ71" s="1002"/>
      <c r="BK71" s="451"/>
      <c r="BL71" s="451"/>
      <c r="BM71" s="451"/>
      <c r="BN71" s="451"/>
      <c r="BO71" s="451"/>
      <c r="BP71" s="1002"/>
      <c r="BQ71" s="451"/>
      <c r="BR71" s="451"/>
      <c r="BS71" s="451"/>
      <c r="BT71" s="451"/>
      <c r="BU71" s="451"/>
      <c r="BV71" s="1002"/>
      <c r="BW71" s="451"/>
      <c r="BX71" s="451"/>
      <c r="BY71" s="451"/>
      <c r="BZ71" s="451"/>
      <c r="CA71" s="451"/>
      <c r="CB71" s="1003"/>
      <c r="CC71" s="451"/>
      <c r="CD71" s="451"/>
      <c r="CE71" s="452"/>
      <c r="CF71" s="452"/>
      <c r="CG71" s="1004"/>
      <c r="CH71" s="1004"/>
      <c r="CI71" s="452"/>
      <c r="CJ71" s="452"/>
      <c r="CK71" s="452"/>
      <c r="CL71" s="452"/>
      <c r="CM71" s="1004"/>
      <c r="CN71" s="1004"/>
      <c r="CO71" s="452"/>
      <c r="CP71" s="452"/>
      <c r="CQ71" s="452"/>
      <c r="CR71" s="452"/>
      <c r="CS71" s="1004"/>
      <c r="CT71" s="1004"/>
      <c r="CU71" s="452"/>
      <c r="CV71" s="452"/>
      <c r="CW71" s="452"/>
      <c r="CX71" s="452"/>
      <c r="CY71" s="1002"/>
      <c r="CZ71" s="1003"/>
      <c r="DA71" s="452"/>
      <c r="DB71" s="452"/>
      <c r="DC71" s="452"/>
      <c r="DD71" s="452"/>
      <c r="DE71" s="1002"/>
      <c r="DF71" s="1003"/>
      <c r="DG71" s="452"/>
      <c r="DH71" s="452"/>
      <c r="DI71" s="452"/>
      <c r="DJ71" s="452"/>
      <c r="DK71" s="1002"/>
      <c r="DL71" s="1003"/>
      <c r="DM71" s="452"/>
      <c r="DN71" s="452"/>
      <c r="DO71" s="452"/>
      <c r="DP71" s="452"/>
      <c r="DQ71" s="1002"/>
      <c r="DR71" s="1003"/>
      <c r="DS71" s="452"/>
      <c r="DT71" s="452"/>
      <c r="DU71" s="452"/>
      <c r="DV71" s="452"/>
      <c r="DW71" s="1002"/>
      <c r="DX71" s="1003"/>
      <c r="DY71" s="452">
        <v>1000</v>
      </c>
      <c r="DZ71" s="452">
        <f t="shared" si="90"/>
        <v>1000</v>
      </c>
      <c r="EA71" s="452">
        <f t="shared" si="90"/>
        <v>1000</v>
      </c>
      <c r="EB71" s="452">
        <f t="shared" si="90"/>
        <v>1000</v>
      </c>
      <c r="EC71" s="1002"/>
      <c r="ED71" s="1003"/>
      <c r="EE71" s="452">
        <f>EB71</f>
        <v>1000</v>
      </c>
      <c r="EF71" s="452">
        <f t="shared" ref="EF71:EH73" si="92">EE71</f>
        <v>1000</v>
      </c>
      <c r="EG71" s="452">
        <f t="shared" si="92"/>
        <v>1000</v>
      </c>
      <c r="EH71" s="452">
        <f t="shared" si="92"/>
        <v>1000</v>
      </c>
      <c r="EI71" s="1002"/>
      <c r="EJ71" s="1003"/>
      <c r="EK71" s="452">
        <f>EH71</f>
        <v>1000</v>
      </c>
      <c r="EL71" s="452">
        <f t="shared" ref="EL71:EN73" si="93">EK71</f>
        <v>1000</v>
      </c>
      <c r="EM71" s="452">
        <f t="shared" si="93"/>
        <v>1000</v>
      </c>
      <c r="EN71" s="452">
        <f t="shared" si="93"/>
        <v>1000</v>
      </c>
      <c r="EO71" s="1002"/>
      <c r="EP71" s="1003"/>
      <c r="EQ71" s="452">
        <f t="shared" ref="EQ71:EQ86" si="94">EN71</f>
        <v>1000</v>
      </c>
      <c r="ER71" s="452">
        <f t="shared" ref="ER71:ET73" si="95">EQ71</f>
        <v>1000</v>
      </c>
      <c r="ES71" s="452">
        <f t="shared" si="95"/>
        <v>1000</v>
      </c>
      <c r="ET71" s="452">
        <f t="shared" si="95"/>
        <v>1000</v>
      </c>
      <c r="EU71" s="1002"/>
      <c r="EV71" s="1003"/>
      <c r="EW71" s="452">
        <f t="shared" si="91"/>
        <v>1000</v>
      </c>
      <c r="EX71" s="452">
        <f t="shared" si="73"/>
        <v>1000</v>
      </c>
      <c r="EY71" s="452">
        <f t="shared" si="75"/>
        <v>1000</v>
      </c>
      <c r="EZ71" s="452">
        <f t="shared" si="75"/>
        <v>1000</v>
      </c>
      <c r="FA71" s="1002"/>
      <c r="FB71" s="1003"/>
      <c r="FC71" s="452">
        <f t="shared" si="79"/>
        <v>1000</v>
      </c>
      <c r="FD71" s="452">
        <f t="shared" si="80"/>
        <v>1000</v>
      </c>
      <c r="FE71" s="452">
        <f t="shared" si="80"/>
        <v>1000</v>
      </c>
      <c r="FF71" s="452">
        <f t="shared" si="81"/>
        <v>1000</v>
      </c>
      <c r="FG71" s="1002"/>
      <c r="FH71" s="1003"/>
      <c r="FI71" s="452">
        <f t="shared" si="82"/>
        <v>1000</v>
      </c>
      <c r="FJ71" s="452">
        <f t="shared" si="85"/>
        <v>1000</v>
      </c>
      <c r="FK71" s="452">
        <f t="shared" si="86"/>
        <v>1000</v>
      </c>
      <c r="FL71" s="452">
        <f t="shared" si="87"/>
        <v>1000</v>
      </c>
      <c r="FM71" s="1002"/>
      <c r="FN71" s="853"/>
      <c r="FO71" s="853"/>
      <c r="FP71" s="853"/>
      <c r="FQ71" s="853"/>
      <c r="FR71"/>
      <c r="FS71"/>
      <c r="FT71"/>
      <c r="FU71"/>
      <c r="FV71"/>
      <c r="FW71"/>
      <c r="FX71" s="942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</row>
    <row r="72" spans="1:274" s="856" customFormat="1" ht="12" hidden="1" customHeight="1" outlineLevel="1" x14ac:dyDescent="0.2">
      <c r="A72" s="44" t="s">
        <v>1216</v>
      </c>
      <c r="B72" s="1001"/>
      <c r="C72" s="1002"/>
      <c r="D72" s="1002"/>
      <c r="E72" s="1002"/>
      <c r="F72" s="1002"/>
      <c r="G72" s="1002"/>
      <c r="H72" s="1002"/>
      <c r="I72" s="1002"/>
      <c r="J72" s="1002"/>
      <c r="K72" s="1002"/>
      <c r="L72" s="1002"/>
      <c r="M72" s="1002"/>
      <c r="N72" s="1002"/>
      <c r="O72" s="1002"/>
      <c r="P72" s="1002"/>
      <c r="Q72" s="1002"/>
      <c r="R72" s="1002"/>
      <c r="S72" s="1002"/>
      <c r="T72" s="1002"/>
      <c r="U72" s="1002"/>
      <c r="V72" s="1002"/>
      <c r="W72" s="1002"/>
      <c r="X72" s="1002"/>
      <c r="Y72" s="1002"/>
      <c r="Z72" s="1002"/>
      <c r="AA72" s="1002"/>
      <c r="AB72" s="1002"/>
      <c r="AC72" s="1002"/>
      <c r="AD72" s="1002"/>
      <c r="AE72" s="1002"/>
      <c r="AF72" s="1002"/>
      <c r="AG72" s="1002"/>
      <c r="AH72" s="1002"/>
      <c r="AI72" s="1002"/>
      <c r="AJ72" s="1002"/>
      <c r="AK72" s="1002"/>
      <c r="AL72" s="1002"/>
      <c r="AM72" s="1002"/>
      <c r="AN72" s="1002"/>
      <c r="AO72" s="1002"/>
      <c r="AP72" s="1002"/>
      <c r="AQ72" s="1002"/>
      <c r="AR72" s="1002"/>
      <c r="AS72" s="1002"/>
      <c r="AT72" s="1002"/>
      <c r="AU72" s="1002"/>
      <c r="AV72" s="1002"/>
      <c r="AW72" s="451"/>
      <c r="AX72" s="1002"/>
      <c r="AY72" s="1002"/>
      <c r="AZ72" s="1002"/>
      <c r="BA72" s="1002"/>
      <c r="BB72" s="1002"/>
      <c r="BC72" s="451"/>
      <c r="BD72" s="1002"/>
      <c r="BE72" s="1002"/>
      <c r="BF72" s="1002"/>
      <c r="BG72" s="1002"/>
      <c r="BH72" s="1002"/>
      <c r="BI72" s="451"/>
      <c r="BJ72" s="1002"/>
      <c r="BK72" s="451"/>
      <c r="BL72" s="451"/>
      <c r="BM72" s="451"/>
      <c r="BN72" s="451"/>
      <c r="BO72" s="451"/>
      <c r="BP72" s="1002"/>
      <c r="BQ72" s="451"/>
      <c r="BR72" s="451"/>
      <c r="BS72" s="451"/>
      <c r="BT72" s="451"/>
      <c r="BU72" s="451"/>
      <c r="BV72" s="1002"/>
      <c r="BW72" s="451"/>
      <c r="BX72" s="451"/>
      <c r="BY72" s="451"/>
      <c r="BZ72" s="451"/>
      <c r="CA72" s="451"/>
      <c r="CB72" s="1003"/>
      <c r="CC72" s="451"/>
      <c r="CD72" s="451"/>
      <c r="CE72" s="452"/>
      <c r="CF72" s="452"/>
      <c r="CG72" s="1004"/>
      <c r="CH72" s="1004"/>
      <c r="CI72" s="452"/>
      <c r="CJ72" s="452"/>
      <c r="CK72" s="452"/>
      <c r="CL72" s="452"/>
      <c r="CM72" s="1004"/>
      <c r="CN72" s="1004"/>
      <c r="CO72" s="452"/>
      <c r="CP72" s="452"/>
      <c r="CQ72" s="452"/>
      <c r="CR72" s="452"/>
      <c r="CS72" s="1004"/>
      <c r="CT72" s="1004"/>
      <c r="CU72" s="452"/>
      <c r="CV72" s="452"/>
      <c r="CW72" s="452"/>
      <c r="CX72" s="452"/>
      <c r="CY72" s="1002"/>
      <c r="CZ72" s="1003"/>
      <c r="DA72" s="452"/>
      <c r="DB72" s="452"/>
      <c r="DC72" s="452"/>
      <c r="DD72" s="452"/>
      <c r="DE72" s="1002"/>
      <c r="DF72" s="1003"/>
      <c r="DG72" s="452"/>
      <c r="DH72" s="452"/>
      <c r="DI72" s="452"/>
      <c r="DJ72" s="452"/>
      <c r="DK72" s="1002"/>
      <c r="DL72" s="1003"/>
      <c r="DM72" s="452"/>
      <c r="DN72" s="452"/>
      <c r="DO72" s="452"/>
      <c r="DP72" s="452"/>
      <c r="DQ72" s="1002"/>
      <c r="DR72" s="1003"/>
      <c r="DS72" s="452"/>
      <c r="DT72" s="452"/>
      <c r="DU72" s="452"/>
      <c r="DV72" s="452"/>
      <c r="DW72" s="1002"/>
      <c r="DX72" s="1003"/>
      <c r="DY72" s="452"/>
      <c r="DZ72" s="452"/>
      <c r="EA72" s="452"/>
      <c r="EB72" s="452"/>
      <c r="EC72" s="1002"/>
      <c r="ED72" s="1003"/>
      <c r="EE72" s="452"/>
      <c r="EF72" s="452"/>
      <c r="EG72" s="452"/>
      <c r="EH72" s="452"/>
      <c r="EI72" s="1002"/>
      <c r="EJ72" s="1003"/>
      <c r="EK72" s="452"/>
      <c r="EL72" s="452"/>
      <c r="EM72" s="452"/>
      <c r="EN72" s="452"/>
      <c r="EO72" s="1002"/>
      <c r="EP72" s="1003"/>
      <c r="EQ72" s="452">
        <v>2500</v>
      </c>
      <c r="ER72" s="452">
        <f t="shared" si="95"/>
        <v>2500</v>
      </c>
      <c r="ES72" s="452">
        <f t="shared" si="95"/>
        <v>2500</v>
      </c>
      <c r="ET72" s="452">
        <f t="shared" si="95"/>
        <v>2500</v>
      </c>
      <c r="EU72" s="1002"/>
      <c r="EV72" s="1003"/>
      <c r="EW72" s="452">
        <f t="shared" si="91"/>
        <v>2500</v>
      </c>
      <c r="EX72" s="452">
        <f t="shared" si="73"/>
        <v>2500</v>
      </c>
      <c r="EY72" s="452">
        <f t="shared" si="75"/>
        <v>2500</v>
      </c>
      <c r="EZ72" s="452">
        <f t="shared" si="75"/>
        <v>2500</v>
      </c>
      <c r="FA72" s="1002"/>
      <c r="FB72" s="1003"/>
      <c r="FC72" s="452">
        <f t="shared" si="79"/>
        <v>2500</v>
      </c>
      <c r="FD72" s="452">
        <f t="shared" si="80"/>
        <v>2500</v>
      </c>
      <c r="FE72" s="452">
        <f t="shared" si="80"/>
        <v>2500</v>
      </c>
      <c r="FF72" s="452">
        <f t="shared" si="81"/>
        <v>2500</v>
      </c>
      <c r="FG72" s="1002"/>
      <c r="FH72" s="1003"/>
      <c r="FI72" s="452">
        <f t="shared" si="82"/>
        <v>2500</v>
      </c>
      <c r="FJ72" s="452">
        <f t="shared" si="85"/>
        <v>2500</v>
      </c>
      <c r="FK72" s="452">
        <f t="shared" si="86"/>
        <v>2500</v>
      </c>
      <c r="FL72" s="452">
        <f t="shared" si="87"/>
        <v>2500</v>
      </c>
      <c r="FM72" s="1002"/>
      <c r="FN72" s="853"/>
      <c r="FO72" s="853"/>
      <c r="FP72" s="853"/>
      <c r="FQ72" s="853"/>
      <c r="FR72"/>
      <c r="FS72"/>
      <c r="FT72"/>
      <c r="FU72"/>
      <c r="FV72"/>
      <c r="FW72"/>
      <c r="FX72" s="94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</row>
    <row r="73" spans="1:274" s="856" customFormat="1" ht="12" hidden="1" customHeight="1" outlineLevel="1" x14ac:dyDescent="0.2">
      <c r="A73" s="44" t="s">
        <v>1209</v>
      </c>
      <c r="B73" s="1001"/>
      <c r="C73" s="1002"/>
      <c r="D73" s="1002"/>
      <c r="E73" s="1002"/>
      <c r="F73" s="1002"/>
      <c r="G73" s="1002"/>
      <c r="H73" s="1002"/>
      <c r="I73" s="1002"/>
      <c r="J73" s="1002"/>
      <c r="K73" s="1002"/>
      <c r="L73" s="1002"/>
      <c r="M73" s="1002"/>
      <c r="N73" s="1002"/>
      <c r="O73" s="1002"/>
      <c r="P73" s="1002"/>
      <c r="Q73" s="1002"/>
      <c r="R73" s="1002"/>
      <c r="S73" s="1002"/>
      <c r="T73" s="1002"/>
      <c r="U73" s="1002"/>
      <c r="V73" s="1002"/>
      <c r="W73" s="1002"/>
      <c r="X73" s="1002"/>
      <c r="Y73" s="1002"/>
      <c r="Z73" s="1002"/>
      <c r="AA73" s="1002"/>
      <c r="AB73" s="1002"/>
      <c r="AC73" s="1002"/>
      <c r="AD73" s="1002"/>
      <c r="AE73" s="1002"/>
      <c r="AF73" s="1002"/>
      <c r="AG73" s="1002"/>
      <c r="AH73" s="1002"/>
      <c r="AI73" s="1002"/>
      <c r="AJ73" s="1002"/>
      <c r="AK73" s="1002"/>
      <c r="AL73" s="1002"/>
      <c r="AM73" s="1002"/>
      <c r="AN73" s="1002"/>
      <c r="AO73" s="1002"/>
      <c r="AP73" s="1002"/>
      <c r="AQ73" s="1002"/>
      <c r="AR73" s="1002"/>
      <c r="AS73" s="1002"/>
      <c r="AT73" s="1002"/>
      <c r="AU73" s="1002"/>
      <c r="AV73" s="1002"/>
      <c r="AW73" s="451"/>
      <c r="AX73" s="1002"/>
      <c r="AY73" s="1002"/>
      <c r="AZ73" s="1002"/>
      <c r="BA73" s="1002"/>
      <c r="BB73" s="1002"/>
      <c r="BC73" s="451"/>
      <c r="BD73" s="1002"/>
      <c r="BE73" s="1002"/>
      <c r="BF73" s="1002"/>
      <c r="BG73" s="1002"/>
      <c r="BH73" s="1002"/>
      <c r="BI73" s="451"/>
      <c r="BJ73" s="1002"/>
      <c r="BK73" s="451"/>
      <c r="BL73" s="451"/>
      <c r="BM73" s="451"/>
      <c r="BN73" s="451"/>
      <c r="BO73" s="451"/>
      <c r="BP73" s="1002"/>
      <c r="BQ73" s="451"/>
      <c r="BR73" s="451"/>
      <c r="BS73" s="451"/>
      <c r="BT73" s="451"/>
      <c r="BU73" s="451"/>
      <c r="BV73" s="1002"/>
      <c r="BW73" s="451"/>
      <c r="BX73" s="451"/>
      <c r="BY73" s="451"/>
      <c r="BZ73" s="451"/>
      <c r="CA73" s="451"/>
      <c r="CB73" s="1003"/>
      <c r="CC73" s="451"/>
      <c r="CD73" s="451"/>
      <c r="CE73" s="452"/>
      <c r="CF73" s="452"/>
      <c r="CG73" s="1004"/>
      <c r="CH73" s="1004"/>
      <c r="CI73" s="452"/>
      <c r="CJ73" s="452"/>
      <c r="CK73" s="452"/>
      <c r="CL73" s="452"/>
      <c r="CM73" s="1004"/>
      <c r="CN73" s="1004"/>
      <c r="CO73" s="452"/>
      <c r="CP73" s="452"/>
      <c r="CQ73" s="452"/>
      <c r="CR73" s="452"/>
      <c r="CS73" s="1004"/>
      <c r="CT73" s="1004"/>
      <c r="CU73" s="452"/>
      <c r="CV73" s="452"/>
      <c r="CW73" s="452"/>
      <c r="CX73" s="452"/>
      <c r="CY73" s="1002"/>
      <c r="CZ73" s="1003"/>
      <c r="DA73" s="452"/>
      <c r="DB73" s="452"/>
      <c r="DC73" s="452"/>
      <c r="DD73" s="452"/>
      <c r="DE73" s="1002"/>
      <c r="DF73" s="1003"/>
      <c r="DG73" s="452"/>
      <c r="DH73" s="452"/>
      <c r="DI73" s="452"/>
      <c r="DJ73" s="452"/>
      <c r="DK73" s="1002"/>
      <c r="DL73" s="1003"/>
      <c r="DM73" s="452"/>
      <c r="DN73" s="452"/>
      <c r="DO73" s="452"/>
      <c r="DP73" s="452"/>
      <c r="DQ73" s="1002"/>
      <c r="DR73" s="1003"/>
      <c r="DS73" s="452"/>
      <c r="DT73" s="452"/>
      <c r="DU73" s="452"/>
      <c r="DV73" s="452"/>
      <c r="DW73" s="1002"/>
      <c r="DX73" s="1003"/>
      <c r="DY73" s="452"/>
      <c r="DZ73" s="452"/>
      <c r="EA73" s="452"/>
      <c r="EB73" s="452"/>
      <c r="EC73" s="1002"/>
      <c r="ED73" s="1003"/>
      <c r="EE73" s="452">
        <v>2000</v>
      </c>
      <c r="EF73" s="452">
        <f t="shared" si="92"/>
        <v>2000</v>
      </c>
      <c r="EG73" s="452">
        <f t="shared" si="92"/>
        <v>2000</v>
      </c>
      <c r="EH73" s="452">
        <f t="shared" si="92"/>
        <v>2000</v>
      </c>
      <c r="EI73" s="1002"/>
      <c r="EJ73" s="1003"/>
      <c r="EK73" s="452">
        <f>EH73</f>
        <v>2000</v>
      </c>
      <c r="EL73" s="452">
        <f t="shared" si="93"/>
        <v>2000</v>
      </c>
      <c r="EM73" s="452">
        <f t="shared" si="93"/>
        <v>2000</v>
      </c>
      <c r="EN73" s="452">
        <f t="shared" si="93"/>
        <v>2000</v>
      </c>
      <c r="EO73" s="1002"/>
      <c r="EP73" s="1003"/>
      <c r="EQ73" s="452">
        <f t="shared" si="94"/>
        <v>2000</v>
      </c>
      <c r="ER73" s="452">
        <f t="shared" si="95"/>
        <v>2000</v>
      </c>
      <c r="ES73" s="452">
        <f t="shared" si="95"/>
        <v>2000</v>
      </c>
      <c r="ET73" s="452">
        <f t="shared" si="95"/>
        <v>2000</v>
      </c>
      <c r="EU73" s="1002"/>
      <c r="EV73" s="1003"/>
      <c r="EW73" s="452">
        <f t="shared" si="91"/>
        <v>2000</v>
      </c>
      <c r="EX73" s="452">
        <f t="shared" si="73"/>
        <v>2000</v>
      </c>
      <c r="EY73" s="452">
        <f t="shared" si="75"/>
        <v>2000</v>
      </c>
      <c r="EZ73" s="452">
        <f t="shared" si="75"/>
        <v>2000</v>
      </c>
      <c r="FA73" s="1002"/>
      <c r="FB73" s="1003"/>
      <c r="FC73" s="452">
        <f t="shared" si="79"/>
        <v>2000</v>
      </c>
      <c r="FD73" s="452">
        <f t="shared" si="80"/>
        <v>2000</v>
      </c>
      <c r="FE73" s="452">
        <f t="shared" si="80"/>
        <v>2000</v>
      </c>
      <c r="FF73" s="452">
        <f t="shared" si="81"/>
        <v>2000</v>
      </c>
      <c r="FG73" s="1002"/>
      <c r="FH73" s="1003"/>
      <c r="FI73" s="452">
        <f t="shared" si="82"/>
        <v>2000</v>
      </c>
      <c r="FJ73" s="452">
        <f t="shared" si="85"/>
        <v>2000</v>
      </c>
      <c r="FK73" s="452">
        <f t="shared" si="86"/>
        <v>2000</v>
      </c>
      <c r="FL73" s="452">
        <f t="shared" si="87"/>
        <v>2000</v>
      </c>
      <c r="FM73" s="1002"/>
      <c r="FN73" s="853"/>
      <c r="FO73" s="853"/>
      <c r="FP73" s="853"/>
      <c r="FQ73" s="853"/>
      <c r="FR73"/>
      <c r="FS73"/>
      <c r="FT73"/>
      <c r="FU73"/>
      <c r="FV73"/>
      <c r="FW73"/>
      <c r="FX73" s="942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</row>
    <row r="74" spans="1:274" s="856" customFormat="1" ht="12" hidden="1" customHeight="1" outlineLevel="1" x14ac:dyDescent="0.2">
      <c r="A74" s="44" t="s">
        <v>1297</v>
      </c>
      <c r="B74" s="1001"/>
      <c r="C74" s="1002"/>
      <c r="D74" s="1002"/>
      <c r="E74" s="1002"/>
      <c r="F74" s="1002"/>
      <c r="G74" s="1002"/>
      <c r="H74" s="1002"/>
      <c r="I74" s="1002"/>
      <c r="J74" s="1002"/>
      <c r="K74" s="1002"/>
      <c r="L74" s="1002"/>
      <c r="M74" s="1002"/>
      <c r="N74" s="1002"/>
      <c r="O74" s="1002"/>
      <c r="P74" s="1002"/>
      <c r="Q74" s="1002"/>
      <c r="R74" s="1002"/>
      <c r="S74" s="1002"/>
      <c r="T74" s="1002"/>
      <c r="U74" s="1002"/>
      <c r="V74" s="1002"/>
      <c r="W74" s="1002"/>
      <c r="X74" s="1002"/>
      <c r="Y74" s="1002"/>
      <c r="Z74" s="1002"/>
      <c r="AA74" s="1002"/>
      <c r="AB74" s="1002"/>
      <c r="AC74" s="1002"/>
      <c r="AD74" s="1002"/>
      <c r="AE74" s="1002"/>
      <c r="AF74" s="1002"/>
      <c r="AG74" s="1002"/>
      <c r="AH74" s="1002"/>
      <c r="AI74" s="1002"/>
      <c r="AJ74" s="1002"/>
      <c r="AK74" s="1002"/>
      <c r="AL74" s="1002"/>
      <c r="AM74" s="1002"/>
      <c r="AN74" s="1002"/>
      <c r="AO74" s="1002"/>
      <c r="AP74" s="1002"/>
      <c r="AQ74" s="1002"/>
      <c r="AR74" s="1002"/>
      <c r="AS74" s="1002"/>
      <c r="AT74" s="1002"/>
      <c r="AU74" s="1002"/>
      <c r="AV74" s="1002"/>
      <c r="AW74" s="451"/>
      <c r="AX74" s="1002"/>
      <c r="AY74" s="1002"/>
      <c r="AZ74" s="1002"/>
      <c r="BA74" s="1002"/>
      <c r="BB74" s="1002"/>
      <c r="BC74" s="451"/>
      <c r="BD74" s="1002"/>
      <c r="BE74" s="1002"/>
      <c r="BF74" s="1002"/>
      <c r="BG74" s="1002"/>
      <c r="BH74" s="1002"/>
      <c r="BI74" s="451"/>
      <c r="BJ74" s="1002"/>
      <c r="BK74" s="451"/>
      <c r="BL74" s="451"/>
      <c r="BM74" s="451"/>
      <c r="BN74" s="451"/>
      <c r="BO74" s="451"/>
      <c r="BP74" s="1002"/>
      <c r="BQ74" s="451"/>
      <c r="BR74" s="451"/>
      <c r="BS74" s="451"/>
      <c r="BT74" s="451"/>
      <c r="BU74" s="451"/>
      <c r="BV74" s="1002"/>
      <c r="BW74" s="451"/>
      <c r="BX74" s="451"/>
      <c r="BY74" s="451"/>
      <c r="BZ74" s="451"/>
      <c r="CA74" s="451"/>
      <c r="CB74" s="1003"/>
      <c r="CC74" s="451"/>
      <c r="CD74" s="451"/>
      <c r="CE74" s="452"/>
      <c r="CF74" s="452"/>
      <c r="CG74" s="1004"/>
      <c r="CH74" s="1004"/>
      <c r="CI74" s="452"/>
      <c r="CJ74" s="452"/>
      <c r="CK74" s="452"/>
      <c r="CL74" s="452"/>
      <c r="CM74" s="1004"/>
      <c r="CN74" s="1004"/>
      <c r="CO74" s="452"/>
      <c r="CP74" s="452"/>
      <c r="CQ74" s="452"/>
      <c r="CR74" s="452"/>
      <c r="CS74" s="1004"/>
      <c r="CT74" s="1004"/>
      <c r="CU74" s="452"/>
      <c r="CV74" s="452"/>
      <c r="CW74" s="452"/>
      <c r="CX74" s="452"/>
      <c r="CY74" s="1002"/>
      <c r="CZ74" s="1003"/>
      <c r="DA74" s="452"/>
      <c r="DB74" s="452"/>
      <c r="DC74" s="452"/>
      <c r="DD74" s="452"/>
      <c r="DE74" s="1002"/>
      <c r="DF74" s="1003"/>
      <c r="DG74" s="452"/>
      <c r="DH74" s="452"/>
      <c r="DI74" s="452"/>
      <c r="DJ74" s="452"/>
      <c r="DK74" s="1002"/>
      <c r="DL74" s="1003"/>
      <c r="DM74" s="452"/>
      <c r="DN74" s="452"/>
      <c r="DO74" s="452"/>
      <c r="DP74" s="452"/>
      <c r="DQ74" s="1002"/>
      <c r="DR74" s="1003"/>
      <c r="DS74" s="452"/>
      <c r="DT74" s="452"/>
      <c r="DU74" s="452"/>
      <c r="DV74" s="452"/>
      <c r="DW74" s="1002"/>
      <c r="DX74" s="1003"/>
      <c r="DY74" s="452"/>
      <c r="DZ74" s="452"/>
      <c r="EA74" s="452"/>
      <c r="EB74" s="452"/>
      <c r="EC74" s="1002"/>
      <c r="ED74" s="1003"/>
      <c r="EE74" s="452"/>
      <c r="EF74" s="452"/>
      <c r="EG74" s="452"/>
      <c r="EH74" s="452"/>
      <c r="EI74" s="1002"/>
      <c r="EJ74" s="1003"/>
      <c r="EK74" s="452"/>
      <c r="EL74" s="452"/>
      <c r="EM74" s="452"/>
      <c r="EN74" s="452"/>
      <c r="EO74" s="1002"/>
      <c r="EP74" s="1003"/>
      <c r="EQ74" s="452"/>
      <c r="ER74" s="452"/>
      <c r="ES74" s="452"/>
      <c r="ET74" s="452"/>
      <c r="EU74" s="1002"/>
      <c r="EV74" s="1003"/>
      <c r="EW74" s="452"/>
      <c r="EX74" s="452">
        <v>2000</v>
      </c>
      <c r="EY74" s="452">
        <f t="shared" ref="EY74" si="96">EX74</f>
        <v>2000</v>
      </c>
      <c r="EZ74" s="452">
        <f t="shared" ref="EZ74" si="97">EY74</f>
        <v>2000</v>
      </c>
      <c r="FA74" s="1002"/>
      <c r="FB74" s="1003"/>
      <c r="FC74" s="452">
        <f t="shared" ref="FC74" si="98">EZ74</f>
        <v>2000</v>
      </c>
      <c r="FD74" s="452">
        <f t="shared" ref="FD74" si="99">FC74</f>
        <v>2000</v>
      </c>
      <c r="FE74" s="452">
        <f t="shared" ref="FE74" si="100">FD74</f>
        <v>2000</v>
      </c>
      <c r="FF74" s="452">
        <f t="shared" ref="FF74" si="101">FE74</f>
        <v>2000</v>
      </c>
      <c r="FG74" s="1002"/>
      <c r="FH74" s="1003"/>
      <c r="FI74" s="452">
        <f t="shared" ref="FI74" si="102">FF74</f>
        <v>2000</v>
      </c>
      <c r="FJ74" s="452">
        <f t="shared" ref="FJ74" si="103">FI74</f>
        <v>2000</v>
      </c>
      <c r="FK74" s="452">
        <f t="shared" ref="FK74" si="104">FJ74</f>
        <v>2000</v>
      </c>
      <c r="FL74" s="452">
        <f t="shared" ref="FL74" si="105">FK74</f>
        <v>2000</v>
      </c>
      <c r="FM74" s="1002"/>
      <c r="FN74" s="853"/>
      <c r="FO74" s="853"/>
      <c r="FP74" s="853"/>
      <c r="FQ74" s="853"/>
      <c r="FR74"/>
      <c r="FS74"/>
      <c r="FT74"/>
      <c r="FU74"/>
      <c r="FV74"/>
      <c r="FW74"/>
      <c r="FX74" s="942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</row>
    <row r="75" spans="1:274" s="856" customFormat="1" ht="12" hidden="1" customHeight="1" outlineLevel="1" x14ac:dyDescent="0.2">
      <c r="A75" s="44" t="s">
        <v>1150</v>
      </c>
      <c r="B75" s="1001"/>
      <c r="C75" s="1002"/>
      <c r="D75" s="1002"/>
      <c r="E75" s="1002"/>
      <c r="F75" s="1002"/>
      <c r="G75" s="1002"/>
      <c r="H75" s="1002"/>
      <c r="I75" s="1002"/>
      <c r="J75" s="1002"/>
      <c r="K75" s="1002"/>
      <c r="L75" s="1002"/>
      <c r="M75" s="1002"/>
      <c r="N75" s="1002"/>
      <c r="O75" s="1002"/>
      <c r="P75" s="1002"/>
      <c r="Q75" s="1002"/>
      <c r="R75" s="1002"/>
      <c r="S75" s="1002"/>
      <c r="T75" s="1002"/>
      <c r="U75" s="1002"/>
      <c r="V75" s="1002"/>
      <c r="W75" s="1002"/>
      <c r="X75" s="1002"/>
      <c r="Y75" s="1002"/>
      <c r="Z75" s="1002"/>
      <c r="AA75" s="1002"/>
      <c r="AB75" s="1002"/>
      <c r="AC75" s="1002"/>
      <c r="AD75" s="1002"/>
      <c r="AE75" s="1002"/>
      <c r="AF75" s="1002"/>
      <c r="AG75" s="1002"/>
      <c r="AH75" s="1002"/>
      <c r="AI75" s="1002"/>
      <c r="AJ75" s="1002"/>
      <c r="AK75" s="1002"/>
      <c r="AL75" s="1002"/>
      <c r="AM75" s="1002"/>
      <c r="AN75" s="1002"/>
      <c r="AO75" s="1002"/>
      <c r="AP75" s="1002"/>
      <c r="AQ75" s="1002"/>
      <c r="AR75" s="1002"/>
      <c r="AS75" s="1002"/>
      <c r="AT75" s="1002"/>
      <c r="AU75" s="1002"/>
      <c r="AV75" s="1002"/>
      <c r="AW75" s="451"/>
      <c r="AX75" s="1002"/>
      <c r="AY75" s="1002"/>
      <c r="AZ75" s="1002"/>
      <c r="BA75" s="1002"/>
      <c r="BB75" s="1002"/>
      <c r="BC75" s="451"/>
      <c r="BD75" s="1002"/>
      <c r="BE75" s="1002"/>
      <c r="BF75" s="1002"/>
      <c r="BG75" s="1002"/>
      <c r="BH75" s="1002"/>
      <c r="BI75" s="451"/>
      <c r="BJ75" s="1002"/>
      <c r="BK75" s="451"/>
      <c r="BL75" s="451"/>
      <c r="BM75" s="451"/>
      <c r="BN75" s="451"/>
      <c r="BO75" s="451"/>
      <c r="BP75" s="1002"/>
      <c r="BQ75" s="451"/>
      <c r="BR75" s="451"/>
      <c r="BS75" s="451"/>
      <c r="BT75" s="451"/>
      <c r="BU75" s="451"/>
      <c r="BV75" s="1002"/>
      <c r="BW75" s="451"/>
      <c r="BX75" s="451"/>
      <c r="BY75" s="451"/>
      <c r="BZ75" s="451"/>
      <c r="CA75" s="451"/>
      <c r="CB75" s="1003"/>
      <c r="CC75" s="451"/>
      <c r="CD75" s="451"/>
      <c r="CE75" s="452"/>
      <c r="CF75" s="452"/>
      <c r="CG75" s="1004"/>
      <c r="CH75" s="1004"/>
      <c r="CI75" s="452"/>
      <c r="CJ75" s="452"/>
      <c r="CK75" s="452"/>
      <c r="CL75" s="452"/>
      <c r="CM75" s="1004"/>
      <c r="CN75" s="1004"/>
      <c r="CO75" s="452"/>
      <c r="CP75" s="452"/>
      <c r="CQ75" s="452"/>
      <c r="CR75" s="452"/>
      <c r="CS75" s="1004"/>
      <c r="CT75" s="1004"/>
      <c r="CU75" s="452"/>
      <c r="CV75" s="452"/>
      <c r="CW75" s="452"/>
      <c r="CX75" s="452"/>
      <c r="CY75" s="1002"/>
      <c r="CZ75" s="1003"/>
      <c r="DA75" s="452"/>
      <c r="DB75" s="452"/>
      <c r="DC75" s="452"/>
      <c r="DD75" s="452"/>
      <c r="DE75" s="1002"/>
      <c r="DF75" s="1003"/>
      <c r="DG75" s="452"/>
      <c r="DH75" s="452"/>
      <c r="DI75" s="452"/>
      <c r="DJ75" s="452"/>
      <c r="DK75" s="1002"/>
      <c r="DL75" s="1003"/>
      <c r="DM75" s="452"/>
      <c r="DN75" s="452"/>
      <c r="DO75" s="452"/>
      <c r="DP75" s="452"/>
      <c r="DQ75" s="1002"/>
      <c r="DR75" s="1003"/>
      <c r="DS75" s="452"/>
      <c r="DT75" s="452"/>
      <c r="DU75" s="452"/>
      <c r="DV75" s="452"/>
      <c r="DW75" s="1002"/>
      <c r="DX75" s="1003"/>
      <c r="DY75" s="452"/>
      <c r="DZ75" s="452"/>
      <c r="EA75" s="452"/>
      <c r="EB75" s="452"/>
      <c r="EC75" s="1002"/>
      <c r="ED75" s="1003"/>
      <c r="EE75" s="452"/>
      <c r="EF75" s="452"/>
      <c r="EG75" s="452"/>
      <c r="EH75" s="452">
        <v>2500</v>
      </c>
      <c r="EI75" s="1002"/>
      <c r="EJ75" s="1003"/>
      <c r="EK75" s="452">
        <v>2500</v>
      </c>
      <c r="EL75" s="452">
        <f>EK75</f>
        <v>2500</v>
      </c>
      <c r="EM75" s="452">
        <f>EL75</f>
        <v>2500</v>
      </c>
      <c r="EN75" s="452">
        <f>EM75</f>
        <v>2500</v>
      </c>
      <c r="EO75" s="1002"/>
      <c r="EP75" s="1003"/>
      <c r="EQ75" s="452">
        <f>EN75</f>
        <v>2500</v>
      </c>
      <c r="ER75" s="452">
        <f t="shared" ref="ER75:ET77" si="106">EQ75</f>
        <v>2500</v>
      </c>
      <c r="ES75" s="452">
        <f t="shared" si="106"/>
        <v>2500</v>
      </c>
      <c r="ET75" s="452">
        <f t="shared" si="106"/>
        <v>2500</v>
      </c>
      <c r="EU75" s="1002"/>
      <c r="EV75" s="1003"/>
      <c r="EW75" s="452">
        <f>ET75</f>
        <v>2500</v>
      </c>
      <c r="EX75" s="452">
        <f t="shared" si="73"/>
        <v>2500</v>
      </c>
      <c r="EY75" s="452">
        <f t="shared" si="75"/>
        <v>2500</v>
      </c>
      <c r="EZ75" s="452">
        <f t="shared" si="75"/>
        <v>2500</v>
      </c>
      <c r="FA75" s="1002"/>
      <c r="FB75" s="1003"/>
      <c r="FC75" s="452">
        <f t="shared" si="79"/>
        <v>2500</v>
      </c>
      <c r="FD75" s="452">
        <f t="shared" si="80"/>
        <v>2500</v>
      </c>
      <c r="FE75" s="452">
        <f t="shared" si="80"/>
        <v>2500</v>
      </c>
      <c r="FF75" s="452">
        <f t="shared" si="81"/>
        <v>2500</v>
      </c>
      <c r="FG75" s="1002"/>
      <c r="FH75" s="1003"/>
      <c r="FI75" s="452">
        <f t="shared" si="82"/>
        <v>2500</v>
      </c>
      <c r="FJ75" s="452">
        <f t="shared" si="85"/>
        <v>2500</v>
      </c>
      <c r="FK75" s="452">
        <f t="shared" si="86"/>
        <v>2500</v>
      </c>
      <c r="FL75" s="452">
        <f t="shared" si="87"/>
        <v>2500</v>
      </c>
      <c r="FM75" s="1002"/>
      <c r="FN75" s="853"/>
      <c r="FO75" s="853"/>
      <c r="FP75" s="853"/>
      <c r="FQ75" s="853"/>
      <c r="FR75"/>
      <c r="FS75"/>
      <c r="FT75"/>
      <c r="FU75"/>
      <c r="FV75"/>
      <c r="FW75"/>
      <c r="FX75" s="942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</row>
    <row r="76" spans="1:274" s="856" customFormat="1" ht="12" hidden="1" customHeight="1" outlineLevel="1" x14ac:dyDescent="0.2">
      <c r="A76" s="44" t="s">
        <v>439</v>
      </c>
      <c r="B76" s="1001"/>
      <c r="C76" s="1002"/>
      <c r="D76" s="1002"/>
      <c r="E76" s="1002"/>
      <c r="F76" s="1002"/>
      <c r="G76" s="1002"/>
      <c r="H76" s="1002"/>
      <c r="I76" s="1002"/>
      <c r="J76" s="1002"/>
      <c r="K76" s="1002"/>
      <c r="L76" s="1002"/>
      <c r="M76" s="1002"/>
      <c r="N76" s="1002"/>
      <c r="O76" s="1002"/>
      <c r="P76" s="1002"/>
      <c r="Q76" s="1002"/>
      <c r="R76" s="1002"/>
      <c r="S76" s="1002"/>
      <c r="T76" s="1002"/>
      <c r="U76" s="1002"/>
      <c r="V76" s="1002"/>
      <c r="W76" s="1002"/>
      <c r="X76" s="1002"/>
      <c r="Y76" s="1002"/>
      <c r="Z76" s="1002"/>
      <c r="AA76" s="1002"/>
      <c r="AB76" s="1002"/>
      <c r="AC76" s="1002"/>
      <c r="AD76" s="1002"/>
      <c r="AE76" s="1002"/>
      <c r="AF76" s="1002"/>
      <c r="AG76" s="1002"/>
      <c r="AH76" s="1002"/>
      <c r="AI76" s="1002"/>
      <c r="AJ76" s="1002"/>
      <c r="AK76" s="1002"/>
      <c r="AL76" s="1002"/>
      <c r="AM76" s="1002"/>
      <c r="AN76" s="1002"/>
      <c r="AO76" s="1002"/>
      <c r="AP76" s="1002"/>
      <c r="AQ76" s="1002"/>
      <c r="AR76" s="1002"/>
      <c r="AS76" s="1002"/>
      <c r="AT76" s="1002"/>
      <c r="AU76" s="1002"/>
      <c r="AV76" s="1002"/>
      <c r="AW76" s="451"/>
      <c r="AX76" s="1002"/>
      <c r="AY76" s="1002"/>
      <c r="AZ76" s="1002"/>
      <c r="BA76" s="1002"/>
      <c r="BB76" s="1002"/>
      <c r="BC76" s="451"/>
      <c r="BD76" s="1002"/>
      <c r="BE76" s="1002"/>
      <c r="BF76" s="1002"/>
      <c r="BG76" s="1002"/>
      <c r="BH76" s="1002"/>
      <c r="BI76" s="451"/>
      <c r="BJ76" s="1002"/>
      <c r="BK76" s="451"/>
      <c r="BL76" s="451"/>
      <c r="BM76" s="451"/>
      <c r="BN76" s="451"/>
      <c r="BO76" s="451"/>
      <c r="BP76" s="1002"/>
      <c r="BQ76" s="451"/>
      <c r="BR76" s="451"/>
      <c r="BS76" s="451"/>
      <c r="BT76" s="451"/>
      <c r="BU76" s="451"/>
      <c r="BV76" s="1002"/>
      <c r="BW76" s="451"/>
      <c r="BX76" s="451"/>
      <c r="BY76" s="451"/>
      <c r="BZ76" s="451"/>
      <c r="CA76" s="451"/>
      <c r="CB76" s="1003"/>
      <c r="CC76" s="451"/>
      <c r="CD76" s="451"/>
      <c r="CE76" s="452"/>
      <c r="CF76" s="452"/>
      <c r="CG76" s="1004"/>
      <c r="CH76" s="1004"/>
      <c r="CI76" s="452"/>
      <c r="CJ76" s="452"/>
      <c r="CK76" s="452"/>
      <c r="CL76" s="452"/>
      <c r="CM76" s="1004"/>
      <c r="CN76" s="1004"/>
      <c r="CO76" s="452"/>
      <c r="CP76" s="452"/>
      <c r="CQ76" s="452"/>
      <c r="CR76" s="452"/>
      <c r="CS76" s="1004"/>
      <c r="CT76" s="1004"/>
      <c r="CU76" s="452"/>
      <c r="CV76" s="452"/>
      <c r="CW76" s="452"/>
      <c r="CX76" s="452"/>
      <c r="CY76" s="1002"/>
      <c r="CZ76" s="1003"/>
      <c r="DA76" s="452"/>
      <c r="DB76" s="452"/>
      <c r="DC76" s="452"/>
      <c r="DD76" s="452"/>
      <c r="DE76" s="1002"/>
      <c r="DF76" s="1003"/>
      <c r="DG76" s="452"/>
      <c r="DH76" s="452"/>
      <c r="DI76" s="452"/>
      <c r="DJ76" s="452"/>
      <c r="DK76" s="1002"/>
      <c r="DL76" s="1003"/>
      <c r="DM76" s="452"/>
      <c r="DN76" s="452"/>
      <c r="DO76" s="452"/>
      <c r="DP76" s="452"/>
      <c r="DQ76" s="1002"/>
      <c r="DR76" s="1003"/>
      <c r="DS76" s="452"/>
      <c r="DT76" s="452"/>
      <c r="DU76" s="452"/>
      <c r="DV76" s="452"/>
      <c r="DW76" s="1002"/>
      <c r="DX76" s="1003"/>
      <c r="DY76" s="452">
        <f>750*1.3</f>
        <v>975</v>
      </c>
      <c r="DZ76" s="452">
        <f>DY76</f>
        <v>975</v>
      </c>
      <c r="EA76" s="452">
        <f>DZ76</f>
        <v>975</v>
      </c>
      <c r="EB76" s="452">
        <f>EA76</f>
        <v>975</v>
      </c>
      <c r="EC76" s="1002"/>
      <c r="ED76" s="1003"/>
      <c r="EE76" s="452">
        <f>EB76</f>
        <v>975</v>
      </c>
      <c r="EF76" s="452">
        <f>EE76</f>
        <v>975</v>
      </c>
      <c r="EG76" s="452">
        <f>EF76</f>
        <v>975</v>
      </c>
      <c r="EH76" s="452">
        <f>EG76</f>
        <v>975</v>
      </c>
      <c r="EI76" s="1002"/>
      <c r="EJ76" s="1003"/>
      <c r="EK76" s="452">
        <v>836</v>
      </c>
      <c r="EL76" s="452">
        <v>836</v>
      </c>
      <c r="EM76" s="452">
        <v>836</v>
      </c>
      <c r="EN76" s="452">
        <v>836</v>
      </c>
      <c r="EO76" s="1002"/>
      <c r="EP76" s="1003"/>
      <c r="EQ76" s="452">
        <f t="shared" si="94"/>
        <v>836</v>
      </c>
      <c r="ER76" s="452">
        <f t="shared" si="106"/>
        <v>836</v>
      </c>
      <c r="ES76" s="452">
        <f t="shared" si="106"/>
        <v>836</v>
      </c>
      <c r="ET76" s="452">
        <f t="shared" si="106"/>
        <v>836</v>
      </c>
      <c r="EU76" s="1002"/>
      <c r="EV76" s="1003"/>
      <c r="EW76" s="452">
        <f t="shared" si="91"/>
        <v>836</v>
      </c>
      <c r="EX76" s="452">
        <f t="shared" si="73"/>
        <v>836</v>
      </c>
      <c r="EY76" s="452">
        <f t="shared" si="75"/>
        <v>836</v>
      </c>
      <c r="EZ76" s="452">
        <f t="shared" si="75"/>
        <v>836</v>
      </c>
      <c r="FA76" s="1002"/>
      <c r="FB76" s="1003"/>
      <c r="FC76" s="452">
        <f t="shared" si="79"/>
        <v>836</v>
      </c>
      <c r="FD76" s="452">
        <f t="shared" ref="FD76:FD91" si="107">FC76</f>
        <v>836</v>
      </c>
      <c r="FE76" s="452">
        <f t="shared" ref="FE76:FE91" si="108">FD76</f>
        <v>836</v>
      </c>
      <c r="FF76" s="452">
        <f t="shared" ref="FF76:FF91" si="109">FE76</f>
        <v>836</v>
      </c>
      <c r="FG76" s="1002"/>
      <c r="FH76" s="1003"/>
      <c r="FI76" s="452">
        <f t="shared" si="82"/>
        <v>836</v>
      </c>
      <c r="FJ76" s="452">
        <f t="shared" si="85"/>
        <v>836</v>
      </c>
      <c r="FK76" s="452">
        <f t="shared" si="86"/>
        <v>836</v>
      </c>
      <c r="FL76" s="452">
        <f t="shared" si="87"/>
        <v>836</v>
      </c>
      <c r="FM76" s="1002"/>
      <c r="FN76" s="853"/>
      <c r="FO76" s="853"/>
      <c r="FP76" s="853"/>
      <c r="FQ76" s="853"/>
      <c r="FR76"/>
      <c r="FS76"/>
      <c r="FT76"/>
      <c r="FU76"/>
      <c r="FV76"/>
      <c r="FW76"/>
      <c r="FX76" s="942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</row>
    <row r="77" spans="1:274" s="856" customFormat="1" ht="12" hidden="1" customHeight="1" outlineLevel="1" x14ac:dyDescent="0.2">
      <c r="A77" s="44" t="s">
        <v>1217</v>
      </c>
      <c r="B77" s="1001"/>
      <c r="C77" s="1002"/>
      <c r="D77" s="1002"/>
      <c r="E77" s="1002"/>
      <c r="F77" s="1002"/>
      <c r="G77" s="1002"/>
      <c r="H77" s="1002"/>
      <c r="I77" s="1002"/>
      <c r="J77" s="1002"/>
      <c r="K77" s="1002"/>
      <c r="L77" s="1002"/>
      <c r="M77" s="1002"/>
      <c r="N77" s="1002"/>
      <c r="O77" s="1002"/>
      <c r="P77" s="1002"/>
      <c r="Q77" s="1002"/>
      <c r="R77" s="1002"/>
      <c r="S77" s="1002"/>
      <c r="T77" s="1002"/>
      <c r="U77" s="1002"/>
      <c r="V77" s="1002"/>
      <c r="W77" s="1002"/>
      <c r="X77" s="1002"/>
      <c r="Y77" s="1002"/>
      <c r="Z77" s="1002"/>
      <c r="AA77" s="1002"/>
      <c r="AB77" s="1002"/>
      <c r="AC77" s="1002"/>
      <c r="AD77" s="1002"/>
      <c r="AE77" s="1002"/>
      <c r="AF77" s="1002"/>
      <c r="AG77" s="1002"/>
      <c r="AH77" s="1002"/>
      <c r="AI77" s="1002"/>
      <c r="AJ77" s="1002"/>
      <c r="AK77" s="1002"/>
      <c r="AL77" s="1002"/>
      <c r="AM77" s="1002"/>
      <c r="AN77" s="1002"/>
      <c r="AO77" s="1002"/>
      <c r="AP77" s="1002"/>
      <c r="AQ77" s="1002"/>
      <c r="AR77" s="1002"/>
      <c r="AS77" s="1002"/>
      <c r="AT77" s="1002"/>
      <c r="AU77" s="1002"/>
      <c r="AV77" s="1002"/>
      <c r="AW77" s="451"/>
      <c r="AX77" s="1002"/>
      <c r="AY77" s="1002"/>
      <c r="AZ77" s="1002"/>
      <c r="BA77" s="1002"/>
      <c r="BB77" s="1002"/>
      <c r="BC77" s="451"/>
      <c r="BD77" s="1002"/>
      <c r="BE77" s="1002"/>
      <c r="BF77" s="1002"/>
      <c r="BG77" s="1002"/>
      <c r="BH77" s="1002"/>
      <c r="BI77" s="451"/>
      <c r="BJ77" s="1002"/>
      <c r="BK77" s="451"/>
      <c r="BL77" s="451"/>
      <c r="BM77" s="451"/>
      <c r="BN77" s="451"/>
      <c r="BO77" s="451"/>
      <c r="BP77" s="1002"/>
      <c r="BQ77" s="451"/>
      <c r="BR77" s="451"/>
      <c r="BS77" s="451"/>
      <c r="BT77" s="451"/>
      <c r="BU77" s="451"/>
      <c r="BV77" s="1002"/>
      <c r="BW77" s="451"/>
      <c r="BX77" s="451"/>
      <c r="BY77" s="451"/>
      <c r="BZ77" s="451"/>
      <c r="CA77" s="451"/>
      <c r="CB77" s="1003"/>
      <c r="CC77" s="451"/>
      <c r="CD77" s="451"/>
      <c r="CE77" s="452"/>
      <c r="CF77" s="452"/>
      <c r="CG77" s="1004"/>
      <c r="CH77" s="1004"/>
      <c r="CI77" s="452"/>
      <c r="CJ77" s="452"/>
      <c r="CK77" s="452"/>
      <c r="CL77" s="452"/>
      <c r="CM77" s="1004"/>
      <c r="CN77" s="1004"/>
      <c r="CO77" s="452"/>
      <c r="CP77" s="452"/>
      <c r="CQ77" s="452"/>
      <c r="CR77" s="452"/>
      <c r="CS77" s="1004"/>
      <c r="CT77" s="1004"/>
      <c r="CU77" s="452"/>
      <c r="CV77" s="452"/>
      <c r="CW77" s="452"/>
      <c r="CX77" s="452"/>
      <c r="CY77" s="1002"/>
      <c r="CZ77" s="1003"/>
      <c r="DA77" s="452"/>
      <c r="DB77" s="452"/>
      <c r="DC77" s="452"/>
      <c r="DD77" s="452"/>
      <c r="DE77" s="1002"/>
      <c r="DF77" s="1003"/>
      <c r="DG77" s="452"/>
      <c r="DH77" s="452"/>
      <c r="DI77" s="452"/>
      <c r="DJ77" s="452"/>
      <c r="DK77" s="1002"/>
      <c r="DL77" s="1003"/>
      <c r="DM77" s="452"/>
      <c r="DN77" s="452"/>
      <c r="DO77" s="452"/>
      <c r="DP77" s="452"/>
      <c r="DQ77" s="1002"/>
      <c r="DR77" s="1003"/>
      <c r="DS77" s="452"/>
      <c r="DT77" s="452"/>
      <c r="DU77" s="452"/>
      <c r="DV77" s="452"/>
      <c r="DW77" s="1002"/>
      <c r="DX77" s="1003"/>
      <c r="DY77" s="452"/>
      <c r="DZ77" s="452"/>
      <c r="EA77" s="452"/>
      <c r="EB77" s="452"/>
      <c r="EC77" s="1002"/>
      <c r="ED77" s="1003"/>
      <c r="EE77" s="452"/>
      <c r="EF77" s="452"/>
      <c r="EG77" s="452"/>
      <c r="EH77" s="452"/>
      <c r="EI77" s="1002"/>
      <c r="EJ77" s="1003"/>
      <c r="EK77" s="452"/>
      <c r="EL77" s="452"/>
      <c r="EM77" s="452"/>
      <c r="EN77" s="452"/>
      <c r="EO77" s="1002"/>
      <c r="EP77" s="1003"/>
      <c r="EQ77" s="452">
        <v>3000</v>
      </c>
      <c r="ER77" s="452">
        <f t="shared" si="106"/>
        <v>3000</v>
      </c>
      <c r="ES77" s="452">
        <f t="shared" si="106"/>
        <v>3000</v>
      </c>
      <c r="ET77" s="452">
        <f t="shared" si="106"/>
        <v>3000</v>
      </c>
      <c r="EU77" s="1002"/>
      <c r="EV77" s="1003"/>
      <c r="EW77" s="452">
        <f>ET77</f>
        <v>3000</v>
      </c>
      <c r="EX77" s="452">
        <f t="shared" si="73"/>
        <v>3000</v>
      </c>
      <c r="EY77" s="452">
        <f t="shared" si="75"/>
        <v>3000</v>
      </c>
      <c r="EZ77" s="452">
        <f t="shared" si="75"/>
        <v>3000</v>
      </c>
      <c r="FA77" s="1002"/>
      <c r="FB77" s="1003"/>
      <c r="FC77" s="452">
        <f t="shared" si="79"/>
        <v>3000</v>
      </c>
      <c r="FD77" s="452">
        <f t="shared" si="107"/>
        <v>3000</v>
      </c>
      <c r="FE77" s="452">
        <f t="shared" si="108"/>
        <v>3000</v>
      </c>
      <c r="FF77" s="452">
        <f t="shared" si="109"/>
        <v>3000</v>
      </c>
      <c r="FG77" s="1002"/>
      <c r="FH77" s="1003"/>
      <c r="FI77" s="452">
        <f t="shared" si="82"/>
        <v>3000</v>
      </c>
      <c r="FJ77" s="452">
        <f t="shared" si="85"/>
        <v>3000</v>
      </c>
      <c r="FK77" s="452">
        <f t="shared" si="86"/>
        <v>3000</v>
      </c>
      <c r="FL77" s="452">
        <f t="shared" si="87"/>
        <v>3000</v>
      </c>
      <c r="FM77" s="1002"/>
      <c r="FN77" s="853"/>
      <c r="FO77" s="853"/>
      <c r="FP77" s="853"/>
      <c r="FQ77" s="853"/>
      <c r="FR77"/>
      <c r="FS77"/>
      <c r="FT77"/>
      <c r="FU77"/>
      <c r="FV77"/>
      <c r="FW77"/>
      <c r="FX77" s="942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</row>
    <row r="78" spans="1:274" s="856" customFormat="1" ht="12" hidden="1" customHeight="1" outlineLevel="1" x14ac:dyDescent="0.2">
      <c r="A78" s="44" t="s">
        <v>1298</v>
      </c>
      <c r="B78" s="1001"/>
      <c r="C78" s="1002"/>
      <c r="D78" s="1002"/>
      <c r="E78" s="1002"/>
      <c r="F78" s="1002"/>
      <c r="G78" s="1002"/>
      <c r="H78" s="1002"/>
      <c r="I78" s="1002"/>
      <c r="J78" s="1002"/>
      <c r="K78" s="1002"/>
      <c r="L78" s="1002"/>
      <c r="M78" s="1002"/>
      <c r="N78" s="1002"/>
      <c r="O78" s="1002"/>
      <c r="P78" s="1002"/>
      <c r="Q78" s="1002"/>
      <c r="R78" s="1002"/>
      <c r="S78" s="1002"/>
      <c r="T78" s="1002"/>
      <c r="U78" s="1002"/>
      <c r="V78" s="1002"/>
      <c r="W78" s="1002"/>
      <c r="X78" s="1002"/>
      <c r="Y78" s="1002"/>
      <c r="Z78" s="1002"/>
      <c r="AA78" s="1002"/>
      <c r="AB78" s="1002"/>
      <c r="AC78" s="1002"/>
      <c r="AD78" s="1002"/>
      <c r="AE78" s="1002"/>
      <c r="AF78" s="1002"/>
      <c r="AG78" s="1002"/>
      <c r="AH78" s="1002"/>
      <c r="AI78" s="1002"/>
      <c r="AJ78" s="1002"/>
      <c r="AK78" s="1002"/>
      <c r="AL78" s="1002"/>
      <c r="AM78" s="1002"/>
      <c r="AN78" s="1002"/>
      <c r="AO78" s="1002"/>
      <c r="AP78" s="1002"/>
      <c r="AQ78" s="1002"/>
      <c r="AR78" s="1002"/>
      <c r="AS78" s="1002"/>
      <c r="AT78" s="1002"/>
      <c r="AU78" s="1002"/>
      <c r="AV78" s="1002"/>
      <c r="AW78" s="451"/>
      <c r="AX78" s="1002"/>
      <c r="AY78" s="1002"/>
      <c r="AZ78" s="1002"/>
      <c r="BA78" s="1002"/>
      <c r="BB78" s="1002"/>
      <c r="BC78" s="451"/>
      <c r="BD78" s="1002"/>
      <c r="BE78" s="1002"/>
      <c r="BF78" s="1002"/>
      <c r="BG78" s="1002"/>
      <c r="BH78" s="1002"/>
      <c r="BI78" s="451"/>
      <c r="BJ78" s="1002"/>
      <c r="BK78" s="451"/>
      <c r="BL78" s="451"/>
      <c r="BM78" s="451"/>
      <c r="BN78" s="451"/>
      <c r="BO78" s="451"/>
      <c r="BP78" s="1002"/>
      <c r="BQ78" s="451"/>
      <c r="BR78" s="451"/>
      <c r="BS78" s="451"/>
      <c r="BT78" s="451"/>
      <c r="BU78" s="451"/>
      <c r="BV78" s="1002"/>
      <c r="BW78" s="451"/>
      <c r="BX78" s="451"/>
      <c r="BY78" s="451"/>
      <c r="BZ78" s="451"/>
      <c r="CA78" s="451"/>
      <c r="CB78" s="1003"/>
      <c r="CC78" s="451"/>
      <c r="CD78" s="451"/>
      <c r="CE78" s="452"/>
      <c r="CF78" s="452"/>
      <c r="CG78" s="1004"/>
      <c r="CH78" s="1004"/>
      <c r="CI78" s="452"/>
      <c r="CJ78" s="452"/>
      <c r="CK78" s="452"/>
      <c r="CL78" s="452"/>
      <c r="CM78" s="1004"/>
      <c r="CN78" s="1004"/>
      <c r="CO78" s="452"/>
      <c r="CP78" s="452"/>
      <c r="CQ78" s="452"/>
      <c r="CR78" s="452"/>
      <c r="CS78" s="1004"/>
      <c r="CT78" s="1004"/>
      <c r="CU78" s="452"/>
      <c r="CV78" s="452"/>
      <c r="CW78" s="452"/>
      <c r="CX78" s="452"/>
      <c r="CY78" s="1002"/>
      <c r="CZ78" s="1003"/>
      <c r="DA78" s="452"/>
      <c r="DB78" s="452"/>
      <c r="DC78" s="452"/>
      <c r="DD78" s="452"/>
      <c r="DE78" s="1002"/>
      <c r="DF78" s="1003"/>
      <c r="DG78" s="452"/>
      <c r="DH78" s="452"/>
      <c r="DI78" s="452"/>
      <c r="DJ78" s="452"/>
      <c r="DK78" s="1002"/>
      <c r="DL78" s="1003"/>
      <c r="DM78" s="452"/>
      <c r="DN78" s="452"/>
      <c r="DO78" s="452"/>
      <c r="DP78" s="452"/>
      <c r="DQ78" s="1002"/>
      <c r="DR78" s="1003"/>
      <c r="DS78" s="452"/>
      <c r="DT78" s="452"/>
      <c r="DU78" s="452"/>
      <c r="DV78" s="452"/>
      <c r="DW78" s="1002"/>
      <c r="DX78" s="1003"/>
      <c r="DY78" s="452"/>
      <c r="DZ78" s="452"/>
      <c r="EA78" s="452"/>
      <c r="EB78" s="452"/>
      <c r="EC78" s="1002"/>
      <c r="ED78" s="1003"/>
      <c r="EE78" s="452"/>
      <c r="EF78" s="452"/>
      <c r="EG78" s="452"/>
      <c r="EH78" s="452"/>
      <c r="EI78" s="1002"/>
      <c r="EJ78" s="1003"/>
      <c r="EK78" s="452"/>
      <c r="EL78" s="452"/>
      <c r="EM78" s="452"/>
      <c r="EN78" s="452"/>
      <c r="EO78" s="1002"/>
      <c r="EP78" s="1003"/>
      <c r="EQ78" s="452"/>
      <c r="ER78" s="452"/>
      <c r="ES78" s="452"/>
      <c r="ET78" s="452"/>
      <c r="EU78" s="1002"/>
      <c r="EV78" s="1003"/>
      <c r="EW78" s="452"/>
      <c r="EX78" s="452">
        <v>2750</v>
      </c>
      <c r="EY78" s="452">
        <v>2750</v>
      </c>
      <c r="EZ78" s="452">
        <v>2750</v>
      </c>
      <c r="FA78" s="1002"/>
      <c r="FB78" s="1003"/>
      <c r="FC78" s="452">
        <v>2750</v>
      </c>
      <c r="FD78" s="452">
        <v>2750</v>
      </c>
      <c r="FE78" s="452">
        <v>2750</v>
      </c>
      <c r="FF78" s="452">
        <v>2750</v>
      </c>
      <c r="FG78" s="1002"/>
      <c r="FH78" s="1003"/>
      <c r="FI78" s="452">
        <v>2750</v>
      </c>
      <c r="FJ78" s="452">
        <v>2750</v>
      </c>
      <c r="FK78" s="452">
        <v>2750</v>
      </c>
      <c r="FL78" s="452">
        <v>2750</v>
      </c>
      <c r="FM78" s="1002"/>
      <c r="FN78" s="853"/>
      <c r="FO78" s="853"/>
      <c r="FP78" s="853"/>
      <c r="FQ78" s="853"/>
      <c r="FR78"/>
      <c r="FS78"/>
      <c r="FT78"/>
      <c r="FU78"/>
      <c r="FV78"/>
      <c r="FW78"/>
      <c r="FX78" s="942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</row>
    <row r="79" spans="1:274" s="856" customFormat="1" ht="12" hidden="1" customHeight="1" outlineLevel="1" x14ac:dyDescent="0.2">
      <c r="A79" s="44" t="s">
        <v>1151</v>
      </c>
      <c r="B79" s="1001"/>
      <c r="C79" s="1002"/>
      <c r="D79" s="1002"/>
      <c r="E79" s="1002"/>
      <c r="F79" s="1002"/>
      <c r="G79" s="1002"/>
      <c r="H79" s="1002"/>
      <c r="I79" s="1002"/>
      <c r="J79" s="1002"/>
      <c r="K79" s="1002"/>
      <c r="L79" s="1002"/>
      <c r="M79" s="1002"/>
      <c r="N79" s="1002"/>
      <c r="O79" s="1002"/>
      <c r="P79" s="1002"/>
      <c r="Q79" s="1002"/>
      <c r="R79" s="1002"/>
      <c r="S79" s="1002"/>
      <c r="T79" s="1002"/>
      <c r="U79" s="1002"/>
      <c r="V79" s="1002"/>
      <c r="W79" s="1002"/>
      <c r="X79" s="1002"/>
      <c r="Y79" s="1002"/>
      <c r="Z79" s="1002"/>
      <c r="AA79" s="1002"/>
      <c r="AB79" s="1002"/>
      <c r="AC79" s="1002"/>
      <c r="AD79" s="1002"/>
      <c r="AE79" s="1002"/>
      <c r="AF79" s="1002"/>
      <c r="AG79" s="1002"/>
      <c r="AH79" s="1002"/>
      <c r="AI79" s="1002"/>
      <c r="AJ79" s="1002"/>
      <c r="AK79" s="1002"/>
      <c r="AL79" s="1002"/>
      <c r="AM79" s="1002"/>
      <c r="AN79" s="1002"/>
      <c r="AO79" s="1002"/>
      <c r="AP79" s="1002"/>
      <c r="AQ79" s="1002"/>
      <c r="AR79" s="1002"/>
      <c r="AS79" s="1002"/>
      <c r="AT79" s="1002"/>
      <c r="AU79" s="1002"/>
      <c r="AV79" s="1002"/>
      <c r="AW79" s="451"/>
      <c r="AX79" s="1002"/>
      <c r="AY79" s="1002"/>
      <c r="AZ79" s="1002"/>
      <c r="BA79" s="1002"/>
      <c r="BB79" s="1002"/>
      <c r="BC79" s="451"/>
      <c r="BD79" s="1002"/>
      <c r="BE79" s="1002"/>
      <c r="BF79" s="1002"/>
      <c r="BG79" s="1002"/>
      <c r="BH79" s="1002"/>
      <c r="BI79" s="451"/>
      <c r="BJ79" s="1002"/>
      <c r="BK79" s="451"/>
      <c r="BL79" s="451"/>
      <c r="BM79" s="451"/>
      <c r="BN79" s="451"/>
      <c r="BO79" s="451"/>
      <c r="BP79" s="1002"/>
      <c r="BQ79" s="451"/>
      <c r="BR79" s="451"/>
      <c r="BS79" s="451"/>
      <c r="BT79" s="451"/>
      <c r="BU79" s="451"/>
      <c r="BV79" s="1002"/>
      <c r="BW79" s="451"/>
      <c r="BX79" s="451"/>
      <c r="BY79" s="451"/>
      <c r="BZ79" s="451"/>
      <c r="CA79" s="451"/>
      <c r="CB79" s="1003"/>
      <c r="CC79" s="451"/>
      <c r="CD79" s="451"/>
      <c r="CE79" s="452"/>
      <c r="CF79" s="452"/>
      <c r="CG79" s="1004"/>
      <c r="CH79" s="1004"/>
      <c r="CI79" s="452"/>
      <c r="CJ79" s="452"/>
      <c r="CK79" s="452"/>
      <c r="CL79" s="452"/>
      <c r="CM79" s="1004"/>
      <c r="CN79" s="1004"/>
      <c r="CO79" s="452"/>
      <c r="CP79" s="452"/>
      <c r="CQ79" s="452"/>
      <c r="CR79" s="452"/>
      <c r="CS79" s="1004"/>
      <c r="CT79" s="1004"/>
      <c r="CU79" s="452"/>
      <c r="CV79" s="452"/>
      <c r="CW79" s="452"/>
      <c r="CX79" s="452"/>
      <c r="CY79" s="1002"/>
      <c r="CZ79" s="1003"/>
      <c r="DA79" s="452"/>
      <c r="DB79" s="452"/>
      <c r="DC79" s="452"/>
      <c r="DD79" s="452"/>
      <c r="DE79" s="1002"/>
      <c r="DF79" s="1003"/>
      <c r="DG79" s="452"/>
      <c r="DH79" s="452"/>
      <c r="DI79" s="452"/>
      <c r="DJ79" s="452"/>
      <c r="DK79" s="1002"/>
      <c r="DL79" s="1003"/>
      <c r="DM79" s="452"/>
      <c r="DN79" s="452"/>
      <c r="DO79" s="452"/>
      <c r="DP79" s="452"/>
      <c r="DQ79" s="1002"/>
      <c r="DR79" s="1003"/>
      <c r="DS79" s="452"/>
      <c r="DT79" s="452"/>
      <c r="DU79" s="452"/>
      <c r="DV79" s="452"/>
      <c r="DW79" s="1002"/>
      <c r="DX79" s="1003"/>
      <c r="DY79" s="452"/>
      <c r="DZ79" s="452"/>
      <c r="EA79" s="452"/>
      <c r="EB79" s="452"/>
      <c r="EC79" s="1002"/>
      <c r="ED79" s="1003"/>
      <c r="EE79" s="452"/>
      <c r="EF79" s="452"/>
      <c r="EG79" s="452"/>
      <c r="EH79" s="452">
        <v>500</v>
      </c>
      <c r="EI79" s="1002"/>
      <c r="EJ79" s="1003"/>
      <c r="EK79" s="452">
        <v>500</v>
      </c>
      <c r="EL79" s="452">
        <f t="shared" ref="EL79:EN81" si="110">EK79</f>
        <v>500</v>
      </c>
      <c r="EM79" s="452">
        <f t="shared" si="110"/>
        <v>500</v>
      </c>
      <c r="EN79" s="452">
        <f t="shared" si="110"/>
        <v>500</v>
      </c>
      <c r="EO79" s="1002"/>
      <c r="EP79" s="1003"/>
      <c r="EQ79" s="452">
        <f>EN79</f>
        <v>500</v>
      </c>
      <c r="ER79" s="452">
        <f t="shared" ref="ER79:ET82" si="111">EQ79</f>
        <v>500</v>
      </c>
      <c r="ES79" s="452">
        <f t="shared" si="111"/>
        <v>500</v>
      </c>
      <c r="ET79" s="452">
        <f t="shared" si="111"/>
        <v>500</v>
      </c>
      <c r="EU79" s="1002"/>
      <c r="EV79" s="1003"/>
      <c r="EW79" s="452">
        <f>ET79</f>
        <v>500</v>
      </c>
      <c r="EX79" s="452">
        <f t="shared" ref="EX79:EZ82" si="112">EW79</f>
        <v>500</v>
      </c>
      <c r="EY79" s="452">
        <f t="shared" si="112"/>
        <v>500</v>
      </c>
      <c r="EZ79" s="452">
        <f t="shared" si="112"/>
        <v>500</v>
      </c>
      <c r="FA79" s="1002"/>
      <c r="FB79" s="1003"/>
      <c r="FC79" s="452">
        <f t="shared" si="79"/>
        <v>500</v>
      </c>
      <c r="FD79" s="452">
        <f t="shared" si="107"/>
        <v>500</v>
      </c>
      <c r="FE79" s="452">
        <f t="shared" si="108"/>
        <v>500</v>
      </c>
      <c r="FF79" s="452">
        <f t="shared" si="109"/>
        <v>500</v>
      </c>
      <c r="FG79" s="1002"/>
      <c r="FH79" s="1003"/>
      <c r="FI79" s="452">
        <f t="shared" si="82"/>
        <v>500</v>
      </c>
      <c r="FJ79" s="452">
        <f t="shared" si="85"/>
        <v>500</v>
      </c>
      <c r="FK79" s="452">
        <f t="shared" si="86"/>
        <v>500</v>
      </c>
      <c r="FL79" s="452">
        <f t="shared" si="87"/>
        <v>500</v>
      </c>
      <c r="FM79" s="1002"/>
      <c r="FN79" s="853"/>
      <c r="FO79" s="853"/>
      <c r="FP79" s="853"/>
      <c r="FQ79" s="853"/>
      <c r="FR79"/>
      <c r="FS79"/>
      <c r="FT79"/>
      <c r="FU79"/>
      <c r="FV79"/>
      <c r="FW79"/>
      <c r="FX79" s="942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</row>
    <row r="80" spans="1:274" s="856" customFormat="1" ht="12" hidden="1" customHeight="1" outlineLevel="1" x14ac:dyDescent="0.2">
      <c r="A80" s="44" t="s">
        <v>1214</v>
      </c>
      <c r="B80" s="1001"/>
      <c r="C80" s="1002"/>
      <c r="D80" s="1002"/>
      <c r="E80" s="1002"/>
      <c r="F80" s="1002"/>
      <c r="G80" s="1002"/>
      <c r="H80" s="1002"/>
      <c r="I80" s="1002"/>
      <c r="J80" s="1002"/>
      <c r="K80" s="1002"/>
      <c r="L80" s="1002"/>
      <c r="M80" s="1002"/>
      <c r="N80" s="1002"/>
      <c r="O80" s="1002"/>
      <c r="P80" s="1002"/>
      <c r="Q80" s="1002"/>
      <c r="R80" s="1002"/>
      <c r="S80" s="1002"/>
      <c r="T80" s="1002"/>
      <c r="U80" s="1002"/>
      <c r="V80" s="1002"/>
      <c r="W80" s="1002"/>
      <c r="X80" s="1002"/>
      <c r="Y80" s="1002"/>
      <c r="Z80" s="1002"/>
      <c r="AA80" s="1002"/>
      <c r="AB80" s="1002"/>
      <c r="AC80" s="1002"/>
      <c r="AD80" s="1002"/>
      <c r="AE80" s="1002"/>
      <c r="AF80" s="1002"/>
      <c r="AG80" s="1002"/>
      <c r="AH80" s="1002"/>
      <c r="AI80" s="1002"/>
      <c r="AJ80" s="1002"/>
      <c r="AK80" s="1002"/>
      <c r="AL80" s="1002"/>
      <c r="AM80" s="1002"/>
      <c r="AN80" s="1002"/>
      <c r="AO80" s="1002"/>
      <c r="AP80" s="1002"/>
      <c r="AQ80" s="1002"/>
      <c r="AR80" s="1002"/>
      <c r="AS80" s="1002"/>
      <c r="AT80" s="1002"/>
      <c r="AU80" s="1002"/>
      <c r="AV80" s="1002"/>
      <c r="AW80" s="451"/>
      <c r="AX80" s="1002"/>
      <c r="AY80" s="1002"/>
      <c r="AZ80" s="1002"/>
      <c r="BA80" s="1002"/>
      <c r="BB80" s="1002"/>
      <c r="BC80" s="451"/>
      <c r="BD80" s="1002"/>
      <c r="BE80" s="1002"/>
      <c r="BF80" s="1002"/>
      <c r="BG80" s="1002"/>
      <c r="BH80" s="1002"/>
      <c r="BI80" s="451"/>
      <c r="BJ80" s="1002"/>
      <c r="BK80" s="451"/>
      <c r="BL80" s="451"/>
      <c r="BM80" s="451"/>
      <c r="BN80" s="451"/>
      <c r="BO80" s="451"/>
      <c r="BP80" s="1002"/>
      <c r="BQ80" s="451"/>
      <c r="BR80" s="451"/>
      <c r="BS80" s="451"/>
      <c r="BT80" s="451"/>
      <c r="BU80" s="451"/>
      <c r="BV80" s="1002"/>
      <c r="BW80" s="451"/>
      <c r="BX80" s="451"/>
      <c r="BY80" s="451"/>
      <c r="BZ80" s="451"/>
      <c r="CA80" s="451"/>
      <c r="CB80" s="1003"/>
      <c r="CC80" s="451"/>
      <c r="CD80" s="451"/>
      <c r="CE80" s="452"/>
      <c r="CF80" s="452"/>
      <c r="CG80" s="1004"/>
      <c r="CH80" s="1004"/>
      <c r="CI80" s="452"/>
      <c r="CJ80" s="452"/>
      <c r="CK80" s="452"/>
      <c r="CL80" s="452"/>
      <c r="CM80" s="1004"/>
      <c r="CN80" s="1004"/>
      <c r="CO80" s="452"/>
      <c r="CP80" s="452"/>
      <c r="CQ80" s="452"/>
      <c r="CR80" s="452"/>
      <c r="CS80" s="1004"/>
      <c r="CT80" s="1004"/>
      <c r="CU80" s="452"/>
      <c r="CV80" s="452"/>
      <c r="CW80" s="452"/>
      <c r="CX80" s="452"/>
      <c r="CY80" s="1002"/>
      <c r="CZ80" s="1003"/>
      <c r="DA80" s="452"/>
      <c r="DB80" s="452"/>
      <c r="DC80" s="452"/>
      <c r="DD80" s="452"/>
      <c r="DE80" s="1002"/>
      <c r="DF80" s="1003"/>
      <c r="DG80" s="452"/>
      <c r="DH80" s="452"/>
      <c r="DI80" s="452"/>
      <c r="DJ80" s="452"/>
      <c r="DK80" s="1002"/>
      <c r="DL80" s="1003"/>
      <c r="DM80" s="452"/>
      <c r="DN80" s="452"/>
      <c r="DO80" s="452"/>
      <c r="DP80" s="452"/>
      <c r="DQ80" s="1002"/>
      <c r="DR80" s="1003"/>
      <c r="DS80" s="452"/>
      <c r="DT80" s="452"/>
      <c r="DU80" s="452"/>
      <c r="DV80" s="452"/>
      <c r="DW80" s="1002"/>
      <c r="DX80" s="1003"/>
      <c r="DY80" s="452"/>
      <c r="DZ80" s="452"/>
      <c r="EA80" s="452"/>
      <c r="EB80" s="452"/>
      <c r="EC80" s="1002"/>
      <c r="ED80" s="1003"/>
      <c r="EE80" s="452"/>
      <c r="EF80" s="452"/>
      <c r="EG80" s="452"/>
      <c r="EH80" s="452"/>
      <c r="EI80" s="1002"/>
      <c r="EJ80" s="1003"/>
      <c r="EK80" s="452">
        <v>1750</v>
      </c>
      <c r="EL80" s="452">
        <f t="shared" si="110"/>
        <v>1750</v>
      </c>
      <c r="EM80" s="452">
        <f t="shared" si="110"/>
        <v>1750</v>
      </c>
      <c r="EN80" s="452">
        <f t="shared" si="110"/>
        <v>1750</v>
      </c>
      <c r="EO80" s="1002"/>
      <c r="EP80" s="1003"/>
      <c r="EQ80" s="452">
        <f>EN80</f>
        <v>1750</v>
      </c>
      <c r="ER80" s="452">
        <f t="shared" si="111"/>
        <v>1750</v>
      </c>
      <c r="ES80" s="452">
        <f t="shared" si="111"/>
        <v>1750</v>
      </c>
      <c r="ET80" s="452">
        <f t="shared" si="111"/>
        <v>1750</v>
      </c>
      <c r="EU80" s="1002"/>
      <c r="EV80" s="1003"/>
      <c r="EW80" s="452">
        <f>ET80</f>
        <v>1750</v>
      </c>
      <c r="EX80" s="452">
        <f t="shared" si="112"/>
        <v>1750</v>
      </c>
      <c r="EY80" s="452">
        <f t="shared" si="112"/>
        <v>1750</v>
      </c>
      <c r="EZ80" s="452">
        <f t="shared" si="112"/>
        <v>1750</v>
      </c>
      <c r="FA80" s="1002"/>
      <c r="FB80" s="1003"/>
      <c r="FC80" s="452">
        <f t="shared" si="79"/>
        <v>1750</v>
      </c>
      <c r="FD80" s="452">
        <f t="shared" si="107"/>
        <v>1750</v>
      </c>
      <c r="FE80" s="452">
        <f t="shared" si="108"/>
        <v>1750</v>
      </c>
      <c r="FF80" s="452">
        <f t="shared" si="109"/>
        <v>1750</v>
      </c>
      <c r="FG80" s="1002"/>
      <c r="FH80" s="1003"/>
      <c r="FI80" s="452">
        <f t="shared" si="82"/>
        <v>1750</v>
      </c>
      <c r="FJ80" s="452">
        <f t="shared" si="85"/>
        <v>1750</v>
      </c>
      <c r="FK80" s="452">
        <f t="shared" si="86"/>
        <v>1750</v>
      </c>
      <c r="FL80" s="452">
        <f t="shared" si="87"/>
        <v>1750</v>
      </c>
      <c r="FM80" s="1002"/>
      <c r="FN80" s="853"/>
      <c r="FO80" s="853"/>
      <c r="FP80" s="853"/>
      <c r="FQ80" s="853"/>
      <c r="FR80"/>
      <c r="FS80"/>
      <c r="FT80"/>
      <c r="FU80"/>
      <c r="FV80"/>
      <c r="FW80"/>
      <c r="FX80" s="942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</row>
    <row r="81" spans="1:274" s="856" customFormat="1" ht="12" hidden="1" customHeight="1" outlineLevel="1" x14ac:dyDescent="0.2">
      <c r="A81" s="44" t="s">
        <v>1154</v>
      </c>
      <c r="B81" s="1001"/>
      <c r="C81" s="1002"/>
      <c r="D81" s="1002"/>
      <c r="E81" s="1002"/>
      <c r="F81" s="1002"/>
      <c r="G81" s="1002"/>
      <c r="H81" s="1002"/>
      <c r="I81" s="1002"/>
      <c r="J81" s="1002"/>
      <c r="K81" s="1002"/>
      <c r="L81" s="1002"/>
      <c r="M81" s="1002"/>
      <c r="N81" s="1002"/>
      <c r="O81" s="1002"/>
      <c r="P81" s="1002"/>
      <c r="Q81" s="1002"/>
      <c r="R81" s="1002"/>
      <c r="S81" s="1002"/>
      <c r="T81" s="1002"/>
      <c r="U81" s="1002"/>
      <c r="V81" s="1002"/>
      <c r="W81" s="1002"/>
      <c r="X81" s="1002"/>
      <c r="Y81" s="1002"/>
      <c r="Z81" s="1002"/>
      <c r="AA81" s="1002"/>
      <c r="AB81" s="1002"/>
      <c r="AC81" s="1002"/>
      <c r="AD81" s="1002"/>
      <c r="AE81" s="1002"/>
      <c r="AF81" s="1002"/>
      <c r="AG81" s="1002"/>
      <c r="AH81" s="1002"/>
      <c r="AI81" s="1002"/>
      <c r="AJ81" s="1002"/>
      <c r="AK81" s="1002"/>
      <c r="AL81" s="1002"/>
      <c r="AM81" s="1002"/>
      <c r="AN81" s="1002"/>
      <c r="AO81" s="1002"/>
      <c r="AP81" s="1002"/>
      <c r="AQ81" s="1002"/>
      <c r="AR81" s="1002"/>
      <c r="AS81" s="1002"/>
      <c r="AT81" s="1002"/>
      <c r="AU81" s="1002"/>
      <c r="AV81" s="1002"/>
      <c r="AW81" s="451"/>
      <c r="AX81" s="1002"/>
      <c r="AY81" s="1002"/>
      <c r="AZ81" s="1002"/>
      <c r="BA81" s="1002"/>
      <c r="BB81" s="1002"/>
      <c r="BC81" s="451"/>
      <c r="BD81" s="1002"/>
      <c r="BE81" s="1002"/>
      <c r="BF81" s="1002"/>
      <c r="BG81" s="1002"/>
      <c r="BH81" s="1002"/>
      <c r="BI81" s="451"/>
      <c r="BJ81" s="1002"/>
      <c r="BK81" s="451"/>
      <c r="BL81" s="451"/>
      <c r="BM81" s="451"/>
      <c r="BN81" s="451"/>
      <c r="BO81" s="451"/>
      <c r="BP81" s="1002"/>
      <c r="BQ81" s="451"/>
      <c r="BR81" s="451"/>
      <c r="BS81" s="451"/>
      <c r="BT81" s="451"/>
      <c r="BU81" s="451"/>
      <c r="BV81" s="1002"/>
      <c r="BW81" s="451"/>
      <c r="BX81" s="451"/>
      <c r="BY81" s="451"/>
      <c r="BZ81" s="451"/>
      <c r="CA81" s="451"/>
      <c r="CB81" s="1003"/>
      <c r="CC81" s="451"/>
      <c r="CD81" s="451"/>
      <c r="CE81" s="452"/>
      <c r="CF81" s="452"/>
      <c r="CG81" s="1004"/>
      <c r="CH81" s="1004"/>
      <c r="CI81" s="452"/>
      <c r="CJ81" s="452"/>
      <c r="CK81" s="452"/>
      <c r="CL81" s="452"/>
      <c r="CM81" s="1004"/>
      <c r="CN81" s="1004"/>
      <c r="CO81" s="452"/>
      <c r="CP81" s="452"/>
      <c r="CQ81" s="452"/>
      <c r="CR81" s="452"/>
      <c r="CS81" s="1004"/>
      <c r="CT81" s="1004"/>
      <c r="CU81" s="452"/>
      <c r="CV81" s="452"/>
      <c r="CW81" s="452"/>
      <c r="CX81" s="452"/>
      <c r="CY81" s="1002"/>
      <c r="CZ81" s="1003"/>
      <c r="DA81" s="452"/>
      <c r="DB81" s="452"/>
      <c r="DC81" s="452"/>
      <c r="DD81" s="452"/>
      <c r="DE81" s="1002"/>
      <c r="DF81" s="1003"/>
      <c r="DG81" s="452"/>
      <c r="DH81" s="452"/>
      <c r="DI81" s="452"/>
      <c r="DJ81" s="452"/>
      <c r="DK81" s="1002"/>
      <c r="DL81" s="1003"/>
      <c r="DM81" s="452"/>
      <c r="DN81" s="452"/>
      <c r="DO81" s="452"/>
      <c r="DP81" s="452"/>
      <c r="DQ81" s="1002"/>
      <c r="DR81" s="1003"/>
      <c r="DS81" s="452"/>
      <c r="DT81" s="452"/>
      <c r="DU81" s="452"/>
      <c r="DV81" s="452"/>
      <c r="DW81" s="1002"/>
      <c r="DX81" s="1003"/>
      <c r="DY81" s="452"/>
      <c r="DZ81" s="452"/>
      <c r="EA81" s="452"/>
      <c r="EB81" s="452"/>
      <c r="EC81" s="1002"/>
      <c r="ED81" s="1003"/>
      <c r="EE81" s="452"/>
      <c r="EF81" s="452"/>
      <c r="EG81" s="452"/>
      <c r="EH81" s="452"/>
      <c r="EI81" s="1002"/>
      <c r="EJ81" s="1003"/>
      <c r="EK81" s="452">
        <v>1250</v>
      </c>
      <c r="EL81" s="452">
        <f t="shared" si="110"/>
        <v>1250</v>
      </c>
      <c r="EM81" s="452">
        <f t="shared" si="110"/>
        <v>1250</v>
      </c>
      <c r="EN81" s="452">
        <f t="shared" si="110"/>
        <v>1250</v>
      </c>
      <c r="EO81" s="1002"/>
      <c r="EP81" s="1003"/>
      <c r="EQ81" s="452">
        <f>EN81</f>
        <v>1250</v>
      </c>
      <c r="ER81" s="452">
        <f t="shared" si="111"/>
        <v>1250</v>
      </c>
      <c r="ES81" s="452">
        <f t="shared" si="111"/>
        <v>1250</v>
      </c>
      <c r="ET81" s="452">
        <f t="shared" si="111"/>
        <v>1250</v>
      </c>
      <c r="EU81" s="1002"/>
      <c r="EV81" s="1003"/>
      <c r="EW81" s="452">
        <f>ET81</f>
        <v>1250</v>
      </c>
      <c r="EX81" s="452">
        <f t="shared" si="112"/>
        <v>1250</v>
      </c>
      <c r="EY81" s="452">
        <f t="shared" si="112"/>
        <v>1250</v>
      </c>
      <c r="EZ81" s="452">
        <f t="shared" si="112"/>
        <v>1250</v>
      </c>
      <c r="FA81" s="1002"/>
      <c r="FB81" s="1003"/>
      <c r="FC81" s="452">
        <f t="shared" si="79"/>
        <v>1250</v>
      </c>
      <c r="FD81" s="452">
        <f t="shared" si="107"/>
        <v>1250</v>
      </c>
      <c r="FE81" s="452">
        <f t="shared" si="108"/>
        <v>1250</v>
      </c>
      <c r="FF81" s="452">
        <f t="shared" si="109"/>
        <v>1250</v>
      </c>
      <c r="FG81" s="1002"/>
      <c r="FH81" s="1003"/>
      <c r="FI81" s="452">
        <f t="shared" si="82"/>
        <v>1250</v>
      </c>
      <c r="FJ81" s="452">
        <f t="shared" si="85"/>
        <v>1250</v>
      </c>
      <c r="FK81" s="452">
        <f t="shared" si="86"/>
        <v>1250</v>
      </c>
      <c r="FL81" s="452">
        <f t="shared" si="87"/>
        <v>1250</v>
      </c>
      <c r="FM81" s="1002"/>
      <c r="FN81" s="853"/>
      <c r="FO81" s="853"/>
      <c r="FP81" s="853"/>
      <c r="FQ81" s="853"/>
      <c r="FR81"/>
      <c r="FS81"/>
      <c r="FT81"/>
      <c r="FU81"/>
      <c r="FV81"/>
      <c r="FW81"/>
      <c r="FX81" s="942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</row>
    <row r="82" spans="1:274" s="856" customFormat="1" ht="12" hidden="1" customHeight="1" outlineLevel="1" x14ac:dyDescent="0.2">
      <c r="A82" s="44" t="s">
        <v>1218</v>
      </c>
      <c r="B82" s="1001"/>
      <c r="C82" s="1002"/>
      <c r="D82" s="1002"/>
      <c r="E82" s="1002"/>
      <c r="F82" s="1002"/>
      <c r="G82" s="1002"/>
      <c r="H82" s="1002"/>
      <c r="I82" s="1002"/>
      <c r="J82" s="1002"/>
      <c r="K82" s="1002"/>
      <c r="L82" s="1002"/>
      <c r="M82" s="1002"/>
      <c r="N82" s="1002"/>
      <c r="O82" s="1002"/>
      <c r="P82" s="1002"/>
      <c r="Q82" s="1002"/>
      <c r="R82" s="1002"/>
      <c r="S82" s="1002"/>
      <c r="T82" s="1002"/>
      <c r="U82" s="1002"/>
      <c r="V82" s="1002"/>
      <c r="W82" s="1002"/>
      <c r="X82" s="1002"/>
      <c r="Y82" s="1002"/>
      <c r="Z82" s="1002"/>
      <c r="AA82" s="1002"/>
      <c r="AB82" s="1002"/>
      <c r="AC82" s="1002"/>
      <c r="AD82" s="1002"/>
      <c r="AE82" s="1002"/>
      <c r="AF82" s="1002"/>
      <c r="AG82" s="1002"/>
      <c r="AH82" s="1002"/>
      <c r="AI82" s="1002"/>
      <c r="AJ82" s="1002"/>
      <c r="AK82" s="1002"/>
      <c r="AL82" s="1002"/>
      <c r="AM82" s="1002"/>
      <c r="AN82" s="1002"/>
      <c r="AO82" s="1002"/>
      <c r="AP82" s="1002"/>
      <c r="AQ82" s="1002"/>
      <c r="AR82" s="1002"/>
      <c r="AS82" s="1002"/>
      <c r="AT82" s="1002"/>
      <c r="AU82" s="1002"/>
      <c r="AV82" s="1002"/>
      <c r="AW82" s="451"/>
      <c r="AX82" s="1002"/>
      <c r="AY82" s="1002"/>
      <c r="AZ82" s="1002"/>
      <c r="BA82" s="1002"/>
      <c r="BB82" s="1002"/>
      <c r="BC82" s="451"/>
      <c r="BD82" s="1002"/>
      <c r="BE82" s="1002"/>
      <c r="BF82" s="1002"/>
      <c r="BG82" s="1002"/>
      <c r="BH82" s="1002"/>
      <c r="BI82" s="451"/>
      <c r="BJ82" s="1002"/>
      <c r="BK82" s="451"/>
      <c r="BL82" s="451"/>
      <c r="BM82" s="451"/>
      <c r="BN82" s="451"/>
      <c r="BO82" s="451"/>
      <c r="BP82" s="1002"/>
      <c r="BQ82" s="451"/>
      <c r="BR82" s="451"/>
      <c r="BS82" s="451"/>
      <c r="BT82" s="451"/>
      <c r="BU82" s="451"/>
      <c r="BV82" s="1002"/>
      <c r="BW82" s="451"/>
      <c r="BX82" s="451"/>
      <c r="BY82" s="451"/>
      <c r="BZ82" s="451"/>
      <c r="CA82" s="451"/>
      <c r="CB82" s="1003"/>
      <c r="CC82" s="451"/>
      <c r="CD82" s="451"/>
      <c r="CE82" s="452"/>
      <c r="CF82" s="452"/>
      <c r="CG82" s="1004"/>
      <c r="CH82" s="1004"/>
      <c r="CI82" s="452"/>
      <c r="CJ82" s="452"/>
      <c r="CK82" s="452"/>
      <c r="CL82" s="452"/>
      <c r="CM82" s="1004"/>
      <c r="CN82" s="1004"/>
      <c r="CO82" s="452"/>
      <c r="CP82" s="452"/>
      <c r="CQ82" s="452"/>
      <c r="CR82" s="452"/>
      <c r="CS82" s="1004"/>
      <c r="CT82" s="1004"/>
      <c r="CU82" s="452"/>
      <c r="CV82" s="452"/>
      <c r="CW82" s="452"/>
      <c r="CX82" s="452"/>
      <c r="CY82" s="1002"/>
      <c r="CZ82" s="1003"/>
      <c r="DA82" s="452"/>
      <c r="DB82" s="452"/>
      <c r="DC82" s="452"/>
      <c r="DD82" s="452"/>
      <c r="DE82" s="1002"/>
      <c r="DF82" s="1003"/>
      <c r="DG82" s="452"/>
      <c r="DH82" s="452"/>
      <c r="DI82" s="452"/>
      <c r="DJ82" s="452"/>
      <c r="DK82" s="1002"/>
      <c r="DL82" s="1003"/>
      <c r="DM82" s="452"/>
      <c r="DN82" s="452"/>
      <c r="DO82" s="452"/>
      <c r="DP82" s="452"/>
      <c r="DQ82" s="1002"/>
      <c r="DR82" s="1003"/>
      <c r="DS82" s="452"/>
      <c r="DT82" s="452"/>
      <c r="DU82" s="452"/>
      <c r="DV82" s="452"/>
      <c r="DW82" s="1002"/>
      <c r="DX82" s="1003"/>
      <c r="DY82" s="452"/>
      <c r="DZ82" s="452"/>
      <c r="EA82" s="452"/>
      <c r="EB82" s="452"/>
      <c r="EC82" s="1002"/>
      <c r="ED82" s="1003"/>
      <c r="EE82" s="452"/>
      <c r="EF82" s="452"/>
      <c r="EG82" s="452"/>
      <c r="EH82" s="452"/>
      <c r="EI82" s="1002"/>
      <c r="EJ82" s="1003"/>
      <c r="EK82" s="452"/>
      <c r="EL82" s="452"/>
      <c r="EM82" s="452"/>
      <c r="EN82" s="452"/>
      <c r="EO82" s="1002"/>
      <c r="EP82" s="1003"/>
      <c r="EQ82" s="452">
        <v>1250</v>
      </c>
      <c r="ER82" s="452">
        <f t="shared" si="111"/>
        <v>1250</v>
      </c>
      <c r="ES82" s="452">
        <f t="shared" si="111"/>
        <v>1250</v>
      </c>
      <c r="ET82" s="452">
        <f t="shared" si="111"/>
        <v>1250</v>
      </c>
      <c r="EU82" s="1002"/>
      <c r="EV82" s="1003"/>
      <c r="EW82" s="452">
        <f>ET82</f>
        <v>1250</v>
      </c>
      <c r="EX82" s="452">
        <f t="shared" si="112"/>
        <v>1250</v>
      </c>
      <c r="EY82" s="452">
        <f t="shared" si="112"/>
        <v>1250</v>
      </c>
      <c r="EZ82" s="452">
        <f t="shared" si="112"/>
        <v>1250</v>
      </c>
      <c r="FA82" s="1002"/>
      <c r="FB82" s="1003"/>
      <c r="FC82" s="452">
        <f t="shared" si="79"/>
        <v>1250</v>
      </c>
      <c r="FD82" s="452">
        <f>FC82</f>
        <v>1250</v>
      </c>
      <c r="FE82" s="452">
        <f>FD82</f>
        <v>1250</v>
      </c>
      <c r="FF82" s="452">
        <f>FE82</f>
        <v>1250</v>
      </c>
      <c r="FG82" s="1002"/>
      <c r="FH82" s="1003"/>
      <c r="FI82" s="452">
        <f t="shared" si="82"/>
        <v>1250</v>
      </c>
      <c r="FJ82" s="452">
        <f>FI82</f>
        <v>1250</v>
      </c>
      <c r="FK82" s="452">
        <f>FJ82</f>
        <v>1250</v>
      </c>
      <c r="FL82" s="452">
        <f>FK82</f>
        <v>1250</v>
      </c>
      <c r="FM82" s="1002"/>
      <c r="FN82" s="853"/>
      <c r="FO82" s="853"/>
      <c r="FP82" s="853"/>
      <c r="FQ82" s="853"/>
      <c r="FR82"/>
      <c r="FS82"/>
      <c r="FT82"/>
      <c r="FU82"/>
      <c r="FV82"/>
      <c r="FW82"/>
      <c r="FX82" s="94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</row>
    <row r="83" spans="1:274" s="856" customFormat="1" ht="12" hidden="1" customHeight="1" outlineLevel="1" x14ac:dyDescent="0.2">
      <c r="A83" s="44" t="s">
        <v>1299</v>
      </c>
      <c r="B83" s="1001"/>
      <c r="C83" s="1002"/>
      <c r="D83" s="1002"/>
      <c r="E83" s="1002"/>
      <c r="F83" s="1002"/>
      <c r="G83" s="1002"/>
      <c r="H83" s="1002"/>
      <c r="I83" s="1002"/>
      <c r="J83" s="1002"/>
      <c r="K83" s="1002"/>
      <c r="L83" s="1002"/>
      <c r="M83" s="1002"/>
      <c r="N83" s="1002"/>
      <c r="O83" s="1002"/>
      <c r="P83" s="1002"/>
      <c r="Q83" s="1002"/>
      <c r="R83" s="1002"/>
      <c r="S83" s="1002"/>
      <c r="T83" s="1002"/>
      <c r="U83" s="1002"/>
      <c r="V83" s="1002"/>
      <c r="W83" s="1002"/>
      <c r="X83" s="1002"/>
      <c r="Y83" s="1002"/>
      <c r="Z83" s="1002"/>
      <c r="AA83" s="1002"/>
      <c r="AB83" s="1002"/>
      <c r="AC83" s="1002"/>
      <c r="AD83" s="1002"/>
      <c r="AE83" s="1002"/>
      <c r="AF83" s="1002"/>
      <c r="AG83" s="1002"/>
      <c r="AH83" s="1002"/>
      <c r="AI83" s="1002"/>
      <c r="AJ83" s="1002"/>
      <c r="AK83" s="1002"/>
      <c r="AL83" s="1002"/>
      <c r="AM83" s="1002"/>
      <c r="AN83" s="1002"/>
      <c r="AO83" s="1002"/>
      <c r="AP83" s="1002"/>
      <c r="AQ83" s="1002"/>
      <c r="AR83" s="1002"/>
      <c r="AS83" s="1002"/>
      <c r="AT83" s="1002"/>
      <c r="AU83" s="1002"/>
      <c r="AV83" s="1002"/>
      <c r="AW83" s="451"/>
      <c r="AX83" s="1002"/>
      <c r="AY83" s="1002"/>
      <c r="AZ83" s="1002"/>
      <c r="BA83" s="1002"/>
      <c r="BB83" s="1002"/>
      <c r="BC83" s="451"/>
      <c r="BD83" s="1002"/>
      <c r="BE83" s="1002"/>
      <c r="BF83" s="1002"/>
      <c r="BG83" s="1002"/>
      <c r="BH83" s="1002"/>
      <c r="BI83" s="451"/>
      <c r="BJ83" s="1002"/>
      <c r="BK83" s="451"/>
      <c r="BL83" s="451"/>
      <c r="BM83" s="451"/>
      <c r="BN83" s="451"/>
      <c r="BO83" s="451"/>
      <c r="BP83" s="1002"/>
      <c r="BQ83" s="451"/>
      <c r="BR83" s="451"/>
      <c r="BS83" s="451"/>
      <c r="BT83" s="451"/>
      <c r="BU83" s="451"/>
      <c r="BV83" s="1002"/>
      <c r="BW83" s="451"/>
      <c r="BX83" s="451"/>
      <c r="BY83" s="451"/>
      <c r="BZ83" s="451"/>
      <c r="CA83" s="451"/>
      <c r="CB83" s="1003"/>
      <c r="CC83" s="451"/>
      <c r="CD83" s="451"/>
      <c r="CE83" s="452"/>
      <c r="CF83" s="452"/>
      <c r="CG83" s="1004"/>
      <c r="CH83" s="1004"/>
      <c r="CI83" s="452"/>
      <c r="CJ83" s="452"/>
      <c r="CK83" s="452"/>
      <c r="CL83" s="452"/>
      <c r="CM83" s="1004"/>
      <c r="CN83" s="1004"/>
      <c r="CO83" s="452"/>
      <c r="CP83" s="452"/>
      <c r="CQ83" s="452"/>
      <c r="CR83" s="452"/>
      <c r="CS83" s="1004"/>
      <c r="CT83" s="1004"/>
      <c r="CU83" s="452"/>
      <c r="CV83" s="452"/>
      <c r="CW83" s="452"/>
      <c r="CX83" s="452"/>
      <c r="CY83" s="1002"/>
      <c r="CZ83" s="1003"/>
      <c r="DA83" s="452"/>
      <c r="DB83" s="452"/>
      <c r="DC83" s="452"/>
      <c r="DD83" s="452"/>
      <c r="DE83" s="1002"/>
      <c r="DF83" s="1003"/>
      <c r="DG83" s="452"/>
      <c r="DH83" s="452"/>
      <c r="DI83" s="452"/>
      <c r="DJ83" s="452"/>
      <c r="DK83" s="1002"/>
      <c r="DL83" s="1003"/>
      <c r="DM83" s="452"/>
      <c r="DN83" s="452"/>
      <c r="DO83" s="452"/>
      <c r="DP83" s="452"/>
      <c r="DQ83" s="1002"/>
      <c r="DR83" s="1003"/>
      <c r="DS83" s="452"/>
      <c r="DT83" s="452"/>
      <c r="DU83" s="452"/>
      <c r="DV83" s="452"/>
      <c r="DW83" s="1002"/>
      <c r="DX83" s="1003"/>
      <c r="DY83" s="452"/>
      <c r="DZ83" s="452"/>
      <c r="EA83" s="452"/>
      <c r="EB83" s="452"/>
      <c r="EC83" s="1002"/>
      <c r="ED83" s="1003"/>
      <c r="EE83" s="452"/>
      <c r="EF83" s="452"/>
      <c r="EG83" s="452"/>
      <c r="EH83" s="452"/>
      <c r="EI83" s="1002"/>
      <c r="EJ83" s="1003"/>
      <c r="EK83" s="452"/>
      <c r="EL83" s="452"/>
      <c r="EM83" s="452"/>
      <c r="EN83" s="452"/>
      <c r="EO83" s="1002"/>
      <c r="EP83" s="1003"/>
      <c r="EQ83" s="452"/>
      <c r="ER83" s="452"/>
      <c r="ES83" s="452"/>
      <c r="ET83" s="452"/>
      <c r="EU83" s="1002"/>
      <c r="EV83" s="1003"/>
      <c r="EW83" s="452"/>
      <c r="EX83" s="452">
        <v>1750</v>
      </c>
      <c r="EY83" s="452">
        <v>1750</v>
      </c>
      <c r="EZ83" s="452">
        <v>1750</v>
      </c>
      <c r="FA83" s="1002"/>
      <c r="FB83" s="1003"/>
      <c r="FC83" s="452">
        <v>1750</v>
      </c>
      <c r="FD83" s="452">
        <v>1750</v>
      </c>
      <c r="FE83" s="452">
        <v>1750</v>
      </c>
      <c r="FF83" s="452">
        <v>1750</v>
      </c>
      <c r="FG83" s="1002"/>
      <c r="FH83" s="1003"/>
      <c r="FI83" s="452">
        <v>1750</v>
      </c>
      <c r="FJ83" s="452">
        <v>1750</v>
      </c>
      <c r="FK83" s="452">
        <v>1750</v>
      </c>
      <c r="FL83" s="452">
        <v>1750</v>
      </c>
      <c r="FM83" s="1002"/>
      <c r="FN83" s="853"/>
      <c r="FO83" s="853"/>
      <c r="FP83" s="853"/>
      <c r="FQ83" s="853"/>
      <c r="FR83"/>
      <c r="FS83"/>
      <c r="FT83"/>
      <c r="FU83"/>
      <c r="FV83"/>
      <c r="FW83"/>
      <c r="FX83" s="942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</row>
    <row r="84" spans="1:274" s="856" customFormat="1" ht="12" hidden="1" customHeight="1" outlineLevel="1" x14ac:dyDescent="0.2">
      <c r="A84" s="44" t="s">
        <v>924</v>
      </c>
      <c r="B84" s="1001"/>
      <c r="C84" s="1002"/>
      <c r="D84" s="1002"/>
      <c r="E84" s="1002"/>
      <c r="F84" s="1002"/>
      <c r="G84" s="1002"/>
      <c r="H84" s="1002"/>
      <c r="I84" s="1002"/>
      <c r="J84" s="1002"/>
      <c r="K84" s="1002"/>
      <c r="L84" s="1002"/>
      <c r="M84" s="1002"/>
      <c r="N84" s="1002"/>
      <c r="O84" s="1002"/>
      <c r="P84" s="1002"/>
      <c r="Q84" s="1002"/>
      <c r="R84" s="1002"/>
      <c r="S84" s="1002"/>
      <c r="T84" s="1002"/>
      <c r="U84" s="1002"/>
      <c r="V84" s="1002"/>
      <c r="W84" s="1002"/>
      <c r="X84" s="1002"/>
      <c r="Y84" s="1002"/>
      <c r="Z84" s="1002"/>
      <c r="AA84" s="1002"/>
      <c r="AB84" s="1002"/>
      <c r="AC84" s="1002"/>
      <c r="AD84" s="1002"/>
      <c r="AE84" s="1002"/>
      <c r="AF84" s="1002"/>
      <c r="AG84" s="1002"/>
      <c r="AH84" s="1002"/>
      <c r="AI84" s="1002"/>
      <c r="AJ84" s="1002"/>
      <c r="AK84" s="1002"/>
      <c r="AL84" s="1002"/>
      <c r="AM84" s="1002"/>
      <c r="AN84" s="1002"/>
      <c r="AO84" s="1002"/>
      <c r="AP84" s="1002"/>
      <c r="AQ84" s="1002"/>
      <c r="AR84" s="1002"/>
      <c r="AS84" s="1002"/>
      <c r="AT84" s="1002"/>
      <c r="AU84" s="1002"/>
      <c r="AV84" s="1002"/>
      <c r="AW84" s="451"/>
      <c r="AX84" s="1002"/>
      <c r="AY84" s="1002"/>
      <c r="AZ84" s="1002"/>
      <c r="BA84" s="1002"/>
      <c r="BB84" s="1002"/>
      <c r="BC84" s="451"/>
      <c r="BD84" s="1002"/>
      <c r="BE84" s="1002"/>
      <c r="BF84" s="1002"/>
      <c r="BG84" s="1002"/>
      <c r="BH84" s="1002"/>
      <c r="BI84" s="451"/>
      <c r="BJ84" s="1002"/>
      <c r="BK84" s="451"/>
      <c r="BL84" s="451"/>
      <c r="BM84" s="451"/>
      <c r="BN84" s="451"/>
      <c r="BO84" s="451"/>
      <c r="BP84" s="1002"/>
      <c r="BQ84" s="451"/>
      <c r="BR84" s="451"/>
      <c r="BS84" s="451"/>
      <c r="BT84" s="451"/>
      <c r="BU84" s="451"/>
      <c r="BV84" s="1002"/>
      <c r="BW84" s="451"/>
      <c r="BX84" s="451"/>
      <c r="BY84" s="451"/>
      <c r="BZ84" s="451"/>
      <c r="CA84" s="451"/>
      <c r="CB84" s="1003"/>
      <c r="CC84" s="451"/>
      <c r="CD84" s="451"/>
      <c r="CE84" s="452"/>
      <c r="CF84" s="452"/>
      <c r="CG84" s="1004"/>
      <c r="CH84" s="1004"/>
      <c r="CI84" s="452"/>
      <c r="CJ84" s="452"/>
      <c r="CK84" s="452"/>
      <c r="CL84" s="452"/>
      <c r="CM84" s="1004"/>
      <c r="CN84" s="1004"/>
      <c r="CO84" s="452"/>
      <c r="CP84" s="452"/>
      <c r="CQ84" s="452"/>
      <c r="CR84" s="452">
        <v>1250</v>
      </c>
      <c r="CS84" s="1004"/>
      <c r="CT84" s="1004"/>
      <c r="CU84" s="452">
        <f>CR84</f>
        <v>1250</v>
      </c>
      <c r="CV84" s="452">
        <f>CU84</f>
        <v>1250</v>
      </c>
      <c r="CW84" s="452">
        <f>CV84</f>
        <v>1250</v>
      </c>
      <c r="CX84" s="452">
        <f>CW84</f>
        <v>1250</v>
      </c>
      <c r="CY84" s="1002"/>
      <c r="CZ84" s="1003"/>
      <c r="DA84" s="452">
        <f>CX84</f>
        <v>1250</v>
      </c>
      <c r="DB84" s="452">
        <f t="shared" ref="DB84:DD85" si="113">DA84</f>
        <v>1250</v>
      </c>
      <c r="DC84" s="452">
        <f t="shared" si="113"/>
        <v>1250</v>
      </c>
      <c r="DD84" s="452">
        <f t="shared" si="113"/>
        <v>1250</v>
      </c>
      <c r="DE84" s="1002"/>
      <c r="DF84" s="1003"/>
      <c r="DG84" s="452">
        <f>DD84</f>
        <v>1250</v>
      </c>
      <c r="DH84" s="452">
        <f>DG84</f>
        <v>1250</v>
      </c>
      <c r="DI84" s="452">
        <f>DH84</f>
        <v>1250</v>
      </c>
      <c r="DJ84" s="452">
        <f>DI84</f>
        <v>1250</v>
      </c>
      <c r="DK84" s="1002"/>
      <c r="DL84" s="1003"/>
      <c r="DM84" s="452">
        <f>DJ84</f>
        <v>1250</v>
      </c>
      <c r="DN84" s="452">
        <f t="shared" ref="DN84:DP86" si="114">DM84</f>
        <v>1250</v>
      </c>
      <c r="DO84" s="452">
        <f t="shared" si="114"/>
        <v>1250</v>
      </c>
      <c r="DP84" s="452">
        <f t="shared" si="114"/>
        <v>1250</v>
      </c>
      <c r="DQ84" s="1002"/>
      <c r="DR84" s="1003"/>
      <c r="DS84" s="452">
        <f>DP84</f>
        <v>1250</v>
      </c>
      <c r="DT84" s="452">
        <f t="shared" ref="DT84:DV86" si="115">DS84</f>
        <v>1250</v>
      </c>
      <c r="DU84" s="452">
        <f t="shared" si="115"/>
        <v>1250</v>
      </c>
      <c r="DV84" s="452">
        <f t="shared" si="115"/>
        <v>1250</v>
      </c>
      <c r="DW84" s="1002"/>
      <c r="DX84" s="1003"/>
      <c r="DY84" s="452">
        <f>DV84</f>
        <v>1250</v>
      </c>
      <c r="DZ84" s="452">
        <f t="shared" ref="DZ84:EB86" si="116">DY84</f>
        <v>1250</v>
      </c>
      <c r="EA84" s="452">
        <f t="shared" si="116"/>
        <v>1250</v>
      </c>
      <c r="EB84" s="452">
        <f t="shared" si="116"/>
        <v>1250</v>
      </c>
      <c r="EC84" s="1002"/>
      <c r="ED84" s="1003"/>
      <c r="EE84" s="452">
        <f>EB84</f>
        <v>1250</v>
      </c>
      <c r="EF84" s="452">
        <f>EE84</f>
        <v>1250</v>
      </c>
      <c r="EG84" s="452">
        <f>EF84</f>
        <v>1250</v>
      </c>
      <c r="EH84" s="452">
        <f>EG84</f>
        <v>1250</v>
      </c>
      <c r="EI84" s="1002"/>
      <c r="EJ84" s="1003"/>
      <c r="EK84" s="452">
        <f>EH84</f>
        <v>1250</v>
      </c>
      <c r="EL84" s="452">
        <f t="shared" ref="EL84:EN86" si="117">EK84</f>
        <v>1250</v>
      </c>
      <c r="EM84" s="452">
        <f t="shared" si="117"/>
        <v>1250</v>
      </c>
      <c r="EN84" s="452">
        <f t="shared" si="117"/>
        <v>1250</v>
      </c>
      <c r="EO84" s="1002"/>
      <c r="EP84" s="1003"/>
      <c r="EQ84" s="452">
        <f t="shared" si="94"/>
        <v>1250</v>
      </c>
      <c r="ER84" s="452">
        <f t="shared" ref="ER84:ET86" si="118">EQ84</f>
        <v>1250</v>
      </c>
      <c r="ES84" s="452">
        <f t="shared" si="118"/>
        <v>1250</v>
      </c>
      <c r="ET84" s="452">
        <f t="shared" si="118"/>
        <v>1250</v>
      </c>
      <c r="EU84" s="1002"/>
      <c r="EV84" s="1003"/>
      <c r="EW84" s="452">
        <f t="shared" si="91"/>
        <v>1250</v>
      </c>
      <c r="EX84" s="452">
        <f t="shared" ref="EX84:EZ86" si="119">EW84</f>
        <v>1250</v>
      </c>
      <c r="EY84" s="452">
        <f t="shared" si="119"/>
        <v>1250</v>
      </c>
      <c r="EZ84" s="452">
        <f t="shared" si="119"/>
        <v>1250</v>
      </c>
      <c r="FA84" s="1002"/>
      <c r="FB84" s="1003"/>
      <c r="FC84" s="452">
        <f t="shared" si="79"/>
        <v>1250</v>
      </c>
      <c r="FD84" s="452">
        <f t="shared" si="107"/>
        <v>1250</v>
      </c>
      <c r="FE84" s="452">
        <f t="shared" si="108"/>
        <v>1250</v>
      </c>
      <c r="FF84" s="452">
        <f t="shared" si="109"/>
        <v>1250</v>
      </c>
      <c r="FG84" s="1002"/>
      <c r="FH84" s="1003"/>
      <c r="FI84" s="452">
        <f t="shared" si="82"/>
        <v>1250</v>
      </c>
      <c r="FJ84" s="452">
        <f t="shared" ref="FJ84:FJ86" si="120">FI84</f>
        <v>1250</v>
      </c>
      <c r="FK84" s="452">
        <f t="shared" ref="FK84:FK86" si="121">FJ84</f>
        <v>1250</v>
      </c>
      <c r="FL84" s="452">
        <f t="shared" ref="FL84:FL86" si="122">FK84</f>
        <v>1250</v>
      </c>
      <c r="FM84" s="1002"/>
      <c r="FN84" s="853"/>
      <c r="FO84" s="853"/>
      <c r="FP84" s="853"/>
      <c r="FQ84" s="853"/>
      <c r="FR84"/>
      <c r="FS84"/>
      <c r="FT84"/>
      <c r="FU84"/>
      <c r="FV84"/>
      <c r="FW84"/>
      <c r="FX84" s="942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</row>
    <row r="85" spans="1:274" s="856" customFormat="1" ht="12" hidden="1" customHeight="1" outlineLevel="1" x14ac:dyDescent="0.2">
      <c r="A85" s="44" t="s">
        <v>171</v>
      </c>
      <c r="B85" s="1001"/>
      <c r="C85" s="1002"/>
      <c r="D85" s="1002"/>
      <c r="E85" s="1002"/>
      <c r="F85" s="1002"/>
      <c r="G85" s="1002"/>
      <c r="H85" s="1002"/>
      <c r="I85" s="1002"/>
      <c r="J85" s="1002"/>
      <c r="K85" s="1002"/>
      <c r="L85" s="1002"/>
      <c r="M85" s="1002"/>
      <c r="N85" s="1002"/>
      <c r="O85" s="1002"/>
      <c r="P85" s="1002"/>
      <c r="Q85" s="1002"/>
      <c r="R85" s="1002"/>
      <c r="S85" s="1002"/>
      <c r="T85" s="1002"/>
      <c r="U85" s="1002"/>
      <c r="V85" s="1002"/>
      <c r="W85" s="1002"/>
      <c r="X85" s="1002"/>
      <c r="Y85" s="1002"/>
      <c r="Z85" s="1002"/>
      <c r="AA85" s="1002"/>
      <c r="AB85" s="1002"/>
      <c r="AC85" s="1002"/>
      <c r="AD85" s="1002"/>
      <c r="AE85" s="1002"/>
      <c r="AF85" s="1002"/>
      <c r="AG85" s="1002"/>
      <c r="AH85" s="1002"/>
      <c r="AI85" s="1002"/>
      <c r="AJ85" s="1002"/>
      <c r="AK85" s="1002"/>
      <c r="AL85" s="1002"/>
      <c r="AM85" s="1002"/>
      <c r="AN85" s="1002"/>
      <c r="AO85" s="1002"/>
      <c r="AP85" s="1002"/>
      <c r="AQ85" s="1002"/>
      <c r="AR85" s="1002"/>
      <c r="AS85" s="1002"/>
      <c r="AT85" s="1002"/>
      <c r="AU85" s="1002"/>
      <c r="AV85" s="1002"/>
      <c r="AW85" s="451"/>
      <c r="AX85" s="1002"/>
      <c r="AY85" s="1002"/>
      <c r="AZ85" s="1002"/>
      <c r="BA85" s="1002"/>
      <c r="BB85" s="1002"/>
      <c r="BC85" s="451"/>
      <c r="BD85" s="1002"/>
      <c r="BE85" s="1002"/>
      <c r="BF85" s="1002"/>
      <c r="BG85" s="1002"/>
      <c r="BH85" s="1002"/>
      <c r="BI85" s="451"/>
      <c r="BJ85" s="1002"/>
      <c r="BK85" s="451"/>
      <c r="BL85" s="451"/>
      <c r="BM85" s="451"/>
      <c r="BN85" s="451"/>
      <c r="BO85" s="451"/>
      <c r="BP85" s="1002"/>
      <c r="BQ85" s="451"/>
      <c r="BR85" s="451"/>
      <c r="BS85" s="451"/>
      <c r="BT85" s="451"/>
      <c r="BU85" s="451"/>
      <c r="BV85" s="1002"/>
      <c r="BW85" s="451"/>
      <c r="BX85" s="451"/>
      <c r="BY85" s="451"/>
      <c r="BZ85" s="451"/>
      <c r="CA85" s="451"/>
      <c r="CB85" s="1003"/>
      <c r="CC85" s="451"/>
      <c r="CD85" s="451"/>
      <c r="CE85" s="452"/>
      <c r="CF85" s="452"/>
      <c r="CG85" s="1004"/>
      <c r="CH85" s="1004"/>
      <c r="CI85" s="452"/>
      <c r="CJ85" s="452"/>
      <c r="CK85" s="452"/>
      <c r="CL85" s="452"/>
      <c r="CM85" s="1004"/>
      <c r="CN85" s="1004"/>
      <c r="CO85" s="452"/>
      <c r="CP85" s="452"/>
      <c r="CQ85" s="452"/>
      <c r="CR85" s="452"/>
      <c r="CS85" s="1004"/>
      <c r="CT85" s="1004"/>
      <c r="CU85" s="452"/>
      <c r="CV85" s="452"/>
      <c r="CW85" s="452"/>
      <c r="CX85" s="452"/>
      <c r="CY85" s="1002"/>
      <c r="CZ85" s="1003"/>
      <c r="DA85" s="452">
        <v>1250</v>
      </c>
      <c r="DB85" s="452">
        <f t="shared" si="113"/>
        <v>1250</v>
      </c>
      <c r="DC85" s="452">
        <f t="shared" si="113"/>
        <v>1250</v>
      </c>
      <c r="DD85" s="452">
        <f t="shared" si="113"/>
        <v>1250</v>
      </c>
      <c r="DE85" s="1002"/>
      <c r="DF85" s="1003"/>
      <c r="DG85" s="452">
        <f>DD85</f>
        <v>1250</v>
      </c>
      <c r="DH85" s="452">
        <f t="shared" ref="DH85:DJ86" si="123">DG85</f>
        <v>1250</v>
      </c>
      <c r="DI85" s="452">
        <f t="shared" si="123"/>
        <v>1250</v>
      </c>
      <c r="DJ85" s="452">
        <f t="shared" si="123"/>
        <v>1250</v>
      </c>
      <c r="DK85" s="1002"/>
      <c r="DL85" s="1003"/>
      <c r="DM85" s="452">
        <f>DJ85</f>
        <v>1250</v>
      </c>
      <c r="DN85" s="452">
        <f t="shared" si="114"/>
        <v>1250</v>
      </c>
      <c r="DO85" s="452">
        <f t="shared" si="114"/>
        <v>1250</v>
      </c>
      <c r="DP85" s="452">
        <f t="shared" si="114"/>
        <v>1250</v>
      </c>
      <c r="DQ85" s="1002"/>
      <c r="DR85" s="1003"/>
      <c r="DS85" s="452">
        <f>DP85</f>
        <v>1250</v>
      </c>
      <c r="DT85" s="452">
        <f t="shared" si="115"/>
        <v>1250</v>
      </c>
      <c r="DU85" s="452">
        <f t="shared" si="115"/>
        <v>1250</v>
      </c>
      <c r="DV85" s="452">
        <f t="shared" si="115"/>
        <v>1250</v>
      </c>
      <c r="DW85" s="1002"/>
      <c r="DX85" s="1003"/>
      <c r="DY85" s="452">
        <f>DV85</f>
        <v>1250</v>
      </c>
      <c r="DZ85" s="452">
        <f t="shared" si="116"/>
        <v>1250</v>
      </c>
      <c r="EA85" s="452">
        <f t="shared" si="116"/>
        <v>1250</v>
      </c>
      <c r="EB85" s="452">
        <f t="shared" si="116"/>
        <v>1250</v>
      </c>
      <c r="EC85" s="1002"/>
      <c r="ED85" s="1003"/>
      <c r="EE85" s="452">
        <f>EB85</f>
        <v>1250</v>
      </c>
      <c r="EF85" s="452">
        <f t="shared" ref="EF85:EH86" si="124">EE85</f>
        <v>1250</v>
      </c>
      <c r="EG85" s="452">
        <f t="shared" si="124"/>
        <v>1250</v>
      </c>
      <c r="EH85" s="452">
        <f t="shared" si="124"/>
        <v>1250</v>
      </c>
      <c r="EI85" s="1002"/>
      <c r="EJ85" s="1003"/>
      <c r="EK85" s="452">
        <f>EH85</f>
        <v>1250</v>
      </c>
      <c r="EL85" s="452">
        <f t="shared" si="117"/>
        <v>1250</v>
      </c>
      <c r="EM85" s="452">
        <f t="shared" si="117"/>
        <v>1250</v>
      </c>
      <c r="EN85" s="452">
        <f t="shared" si="117"/>
        <v>1250</v>
      </c>
      <c r="EO85" s="1002"/>
      <c r="EP85" s="1003"/>
      <c r="EQ85" s="452">
        <f t="shared" si="94"/>
        <v>1250</v>
      </c>
      <c r="ER85" s="452">
        <f t="shared" si="118"/>
        <v>1250</v>
      </c>
      <c r="ES85" s="452">
        <f t="shared" si="118"/>
        <v>1250</v>
      </c>
      <c r="ET85" s="452">
        <f t="shared" si="118"/>
        <v>1250</v>
      </c>
      <c r="EU85" s="1002"/>
      <c r="EV85" s="1003"/>
      <c r="EW85" s="452">
        <f t="shared" si="91"/>
        <v>1250</v>
      </c>
      <c r="EX85" s="452">
        <f t="shared" si="119"/>
        <v>1250</v>
      </c>
      <c r="EY85" s="452">
        <f t="shared" si="119"/>
        <v>1250</v>
      </c>
      <c r="EZ85" s="452">
        <f t="shared" si="119"/>
        <v>1250</v>
      </c>
      <c r="FA85" s="1002"/>
      <c r="FB85" s="1003"/>
      <c r="FC85" s="452">
        <f t="shared" si="79"/>
        <v>1250</v>
      </c>
      <c r="FD85" s="452">
        <f t="shared" si="107"/>
        <v>1250</v>
      </c>
      <c r="FE85" s="452">
        <f t="shared" si="108"/>
        <v>1250</v>
      </c>
      <c r="FF85" s="452">
        <f t="shared" si="109"/>
        <v>1250</v>
      </c>
      <c r="FG85" s="1002"/>
      <c r="FH85" s="1003"/>
      <c r="FI85" s="452">
        <f t="shared" si="82"/>
        <v>1250</v>
      </c>
      <c r="FJ85" s="452">
        <f t="shared" si="120"/>
        <v>1250</v>
      </c>
      <c r="FK85" s="452">
        <f t="shared" si="121"/>
        <v>1250</v>
      </c>
      <c r="FL85" s="452">
        <f t="shared" si="122"/>
        <v>1250</v>
      </c>
      <c r="FM85" s="1002"/>
      <c r="FN85" s="853"/>
      <c r="FO85" s="853"/>
      <c r="FP85" s="853"/>
      <c r="FQ85" s="853"/>
      <c r="FR85"/>
      <c r="FS85"/>
      <c r="FT85"/>
      <c r="FU85"/>
      <c r="FV85"/>
      <c r="FW85"/>
      <c r="FX85" s="942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</row>
    <row r="86" spans="1:274" s="856" customFormat="1" ht="12" hidden="1" customHeight="1" outlineLevel="1" x14ac:dyDescent="0.2">
      <c r="A86" s="44" t="s">
        <v>905</v>
      </c>
      <c r="B86" s="1001"/>
      <c r="C86" s="1002"/>
      <c r="D86" s="1002"/>
      <c r="E86" s="1002"/>
      <c r="F86" s="1002"/>
      <c r="G86" s="1002"/>
      <c r="H86" s="1002"/>
      <c r="I86" s="1002"/>
      <c r="J86" s="1002"/>
      <c r="K86" s="1002"/>
      <c r="L86" s="1002"/>
      <c r="M86" s="1002"/>
      <c r="N86" s="1002"/>
      <c r="O86" s="1002"/>
      <c r="P86" s="1002"/>
      <c r="Q86" s="1002"/>
      <c r="R86" s="1002"/>
      <c r="S86" s="1002"/>
      <c r="T86" s="1002"/>
      <c r="U86" s="1002"/>
      <c r="V86" s="1002"/>
      <c r="W86" s="1002"/>
      <c r="X86" s="1002"/>
      <c r="Y86" s="1002"/>
      <c r="Z86" s="1002"/>
      <c r="AA86" s="1002"/>
      <c r="AB86" s="1002"/>
      <c r="AC86" s="1002"/>
      <c r="AD86" s="1002"/>
      <c r="AE86" s="1002"/>
      <c r="AF86" s="1002"/>
      <c r="AG86" s="1002"/>
      <c r="AH86" s="1002"/>
      <c r="AI86" s="1002"/>
      <c r="AJ86" s="1002"/>
      <c r="AK86" s="1002"/>
      <c r="AL86" s="1002"/>
      <c r="AM86" s="1002"/>
      <c r="AN86" s="1002"/>
      <c r="AO86" s="1002"/>
      <c r="AP86" s="1002"/>
      <c r="AQ86" s="1002"/>
      <c r="AR86" s="1002"/>
      <c r="AS86" s="1002"/>
      <c r="AT86" s="1002"/>
      <c r="AU86" s="1002"/>
      <c r="AV86" s="1002"/>
      <c r="AW86" s="451"/>
      <c r="AX86" s="1002"/>
      <c r="AY86" s="1002"/>
      <c r="AZ86" s="1002"/>
      <c r="BA86" s="1002"/>
      <c r="BB86" s="1002"/>
      <c r="BC86" s="451"/>
      <c r="BD86" s="1002"/>
      <c r="BE86" s="1002"/>
      <c r="BF86" s="1002"/>
      <c r="BG86" s="1002"/>
      <c r="BH86" s="1002"/>
      <c r="BI86" s="451"/>
      <c r="BJ86" s="1002"/>
      <c r="BK86" s="451"/>
      <c r="BL86" s="451"/>
      <c r="BM86" s="451"/>
      <c r="BN86" s="451"/>
      <c r="BO86" s="451"/>
      <c r="BP86" s="1002"/>
      <c r="BQ86" s="451"/>
      <c r="BR86" s="451"/>
      <c r="BS86" s="451"/>
      <c r="BT86" s="451"/>
      <c r="BU86" s="451"/>
      <c r="BV86" s="1002"/>
      <c r="BW86" s="451"/>
      <c r="BX86" s="451"/>
      <c r="BY86" s="451"/>
      <c r="BZ86" s="451"/>
      <c r="CA86" s="451"/>
      <c r="CB86" s="1003"/>
      <c r="CC86" s="451"/>
      <c r="CD86" s="451"/>
      <c r="CE86" s="452"/>
      <c r="CF86" s="452"/>
      <c r="CG86" s="1004"/>
      <c r="CH86" s="1004"/>
      <c r="CI86" s="452"/>
      <c r="CJ86" s="452"/>
      <c r="CK86" s="452"/>
      <c r="CL86" s="452"/>
      <c r="CM86" s="1004"/>
      <c r="CN86" s="1004"/>
      <c r="CO86" s="452"/>
      <c r="CP86" s="452"/>
      <c r="CQ86" s="452"/>
      <c r="CR86" s="452"/>
      <c r="CS86" s="1004"/>
      <c r="CT86" s="1004"/>
      <c r="CU86" s="452"/>
      <c r="CV86" s="452"/>
      <c r="CW86" s="452"/>
      <c r="CX86" s="452"/>
      <c r="CY86" s="1002"/>
      <c r="CZ86" s="1003"/>
      <c r="DA86" s="452"/>
      <c r="DB86" s="452"/>
      <c r="DC86" s="452"/>
      <c r="DD86" s="452"/>
      <c r="DE86" s="1002"/>
      <c r="DF86" s="1003"/>
      <c r="DG86" s="452">
        <v>2250</v>
      </c>
      <c r="DH86" s="452">
        <f t="shared" si="123"/>
        <v>2250</v>
      </c>
      <c r="DI86" s="452">
        <f t="shared" si="123"/>
        <v>2250</v>
      </c>
      <c r="DJ86" s="452">
        <f t="shared" si="123"/>
        <v>2250</v>
      </c>
      <c r="DK86" s="1002"/>
      <c r="DL86" s="1003"/>
      <c r="DM86" s="452">
        <v>2250</v>
      </c>
      <c r="DN86" s="452">
        <f t="shared" si="114"/>
        <v>2250</v>
      </c>
      <c r="DO86" s="452">
        <f t="shared" si="114"/>
        <v>2250</v>
      </c>
      <c r="DP86" s="452">
        <f t="shared" si="114"/>
        <v>2250</v>
      </c>
      <c r="DQ86" s="1002"/>
      <c r="DR86" s="1003"/>
      <c r="DS86" s="452">
        <v>2250</v>
      </c>
      <c r="DT86" s="452">
        <f t="shared" si="115"/>
        <v>2250</v>
      </c>
      <c r="DU86" s="452">
        <f t="shared" si="115"/>
        <v>2250</v>
      </c>
      <c r="DV86" s="452">
        <f t="shared" si="115"/>
        <v>2250</v>
      </c>
      <c r="DW86" s="1002"/>
      <c r="DX86" s="1003"/>
      <c r="DY86" s="452">
        <f>DV86</f>
        <v>2250</v>
      </c>
      <c r="DZ86" s="452">
        <f t="shared" si="116"/>
        <v>2250</v>
      </c>
      <c r="EA86" s="452">
        <f t="shared" si="116"/>
        <v>2250</v>
      </c>
      <c r="EB86" s="452">
        <f t="shared" si="116"/>
        <v>2250</v>
      </c>
      <c r="EC86" s="1002"/>
      <c r="ED86" s="1003"/>
      <c r="EE86" s="452">
        <f>EB86</f>
        <v>2250</v>
      </c>
      <c r="EF86" s="452">
        <f t="shared" si="124"/>
        <v>2250</v>
      </c>
      <c r="EG86" s="452">
        <f t="shared" si="124"/>
        <v>2250</v>
      </c>
      <c r="EH86" s="452">
        <f t="shared" si="124"/>
        <v>2250</v>
      </c>
      <c r="EI86" s="1002"/>
      <c r="EJ86" s="1003"/>
      <c r="EK86" s="452">
        <f>EH86</f>
        <v>2250</v>
      </c>
      <c r="EL86" s="452">
        <f t="shared" si="117"/>
        <v>2250</v>
      </c>
      <c r="EM86" s="452">
        <f t="shared" si="117"/>
        <v>2250</v>
      </c>
      <c r="EN86" s="452">
        <f t="shared" si="117"/>
        <v>2250</v>
      </c>
      <c r="EO86" s="1002"/>
      <c r="EP86" s="1003"/>
      <c r="EQ86" s="452">
        <f t="shared" si="94"/>
        <v>2250</v>
      </c>
      <c r="ER86" s="452">
        <f t="shared" si="118"/>
        <v>2250</v>
      </c>
      <c r="ES86" s="452">
        <f t="shared" si="118"/>
        <v>2250</v>
      </c>
      <c r="ET86" s="452">
        <f t="shared" si="118"/>
        <v>2250</v>
      </c>
      <c r="EU86" s="1002"/>
      <c r="EV86" s="1003"/>
      <c r="EW86" s="452">
        <f t="shared" si="91"/>
        <v>2250</v>
      </c>
      <c r="EX86" s="452">
        <f t="shared" si="119"/>
        <v>2250</v>
      </c>
      <c r="EY86" s="452">
        <f t="shared" si="119"/>
        <v>2250</v>
      </c>
      <c r="EZ86" s="452">
        <f t="shared" si="119"/>
        <v>2250</v>
      </c>
      <c r="FA86" s="1002"/>
      <c r="FB86" s="1003"/>
      <c r="FC86" s="452">
        <f t="shared" si="79"/>
        <v>2250</v>
      </c>
      <c r="FD86" s="452">
        <f t="shared" si="107"/>
        <v>2250</v>
      </c>
      <c r="FE86" s="452">
        <f t="shared" si="108"/>
        <v>2250</v>
      </c>
      <c r="FF86" s="452">
        <f t="shared" si="109"/>
        <v>2250</v>
      </c>
      <c r="FG86" s="1002"/>
      <c r="FH86" s="1003"/>
      <c r="FI86" s="452">
        <f t="shared" si="82"/>
        <v>2250</v>
      </c>
      <c r="FJ86" s="452">
        <f t="shared" si="120"/>
        <v>2250</v>
      </c>
      <c r="FK86" s="452">
        <f t="shared" si="121"/>
        <v>2250</v>
      </c>
      <c r="FL86" s="452">
        <f t="shared" si="122"/>
        <v>2250</v>
      </c>
      <c r="FM86" s="1002"/>
      <c r="FN86" s="853"/>
      <c r="FO86" s="853"/>
      <c r="FP86" s="853"/>
      <c r="FQ86" s="853"/>
      <c r="FR86"/>
      <c r="FS86"/>
      <c r="FT86"/>
      <c r="FU86"/>
      <c r="FV86"/>
      <c r="FW86"/>
      <c r="FX86" s="942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</row>
    <row r="87" spans="1:274" s="856" customFormat="1" ht="12" hidden="1" customHeight="1" outlineLevel="1" x14ac:dyDescent="0.2">
      <c r="A87" s="44" t="s">
        <v>1208</v>
      </c>
      <c r="B87" s="1001"/>
      <c r="C87" s="1002"/>
      <c r="D87" s="1002"/>
      <c r="E87" s="1002"/>
      <c r="F87" s="1002"/>
      <c r="G87" s="1002"/>
      <c r="H87" s="1002"/>
      <c r="I87" s="1002"/>
      <c r="J87" s="1002"/>
      <c r="K87" s="1002"/>
      <c r="L87" s="1002"/>
      <c r="M87" s="1002"/>
      <c r="N87" s="1002"/>
      <c r="O87" s="1002"/>
      <c r="P87" s="1002"/>
      <c r="Q87" s="1002"/>
      <c r="R87" s="1002"/>
      <c r="S87" s="1002"/>
      <c r="T87" s="1002"/>
      <c r="U87" s="1002"/>
      <c r="V87" s="1002"/>
      <c r="W87" s="1002"/>
      <c r="X87" s="1002"/>
      <c r="Y87" s="1002"/>
      <c r="Z87" s="1002"/>
      <c r="AA87" s="1002"/>
      <c r="AB87" s="1002"/>
      <c r="AC87" s="1002"/>
      <c r="AD87" s="1002"/>
      <c r="AE87" s="1002"/>
      <c r="AF87" s="1002"/>
      <c r="AG87" s="1002"/>
      <c r="AH87" s="1002"/>
      <c r="AI87" s="1002"/>
      <c r="AJ87" s="1002"/>
      <c r="AK87" s="1002"/>
      <c r="AL87" s="1002"/>
      <c r="AM87" s="1002"/>
      <c r="AN87" s="1002"/>
      <c r="AO87" s="1002"/>
      <c r="AP87" s="1002"/>
      <c r="AQ87" s="1002"/>
      <c r="AR87" s="1002"/>
      <c r="AS87" s="1002"/>
      <c r="AT87" s="1002"/>
      <c r="AU87" s="1002"/>
      <c r="AV87" s="1002"/>
      <c r="AW87" s="451"/>
      <c r="AX87" s="1002"/>
      <c r="AY87" s="1002"/>
      <c r="AZ87" s="1002"/>
      <c r="BA87" s="1002"/>
      <c r="BB87" s="1002"/>
      <c r="BC87" s="451"/>
      <c r="BD87" s="1002"/>
      <c r="BE87" s="1002"/>
      <c r="BF87" s="1002"/>
      <c r="BG87" s="1002"/>
      <c r="BH87" s="1002"/>
      <c r="BI87" s="451"/>
      <c r="BJ87" s="1002"/>
      <c r="BK87" s="451"/>
      <c r="BL87" s="451"/>
      <c r="BM87" s="451"/>
      <c r="BN87" s="451"/>
      <c r="BO87" s="451"/>
      <c r="BP87" s="1002"/>
      <c r="BQ87" s="451"/>
      <c r="BR87" s="451"/>
      <c r="BS87" s="451"/>
      <c r="BT87" s="451"/>
      <c r="BU87" s="451"/>
      <c r="BV87" s="1002"/>
      <c r="BW87" s="451"/>
      <c r="BX87" s="451"/>
      <c r="BY87" s="451"/>
      <c r="BZ87" s="451"/>
      <c r="CA87" s="451"/>
      <c r="CB87" s="1003"/>
      <c r="CC87" s="451"/>
      <c r="CD87" s="451"/>
      <c r="CE87" s="452"/>
      <c r="CF87" s="452"/>
      <c r="CG87" s="1004"/>
      <c r="CH87" s="1004"/>
      <c r="CI87" s="452"/>
      <c r="CJ87" s="452"/>
      <c r="CK87" s="452"/>
      <c r="CL87" s="452"/>
      <c r="CM87" s="1004"/>
      <c r="CN87" s="1004"/>
      <c r="CO87" s="452"/>
      <c r="CP87" s="452"/>
      <c r="CQ87" s="452"/>
      <c r="CR87" s="452"/>
      <c r="CS87" s="1004"/>
      <c r="CT87" s="1004"/>
      <c r="CU87" s="452"/>
      <c r="CV87" s="452"/>
      <c r="CW87" s="452"/>
      <c r="CX87" s="452"/>
      <c r="CY87" s="1002"/>
      <c r="CZ87" s="1003"/>
      <c r="DA87" s="452"/>
      <c r="DB87" s="452"/>
      <c r="DC87" s="452"/>
      <c r="DD87" s="452"/>
      <c r="DE87" s="1002"/>
      <c r="DF87" s="1003"/>
      <c r="DG87" s="452"/>
      <c r="DH87" s="452"/>
      <c r="DI87" s="452"/>
      <c r="DJ87" s="452"/>
      <c r="DK87" s="1002"/>
      <c r="DL87" s="1003"/>
      <c r="DM87" s="452"/>
      <c r="DN87" s="452"/>
      <c r="DO87" s="452"/>
      <c r="DP87" s="452"/>
      <c r="DQ87" s="1002"/>
      <c r="DR87" s="1003"/>
      <c r="DS87" s="452"/>
      <c r="DT87" s="452"/>
      <c r="DU87" s="452"/>
      <c r="DV87" s="452"/>
      <c r="DW87" s="1002"/>
      <c r="DX87" s="1003"/>
      <c r="DY87" s="452"/>
      <c r="DZ87" s="452"/>
      <c r="EA87" s="452"/>
      <c r="EB87" s="452"/>
      <c r="EC87" s="1002"/>
      <c r="ED87" s="1003"/>
      <c r="EE87" s="452">
        <v>1000</v>
      </c>
      <c r="EF87" s="452">
        <v>1000</v>
      </c>
      <c r="EG87" s="452">
        <v>1000</v>
      </c>
      <c r="EH87" s="452">
        <v>1000</v>
      </c>
      <c r="EI87" s="1002"/>
      <c r="EJ87" s="1003"/>
      <c r="EK87" s="452">
        <v>1000</v>
      </c>
      <c r="EL87" s="452">
        <v>1000</v>
      </c>
      <c r="EM87" s="452">
        <v>1000</v>
      </c>
      <c r="EN87" s="452">
        <v>1000</v>
      </c>
      <c r="EO87" s="1002"/>
      <c r="EP87" s="1003"/>
      <c r="EQ87" s="452">
        <v>1000</v>
      </c>
      <c r="ER87" s="452">
        <v>1000</v>
      </c>
      <c r="ES87" s="452">
        <v>1000</v>
      </c>
      <c r="ET87" s="452">
        <v>1000</v>
      </c>
      <c r="EU87" s="1002"/>
      <c r="EV87" s="1003"/>
      <c r="EW87" s="452">
        <v>1000</v>
      </c>
      <c r="EX87" s="452">
        <v>1000</v>
      </c>
      <c r="EY87" s="452">
        <v>1000</v>
      </c>
      <c r="EZ87" s="452">
        <v>1000</v>
      </c>
      <c r="FA87" s="1002"/>
      <c r="FB87" s="1003"/>
      <c r="FC87" s="452">
        <v>1000</v>
      </c>
      <c r="FD87" s="452">
        <v>1000</v>
      </c>
      <c r="FE87" s="452">
        <v>1000</v>
      </c>
      <c r="FF87" s="452">
        <v>1000</v>
      </c>
      <c r="FG87" s="1002"/>
      <c r="FH87" s="1003"/>
      <c r="FI87" s="452">
        <v>1000</v>
      </c>
      <c r="FJ87" s="452">
        <v>1000</v>
      </c>
      <c r="FK87" s="452">
        <v>1000</v>
      </c>
      <c r="FL87" s="452">
        <v>1000</v>
      </c>
      <c r="FM87" s="1002"/>
      <c r="FN87" s="853"/>
      <c r="FO87" s="853"/>
      <c r="FP87" s="853"/>
      <c r="FQ87" s="853"/>
      <c r="FR87"/>
      <c r="FS87"/>
      <c r="FT87"/>
      <c r="FU87"/>
      <c r="FV87"/>
      <c r="FW87"/>
      <c r="FX87" s="942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</row>
    <row r="88" spans="1:274" s="856" customFormat="1" ht="12" hidden="1" customHeight="1" outlineLevel="1" x14ac:dyDescent="0.2">
      <c r="A88" s="44" t="s">
        <v>1152</v>
      </c>
      <c r="B88" s="1001"/>
      <c r="C88" s="1002"/>
      <c r="D88" s="1002"/>
      <c r="E88" s="1002"/>
      <c r="F88" s="1002"/>
      <c r="G88" s="1002"/>
      <c r="H88" s="1002"/>
      <c r="I88" s="1002"/>
      <c r="J88" s="1002"/>
      <c r="K88" s="1002"/>
      <c r="L88" s="1002"/>
      <c r="M88" s="1002"/>
      <c r="N88" s="1002"/>
      <c r="O88" s="1002"/>
      <c r="P88" s="1002"/>
      <c r="Q88" s="1002"/>
      <c r="R88" s="1002"/>
      <c r="S88" s="1002"/>
      <c r="T88" s="1002"/>
      <c r="U88" s="1002"/>
      <c r="V88" s="1002"/>
      <c r="W88" s="1002"/>
      <c r="X88" s="1002"/>
      <c r="Y88" s="1002"/>
      <c r="Z88" s="1002"/>
      <c r="AA88" s="1002"/>
      <c r="AB88" s="1002"/>
      <c r="AC88" s="1002"/>
      <c r="AD88" s="1002"/>
      <c r="AE88" s="1002"/>
      <c r="AF88" s="1002"/>
      <c r="AG88" s="1002"/>
      <c r="AH88" s="1002"/>
      <c r="AI88" s="1002"/>
      <c r="AJ88" s="1002"/>
      <c r="AK88" s="1002"/>
      <c r="AL88" s="1002"/>
      <c r="AM88" s="1002"/>
      <c r="AN88" s="1002"/>
      <c r="AO88" s="1002"/>
      <c r="AP88" s="1002"/>
      <c r="AQ88" s="1002"/>
      <c r="AR88" s="1002"/>
      <c r="AS88" s="1002"/>
      <c r="AT88" s="1002"/>
      <c r="AU88" s="1002"/>
      <c r="AV88" s="1002"/>
      <c r="AW88" s="451"/>
      <c r="AX88" s="1002"/>
      <c r="AY88" s="1002"/>
      <c r="AZ88" s="1002"/>
      <c r="BA88" s="1002"/>
      <c r="BB88" s="1002"/>
      <c r="BC88" s="451"/>
      <c r="BD88" s="1002"/>
      <c r="BE88" s="1002"/>
      <c r="BF88" s="1002"/>
      <c r="BG88" s="1002"/>
      <c r="BH88" s="1002"/>
      <c r="BI88" s="451"/>
      <c r="BJ88" s="1002"/>
      <c r="BK88" s="451"/>
      <c r="BL88" s="451"/>
      <c r="BM88" s="451"/>
      <c r="BN88" s="451"/>
      <c r="BO88" s="451"/>
      <c r="BP88" s="1002"/>
      <c r="BQ88" s="451"/>
      <c r="BR88" s="451"/>
      <c r="BS88" s="451"/>
      <c r="BT88" s="451"/>
      <c r="BU88" s="451"/>
      <c r="BV88" s="1002"/>
      <c r="BW88" s="451"/>
      <c r="BX88" s="451"/>
      <c r="BY88" s="451"/>
      <c r="BZ88" s="451"/>
      <c r="CA88" s="451"/>
      <c r="CB88" s="1003"/>
      <c r="CC88" s="451"/>
      <c r="CD88" s="451"/>
      <c r="CE88" s="452"/>
      <c r="CF88" s="452"/>
      <c r="CG88" s="1004"/>
      <c r="CH88" s="1004"/>
      <c r="CI88" s="452"/>
      <c r="CJ88" s="452"/>
      <c r="CK88" s="452"/>
      <c r="CL88" s="452"/>
      <c r="CM88" s="1004"/>
      <c r="CN88" s="1004"/>
      <c r="CO88" s="452"/>
      <c r="CP88" s="452"/>
      <c r="CQ88" s="452"/>
      <c r="CR88" s="452"/>
      <c r="CS88" s="1004"/>
      <c r="CT88" s="1004"/>
      <c r="CU88" s="452"/>
      <c r="CV88" s="452"/>
      <c r="CW88" s="452"/>
      <c r="CX88" s="452"/>
      <c r="CY88" s="1002"/>
      <c r="CZ88" s="1003"/>
      <c r="DA88" s="452"/>
      <c r="DB88" s="452"/>
      <c r="DC88" s="452"/>
      <c r="DD88" s="452"/>
      <c r="DE88" s="1002"/>
      <c r="DF88" s="1003"/>
      <c r="DG88" s="452"/>
      <c r="DH88" s="452"/>
      <c r="DI88" s="452"/>
      <c r="DJ88" s="452"/>
      <c r="DK88" s="1002"/>
      <c r="DL88" s="1003"/>
      <c r="DM88" s="452"/>
      <c r="DN88" s="452"/>
      <c r="DO88" s="452"/>
      <c r="DP88" s="452"/>
      <c r="DQ88" s="1002"/>
      <c r="DR88" s="1003"/>
      <c r="DS88" s="452"/>
      <c r="DT88" s="452"/>
      <c r="DU88" s="452"/>
      <c r="DV88" s="452"/>
      <c r="DW88" s="1002"/>
      <c r="DX88" s="1003"/>
      <c r="DY88" s="452"/>
      <c r="DZ88" s="452"/>
      <c r="EA88" s="452"/>
      <c r="EB88" s="452"/>
      <c r="EC88" s="1002"/>
      <c r="ED88" s="1003"/>
      <c r="EE88" s="452"/>
      <c r="EF88" s="452"/>
      <c r="EG88" s="452"/>
      <c r="EH88" s="452">
        <v>2000</v>
      </c>
      <c r="EI88" s="1002"/>
      <c r="EJ88" s="1003"/>
      <c r="EK88" s="452">
        <v>2000</v>
      </c>
      <c r="EL88" s="452">
        <f t="shared" ref="EL88:EN91" si="125">EK88</f>
        <v>2000</v>
      </c>
      <c r="EM88" s="452">
        <f t="shared" si="125"/>
        <v>2000</v>
      </c>
      <c r="EN88" s="452">
        <f t="shared" si="125"/>
        <v>2000</v>
      </c>
      <c r="EO88" s="1002"/>
      <c r="EP88" s="1003"/>
      <c r="EQ88" s="452">
        <f>EN88</f>
        <v>2000</v>
      </c>
      <c r="ER88" s="452">
        <f t="shared" ref="ER88:ET91" si="126">EQ88</f>
        <v>2000</v>
      </c>
      <c r="ES88" s="452">
        <f t="shared" si="126"/>
        <v>2000</v>
      </c>
      <c r="ET88" s="452">
        <f t="shared" si="126"/>
        <v>2000</v>
      </c>
      <c r="EU88" s="1002"/>
      <c r="EV88" s="1003"/>
      <c r="EW88" s="452">
        <f>ET88</f>
        <v>2000</v>
      </c>
      <c r="EX88" s="452">
        <f t="shared" ref="EX88:EZ91" si="127">EW88</f>
        <v>2000</v>
      </c>
      <c r="EY88" s="452">
        <f t="shared" si="127"/>
        <v>2000</v>
      </c>
      <c r="EZ88" s="452">
        <f t="shared" si="127"/>
        <v>2000</v>
      </c>
      <c r="FA88" s="1002"/>
      <c r="FB88" s="1003"/>
      <c r="FC88" s="452">
        <f>EZ88</f>
        <v>2000</v>
      </c>
      <c r="FD88" s="452">
        <f t="shared" si="107"/>
        <v>2000</v>
      </c>
      <c r="FE88" s="452">
        <f t="shared" si="108"/>
        <v>2000</v>
      </c>
      <c r="FF88" s="452">
        <f t="shared" si="109"/>
        <v>2000</v>
      </c>
      <c r="FG88" s="1002"/>
      <c r="FH88" s="1003"/>
      <c r="FI88" s="452">
        <f>FF88</f>
        <v>2000</v>
      </c>
      <c r="FJ88" s="452">
        <f t="shared" ref="FJ88:FJ91" si="128">FI88</f>
        <v>2000</v>
      </c>
      <c r="FK88" s="452">
        <f t="shared" ref="FK88:FK91" si="129">FJ88</f>
        <v>2000</v>
      </c>
      <c r="FL88" s="452">
        <f t="shared" ref="FL88:FL91" si="130">FK88</f>
        <v>2000</v>
      </c>
      <c r="FM88" s="1002"/>
      <c r="FN88" s="853"/>
      <c r="FO88" s="853"/>
      <c r="FP88" s="853"/>
      <c r="FQ88" s="853"/>
      <c r="FR88"/>
      <c r="FS88"/>
      <c r="FT88"/>
      <c r="FU88"/>
      <c r="FV88"/>
      <c r="FW88"/>
      <c r="FX88" s="942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</row>
    <row r="89" spans="1:274" s="856" customFormat="1" ht="12" hidden="1" customHeight="1" outlineLevel="1" x14ac:dyDescent="0.2">
      <c r="A89" s="44" t="s">
        <v>1219</v>
      </c>
      <c r="B89" s="1001"/>
      <c r="C89" s="1002"/>
      <c r="D89" s="1002"/>
      <c r="E89" s="1002"/>
      <c r="F89" s="1002"/>
      <c r="G89" s="1002"/>
      <c r="H89" s="1002"/>
      <c r="I89" s="1002"/>
      <c r="J89" s="1002"/>
      <c r="K89" s="1002"/>
      <c r="L89" s="1002"/>
      <c r="M89" s="1002"/>
      <c r="N89" s="1002"/>
      <c r="O89" s="1002"/>
      <c r="P89" s="1002"/>
      <c r="Q89" s="1002"/>
      <c r="R89" s="1002"/>
      <c r="S89" s="1002"/>
      <c r="T89" s="1002"/>
      <c r="U89" s="1002"/>
      <c r="V89" s="1002"/>
      <c r="W89" s="1002"/>
      <c r="X89" s="1002"/>
      <c r="Y89" s="1002"/>
      <c r="Z89" s="1002"/>
      <c r="AA89" s="1002"/>
      <c r="AB89" s="1002"/>
      <c r="AC89" s="1002"/>
      <c r="AD89" s="1002"/>
      <c r="AE89" s="1002"/>
      <c r="AF89" s="1002"/>
      <c r="AG89" s="1002"/>
      <c r="AH89" s="1002"/>
      <c r="AI89" s="1002"/>
      <c r="AJ89" s="1002"/>
      <c r="AK89" s="1002"/>
      <c r="AL89" s="1002"/>
      <c r="AM89" s="1002"/>
      <c r="AN89" s="1002"/>
      <c r="AO89" s="1002"/>
      <c r="AP89" s="1002"/>
      <c r="AQ89" s="1002"/>
      <c r="AR89" s="1002"/>
      <c r="AS89" s="1002"/>
      <c r="AT89" s="1002"/>
      <c r="AU89" s="1002"/>
      <c r="AV89" s="1002"/>
      <c r="AW89" s="451"/>
      <c r="AX89" s="1002"/>
      <c r="AY89" s="1002"/>
      <c r="AZ89" s="1002"/>
      <c r="BA89" s="1002"/>
      <c r="BB89" s="1002"/>
      <c r="BC89" s="451"/>
      <c r="BD89" s="1002"/>
      <c r="BE89" s="1002"/>
      <c r="BF89" s="1002"/>
      <c r="BG89" s="1002"/>
      <c r="BH89" s="1002"/>
      <c r="BI89" s="451"/>
      <c r="BJ89" s="1002"/>
      <c r="BK89" s="451"/>
      <c r="BL89" s="451"/>
      <c r="BM89" s="451"/>
      <c r="BN89" s="451"/>
      <c r="BO89" s="451"/>
      <c r="BP89" s="1002"/>
      <c r="BQ89" s="451"/>
      <c r="BR89" s="451"/>
      <c r="BS89" s="451"/>
      <c r="BT89" s="451"/>
      <c r="BU89" s="451"/>
      <c r="BV89" s="1002"/>
      <c r="BW89" s="451"/>
      <c r="BX89" s="451"/>
      <c r="BY89" s="451"/>
      <c r="BZ89" s="451"/>
      <c r="CA89" s="451"/>
      <c r="CB89" s="1003"/>
      <c r="CC89" s="451"/>
      <c r="CD89" s="451"/>
      <c r="CE89" s="452"/>
      <c r="CF89" s="452"/>
      <c r="CG89" s="1004"/>
      <c r="CH89" s="1004"/>
      <c r="CI89" s="452"/>
      <c r="CJ89" s="452"/>
      <c r="CK89" s="452"/>
      <c r="CL89" s="452"/>
      <c r="CM89" s="1004"/>
      <c r="CN89" s="1004"/>
      <c r="CO89" s="452"/>
      <c r="CP89" s="452"/>
      <c r="CQ89" s="452"/>
      <c r="CR89" s="452"/>
      <c r="CS89" s="1004"/>
      <c r="CT89" s="1004"/>
      <c r="CU89" s="452"/>
      <c r="CV89" s="452"/>
      <c r="CW89" s="452"/>
      <c r="CX89" s="452"/>
      <c r="CY89" s="1002"/>
      <c r="CZ89" s="1003"/>
      <c r="DA89" s="452"/>
      <c r="DB89" s="452"/>
      <c r="DC89" s="452"/>
      <c r="DD89" s="452"/>
      <c r="DE89" s="1002"/>
      <c r="DF89" s="1003"/>
      <c r="DG89" s="452"/>
      <c r="DH89" s="452"/>
      <c r="DI89" s="452"/>
      <c r="DJ89" s="452"/>
      <c r="DK89" s="1002"/>
      <c r="DL89" s="1003"/>
      <c r="DM89" s="452"/>
      <c r="DN89" s="452"/>
      <c r="DO89" s="452"/>
      <c r="DP89" s="452"/>
      <c r="DQ89" s="1002"/>
      <c r="DR89" s="1003"/>
      <c r="DS89" s="452"/>
      <c r="DT89" s="452"/>
      <c r="DU89" s="452"/>
      <c r="DV89" s="452"/>
      <c r="DW89" s="1002"/>
      <c r="DX89" s="1003"/>
      <c r="DY89" s="452"/>
      <c r="DZ89" s="452"/>
      <c r="EA89" s="452"/>
      <c r="EB89" s="452"/>
      <c r="EC89" s="1002"/>
      <c r="ED89" s="1003"/>
      <c r="EE89" s="452"/>
      <c r="EF89" s="452"/>
      <c r="EG89" s="452"/>
      <c r="EH89" s="452"/>
      <c r="EI89" s="1002"/>
      <c r="EJ89" s="1003"/>
      <c r="EK89" s="452"/>
      <c r="EL89" s="452"/>
      <c r="EM89" s="452"/>
      <c r="EN89" s="452"/>
      <c r="EO89" s="1002"/>
      <c r="EP89" s="1003"/>
      <c r="EQ89" s="452">
        <v>3000</v>
      </c>
      <c r="ER89" s="452">
        <f t="shared" si="126"/>
        <v>3000</v>
      </c>
      <c r="ES89" s="452">
        <f t="shared" si="126"/>
        <v>3000</v>
      </c>
      <c r="ET89" s="452">
        <f t="shared" si="126"/>
        <v>3000</v>
      </c>
      <c r="EU89" s="1002"/>
      <c r="EV89" s="1003"/>
      <c r="EW89" s="452">
        <f>ET89</f>
        <v>3000</v>
      </c>
      <c r="EX89" s="452">
        <f t="shared" si="127"/>
        <v>3000</v>
      </c>
      <c r="EY89" s="452">
        <f t="shared" si="127"/>
        <v>3000</v>
      </c>
      <c r="EZ89" s="452">
        <f t="shared" si="127"/>
        <v>3000</v>
      </c>
      <c r="FA89" s="1002"/>
      <c r="FB89" s="1003"/>
      <c r="FC89" s="452">
        <f>EZ89</f>
        <v>3000</v>
      </c>
      <c r="FD89" s="452">
        <f t="shared" si="107"/>
        <v>3000</v>
      </c>
      <c r="FE89" s="452">
        <f t="shared" si="108"/>
        <v>3000</v>
      </c>
      <c r="FF89" s="452">
        <f t="shared" si="109"/>
        <v>3000</v>
      </c>
      <c r="FG89" s="1002"/>
      <c r="FH89" s="1003"/>
      <c r="FI89" s="452">
        <f>FF89</f>
        <v>3000</v>
      </c>
      <c r="FJ89" s="452">
        <f t="shared" si="128"/>
        <v>3000</v>
      </c>
      <c r="FK89" s="452">
        <f t="shared" si="129"/>
        <v>3000</v>
      </c>
      <c r="FL89" s="452">
        <f t="shared" si="130"/>
        <v>3000</v>
      </c>
      <c r="FM89" s="1002"/>
      <c r="FN89" s="853"/>
      <c r="FO89" s="853"/>
      <c r="FP89" s="853"/>
      <c r="FQ89" s="853"/>
      <c r="FR89"/>
      <c r="FS89"/>
      <c r="FT89"/>
      <c r="FU89"/>
      <c r="FV89"/>
      <c r="FW89"/>
      <c r="FX89" s="942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</row>
    <row r="90" spans="1:274" s="856" customFormat="1" ht="12" hidden="1" customHeight="1" outlineLevel="1" x14ac:dyDescent="0.2">
      <c r="A90" s="44" t="s">
        <v>1300</v>
      </c>
      <c r="B90" s="1001"/>
      <c r="C90" s="1002"/>
      <c r="D90" s="1002"/>
      <c r="E90" s="1002"/>
      <c r="F90" s="1002"/>
      <c r="G90" s="1002"/>
      <c r="H90" s="1002"/>
      <c r="I90" s="1002"/>
      <c r="J90" s="1002"/>
      <c r="K90" s="1002"/>
      <c r="L90" s="1002"/>
      <c r="M90" s="1002"/>
      <c r="N90" s="1002"/>
      <c r="O90" s="1002"/>
      <c r="P90" s="1002"/>
      <c r="Q90" s="1002"/>
      <c r="R90" s="1002"/>
      <c r="S90" s="1002"/>
      <c r="T90" s="1002"/>
      <c r="U90" s="1002"/>
      <c r="V90" s="1002"/>
      <c r="W90" s="1002"/>
      <c r="X90" s="1002"/>
      <c r="Y90" s="1002"/>
      <c r="Z90" s="1002"/>
      <c r="AA90" s="1002"/>
      <c r="AB90" s="1002"/>
      <c r="AC90" s="1002"/>
      <c r="AD90" s="1002"/>
      <c r="AE90" s="1002"/>
      <c r="AF90" s="1002"/>
      <c r="AG90" s="1002"/>
      <c r="AH90" s="1002"/>
      <c r="AI90" s="1002"/>
      <c r="AJ90" s="1002"/>
      <c r="AK90" s="1002"/>
      <c r="AL90" s="1002"/>
      <c r="AM90" s="1002"/>
      <c r="AN90" s="1002"/>
      <c r="AO90" s="1002"/>
      <c r="AP90" s="1002"/>
      <c r="AQ90" s="1002"/>
      <c r="AR90" s="1002"/>
      <c r="AS90" s="1002"/>
      <c r="AT90" s="1002"/>
      <c r="AU90" s="1002"/>
      <c r="AV90" s="1002"/>
      <c r="AW90" s="451"/>
      <c r="AX90" s="1002"/>
      <c r="AY90" s="1002"/>
      <c r="AZ90" s="1002"/>
      <c r="BA90" s="1002"/>
      <c r="BB90" s="1002"/>
      <c r="BC90" s="451"/>
      <c r="BD90" s="1002"/>
      <c r="BE90" s="1002"/>
      <c r="BF90" s="1002"/>
      <c r="BG90" s="1002"/>
      <c r="BH90" s="1002"/>
      <c r="BI90" s="451"/>
      <c r="BJ90" s="1002"/>
      <c r="BK90" s="451"/>
      <c r="BL90" s="451"/>
      <c r="BM90" s="451"/>
      <c r="BN90" s="451"/>
      <c r="BO90" s="451"/>
      <c r="BP90" s="1002"/>
      <c r="BQ90" s="451"/>
      <c r="BR90" s="451"/>
      <c r="BS90" s="451"/>
      <c r="BT90" s="451"/>
      <c r="BU90" s="451"/>
      <c r="BV90" s="1002"/>
      <c r="BW90" s="451"/>
      <c r="BX90" s="451"/>
      <c r="BY90" s="451"/>
      <c r="BZ90" s="451"/>
      <c r="CA90" s="451"/>
      <c r="CB90" s="1003"/>
      <c r="CC90" s="451"/>
      <c r="CD90" s="451"/>
      <c r="CE90" s="452"/>
      <c r="CF90" s="452"/>
      <c r="CG90" s="1004"/>
      <c r="CH90" s="1004"/>
      <c r="CI90" s="452"/>
      <c r="CJ90" s="452"/>
      <c r="CK90" s="452"/>
      <c r="CL90" s="452"/>
      <c r="CM90" s="1004"/>
      <c r="CN90" s="1004"/>
      <c r="CO90" s="452"/>
      <c r="CP90" s="452"/>
      <c r="CQ90" s="452"/>
      <c r="CR90" s="452"/>
      <c r="CS90" s="1004"/>
      <c r="CT90" s="1004"/>
      <c r="CU90" s="452"/>
      <c r="CV90" s="452"/>
      <c r="CW90" s="452"/>
      <c r="CX90" s="452"/>
      <c r="CY90" s="1002"/>
      <c r="CZ90" s="1003"/>
      <c r="DA90" s="452"/>
      <c r="DB90" s="452"/>
      <c r="DC90" s="452"/>
      <c r="DD90" s="452"/>
      <c r="DE90" s="1002"/>
      <c r="DF90" s="1003"/>
      <c r="DG90" s="452"/>
      <c r="DH90" s="452"/>
      <c r="DI90" s="452"/>
      <c r="DJ90" s="452"/>
      <c r="DK90" s="1002"/>
      <c r="DL90" s="1003"/>
      <c r="DM90" s="452"/>
      <c r="DN90" s="452"/>
      <c r="DO90" s="452"/>
      <c r="DP90" s="452"/>
      <c r="DQ90" s="1002"/>
      <c r="DR90" s="1003"/>
      <c r="DS90" s="452"/>
      <c r="DT90" s="452"/>
      <c r="DU90" s="452"/>
      <c r="DV90" s="452"/>
      <c r="DW90" s="1002"/>
      <c r="DX90" s="1003"/>
      <c r="DY90" s="452"/>
      <c r="DZ90" s="452"/>
      <c r="EA90" s="452"/>
      <c r="EB90" s="452"/>
      <c r="EC90" s="1002"/>
      <c r="ED90" s="1003"/>
      <c r="EE90" s="452"/>
      <c r="EF90" s="452"/>
      <c r="EG90" s="452"/>
      <c r="EH90" s="452"/>
      <c r="EI90" s="1002"/>
      <c r="EJ90" s="1003"/>
      <c r="EK90" s="452"/>
      <c r="EL90" s="452"/>
      <c r="EM90" s="452"/>
      <c r="EN90" s="452"/>
      <c r="EO90" s="1002"/>
      <c r="EP90" s="1003"/>
      <c r="EQ90" s="452"/>
      <c r="ER90" s="452"/>
      <c r="ES90" s="452"/>
      <c r="ET90" s="452"/>
      <c r="EU90" s="1002"/>
      <c r="EV90" s="1003"/>
      <c r="EW90" s="452"/>
      <c r="EX90" s="452">
        <v>2250</v>
      </c>
      <c r="EY90" s="452">
        <v>2250</v>
      </c>
      <c r="EZ90" s="452">
        <v>2250</v>
      </c>
      <c r="FA90" s="1002"/>
      <c r="FB90" s="1003"/>
      <c r="FC90" s="452">
        <v>2250</v>
      </c>
      <c r="FD90" s="452">
        <v>2250</v>
      </c>
      <c r="FE90" s="452">
        <v>2250</v>
      </c>
      <c r="FF90" s="452">
        <v>2250</v>
      </c>
      <c r="FG90" s="1002"/>
      <c r="FH90" s="1003"/>
      <c r="FI90" s="452">
        <v>2250</v>
      </c>
      <c r="FJ90" s="452">
        <v>2250</v>
      </c>
      <c r="FK90" s="452">
        <v>2250</v>
      </c>
      <c r="FL90" s="452">
        <v>2250</v>
      </c>
      <c r="FM90" s="1002"/>
      <c r="FN90" s="853"/>
      <c r="FO90" s="853"/>
      <c r="FP90" s="853"/>
      <c r="FQ90" s="853"/>
      <c r="FR90"/>
      <c r="FS90"/>
      <c r="FT90"/>
      <c r="FU90"/>
      <c r="FV90"/>
      <c r="FW90"/>
      <c r="FX90" s="942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</row>
    <row r="91" spans="1:274" s="856" customFormat="1" ht="12" hidden="1" customHeight="1" outlineLevel="1" x14ac:dyDescent="0.2">
      <c r="A91" s="44" t="s">
        <v>1153</v>
      </c>
      <c r="B91" s="1001"/>
      <c r="C91" s="1002"/>
      <c r="D91" s="1002"/>
      <c r="E91" s="1002"/>
      <c r="F91" s="1002"/>
      <c r="G91" s="1002"/>
      <c r="H91" s="1002"/>
      <c r="I91" s="1002"/>
      <c r="J91" s="1002"/>
      <c r="K91" s="1002"/>
      <c r="L91" s="1002"/>
      <c r="M91" s="1002"/>
      <c r="N91" s="1002"/>
      <c r="O91" s="1002"/>
      <c r="P91" s="1002"/>
      <c r="Q91" s="1002"/>
      <c r="R91" s="1002"/>
      <c r="S91" s="1002"/>
      <c r="T91" s="1002"/>
      <c r="U91" s="1002"/>
      <c r="V91" s="1002"/>
      <c r="W91" s="1002"/>
      <c r="X91" s="1002"/>
      <c r="Y91" s="1002"/>
      <c r="Z91" s="1002"/>
      <c r="AA91" s="1002"/>
      <c r="AB91" s="1002"/>
      <c r="AC91" s="1002"/>
      <c r="AD91" s="1002"/>
      <c r="AE91" s="1002"/>
      <c r="AF91" s="1002"/>
      <c r="AG91" s="1002"/>
      <c r="AH91" s="1002"/>
      <c r="AI91" s="1002"/>
      <c r="AJ91" s="1002"/>
      <c r="AK91" s="1002"/>
      <c r="AL91" s="1002"/>
      <c r="AM91" s="1002"/>
      <c r="AN91" s="1002"/>
      <c r="AO91" s="1002"/>
      <c r="AP91" s="1002"/>
      <c r="AQ91" s="1002"/>
      <c r="AR91" s="1002"/>
      <c r="AS91" s="1002"/>
      <c r="AT91" s="1002"/>
      <c r="AU91" s="1002"/>
      <c r="AV91" s="1002"/>
      <c r="AW91" s="451"/>
      <c r="AX91" s="1002"/>
      <c r="AY91" s="1002"/>
      <c r="AZ91" s="1002"/>
      <c r="BA91" s="1002"/>
      <c r="BB91" s="1002"/>
      <c r="BC91" s="451"/>
      <c r="BD91" s="1002"/>
      <c r="BE91" s="1002"/>
      <c r="BF91" s="1002"/>
      <c r="BG91" s="1002"/>
      <c r="BH91" s="1002"/>
      <c r="BI91" s="451"/>
      <c r="BJ91" s="1002"/>
      <c r="BK91" s="451"/>
      <c r="BL91" s="451"/>
      <c r="BM91" s="451"/>
      <c r="BN91" s="451"/>
      <c r="BO91" s="451"/>
      <c r="BP91" s="1002"/>
      <c r="BQ91" s="451"/>
      <c r="BR91" s="451"/>
      <c r="BS91" s="451"/>
      <c r="BT91" s="451"/>
      <c r="BU91" s="451"/>
      <c r="BV91" s="1002"/>
      <c r="BW91" s="451"/>
      <c r="BX91" s="451"/>
      <c r="BY91" s="451"/>
      <c r="BZ91" s="451"/>
      <c r="CA91" s="451"/>
      <c r="CB91" s="1003"/>
      <c r="CC91" s="451"/>
      <c r="CD91" s="451"/>
      <c r="CE91" s="452"/>
      <c r="CF91" s="452"/>
      <c r="CG91" s="1004"/>
      <c r="CH91" s="1004"/>
      <c r="CI91" s="452"/>
      <c r="CJ91" s="452"/>
      <c r="CK91" s="452"/>
      <c r="CL91" s="452"/>
      <c r="CM91" s="1004"/>
      <c r="CN91" s="1004"/>
      <c r="CO91" s="452"/>
      <c r="CP91" s="452"/>
      <c r="CQ91" s="452"/>
      <c r="CR91" s="452"/>
      <c r="CS91" s="1004"/>
      <c r="CT91" s="1004"/>
      <c r="CU91" s="452"/>
      <c r="CV91" s="452"/>
      <c r="CW91" s="452"/>
      <c r="CX91" s="452"/>
      <c r="CY91" s="1002"/>
      <c r="CZ91" s="1003"/>
      <c r="DA91" s="452"/>
      <c r="DB91" s="452"/>
      <c r="DC91" s="452"/>
      <c r="DD91" s="452"/>
      <c r="DE91" s="1002"/>
      <c r="DF91" s="1003"/>
      <c r="DG91" s="452"/>
      <c r="DH91" s="452"/>
      <c r="DI91" s="452"/>
      <c r="DJ91" s="452"/>
      <c r="DK91" s="1002"/>
      <c r="DL91" s="1003"/>
      <c r="DM91" s="452"/>
      <c r="DN91" s="452"/>
      <c r="DO91" s="452"/>
      <c r="DP91" s="452"/>
      <c r="DQ91" s="1002"/>
      <c r="DR91" s="1003"/>
      <c r="DS91" s="452"/>
      <c r="DT91" s="452"/>
      <c r="DU91" s="452"/>
      <c r="DV91" s="452"/>
      <c r="DW91" s="1002"/>
      <c r="DX91" s="1003"/>
      <c r="DY91" s="452"/>
      <c r="DZ91" s="452"/>
      <c r="EA91" s="452"/>
      <c r="EB91" s="452"/>
      <c r="EC91" s="1002"/>
      <c r="ED91" s="1003"/>
      <c r="EE91" s="452"/>
      <c r="EF91" s="452"/>
      <c r="EG91" s="452"/>
      <c r="EH91" s="452">
        <v>1250</v>
      </c>
      <c r="EI91" s="1002"/>
      <c r="EJ91" s="1003"/>
      <c r="EK91" s="452">
        <v>1250</v>
      </c>
      <c r="EL91" s="452">
        <f t="shared" si="125"/>
        <v>1250</v>
      </c>
      <c r="EM91" s="452">
        <f t="shared" si="125"/>
        <v>1250</v>
      </c>
      <c r="EN91" s="452">
        <f t="shared" si="125"/>
        <v>1250</v>
      </c>
      <c r="EO91" s="1002"/>
      <c r="EP91" s="1003"/>
      <c r="EQ91" s="452">
        <f>EN91</f>
        <v>1250</v>
      </c>
      <c r="ER91" s="452">
        <f t="shared" si="126"/>
        <v>1250</v>
      </c>
      <c r="ES91" s="452">
        <f t="shared" si="126"/>
        <v>1250</v>
      </c>
      <c r="ET91" s="452">
        <f t="shared" si="126"/>
        <v>1250</v>
      </c>
      <c r="EU91" s="1002"/>
      <c r="EV91" s="1003"/>
      <c r="EW91" s="452">
        <f>ET91</f>
        <v>1250</v>
      </c>
      <c r="EX91" s="452">
        <f t="shared" si="127"/>
        <v>1250</v>
      </c>
      <c r="EY91" s="452">
        <f t="shared" si="127"/>
        <v>1250</v>
      </c>
      <c r="EZ91" s="452">
        <f t="shared" si="127"/>
        <v>1250</v>
      </c>
      <c r="FA91" s="1002"/>
      <c r="FB91" s="1003"/>
      <c r="FC91" s="452">
        <f>EZ91</f>
        <v>1250</v>
      </c>
      <c r="FD91" s="452">
        <f t="shared" si="107"/>
        <v>1250</v>
      </c>
      <c r="FE91" s="452">
        <f t="shared" si="108"/>
        <v>1250</v>
      </c>
      <c r="FF91" s="452">
        <f t="shared" si="109"/>
        <v>1250</v>
      </c>
      <c r="FG91" s="1002"/>
      <c r="FH91" s="1003"/>
      <c r="FI91" s="452">
        <f>FF91</f>
        <v>1250</v>
      </c>
      <c r="FJ91" s="452">
        <f t="shared" si="128"/>
        <v>1250</v>
      </c>
      <c r="FK91" s="452">
        <f t="shared" si="129"/>
        <v>1250</v>
      </c>
      <c r="FL91" s="452">
        <f t="shared" si="130"/>
        <v>1250</v>
      </c>
      <c r="FM91" s="1002"/>
      <c r="FN91" s="853"/>
      <c r="FO91" s="853"/>
      <c r="FP91" s="853"/>
      <c r="FQ91" s="853"/>
      <c r="FR91"/>
      <c r="FS91"/>
      <c r="FT91"/>
      <c r="FU91"/>
      <c r="FV91"/>
      <c r="FW91"/>
      <c r="FX91" s="942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</row>
    <row r="92" spans="1:274" s="24" customFormat="1" ht="12" hidden="1" customHeight="1" outlineLevel="1" x14ac:dyDescent="0.2">
      <c r="A92" s="27"/>
      <c r="B92" s="894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69"/>
      <c r="AX92" s="28"/>
      <c r="AY92" s="28"/>
      <c r="AZ92" s="28"/>
      <c r="BA92" s="28"/>
      <c r="BB92" s="28"/>
      <c r="BC92" s="69"/>
      <c r="BD92" s="28"/>
      <c r="BE92" s="28"/>
      <c r="BF92" s="28"/>
      <c r="BG92" s="28"/>
      <c r="BH92" s="28"/>
      <c r="BI92" s="69"/>
      <c r="BJ92" s="28"/>
      <c r="BK92" s="69"/>
      <c r="BL92" s="69"/>
      <c r="BM92" s="69"/>
      <c r="BN92" s="69"/>
      <c r="BO92" s="69"/>
      <c r="BP92" s="28"/>
      <c r="BQ92" s="69"/>
      <c r="BR92" s="69"/>
      <c r="BS92" s="69"/>
      <c r="BT92" s="69"/>
      <c r="BU92" s="69"/>
      <c r="BV92" s="28"/>
      <c r="BW92" s="69"/>
      <c r="BX92" s="69"/>
      <c r="BY92" s="69"/>
      <c r="BZ92" s="69"/>
      <c r="CA92" s="69"/>
      <c r="CB92" s="134"/>
      <c r="CC92" s="69"/>
      <c r="CD92" s="69"/>
      <c r="CE92" s="243"/>
      <c r="CF92" s="243"/>
      <c r="CG92" s="305"/>
      <c r="CH92" s="305"/>
      <c r="CI92" s="243"/>
      <c r="CJ92" s="243"/>
      <c r="CK92" s="243"/>
      <c r="CL92" s="243"/>
      <c r="CM92" s="305"/>
      <c r="CN92" s="305"/>
      <c r="CO92" s="243"/>
      <c r="CP92" s="243"/>
      <c r="CQ92" s="243"/>
      <c r="CR92" s="243"/>
      <c r="CS92" s="305"/>
      <c r="CT92" s="305"/>
      <c r="CU92" s="243"/>
      <c r="CV92" s="243"/>
      <c r="CW92" s="243"/>
      <c r="CX92" s="243"/>
      <c r="CY92" s="28"/>
      <c r="CZ92" s="134"/>
      <c r="DA92" s="852"/>
      <c r="DB92" s="852"/>
      <c r="DC92" s="852"/>
      <c r="DD92" s="852"/>
      <c r="DE92" s="28"/>
      <c r="DF92" s="134"/>
      <c r="DG92" s="852"/>
      <c r="DH92" s="852"/>
      <c r="DI92" s="852"/>
      <c r="DJ92" s="852"/>
      <c r="DK92" s="28"/>
      <c r="DL92" s="134"/>
      <c r="DM92" s="852"/>
      <c r="DN92" s="852"/>
      <c r="DO92" s="879"/>
      <c r="DP92" s="852"/>
      <c r="DQ92" s="28"/>
      <c r="DR92" s="134"/>
      <c r="DS92" s="852"/>
      <c r="DT92" s="852"/>
      <c r="DU92" s="852"/>
      <c r="DV92" s="852"/>
      <c r="DW92" s="28"/>
      <c r="DX92" s="134"/>
      <c r="DY92" s="852"/>
      <c r="DZ92" s="852"/>
      <c r="EA92" s="852"/>
      <c r="EB92" s="852"/>
      <c r="EC92" s="28"/>
      <c r="ED92" s="134"/>
      <c r="EE92" s="852"/>
      <c r="EF92" s="852"/>
      <c r="EG92" s="852"/>
      <c r="EH92" s="852"/>
      <c r="EI92" s="28"/>
      <c r="EJ92" s="134"/>
      <c r="EK92" s="852"/>
      <c r="EL92" s="852"/>
      <c r="EM92" s="852"/>
      <c r="EN92" s="852"/>
      <c r="EO92" s="28"/>
      <c r="EP92" s="134"/>
      <c r="EQ92" s="852"/>
      <c r="ER92" s="852"/>
      <c r="ES92" s="852"/>
      <c r="ET92" s="852"/>
      <c r="EU92" s="28"/>
      <c r="EV92" s="134"/>
      <c r="EW92" s="852"/>
      <c r="EX92" s="852"/>
      <c r="EY92" s="852"/>
      <c r="EZ92" s="852"/>
      <c r="FA92" s="28"/>
      <c r="FB92" s="134"/>
      <c r="FC92" s="852"/>
      <c r="FD92" s="852"/>
      <c r="FE92" s="852"/>
      <c r="FF92" s="852"/>
      <c r="FG92" s="28"/>
      <c r="FH92" s="134"/>
      <c r="FI92" s="852"/>
      <c r="FJ92" s="852"/>
      <c r="FK92" s="852"/>
      <c r="FL92" s="852"/>
      <c r="FM92" s="28"/>
      <c r="FN92" s="27"/>
      <c r="FO92" s="27"/>
      <c r="FP92" s="27"/>
      <c r="FQ92" s="27"/>
      <c r="FR92"/>
      <c r="FS92"/>
      <c r="FT92"/>
      <c r="FU92"/>
      <c r="FV92"/>
      <c r="FW92"/>
      <c r="FX92" s="144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</row>
    <row r="93" spans="1:274" s="24" customFormat="1" ht="12" hidden="1" customHeight="1" outlineLevel="1" x14ac:dyDescent="0.2">
      <c r="A93" s="27" t="s">
        <v>925</v>
      </c>
      <c r="B93" s="894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69"/>
      <c r="AX93" s="28"/>
      <c r="AY93" s="28"/>
      <c r="AZ93" s="28"/>
      <c r="BA93" s="28"/>
      <c r="BB93" s="28"/>
      <c r="BC93" s="69"/>
      <c r="BD93" s="28"/>
      <c r="BE93" s="28"/>
      <c r="BF93" s="28"/>
      <c r="BG93" s="28"/>
      <c r="BH93" s="28"/>
      <c r="BI93" s="69"/>
      <c r="BJ93" s="28"/>
      <c r="BK93" s="69"/>
      <c r="BL93" s="69"/>
      <c r="BM93" s="69"/>
      <c r="BN93" s="69"/>
      <c r="BO93" s="69"/>
      <c r="BP93" s="28"/>
      <c r="BQ93" s="69"/>
      <c r="BR93" s="69"/>
      <c r="BS93" s="69"/>
      <c r="BT93" s="69"/>
      <c r="BU93" s="69"/>
      <c r="BV93" s="28"/>
      <c r="BW93" s="69"/>
      <c r="BX93" s="69"/>
      <c r="BY93" s="69"/>
      <c r="BZ93" s="69"/>
      <c r="CA93" s="243">
        <v>2849</v>
      </c>
      <c r="CB93" s="134"/>
      <c r="CC93" s="69"/>
      <c r="CD93" s="69"/>
      <c r="CE93" s="243"/>
      <c r="CF93" s="243"/>
      <c r="CG93" s="243">
        <v>3143</v>
      </c>
      <c r="CH93" s="305"/>
      <c r="CI93" s="243"/>
      <c r="CJ93" s="243"/>
      <c r="CK93" s="243"/>
      <c r="CL93" s="243"/>
      <c r="CM93" s="243">
        <v>4212</v>
      </c>
      <c r="CN93" s="305"/>
      <c r="CO93" s="243"/>
      <c r="CP93" s="243"/>
      <c r="CQ93" s="243"/>
      <c r="CR93" s="709"/>
      <c r="CS93" s="243">
        <v>6443</v>
      </c>
      <c r="CT93" s="305"/>
      <c r="CU93" s="243"/>
      <c r="CV93" s="243"/>
      <c r="CW93" s="243"/>
      <c r="CX93" s="243"/>
      <c r="CY93" s="243">
        <v>4979</v>
      </c>
      <c r="CZ93" s="134"/>
      <c r="DA93" s="852"/>
      <c r="DB93" s="852"/>
      <c r="DC93" s="852"/>
      <c r="DD93" s="852"/>
      <c r="DE93" s="28"/>
      <c r="DF93" s="134"/>
      <c r="DG93" s="852"/>
      <c r="DH93" s="852"/>
      <c r="DI93" s="852"/>
      <c r="DJ93" s="852"/>
      <c r="DK93" s="28"/>
      <c r="DL93" s="134"/>
      <c r="DM93" s="852"/>
      <c r="DN93" s="852"/>
      <c r="DO93" s="852"/>
      <c r="DP93" s="852"/>
      <c r="DQ93" s="28"/>
      <c r="DR93" s="134"/>
      <c r="DS93" s="852"/>
      <c r="DT93" s="852"/>
      <c r="DU93" s="852"/>
      <c r="DV93" s="852"/>
      <c r="DW93" s="28"/>
      <c r="DX93" s="134"/>
      <c r="DY93" s="852"/>
      <c r="DZ93" s="852"/>
      <c r="EA93" s="852"/>
      <c r="EB93" s="852"/>
      <c r="EC93" s="28"/>
      <c r="ED93" s="134"/>
      <c r="EE93" s="852"/>
      <c r="EF93" s="852"/>
      <c r="EG93" s="852"/>
      <c r="EH93" s="852"/>
      <c r="EI93" s="28"/>
      <c r="EJ93" s="134"/>
      <c r="EK93" s="852"/>
      <c r="EL93" s="852"/>
      <c r="EM93" s="852"/>
      <c r="EN93" s="852"/>
      <c r="EO93" s="28"/>
      <c r="EP93" s="134"/>
      <c r="EQ93" s="852"/>
      <c r="ER93" s="852"/>
      <c r="ES93" s="852"/>
      <c r="ET93" s="852"/>
      <c r="EU93" s="28"/>
      <c r="EV93" s="134"/>
      <c r="EW93" s="852"/>
      <c r="EX93" s="852"/>
      <c r="EY93" s="852"/>
      <c r="EZ93" s="852"/>
      <c r="FA93" s="28"/>
      <c r="FB93" s="134"/>
      <c r="FC93" s="852"/>
      <c r="FD93" s="852"/>
      <c r="FE93" s="852"/>
      <c r="FF93" s="852"/>
      <c r="FG93" s="28"/>
      <c r="FH93" s="134"/>
      <c r="FI93" s="852"/>
      <c r="FJ93" s="852"/>
      <c r="FK93" s="852"/>
      <c r="FL93" s="852"/>
      <c r="FM93" s="28"/>
      <c r="FN93" s="27"/>
      <c r="FO93" s="27"/>
      <c r="FP93" s="27"/>
      <c r="FQ93" s="27"/>
      <c r="FR93"/>
      <c r="FS93"/>
      <c r="FT93"/>
      <c r="FU93"/>
      <c r="FV93"/>
      <c r="FW93"/>
      <c r="FX93" s="144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</row>
    <row r="94" spans="1:274" s="24" customFormat="1" ht="12" hidden="1" customHeight="1" outlineLevel="1" x14ac:dyDescent="0.2">
      <c r="A94" s="27" t="s">
        <v>926</v>
      </c>
      <c r="B94" s="894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69"/>
      <c r="AX94" s="28"/>
      <c r="AY94" s="28"/>
      <c r="AZ94" s="28"/>
      <c r="BA94" s="28"/>
      <c r="BB94" s="28"/>
      <c r="BC94" s="69"/>
      <c r="BD94" s="28"/>
      <c r="BE94" s="28"/>
      <c r="BF94" s="28"/>
      <c r="BG94" s="28"/>
      <c r="BH94" s="28"/>
      <c r="BI94" s="69"/>
      <c r="BJ94" s="28"/>
      <c r="BK94" s="69"/>
      <c r="BL94" s="69"/>
      <c r="BM94" s="69"/>
      <c r="BN94" s="69"/>
      <c r="BO94" s="69"/>
      <c r="BP94" s="28"/>
      <c r="BQ94" s="69"/>
      <c r="BR94" s="69"/>
      <c r="BS94" s="69"/>
      <c r="BT94" s="69"/>
      <c r="BU94" s="69"/>
      <c r="BV94" s="28"/>
      <c r="BW94" s="69"/>
      <c r="BX94" s="69"/>
      <c r="BY94" s="69"/>
      <c r="BZ94" s="69"/>
      <c r="CA94" s="64">
        <f>CA93/(CA8+CA9+CA19)</f>
        <v>0.5971494445608887</v>
      </c>
      <c r="CB94" s="134"/>
      <c r="CC94" s="69"/>
      <c r="CD94" s="69"/>
      <c r="CE94" s="243"/>
      <c r="CF94" s="243"/>
      <c r="CG94" s="64">
        <f>CG93/(CG8+CG9+CG19)</f>
        <v>0.41328073635765944</v>
      </c>
      <c r="CH94" s="305"/>
      <c r="CI94" s="243"/>
      <c r="CJ94" s="243"/>
      <c r="CK94" s="243"/>
      <c r="CL94" s="243"/>
      <c r="CM94" s="64">
        <f>CM93/(CM8+CM9+CM19)</f>
        <v>0.6</v>
      </c>
      <c r="CN94" s="305"/>
      <c r="CO94" s="243"/>
      <c r="CP94" s="243"/>
      <c r="CQ94" s="243"/>
      <c r="CR94" s="243"/>
      <c r="CS94" s="64">
        <f>CS93/(CS8+CS9+CS19)</f>
        <v>0.58344652721180834</v>
      </c>
      <c r="CT94" s="305"/>
      <c r="CU94" s="243"/>
      <c r="CV94" s="243"/>
      <c r="CW94" s="243"/>
      <c r="CX94" s="243"/>
      <c r="CY94" s="64">
        <f>CY93/(CY8+CY9+CY19)</f>
        <v>0.39440747782002533</v>
      </c>
      <c r="CZ94" s="134"/>
      <c r="DA94" s="852"/>
      <c r="DB94" s="852"/>
      <c r="DC94" s="852"/>
      <c r="DD94" s="852"/>
      <c r="DE94" s="28"/>
      <c r="DF94" s="134"/>
      <c r="DG94" s="852"/>
      <c r="DH94" s="852"/>
      <c r="DI94" s="852"/>
      <c r="DJ94" s="852"/>
      <c r="DK94" s="28"/>
      <c r="DL94" s="134"/>
      <c r="DM94" s="852"/>
      <c r="DN94" s="852"/>
      <c r="DO94" s="852"/>
      <c r="DP94" s="852"/>
      <c r="DQ94" s="28"/>
      <c r="DR94" s="134"/>
      <c r="DS94" s="852"/>
      <c r="DT94" s="852"/>
      <c r="DU94" s="852"/>
      <c r="DV94" s="852"/>
      <c r="DW94" s="28"/>
      <c r="DX94" s="134"/>
      <c r="DY94" s="852"/>
      <c r="DZ94" s="852"/>
      <c r="EA94" s="852"/>
      <c r="EB94" s="852"/>
      <c r="EC94" s="28"/>
      <c r="ED94" s="134"/>
      <c r="EE94" s="852"/>
      <c r="EF94" s="852"/>
      <c r="EG94" s="852"/>
      <c r="EH94" s="852"/>
      <c r="EI94" s="28"/>
      <c r="EJ94" s="134"/>
      <c r="EK94" s="852"/>
      <c r="EL94" s="852"/>
      <c r="EM94" s="852"/>
      <c r="EN94" s="852"/>
      <c r="EO94" s="28"/>
      <c r="EP94" s="134"/>
      <c r="EQ94" s="852"/>
      <c r="ER94" s="852"/>
      <c r="ES94" s="852"/>
      <c r="ET94" s="852"/>
      <c r="EU94" s="28"/>
      <c r="EV94" s="134"/>
      <c r="EW94" s="852"/>
      <c r="EX94" s="852"/>
      <c r="EY94" s="852"/>
      <c r="EZ94" s="852"/>
      <c r="FA94" s="28"/>
      <c r="FB94" s="134"/>
      <c r="FC94" s="852"/>
      <c r="FD94" s="852"/>
      <c r="FE94" s="852"/>
      <c r="FF94" s="852"/>
      <c r="FG94" s="28"/>
      <c r="FH94" s="134"/>
      <c r="FI94" s="852"/>
      <c r="FJ94" s="852"/>
      <c r="FK94" s="852"/>
      <c r="FL94" s="852"/>
      <c r="FM94" s="28"/>
      <c r="FN94" s="27"/>
      <c r="FO94" s="27"/>
      <c r="FP94" s="27"/>
      <c r="FQ94" s="27"/>
      <c r="FR94"/>
      <c r="FS94"/>
      <c r="FT94"/>
      <c r="FU94"/>
      <c r="FV94"/>
      <c r="FW94"/>
      <c r="FX94" s="14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</row>
    <row r="95" spans="1:274" s="24" customFormat="1" ht="12" hidden="1" customHeight="1" outlineLevel="1" x14ac:dyDescent="0.2">
      <c r="A95" s="27" t="s">
        <v>927</v>
      </c>
      <c r="B95" s="894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69"/>
      <c r="AX95" s="28"/>
      <c r="AY95" s="28"/>
      <c r="AZ95" s="28"/>
      <c r="BA95" s="28"/>
      <c r="BB95" s="28"/>
      <c r="BC95" s="69"/>
      <c r="BD95" s="28"/>
      <c r="BE95" s="28"/>
      <c r="BF95" s="28"/>
      <c r="BG95" s="28"/>
      <c r="BH95" s="28"/>
      <c r="BI95" s="69"/>
      <c r="BJ95" s="28"/>
      <c r="BK95" s="69"/>
      <c r="BL95" s="69"/>
      <c r="BM95" s="69"/>
      <c r="BN95" s="69"/>
      <c r="BO95" s="69"/>
      <c r="BP95" s="28"/>
      <c r="BQ95" s="69"/>
      <c r="BR95" s="69"/>
      <c r="BS95" s="69"/>
      <c r="BT95" s="69"/>
      <c r="BU95" s="69"/>
      <c r="BV95" s="28"/>
      <c r="BW95" s="69"/>
      <c r="BX95" s="69"/>
      <c r="BY95" s="69"/>
      <c r="BZ95" s="69"/>
      <c r="CA95" s="243">
        <f>(CA8+CA9+CA19)-CA93</f>
        <v>1922</v>
      </c>
      <c r="CB95" s="134"/>
      <c r="CC95" s="69"/>
      <c r="CD95" s="69"/>
      <c r="CE95" s="243"/>
      <c r="CF95" s="243"/>
      <c r="CG95" s="243">
        <f>(CG8+CG9+CG19)-CG93</f>
        <v>4462</v>
      </c>
      <c r="CH95" s="305"/>
      <c r="CI95" s="243"/>
      <c r="CJ95" s="243"/>
      <c r="CK95" s="243"/>
      <c r="CL95" s="243"/>
      <c r="CM95" s="243">
        <f>(CM8+CM9+CM19)-CM93</f>
        <v>2808</v>
      </c>
      <c r="CN95" s="305"/>
      <c r="CO95" s="243"/>
      <c r="CP95" s="243"/>
      <c r="CQ95" s="243"/>
      <c r="CR95" s="243"/>
      <c r="CS95" s="243">
        <f>(CS8+CS9+CS19)-CS93</f>
        <v>4600</v>
      </c>
      <c r="CT95" s="305"/>
      <c r="CU95" s="243"/>
      <c r="CV95" s="243"/>
      <c r="CW95" s="243"/>
      <c r="CX95" s="243"/>
      <c r="CY95" s="243">
        <f>(CY8+CY9+CY19)-CY93</f>
        <v>7645</v>
      </c>
      <c r="CZ95" s="134"/>
      <c r="DA95" s="852"/>
      <c r="DB95" s="852"/>
      <c r="DC95" s="852"/>
      <c r="DD95" s="852"/>
      <c r="DE95" s="28"/>
      <c r="DF95" s="134"/>
      <c r="DG95" s="852"/>
      <c r="DH95" s="852"/>
      <c r="DI95" s="852"/>
      <c r="DJ95" s="852"/>
      <c r="DK95" s="28"/>
      <c r="DL95" s="134"/>
      <c r="DM95" s="852"/>
      <c r="DN95" s="852"/>
      <c r="DO95" s="852"/>
      <c r="DP95" s="852"/>
      <c r="DQ95" s="28"/>
      <c r="DR95" s="134"/>
      <c r="DS95" s="852"/>
      <c r="DT95" s="852"/>
      <c r="DU95" s="852"/>
      <c r="DV95" s="852"/>
      <c r="DW95" s="28"/>
      <c r="DX95" s="134"/>
      <c r="DY95" s="852"/>
      <c r="DZ95" s="852"/>
      <c r="EA95" s="852"/>
      <c r="EB95" s="852"/>
      <c r="EC95" s="28"/>
      <c r="ED95" s="134"/>
      <c r="EE95" s="852"/>
      <c r="EF95" s="852"/>
      <c r="EG95" s="852"/>
      <c r="EH95" s="852"/>
      <c r="EI95" s="28"/>
      <c r="EJ95" s="134"/>
      <c r="EK95" s="852"/>
      <c r="EL95" s="852"/>
      <c r="EM95" s="852"/>
      <c r="EN95" s="852"/>
      <c r="EO95" s="28"/>
      <c r="EP95" s="134"/>
      <c r="EQ95" s="852"/>
      <c r="ER95" s="852"/>
      <c r="ES95" s="852"/>
      <c r="ET95" s="852"/>
      <c r="EU95" s="28"/>
      <c r="EV95" s="134"/>
      <c r="EW95" s="852"/>
      <c r="EX95" s="852"/>
      <c r="EY95" s="852"/>
      <c r="EZ95" s="852"/>
      <c r="FA95" s="28"/>
      <c r="FB95" s="134"/>
      <c r="FC95" s="852"/>
      <c r="FD95" s="852"/>
      <c r="FE95" s="852"/>
      <c r="FF95" s="852"/>
      <c r="FG95" s="28"/>
      <c r="FH95" s="134"/>
      <c r="FI95" s="852"/>
      <c r="FJ95" s="852"/>
      <c r="FK95" s="852"/>
      <c r="FL95" s="852"/>
      <c r="FM95" s="28"/>
      <c r="FN95" s="27"/>
      <c r="FO95" s="27"/>
      <c r="FP95" s="27"/>
      <c r="FQ95" s="27"/>
      <c r="FR95"/>
      <c r="FS95"/>
      <c r="FT95"/>
      <c r="FU95"/>
      <c r="FV95"/>
      <c r="FW95"/>
      <c r="FX95" s="144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</row>
    <row r="96" spans="1:274" s="24" customFormat="1" ht="12" customHeight="1" collapsed="1" x14ac:dyDescent="0.2">
      <c r="A96" s="27"/>
      <c r="B96" s="894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28"/>
      <c r="AM96" s="28"/>
      <c r="AN96" s="28"/>
      <c r="AO96" s="28"/>
      <c r="AP96" s="28"/>
      <c r="AQ96" s="28"/>
      <c r="AR96" s="28"/>
      <c r="AS96" s="28"/>
      <c r="AT96" s="28"/>
      <c r="AU96" s="28"/>
      <c r="AV96" s="28"/>
      <c r="AW96" s="69"/>
      <c r="AX96" s="28"/>
      <c r="AY96" s="28"/>
      <c r="AZ96" s="28"/>
      <c r="BA96" s="28"/>
      <c r="BB96" s="28"/>
      <c r="BC96" s="69"/>
      <c r="BD96" s="28"/>
      <c r="BE96" s="28"/>
      <c r="BF96" s="28"/>
      <c r="BG96" s="28"/>
      <c r="BH96" s="28"/>
      <c r="BI96" s="69"/>
      <c r="BJ96" s="28"/>
      <c r="BK96" s="69"/>
      <c r="BL96" s="69"/>
      <c r="BM96" s="69"/>
      <c r="BN96" s="69"/>
      <c r="BO96" s="69"/>
      <c r="BP96" s="28"/>
      <c r="BQ96" s="69"/>
      <c r="BR96" s="69"/>
      <c r="BS96" s="69"/>
      <c r="BT96" s="69"/>
      <c r="BU96" s="69"/>
      <c r="BV96" s="28"/>
      <c r="BW96" s="69"/>
      <c r="BX96" s="69"/>
      <c r="BY96" s="69"/>
      <c r="BZ96" s="69"/>
      <c r="CA96" s="243"/>
      <c r="CB96" s="134"/>
      <c r="CC96" s="69"/>
      <c r="CD96" s="69"/>
      <c r="CE96" s="243"/>
      <c r="CF96" s="243"/>
      <c r="CG96" s="243"/>
      <c r="CH96" s="305"/>
      <c r="CI96" s="243"/>
      <c r="CJ96" s="243"/>
      <c r="CK96" s="243"/>
      <c r="CL96" s="243"/>
      <c r="CM96" s="243"/>
      <c r="CN96" s="305"/>
      <c r="CO96" s="243"/>
      <c r="CP96" s="243"/>
      <c r="CQ96" s="243"/>
      <c r="CR96" s="243"/>
      <c r="CS96" s="243"/>
      <c r="CT96" s="305"/>
      <c r="CU96" s="243"/>
      <c r="CV96" s="243"/>
      <c r="CW96" s="243"/>
      <c r="CX96" s="243"/>
      <c r="CY96" s="28"/>
      <c r="CZ96" s="134"/>
      <c r="DA96" s="852"/>
      <c r="DB96" s="852"/>
      <c r="DC96" s="852"/>
      <c r="DD96" s="852"/>
      <c r="DE96" s="28"/>
      <c r="DF96" s="134"/>
      <c r="DG96" s="852"/>
      <c r="DH96" s="852"/>
      <c r="DI96" s="852"/>
      <c r="DJ96" s="852"/>
      <c r="DK96" s="28"/>
      <c r="DL96" s="134"/>
      <c r="DM96" s="852"/>
      <c r="DN96" s="852"/>
      <c r="DO96" s="879">
        <f>DO98/DI98-1</f>
        <v>0.89083503054989821</v>
      </c>
      <c r="DP96" s="879">
        <f>DP98/DJ98-1</f>
        <v>-0.54119318181818188</v>
      </c>
      <c r="DQ96" s="28"/>
      <c r="DR96" s="134"/>
      <c r="DS96" s="879"/>
      <c r="DT96" s="879"/>
      <c r="DU96" s="879"/>
      <c r="DV96" s="879"/>
      <c r="DW96" s="28"/>
      <c r="DX96" s="134"/>
      <c r="DY96" s="879"/>
      <c r="DZ96" s="852"/>
      <c r="EA96" s="852"/>
      <c r="EB96" s="852"/>
      <c r="EC96" s="28"/>
      <c r="ED96" s="134"/>
      <c r="EE96" s="852"/>
      <c r="EF96" s="852"/>
      <c r="EG96" s="852"/>
      <c r="EH96" s="852"/>
      <c r="EI96" s="28"/>
      <c r="EJ96" s="134"/>
      <c r="EK96" s="852"/>
      <c r="EL96" s="852"/>
      <c r="EM96" s="852"/>
      <c r="EN96" s="852"/>
      <c r="EO96" s="28"/>
      <c r="EP96" s="134"/>
      <c r="EQ96" s="852"/>
      <c r="ER96" s="852"/>
      <c r="ES96" s="852"/>
      <c r="ET96" s="852"/>
      <c r="EU96" s="28"/>
      <c r="EV96" s="134"/>
      <c r="EW96" s="852"/>
      <c r="EX96" s="852"/>
      <c r="EY96" s="852"/>
      <c r="EZ96" s="852"/>
      <c r="FA96" s="28"/>
      <c r="FB96" s="134"/>
      <c r="FC96" s="852"/>
      <c r="FD96" s="852"/>
      <c r="FE96" s="852"/>
      <c r="FF96" s="852"/>
      <c r="FG96" s="28"/>
      <c r="FH96" s="134"/>
      <c r="FI96" s="852"/>
      <c r="FJ96" s="852"/>
      <c r="FK96" s="852"/>
      <c r="FL96" s="852"/>
      <c r="FM96" s="28"/>
      <c r="FN96" s="27"/>
      <c r="FO96" s="27"/>
      <c r="FP96" s="27"/>
      <c r="FQ96" s="27"/>
      <c r="FR96"/>
      <c r="FS96"/>
      <c r="FT96"/>
      <c r="FU96"/>
      <c r="FV96"/>
      <c r="FW96"/>
      <c r="FX96" s="144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</row>
    <row r="97" spans="1:274" s="24" customFormat="1" ht="12" customHeight="1" x14ac:dyDescent="0.2">
      <c r="A97" s="27" t="s">
        <v>712</v>
      </c>
      <c r="B97" s="894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8"/>
      <c r="AM97" s="28"/>
      <c r="AN97" s="28"/>
      <c r="AO97" s="28"/>
      <c r="AP97" s="28"/>
      <c r="AQ97" s="28"/>
      <c r="AR97" s="28"/>
      <c r="AS97" s="28"/>
      <c r="AT97" s="28"/>
      <c r="AU97" s="28"/>
      <c r="AV97" s="28"/>
      <c r="AW97" s="69"/>
      <c r="AX97" s="28"/>
      <c r="AY97" s="28"/>
      <c r="AZ97" s="28"/>
      <c r="BA97" s="28"/>
      <c r="BB97" s="28"/>
      <c r="BC97" s="69"/>
      <c r="BD97" s="28"/>
      <c r="BE97" s="28"/>
      <c r="BF97" s="28"/>
      <c r="BG97" s="28"/>
      <c r="BH97" s="28"/>
      <c r="BI97" s="69"/>
      <c r="BJ97" s="28"/>
      <c r="BK97" s="69"/>
      <c r="BL97" s="69"/>
      <c r="BM97" s="69"/>
      <c r="BN97" s="69"/>
      <c r="BO97" s="69"/>
      <c r="BP97" s="28"/>
      <c r="BQ97" s="69"/>
      <c r="BR97" s="69"/>
      <c r="BS97" s="69"/>
      <c r="BT97" s="69"/>
      <c r="BU97" s="69"/>
      <c r="BV97" s="28"/>
      <c r="BW97" s="69"/>
      <c r="BX97" s="69"/>
      <c r="BY97" s="69"/>
      <c r="BZ97" s="69"/>
      <c r="CA97" s="243"/>
      <c r="CB97" s="134"/>
      <c r="CC97" s="69"/>
      <c r="CD97" s="69"/>
      <c r="CE97" s="243"/>
      <c r="CF97" s="243"/>
      <c r="CG97" s="243"/>
      <c r="CH97" s="305"/>
      <c r="CI97" s="243"/>
      <c r="CJ97" s="243"/>
      <c r="CK97" s="243"/>
      <c r="CL97" s="243"/>
      <c r="CM97" s="243"/>
      <c r="CN97" s="305"/>
      <c r="CO97" s="243"/>
      <c r="CP97" s="243"/>
      <c r="CQ97" s="243"/>
      <c r="CR97" s="243"/>
      <c r="CS97" s="243">
        <v>10100</v>
      </c>
      <c r="CT97" s="305"/>
      <c r="CU97" s="243"/>
      <c r="CV97" s="243"/>
      <c r="CW97" s="243"/>
      <c r="CX97" s="243"/>
      <c r="CY97" s="243">
        <v>11300</v>
      </c>
      <c r="CZ97" s="134"/>
      <c r="DA97" s="1193">
        <v>13800</v>
      </c>
      <c r="DB97" s="1193">
        <v>14700</v>
      </c>
      <c r="DC97" s="1193">
        <v>16400</v>
      </c>
      <c r="DD97" s="1193">
        <v>16600</v>
      </c>
      <c r="DE97" s="1193"/>
      <c r="DF97" s="1193"/>
      <c r="DG97" s="1193">
        <v>19200</v>
      </c>
      <c r="DH97" s="1193">
        <v>19800</v>
      </c>
      <c r="DI97" s="1193">
        <v>21900</v>
      </c>
      <c r="DJ97" s="1193">
        <v>20400</v>
      </c>
      <c r="DK97" s="28"/>
      <c r="DL97" s="134"/>
      <c r="DM97" s="1193">
        <v>23200</v>
      </c>
      <c r="DN97" s="1193">
        <v>23400</v>
      </c>
      <c r="DO97" s="1193">
        <v>25100</v>
      </c>
      <c r="DP97" s="1193">
        <v>26800</v>
      </c>
      <c r="DQ97" s="28"/>
      <c r="DR97" s="134"/>
      <c r="DS97" s="1193">
        <v>25200</v>
      </c>
      <c r="DT97" s="1193">
        <v>26000</v>
      </c>
      <c r="DU97" s="1193">
        <v>27400</v>
      </c>
      <c r="DV97" s="1193">
        <v>28200</v>
      </c>
      <c r="DW97" s="28"/>
      <c r="DX97" s="134"/>
      <c r="DY97" s="1193">
        <v>29900</v>
      </c>
      <c r="DZ97" s="1193">
        <v>31200</v>
      </c>
      <c r="EA97" s="1193">
        <v>32900</v>
      </c>
      <c r="EB97" s="1193">
        <v>35200</v>
      </c>
      <c r="EC97" s="28"/>
      <c r="ED97" s="134"/>
      <c r="EE97" s="1193">
        <v>39200</v>
      </c>
      <c r="EF97" s="1193">
        <v>40300</v>
      </c>
      <c r="EG97" s="1193">
        <v>41500</v>
      </c>
      <c r="EH97" s="1193">
        <v>42700</v>
      </c>
      <c r="EI97" s="28"/>
      <c r="EJ97" s="134"/>
      <c r="EK97" s="1193">
        <v>44800</v>
      </c>
      <c r="EL97" s="1193">
        <v>45300</v>
      </c>
      <c r="EM97" s="1193">
        <v>46800</v>
      </c>
      <c r="EN97" s="1193">
        <v>48200</v>
      </c>
      <c r="EO97" s="28"/>
      <c r="EP97" s="134"/>
      <c r="EQ97" s="1193">
        <v>51400</v>
      </c>
      <c r="ER97" s="1193">
        <v>51100</v>
      </c>
      <c r="ES97" s="1193">
        <v>52200</v>
      </c>
      <c r="ET97" s="1193">
        <v>54400</v>
      </c>
      <c r="EU97" s="28"/>
      <c r="EV97" s="134"/>
      <c r="EW97" s="1193">
        <v>58300</v>
      </c>
      <c r="EX97" s="1193"/>
      <c r="EY97" s="852"/>
      <c r="EZ97" s="852"/>
      <c r="FA97" s="28"/>
      <c r="FB97" s="134"/>
      <c r="FC97" s="852"/>
      <c r="FD97" s="852"/>
      <c r="FE97" s="852"/>
      <c r="FF97" s="852"/>
      <c r="FG97" s="28"/>
      <c r="FH97" s="134"/>
      <c r="FI97" s="852"/>
      <c r="FJ97" s="852"/>
      <c r="FK97" s="852"/>
      <c r="FL97" s="852"/>
      <c r="FM97" s="28"/>
      <c r="FN97" s="27"/>
      <c r="FO97" s="27"/>
      <c r="FP97" s="27"/>
      <c r="FQ97" s="27"/>
      <c r="FR97"/>
      <c r="FS97"/>
      <c r="FT97"/>
      <c r="FU97"/>
      <c r="FV97"/>
      <c r="FW97"/>
      <c r="FX97" s="144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</row>
    <row r="98" spans="1:274" s="24" customFormat="1" ht="12" customHeight="1" x14ac:dyDescent="0.2">
      <c r="A98" s="27" t="s">
        <v>713</v>
      </c>
      <c r="B98" s="894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  <c r="AL98" s="28"/>
      <c r="AM98" s="28"/>
      <c r="AN98" s="28"/>
      <c r="AO98" s="28"/>
      <c r="AP98" s="28"/>
      <c r="AQ98" s="28"/>
      <c r="AR98" s="28"/>
      <c r="AS98" s="28"/>
      <c r="AT98" s="28"/>
      <c r="AU98" s="28"/>
      <c r="AV98" s="28"/>
      <c r="AW98" s="69"/>
      <c r="AX98" s="28"/>
      <c r="AY98" s="28"/>
      <c r="AZ98" s="28"/>
      <c r="BA98" s="28"/>
      <c r="BB98" s="28"/>
      <c r="BC98" s="69"/>
      <c r="BD98" s="28"/>
      <c r="BE98" s="28"/>
      <c r="BF98" s="28"/>
      <c r="BG98" s="28"/>
      <c r="BH98" s="28"/>
      <c r="BI98" s="69"/>
      <c r="BJ98" s="28"/>
      <c r="BK98" s="69"/>
      <c r="BL98" s="69"/>
      <c r="BM98" s="69"/>
      <c r="BN98" s="69"/>
      <c r="BO98" s="69"/>
      <c r="BP98" s="28"/>
      <c r="BQ98" s="69"/>
      <c r="BR98" s="69"/>
      <c r="BS98" s="69"/>
      <c r="BT98" s="69"/>
      <c r="BU98" s="69"/>
      <c r="BV98" s="28"/>
      <c r="BW98" s="69"/>
      <c r="BX98" s="69"/>
      <c r="BY98" s="69"/>
      <c r="BZ98" s="69"/>
      <c r="CA98" s="243"/>
      <c r="CB98" s="134"/>
      <c r="CC98" s="69"/>
      <c r="CD98" s="69"/>
      <c r="CE98" s="243"/>
      <c r="CF98" s="243"/>
      <c r="CG98" s="243"/>
      <c r="CH98" s="305"/>
      <c r="CI98" s="243"/>
      <c r="CJ98" s="243"/>
      <c r="CK98" s="243"/>
      <c r="CL98" s="243"/>
      <c r="CM98" s="243"/>
      <c r="CN98" s="305"/>
      <c r="CO98" s="243"/>
      <c r="CP98" s="243"/>
      <c r="CQ98" s="243"/>
      <c r="CR98" s="243"/>
      <c r="CS98" s="243">
        <f>CS8+CS9+CS19-CS97</f>
        <v>943</v>
      </c>
      <c r="CT98" s="305"/>
      <c r="CU98" s="243"/>
      <c r="CV98" s="243"/>
      <c r="CW98" s="243"/>
      <c r="CX98" s="243"/>
      <c r="CY98" s="243">
        <f>CY8+CY9+CY19-CY97</f>
        <v>1324</v>
      </c>
      <c r="CZ98" s="134"/>
      <c r="DA98" s="1193">
        <f>DA8+DA9+DA19-DA97</f>
        <v>6765</v>
      </c>
      <c r="DB98" s="1193">
        <f>DB8+DB9+DB19-DB97</f>
        <v>6084</v>
      </c>
      <c r="DC98" s="1193">
        <f>DC8+DC9+DC19-DC97</f>
        <v>1089</v>
      </c>
      <c r="DD98" s="1193">
        <f>DD8+DD9+DD19-DD97</f>
        <v>1869</v>
      </c>
      <c r="DE98" s="1193"/>
      <c r="DF98" s="1193"/>
      <c r="DG98" s="1193">
        <f>DG8+DG9+DG19-DG97</f>
        <v>4437</v>
      </c>
      <c r="DH98" s="1193">
        <f>DH8+DH9+DH19-DH97</f>
        <v>5045</v>
      </c>
      <c r="DI98" s="1193">
        <f>DI8+DI9+DI19-DI97</f>
        <v>2455</v>
      </c>
      <c r="DJ98" s="1193">
        <f>DJ8+DJ9+DJ19-DJ97</f>
        <v>8448</v>
      </c>
      <c r="DK98" s="28"/>
      <c r="DL98" s="134"/>
      <c r="DM98" s="1193">
        <f>DM8+DM9+DM19-DM97</f>
        <v>8460</v>
      </c>
      <c r="DN98" s="1193">
        <f>DN8+DN9+DN19-DN97</f>
        <v>7612</v>
      </c>
      <c r="DO98" s="1193">
        <f>DO8+DO9+DO19-DO97</f>
        <v>4642</v>
      </c>
      <c r="DP98" s="1193">
        <f>DP8+DP9+DP19-DP97</f>
        <v>3876</v>
      </c>
      <c r="DQ98" s="28"/>
      <c r="DR98" s="134"/>
      <c r="DS98" s="1193">
        <f>DS8+DS9+DS19-DS97</f>
        <v>6407</v>
      </c>
      <c r="DT98" s="1193">
        <f>DT8+DT9+DT19-DT97</f>
        <v>7695</v>
      </c>
      <c r="DU98" s="1193">
        <f>DU8+DU9+DU19-DU97</f>
        <v>6007</v>
      </c>
      <c r="DV98" s="1193">
        <f>DV8+DV9+DV19-DV97</f>
        <v>4016</v>
      </c>
      <c r="DW98" s="28"/>
      <c r="DX98" s="134"/>
      <c r="DY98" s="1193">
        <f>DY8+DY9+DY19-DY97</f>
        <v>9204</v>
      </c>
      <c r="DZ98" s="1193">
        <f>DZ8+DZ9+DZ19-DZ97</f>
        <v>5774</v>
      </c>
      <c r="EA98" s="1193">
        <f>EA8+EA9+EA19-EA97</f>
        <v>4325</v>
      </c>
      <c r="EB98" s="1193">
        <f>EB8+EB9+EB19-EB97</f>
        <v>3619</v>
      </c>
      <c r="EC98" s="28"/>
      <c r="ED98" s="134"/>
      <c r="EE98" s="1193">
        <f>EE8+EE9+EE19-EE97</f>
        <v>12416</v>
      </c>
      <c r="EF98" s="1193">
        <f>EF8+EF9+EF19-EF97</f>
        <v>4433</v>
      </c>
      <c r="EG98" s="1193">
        <f>EG8+EG9+EG19-EG97</f>
        <v>2277</v>
      </c>
      <c r="EH98" s="1193">
        <f>EH8+EH9+EH19-EH97</f>
        <v>11668</v>
      </c>
      <c r="EI98" s="28"/>
      <c r="EJ98" s="134"/>
      <c r="EK98" s="1193">
        <f>EK8+EK9+EK19-EK97</f>
        <v>11130</v>
      </c>
      <c r="EL98" s="1193">
        <f>EL8+EL9+EL19-EL97</f>
        <v>7035</v>
      </c>
      <c r="EM98" s="1193">
        <f>EM8+EM9+EM19-EM97</f>
        <v>3967</v>
      </c>
      <c r="EN98" s="1193">
        <f>EN8+EN9+EN19-EN97</f>
        <v>7925</v>
      </c>
      <c r="EO98" s="28"/>
      <c r="EP98" s="134"/>
      <c r="EQ98" s="1193">
        <f>EQ8+EQ9+EQ19-EQ97</f>
        <v>16996</v>
      </c>
      <c r="ER98" s="1193">
        <f>ER8+ER9+ER19-ER97</f>
        <v>7106</v>
      </c>
      <c r="ES98" s="1193">
        <f>ES8+ES9+ES19-ES97</f>
        <v>7152</v>
      </c>
      <c r="ET98" s="1193">
        <f>ET8+ET9+ET19-ET97</f>
        <v>11678</v>
      </c>
      <c r="EU98" s="28"/>
      <c r="EV98" s="134"/>
      <c r="EW98" s="1193">
        <f>EW8+EW9+EW19-EW97</f>
        <v>8597</v>
      </c>
      <c r="EX98" s="1193"/>
      <c r="EY98" s="852"/>
      <c r="EZ98" s="852"/>
      <c r="FA98" s="28"/>
      <c r="FB98" s="134"/>
      <c r="FC98" s="852"/>
      <c r="FD98" s="852"/>
      <c r="FE98" s="852"/>
      <c r="FF98" s="852"/>
      <c r="FG98" s="28"/>
      <c r="FH98" s="134"/>
      <c r="FI98" s="852"/>
      <c r="FJ98" s="852"/>
      <c r="FK98" s="852"/>
      <c r="FL98" s="852"/>
      <c r="FM98" s="28"/>
      <c r="FN98" s="27"/>
      <c r="FO98" s="27"/>
      <c r="FP98" s="27"/>
      <c r="FQ98" s="27"/>
      <c r="FR98"/>
      <c r="FS98"/>
      <c r="FT98"/>
      <c r="FU98"/>
      <c r="FV98"/>
      <c r="FW98"/>
      <c r="FX98" s="144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</row>
    <row r="99" spans="1:274" s="24" customFormat="1" ht="12" customHeight="1" x14ac:dyDescent="0.2">
      <c r="A99" s="27"/>
      <c r="B99" s="894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  <c r="AL99" s="28"/>
      <c r="AM99" s="28"/>
      <c r="AN99" s="28"/>
      <c r="AO99" s="28"/>
      <c r="AP99" s="28"/>
      <c r="AQ99" s="28"/>
      <c r="AR99" s="28"/>
      <c r="AS99" s="28"/>
      <c r="AT99" s="28"/>
      <c r="AU99" s="28"/>
      <c r="AV99" s="28"/>
      <c r="AW99" s="69"/>
      <c r="AX99" s="28"/>
      <c r="AY99" s="28"/>
      <c r="AZ99" s="28"/>
      <c r="BA99" s="28"/>
      <c r="BB99" s="28"/>
      <c r="BC99" s="69"/>
      <c r="BD99" s="28"/>
      <c r="BE99" s="28"/>
      <c r="BF99" s="28"/>
      <c r="BG99" s="28"/>
      <c r="BH99" s="28"/>
      <c r="BI99" s="69"/>
      <c r="BJ99" s="28"/>
      <c r="BK99" s="69"/>
      <c r="BL99" s="69"/>
      <c r="BM99" s="69"/>
      <c r="BN99" s="69"/>
      <c r="BO99" s="69"/>
      <c r="BP99" s="28"/>
      <c r="BQ99" s="69"/>
      <c r="BR99" s="69"/>
      <c r="BS99" s="69"/>
      <c r="BT99" s="69"/>
      <c r="BU99" s="69"/>
      <c r="BV99" s="28"/>
      <c r="BW99" s="69"/>
      <c r="BX99" s="69"/>
      <c r="BY99" s="69"/>
      <c r="BZ99" s="69"/>
      <c r="CA99" s="69"/>
      <c r="CB99" s="134"/>
      <c r="CC99" s="69"/>
      <c r="CD99" s="69"/>
      <c r="CE99" s="243"/>
      <c r="CF99" s="243"/>
      <c r="CG99" s="305"/>
      <c r="CH99" s="305"/>
      <c r="CI99" s="243"/>
      <c r="CJ99" s="243"/>
      <c r="CK99" s="243"/>
      <c r="CL99" s="243"/>
      <c r="CM99" s="305"/>
      <c r="CN99" s="305"/>
      <c r="CO99" s="243"/>
      <c r="CP99" s="243"/>
      <c r="CQ99" s="243"/>
      <c r="CR99" s="243"/>
      <c r="CS99" s="305"/>
      <c r="CT99" s="305"/>
      <c r="CU99" s="243"/>
      <c r="CV99" s="243"/>
      <c r="CW99" s="243"/>
      <c r="CX99" s="243"/>
      <c r="CY99" s="28"/>
      <c r="CZ99" s="134"/>
      <c r="DA99" s="1179">
        <f>DA97/(DA97+DA98)</f>
        <v>0.67104303428154632</v>
      </c>
      <c r="DB99" s="1179">
        <f>DB97/(DB97+DB98)</f>
        <v>0.70727482678983833</v>
      </c>
      <c r="DC99" s="1179">
        <f>DC97/(DC97+DC98)</f>
        <v>0.93773228886728799</v>
      </c>
      <c r="DD99" s="1179">
        <f>DD97/(DD97+DD98)</f>
        <v>0.89880340029238182</v>
      </c>
      <c r="DE99" s="1179"/>
      <c r="DF99" s="1179"/>
      <c r="DG99" s="1179">
        <f>DG97/(DG97+DG98)</f>
        <v>0.81228582307399411</v>
      </c>
      <c r="DH99" s="1179">
        <f>DH97/(DH97+DH98)</f>
        <v>0.79694103441336284</v>
      </c>
      <c r="DI99" s="1179">
        <f>DI97/(DI97+DI98)</f>
        <v>0.89919934305070826</v>
      </c>
      <c r="DJ99" s="1179">
        <f>DJ97/(DJ97+DJ98)</f>
        <v>0.70715474209650586</v>
      </c>
      <c r="DK99" s="28"/>
      <c r="DL99" s="134"/>
      <c r="DM99" s="1179">
        <f>DM97/(DM97+DM98)</f>
        <v>0.73278584965255844</v>
      </c>
      <c r="DN99" s="1179">
        <f>DN97/(DN97+DN98)</f>
        <v>0.75454662711208564</v>
      </c>
      <c r="DO99" s="1179">
        <f>DO97/(DO97+DO98)</f>
        <v>0.8439244166498554</v>
      </c>
      <c r="DP99" s="1179">
        <f>DP97/(DP97+DP98)</f>
        <v>0.87364715086712741</v>
      </c>
      <c r="DQ99" s="28"/>
      <c r="DR99" s="134"/>
      <c r="DS99" s="1179">
        <f>DS97/(DS97+DS98)</f>
        <v>0.79729173917170248</v>
      </c>
      <c r="DT99" s="1179">
        <f>DT97/(DT97+DT98)</f>
        <v>0.77162783795815404</v>
      </c>
      <c r="DU99" s="1179">
        <f>DU97/(DU97+DU98)</f>
        <v>0.82018738587721141</v>
      </c>
      <c r="DV99" s="1179">
        <f>DV97/(DV97+DV98)</f>
        <v>0.875341445244599</v>
      </c>
      <c r="DW99" s="28"/>
      <c r="DX99" s="134"/>
      <c r="DY99" s="1179">
        <f>DY97/(DY97+DY98)</f>
        <v>0.7646276595744681</v>
      </c>
      <c r="DZ99" s="1179">
        <f>DZ97/(DZ97+DZ98)</f>
        <v>0.8438362092281062</v>
      </c>
      <c r="EA99" s="1179">
        <f>EA97/(EA97+EA98)</f>
        <v>0.88381464069845539</v>
      </c>
      <c r="EB99" s="1179">
        <f>EB97/(EB97+EB98)</f>
        <v>0.9067724567866251</v>
      </c>
      <c r="EC99" s="28"/>
      <c r="ED99" s="134"/>
      <c r="EE99" s="1179">
        <f>EE97/(EE97+EE98)</f>
        <v>0.75945443273403601</v>
      </c>
      <c r="EF99" s="1179">
        <f>EF97/(EF97+EF98)</f>
        <v>0.90090090090090091</v>
      </c>
      <c r="EG99" s="1179">
        <f>EG97/(EG97+EG98)</f>
        <v>0.94798638554492087</v>
      </c>
      <c r="EH99" s="1179">
        <f>EH97/(EH97+EH98)</f>
        <v>0.78538846380223659</v>
      </c>
      <c r="EI99" s="28"/>
      <c r="EJ99" s="134"/>
      <c r="EK99" s="1179">
        <f>EK97/(EK97+EK98)</f>
        <v>0.80100125156445556</v>
      </c>
      <c r="EL99" s="1179">
        <f>EL97/(EL97+EL98)</f>
        <v>0.86557752937804533</v>
      </c>
      <c r="EM99" s="1179">
        <f>EM97/(EM97+EM98)</f>
        <v>0.9218586877302184</v>
      </c>
      <c r="EN99" s="1179">
        <f>EN97/(EN97+EN98)</f>
        <v>0.85879732739420933</v>
      </c>
      <c r="EO99" s="28"/>
      <c r="EP99" s="134"/>
      <c r="EQ99" s="1179">
        <f>EQ97/(EQ97+EQ98)</f>
        <v>0.75150593601965032</v>
      </c>
      <c r="ER99" s="1179">
        <f>ER97/(ER97+ER98)</f>
        <v>0.87791636601037693</v>
      </c>
      <c r="ES99" s="1179">
        <f>ES97/(ES97+ES98)</f>
        <v>0.87949858471492115</v>
      </c>
      <c r="ET99" s="1179">
        <f>ET97/(ET97+ET98)</f>
        <v>0.82326946941493384</v>
      </c>
      <c r="EU99" s="28"/>
      <c r="EV99" s="134"/>
      <c r="EW99" s="1179">
        <f>EW97/(EW97+EW98)</f>
        <v>0.87148900548604569</v>
      </c>
      <c r="EX99" s="1179"/>
      <c r="EY99" s="852"/>
      <c r="EZ99" s="852"/>
      <c r="FA99" s="28"/>
      <c r="FB99" s="134"/>
      <c r="FC99" s="852"/>
      <c r="FD99" s="852"/>
      <c r="FE99" s="852"/>
      <c r="FF99" s="852"/>
      <c r="FG99" s="28"/>
      <c r="FH99" s="134"/>
      <c r="FI99" s="852"/>
      <c r="FJ99" s="852"/>
      <c r="FK99" s="852"/>
      <c r="FL99" s="852"/>
      <c r="FM99" s="28"/>
      <c r="FN99" s="27"/>
      <c r="FO99" s="27"/>
      <c r="FP99" s="27"/>
      <c r="FQ99" s="27"/>
      <c r="FR99"/>
      <c r="FS99"/>
      <c r="FT99"/>
      <c r="FU99"/>
      <c r="FV99"/>
      <c r="FW99"/>
      <c r="FX99" s="144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</row>
    <row r="100" spans="1:274" s="24" customFormat="1" ht="20.100000000000001" customHeight="1" x14ac:dyDescent="0.2">
      <c r="A100" s="5" t="s">
        <v>714</v>
      </c>
      <c r="B100" s="20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454"/>
      <c r="BN100" s="5"/>
      <c r="BO100" s="5"/>
      <c r="BP100" s="5"/>
      <c r="BQ100" s="5"/>
      <c r="BR100" s="5"/>
      <c r="BS100" s="5"/>
      <c r="BT100" s="5"/>
      <c r="BU100" s="455"/>
      <c r="BV100" s="5"/>
      <c r="BW100" s="380"/>
      <c r="BX100" s="380"/>
      <c r="BY100" s="380"/>
      <c r="BZ100" s="380"/>
      <c r="CA100" s="5"/>
      <c r="CB100" s="5"/>
      <c r="CC100" s="380"/>
      <c r="CD100" s="380"/>
      <c r="CE100" s="380"/>
      <c r="CF100" s="380"/>
      <c r="CG100" s="5"/>
      <c r="CH100" s="5"/>
      <c r="CI100" s="455"/>
      <c r="CJ100" s="455"/>
      <c r="CK100" s="455"/>
      <c r="CL100" s="455"/>
      <c r="CM100" s="455"/>
      <c r="CN100" s="5"/>
      <c r="CO100" s="455"/>
      <c r="CP100" s="455"/>
      <c r="CQ100" s="455"/>
      <c r="CR100" s="455"/>
      <c r="CS100" s="5"/>
      <c r="CT100" s="5"/>
      <c r="CU100" s="455"/>
      <c r="CV100" s="455"/>
      <c r="CW100" s="455"/>
      <c r="CX100" s="455"/>
      <c r="CY100" s="5"/>
      <c r="CZ100" s="5"/>
      <c r="DA100" s="455"/>
      <c r="DB100" s="455"/>
      <c r="DC100" s="455"/>
      <c r="DD100" s="455"/>
      <c r="DE100" s="5"/>
      <c r="DF100" s="5"/>
      <c r="DG100" s="455"/>
      <c r="DH100" s="1159"/>
      <c r="DI100" s="1159"/>
      <c r="DJ100" s="1159"/>
      <c r="DK100" s="5"/>
      <c r="DL100" s="5"/>
      <c r="DM100" s="455"/>
      <c r="DN100" s="455"/>
      <c r="DO100" s="455"/>
      <c r="DP100" s="455"/>
      <c r="DQ100" s="5"/>
      <c r="DR100" s="5"/>
      <c r="DS100" s="455"/>
      <c r="DT100" s="455"/>
      <c r="DU100" s="455"/>
      <c r="DV100" s="455"/>
      <c r="DW100" s="5"/>
      <c r="DX100" s="5"/>
      <c r="DY100" s="455"/>
      <c r="DZ100" s="455"/>
      <c r="EA100" s="455"/>
      <c r="EB100" s="455"/>
      <c r="EC100" s="5"/>
      <c r="ED100" s="5"/>
      <c r="EE100" s="455"/>
      <c r="EF100" s="455"/>
      <c r="EG100" s="455"/>
      <c r="EH100" s="455"/>
      <c r="EI100" s="5"/>
      <c r="EJ100" s="5"/>
      <c r="EK100" s="455"/>
      <c r="EL100" s="455"/>
      <c r="EM100" s="455"/>
      <c r="EN100" s="455"/>
      <c r="EO100" s="5"/>
      <c r="EP100" s="5"/>
      <c r="EQ100" s="455"/>
      <c r="ER100" s="455"/>
      <c r="ES100" s="455"/>
      <c r="ET100" s="455"/>
      <c r="EU100" s="5"/>
      <c r="EV100" s="5"/>
      <c r="EW100" s="455"/>
      <c r="EX100" s="455"/>
      <c r="EY100" s="455"/>
      <c r="EZ100" s="455"/>
      <c r="FA100" s="5"/>
      <c r="FB100" s="5"/>
      <c r="FC100" s="455"/>
      <c r="FD100" s="455"/>
      <c r="FE100" s="455"/>
      <c r="FF100" s="455"/>
      <c r="FG100" s="5"/>
      <c r="FH100" s="5"/>
      <c r="FI100" s="455"/>
      <c r="FJ100" s="455"/>
      <c r="FK100" s="455"/>
      <c r="FL100" s="455"/>
      <c r="FM100" s="5"/>
      <c r="FN100" s="5"/>
      <c r="FO100" s="5"/>
      <c r="FP100" s="5"/>
      <c r="FQ100" s="5"/>
      <c r="FR100"/>
      <c r="FS100"/>
      <c r="FT100"/>
      <c r="FU100"/>
      <c r="FV100"/>
      <c r="FW100"/>
      <c r="FX100" s="5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</row>
    <row r="101" spans="1:274" s="24" customFormat="1" ht="10.5" customHeight="1" x14ac:dyDescent="0.2">
      <c r="A101" s="56" t="s">
        <v>715</v>
      </c>
      <c r="B101" s="20"/>
      <c r="C101" s="272"/>
      <c r="D101" s="272"/>
      <c r="E101" s="272"/>
      <c r="F101" s="272"/>
      <c r="G101" s="272"/>
      <c r="H101" s="242"/>
      <c r="I101" s="272"/>
      <c r="J101" s="272"/>
      <c r="K101" s="272"/>
      <c r="L101" s="272"/>
      <c r="M101" s="272"/>
      <c r="N101" s="242"/>
      <c r="O101" s="272"/>
      <c r="P101" s="272"/>
      <c r="Q101" s="272"/>
      <c r="R101" s="272"/>
      <c r="S101" s="272"/>
      <c r="T101" s="242"/>
      <c r="U101" s="272"/>
      <c r="V101" s="272"/>
      <c r="W101" s="272"/>
      <c r="X101" s="272"/>
      <c r="Y101" s="272"/>
      <c r="Z101" s="242"/>
      <c r="AA101" s="272"/>
      <c r="AB101" s="272"/>
      <c r="AC101" s="242"/>
      <c r="AD101" s="242"/>
      <c r="AE101" s="272"/>
      <c r="AF101" s="242"/>
      <c r="AG101" s="242"/>
      <c r="AH101" s="242"/>
      <c r="AI101" s="242"/>
      <c r="AJ101" s="242"/>
      <c r="AK101" s="272"/>
      <c r="AL101" s="242"/>
      <c r="AM101" s="242"/>
      <c r="AN101" s="242"/>
      <c r="AO101" s="242"/>
      <c r="AP101" s="242"/>
      <c r="AQ101" s="272"/>
      <c r="AR101" s="242"/>
      <c r="AS101" s="242"/>
      <c r="AT101" s="242"/>
      <c r="AU101" s="242"/>
      <c r="AV101" s="242"/>
      <c r="AW101" s="272"/>
      <c r="AX101" s="242"/>
      <c r="AY101" s="242"/>
      <c r="AZ101" s="242"/>
      <c r="BA101" s="242"/>
      <c r="BB101" s="242"/>
      <c r="BC101" s="272"/>
      <c r="BD101" s="242"/>
      <c r="BE101" s="242"/>
      <c r="BF101" s="242"/>
      <c r="BG101" s="242"/>
      <c r="BH101" s="242"/>
      <c r="BI101" s="272"/>
      <c r="BJ101" s="33"/>
      <c r="BK101" s="33"/>
      <c r="BL101" s="33"/>
      <c r="BM101" s="33"/>
      <c r="BN101" s="33"/>
      <c r="BO101" s="33"/>
      <c r="BP101" s="242"/>
      <c r="BQ101" s="33"/>
      <c r="BR101" s="33"/>
      <c r="BS101" s="33"/>
      <c r="BT101" s="33"/>
      <c r="BU101" s="33"/>
      <c r="BV101" s="242"/>
      <c r="BW101" s="33"/>
      <c r="BX101" s="33"/>
      <c r="BY101" s="33"/>
      <c r="BZ101" s="33"/>
      <c r="CA101" s="33"/>
      <c r="CB101" s="242"/>
      <c r="CC101" s="33"/>
      <c r="CD101" s="33"/>
      <c r="CE101" s="33"/>
      <c r="CF101" s="33"/>
      <c r="CG101" s="456"/>
      <c r="CH101" s="242"/>
      <c r="CI101" s="33"/>
      <c r="CJ101" s="33"/>
      <c r="CK101" s="33"/>
      <c r="CL101" s="33"/>
      <c r="CM101" s="456"/>
      <c r="CN101" s="242"/>
      <c r="CO101" s="33"/>
      <c r="CP101" s="33"/>
      <c r="CQ101" s="33"/>
      <c r="CR101" s="33"/>
      <c r="CS101" s="456"/>
      <c r="CT101" s="271"/>
      <c r="CU101" s="33"/>
      <c r="CV101" s="33"/>
      <c r="CW101" s="33"/>
      <c r="CX101" s="33"/>
      <c r="CY101" s="456"/>
      <c r="CZ101" s="271"/>
      <c r="DA101" s="33"/>
      <c r="DB101" s="33"/>
      <c r="DC101" s="33"/>
      <c r="DD101" s="33"/>
      <c r="DE101" s="456"/>
      <c r="DF101" s="271"/>
      <c r="DG101" s="33"/>
      <c r="DH101" s="33"/>
      <c r="DI101" s="33"/>
      <c r="DJ101" s="33"/>
      <c r="DK101" s="456"/>
      <c r="DL101" s="271"/>
      <c r="DM101" s="33"/>
      <c r="DN101" s="33"/>
      <c r="DO101" s="33"/>
      <c r="DP101" s="33"/>
      <c r="DQ101" s="456"/>
      <c r="DR101" s="271"/>
      <c r="DS101" s="33"/>
      <c r="DT101" s="33"/>
      <c r="DU101" s="33"/>
      <c r="DV101" s="33"/>
      <c r="DW101" s="456"/>
      <c r="DX101" s="271"/>
      <c r="DY101" s="33"/>
      <c r="DZ101" s="33"/>
      <c r="EA101" s="33"/>
      <c r="EB101" s="33"/>
      <c r="EC101" s="456"/>
      <c r="ED101" s="271"/>
      <c r="EE101" s="33"/>
      <c r="EF101" s="33"/>
      <c r="EG101" s="33"/>
      <c r="EH101" s="33"/>
      <c r="EI101" s="456"/>
      <c r="EJ101" s="271"/>
      <c r="EK101" s="33"/>
      <c r="EL101" s="33"/>
      <c r="EM101" s="33"/>
      <c r="EN101" s="33"/>
      <c r="EO101" s="456"/>
      <c r="EP101" s="271"/>
      <c r="EQ101" s="33"/>
      <c r="ER101" s="33"/>
      <c r="ES101" s="33"/>
      <c r="ET101" s="33"/>
      <c r="EU101" s="456"/>
      <c r="EV101" s="271"/>
      <c r="EW101" s="33"/>
      <c r="EX101" s="33"/>
      <c r="EY101" s="33"/>
      <c r="EZ101" s="33"/>
      <c r="FA101" s="456"/>
      <c r="FB101" s="271"/>
      <c r="FC101" s="33"/>
      <c r="FD101" s="33"/>
      <c r="FE101" s="33"/>
      <c r="FF101" s="33"/>
      <c r="FG101" s="456"/>
      <c r="FH101" s="271"/>
      <c r="FI101" s="33"/>
      <c r="FJ101" s="33"/>
      <c r="FK101" s="33"/>
      <c r="FL101" s="33"/>
      <c r="FM101" s="456"/>
      <c r="FN101" s="33"/>
      <c r="FO101" s="33"/>
      <c r="FP101" s="33"/>
      <c r="FQ101" s="33"/>
      <c r="FR101"/>
      <c r="FS101"/>
      <c r="FT101"/>
      <c r="FU101"/>
      <c r="FV101"/>
      <c r="FW101"/>
      <c r="FX101" s="33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</row>
    <row r="102" spans="1:274" s="24" customFormat="1" ht="10.5" customHeight="1" x14ac:dyDescent="0.2">
      <c r="A102" s="41" t="s">
        <v>541</v>
      </c>
      <c r="B102" s="20"/>
      <c r="C102" s="259" t="s">
        <v>945</v>
      </c>
      <c r="D102" s="259" t="s">
        <v>945</v>
      </c>
      <c r="E102" s="259" t="s">
        <v>945</v>
      </c>
      <c r="F102" s="259" t="s">
        <v>945</v>
      </c>
      <c r="G102" s="259" t="s">
        <v>945</v>
      </c>
      <c r="H102" s="259" t="s">
        <v>945</v>
      </c>
      <c r="I102" s="259" t="s">
        <v>945</v>
      </c>
      <c r="J102" s="259" t="s">
        <v>945</v>
      </c>
      <c r="K102" s="259" t="s">
        <v>945</v>
      </c>
      <c r="L102" s="259" t="s">
        <v>945</v>
      </c>
      <c r="M102" s="259" t="s">
        <v>945</v>
      </c>
      <c r="N102" s="34"/>
      <c r="O102" s="259">
        <f>(O10*90)/Model!O91</f>
        <v>70.544859238706579</v>
      </c>
      <c r="P102" s="259">
        <f>(P10*90)/Model!P91</f>
        <v>72.408053350838472</v>
      </c>
      <c r="Q102" s="259">
        <f>(Q10*90)/Model!Q91</f>
        <v>69.615310594050499</v>
      </c>
      <c r="R102" s="259">
        <f>(R10*90)/Model!R91</f>
        <v>67.617133274190735</v>
      </c>
      <c r="S102" s="259">
        <f>R102</f>
        <v>67.617133274190735</v>
      </c>
      <c r="T102" s="34"/>
      <c r="U102" s="259">
        <f>(U10*90)/Model!U91</f>
        <v>71.256097734784646</v>
      </c>
      <c r="V102" s="259">
        <f>(V10*90)/Model!V91</f>
        <v>71.378097207859355</v>
      </c>
      <c r="W102" s="259">
        <f>(W10*90)/Model!W91</f>
        <v>68.324255395059396</v>
      </c>
      <c r="X102" s="259">
        <f>(X10*90)/Model!X91</f>
        <v>66.688719286047018</v>
      </c>
      <c r="Y102" s="259">
        <f>X102</f>
        <v>66.688719286047018</v>
      </c>
      <c r="Z102" s="34"/>
      <c r="AA102" s="259">
        <f>(AA10*90)/Model!AA91</f>
        <v>76.96789661690039</v>
      </c>
      <c r="AB102" s="259">
        <f>(AB10*90)/Model!AB91</f>
        <v>74.395034822281687</v>
      </c>
      <c r="AC102" s="259">
        <f>(AC10*90)/Model!AC91</f>
        <v>72.267820572878165</v>
      </c>
      <c r="AD102" s="259">
        <f>(AD10*90)/Model!AD91</f>
        <v>71.170479319887619</v>
      </c>
      <c r="AE102" s="259">
        <f>AD102</f>
        <v>71.170479319887619</v>
      </c>
      <c r="AF102" s="34"/>
      <c r="AG102" s="259">
        <f>(AG10*90)/Model!AG91</f>
        <v>77.808694737395783</v>
      </c>
      <c r="AH102" s="259">
        <f>(AH10*90)/Model!AH91</f>
        <v>73.694695571183971</v>
      </c>
      <c r="AI102" s="259">
        <f>(AI10*90)/Model!AI91</f>
        <v>68.077091328297755</v>
      </c>
      <c r="AJ102" s="259">
        <f>(AJ10*90)/Model!AJ91</f>
        <v>69.293068380259427</v>
      </c>
      <c r="AK102" s="259">
        <f>AJ102</f>
        <v>69.293068380259427</v>
      </c>
      <c r="AL102" s="34"/>
      <c r="AM102" s="259">
        <f>(AM10*90)/Model!AM91</f>
        <v>69.536758694421735</v>
      </c>
      <c r="AN102" s="259">
        <f>(AN10*90)/Model!AN91</f>
        <v>70.230628849813016</v>
      </c>
      <c r="AO102" s="259">
        <f>(AO10*90)/Model!AO91</f>
        <v>67.701869239797588</v>
      </c>
      <c r="AP102" s="259">
        <f>(AP10*90)/Model!AP91</f>
        <v>68.440140550773677</v>
      </c>
      <c r="AQ102" s="259">
        <f>AP102</f>
        <v>68.440140550773677</v>
      </c>
      <c r="AR102" s="34"/>
      <c r="AS102" s="259">
        <f>(AS10*90)/Model!AS91</f>
        <v>68.665851690864827</v>
      </c>
      <c r="AT102" s="259">
        <f>(AT10*90)/Model!AT91</f>
        <v>68.566013016159744</v>
      </c>
      <c r="AU102" s="259">
        <f>(AU10*90)/Model!AU91</f>
        <v>67.928336445637299</v>
      </c>
      <c r="AV102" s="259">
        <f>(AV10*90)/Model!AV91</f>
        <v>67.586190954595153</v>
      </c>
      <c r="AW102" s="259">
        <f>AV102</f>
        <v>67.586190954595153</v>
      </c>
      <c r="AX102" s="34"/>
      <c r="AY102" s="259">
        <f>(AY10*90)/Model!AY91</f>
        <v>66.726107433942062</v>
      </c>
      <c r="AZ102" s="259">
        <f>(AZ10*90)/Model!AZ91</f>
        <v>64.852036622880817</v>
      </c>
      <c r="BA102" s="259">
        <f>(BA10*90)/Model!BA91</f>
        <v>65.165678682463536</v>
      </c>
      <c r="BB102" s="259">
        <f>(BB10*90)/Model!BB91</f>
        <v>66.524224750245423</v>
      </c>
      <c r="BC102" s="259">
        <f>BB102</f>
        <v>66.524224750245423</v>
      </c>
      <c r="BD102" s="34"/>
      <c r="BE102" s="259">
        <f>(BE10*90)/Model!BE91</f>
        <v>69.927268874265749</v>
      </c>
      <c r="BF102" s="259">
        <f>(BF10*90)/Model!BF91</f>
        <v>68.531794792300744</v>
      </c>
      <c r="BG102" s="259">
        <f>(BG10*90)/Model!BG91</f>
        <v>64.760961603323111</v>
      </c>
      <c r="BH102" s="259">
        <f>(BH10*90)/Model!BH91</f>
        <v>66.056688924689823</v>
      </c>
      <c r="BI102" s="259">
        <f>BH102</f>
        <v>66.056688924689823</v>
      </c>
      <c r="BJ102" s="33"/>
      <c r="BK102" s="259">
        <f>(BK10*90)/Model!BK91</f>
        <v>60.443786982248518</v>
      </c>
      <c r="BL102" s="259">
        <f>(BL10*90)/Model!BL91</f>
        <v>59.597228237332182</v>
      </c>
      <c r="BM102" s="259">
        <f>(BM10*90)/Model!BM91</f>
        <v>55.435630689206761</v>
      </c>
      <c r="BN102" s="259">
        <f>(BN10*90)/Model!BN91</f>
        <v>61.029879211697391</v>
      </c>
      <c r="BO102" s="259">
        <f>BN102</f>
        <v>61.029879211697391</v>
      </c>
      <c r="BP102" s="34"/>
      <c r="BQ102" s="259">
        <f>(BQ10*90)/Model!BQ91</f>
        <v>58.465250965250966</v>
      </c>
      <c r="BR102" s="259">
        <f>(BR10*90)/Model!BR91</f>
        <v>55.736589271417131</v>
      </c>
      <c r="BS102" s="259">
        <f>(BS10*90)/Model!BS91</f>
        <v>55.420486249501792</v>
      </c>
      <c r="BT102" s="259">
        <f>(BT10*90)/Model!BT91</f>
        <v>58.849528761780952</v>
      </c>
      <c r="BU102" s="259">
        <f>BT102</f>
        <v>58.849528761780952</v>
      </c>
      <c r="BV102" s="34"/>
      <c r="BW102" s="259">
        <f>(BW10*90)/Model!BW91</f>
        <v>50.099322799097067</v>
      </c>
      <c r="BX102" s="259">
        <f>(BX10*90)/Model!BX91</f>
        <v>50.029027576197386</v>
      </c>
      <c r="BY102" s="259">
        <f>(BY10*90)/Model!BY91</f>
        <v>54.005819592628519</v>
      </c>
      <c r="BZ102" s="259">
        <f>(BZ10*90)/Model!BZ91</f>
        <v>57.040690505548703</v>
      </c>
      <c r="CA102" s="259">
        <f>BZ102</f>
        <v>57.040690505548703</v>
      </c>
      <c r="CB102" s="34"/>
      <c r="CC102" s="259">
        <f>(CC10*90)/Model!CC91</f>
        <v>51.11455108359133</v>
      </c>
      <c r="CD102" s="259">
        <f>(CD10*90)/Model!CD91</f>
        <v>52.398350029463757</v>
      </c>
      <c r="CE102" s="259">
        <f>(CE10*90)/Model!CE91</f>
        <v>56.046287913082843</v>
      </c>
      <c r="CF102" s="259">
        <f>(CF10*90)/Model!CF91</f>
        <v>55.090135709945308</v>
      </c>
      <c r="CG102" s="458">
        <f>CF102</f>
        <v>55.090135709945308</v>
      </c>
      <c r="CH102" s="34"/>
      <c r="CI102" s="259">
        <f>(CI10*90)/Model!CI91</f>
        <v>52.067741054356731</v>
      </c>
      <c r="CJ102" s="259">
        <f>(CJ10*90)/Model!CJ91</f>
        <v>54.286053130929794</v>
      </c>
      <c r="CK102" s="259">
        <f>(CK10*90)/Model!CK91</f>
        <v>56.540795684423465</v>
      </c>
      <c r="CL102" s="259">
        <f>(CL10*90)/Model!CL91</f>
        <v>62.325344212136663</v>
      </c>
      <c r="CM102" s="458">
        <f>CL102</f>
        <v>62.325344212136663</v>
      </c>
      <c r="CN102" s="34"/>
      <c r="CO102" s="259">
        <f>(CO10*90)/Model!CO91</f>
        <v>53.592423252775966</v>
      </c>
      <c r="CP102" s="259">
        <f>(CP10*90)/Model!CP91</f>
        <v>54.765100671140942</v>
      </c>
      <c r="CQ102" s="259">
        <f>(CQ10*90)/Model!CQ91</f>
        <v>54.207782535840629</v>
      </c>
      <c r="CR102" s="259">
        <f>(CR10*90)/Model!CR91</f>
        <v>63.374536464771325</v>
      </c>
      <c r="CS102" s="458">
        <f>CR102</f>
        <v>63.374536464771325</v>
      </c>
      <c r="CT102" s="91"/>
      <c r="CU102" s="259">
        <f>(CU10*90)/Model!CU91</f>
        <v>54.11287347842125</v>
      </c>
      <c r="CV102" s="259">
        <f>(CV10*90)/Model!CV91</f>
        <v>51.480569720414984</v>
      </c>
      <c r="CW102" s="259">
        <f>(CW10*90)/Model!CW91</f>
        <v>49.464026162790695</v>
      </c>
      <c r="CX102" s="259">
        <f>(CX10*90)/Model!CX91</f>
        <v>57.942159569829968</v>
      </c>
      <c r="CY102" s="458">
        <f>CX102</f>
        <v>57.942159569829968</v>
      </c>
      <c r="CZ102" s="91"/>
      <c r="DA102" s="259">
        <f>(DA10*90)/Model!DA91</f>
        <v>45.93324116136678</v>
      </c>
      <c r="DB102" s="259">
        <f>(DB10*90)/Model!DB91</f>
        <v>47.299046321525886</v>
      </c>
      <c r="DC102" s="259">
        <f>(DC10*90)/Model!DC91</f>
        <v>54.227594521903114</v>
      </c>
      <c r="DD102" s="259">
        <f>(DD10*90)/Model!DD91</f>
        <v>52.190842072474304</v>
      </c>
      <c r="DE102" s="458">
        <f>DD102</f>
        <v>52.190842072474304</v>
      </c>
      <c r="DF102" s="91"/>
      <c r="DG102" s="259">
        <f>(DG10*90)/Model!DG91</f>
        <v>44.134159198734842</v>
      </c>
      <c r="DH102" s="259">
        <f>(DH10*90)/Model!DH91</f>
        <v>45.610766045548651</v>
      </c>
      <c r="DI102" s="259">
        <f>(DI10*90)/Model!DI91</f>
        <v>45.935051663449528</v>
      </c>
      <c r="DJ102" s="259">
        <f>(DJ10*90)/Model!DJ91</f>
        <v>55.202665186007771</v>
      </c>
      <c r="DK102" s="458">
        <f>DJ102</f>
        <v>55.202665186007771</v>
      </c>
      <c r="DL102" s="91"/>
      <c r="DM102" s="259">
        <f>(DM10*90)/Model!DM91</f>
        <v>44.94641581328888</v>
      </c>
      <c r="DN102" s="259">
        <f>(DN10*90)/Model!DN91</f>
        <v>45.291113381001018</v>
      </c>
      <c r="DO102" s="259">
        <f>(DO10*90)/Model!DO91</f>
        <v>46.239717003751082</v>
      </c>
      <c r="DP102" s="259">
        <f>(DP10*90)/Model!DP91</f>
        <v>52.412934215014232</v>
      </c>
      <c r="DQ102" s="458">
        <f>DP102</f>
        <v>52.412934215014232</v>
      </c>
      <c r="DR102" s="91"/>
      <c r="DS102" s="259">
        <f>(DS10*90)/Model!DS91</f>
        <v>41.387501522718964</v>
      </c>
      <c r="DT102" s="259">
        <f>(DT10*90)/Model!DT91</f>
        <v>43.464281795237575</v>
      </c>
      <c r="DU102" s="259">
        <f>(DU10*90)/Model!DU91</f>
        <v>41.829431438127088</v>
      </c>
      <c r="DV102" s="259">
        <f>(DV10*90)/Model!DV91</f>
        <v>49.667913511540917</v>
      </c>
      <c r="DW102" s="458">
        <f>DV102</f>
        <v>49.667913511540917</v>
      </c>
      <c r="DX102" s="91"/>
      <c r="DY102" s="259">
        <f>(DY10*90)/Model!DY91</f>
        <v>37.048084954062759</v>
      </c>
      <c r="DZ102" s="259">
        <f>(DZ10*90)/Model!DZ91</f>
        <v>40.642033825272001</v>
      </c>
      <c r="EA102" s="259">
        <f>(EA10*90)/Model!EA91</f>
        <v>39.333333333333336</v>
      </c>
      <c r="EB102" s="259">
        <f>(EB10*90)/Model!EB91</f>
        <v>48.369238919300727</v>
      </c>
      <c r="EC102" s="458">
        <f>EB102</f>
        <v>48.369238919300727</v>
      </c>
      <c r="ED102" s="91"/>
      <c r="EE102" s="259">
        <f>(EE10*90)/Model!EE91</f>
        <v>37.165949529015002</v>
      </c>
      <c r="EF102" s="259">
        <f>(EF10*90)/Model!EF91</f>
        <v>40.522481265611987</v>
      </c>
      <c r="EG102" s="259">
        <f>(EG10*90)/Model!EG91</f>
        <v>40.284979644311122</v>
      </c>
      <c r="EH102" s="259">
        <f>(EH10*90)/Model!EH91</f>
        <v>47.201269604182222</v>
      </c>
      <c r="EI102" s="458">
        <f>EH102</f>
        <v>47.201269604182222</v>
      </c>
      <c r="EJ102" s="91"/>
      <c r="EK102" s="259">
        <f>(EK10*90)/Model!EK91</f>
        <v>37.007454739084132</v>
      </c>
      <c r="EL102" s="259">
        <f>(EL10*90)/Model!EL91</f>
        <v>39.577590040017789</v>
      </c>
      <c r="EM102" s="259">
        <f>(EM10*90)/Model!EM91</f>
        <v>38.380297315287329</v>
      </c>
      <c r="EN102" s="259">
        <f>(EN10*90)/Model!EN91</f>
        <v>45.738958097395241</v>
      </c>
      <c r="EO102" s="458">
        <f>EN102</f>
        <v>45.738958097395241</v>
      </c>
      <c r="EP102" s="91"/>
      <c r="EQ102" s="259">
        <f>(EQ10*90)/Model!EQ91</f>
        <v>35.600835945663533</v>
      </c>
      <c r="ER102" s="259">
        <f>(ER10*90)/Model!ER91</f>
        <v>36.616103146934108</v>
      </c>
      <c r="ES102" s="259">
        <f>(ES10*90)/Model!ES91</f>
        <v>36.110631874056502</v>
      </c>
      <c r="ET102" s="259">
        <f>(ET10*90)/Model!ET91</f>
        <v>43.597477378667399</v>
      </c>
      <c r="EU102" s="458">
        <f>ET102</f>
        <v>43.597477378667399</v>
      </c>
      <c r="EV102" s="91"/>
      <c r="EW102" s="259">
        <f>(EW10*90)/Model!EW91</f>
        <v>35.083586626139819</v>
      </c>
      <c r="EX102" s="259">
        <f>(EX10*90)/Model!EX91</f>
        <v>35.495327102803735</v>
      </c>
      <c r="EY102" s="259">
        <f>(EY10*90)/Model!EY91</f>
        <v>35.922667757774143</v>
      </c>
      <c r="EZ102" s="459">
        <f>ET102+1</f>
        <v>44.597477378667399</v>
      </c>
      <c r="FA102" s="458">
        <f>EZ102</f>
        <v>44.597477378667399</v>
      </c>
      <c r="FB102" s="91"/>
      <c r="FC102" s="459">
        <f>EW102+1</f>
        <v>36.083586626139819</v>
      </c>
      <c r="FD102" s="459">
        <f>EX102+1</f>
        <v>36.495327102803735</v>
      </c>
      <c r="FE102" s="459">
        <f>EY102+1</f>
        <v>36.922667757774143</v>
      </c>
      <c r="FF102" s="459">
        <f>EZ102+1</f>
        <v>45.597477378667399</v>
      </c>
      <c r="FG102" s="458">
        <f>FF102</f>
        <v>45.597477378667399</v>
      </c>
      <c r="FH102" s="91"/>
      <c r="FI102" s="459">
        <f>FC102+1</f>
        <v>37.083586626139819</v>
      </c>
      <c r="FJ102" s="459">
        <f>FD102+1</f>
        <v>37.495327102803735</v>
      </c>
      <c r="FK102" s="459">
        <f>FE102+1</f>
        <v>37.922667757774143</v>
      </c>
      <c r="FL102" s="459">
        <f>FF102+1</f>
        <v>46.597477378667399</v>
      </c>
      <c r="FM102" s="458">
        <f>FL102</f>
        <v>46.597477378667399</v>
      </c>
      <c r="FN102" s="33"/>
      <c r="FO102" s="33"/>
      <c r="FP102" s="33"/>
      <c r="FQ102" s="33"/>
      <c r="FR102"/>
      <c r="FS102"/>
      <c r="FT102"/>
      <c r="FU102"/>
      <c r="FV102"/>
      <c r="FW102"/>
      <c r="FX102" s="33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</row>
    <row r="103" spans="1:274" s="24" customFormat="1" ht="10.5" customHeight="1" x14ac:dyDescent="0.2">
      <c r="A103" s="41" t="s">
        <v>424</v>
      </c>
      <c r="B103" s="20"/>
      <c r="C103" s="259" t="s">
        <v>945</v>
      </c>
      <c r="D103" s="259" t="s">
        <v>945</v>
      </c>
      <c r="E103" s="259" t="s">
        <v>945</v>
      </c>
      <c r="F103" s="259" t="s">
        <v>945</v>
      </c>
      <c r="G103" s="259" t="s">
        <v>945</v>
      </c>
      <c r="H103" s="259" t="s">
        <v>945</v>
      </c>
      <c r="I103" s="259" t="s">
        <v>945</v>
      </c>
      <c r="J103" s="259" t="s">
        <v>945</v>
      </c>
      <c r="K103" s="259" t="s">
        <v>945</v>
      </c>
      <c r="L103" s="259" t="s">
        <v>945</v>
      </c>
      <c r="M103" s="259" t="s">
        <v>945</v>
      </c>
      <c r="N103" s="34"/>
      <c r="O103" s="259">
        <f>(O24*90)/(Model!O141+Model!O167)</f>
        <v>19.767215219296652</v>
      </c>
      <c r="P103" s="259">
        <f>(P24*90)/(Model!P141+Model!P167)</f>
        <v>21.52095997355114</v>
      </c>
      <c r="Q103" s="259">
        <f>(Q24*90)/(Model!Q141+Model!Q167)</f>
        <v>18.252807742289935</v>
      </c>
      <c r="R103" s="259">
        <f>(R24*90)/(Model!R141+Model!R167)</f>
        <v>15.003086238316385</v>
      </c>
      <c r="S103" s="259">
        <f>R103</f>
        <v>15.003086238316385</v>
      </c>
      <c r="T103" s="34"/>
      <c r="U103" s="259">
        <f>(U24*90)/(Model!U141+Model!U167)</f>
        <v>15.835844875603271</v>
      </c>
      <c r="V103" s="259">
        <f>(V24*90)/(Model!V141+Model!V167)</f>
        <v>15.253589169284998</v>
      </c>
      <c r="W103" s="259">
        <f>(W24*90)/(Model!W141+Model!W167)</f>
        <v>17.27324980600952</v>
      </c>
      <c r="X103" s="259">
        <f>(X24*90)/(Model!X141+Model!X167)</f>
        <v>14.453299279346044</v>
      </c>
      <c r="Y103" s="259">
        <f>X103</f>
        <v>14.453299279346044</v>
      </c>
      <c r="Z103" s="34"/>
      <c r="AA103" s="259">
        <f>(AA24*90)/(Model!AA141+Model!AA167)</f>
        <v>16.892732428164742</v>
      </c>
      <c r="AB103" s="259">
        <f>(AB24*90)/(Model!AB141+Model!AB167)</f>
        <v>14.19524964206</v>
      </c>
      <c r="AC103" s="259">
        <f>(AC24*90)/(Model!AC141+Model!AC167)</f>
        <v>12.362057665580538</v>
      </c>
      <c r="AD103" s="259">
        <f>(AD24*90)/(Model!AD141+Model!AD167)</f>
        <v>11.961287562057173</v>
      </c>
      <c r="AE103" s="259">
        <f>AD103</f>
        <v>11.961287562057173</v>
      </c>
      <c r="AF103" s="34"/>
      <c r="AG103" s="259">
        <f>(AG24*90)/(Model!AG141+Model!AG167)</f>
        <v>13.580815042344764</v>
      </c>
      <c r="AH103" s="259">
        <f>(AH24*90)/(Model!AH141+Model!AH167)</f>
        <v>13.861138045838143</v>
      </c>
      <c r="AI103" s="259">
        <f>(AI24*90)/(Model!AI141+Model!AI167)</f>
        <v>12.744092209350123</v>
      </c>
      <c r="AJ103" s="259">
        <f>(AJ24*90)/(Model!AJ141+Model!AJ167)</f>
        <v>11.934450425949416</v>
      </c>
      <c r="AK103" s="259">
        <f>AJ103</f>
        <v>11.934450425949416</v>
      </c>
      <c r="AL103" s="34"/>
      <c r="AM103" s="259">
        <f>(AM24*90)/(Model!AM141+Model!AM167)</f>
        <v>15.048427417326753</v>
      </c>
      <c r="AN103" s="259">
        <f>(AN24*90)/(Model!AN141+Model!AN167)</f>
        <v>15.966916346352603</v>
      </c>
      <c r="AO103" s="259">
        <f>(AO24*90)/(Model!AO141+Model!AO167)</f>
        <v>13.744988757594605</v>
      </c>
      <c r="AP103" s="259">
        <f>(AP24*90)/(Model!AP141+Model!AP167)</f>
        <v>11.956430081905344</v>
      </c>
      <c r="AQ103" s="259">
        <f>AP103</f>
        <v>11.956430081905344</v>
      </c>
      <c r="AR103" s="34"/>
      <c r="AS103" s="259">
        <f>(AS24*90)/(Model!AS141+Model!AS167)</f>
        <v>14.02566374597688</v>
      </c>
      <c r="AT103" s="259">
        <f>(AT24*90)/(Model!AT141+Model!AT167)</f>
        <v>12.613015789732952</v>
      </c>
      <c r="AU103" s="259">
        <f>(AU24*90)/(Model!AU141+Model!AU167)</f>
        <v>12.039135629818947</v>
      </c>
      <c r="AV103" s="259">
        <f>(AV24*90)/(Model!AV141+Model!AV167)</f>
        <v>13.029793045519712</v>
      </c>
      <c r="AW103" s="259">
        <f>AV103</f>
        <v>13.029793045519712</v>
      </c>
      <c r="AX103" s="34"/>
      <c r="AY103" s="259">
        <f>(AY24*90)/(Model!AY141+Model!AY167)</f>
        <v>13.983162684031605</v>
      </c>
      <c r="AZ103" s="259">
        <f>(AZ24*90)/(Model!AZ141+Model!AZ167)</f>
        <v>14.620959350312884</v>
      </c>
      <c r="BA103" s="259">
        <f>(BA24*90)/(Model!BA141+Model!BA167)</f>
        <v>13.748233576594153</v>
      </c>
      <c r="BB103" s="259">
        <f>(BB24*90)/(Model!BB141+Model!BB167)</f>
        <v>12.178595341862692</v>
      </c>
      <c r="BC103" s="259">
        <f>BB103</f>
        <v>12.178595341862692</v>
      </c>
      <c r="BD103" s="34"/>
      <c r="BE103" s="259">
        <f>(BE24*90)/(Model!BE141+Model!BE167)</f>
        <v>14.026658733068427</v>
      </c>
      <c r="BF103" s="259">
        <f>(BF24*90)/(Model!BF141+Model!BF167)</f>
        <v>15.325445227886318</v>
      </c>
      <c r="BG103" s="259">
        <f>(BG24*90)/(Model!BG141+Model!BG167)</f>
        <v>14.544287495905616</v>
      </c>
      <c r="BH103" s="259">
        <f>(BH24*90)/(Model!BH141+Model!BH167)</f>
        <v>13.260011243869183</v>
      </c>
      <c r="BI103" s="259">
        <f>BH103</f>
        <v>13.260011243869183</v>
      </c>
      <c r="BJ103" s="33"/>
      <c r="BK103" s="259">
        <f>(BK24*90)/(Model!BK141+Model!BK167)</f>
        <v>13.798342541436464</v>
      </c>
      <c r="BL103" s="259">
        <f>(BL24*90)/(Model!BL141+Model!BL167)</f>
        <v>12.831683168316832</v>
      </c>
      <c r="BM103" s="259">
        <f>(BM24*90)/(Model!BM141+Model!BM167)</f>
        <v>13.282594308405029</v>
      </c>
      <c r="BN103" s="259">
        <f>(BN24*90)/(Model!BN141+Model!BN167)</f>
        <v>13.145419602818706</v>
      </c>
      <c r="BO103" s="259">
        <f>BN103</f>
        <v>13.145419602818706</v>
      </c>
      <c r="BP103" s="34"/>
      <c r="BQ103" s="259">
        <f>(BQ24*90)/(Model!BQ141+Model!BQ167)</f>
        <v>13.907967032967033</v>
      </c>
      <c r="BR103" s="259">
        <f>(BR24*90)/(Model!BR141+Model!BR167)</f>
        <v>12.053063802905875</v>
      </c>
      <c r="BS103" s="259">
        <f>(BS24*90)/(Model!BS141+Model!BS167)</f>
        <v>10.695322376738305</v>
      </c>
      <c r="BT103" s="259">
        <f>(BT24*90)/(Model!BT141+Model!BT167)</f>
        <v>10.287253141831238</v>
      </c>
      <c r="BU103" s="259">
        <f>BT103</f>
        <v>10.287253141831238</v>
      </c>
      <c r="BV103" s="34"/>
      <c r="BW103" s="259">
        <f>(BW24*90)/(Model!BW141+Model!BW167)</f>
        <v>13.577981651376147</v>
      </c>
      <c r="BX103" s="259">
        <f>(BX24*90)/(Model!BX141+Model!BX167)</f>
        <v>14.609477430230379</v>
      </c>
      <c r="BY103" s="259">
        <f>(BY24*90)/(Model!BY141+Model!BY167)</f>
        <v>14.428198433420366</v>
      </c>
      <c r="BZ103" s="259">
        <f>(BZ24*90)/(Model!BZ141+Model!BZ167)</f>
        <v>9.4520547945205475</v>
      </c>
      <c r="CA103" s="259">
        <f>BZ103</f>
        <v>9.4520547945205475</v>
      </c>
      <c r="CB103" s="34"/>
      <c r="CC103" s="259">
        <f>(CC24*90)/(Model!CC141+Model!CC167)</f>
        <v>10.885941644562335</v>
      </c>
      <c r="CD103" s="259">
        <f>(CD24*90)/(Model!CD141+Model!CD167)</f>
        <v>10.624692572552878</v>
      </c>
      <c r="CE103" s="259">
        <f>(CE24*90)/(Model!CE141+Model!CE167)</f>
        <v>9.7489539748953966</v>
      </c>
      <c r="CF103" s="259">
        <f>(CF24*90)/(Model!CF141+Model!CF167)</f>
        <v>8.8153061783893438</v>
      </c>
      <c r="CG103" s="458">
        <f>CF103</f>
        <v>8.8153061783893438</v>
      </c>
      <c r="CH103" s="34"/>
      <c r="CI103" s="259">
        <f>(CI24*90)/(Model!CI141+Model!CI167)</f>
        <v>8.5659411011523687</v>
      </c>
      <c r="CJ103" s="259">
        <f>(CJ24*90)/(Model!CJ141+Model!CJ167)</f>
        <v>9.8993028659953524</v>
      </c>
      <c r="CK103" s="259">
        <f>(CK24*90)/(Model!CK141+Model!CK167)</f>
        <v>9.1202672605790642</v>
      </c>
      <c r="CL103" s="259">
        <f>(CL24*90)/(Model!CL141+Model!CL167)</f>
        <v>8.9460397601767117</v>
      </c>
      <c r="CM103" s="458">
        <f>CL103</f>
        <v>8.9460397601767117</v>
      </c>
      <c r="CN103" s="34"/>
      <c r="CO103" s="259">
        <f>(CO24*90)/(Model!CO141+Model!CO167)</f>
        <v>9.2133287530058396</v>
      </c>
      <c r="CP103" s="259">
        <f>(CP24*90)/(Model!CP141+Model!CP167)</f>
        <v>9.8857142857142861</v>
      </c>
      <c r="CQ103" s="259">
        <f>(CQ24*90)/(Model!CQ141+Model!CQ167)</f>
        <v>10.935913705583756</v>
      </c>
      <c r="CR103" s="259">
        <f>(CR24*90)/(Model!CR141+Model!CR167)</f>
        <v>9.2239764516992242</v>
      </c>
      <c r="CS103" s="458">
        <f>CR103</f>
        <v>9.2239764516992242</v>
      </c>
      <c r="CT103" s="91"/>
      <c r="CU103" s="259">
        <f>(CU24*90)/(Model!CU141+Model!CU167)</f>
        <v>11.139162561576354</v>
      </c>
      <c r="CV103" s="259">
        <f>(CV24*90)/(Model!CV141+Model!CV167)</f>
        <v>10.116959064327485</v>
      </c>
      <c r="CW103" s="259">
        <f>(CW24*90)/(Model!CW141+Model!CW167)</f>
        <v>8.3011190233977619</v>
      </c>
      <c r="CX103" s="259">
        <f>(CX24*90)/(Model!CX141+Model!CX167)</f>
        <v>7.2416864608076006</v>
      </c>
      <c r="CY103" s="458">
        <f>CX103</f>
        <v>7.2416864608076006</v>
      </c>
      <c r="CZ103" s="91"/>
      <c r="DA103" s="259">
        <f>(DA24*90)/(Model!DA141+Model!DA167)</f>
        <v>8.5245901639344268</v>
      </c>
      <c r="DB103" s="259">
        <f>(DB24*90)/(Model!DB141+Model!DB167)</f>
        <v>7.6094164456233422</v>
      </c>
      <c r="DC103" s="259">
        <f>(DC24*90)/(Model!DC141+Model!DC167)</f>
        <v>15.47306726207089</v>
      </c>
      <c r="DD103" s="259">
        <f>(DD24*90)/(Model!DD141+Model!DD167)</f>
        <v>13.371546881889461</v>
      </c>
      <c r="DE103" s="458">
        <f>DD103</f>
        <v>13.371546881889461</v>
      </c>
      <c r="DF103" s="91"/>
      <c r="DG103" s="259">
        <f>(DG24*90)/(Model!DG141+Model!DG167)</f>
        <v>13.691014867485455</v>
      </c>
      <c r="DH103" s="259">
        <f>(DH24*90)/(Model!DH141+Model!DH167)</f>
        <v>14.160644228783811</v>
      </c>
      <c r="DI103" s="259">
        <f>(DI24*90)/(Model!DI141+Model!DI167)</f>
        <v>12.323499491353001</v>
      </c>
      <c r="DJ103" s="259">
        <f>(DJ24*90)/(Model!DJ141+Model!DJ167)</f>
        <v>11.330818965517242</v>
      </c>
      <c r="DK103" s="458">
        <f>DJ103</f>
        <v>11.330818965517242</v>
      </c>
      <c r="DL103" s="91"/>
      <c r="DM103" s="259">
        <f>(DM24*90)/(Model!DM141+Model!DM167)</f>
        <v>11.436258278145695</v>
      </c>
      <c r="DN103" s="259">
        <f>(DN24*90)/(Model!DN141+Model!DN167)</f>
        <v>8.2036050798852926</v>
      </c>
      <c r="DO103" s="259">
        <f>(DO24*90)/(Model!DO141+Model!DO167)</f>
        <v>8.1902408894379253</v>
      </c>
      <c r="DP103" s="259">
        <f>(DP24*90)/(Model!DP141+Model!DP167)</f>
        <v>7.2489885987495404</v>
      </c>
      <c r="DQ103" s="458">
        <f>DP103</f>
        <v>7.2489885987495404</v>
      </c>
      <c r="DR103" s="91"/>
      <c r="DS103" s="259">
        <f>(DS24*90)/(Model!DS141+Model!DS167)</f>
        <v>7.5584415584415581</v>
      </c>
      <c r="DT103" s="259">
        <f>(DT24*90)/(Model!DT141+Model!DT167)</f>
        <v>6.9159264614749016</v>
      </c>
      <c r="DU103" s="259">
        <f>(DU24*90)/(Model!DU141+Model!DU167)</f>
        <v>6.780050083472454</v>
      </c>
      <c r="DV103" s="259">
        <f>(DV24*90)/(Model!DV141+Model!DV167)</f>
        <v>6.9988864142538976</v>
      </c>
      <c r="DW103" s="458">
        <f>DV103</f>
        <v>6.9988864142538976</v>
      </c>
      <c r="DX103" s="91"/>
      <c r="DY103" s="259">
        <f>(DY24*90)/(Model!DY141+Model!DY167)</f>
        <v>7.118534482758621</v>
      </c>
      <c r="DZ103" s="259">
        <f>(DZ24*90)/(Model!DZ141+Model!DZ167)</f>
        <v>7.2900536033353189</v>
      </c>
      <c r="EA103" s="259">
        <f>(EA24*90)/(Model!EA141+Model!EA167)</f>
        <v>7.201454839361487</v>
      </c>
      <c r="EB103" s="259">
        <f>(EB24*90)/(Model!EB141+Model!EB167)</f>
        <v>7.6104129263913824</v>
      </c>
      <c r="EC103" s="458">
        <f>EB103</f>
        <v>7.6104129263913824</v>
      </c>
      <c r="ED103" s="91"/>
      <c r="EE103" s="259">
        <f>(EE24*90)/(Model!EE141+Model!EE167)</f>
        <v>7.964435146443515</v>
      </c>
      <c r="EF103" s="259">
        <f>(EF24*90)/(Model!EF141+Model!EF167)</f>
        <v>8.4531339850488791</v>
      </c>
      <c r="EG103" s="259">
        <f>(EG24*90)/(Model!EG141+Model!EG167)</f>
        <v>10.986739469578783</v>
      </c>
      <c r="EH103" s="259">
        <f>(EH24*90)/(Model!EH141+Model!EH167)</f>
        <v>12.650854551796304</v>
      </c>
      <c r="EI103" s="458">
        <f>EH103</f>
        <v>12.650854551796304</v>
      </c>
      <c r="EJ103" s="91"/>
      <c r="EK103" s="259">
        <f>(EK24*90)/(Model!EK141+Model!EK167)</f>
        <v>7.6295701084773002</v>
      </c>
      <c r="EL103" s="259">
        <f>(EL24*90)/(Model!EL141+Model!EL167)</f>
        <v>7.0832543144320121</v>
      </c>
      <c r="EM103" s="259">
        <f>(EM24*90)/(Model!EM141+Model!EM167)</f>
        <v>7.1084569447120014</v>
      </c>
      <c r="EN103" s="259">
        <f>(EN24*90)/(Model!EN141+Model!EN167)</f>
        <v>7.7804459691252141</v>
      </c>
      <c r="EO103" s="458">
        <f>EN103</f>
        <v>7.7804459691252141</v>
      </c>
      <c r="EP103" s="91"/>
      <c r="EQ103" s="259">
        <f>(EQ24*90)/(Model!EQ141+Model!EQ167)</f>
        <v>9.5164075993091544</v>
      </c>
      <c r="ER103" s="259">
        <f>(ER24*90)/(Model!ER141+Model!ER167)</f>
        <v>10.516815504465134</v>
      </c>
      <c r="ES103" s="259">
        <f>(ES24*90)/(Model!ES141+Model!ES167)</f>
        <v>8.1219512195121943</v>
      </c>
      <c r="ET103" s="259">
        <f>(ET24*90)/(Model!ET141+Model!ET167)</f>
        <v>9.0971987850151876</v>
      </c>
      <c r="EU103" s="458">
        <f>ET103</f>
        <v>9.0971987850151876</v>
      </c>
      <c r="EV103" s="91"/>
      <c r="EW103" s="259">
        <f>(EW24*90)/(Model!EW141+Model!EW167)</f>
        <v>9.8323507737656595</v>
      </c>
      <c r="EX103" s="259">
        <f>(EX24*90)/(Model!EX141+Model!EX167)</f>
        <v>9.182320441988951</v>
      </c>
      <c r="EY103" s="259">
        <f>(EY24*90)/(Model!EY141+Model!EY167)</f>
        <v>9.890650628758884</v>
      </c>
      <c r="EZ103" s="459">
        <f>ET103</f>
        <v>9.0971987850151876</v>
      </c>
      <c r="FA103" s="458">
        <f>EZ103</f>
        <v>9.0971987850151876</v>
      </c>
      <c r="FB103" s="91"/>
      <c r="FC103" s="459">
        <f>EW103</f>
        <v>9.8323507737656595</v>
      </c>
      <c r="FD103" s="459">
        <f>EX103</f>
        <v>9.182320441988951</v>
      </c>
      <c r="FE103" s="459">
        <f>EY103</f>
        <v>9.890650628758884</v>
      </c>
      <c r="FF103" s="459">
        <f>EZ103</f>
        <v>9.0971987850151876</v>
      </c>
      <c r="FG103" s="458">
        <f>FF103</f>
        <v>9.0971987850151876</v>
      </c>
      <c r="FH103" s="91"/>
      <c r="FI103" s="459">
        <f>FC103</f>
        <v>9.8323507737656595</v>
      </c>
      <c r="FJ103" s="459">
        <f>FD103</f>
        <v>9.182320441988951</v>
      </c>
      <c r="FK103" s="459">
        <f>FE103</f>
        <v>9.890650628758884</v>
      </c>
      <c r="FL103" s="459">
        <f>FF103</f>
        <v>9.0971987850151876</v>
      </c>
      <c r="FM103" s="458">
        <f>FL103</f>
        <v>9.0971987850151876</v>
      </c>
      <c r="FN103" s="33"/>
      <c r="FO103" s="33"/>
      <c r="FP103" s="33"/>
      <c r="FQ103" s="33"/>
      <c r="FR103"/>
      <c r="FS103"/>
      <c r="FT103"/>
      <c r="FU103"/>
      <c r="FV103"/>
      <c r="FW103"/>
      <c r="FX103" s="3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</row>
    <row r="104" spans="1:274" s="24" customFormat="1" ht="5.25" customHeight="1" x14ac:dyDescent="0.2">
      <c r="A104" s="18"/>
      <c r="B104" s="20"/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  <c r="AL104" s="28"/>
      <c r="AM104" s="28"/>
      <c r="AN104" s="28"/>
      <c r="AO104" s="28"/>
      <c r="AP104" s="28"/>
      <c r="AQ104" s="28"/>
      <c r="AR104" s="28"/>
      <c r="AS104" s="28"/>
      <c r="AT104" s="28"/>
      <c r="AU104" s="28"/>
      <c r="AV104" s="28"/>
      <c r="AW104" s="28"/>
      <c r="AX104" s="28"/>
      <c r="AY104" s="28"/>
      <c r="AZ104" s="28"/>
      <c r="BA104" s="28"/>
      <c r="BB104" s="28"/>
      <c r="BC104" s="28"/>
      <c r="BD104" s="28"/>
      <c r="BE104" s="28"/>
      <c r="BF104" s="28"/>
      <c r="BG104" s="28"/>
      <c r="BH104" s="28"/>
      <c r="BI104" s="28"/>
      <c r="BJ104" s="28"/>
      <c r="BK104" s="28"/>
      <c r="BL104" s="28"/>
      <c r="BM104" s="28"/>
      <c r="BN104" s="28"/>
      <c r="BO104" s="28"/>
      <c r="BP104" s="28"/>
      <c r="BQ104" s="28"/>
      <c r="BR104" s="28"/>
      <c r="BS104" s="28"/>
      <c r="BT104" s="28"/>
      <c r="BU104" s="28"/>
      <c r="BV104" s="28"/>
      <c r="BW104" s="28"/>
      <c r="BX104" s="28"/>
      <c r="BY104" s="28"/>
      <c r="BZ104" s="28"/>
      <c r="CA104" s="28"/>
      <c r="CB104" s="28"/>
      <c r="CC104" s="28"/>
      <c r="CD104" s="28"/>
      <c r="CE104" s="28"/>
      <c r="CF104" s="28"/>
      <c r="CG104" s="416"/>
      <c r="CH104" s="28"/>
      <c r="CI104" s="28"/>
      <c r="CJ104" s="28"/>
      <c r="CK104" s="28"/>
      <c r="CL104" s="28"/>
      <c r="CM104" s="416"/>
      <c r="CN104" s="28"/>
      <c r="CO104" s="28"/>
      <c r="CP104" s="28"/>
      <c r="CQ104" s="28"/>
      <c r="CR104" s="28"/>
      <c r="CS104" s="416"/>
      <c r="CT104" s="28"/>
      <c r="CU104" s="28"/>
      <c r="CV104" s="28"/>
      <c r="CW104" s="28"/>
      <c r="CX104" s="28"/>
      <c r="CY104" s="416"/>
      <c r="CZ104" s="28"/>
      <c r="DA104" s="28"/>
      <c r="DB104" s="28"/>
      <c r="DC104" s="28"/>
      <c r="DD104" s="28"/>
      <c r="DE104" s="416"/>
      <c r="DF104" s="28"/>
      <c r="DG104" s="28"/>
      <c r="DH104" s="28"/>
      <c r="DI104" s="28"/>
      <c r="DJ104" s="28"/>
      <c r="DK104" s="416"/>
      <c r="DL104" s="28"/>
      <c r="DM104" s="28"/>
      <c r="DN104" s="28"/>
      <c r="DO104" s="28"/>
      <c r="DP104" s="28"/>
      <c r="DQ104" s="416"/>
      <c r="DR104" s="28"/>
      <c r="DS104" s="28"/>
      <c r="DT104" s="28"/>
      <c r="DU104" s="28"/>
      <c r="DV104" s="28"/>
      <c r="DW104" s="416"/>
      <c r="DX104" s="28"/>
      <c r="DY104" s="28"/>
      <c r="DZ104" s="28"/>
      <c r="EA104" s="28"/>
      <c r="EB104" s="28"/>
      <c r="EC104" s="416"/>
      <c r="ED104" s="28"/>
      <c r="EE104" s="28"/>
      <c r="EF104" s="28"/>
      <c r="EG104" s="28"/>
      <c r="EH104" s="28"/>
      <c r="EI104" s="416"/>
      <c r="EJ104" s="28"/>
      <c r="EK104" s="28"/>
      <c r="EL104" s="28"/>
      <c r="EM104" s="28"/>
      <c r="EN104" s="28"/>
      <c r="EO104" s="416"/>
      <c r="EP104" s="28"/>
      <c r="EQ104" s="28"/>
      <c r="ER104" s="28"/>
      <c r="ES104" s="28"/>
      <c r="ET104" s="28"/>
      <c r="EU104" s="416"/>
      <c r="EV104" s="28"/>
      <c r="EW104" s="28"/>
      <c r="EX104" s="28"/>
      <c r="EY104" s="28"/>
      <c r="EZ104" s="28"/>
      <c r="FA104" s="416"/>
      <c r="FB104" s="28"/>
      <c r="FC104" s="28"/>
      <c r="FD104" s="28"/>
      <c r="FE104" s="28"/>
      <c r="FF104" s="28"/>
      <c r="FG104" s="416"/>
      <c r="FH104" s="28"/>
      <c r="FI104" s="28"/>
      <c r="FJ104" s="28"/>
      <c r="FK104" s="28"/>
      <c r="FL104" s="28"/>
      <c r="FM104" s="416"/>
      <c r="FN104" s="28"/>
      <c r="FO104" s="28"/>
      <c r="FP104" s="28"/>
      <c r="FQ104" s="28"/>
      <c r="FR104"/>
      <c r="FS104"/>
      <c r="FT104"/>
      <c r="FU104"/>
      <c r="FV104"/>
      <c r="FW104"/>
      <c r="FX104" s="28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</row>
    <row r="105" spans="1:274" s="24" customFormat="1" ht="10.5" customHeight="1" x14ac:dyDescent="0.2">
      <c r="A105" s="292" t="s">
        <v>948</v>
      </c>
      <c r="B105" s="20"/>
      <c r="C105" s="460"/>
      <c r="D105" s="460"/>
      <c r="E105" s="460"/>
      <c r="F105" s="460"/>
      <c r="G105" s="460"/>
      <c r="H105" s="221"/>
      <c r="I105" s="461"/>
      <c r="J105" s="461"/>
      <c r="K105" s="461"/>
      <c r="L105" s="461"/>
      <c r="M105" s="461"/>
      <c r="N105" s="221"/>
      <c r="O105" s="461"/>
      <c r="P105" s="461"/>
      <c r="Q105" s="461"/>
      <c r="R105" s="461"/>
      <c r="S105" s="461"/>
      <c r="T105" s="221"/>
      <c r="U105" s="461"/>
      <c r="V105" s="461"/>
      <c r="W105" s="461"/>
      <c r="X105" s="461"/>
      <c r="Y105" s="461"/>
      <c r="Z105" s="462"/>
      <c r="AA105" s="461"/>
      <c r="AB105" s="461"/>
      <c r="AC105" s="461"/>
      <c r="AD105" s="461"/>
      <c r="AE105" s="461"/>
      <c r="AF105" s="462"/>
      <c r="AG105" s="461"/>
      <c r="AH105" s="461"/>
      <c r="AI105" s="461"/>
      <c r="AJ105" s="461"/>
      <c r="AK105" s="461"/>
      <c r="AL105" s="462"/>
      <c r="AM105" s="461"/>
      <c r="AN105" s="461"/>
      <c r="AO105" s="461"/>
      <c r="AP105" s="461"/>
      <c r="AQ105" s="461"/>
      <c r="AR105" s="462"/>
      <c r="AS105" s="461"/>
      <c r="AT105" s="461"/>
      <c r="AU105" s="461"/>
      <c r="AV105" s="461"/>
      <c r="AW105" s="461"/>
      <c r="AX105" s="462"/>
      <c r="AY105" s="461"/>
      <c r="AZ105" s="461"/>
      <c r="BA105" s="461"/>
      <c r="BB105" s="461"/>
      <c r="BC105" s="461"/>
      <c r="BD105" s="462"/>
      <c r="BE105" s="461"/>
      <c r="BF105" s="461"/>
      <c r="BG105" s="461"/>
      <c r="BH105" s="461"/>
      <c r="BI105" s="461"/>
      <c r="BJ105" s="463"/>
      <c r="BK105" s="463"/>
      <c r="BL105" s="463"/>
      <c r="BM105" s="463"/>
      <c r="BN105" s="463"/>
      <c r="BO105" s="463"/>
      <c r="BP105" s="221"/>
      <c r="BQ105" s="463"/>
      <c r="BR105" s="463"/>
      <c r="BS105" s="463"/>
      <c r="BT105" s="463"/>
      <c r="BU105" s="463"/>
      <c r="BV105" s="221"/>
      <c r="BW105" s="463"/>
      <c r="BX105" s="463"/>
      <c r="BY105" s="463"/>
      <c r="BZ105" s="463"/>
      <c r="CA105" s="463"/>
      <c r="CB105" s="221"/>
      <c r="CC105" s="463"/>
      <c r="CD105" s="463"/>
      <c r="CE105" s="463"/>
      <c r="CF105" s="463"/>
      <c r="CG105" s="464"/>
      <c r="CH105" s="221"/>
      <c r="CI105" s="463"/>
      <c r="CJ105" s="463"/>
      <c r="CK105" s="463"/>
      <c r="CL105" s="463"/>
      <c r="CM105" s="464"/>
      <c r="CN105" s="221"/>
      <c r="CO105" s="463"/>
      <c r="CP105" s="463"/>
      <c r="CQ105" s="463"/>
      <c r="CR105" s="463"/>
      <c r="CS105" s="464"/>
      <c r="CT105" s="465"/>
      <c r="CU105" s="463"/>
      <c r="CV105" s="463"/>
      <c r="CW105" s="463"/>
      <c r="CX105" s="463"/>
      <c r="CY105" s="464"/>
      <c r="CZ105" s="465"/>
      <c r="DA105" s="463"/>
      <c r="DB105" s="463"/>
      <c r="DC105" s="463"/>
      <c r="DD105" s="463"/>
      <c r="DE105" s="464"/>
      <c r="DF105" s="465"/>
      <c r="DG105" s="463"/>
      <c r="DH105" s="463"/>
      <c r="DI105" s="463"/>
      <c r="DJ105" s="463"/>
      <c r="DK105" s="464"/>
      <c r="DL105" s="465"/>
      <c r="DM105" s="463"/>
      <c r="DN105" s="463"/>
      <c r="DO105" s="463"/>
      <c r="DP105" s="463"/>
      <c r="DQ105" s="464"/>
      <c r="DR105" s="465"/>
      <c r="DS105" s="463"/>
      <c r="DT105" s="463"/>
      <c r="DU105" s="463"/>
      <c r="DV105" s="463"/>
      <c r="DW105" s="464"/>
      <c r="DX105" s="465"/>
      <c r="DY105" s="463"/>
      <c r="DZ105" s="463"/>
      <c r="EA105" s="463"/>
      <c r="EB105" s="463"/>
      <c r="EC105" s="464"/>
      <c r="ED105" s="465"/>
      <c r="EE105" s="463"/>
      <c r="EF105" s="463"/>
      <c r="EG105" s="463"/>
      <c r="EH105" s="463"/>
      <c r="EI105" s="464"/>
      <c r="EJ105" s="465"/>
      <c r="EK105" s="463"/>
      <c r="EL105" s="463"/>
      <c r="EM105" s="463"/>
      <c r="EN105" s="463"/>
      <c r="EO105" s="464"/>
      <c r="EP105" s="465"/>
      <c r="EQ105" s="463"/>
      <c r="ER105" s="463"/>
      <c r="ES105" s="463"/>
      <c r="ET105" s="463"/>
      <c r="EU105" s="464"/>
      <c r="EV105" s="465"/>
      <c r="EW105" s="463"/>
      <c r="EX105" s="463"/>
      <c r="EY105" s="463"/>
      <c r="EZ105" s="463"/>
      <c r="FA105" s="464"/>
      <c r="FB105" s="465"/>
      <c r="FC105" s="463"/>
      <c r="FD105" s="463"/>
      <c r="FE105" s="463"/>
      <c r="FF105" s="463"/>
      <c r="FG105" s="464"/>
      <c r="FH105" s="465"/>
      <c r="FI105" s="463"/>
      <c r="FJ105" s="463"/>
      <c r="FK105" s="463"/>
      <c r="FL105" s="463"/>
      <c r="FM105" s="464"/>
      <c r="FN105" s="463"/>
      <c r="FO105" s="463"/>
      <c r="FP105" s="463"/>
      <c r="FQ105" s="463"/>
      <c r="FR105"/>
      <c r="FS105"/>
      <c r="FT105"/>
      <c r="FU105"/>
      <c r="FV105"/>
      <c r="FW105"/>
      <c r="FX105" s="463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</row>
    <row r="106" spans="1:274" s="24" customFormat="1" ht="10.5" customHeight="1" x14ac:dyDescent="0.2">
      <c r="A106" s="247" t="s">
        <v>892</v>
      </c>
      <c r="B106" s="20"/>
      <c r="C106" s="259" t="s">
        <v>945</v>
      </c>
      <c r="D106" s="259"/>
      <c r="E106" s="42" t="s">
        <v>945</v>
      </c>
      <c r="F106" s="42">
        <f t="shared" ref="F106:M106" si="131">F29/E29-1</f>
        <v>0.28533244236551969</v>
      </c>
      <c r="G106" s="42">
        <f t="shared" si="131"/>
        <v>1.4816740317130233</v>
      </c>
      <c r="H106" s="42">
        <f t="shared" si="131"/>
        <v>0.61338640410600176</v>
      </c>
      <c r="I106" s="42">
        <f t="shared" si="131"/>
        <v>1.7345971563981042</v>
      </c>
      <c r="J106" s="42">
        <f t="shared" si="131"/>
        <v>1.4792383846537356</v>
      </c>
      <c r="K106" s="42">
        <f t="shared" si="131"/>
        <v>0.14396522005592383</v>
      </c>
      <c r="L106" s="42">
        <f t="shared" si="131"/>
        <v>0.61734275334415978</v>
      </c>
      <c r="M106" s="42">
        <f t="shared" si="131"/>
        <v>0.17549207860836069</v>
      </c>
      <c r="N106" s="36"/>
      <c r="O106" s="42">
        <f>O29/I29-1</f>
        <v>4.7859262600603021</v>
      </c>
      <c r="P106" s="42">
        <f>P29/J29-1</f>
        <v>1.2700616692841002</v>
      </c>
      <c r="Q106" s="42">
        <f>Q29/K29-1</f>
        <v>1.1943379484689691</v>
      </c>
      <c r="R106" s="42">
        <f>R29/L29-1</f>
        <v>0.63693060954086467</v>
      </c>
      <c r="S106" s="94">
        <f>R106</f>
        <v>0.63693060954086467</v>
      </c>
      <c r="T106" s="36"/>
      <c r="U106" s="42">
        <f>U29/O29-1</f>
        <v>0.34040597597954925</v>
      </c>
      <c r="V106" s="42">
        <f>V29/P29-1</f>
        <v>0.27212749622455257</v>
      </c>
      <c r="W106" s="42">
        <f>W29/Q29-1</f>
        <v>0.33599984740978117</v>
      </c>
      <c r="X106" s="42">
        <f>X29/R29-1</f>
        <v>0.37360761114606666</v>
      </c>
      <c r="Y106" s="42" t="s">
        <v>945</v>
      </c>
      <c r="Z106" s="466"/>
      <c r="AA106" s="42">
        <f>AA29/U29-1</f>
        <v>0.45295084626946558</v>
      </c>
      <c r="AB106" s="42">
        <f>AB29/V29-1</f>
        <v>0.47113752122241093</v>
      </c>
      <c r="AC106" s="42">
        <f>AC29/W29-1</f>
        <v>0.35791604681642064</v>
      </c>
      <c r="AD106" s="42">
        <f>AD29/X29-1</f>
        <v>0.38769205980181143</v>
      </c>
      <c r="AE106" s="42" t="s">
        <v>945</v>
      </c>
      <c r="AF106" s="466"/>
      <c r="AG106" s="42">
        <f>AG29/AA29-1</f>
        <v>0.46243842624000808</v>
      </c>
      <c r="AH106" s="42">
        <f>AH29/AB29-1</f>
        <v>0.38792916907097497</v>
      </c>
      <c r="AI106" s="42">
        <f>AI29/AC29-1</f>
        <v>0.39584244524442358</v>
      </c>
      <c r="AJ106" s="42">
        <f>AJ29/AD29-1</f>
        <v>0.45487192757214756</v>
      </c>
      <c r="AK106" s="42" t="s">
        <v>945</v>
      </c>
      <c r="AL106" s="466"/>
      <c r="AM106" s="42">
        <f>AM29/AG29-1</f>
        <v>0.37781056095245358</v>
      </c>
      <c r="AN106" s="42">
        <f>AN29/AH29-1</f>
        <v>0.29957190557237356</v>
      </c>
      <c r="AO106" s="42">
        <f>AO29/AI29-1</f>
        <v>0.23210729446926726</v>
      </c>
      <c r="AP106" s="42">
        <f>AP29/AJ29-1</f>
        <v>0.14828859622819635</v>
      </c>
      <c r="AQ106" s="42" t="s">
        <v>945</v>
      </c>
      <c r="AR106" s="42"/>
      <c r="AS106" s="42">
        <f>AS29/AM29-1</f>
        <v>0.13939584052197374</v>
      </c>
      <c r="AT106" s="42">
        <f>AT29/AN29-1</f>
        <v>0.15611698870552115</v>
      </c>
      <c r="AU106" s="42">
        <f>AU29/AO29-1</f>
        <v>0.24656098887999089</v>
      </c>
      <c r="AV106" s="42">
        <f>AV29/AP29-1</f>
        <v>0.12543625620439469</v>
      </c>
      <c r="AW106" s="42" t="s">
        <v>945</v>
      </c>
      <c r="AX106" s="466"/>
      <c r="AY106" s="42">
        <f>AY29/AS29-1</f>
        <v>0.16509465129340262</v>
      </c>
      <c r="AZ106" s="42">
        <f>AZ29/AT29-1</f>
        <v>0.13907934033839164</v>
      </c>
      <c r="BA106" s="42">
        <f>BA29/AU29-1</f>
        <v>2.075020891446866E-2</v>
      </c>
      <c r="BB106" s="42">
        <f>BB29/AV29-1</f>
        <v>7.1035975869047752E-2</v>
      </c>
      <c r="BC106" s="42">
        <f>BC29/AW29-1</f>
        <v>7.1035975869047752E-2</v>
      </c>
      <c r="BD106" s="466"/>
      <c r="BE106" s="42">
        <f>BE29/AY29-1</f>
        <v>7.691883568252611E-2</v>
      </c>
      <c r="BF106" s="42">
        <f>BF29/AZ29-1</f>
        <v>2.9327895282731387E-2</v>
      </c>
      <c r="BG106" s="42">
        <f>BG29/BA29-1</f>
        <v>-2.5880358831261607E-2</v>
      </c>
      <c r="BH106" s="42">
        <f>BH29/BB29-1</f>
        <v>2.224052718286651E-2</v>
      </c>
      <c r="BI106" s="42">
        <f>BI29/BC29-1</f>
        <v>2.224052718286651E-2</v>
      </c>
      <c r="BJ106" s="215"/>
      <c r="BK106" s="42">
        <f>BK29/BE29-1</f>
        <v>0.10734033527398257</v>
      </c>
      <c r="BL106" s="42">
        <f>BL29/BF29-1</f>
        <v>0.15053262838625825</v>
      </c>
      <c r="BM106" s="42">
        <f>BM29/BG29-1</f>
        <v>0.20835133530220618</v>
      </c>
      <c r="BN106" s="42">
        <f>BN29/BH29-1</f>
        <v>0.13537469782433531</v>
      </c>
      <c r="BO106" s="42">
        <f>BO29/BI29-1</f>
        <v>0.13537469782433531</v>
      </c>
      <c r="BP106" s="36"/>
      <c r="BQ106" s="42">
        <f>BQ29/BK29-1</f>
        <v>5.8784676354028953E-2</v>
      </c>
      <c r="BR106" s="42">
        <f>BR29/BL29-1</f>
        <v>8.0929487179487225E-2</v>
      </c>
      <c r="BS106" s="42">
        <f>BS29/BM29-1</f>
        <v>0.10612244897959178</v>
      </c>
      <c r="BT106" s="42">
        <f>BT29/BN29-1</f>
        <v>6.2455642299503289E-2</v>
      </c>
      <c r="BU106" s="42">
        <f>BU29/BO29-1</f>
        <v>6.2455642299503289E-2</v>
      </c>
      <c r="BV106" s="36"/>
      <c r="BW106" s="42">
        <f>BW29/BQ29-1</f>
        <v>0.1116656269494698</v>
      </c>
      <c r="BX106" s="42">
        <f>BX29/BR29-1</f>
        <v>0.10971089696071168</v>
      </c>
      <c r="BY106" s="42">
        <f>BY29/BS29-1</f>
        <v>0.4280442804428044</v>
      </c>
      <c r="BZ106" s="42">
        <f>BZ29/BT29-1</f>
        <v>0.52905811623246501</v>
      </c>
      <c r="CA106" s="42" t="s">
        <v>945</v>
      </c>
      <c r="CB106" s="36"/>
      <c r="CC106" s="42">
        <f>CC29/BW29-1</f>
        <v>0.47586980920314259</v>
      </c>
      <c r="CD106" s="42">
        <f>CD29/BX29-1</f>
        <v>0.45824983299933209</v>
      </c>
      <c r="CE106" s="42">
        <f>CE29/BY29-1</f>
        <v>0.27493540051679588</v>
      </c>
      <c r="CF106" s="42">
        <f>CF29/BZ29-1</f>
        <v>0.23634775010921794</v>
      </c>
      <c r="CG106" s="467" t="s">
        <v>945</v>
      </c>
      <c r="CH106" s="36"/>
      <c r="CI106" s="42">
        <f>CI29/CC29-1</f>
        <v>0.2429657794676805</v>
      </c>
      <c r="CJ106" s="42">
        <f>CJ29/CD29-1</f>
        <v>0.26889601465872648</v>
      </c>
      <c r="CK106" s="42">
        <f>CK29/CE29-1</f>
        <v>0.19497365220916096</v>
      </c>
      <c r="CL106" s="42">
        <f>CL29/CF29-1</f>
        <v>0.233922261484099</v>
      </c>
      <c r="CM106" s="467" t="s">
        <v>945</v>
      </c>
      <c r="CN106" s="36"/>
      <c r="CO106" s="42">
        <f>CO29/CI29-1</f>
        <v>0.2606301621290914</v>
      </c>
      <c r="CP106" s="42">
        <f>CP29/CJ29-1</f>
        <v>0.29133574007220209</v>
      </c>
      <c r="CQ106" s="42">
        <f>CQ29/CK29-1</f>
        <v>0.24932157394843957</v>
      </c>
      <c r="CR106" s="42">
        <f>CR29/CL29-1</f>
        <v>0.28636884306987409</v>
      </c>
      <c r="CS106" s="467" t="s">
        <v>945</v>
      </c>
      <c r="CT106" s="232"/>
      <c r="CU106" s="42">
        <f>CU29/CO29-1</f>
        <v>0.21742295559330249</v>
      </c>
      <c r="CV106" s="42">
        <f>CV29/CP29-1</f>
        <v>8.4987419625384364E-2</v>
      </c>
      <c r="CW106" s="42">
        <f>CW29/CQ29-1</f>
        <v>7.3038284007602483E-2</v>
      </c>
      <c r="CX106" s="42">
        <f>CX29/CR29-1</f>
        <v>2.2261798753339335E-2</v>
      </c>
      <c r="CY106" s="467" t="s">
        <v>945</v>
      </c>
      <c r="CZ106" s="232"/>
      <c r="DA106" s="42">
        <f>DA29/CU29-1</f>
        <v>5.3019732908112349E-2</v>
      </c>
      <c r="DB106" s="42">
        <f>DB29/CV29-1</f>
        <v>0.13244009275959812</v>
      </c>
      <c r="DC106" s="42">
        <f>DC29/CW29-1</f>
        <v>0.36361336032388669</v>
      </c>
      <c r="DD106" s="42">
        <f>DD29/CX29-1</f>
        <v>0.28484320557491283</v>
      </c>
      <c r="DE106" s="467" t="s">
        <v>945</v>
      </c>
      <c r="DF106" s="232"/>
      <c r="DG106" s="42">
        <f>DG29/DA29-1</f>
        <v>0.30664395229982966</v>
      </c>
      <c r="DH106" s="42">
        <f>DH29/DB29-1</f>
        <v>0.3064846416382252</v>
      </c>
      <c r="DI106" s="42">
        <f>DI29/DC29-1</f>
        <v>8.5359064761551418E-2</v>
      </c>
      <c r="DJ106" s="42">
        <f>DJ29/DD29-1</f>
        <v>0.15288135593220331</v>
      </c>
      <c r="DK106" s="467" t="s">
        <v>945</v>
      </c>
      <c r="DL106" s="232"/>
      <c r="DM106" s="42">
        <f>DM29/DG29-1</f>
        <v>0.14805157178038542</v>
      </c>
      <c r="DN106" s="42">
        <f>DN29/DH29-1</f>
        <v>6.0780215952629835E-2</v>
      </c>
      <c r="DO106" s="42">
        <f>DO29/DI29-1</f>
        <v>7.4542656864421186E-2</v>
      </c>
      <c r="DP106" s="42">
        <f>DP29/DJ29-1</f>
        <v>3.4254630990885104E-2</v>
      </c>
      <c r="DQ106" s="467" t="s">
        <v>945</v>
      </c>
      <c r="DR106" s="232"/>
      <c r="DS106" s="42">
        <f>DS29/DM29-1</f>
        <v>4.9337539432176669E-2</v>
      </c>
      <c r="DT106" s="42">
        <f>DT29/DN29-1</f>
        <v>6.7804958134953131E-2</v>
      </c>
      <c r="DU106" s="42">
        <f>DU29/DO29-1</f>
        <v>-1.113762927605455E-3</v>
      </c>
      <c r="DV106" s="42">
        <f>DV29/DP29-1</f>
        <v>1.1798152096659464E-2</v>
      </c>
      <c r="DW106" s="467" t="s">
        <v>945</v>
      </c>
      <c r="DX106" s="232"/>
      <c r="DY106" s="42">
        <f>DY29/DS29-1</f>
        <v>2.501202501202493E-2</v>
      </c>
      <c r="DZ106" s="42">
        <f>DZ29/DT29-1</f>
        <v>2.5061500615006116E-2</v>
      </c>
      <c r="EA106" s="42">
        <f>EA29/DU29-1</f>
        <v>3.1060847403631797E-2</v>
      </c>
      <c r="EB106" s="42">
        <f>EB29/DV29-1</f>
        <v>2.1213824107895407E-2</v>
      </c>
      <c r="EC106" s="467" t="s">
        <v>945</v>
      </c>
      <c r="ED106" s="232"/>
      <c r="EE106" s="42">
        <f>EE29/DY29-1</f>
        <v>4.8686062881276415E-2</v>
      </c>
      <c r="EF106" s="42">
        <f>EF29/DZ29-1</f>
        <v>2.2348882555872196E-2</v>
      </c>
      <c r="EG106" s="42">
        <f>EG29/EA29-1</f>
        <v>-4.6346361810597481E-3</v>
      </c>
      <c r="EH106" s="42">
        <f>EH29/EB29-1</f>
        <v>-3.3016921172100977E-3</v>
      </c>
      <c r="EI106" s="467" t="s">
        <v>945</v>
      </c>
      <c r="EJ106" s="232"/>
      <c r="EK106" s="42">
        <f>EK29/EE29-1</f>
        <v>1.554983778946184E-2</v>
      </c>
      <c r="EL106" s="42">
        <f>EL29/EF29-1</f>
        <v>2.6701877934272256E-2</v>
      </c>
      <c r="EM106" s="42">
        <f>EM29/EG29-1</f>
        <v>7.2792177557038595E-2</v>
      </c>
      <c r="EN106" s="42">
        <f>EN29/EH29-1</f>
        <v>5.659075224292609E-2</v>
      </c>
      <c r="EO106" s="467" t="s">
        <v>945</v>
      </c>
      <c r="EP106" s="232"/>
      <c r="EQ106" s="42">
        <f>EQ29/EK29-1</f>
        <v>4.2300066093853284E-2</v>
      </c>
      <c r="ER106" s="42">
        <f>ER29/EL29-1</f>
        <v>5.9016861960560218E-2</v>
      </c>
      <c r="ES106" s="42">
        <f>ES29/EM29-1</f>
        <v>6.88657407407407E-2</v>
      </c>
      <c r="ET106" s="42">
        <f>ET29/EN29-1</f>
        <v>7.5506205094709289E-2</v>
      </c>
      <c r="EU106" s="467" t="s">
        <v>945</v>
      </c>
      <c r="EV106" s="232"/>
      <c r="EW106" s="42">
        <f>EW29/EQ29-1</f>
        <v>8.5288522511097087E-2</v>
      </c>
      <c r="EX106" s="42">
        <f>EX29/ER29-1</f>
        <v>8.9731480232087435E-2</v>
      </c>
      <c r="EY106" s="42">
        <f>EY29/ES29-1</f>
        <v>8.3243096913914405E-2</v>
      </c>
      <c r="EZ106" s="468">
        <f>ET106+2%</f>
        <v>9.5506205094709293E-2</v>
      </c>
      <c r="FA106" s="467" t="s">
        <v>945</v>
      </c>
      <c r="FB106" s="232"/>
      <c r="FC106" s="468">
        <v>0.11</v>
      </c>
      <c r="FD106" s="468">
        <v>0.11</v>
      </c>
      <c r="FE106" s="468">
        <f>EY106</f>
        <v>8.3243096913914405E-2</v>
      </c>
      <c r="FF106" s="468">
        <f>EZ106+2%</f>
        <v>0.1155062050947093</v>
      </c>
      <c r="FG106" s="467" t="s">
        <v>945</v>
      </c>
      <c r="FH106" s="232"/>
      <c r="FI106" s="468">
        <f>FC106</f>
        <v>0.11</v>
      </c>
      <c r="FJ106" s="468">
        <f>FD106</f>
        <v>0.11</v>
      </c>
      <c r="FK106" s="468">
        <f>FE106</f>
        <v>8.3243096913914405E-2</v>
      </c>
      <c r="FL106" s="468">
        <f>FF106+2%</f>
        <v>0.13550620509470929</v>
      </c>
      <c r="FM106" s="467" t="s">
        <v>945</v>
      </c>
      <c r="FN106" s="215"/>
      <c r="FO106" s="215"/>
      <c r="FP106" s="215"/>
      <c r="FQ106" s="215"/>
      <c r="FR106"/>
      <c r="FS106"/>
      <c r="FT106"/>
      <c r="FU106"/>
      <c r="FV106"/>
      <c r="FW106"/>
      <c r="FX106" s="215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</row>
    <row r="107" spans="1:274" s="24" customFormat="1" ht="10.5" customHeight="1" x14ac:dyDescent="0.2">
      <c r="A107" s="247" t="s">
        <v>893</v>
      </c>
      <c r="B107" s="20"/>
      <c r="C107" s="250" t="s">
        <v>945</v>
      </c>
      <c r="D107" s="250"/>
      <c r="E107" s="42" t="s">
        <v>945</v>
      </c>
      <c r="F107" s="42" t="s">
        <v>945</v>
      </c>
      <c r="G107" s="42" t="s">
        <v>945</v>
      </c>
      <c r="H107" s="42" t="s">
        <v>945</v>
      </c>
      <c r="I107" s="42" t="s">
        <v>945</v>
      </c>
      <c r="J107" s="42" t="s">
        <v>945</v>
      </c>
      <c r="K107" s="42" t="s">
        <v>945</v>
      </c>
      <c r="L107" s="42" t="s">
        <v>945</v>
      </c>
      <c r="M107" s="42" t="s">
        <v>945</v>
      </c>
      <c r="N107" s="36"/>
      <c r="O107" s="42" t="s">
        <v>945</v>
      </c>
      <c r="P107" s="42" t="s">
        <v>945</v>
      </c>
      <c r="Q107" s="42" t="s">
        <v>945</v>
      </c>
      <c r="R107" s="42" t="s">
        <v>945</v>
      </c>
      <c r="S107" s="259" t="str">
        <f>R107</f>
        <v>-</v>
      </c>
      <c r="T107" s="36"/>
      <c r="U107" s="42">
        <f>U29/R29-1</f>
        <v>3.2870336702785163E-2</v>
      </c>
      <c r="V107" s="42">
        <f>V29/U29-1</f>
        <v>-7.6839247066602612E-2</v>
      </c>
      <c r="W107" s="42">
        <f>W29/V29-1</f>
        <v>0.16132679859932098</v>
      </c>
      <c r="X107" s="42">
        <f>X29/W29-1</f>
        <v>0.24046667942059119</v>
      </c>
      <c r="Y107" s="259" t="s">
        <v>945</v>
      </c>
      <c r="Z107" s="466"/>
      <c r="AA107" s="42">
        <f>AA29/X29-1</f>
        <v>9.2531679077422435E-2</v>
      </c>
      <c r="AB107" s="42">
        <f>AB29/AA29-1</f>
        <v>-6.5283987240694952E-2</v>
      </c>
      <c r="AC107" s="42">
        <f>AC29/AB29-1</f>
        <v>7.1948932487016615E-2</v>
      </c>
      <c r="AD107" s="42">
        <f>AD29/AC29-1</f>
        <v>0.26766729468761552</v>
      </c>
      <c r="AE107" s="250" t="s">
        <v>945</v>
      </c>
      <c r="AF107" s="466"/>
      <c r="AG107" s="42">
        <f>AG29/AD29-1</f>
        <v>0.15137958604125012</v>
      </c>
      <c r="AH107" s="42">
        <f>AH29/AG29-1</f>
        <v>-0.11290650216172071</v>
      </c>
      <c r="AI107" s="42">
        <f>AI29/AH29-1</f>
        <v>7.806064779326749E-2</v>
      </c>
      <c r="AJ107" s="42">
        <f>AJ29/AI29-1</f>
        <v>0.32127631368839049</v>
      </c>
      <c r="AK107" s="250" t="s">
        <v>945</v>
      </c>
      <c r="AL107" s="466"/>
      <c r="AM107" s="42">
        <f>AM29/AJ29-1</f>
        <v>9.0393541347665751E-2</v>
      </c>
      <c r="AN107" s="42">
        <f>AN29/AM29-1</f>
        <v>-0.16327990212992871</v>
      </c>
      <c r="AO107" s="42">
        <f>AO29/AN29-1</f>
        <v>2.2095339496684518E-2</v>
      </c>
      <c r="AP107" s="42">
        <f>AP29/AO29-1</f>
        <v>0.23139156004132566</v>
      </c>
      <c r="AQ107" s="250" t="s">
        <v>945</v>
      </c>
      <c r="AR107" s="466"/>
      <c r="AS107" s="42">
        <f>AS29/AP29-1</f>
        <v>8.1949145558402936E-2</v>
      </c>
      <c r="AT107" s="42">
        <f>AT29/AS29-1</f>
        <v>-0.15100065707122434</v>
      </c>
      <c r="AU107" s="42">
        <f>AU29/AT29-1</f>
        <v>0.10205471382200137</v>
      </c>
      <c r="AV107" s="42">
        <f>AV29/AU29-1</f>
        <v>0.11174079697436912</v>
      </c>
      <c r="AW107" s="250" t="s">
        <v>945</v>
      </c>
      <c r="AX107" s="466"/>
      <c r="AY107" s="42">
        <f>AY29/AV29-1</f>
        <v>0.12007513132100911</v>
      </c>
      <c r="AZ107" s="42">
        <f>AZ29/AY29-1</f>
        <v>-0.16995789962861885</v>
      </c>
      <c r="BA107" s="42">
        <f>BA29/AZ29-1</f>
        <v>-1.2428248382771456E-2</v>
      </c>
      <c r="BB107" s="42">
        <f>BB29/BA29-1</f>
        <v>0.16650908224369476</v>
      </c>
      <c r="BC107" s="250" t="s">
        <v>945</v>
      </c>
      <c r="BD107" s="466"/>
      <c r="BE107" s="42">
        <f>BE29/BB29-1</f>
        <v>0.12622734761120258</v>
      </c>
      <c r="BF107" s="42">
        <f>BF29/BE29-1</f>
        <v>-0.20663892220824442</v>
      </c>
      <c r="BG107" s="42">
        <f>BG29/BF29-1</f>
        <v>-6.5396901490253123E-2</v>
      </c>
      <c r="BH107" s="42">
        <f>BH29/BG29-1</f>
        <v>0.22413388335513296</v>
      </c>
      <c r="BI107" s="250" t="s">
        <v>945</v>
      </c>
      <c r="BJ107" s="215"/>
      <c r="BK107" s="42">
        <f>BK29/BH29-1</f>
        <v>0.21998388396454471</v>
      </c>
      <c r="BL107" s="42">
        <f>BL29/BK29-1</f>
        <v>-0.17569352708058128</v>
      </c>
      <c r="BM107" s="42">
        <f>BM29/BL29-1</f>
        <v>-1.8429487179487225E-2</v>
      </c>
      <c r="BN107" s="42">
        <f>BN29/BM29-1</f>
        <v>0.15020408163265309</v>
      </c>
      <c r="BO107" s="250" t="s">
        <v>945</v>
      </c>
      <c r="BP107" s="36"/>
      <c r="BQ107" s="42">
        <f>BQ29/BN29-1</f>
        <v>0.13768630234208667</v>
      </c>
      <c r="BR107" s="42">
        <f>BR29/BQ29-1</f>
        <v>-0.1584529008109794</v>
      </c>
      <c r="BS107" s="42">
        <f>BS29/BR29-1</f>
        <v>4.4477390659747318E-3</v>
      </c>
      <c r="BT107" s="42">
        <f>BT29/BS29-1</f>
        <v>0.10479704797047962</v>
      </c>
      <c r="BU107" s="250" t="s">
        <v>945</v>
      </c>
      <c r="BV107" s="36"/>
      <c r="BW107" s="42">
        <f>BW29/BT29-1</f>
        <v>0.19038076152304617</v>
      </c>
      <c r="BX107" s="42">
        <f>BX29/BW29-1</f>
        <v>-0.15993265993265993</v>
      </c>
      <c r="BY107" s="42">
        <f>BY29/BX29-1</f>
        <v>0.29258517034068143</v>
      </c>
      <c r="BZ107" s="42">
        <f>BZ29/BY29-1</f>
        <v>0.1829457364341085</v>
      </c>
      <c r="CA107" s="250" t="s">
        <v>945</v>
      </c>
      <c r="CB107" s="36"/>
      <c r="CC107" s="42">
        <f>CC29/BZ29-1</f>
        <v>0.14897335080821317</v>
      </c>
      <c r="CD107" s="42">
        <f>CD29/CC29-1</f>
        <v>-0.16996197718631179</v>
      </c>
      <c r="CE107" s="42">
        <f>CE29/CD29-1</f>
        <v>0.13009619789280813</v>
      </c>
      <c r="CF107" s="42">
        <f>CF29/CE29-1</f>
        <v>0.14714227807053093</v>
      </c>
      <c r="CG107" s="251" t="s">
        <v>945</v>
      </c>
      <c r="CH107" s="36"/>
      <c r="CI107" s="42">
        <f>CI29/CF29-1</f>
        <v>0.15512367491166068</v>
      </c>
      <c r="CJ107" s="42">
        <f>CJ29/CI29-1</f>
        <v>-0.1526460691342918</v>
      </c>
      <c r="CK107" s="42">
        <f>CK29/CJ29-1</f>
        <v>6.425992779783396E-2</v>
      </c>
      <c r="CL107" s="42">
        <f>CL29/CK29-1</f>
        <v>0.18453188602442339</v>
      </c>
      <c r="CM107" s="251" t="s">
        <v>945</v>
      </c>
      <c r="CN107" s="36"/>
      <c r="CO107" s="42">
        <f>CO29/CL29-1</f>
        <v>0.18012600229095077</v>
      </c>
      <c r="CP107" s="42">
        <f>CP29/CO29-1</f>
        <v>-0.1320067944673623</v>
      </c>
      <c r="CQ107" s="42">
        <f>CQ29/CP29-1</f>
        <v>2.9633771316745827E-2</v>
      </c>
      <c r="CR107" s="42">
        <f>CR29/CQ29-1</f>
        <v>0.21965788759163729</v>
      </c>
      <c r="CS107" s="251" t="s">
        <v>945</v>
      </c>
      <c r="CT107" s="232"/>
      <c r="CU107" s="42">
        <f>CU29/CR29-1</f>
        <v>0.11687444345503106</v>
      </c>
      <c r="CV107" s="42">
        <f>CV29/CU29-1</f>
        <v>-0.22643013753238983</v>
      </c>
      <c r="CW107" s="42">
        <f>CW29/CV29-1</f>
        <v>1.8294254058232484E-2</v>
      </c>
      <c r="CX107" s="42">
        <f>CX29/CW29-1</f>
        <v>0.16194331983805665</v>
      </c>
      <c r="CY107" s="251" t="s">
        <v>945</v>
      </c>
      <c r="CZ107" s="232"/>
      <c r="DA107" s="42">
        <f>DA29/CX29-1</f>
        <v>0.15047909407665516</v>
      </c>
      <c r="DB107" s="42">
        <f>DB29/DA29-1</f>
        <v>-0.16808631459398071</v>
      </c>
      <c r="DC107" s="42">
        <f>DC29/DB29-1</f>
        <v>0.22616609783845276</v>
      </c>
      <c r="DD107" s="42">
        <f>DD29/DC29-1</f>
        <v>9.4822787159027699E-2</v>
      </c>
      <c r="DE107" s="251" t="s">
        <v>945</v>
      </c>
      <c r="DF107" s="232"/>
      <c r="DG107" s="42">
        <f>DG29/DD29-1</f>
        <v>0.16999999999999993</v>
      </c>
      <c r="DH107" s="42">
        <f>DH29/DG29-1</f>
        <v>-0.16818774445893092</v>
      </c>
      <c r="DI107" s="42">
        <f>DI29/DH29-1</f>
        <v>1.86346220828979E-2</v>
      </c>
      <c r="DJ107" s="42">
        <f>DJ29/DI29-1</f>
        <v>0.16293383484356294</v>
      </c>
      <c r="DK107" s="251" t="s">
        <v>945</v>
      </c>
      <c r="DL107" s="232"/>
      <c r="DM107" s="42">
        <f>DM29/DJ29-1</f>
        <v>0.16509850044104679</v>
      </c>
      <c r="DN107" s="42">
        <f>DN29/DM29-1</f>
        <v>-0.23141955835962147</v>
      </c>
      <c r="DO107" s="42">
        <f>DO29/DN29-1</f>
        <v>3.1850270891479182E-2</v>
      </c>
      <c r="DP107" s="42">
        <f>DP29/DO29-1</f>
        <v>0.11933174224343679</v>
      </c>
      <c r="DQ107" s="251" t="s">
        <v>945</v>
      </c>
      <c r="DR107" s="232"/>
      <c r="DS107" s="42">
        <f>DS29/DP29-1</f>
        <v>0.18208955223880596</v>
      </c>
      <c r="DT107" s="42">
        <f>DT29/DS29-1</f>
        <v>-0.21789321789321792</v>
      </c>
      <c r="DU107" s="42">
        <f>DU29/DT29-1</f>
        <v>-3.4747847478474814E-2</v>
      </c>
      <c r="DV107" s="42">
        <f>DV29/DU29-1</f>
        <v>0.13380057343102902</v>
      </c>
      <c r="DW107" s="251" t="s">
        <v>945</v>
      </c>
      <c r="DX107" s="232"/>
      <c r="DY107" s="42">
        <f>DY29/DV29-1</f>
        <v>0.19752739533576857</v>
      </c>
      <c r="DZ107" s="42">
        <f>DZ29/DY29-1</f>
        <v>-0.21785546691694035</v>
      </c>
      <c r="EA107" s="42">
        <f>EA29/DZ29-1</f>
        <v>-2.909854507274634E-2</v>
      </c>
      <c r="EB107" s="42">
        <f>EB29/EA29-1</f>
        <v>0.12297234667078638</v>
      </c>
      <c r="EC107" s="251" t="s">
        <v>945</v>
      </c>
      <c r="ED107" s="232"/>
      <c r="EE107" s="42">
        <f>EE29/EB29-1</f>
        <v>0.2297427431558674</v>
      </c>
      <c r="EF107" s="42">
        <f>EF29/EE29-1</f>
        <v>-0.23749860163329228</v>
      </c>
      <c r="EG107" s="42">
        <f>EG29/EF29-1</f>
        <v>-5.4724178403755874E-2</v>
      </c>
      <c r="EH107" s="42">
        <f>EH29/EG29-1</f>
        <v>0.12447617569455227</v>
      </c>
      <c r="EI107" s="251" t="s">
        <v>945</v>
      </c>
      <c r="EJ107" s="232"/>
      <c r="EK107" s="42">
        <f>EK29/EH29-1</f>
        <v>0.25300207039337463</v>
      </c>
      <c r="EL107" s="42">
        <f>EL29/EK29-1</f>
        <v>-0.22912535800837186</v>
      </c>
      <c r="EM107" s="42">
        <f>EM29/EL29-1</f>
        <v>-1.2289225492998046E-2</v>
      </c>
      <c r="EN107" s="42">
        <f>EN29/EM29-1</f>
        <v>0.10749421296296302</v>
      </c>
      <c r="EO107" s="251" t="s">
        <v>945</v>
      </c>
      <c r="EP107" s="232"/>
      <c r="EQ107" s="42">
        <f>EQ29/EN29-1</f>
        <v>0.2360548661005879</v>
      </c>
      <c r="ER107" s="42">
        <f>ER29/EQ29-1</f>
        <v>-0.21676178397801737</v>
      </c>
      <c r="ES107" s="42">
        <f>ES29/ER29-1</f>
        <v>-3.103494805019591E-3</v>
      </c>
      <c r="ET107" s="42">
        <f>ET29/ES29-1</f>
        <v>0.11437466161342713</v>
      </c>
      <c r="EU107" s="251" t="s">
        <v>945</v>
      </c>
      <c r="EV107" s="232"/>
      <c r="EW107" s="42">
        <f>EW29/ET29-1</f>
        <v>0.24729746143568576</v>
      </c>
      <c r="EX107" s="42">
        <f>EX29/EW29-1</f>
        <v>-0.21355536079462456</v>
      </c>
      <c r="EY107" s="42">
        <f>EY29/EX29-1</f>
        <v>-9.0391282813273577E-3</v>
      </c>
      <c r="EZ107" s="42">
        <f>EZ29/EY29-1</f>
        <v>0.12699020199234567</v>
      </c>
      <c r="FA107" s="251" t="s">
        <v>945</v>
      </c>
      <c r="FB107" s="232"/>
      <c r="FC107" s="42">
        <f>FC29/EZ29-1</f>
        <v>0.26379948899871142</v>
      </c>
      <c r="FD107" s="42">
        <f>FD29/FC29-1</f>
        <v>-0.21355536079462456</v>
      </c>
      <c r="FE107" s="42">
        <f>FE29/FD29-1</f>
        <v>-3.2926555314371941E-2</v>
      </c>
      <c r="FF107" s="42">
        <f>FF29/FE29-1</f>
        <v>0.16055626570340253</v>
      </c>
      <c r="FG107" s="251" t="s">
        <v>945</v>
      </c>
      <c r="FH107" s="232"/>
      <c r="FI107" s="42">
        <f>FI29/FF29-1</f>
        <v>0.25756129941873951</v>
      </c>
      <c r="FJ107" s="42">
        <f>FJ29/FI29-1</f>
        <v>-0.21355536079462456</v>
      </c>
      <c r="FK107" s="42">
        <f>FK29/FJ29-1</f>
        <v>-5.6238168320300264E-2</v>
      </c>
      <c r="FL107" s="42">
        <f>FL29/FK29-1</f>
        <v>0.21654949366594956</v>
      </c>
      <c r="FM107" s="251" t="s">
        <v>945</v>
      </c>
      <c r="FN107" s="215"/>
      <c r="FO107" s="215"/>
      <c r="FP107" s="215"/>
      <c r="FQ107" s="215"/>
      <c r="FR107"/>
      <c r="FS107"/>
      <c r="FT107"/>
      <c r="FU107"/>
      <c r="FV107"/>
      <c r="FW107"/>
      <c r="FX107" s="215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</row>
    <row r="108" spans="1:274" s="24" customFormat="1" ht="10.5" customHeight="1" x14ac:dyDescent="0.2">
      <c r="A108" s="247" t="s">
        <v>894</v>
      </c>
      <c r="B108" s="20"/>
      <c r="C108" s="250"/>
      <c r="D108" s="250"/>
      <c r="E108" s="42"/>
      <c r="F108" s="42"/>
      <c r="G108" s="42"/>
      <c r="H108" s="42"/>
      <c r="I108" s="42"/>
      <c r="J108" s="42"/>
      <c r="K108" s="42"/>
      <c r="L108" s="42"/>
      <c r="M108" s="42"/>
      <c r="N108" s="36"/>
      <c r="O108" s="42"/>
      <c r="P108" s="42"/>
      <c r="Q108" s="42"/>
      <c r="R108" s="42"/>
      <c r="S108" s="259"/>
      <c r="T108" s="36"/>
      <c r="U108" s="42"/>
      <c r="V108" s="42"/>
      <c r="W108" s="42"/>
      <c r="X108" s="42"/>
      <c r="Y108" s="259"/>
      <c r="Z108" s="466"/>
      <c r="AA108" s="42"/>
      <c r="AB108" s="42"/>
      <c r="AC108" s="42"/>
      <c r="AD108" s="42"/>
      <c r="AE108" s="250"/>
      <c r="AF108" s="466"/>
      <c r="AG108" s="42"/>
      <c r="AH108" s="42"/>
      <c r="AI108" s="42"/>
      <c r="AJ108" s="42"/>
      <c r="AK108" s="250"/>
      <c r="AL108" s="466"/>
      <c r="AM108" s="42"/>
      <c r="AN108" s="42"/>
      <c r="AO108" s="42"/>
      <c r="AP108" s="42"/>
      <c r="AQ108" s="250"/>
      <c r="AR108" s="466"/>
      <c r="AS108" s="42">
        <f>AS29/(Model!AS$46+Model!AT$46+Model!AU$46+Model!AV$46)</f>
        <v>0.36580411450907774</v>
      </c>
      <c r="AT108" s="42">
        <f>AT29/(Model!AT$46+Model!AU$46+Model!AV$46+Model!AY$46)</f>
        <v>0.2936232217079221</v>
      </c>
      <c r="AU108" s="42">
        <f>AU29/(Model!AU$46+Model!AV$46+Model!AY$46+Model!AZ$46)</f>
        <v>0.30865406971111931</v>
      </c>
      <c r="AV108" s="42">
        <f>AV29/(Model!AV$46+Model!AY$46+Model!AZ$46+Model!BA$46)</f>
        <v>0.32803795171413042</v>
      </c>
      <c r="AW108" s="250"/>
      <c r="AX108" s="466"/>
      <c r="AY108" s="42">
        <f>AY29/(Model!AY$46+Model!AZ$46+Model!BA$46+Model!BB$46)</f>
        <v>0.355608220204085</v>
      </c>
      <c r="AZ108" s="42">
        <f>AZ29/(Model!AZ$46+Model!BA$46+Model!BB$46+Model!BE$46)</f>
        <v>0.29485207997927265</v>
      </c>
      <c r="BA108" s="42">
        <f>BA29/(Model!BA$46+Model!BB$46+Model!BE$46+Model!BF$46)</f>
        <v>0.29050992319873781</v>
      </c>
      <c r="BB108" s="42">
        <f>BB29/(Model!BB$46+Model!BE$46+Model!BF$46+Model!BG$46)</f>
        <v>0.3427208933553646</v>
      </c>
      <c r="BC108" s="250"/>
      <c r="BD108" s="466"/>
      <c r="BE108" s="42">
        <f>BE29/(Model!BE$46+Model!BF$46+Model!BG$46+Model!BH$46)</f>
        <v>0.38620024201776382</v>
      </c>
      <c r="BF108" s="42">
        <f>BF29/(Model!BF$46+Model!BG$46+Model!BH$46+Model!BK$46)</f>
        <v>0.30113648509426938</v>
      </c>
      <c r="BG108" s="42">
        <f>BG29/(Model!BG$46+Model!BH$46+Model!BK$46+Model!BL$46)</f>
        <v>0.27586276332431364</v>
      </c>
      <c r="BH108" s="42">
        <f>BH29/(Model!BH$46+Model!BK$46+Model!BL$46+Model!BM$46)</f>
        <v>0.32541951190219898</v>
      </c>
      <c r="BI108" s="250"/>
      <c r="BJ108" s="215"/>
      <c r="BK108" s="42">
        <f>BK29/(Model!BK$46+Model!BL$46+Model!BM$46+Model!BN$46)</f>
        <v>0.3853005547920802</v>
      </c>
      <c r="BL108" s="42">
        <f>BL29/(Model!BL$46+Model!BM$46+Model!BN$46+Model!BQ$46)</f>
        <v>0.30751034890597279</v>
      </c>
      <c r="BM108" s="42">
        <f>BM29/(Model!BM$46+Model!BN$46+Model!BQ$46+Model!BR$46)</f>
        <v>0.29039446235539546</v>
      </c>
      <c r="BN108" s="42">
        <f>BN29/(Model!BN$46+Model!BQ$46+Model!BR$46+Model!BS$46)</f>
        <v>0.32100059233608241</v>
      </c>
      <c r="BO108" s="250"/>
      <c r="BP108" s="36"/>
      <c r="BQ108" s="42">
        <f>BQ29/(Model!BQ$46+Model!BR$46+Model!BS$46+Model!BT$46)</f>
        <v>0.35394126738794435</v>
      </c>
      <c r="BR108" s="42">
        <f>BR29/(Model!BR$46+Model!BS$46+Model!BT$46+Model!BW$46)</f>
        <v>0.28880325412117319</v>
      </c>
      <c r="BS108" s="42">
        <f>BS29/(Model!BS$46+Model!BT$46+Model!BW$46+Model!BX$46)</f>
        <v>0.28176336036598043</v>
      </c>
      <c r="BT108" s="42">
        <f>BT29/(Model!BT$46+Model!BW$46+Model!BX$46+Model!BY$46)</f>
        <v>0.28983543078412394</v>
      </c>
      <c r="BU108" s="250"/>
      <c r="BV108" s="36"/>
      <c r="BW108" s="42">
        <f>BW29/(Model!BW$46+Model!BX$46+Model!BY$46+Model!BZ$46)</f>
        <v>0.31534241727127943</v>
      </c>
      <c r="BX108" s="42">
        <f>BX29/(Model!BX$46+Model!BY$46+Model!BZ$46+Model!CC$46)</f>
        <v>0.2447678221059516</v>
      </c>
      <c r="BY108" s="42">
        <f>BY29/(Model!BY$46+Model!BZ$46+Model!CC$46+Model!CD$46)</f>
        <v>0.29655172413793102</v>
      </c>
      <c r="BZ108" s="42">
        <f>BZ29/(Model!BZ$46+Model!CC$46+Model!CD$46+Model!CE$46)</f>
        <v>0.33860946745562132</v>
      </c>
      <c r="CA108" s="250"/>
      <c r="CB108" s="36"/>
      <c r="CC108" s="42">
        <f>CC29/(Model!CC$46+Model!CD$46+Model!CE$46+Model!CF$46)</f>
        <v>0.37421741605008535</v>
      </c>
      <c r="CD108" s="42">
        <f>CD29/(Model!CD$46+Model!CE$46+Model!CF$46+Model!CI$46)</f>
        <v>0.29507975128413083</v>
      </c>
      <c r="CE108" s="42">
        <f>CE29/(Model!CE$46+Model!CF$46+Model!CI$46+Model!CJ$46)</f>
        <v>0.31640374503013979</v>
      </c>
      <c r="CF108" s="42">
        <f>CF29/(Model!CF$46+Model!CI$46+Model!CJ$46+Model!CK$46)</f>
        <v>0.34626208246665852</v>
      </c>
      <c r="CG108" s="251"/>
      <c r="CH108" s="36"/>
      <c r="CI108" s="42">
        <f>CI29/(Model!CI$46+Model!CJ$46+Model!CK$46+Model!CL$46)</f>
        <v>0.38274206767357455</v>
      </c>
      <c r="CJ108" s="42">
        <f>CJ29/(Model!CJ$46+Model!CK$46+Model!CL$46+Model!CO$46)</f>
        <v>0.30856633619249191</v>
      </c>
      <c r="CK108" s="42">
        <f>CK29/(Model!CK$46+Model!CL$46+Model!CO$46+Model!CP$46)</f>
        <v>0.31166085209853051</v>
      </c>
      <c r="CL108" s="42">
        <f>CL29/(Model!CL$46+Model!CO$46+Model!CP$46+Model!CQ$46)</f>
        <v>0.35053202168239311</v>
      </c>
      <c r="CM108" s="251"/>
      <c r="CN108" s="36"/>
      <c r="CO108" s="42">
        <f>CO29/(Model!CO$46+Model!CP$46+Model!CQ$46+Model!CR$46)</f>
        <v>0.39221471400019037</v>
      </c>
      <c r="CP108" s="42">
        <f>CP29/(Model!CP$46+Model!CQ$46+Model!CR$46+Model!CU$46)</f>
        <v>0.32263010733291242</v>
      </c>
      <c r="CQ108" s="42">
        <f>CQ29/(Model!CQ$46+Model!CR$46+Model!CU$46+Model!CV$46)</f>
        <v>0.32095860566448803</v>
      </c>
      <c r="CR108" s="42">
        <f>CR29/(Model!CR$46+Model!CU$46+Model!CV$46+Model!CW$46)</f>
        <v>0.3807747732474358</v>
      </c>
      <c r="CS108" s="251"/>
      <c r="CT108" s="232"/>
      <c r="CU108" s="42">
        <f>CU29/(Model!CU$46+Model!CV$46+Model!CW$46+Model!CX$46)</f>
        <v>0.4181878803034092</v>
      </c>
      <c r="CV108" s="42">
        <f>CV29/(Model!CV$46+Model!CW$46+Model!CX$46+Model!DA$46)</f>
        <v>0.32084986772486773</v>
      </c>
      <c r="CW108" s="42">
        <f>CW29/(Model!CW$46+Model!CX$46+Model!DA$46+Model!DB$46)</f>
        <v>0.31801722056811782</v>
      </c>
      <c r="CX108" s="42">
        <f>CX29/(Model!CX$46+Model!DA$46+Model!DB$46+Model!DC$46)</f>
        <v>0.35925520262869659</v>
      </c>
      <c r="CY108" s="251"/>
      <c r="CZ108" s="232"/>
      <c r="DA108" s="42">
        <f>DA29/(Model!DA$46+Model!DB$46+Model!DC$46+Model!DD$46)</f>
        <v>0.40092585565758521</v>
      </c>
      <c r="DB108" s="42">
        <f>DB29/(Model!DB$46+Model!DC$46+Model!DD$46+Model!DG$46)</f>
        <v>0.32492976489723496</v>
      </c>
      <c r="DC108" s="42">
        <f>DC29/(Model!DC$46+Model!DD$46+Model!DG$46+Model!DH$46)</f>
        <v>0.38556199470558777</v>
      </c>
      <c r="DD108" s="42">
        <f>DD29/(Model!DD$46+Model!DG$46+Model!DH$46+Model!DI$46)</f>
        <v>0.40943789035392086</v>
      </c>
      <c r="DE108" s="251"/>
      <c r="DF108" s="232"/>
      <c r="DG108" s="42">
        <f>DG29/(Model!DG$46+Model!DH$46+Model!DI$46+Model!DJ$46)</f>
        <v>0.46263655250988539</v>
      </c>
      <c r="DH108" s="42">
        <f>DH29/(Model!DH$46+Model!DI$46+Model!DJ$46+Model!DM$46)</f>
        <v>0.37090627220463795</v>
      </c>
      <c r="DI108" s="42">
        <f>DI29/(Model!DI$46+Model!DJ$46+Model!DM$46+Model!DN$46)</f>
        <v>0.371011734855693</v>
      </c>
      <c r="DJ108" s="42">
        <f>DJ29/(Model!DJ$46+Model!DM$46+Model!DN$46+Model!DO$46)</f>
        <v>0.42308888474217826</v>
      </c>
      <c r="DK108" s="251"/>
      <c r="DL108" s="232"/>
      <c r="DM108" s="42">
        <f>DM29/(Model!DM$46+Model!DN$46+Model!DO$46+Model!DP$46)</f>
        <v>0.48742235069807494</v>
      </c>
      <c r="DN108" s="42">
        <f>DN29/(Model!DN$46+Model!DO$46+Model!DP$46+Model!DS$46)</f>
        <v>0.37210580976235569</v>
      </c>
      <c r="DO108" s="42">
        <f>DO29/(Model!DO$46+Model!DP$46+Model!DS$46+Model!DT$46)</f>
        <v>0.37777243493418283</v>
      </c>
      <c r="DP108" s="42">
        <f>DP29/(Model!DP$46+Model!DS$46+Model!DT$46+Model!DU$46)</f>
        <v>0.4159522260982676</v>
      </c>
      <c r="DQ108" s="251"/>
      <c r="DR108" s="232"/>
      <c r="DS108" s="42">
        <f>DS29/(Model!DS$46+Model!DT$46+Model!DU$46+Model!DV$46)</f>
        <v>0.48470012239902083</v>
      </c>
      <c r="DT108" s="42">
        <f>DT29/(Model!DT$46+Model!DU$46+Model!DV$46+Model!DY$46)</f>
        <v>0.37285026370098601</v>
      </c>
      <c r="DU108" s="42">
        <f>DU29/(Model!DU$46+Model!DV$46+Model!DY$46+Model!DZ$46)</f>
        <v>0.35474939255241</v>
      </c>
      <c r="DV108" s="42">
        <f>DV29/(Model!DV$46+Model!DY$46+Model!DZ$46+Model!EA$46)</f>
        <v>0.39725415783011497</v>
      </c>
      <c r="DW108" s="251"/>
      <c r="DX108" s="232"/>
      <c r="DY108" s="42">
        <f>DY29/(Model!DY$46+Model!DZ$46+Model!EA$46+Model!EB$46)</f>
        <v>0.46812016036026138</v>
      </c>
      <c r="DZ108" s="42">
        <f>DZ29/(Model!DZ$46+Model!EA$46+Model!EB$46+Model!EE$46)</f>
        <v>0.36022260644045817</v>
      </c>
      <c r="EA108" s="42">
        <f>EA29/(Model!EA$46+Model!EB$46+Model!EE$46+Model!EF$46)</f>
        <v>0.34496908974632273</v>
      </c>
      <c r="EB108" s="42">
        <f>EB29/(Model!EB$46+Model!EE$46+Model!EF$46+Model!EG$46)</f>
        <v>0.3853575783279436</v>
      </c>
      <c r="EC108" s="251"/>
      <c r="ED108" s="232"/>
      <c r="EE108" s="42">
        <f>EE29/(Model!EE$46+Model!EF$46+Model!EG$46+Model!EH$46)</f>
        <v>0.47406661009758166</v>
      </c>
      <c r="EF108" s="42">
        <f>EF29/(Model!EF$46+Model!EG$46+Model!EH$46+Model!EK$46)</f>
        <v>0.36212942301562001</v>
      </c>
      <c r="EG108" s="42">
        <f>EG29/(Model!EG$46+Model!EH$46+Model!EK$46+Model!EL$46)</f>
        <v>0.34395686525731367</v>
      </c>
      <c r="EH108" s="42">
        <f>EH29/(Model!EH$46+Model!EI$46+Model!EL$46+Model!EM$46)</f>
        <v>0.22023954280155641</v>
      </c>
      <c r="EI108" s="251"/>
      <c r="EJ108" s="232"/>
      <c r="EK108" s="42">
        <f>EK29/(Model!EK$46+Model!EL$46+Model!EM$46+Model!EN$46)</f>
        <v>0.48123409669211198</v>
      </c>
      <c r="EL108" s="42">
        <f>EL29/(Model!EL$46+Model!EM$46+Model!EN$46+Model!EQ$46)</f>
        <v>0.36909282700421941</v>
      </c>
      <c r="EM108" s="42">
        <f>EM29/(Model!EM$46+Model!EN$46+Model!EQ$46+Model!ER$46)</f>
        <v>0.36273943846759382</v>
      </c>
      <c r="EN108" s="42">
        <f>EN29/(Model!EN$46+Model!EO$46+Model!ER$46+Model!ES$46)</f>
        <v>0.23044041060838677</v>
      </c>
      <c r="EO108" s="251"/>
      <c r="EP108" s="232"/>
      <c r="EQ108" s="42">
        <f>EQ29/(Model!EQ$46+Model!ER$46+Model!ES$46+Model!ET$46)</f>
        <v>0.49204368174726987</v>
      </c>
      <c r="ER108" s="42">
        <f>ER29/(Model!ER$46+Model!ES$46+Model!ET$46+Model!EW$46)</f>
        <v>0.38224675056736124</v>
      </c>
      <c r="ES108" s="42">
        <f>ES29/(Model!ES$46+Model!ET$46+Model!EW$46+Model!EX$46)</f>
        <v>0.3776516894136891</v>
      </c>
      <c r="ET108" s="42">
        <f>ET29/(Model!ET$46+Model!EU$46+Model!EX$46+Model!EY$46)</f>
        <v>0.24138739848125018</v>
      </c>
      <c r="EU108" s="251"/>
      <c r="EV108" s="232"/>
      <c r="EW108" s="42">
        <f>EW29/(Model!EW$46+Model!EX$46+Model!EY$46+Model!EZ$46)</f>
        <v>0.5126328999108164</v>
      </c>
      <c r="EX108" s="42">
        <f>EX29/(Model!EX$46+Model!EY$46+Model!EZ$46+Model!FC$46)</f>
        <v>0.39958588875811168</v>
      </c>
      <c r="EY108" s="42">
        <f>EY29/(Model!EY$46+Model!EZ$46+Model!FC$46+Model!FD$46)</f>
        <v>0.39253844560484563</v>
      </c>
      <c r="EZ108" s="42"/>
      <c r="FA108" s="251"/>
      <c r="FB108" s="232"/>
      <c r="FC108" s="42"/>
      <c r="FD108" s="42"/>
      <c r="FE108" s="42"/>
      <c r="FF108" s="42"/>
      <c r="FG108" s="251"/>
      <c r="FH108" s="232"/>
      <c r="FI108" s="42"/>
      <c r="FJ108" s="42"/>
      <c r="FK108" s="42"/>
      <c r="FL108" s="42"/>
      <c r="FM108" s="251"/>
      <c r="FN108" s="215"/>
      <c r="FO108" s="215"/>
      <c r="FP108" s="215"/>
      <c r="FQ108" s="215"/>
      <c r="FR108"/>
      <c r="FS108"/>
      <c r="FT108"/>
      <c r="FU108"/>
      <c r="FV108"/>
      <c r="FW108"/>
      <c r="FX108" s="215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</row>
    <row r="109" spans="1:274" s="24" customFormat="1" ht="5.25" customHeight="1" x14ac:dyDescent="0.2">
      <c r="A109" s="18"/>
      <c r="B109" s="20"/>
      <c r="C109" s="28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  <c r="AL109" s="28"/>
      <c r="AM109" s="28"/>
      <c r="AN109" s="28"/>
      <c r="AO109" s="28"/>
      <c r="AP109" s="28"/>
      <c r="AQ109" s="28"/>
      <c r="AR109" s="28"/>
      <c r="AS109" s="28"/>
      <c r="AT109" s="28"/>
      <c r="AU109" s="28"/>
      <c r="AV109" s="28"/>
      <c r="AW109" s="28"/>
      <c r="AX109" s="28"/>
      <c r="AY109" s="28"/>
      <c r="AZ109" s="28"/>
      <c r="BA109" s="28"/>
      <c r="BB109" s="28"/>
      <c r="BC109" s="28"/>
      <c r="BD109" s="28"/>
      <c r="BE109" s="28"/>
      <c r="BF109" s="28"/>
      <c r="BG109" s="28"/>
      <c r="BH109" s="28"/>
      <c r="BI109" s="28"/>
      <c r="BJ109" s="28"/>
      <c r="BK109" s="28"/>
      <c r="BL109" s="28"/>
      <c r="BM109" s="28"/>
      <c r="BN109" s="28"/>
      <c r="BO109" s="28"/>
      <c r="BP109" s="28"/>
      <c r="BQ109" s="28"/>
      <c r="BR109" s="28"/>
      <c r="BS109" s="28"/>
      <c r="BT109" s="28"/>
      <c r="BU109" s="28"/>
      <c r="BV109" s="28"/>
      <c r="BW109" s="28"/>
      <c r="BX109" s="28"/>
      <c r="BY109" s="28"/>
      <c r="BZ109" s="28"/>
      <c r="CA109" s="28"/>
      <c r="CB109" s="28"/>
      <c r="CC109" s="28"/>
      <c r="CD109" s="28"/>
      <c r="CE109" s="28"/>
      <c r="CF109" s="28"/>
      <c r="CG109" s="416"/>
      <c r="CH109" s="28"/>
      <c r="CI109" s="28"/>
      <c r="CJ109" s="28"/>
      <c r="CK109" s="28"/>
      <c r="CL109" s="28"/>
      <c r="CM109" s="416"/>
      <c r="CN109" s="28"/>
      <c r="CO109" s="28"/>
      <c r="CP109" s="28"/>
      <c r="CQ109" s="28"/>
      <c r="CR109" s="28"/>
      <c r="CS109" s="416"/>
      <c r="CT109" s="28"/>
      <c r="CU109" s="28"/>
      <c r="CV109" s="28"/>
      <c r="CW109" s="28"/>
      <c r="CX109" s="28"/>
      <c r="CY109" s="416"/>
      <c r="CZ109" s="28"/>
      <c r="DA109" s="28"/>
      <c r="DB109" s="28"/>
      <c r="DC109" s="28"/>
      <c r="DD109" s="28"/>
      <c r="DE109" s="416"/>
      <c r="DF109" s="28"/>
      <c r="DG109" s="28"/>
      <c r="DH109" s="28"/>
      <c r="DI109" s="28"/>
      <c r="DJ109" s="28"/>
      <c r="DK109" s="416"/>
      <c r="DL109" s="28"/>
      <c r="DM109" s="28"/>
      <c r="DN109" s="28"/>
      <c r="DO109" s="28"/>
      <c r="DP109" s="28"/>
      <c r="DQ109" s="416"/>
      <c r="DR109" s="28"/>
      <c r="DS109" s="28"/>
      <c r="DT109" s="28"/>
      <c r="DU109" s="28"/>
      <c r="DV109" s="28"/>
      <c r="DW109" s="416"/>
      <c r="DX109" s="28"/>
      <c r="DY109" s="28"/>
      <c r="DZ109" s="28"/>
      <c r="EA109" s="259"/>
      <c r="EB109" s="259"/>
      <c r="EC109" s="416"/>
      <c r="ED109" s="28"/>
      <c r="EE109" s="28"/>
      <c r="EF109" s="28"/>
      <c r="EG109" s="259"/>
      <c r="EH109" s="259"/>
      <c r="EI109" s="416"/>
      <c r="EJ109" s="28"/>
      <c r="EK109" s="28"/>
      <c r="EL109" s="28"/>
      <c r="EM109" s="259"/>
      <c r="EN109" s="259"/>
      <c r="EO109" s="416"/>
      <c r="EP109" s="28"/>
      <c r="EQ109" s="28"/>
      <c r="ER109" s="28"/>
      <c r="ES109" s="259"/>
      <c r="ET109" s="259"/>
      <c r="EU109" s="416"/>
      <c r="EV109" s="28"/>
      <c r="EW109" s="28"/>
      <c r="EX109" s="28"/>
      <c r="EY109" s="259"/>
      <c r="EZ109" s="28"/>
      <c r="FA109" s="416"/>
      <c r="FB109" s="28"/>
      <c r="FC109" s="28"/>
      <c r="FD109" s="28"/>
      <c r="FE109" s="28"/>
      <c r="FF109" s="28"/>
      <c r="FG109" s="416"/>
      <c r="FH109" s="28"/>
      <c r="FI109" s="28"/>
      <c r="FJ109" s="28"/>
      <c r="FK109" s="28"/>
      <c r="FL109" s="28"/>
      <c r="FM109" s="416"/>
      <c r="FN109" s="28"/>
      <c r="FO109" s="28"/>
      <c r="FP109" s="28"/>
      <c r="FQ109" s="28"/>
      <c r="FR109"/>
      <c r="FS109"/>
      <c r="FT109"/>
      <c r="FU109"/>
      <c r="FV109"/>
      <c r="FW109"/>
      <c r="FX109" s="28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</row>
    <row r="110" spans="1:274" s="24" customFormat="1" ht="10.5" customHeight="1" x14ac:dyDescent="0.2">
      <c r="A110" s="292" t="s">
        <v>895</v>
      </c>
      <c r="B110" s="20"/>
      <c r="C110" s="469"/>
      <c r="D110" s="469"/>
      <c r="E110" s="469"/>
      <c r="F110" s="469"/>
      <c r="G110" s="469"/>
      <c r="H110" s="470"/>
      <c r="I110" s="469"/>
      <c r="J110" s="469"/>
      <c r="K110" s="470"/>
      <c r="L110" s="470"/>
      <c r="M110" s="469"/>
      <c r="N110" s="470"/>
      <c r="O110" s="469"/>
      <c r="P110" s="469"/>
      <c r="Q110" s="470"/>
      <c r="R110" s="470"/>
      <c r="S110" s="469"/>
      <c r="T110" s="470"/>
      <c r="U110" s="469"/>
      <c r="V110" s="469"/>
      <c r="W110" s="470"/>
      <c r="X110" s="470"/>
      <c r="Y110" s="469"/>
      <c r="Z110" s="470"/>
      <c r="AA110" s="469"/>
      <c r="AB110" s="469"/>
      <c r="AC110" s="470"/>
      <c r="AD110" s="470"/>
      <c r="AE110" s="469"/>
      <c r="AF110" s="470"/>
      <c r="AG110" s="470"/>
      <c r="AH110" s="470"/>
      <c r="AI110" s="470"/>
      <c r="AJ110" s="470"/>
      <c r="AK110" s="469"/>
      <c r="AL110" s="470"/>
      <c r="AM110" s="470"/>
      <c r="AN110" s="470"/>
      <c r="AO110" s="470"/>
      <c r="AP110" s="470"/>
      <c r="AQ110" s="469"/>
      <c r="AR110" s="470"/>
      <c r="AS110" s="470"/>
      <c r="AT110" s="470"/>
      <c r="AU110" s="470"/>
      <c r="AV110" s="470"/>
      <c r="AW110" s="469"/>
      <c r="AX110" s="470"/>
      <c r="AY110" s="470"/>
      <c r="AZ110" s="470"/>
      <c r="BA110" s="470"/>
      <c r="BB110" s="470"/>
      <c r="BC110" s="469"/>
      <c r="BD110" s="470"/>
      <c r="BE110" s="470"/>
      <c r="BF110" s="470"/>
      <c r="BG110" s="470"/>
      <c r="BH110" s="470"/>
      <c r="BI110" s="469"/>
      <c r="BJ110" s="215"/>
      <c r="BK110" s="215"/>
      <c r="BL110" s="215"/>
      <c r="BM110" s="215"/>
      <c r="BN110" s="215"/>
      <c r="BO110" s="215"/>
      <c r="BP110" s="470"/>
      <c r="BQ110" s="215"/>
      <c r="BR110" s="215"/>
      <c r="BS110" s="215"/>
      <c r="BT110" s="215"/>
      <c r="BU110" s="215"/>
      <c r="BV110" s="470"/>
      <c r="BW110" s="215"/>
      <c r="BX110" s="215"/>
      <c r="BY110" s="215"/>
      <c r="BZ110" s="215"/>
      <c r="CA110" s="215"/>
      <c r="CB110" s="470"/>
      <c r="CC110" s="215"/>
      <c r="CD110" s="215"/>
      <c r="CE110" s="215"/>
      <c r="CF110" s="215"/>
      <c r="CG110" s="471"/>
      <c r="CH110" s="470"/>
      <c r="CI110" s="215"/>
      <c r="CJ110" s="215"/>
      <c r="CK110" s="215"/>
      <c r="CL110" s="215"/>
      <c r="CM110" s="471"/>
      <c r="CN110" s="470"/>
      <c r="CO110" s="215"/>
      <c r="CP110" s="215"/>
      <c r="CQ110" s="215"/>
      <c r="CR110" s="215"/>
      <c r="CS110" s="471"/>
      <c r="CT110" s="472"/>
      <c r="CU110" s="215"/>
      <c r="CV110" s="215"/>
      <c r="CW110" s="215"/>
      <c r="CX110" s="215"/>
      <c r="CY110" s="471"/>
      <c r="CZ110" s="472"/>
      <c r="DA110" s="215"/>
      <c r="DB110" s="215"/>
      <c r="DC110" s="215"/>
      <c r="DD110" s="215"/>
      <c r="DE110" s="471"/>
      <c r="DF110" s="472"/>
      <c r="DG110" s="215"/>
      <c r="DH110" s="215"/>
      <c r="DI110" s="215"/>
      <c r="DJ110" s="215"/>
      <c r="DK110" s="471"/>
      <c r="DL110" s="472"/>
      <c r="DM110" s="215"/>
      <c r="DN110" s="215"/>
      <c r="DO110" s="215"/>
      <c r="DP110" s="215"/>
      <c r="DQ110" s="471"/>
      <c r="DR110" s="472"/>
      <c r="DS110" s="215"/>
      <c r="DT110" s="215"/>
      <c r="DU110" s="215"/>
      <c r="DV110" s="215"/>
      <c r="DW110" s="471"/>
      <c r="DX110" s="472"/>
      <c r="DY110" s="215"/>
      <c r="DZ110" s="215"/>
      <c r="EA110" s="215"/>
      <c r="EB110" s="215"/>
      <c r="EC110" s="471"/>
      <c r="ED110" s="472"/>
      <c r="EE110" s="215"/>
      <c r="EF110" s="215"/>
      <c r="EG110" s="215"/>
      <c r="EH110" s="215"/>
      <c r="EI110" s="471"/>
      <c r="EJ110" s="472"/>
      <c r="EK110" s="215"/>
      <c r="EL110" s="215"/>
      <c r="EM110" s="215"/>
      <c r="EN110" s="215"/>
      <c r="EO110" s="471"/>
      <c r="EP110" s="472"/>
      <c r="EQ110" s="215"/>
      <c r="ER110" s="215"/>
      <c r="ES110" s="215"/>
      <c r="ET110" s="215"/>
      <c r="EU110" s="471"/>
      <c r="EV110" s="472"/>
      <c r="EW110" s="215"/>
      <c r="EX110" s="215"/>
      <c r="EY110" s="215"/>
      <c r="EZ110" s="215"/>
      <c r="FA110" s="471"/>
      <c r="FB110" s="472"/>
      <c r="FC110" s="215"/>
      <c r="FD110" s="215"/>
      <c r="FE110" s="215"/>
      <c r="FF110" s="215"/>
      <c r="FG110" s="471"/>
      <c r="FH110" s="472"/>
      <c r="FI110" s="215"/>
      <c r="FJ110" s="215"/>
      <c r="FK110" s="215"/>
      <c r="FL110" s="215"/>
      <c r="FM110" s="471"/>
      <c r="FN110" s="215"/>
      <c r="FO110" s="215"/>
      <c r="FP110" s="215"/>
      <c r="FQ110" s="215"/>
      <c r="FR110"/>
      <c r="FS110"/>
      <c r="FT110"/>
      <c r="FU110"/>
      <c r="FV110"/>
      <c r="FW110"/>
      <c r="FX110" s="215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</row>
    <row r="111" spans="1:274" s="24" customFormat="1" ht="10.5" customHeight="1" x14ac:dyDescent="0.2">
      <c r="A111" s="261" t="s">
        <v>362</v>
      </c>
      <c r="B111" s="20"/>
      <c r="C111" s="250" t="s">
        <v>945</v>
      </c>
      <c r="D111" s="42">
        <f>D11/rev _fy85</f>
        <v>1.684592458209149E-3</v>
      </c>
      <c r="E111" s="42">
        <f>E11/rev _fy86</f>
        <v>2.0579998193152049E-2</v>
      </c>
      <c r="F111" s="42">
        <f>F11/rev _fy87</f>
        <v>3.058309015687739E-2</v>
      </c>
      <c r="G111" s="42">
        <f>G11/rev _fy88</f>
        <v>3.3241998773541101E-2</v>
      </c>
      <c r="H111" s="42">
        <f>H11/rev _fy89</f>
        <v>2.7706406303528608E-2</v>
      </c>
      <c r="I111" s="42">
        <f>I11/rev _fy90</f>
        <v>3.1535699865777672E-2</v>
      </c>
      <c r="J111" s="42">
        <f>J11/rev _fy91</f>
        <v>3.65981191673906E-2</v>
      </c>
      <c r="K111" s="42">
        <f>K11/rev _fy92</f>
        <v>3.3988125530110262E-2</v>
      </c>
      <c r="L111" s="42">
        <f>L11/rev _fy93</f>
        <v>3.0757817697937458E-2</v>
      </c>
      <c r="M111" s="42">
        <f>M11/rev _fy94</f>
        <v>2.9875366477325253E-2</v>
      </c>
      <c r="N111" s="36"/>
      <c r="O111" s="42" t="s">
        <v>945</v>
      </c>
      <c r="P111" s="42" t="s">
        <v>945</v>
      </c>
      <c r="Q111" s="42" t="s">
        <v>945</v>
      </c>
      <c r="R111" s="42" t="s">
        <v>945</v>
      </c>
      <c r="S111" s="259" t="str">
        <f>R111</f>
        <v>-</v>
      </c>
      <c r="T111" s="36"/>
      <c r="U111" s="250" t="s">
        <v>945</v>
      </c>
      <c r="V111" s="250" t="s">
        <v>945</v>
      </c>
      <c r="W111" s="250" t="s">
        <v>945</v>
      </c>
      <c r="X111" s="250" t="s">
        <v>945</v>
      </c>
      <c r="Y111" s="250" t="s">
        <v>945</v>
      </c>
      <c r="Z111" s="466"/>
      <c r="AA111" s="250" t="s">
        <v>945</v>
      </c>
      <c r="AB111" s="250" t="s">
        <v>945</v>
      </c>
      <c r="AC111" s="250" t="s">
        <v>945</v>
      </c>
      <c r="AD111" s="250" t="s">
        <v>945</v>
      </c>
      <c r="AE111" s="250" t="s">
        <v>945</v>
      </c>
      <c r="AF111" s="466"/>
      <c r="AG111" s="250" t="s">
        <v>945</v>
      </c>
      <c r="AH111" s="250" t="s">
        <v>945</v>
      </c>
      <c r="AI111" s="250" t="s">
        <v>945</v>
      </c>
      <c r="AJ111" s="42">
        <f>AJ11/ltmrev _2c98</f>
        <v>2.9052060754227581E-2</v>
      </c>
      <c r="AK111" s="42">
        <f>AJ111</f>
        <v>2.9052060754227581E-2</v>
      </c>
      <c r="AL111" s="466"/>
      <c r="AM111" s="42" t="s">
        <v>945</v>
      </c>
      <c r="AN111" s="42" t="s">
        <v>945</v>
      </c>
      <c r="AO111" s="42" t="s">
        <v>945</v>
      </c>
      <c r="AP111" s="42">
        <f>AP11/ltmrev _2c99</f>
        <v>2.7278251487552412E-2</v>
      </c>
      <c r="AQ111" s="42">
        <f>AP111</f>
        <v>2.7278251487552412E-2</v>
      </c>
      <c r="AR111" s="466"/>
      <c r="AS111" s="42">
        <f>AS11/ltmrev _3c99</f>
        <v>1.7842997292516469E-2</v>
      </c>
      <c r="AT111" s="42">
        <f>AT11/ltmrev _4c99</f>
        <v>1.8358814475658614E-2</v>
      </c>
      <c r="AU111" s="42">
        <f>AU11/ltmrev _1c00</f>
        <v>1.8944239751828417E-2</v>
      </c>
      <c r="AV111" s="42">
        <f>AV11/ltmrev _2c00</f>
        <v>2.5291190792455925E-2</v>
      </c>
      <c r="AW111" s="42">
        <f>AV111</f>
        <v>2.5291190792455925E-2</v>
      </c>
      <c r="AX111" s="466"/>
      <c r="AY111" s="42">
        <f>AY11/ltmrev _3c00</f>
        <v>1.5607935245379762E-2</v>
      </c>
      <c r="AZ111" s="42">
        <f>AZ11/ltmrev _4c00</f>
        <v>0</v>
      </c>
      <c r="BA111" s="42">
        <f>BA11/ltmrev _1c01</f>
        <v>0</v>
      </c>
      <c r="BB111" s="42">
        <f>BB11/ltmrev _2c01</f>
        <v>2.572830255607949E-2</v>
      </c>
      <c r="BC111" s="42">
        <f>BB111</f>
        <v>2.572830255607949E-2</v>
      </c>
      <c r="BD111" s="466"/>
      <c r="BE111" s="42">
        <f>BE11/ltmrev _3c01</f>
        <v>1.8602446297252041E-2</v>
      </c>
      <c r="BF111" s="42">
        <f>BF11/ltmrev _4c01</f>
        <v>2.0200372769047979E-2</v>
      </c>
      <c r="BG111" s="42">
        <f>BG11/ltmrev _1c02</f>
        <v>2.0621565795881498E-2</v>
      </c>
      <c r="BH111" s="42">
        <f>BH11/ltmrev _2c02</f>
        <v>3.0291147551694739E-2</v>
      </c>
      <c r="BI111" s="42">
        <f>BH111</f>
        <v>3.0291147551694739E-2</v>
      </c>
      <c r="BJ111" s="215"/>
      <c r="BK111" s="42">
        <f>BK11/ltmrev _3c02</f>
        <v>1.9818269646740935E-2</v>
      </c>
      <c r="BL111" s="42">
        <f>BL11/ltmrev _4c02</f>
        <v>2.1891650001425629E-2</v>
      </c>
      <c r="BM111" s="42">
        <f>BM11/ltmrev _1c03</f>
        <v>2.314721170068192E-2</v>
      </c>
      <c r="BN111" s="42">
        <f>BN11/ltmrev _2c03</f>
        <v>3.1766468961732484E-2</v>
      </c>
      <c r="BO111" s="42">
        <f>BN111</f>
        <v>3.1766468961732484E-2</v>
      </c>
      <c r="BP111" s="36"/>
      <c r="BQ111" s="42">
        <f>BQ11/ltmrev _3c03</f>
        <v>1.9328949303527534E-2</v>
      </c>
      <c r="BR111" s="42">
        <f>BR11/ltmrev _4c03</f>
        <v>2.1527749165670965E-2</v>
      </c>
      <c r="BS111" s="42">
        <f>BS11/ltmrev _1c04</f>
        <v>2.2703422667097191E-2</v>
      </c>
      <c r="BT111" s="42">
        <f>BT11/ltmrev _2c04</f>
        <v>3.1705395825128005E-2</v>
      </c>
      <c r="BU111" s="42">
        <f>BT111</f>
        <v>3.1705395825128005E-2</v>
      </c>
      <c r="BV111" s="470"/>
      <c r="BW111" s="42">
        <f>BW11/ltmrev _3c04</f>
        <v>1.7186134576172445E-2</v>
      </c>
      <c r="BX111" s="42">
        <f>BX11/ltmrev _4c04</f>
        <v>2.0081462536705504E-2</v>
      </c>
      <c r="BY111" s="42">
        <f>BY11/ltmrev _1c05</f>
        <v>2.1901086078448973E-2</v>
      </c>
      <c r="BZ111" s="42">
        <f>BZ11/ltmrev _2c05</f>
        <v>2.722996946942817E-2</v>
      </c>
      <c r="CA111" s="42">
        <f>BZ111</f>
        <v>2.722996946942817E-2</v>
      </c>
      <c r="CB111" s="470"/>
      <c r="CC111" s="42">
        <f>CC11/ltmrev _3c05</f>
        <v>1.52993521192725E-2</v>
      </c>
      <c r="CD111" s="42">
        <f>CD11/ltmrev _4c05</f>
        <v>1.702728827422113E-2</v>
      </c>
      <c r="CE111" s="42">
        <f>CD111</f>
        <v>1.702728827422113E-2</v>
      </c>
      <c r="CF111" s="42">
        <f>CE111</f>
        <v>1.702728827422113E-2</v>
      </c>
      <c r="CG111" s="467">
        <f>CF111</f>
        <v>1.702728827422113E-2</v>
      </c>
      <c r="CH111" s="470"/>
      <c r="CI111" s="42">
        <f>CI11/ltmrev _3c06</f>
        <v>1.4749072547403133E-2</v>
      </c>
      <c r="CJ111" s="42">
        <f>CJ11/ltmrev _4c06</f>
        <v>1.7922243155293484E-2</v>
      </c>
      <c r="CK111" s="42">
        <f>CK11/ltmrev _1c07</f>
        <v>2.0448357759369751E-2</v>
      </c>
      <c r="CL111" s="42">
        <f>CL11/ltmrev _2c07</f>
        <v>2.8282717337580317E-2</v>
      </c>
      <c r="CM111" s="467">
        <f>CL111</f>
        <v>2.8282717337580317E-2</v>
      </c>
      <c r="CN111" s="470"/>
      <c r="CO111" s="42">
        <f>CO11/ltmrev _3c07</f>
        <v>0</v>
      </c>
      <c r="CP111" s="42">
        <f>CP11/ltmrev _4c07</f>
        <v>0</v>
      </c>
      <c r="CQ111" s="42">
        <f>CQ11/ltmrev _1c08</f>
        <v>0</v>
      </c>
      <c r="CR111" s="42">
        <f>CR11/ltmrev _2c08</f>
        <v>0</v>
      </c>
      <c r="CS111" s="467">
        <f>CR111</f>
        <v>0</v>
      </c>
      <c r="CT111" s="472"/>
      <c r="CU111" s="42">
        <f>CU11/ltmrev _3c08</f>
        <v>0</v>
      </c>
      <c r="CV111" s="42">
        <f>CV11/ltmrev _4c08</f>
        <v>0</v>
      </c>
      <c r="CW111" s="42">
        <f>CW11/ltmrev _1c09</f>
        <v>0</v>
      </c>
      <c r="CX111" s="42">
        <f>CX11/ltmrev _2c09</f>
        <v>0</v>
      </c>
      <c r="CY111" s="467">
        <f>CX111</f>
        <v>0</v>
      </c>
      <c r="CZ111" s="472"/>
      <c r="DA111" s="42">
        <f>DA11/ltmrev _3c09</f>
        <v>0</v>
      </c>
      <c r="DB111" s="42">
        <f>DB11/ltmrev _4c09</f>
        <v>0</v>
      </c>
      <c r="DC111" s="42">
        <f>DC11/ltmrev _1c10</f>
        <v>0</v>
      </c>
      <c r="DD111" s="42">
        <f>DD11/ltmrev _2c10</f>
        <v>0</v>
      </c>
      <c r="DE111" s="467">
        <f>DD111</f>
        <v>0</v>
      </c>
      <c r="DF111" s="472"/>
      <c r="DG111" s="42">
        <f>DG11/ltmrev _3c10</f>
        <v>0</v>
      </c>
      <c r="DH111" s="42">
        <f>DH11/ltmrev _4c10</f>
        <v>0</v>
      </c>
      <c r="DI111" s="42">
        <f>DI11/ltmrev _1c11</f>
        <v>0</v>
      </c>
      <c r="DJ111" s="42">
        <f>DJ11/ltmrev _2c11</f>
        <v>0</v>
      </c>
      <c r="DK111" s="467">
        <f>DJ111</f>
        <v>0</v>
      </c>
      <c r="DL111" s="472"/>
      <c r="DM111" s="42">
        <f>DM11/ltmrev _3c11</f>
        <v>0</v>
      </c>
      <c r="DN111" s="42">
        <f>DN11/ltmrev _4c11</f>
        <v>0</v>
      </c>
      <c r="DO111" s="42">
        <v>0</v>
      </c>
      <c r="DP111" s="42">
        <f>DP11/ltmrev _2c12</f>
        <v>0</v>
      </c>
      <c r="DQ111" s="467">
        <f>DP111</f>
        <v>0</v>
      </c>
      <c r="DR111" s="472"/>
      <c r="DS111" s="42">
        <f>DS11/ltmrev _3c11</f>
        <v>0</v>
      </c>
      <c r="DT111" s="42">
        <f>DT11/ltmrev _4c11</f>
        <v>0</v>
      </c>
      <c r="DU111" s="42">
        <v>0</v>
      </c>
      <c r="DV111" s="42">
        <f>DV11/ltmrev _2c13</f>
        <v>0</v>
      </c>
      <c r="DW111" s="467">
        <f>DV111</f>
        <v>0</v>
      </c>
      <c r="DX111" s="472"/>
      <c r="DY111" s="42">
        <f>DY11/ltmrev _3c13</f>
        <v>0</v>
      </c>
      <c r="DZ111" s="42">
        <f>DZ11/ltmrev _4c13</f>
        <v>0</v>
      </c>
      <c r="EA111" s="42">
        <v>0</v>
      </c>
      <c r="EB111" s="42">
        <f>EB11/ltmrev _2c14</f>
        <v>0</v>
      </c>
      <c r="EC111" s="467">
        <f>EB111</f>
        <v>0</v>
      </c>
      <c r="ED111" s="472"/>
      <c r="EE111" s="42">
        <f>EE11/ltmrev _3c14</f>
        <v>0</v>
      </c>
      <c r="EF111" s="42">
        <f>EF11/ltmrev _4c14</f>
        <v>0</v>
      </c>
      <c r="EG111" s="42">
        <v>0</v>
      </c>
      <c r="EH111" s="42">
        <f>EH11/Model!EH365</f>
        <v>0</v>
      </c>
      <c r="EI111" s="467">
        <f>EH111</f>
        <v>0</v>
      </c>
      <c r="EJ111" s="472"/>
      <c r="EK111" s="42">
        <f>EK11/Model!EK365</f>
        <v>0</v>
      </c>
      <c r="EL111" s="42">
        <f>EL11/Model!EL365</f>
        <v>0</v>
      </c>
      <c r="EM111" s="42">
        <f>EM11/Model!EM365</f>
        <v>0</v>
      </c>
      <c r="EN111" s="42">
        <f>EN11/Model!EN365</f>
        <v>0</v>
      </c>
      <c r="EO111" s="467">
        <f>EN111</f>
        <v>0</v>
      </c>
      <c r="EP111" s="472"/>
      <c r="EQ111" s="42">
        <f>EQ11/Model!EQ365</f>
        <v>0</v>
      </c>
      <c r="ER111" s="42">
        <f>ER11/Model!ER365</f>
        <v>0</v>
      </c>
      <c r="ES111" s="42">
        <f>ES11/Model!ES365</f>
        <v>0</v>
      </c>
      <c r="ET111" s="42">
        <f>ET11/Model!ET365</f>
        <v>0</v>
      </c>
      <c r="EU111" s="467">
        <f t="shared" ref="EU111:EU112" si="132">ET111</f>
        <v>0</v>
      </c>
      <c r="EV111" s="472"/>
      <c r="EW111" s="42">
        <f>EW11/Model!EW365</f>
        <v>0</v>
      </c>
      <c r="EX111" s="42">
        <f>EX11/Model!EX365</f>
        <v>0</v>
      </c>
      <c r="EY111" s="42">
        <f>EY11/Model!EY365</f>
        <v>0</v>
      </c>
      <c r="EZ111" s="1005">
        <f t="shared" ref="EZ111:FA112" si="133">EY111</f>
        <v>0</v>
      </c>
      <c r="FA111" s="467">
        <f t="shared" si="133"/>
        <v>0</v>
      </c>
      <c r="FB111" s="472"/>
      <c r="FC111" s="1005">
        <f>EZ111</f>
        <v>0</v>
      </c>
      <c r="FD111" s="1005">
        <f t="shared" ref="FD111:FG112" si="134">FC111</f>
        <v>0</v>
      </c>
      <c r="FE111" s="1005">
        <f t="shared" si="134"/>
        <v>0</v>
      </c>
      <c r="FF111" s="1005">
        <f t="shared" si="134"/>
        <v>0</v>
      </c>
      <c r="FG111" s="467">
        <f t="shared" si="134"/>
        <v>0</v>
      </c>
      <c r="FH111" s="472"/>
      <c r="FI111" s="1005">
        <f>FF111</f>
        <v>0</v>
      </c>
      <c r="FJ111" s="1005">
        <f t="shared" ref="FJ111:FJ112" si="135">FI111</f>
        <v>0</v>
      </c>
      <c r="FK111" s="1005">
        <f t="shared" ref="FK111:FK112" si="136">FJ111</f>
        <v>0</v>
      </c>
      <c r="FL111" s="1005">
        <f t="shared" ref="FL111:FL112" si="137">FK111</f>
        <v>0</v>
      </c>
      <c r="FM111" s="467">
        <f t="shared" ref="FM111:FM112" si="138">FL111</f>
        <v>0</v>
      </c>
      <c r="FN111" s="215"/>
      <c r="FO111" s="215"/>
      <c r="FP111" s="215"/>
      <c r="FQ111" s="215"/>
      <c r="FR111"/>
      <c r="FS111"/>
      <c r="FT111"/>
      <c r="FU111"/>
      <c r="FV111"/>
      <c r="FW111"/>
      <c r="FX111" s="215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</row>
    <row r="112" spans="1:274" s="24" customFormat="1" ht="10.5" customHeight="1" x14ac:dyDescent="0.2">
      <c r="A112" s="247" t="s">
        <v>896</v>
      </c>
      <c r="B112" s="20"/>
      <c r="C112" s="250" t="s">
        <v>945</v>
      </c>
      <c r="D112" s="42">
        <f>D14/rev _fy85</f>
        <v>1.2612846097360806E-2</v>
      </c>
      <c r="E112" s="42">
        <f>E14/rev _fy86</f>
        <v>2.2657873339958442E-2</v>
      </c>
      <c r="F112" s="42">
        <f>F14/rev _fy87</f>
        <v>1.7996327591067361E-2</v>
      </c>
      <c r="G112" s="42">
        <f>G14/rev _fy88</f>
        <v>1.3611566996203648E-2</v>
      </c>
      <c r="H112" s="42">
        <f>H14/rev _fy89</f>
        <v>1.60602946214457E-2</v>
      </c>
      <c r="I112" s="42">
        <f>I14/rev _fy90</f>
        <v>2.4508124270234289E-2</v>
      </c>
      <c r="J112" s="42">
        <f>J14/rev _fy91</f>
        <v>2.5842721769270653E-2</v>
      </c>
      <c r="K112" s="42">
        <f>K14/rev _fy92</f>
        <v>2.2854113655640374E-2</v>
      </c>
      <c r="L112" s="42">
        <f>L14/rev _fy93</f>
        <v>1.9817697937458419E-2</v>
      </c>
      <c r="M112" s="42">
        <f>M14/rev _fy94</f>
        <v>2.0698129622661404E-2</v>
      </c>
      <c r="N112" s="36"/>
      <c r="O112" s="42" t="s">
        <v>945</v>
      </c>
      <c r="P112" s="42" t="s">
        <v>945</v>
      </c>
      <c r="Q112" s="42" t="s">
        <v>945</v>
      </c>
      <c r="R112" s="473">
        <f>R14/ltmrev _2c95</f>
        <v>4.5667870401142216E-2</v>
      </c>
      <c r="S112" s="42">
        <f>R112</f>
        <v>4.5667870401142216E-2</v>
      </c>
      <c r="T112" s="36"/>
      <c r="U112" s="42">
        <f>U14/ltmrev _3c95</f>
        <v>3.8730981359792117E-2</v>
      </c>
      <c r="V112" s="42">
        <f>V14/ltmrev _4c95</f>
        <v>3.7835229080690688E-2</v>
      </c>
      <c r="W112" s="42">
        <f>W14/ltmrev _1c96</f>
        <v>3.7712199963938882E-2</v>
      </c>
      <c r="X112" s="42">
        <f>X14/ltmrev _2c96</f>
        <v>4.0624032112781178E-2</v>
      </c>
      <c r="Y112" s="42">
        <f>X112</f>
        <v>4.0624032112781178E-2</v>
      </c>
      <c r="Z112" s="466"/>
      <c r="AA112" s="42">
        <f>AA14/ltmrev _3c96</f>
        <v>3.7507283010690042E-2</v>
      </c>
      <c r="AB112" s="42">
        <f>AB14/ltmrev _4c96</f>
        <v>3.8258417637770596E-2</v>
      </c>
      <c r="AC112" s="42">
        <f>AC14/ltmrev _1c97</f>
        <v>4.0543775751728864E-2</v>
      </c>
      <c r="AD112" s="42">
        <f>AD14/ltmrev _2c97</f>
        <v>4.2761370897146128E-2</v>
      </c>
      <c r="AE112" s="42">
        <f>AD112</f>
        <v>4.2761370897146128E-2</v>
      </c>
      <c r="AF112" s="466"/>
      <c r="AG112" s="42">
        <f>AG14/ltmrev _3c97</f>
        <v>3.288303563914749E-2</v>
      </c>
      <c r="AH112" s="42">
        <f>AH14/ltmrev _4c97</f>
        <v>3.3416999844047446E-2</v>
      </c>
      <c r="AI112" s="42">
        <f>AI14/ltmrev _1c98</f>
        <v>3.4974547646377793E-2</v>
      </c>
      <c r="AJ112" s="42">
        <f>AJ14/ltmrev _2c98</f>
        <v>1.0946875395881642E-2</v>
      </c>
      <c r="AK112" s="42">
        <f>AJ112</f>
        <v>1.0946875395881642E-2</v>
      </c>
      <c r="AL112" s="466"/>
      <c r="AM112" s="42">
        <f>AM14/ltmrev _3c98</f>
        <v>3.0096301946253842E-2</v>
      </c>
      <c r="AN112" s="42">
        <f>AN14/ltmrev _4c98</f>
        <v>3.271517595731252E-2</v>
      </c>
      <c r="AO112" s="42">
        <f>AO14/ltmrev _1c99</f>
        <v>3.2671502183986144E-2</v>
      </c>
      <c r="AP112" s="42">
        <f>AP14/ltmrev _2c99</f>
        <v>1.1990594581416729E-2</v>
      </c>
      <c r="AQ112" s="42">
        <f>AP112</f>
        <v>1.1990594581416729E-2</v>
      </c>
      <c r="AR112" s="466"/>
      <c r="AS112" s="42">
        <f>AS14/ltmrev _3c99</f>
        <v>1.0434134176294177E-2</v>
      </c>
      <c r="AT112" s="42">
        <f>AT14/ltmrev _4c99</f>
        <v>1.0359112912787108E-2</v>
      </c>
      <c r="AU112" s="42">
        <f>AU14/ltmrev _1c00</f>
        <v>1.0763889748075493E-2</v>
      </c>
      <c r="AV112" s="42">
        <f>AV14/ltmrev _2c00</f>
        <v>1.1681984669887685E-2</v>
      </c>
      <c r="AW112" s="42">
        <f>AV112</f>
        <v>1.1681984669887685E-2</v>
      </c>
      <c r="AX112" s="466"/>
      <c r="AY112" s="42">
        <f>AY14/ltmrev _3c00</f>
        <v>1.1796116835191064E-2</v>
      </c>
      <c r="AZ112" s="42">
        <f>AZ14/ltmrev _4c00</f>
        <v>4.922445816534126E-2</v>
      </c>
      <c r="BA112" s="42">
        <f>BA14/ltmrev _1c01</f>
        <v>4.7233659508770294E-2</v>
      </c>
      <c r="BB112" s="42">
        <f>BB14/ltmrev _2c01</f>
        <v>8.1199252747910441E-3</v>
      </c>
      <c r="BC112" s="42">
        <f>BB112</f>
        <v>8.1199252747910441E-3</v>
      </c>
      <c r="BD112" s="466"/>
      <c r="BE112" s="42">
        <f>BE14/ltmrev _3c01</f>
        <v>1.0188105328744337E-2</v>
      </c>
      <c r="BF112" s="42">
        <f>BF14/ltmrev _4c01</f>
        <v>1.4141464875509133E-2</v>
      </c>
      <c r="BG112" s="42">
        <f>BG14/ltmrev _1c02</f>
        <v>1.195166336540766E-2</v>
      </c>
      <c r="BH112" s="42">
        <f>BH14/ltmrev _2c02</f>
        <v>1.0958572151807653E-2</v>
      </c>
      <c r="BI112" s="42">
        <f>BH112</f>
        <v>1.0958572151807653E-2</v>
      </c>
      <c r="BJ112" s="215"/>
      <c r="BK112" s="42">
        <f>BK14/ltmrev _3c02</f>
        <v>1.3565446603116789E-2</v>
      </c>
      <c r="BL112" s="42">
        <f>BL14/ltmrev _4c02</f>
        <v>1.3348567074040018E-2</v>
      </c>
      <c r="BM112" s="42">
        <f>BM14/ltmrev _1c03</f>
        <v>1.1042706499407888E-2</v>
      </c>
      <c r="BN112" s="42">
        <f>BN14/ltmrev _2c03</f>
        <v>1.1186862823733035E-2</v>
      </c>
      <c r="BO112" s="42">
        <f>BN112</f>
        <v>1.1186862823733035E-2</v>
      </c>
      <c r="BP112" s="36"/>
      <c r="BQ112" s="42">
        <f>BQ14/ltmrev _3c03</f>
        <v>1.134525285207051E-2</v>
      </c>
      <c r="BR112" s="42">
        <f>BR14/ltmrev _4c03</f>
        <v>1.194841580487001E-2</v>
      </c>
      <c r="BS112" s="42">
        <f>BS14/ltmrev _1c04</f>
        <v>1.1402163383919924E-2</v>
      </c>
      <c r="BT112" s="42">
        <f>BT14/ltmrev _2c04</f>
        <v>1.1224891689641591E-2</v>
      </c>
      <c r="BU112" s="42">
        <f>BT112</f>
        <v>1.1224891689641591E-2</v>
      </c>
      <c r="BV112" s="36"/>
      <c r="BW112" s="42">
        <f>BW14/ltmrev _3c04</f>
        <v>1.1360326245266531E-2</v>
      </c>
      <c r="BX112" s="42">
        <f>BX14/ltmrev _4c04</f>
        <v>8.9987685895614282E-3</v>
      </c>
      <c r="BY112" s="42">
        <f>BY14/ltmrev _1c05</f>
        <v>3.0966699578134818E-2</v>
      </c>
      <c r="BZ112" s="42">
        <f>BZ14/ltmrev _2c05</f>
        <v>2.401188216849575E-2</v>
      </c>
      <c r="CA112" s="42">
        <f>BZ112</f>
        <v>2.401188216849575E-2</v>
      </c>
      <c r="CB112" s="36"/>
      <c r="CC112" s="42">
        <f>CC14/ltmrev _3c05</f>
        <v>1.8265553040355945E-2</v>
      </c>
      <c r="CD112" s="42">
        <f>CD14/ltmrev _4c05</f>
        <v>1.3904379507770095E-2</v>
      </c>
      <c r="CE112" s="42">
        <f>CE14/ltmrev _1c06</f>
        <v>1.6702182802511088E-2</v>
      </c>
      <c r="CF112" s="42">
        <f>CF14/ltmrev _2c06</f>
        <v>1.5908044732067909E-2</v>
      </c>
      <c r="CG112" s="467">
        <f>CF112</f>
        <v>1.5908044732067909E-2</v>
      </c>
      <c r="CH112" s="36"/>
      <c r="CI112" s="42">
        <f>CI14/ltmrev _3c06</f>
        <v>2.0674464138499587E-2</v>
      </c>
      <c r="CJ112" s="42">
        <f>CJ14/ltmrev _4c06</f>
        <v>1.8044579286046341E-2</v>
      </c>
      <c r="CK112" s="42">
        <f>CK14/ltmrev _1c07</f>
        <v>1.6567224700225917E-2</v>
      </c>
      <c r="CL112" s="42">
        <f>CL14/ltmrev _2c07</f>
        <v>1.6804876709319568E-2</v>
      </c>
      <c r="CM112" s="467">
        <f>CL112</f>
        <v>1.6804876709319568E-2</v>
      </c>
      <c r="CN112" s="36"/>
      <c r="CO112" s="42">
        <f>CO14/ltmrev _3c07</f>
        <v>3.7302126325688315E-2</v>
      </c>
      <c r="CP112" s="42">
        <f>CP14/ltmrev _4c07</f>
        <v>4.4013997732761594E-2</v>
      </c>
      <c r="CQ112" s="42">
        <f>CQ14/ltmrev _1c08</f>
        <v>4.8371128188204236E-2</v>
      </c>
      <c r="CR112" s="42">
        <f>CR14/ltmrev _2c08</f>
        <v>4.7768587730549782E-2</v>
      </c>
      <c r="CS112" s="467">
        <f>CR112</f>
        <v>4.7768587730549782E-2</v>
      </c>
      <c r="CT112" s="232"/>
      <c r="CU112" s="42">
        <f>CU14/ltmrev _3c08</f>
        <v>2.8372728048468299E-2</v>
      </c>
      <c r="CV112" s="42">
        <f>CV14/ltmrev _4c08</f>
        <v>2.5461891334539792E-2</v>
      </c>
      <c r="CW112" s="42">
        <f>CW14/ltmrev _1c09</f>
        <v>2.7496442621578639E-2</v>
      </c>
      <c r="CX112" s="42">
        <f>CX14/ltmrev _2c09</f>
        <v>3.686047501489742E-2</v>
      </c>
      <c r="CY112" s="467">
        <f>CX112</f>
        <v>3.686047501489742E-2</v>
      </c>
      <c r="CZ112" s="232"/>
      <c r="DA112" s="42">
        <f>DA14/ltmrev _3c09</f>
        <v>2.5329587205532744E-2</v>
      </c>
      <c r="DB112" s="42">
        <f>DB14/ltmrev _4c09</f>
        <v>2.8387650085763293E-2</v>
      </c>
      <c r="DC112" s="42">
        <f>DC14/ltmrev _1c10</f>
        <v>5.3488927503767693E-2</v>
      </c>
      <c r="DD112" s="42">
        <f>DD14/ltmrev _2c10</f>
        <v>5.6666444735420964E-2</v>
      </c>
      <c r="DE112" s="467">
        <f>DD112</f>
        <v>5.6666444735420964E-2</v>
      </c>
      <c r="DF112" s="232"/>
      <c r="DG112" s="42">
        <f>DG14/ltmrev _3c10</f>
        <v>5.1724604538504214E-2</v>
      </c>
      <c r="DH112" s="42">
        <f>DH14/ltmrev _4c10</f>
        <v>6.2286921290577592E-2</v>
      </c>
      <c r="DI112" s="42">
        <f>DI14/ltmrev _1c11</f>
        <v>6.1635944700460826E-2</v>
      </c>
      <c r="DJ112" s="42">
        <f>DJ14/ltmrev _2c11</f>
        <v>6.1457027441147789E-2</v>
      </c>
      <c r="DK112" s="467">
        <f>DJ112</f>
        <v>6.1457027441147789E-2</v>
      </c>
      <c r="DL112" s="232"/>
      <c r="DM112" s="42">
        <f>DM14/ltmrev _3c11</f>
        <v>4.9884211960223405E-2</v>
      </c>
      <c r="DN112" s="42">
        <f>DN14/ltmrev _4c11</f>
        <v>4.2881972733691813E-2</v>
      </c>
      <c r="DO112" s="42">
        <f>DO14/ltmrev _1c12</f>
        <v>4.5256753483540156E-2</v>
      </c>
      <c r="DP112" s="42">
        <f>DP14/ltmrev _2c12</f>
        <v>5.1986084848399269E-2</v>
      </c>
      <c r="DQ112" s="467">
        <f>DP112</f>
        <v>5.1986084848399269E-2</v>
      </c>
      <c r="DR112" s="232"/>
      <c r="DS112" s="42">
        <f>DS14/ltmrev _3c11</f>
        <v>4.710529900558507E-2</v>
      </c>
      <c r="DT112" s="42">
        <f>DT14/ltmrev _4c11</f>
        <v>5.3663570691434466E-2</v>
      </c>
      <c r="DU112" s="42">
        <f>DU14/ltmrev _1c13</f>
        <v>5.5582168614136514E-2</v>
      </c>
      <c r="DV112" s="42">
        <f>DV14/ltmrev _2c13</f>
        <v>5.9404611709124096E-2</v>
      </c>
      <c r="DW112" s="467">
        <f>DV112</f>
        <v>5.9404611709124096E-2</v>
      </c>
      <c r="DX112" s="232"/>
      <c r="DY112" s="42">
        <f>DY14/ltmrev _3c13</f>
        <v>4.6038744154976621E-2</v>
      </c>
      <c r="DZ112" s="42">
        <f>DZ14/ltmrev _4c13</f>
        <v>5.0246043356829369E-2</v>
      </c>
      <c r="EA112" s="42">
        <f>EA14/ltmrev _1c14</f>
        <v>4.9261992619926198E-2</v>
      </c>
      <c r="EB112" s="42">
        <f>EB14/ltmrev _2c14</f>
        <v>5.5580211460644825E-2</v>
      </c>
      <c r="EC112" s="467">
        <f>EB112</f>
        <v>5.5580211460644825E-2</v>
      </c>
      <c r="ED112" s="232"/>
      <c r="EE112" s="42">
        <f>EE14/ltmrev _3c14</f>
        <v>5.2306414349868907E-2</v>
      </c>
      <c r="EF112" s="42">
        <f>EF14/ltmrev _4c14</f>
        <v>4.8033360790774297E-2</v>
      </c>
      <c r="EG112" s="42">
        <f>EG14/ltmrev _1c15</f>
        <v>5.4622173051689094E-2</v>
      </c>
      <c r="EH112" s="42">
        <f>EH14/Model!EH365</f>
        <v>5.8034663947925655E-2</v>
      </c>
      <c r="EI112" s="467">
        <f>EH112</f>
        <v>5.8034663947925655E-2</v>
      </c>
      <c r="EJ112" s="232"/>
      <c r="EK112" s="42">
        <f>EK14/Model!EK365</f>
        <v>4.7106678913528412E-2</v>
      </c>
      <c r="EL112" s="42">
        <f>EL14/Model!EL365</f>
        <v>5.57170671858747E-2</v>
      </c>
      <c r="EM112" s="42">
        <f>EM14/Model!EM365</f>
        <v>6.0420197455142176E-2</v>
      </c>
      <c r="EN112" s="42">
        <f>EN14/Model!EN365</f>
        <v>6.9919313490028875E-2</v>
      </c>
      <c r="EO112" s="467">
        <f>EN112</f>
        <v>6.9919313490028875E-2</v>
      </c>
      <c r="EP112" s="232"/>
      <c r="EQ112" s="42">
        <f>EQ14/Model!EQ365</f>
        <v>6.346221016147667E-2</v>
      </c>
      <c r="ER112" s="42">
        <f>ER14/Model!ER365</f>
        <v>6.7332068030326514E-2</v>
      </c>
      <c r="ES112" s="42">
        <f>ES14/Model!ES365</f>
        <v>6.7824539221863198E-2</v>
      </c>
      <c r="ET112" s="42">
        <f>ET14/Model!ET365</f>
        <v>7.4859266162820098E-2</v>
      </c>
      <c r="EU112" s="467">
        <f t="shared" si="132"/>
        <v>7.4859266162820098E-2</v>
      </c>
      <c r="EV112" s="232"/>
      <c r="EW112" s="42">
        <f>EW14/Model!EW365</f>
        <v>6.5849663270538469E-2</v>
      </c>
      <c r="EX112" s="42">
        <f>EX14/Model!EX365</f>
        <v>6.9923445221087135E-2</v>
      </c>
      <c r="EY112" s="42">
        <f>EY14/Model!EY365</f>
        <v>7.2777370509871334E-2</v>
      </c>
      <c r="EZ112" s="468">
        <f t="shared" si="133"/>
        <v>7.2777370509871334E-2</v>
      </c>
      <c r="FA112" s="467">
        <f t="shared" si="133"/>
        <v>7.2777370509871334E-2</v>
      </c>
      <c r="FB112" s="232"/>
      <c r="FC112" s="468">
        <f>EZ112</f>
        <v>7.2777370509871334E-2</v>
      </c>
      <c r="FD112" s="468">
        <f t="shared" si="134"/>
        <v>7.2777370509871334E-2</v>
      </c>
      <c r="FE112" s="468">
        <f t="shared" si="134"/>
        <v>7.2777370509871334E-2</v>
      </c>
      <c r="FF112" s="468">
        <f t="shared" si="134"/>
        <v>7.2777370509871334E-2</v>
      </c>
      <c r="FG112" s="467">
        <f t="shared" si="134"/>
        <v>7.2777370509871334E-2</v>
      </c>
      <c r="FH112" s="232"/>
      <c r="FI112" s="468">
        <f>FF112</f>
        <v>7.2777370509871334E-2</v>
      </c>
      <c r="FJ112" s="468">
        <f t="shared" si="135"/>
        <v>7.2777370509871334E-2</v>
      </c>
      <c r="FK112" s="468">
        <f t="shared" si="136"/>
        <v>7.2777370509871334E-2</v>
      </c>
      <c r="FL112" s="468">
        <f t="shared" si="137"/>
        <v>7.2777370509871334E-2</v>
      </c>
      <c r="FM112" s="467">
        <f t="shared" si="138"/>
        <v>7.2777370509871334E-2</v>
      </c>
      <c r="FN112" s="215"/>
      <c r="FO112" s="215"/>
      <c r="FP112" s="215"/>
      <c r="FQ112" s="215"/>
      <c r="FR112"/>
      <c r="FS112"/>
      <c r="FT112"/>
      <c r="FU112"/>
      <c r="FV112"/>
      <c r="FW112"/>
      <c r="FX112" s="215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</row>
    <row r="113" spans="1:274" s="24" customFormat="1" ht="10.5" customHeight="1" x14ac:dyDescent="0.2">
      <c r="A113" s="247" t="s">
        <v>897</v>
      </c>
      <c r="B113" s="20"/>
      <c r="C113" s="250" t="s">
        <v>945</v>
      </c>
      <c r="D113" s="42">
        <f>D20/rev _fy85</f>
        <v>4.3626625199775393E-2</v>
      </c>
      <c r="E113" s="42">
        <f>E20/rev _fy86</f>
        <v>3.26136055650917E-2</v>
      </c>
      <c r="F113" s="42">
        <f>F20/rev _fy87</f>
        <v>2.2400170667966995E-2</v>
      </c>
      <c r="G113" s="42">
        <f>G20/rev _fy88</f>
        <v>1.1580465983488886E-2</v>
      </c>
      <c r="H113" s="42">
        <f>H20/rev _fy89</f>
        <v>2.5486467968482359E-2</v>
      </c>
      <c r="I113" s="42">
        <f>I20/rev _fy90</f>
        <v>1.3803075109942272E-2</v>
      </c>
      <c r="J113" s="42">
        <f>J20/rev _fy91</f>
        <v>1.1917906433101252E-2</v>
      </c>
      <c r="K113" s="42">
        <f>K20/rev _fy92</f>
        <v>1.203223070398643E-2</v>
      </c>
      <c r="L113" s="42">
        <f>L20/rev _fy93</f>
        <v>1.3053226879574185E-2</v>
      </c>
      <c r="M113" s="42">
        <f>M20/rev _fy94</f>
        <v>2.0268376086314502E-2</v>
      </c>
      <c r="N113" s="36"/>
      <c r="O113" s="42" t="s">
        <v>945</v>
      </c>
      <c r="P113" s="42" t="s">
        <v>945</v>
      </c>
      <c r="Q113" s="42" t="s">
        <v>945</v>
      </c>
      <c r="R113" s="473">
        <f>R20/ltmrev _2c95</f>
        <v>5.8119680013805755E-2</v>
      </c>
      <c r="S113" s="42">
        <f>R113</f>
        <v>5.8119680013805755E-2</v>
      </c>
      <c r="T113" s="36"/>
      <c r="U113" s="42">
        <f>U20/ltmrev _3c95</f>
        <v>7.8011267023169753E-2</v>
      </c>
      <c r="V113" s="42">
        <f>V20/ltmrev _4c95</f>
        <v>6.5814545691818202E-2</v>
      </c>
      <c r="W113" s="42">
        <f>W20/ltmrev _1c96</f>
        <v>6.2414596439798457E-2</v>
      </c>
      <c r="X113" s="42">
        <f>X20/ltmrev _2c96</f>
        <v>5.824822240260509E-2</v>
      </c>
      <c r="Y113" s="42">
        <f>X113</f>
        <v>5.824822240260509E-2</v>
      </c>
      <c r="Z113" s="466"/>
      <c r="AA113" s="42">
        <f>AA20/ltmrev _3c96</f>
        <v>5.5601345758267993E-2</v>
      </c>
      <c r="AB113" s="42">
        <f>AB20/ltmrev _4c96</f>
        <v>2.0384673695674822E-2</v>
      </c>
      <c r="AC113" s="42">
        <f>AC20/ltmrev _1c97</f>
        <v>5.0001163376746191E-2</v>
      </c>
      <c r="AD113" s="42">
        <f>AD20/ltmrev _2c97</f>
        <v>4.7314761126013662E-2</v>
      </c>
      <c r="AE113" s="42">
        <f>AD113</f>
        <v>4.7314761126013662E-2</v>
      </c>
      <c r="AF113" s="466"/>
      <c r="AG113" s="42">
        <f>AG20/ltmrev _3c97</f>
        <v>5.00802803605159E-2</v>
      </c>
      <c r="AH113" s="42">
        <f>AH20/ltmrev _4c97</f>
        <v>4.9572447260510105E-2</v>
      </c>
      <c r="AI113" s="42">
        <f>AI20/ltmrev _1c98</f>
        <v>4.6949976966297442E-2</v>
      </c>
      <c r="AJ113" s="42">
        <f>AJ20/ltmrev _2c98</f>
        <v>3.8646866927076591E-2</v>
      </c>
      <c r="AK113" s="42">
        <f>AJ113</f>
        <v>3.8646866927076591E-2</v>
      </c>
      <c r="AL113" s="466"/>
      <c r="AM113" s="42">
        <f>AM20/ltmrev _3c98</f>
        <v>4.0997471208364215E-2</v>
      </c>
      <c r="AN113" s="42">
        <f>AN20/ltmrev _4c98</f>
        <v>4.155735289022696E-2</v>
      </c>
      <c r="AO113" s="42">
        <f>AO20/ltmrev _1c99</f>
        <v>0</v>
      </c>
      <c r="AP113" s="42">
        <f>AP20/ltmrev _2c99</f>
        <v>0</v>
      </c>
      <c r="AQ113" s="42">
        <f>AP113</f>
        <v>0</v>
      </c>
      <c r="AR113" s="466"/>
      <c r="AS113" s="42">
        <f>AS20/ltmrev _3c99</f>
        <v>0</v>
      </c>
      <c r="AT113" s="42">
        <f>AT20/ltmrev _4c99</f>
        <v>0</v>
      </c>
      <c r="AU113" s="42">
        <f>AU20/ltmrev _1c00</f>
        <v>0</v>
      </c>
      <c r="AV113" s="42">
        <f>AV20/ltmrev _2c00</f>
        <v>0</v>
      </c>
      <c r="AW113" s="42">
        <f>AV113</f>
        <v>0</v>
      </c>
      <c r="AX113" s="466"/>
      <c r="AY113" s="42">
        <f>AY20/ltmrev _3c00</f>
        <v>0</v>
      </c>
      <c r="AZ113" s="42">
        <f>AZ20/ltmrev _4c00</f>
        <v>2.6821686129299454E-2</v>
      </c>
      <c r="BA113" s="42">
        <f>BA20/ltmrev _1c01</f>
        <v>2.3660606122063905E-2</v>
      </c>
      <c r="BB113" s="42">
        <f>BB20/ltmrev _2c01</f>
        <v>3.4304403408105991E-2</v>
      </c>
      <c r="BC113" s="42">
        <f>BB113</f>
        <v>3.4304403408105991E-2</v>
      </c>
      <c r="BD113" s="466"/>
      <c r="BE113" s="42">
        <f>BE20/ltmrev _3c01</f>
        <v>3.6262560278594647E-2</v>
      </c>
      <c r="BF113" s="42">
        <f>BF20/ltmrev _4c01</f>
        <v>3.7449312363757578E-2</v>
      </c>
      <c r="BG113" s="42">
        <f>BG20/ltmrev _1c02</f>
        <v>3.8901890874529714E-2</v>
      </c>
      <c r="BH113" s="42">
        <f>BH20/ltmrev _2c02</f>
        <v>2.4088182182747012E-2</v>
      </c>
      <c r="BI113" s="42">
        <f>BH113</f>
        <v>2.4088182182747012E-2</v>
      </c>
      <c r="BJ113" s="215"/>
      <c r="BK113" s="42">
        <f>BK20/ltmrev _3c02</f>
        <v>2.5753152535604531E-2</v>
      </c>
      <c r="BL113" s="42">
        <f>BL20/ltmrev _4c02</f>
        <v>2.4774940489418272E-2</v>
      </c>
      <c r="BM113" s="42">
        <f>BM20/ltmrev _1c03</f>
        <v>2.3784290921801607E-2</v>
      </c>
      <c r="BN113" s="42">
        <f>BN20/ltmrev _2c03</f>
        <v>2.0790679021466113E-2</v>
      </c>
      <c r="BO113" s="42">
        <f>BN113</f>
        <v>2.0790679021466113E-2</v>
      </c>
      <c r="BP113" s="36"/>
      <c r="BQ113" s="42">
        <f>BQ20/ltmrev _3c03</f>
        <v>2.069458159127676E-2</v>
      </c>
      <c r="BR113" s="42">
        <f>BR20/ltmrev _4c03</f>
        <v>1.6686580693008116E-2</v>
      </c>
      <c r="BS113" s="42">
        <f>BS20/ltmrev _1c04</f>
        <v>1.664917662253794E-2</v>
      </c>
      <c r="BT113" s="42">
        <f>BT20/ltmrev _2c04</f>
        <v>9.0586845214651445E-3</v>
      </c>
      <c r="BU113" s="42">
        <f>BT113</f>
        <v>9.0586845214651445E-3</v>
      </c>
      <c r="BV113" s="36"/>
      <c r="BW113" s="42">
        <f>BW20/ltmrev _3c04</f>
        <v>5.049033886785125E-3</v>
      </c>
      <c r="BX113" s="42">
        <f>BX20/ltmrev _4c04</f>
        <v>7.6726342710997444E-3</v>
      </c>
      <c r="BY113" s="42">
        <f>BY20/ltmrev _1c05</f>
        <v>3.8685934835293062E-2</v>
      </c>
      <c r="BZ113" s="42">
        <f>BZ20/ltmrev _2c05</f>
        <v>3.4738839838270481E-2</v>
      </c>
      <c r="CA113" s="42">
        <f>BZ113</f>
        <v>3.4738839838270481E-2</v>
      </c>
      <c r="CB113" s="36"/>
      <c r="CC113" s="42">
        <f>CC20/ltmrev _3c05</f>
        <v>3.4969947701194284E-2</v>
      </c>
      <c r="CD113" s="42">
        <f>CD20/ltmrev _4c05</f>
        <v>8.0229013309539743E-2</v>
      </c>
      <c r="CE113" s="42">
        <f>CE20/ltmrev _1c06</f>
        <v>8.005528998444969E-2</v>
      </c>
      <c r="CF113" s="42">
        <f>CF20/ltmrev _2c06</f>
        <v>8.982968238065582E-2</v>
      </c>
      <c r="CG113" s="467">
        <f>CF113</f>
        <v>8.982968238065582E-2</v>
      </c>
      <c r="CH113" s="36"/>
      <c r="CI113" s="42">
        <f>CI20/ltmrev _3c06</f>
        <v>3.5487943116240726E-2</v>
      </c>
      <c r="CJ113" s="42">
        <f>CJ20/ltmrev _4c06</f>
        <v>3.5355141787575546E-2</v>
      </c>
      <c r="CK113" s="42">
        <f>CK20/ltmrev _1c07</f>
        <v>3.4292996582285816E-2</v>
      </c>
      <c r="CL113" s="42">
        <f>CL20/ltmrev _2c07</f>
        <v>3.5312208248668243E-2</v>
      </c>
      <c r="CM113" s="467">
        <f>CL113</f>
        <v>3.5312208248668243E-2</v>
      </c>
      <c r="CN113" s="36"/>
      <c r="CO113" s="42">
        <f>CO20/ltmrev _3c07</f>
        <v>5.3811190637897709E-2</v>
      </c>
      <c r="CP113" s="42">
        <f>CP20/ltmrev _4c07</f>
        <v>5.3920843806989006E-2</v>
      </c>
      <c r="CQ113" s="42">
        <f>CQ20/ltmrev _1c08</f>
        <v>4.3939465371741079E-2</v>
      </c>
      <c r="CR113" s="42">
        <f>CR20/ltmrev _2c08</f>
        <v>4.8255119642620192E-2</v>
      </c>
      <c r="CS113" s="467">
        <f>CR113</f>
        <v>4.8255119642620192E-2</v>
      </c>
      <c r="CT113" s="232"/>
      <c r="CU113" s="42">
        <f>CU20/ltmrev _3c08</f>
        <v>4.7060329379639901E-2</v>
      </c>
      <c r="CV113" s="42">
        <f>CV20/ltmrev _4c08</f>
        <v>4.4989688986153784E-2</v>
      </c>
      <c r="CW113" s="42">
        <f>CW20/ltmrev _1c09</f>
        <v>4.5115928685025529E-2</v>
      </c>
      <c r="CX113" s="42">
        <f>CX20/ltmrev _2c09</f>
        <v>3.413637524474334E-2</v>
      </c>
      <c r="CY113" s="467">
        <f>CX113</f>
        <v>3.413637524474334E-2</v>
      </c>
      <c r="CZ113" s="232"/>
      <c r="DA113" s="42">
        <f>DA20/ltmrev _3c09</f>
        <v>3.7864707153663281E-2</v>
      </c>
      <c r="DB113" s="42">
        <f>DB20/ltmrev _4c09</f>
        <v>4.1166380789022301E-2</v>
      </c>
      <c r="DC113" s="42">
        <f>DC20/ltmrev _1c10</f>
        <v>9.2854142818318816E-2</v>
      </c>
      <c r="DD113" s="42">
        <f>DD20/ltmrev _2c10</f>
        <v>7.6381337061778257E-2</v>
      </c>
      <c r="DE113" s="467">
        <f>DD113</f>
        <v>7.6381337061778257E-2</v>
      </c>
      <c r="DF113" s="232"/>
      <c r="DG113" s="42">
        <f>DG20/ltmrev _3c10</f>
        <v>7.2089687554972193E-2</v>
      </c>
      <c r="DH113" s="42">
        <f>DH20/ltmrev _4c10</f>
        <v>6.9018973269430309E-2</v>
      </c>
      <c r="DI113" s="42">
        <f>DI20/ltmrev _1c11</f>
        <v>7.3847926267281108E-2</v>
      </c>
      <c r="DJ113" s="42">
        <f>DJ20/ltmrev _2c11</f>
        <v>5.8253238612620141E-2</v>
      </c>
      <c r="DK113" s="467">
        <f>DJ113</f>
        <v>5.8253238612620141E-2</v>
      </c>
      <c r="DL113" s="232"/>
      <c r="DM113" s="42">
        <f>DM20/ltmrev _3c11</f>
        <v>6.0754665576896884E-2</v>
      </c>
      <c r="DN113" s="42">
        <f>DN20/ltmrev _4c11</f>
        <v>6.4689587746455918E-2</v>
      </c>
      <c r="DO113" s="42">
        <f>DO20/ltmrev _1c12</f>
        <v>7.0474312784559248E-2</v>
      </c>
      <c r="DP113" s="42">
        <f>DP20/ltmrev _2c12</f>
        <v>6.0851928776033251E-2</v>
      </c>
      <c r="DQ113" s="467">
        <f>DP113</f>
        <v>6.0851928776033251E-2</v>
      </c>
      <c r="DR113" s="232"/>
      <c r="DS113" s="42">
        <f>DS20/ltmrev _3c11</f>
        <v>7.3150796894156114E-2</v>
      </c>
      <c r="DT113" s="42">
        <f>DT20/ltmrev _4c11</f>
        <v>8.4297430883710819E-2</v>
      </c>
      <c r="DU113" s="42">
        <f>DU20/ltmrev _1c13</f>
        <v>7.9640923724410104E-2</v>
      </c>
      <c r="DV113" s="42">
        <f>DV20/ltmrev _2c13</f>
        <v>8.2785279037929829E-2</v>
      </c>
      <c r="DW113" s="467">
        <f>DV113</f>
        <v>8.2785279037929829E-2</v>
      </c>
      <c r="DX113" s="232"/>
      <c r="DY113" s="42">
        <f>DY20/ltmrev _3c13</f>
        <v>8.0641282565130257E-2</v>
      </c>
      <c r="DZ113" s="42">
        <f>DZ20/ltmrev _4c13</f>
        <v>8.3973932703816992E-2</v>
      </c>
      <c r="EA113" s="42">
        <f>EA20/ltmrev _1c14</f>
        <v>8.5028993147074322E-2</v>
      </c>
      <c r="EB113" s="42">
        <f>EB20/ltmrev _2c14</f>
        <v>8.7612583213679679E-2</v>
      </c>
      <c r="EC113" s="467">
        <f>EB113</f>
        <v>8.7612583213679679E-2</v>
      </c>
      <c r="ED113" s="232"/>
      <c r="EE113" s="42">
        <f>EE20/ltmrev _3c14</f>
        <v>8.1353996313890398E-2</v>
      </c>
      <c r="EF113" s="42">
        <f>EF20/ltmrev _4c14</f>
        <v>6.5537479406919272E-2</v>
      </c>
      <c r="EG113" s="42">
        <f>EG20/ltmrev _1c15</f>
        <v>7.7623691048961843E-2</v>
      </c>
      <c r="EH113" s="42">
        <f>EH20/Model!EH365</f>
        <v>9.2567903170993129E-2</v>
      </c>
      <c r="EI113" s="467">
        <f>EH113</f>
        <v>9.2567903170993129E-2</v>
      </c>
      <c r="EJ113" s="232"/>
      <c r="EK113" s="42">
        <f>EK20/Model!EK365</f>
        <v>9.4475790578664218E-2</v>
      </c>
      <c r="EL113" s="42">
        <f>EL20/Model!EL365</f>
        <v>9.5191102339103301E-2</v>
      </c>
      <c r="EM113" s="42">
        <f>EM20/Model!EM365</f>
        <v>9.7113496354881229E-2</v>
      </c>
      <c r="EN113" s="42">
        <f>EN20/Model!EN365</f>
        <v>9.8847721078338779E-2</v>
      </c>
      <c r="EO113" s="467">
        <f>EN113</f>
        <v>9.8847721078338779E-2</v>
      </c>
      <c r="EP113" s="232"/>
      <c r="EQ113" s="42">
        <f>EQ20/Model!EQ365</f>
        <v>9.5435127219968302E-2</v>
      </c>
      <c r="ER113" s="42">
        <f>ER20/Model!ER365</f>
        <v>0.10546277322312791</v>
      </c>
      <c r="ES113" s="42">
        <f>ES20/Model!ES365</f>
        <v>0.1067564105773261</v>
      </c>
      <c r="ET113" s="42">
        <f>ET20/Model!ET365</f>
        <v>0.11707809797829846</v>
      </c>
      <c r="EU113" s="467">
        <f>ET113</f>
        <v>0.11707809797829846</v>
      </c>
      <c r="EV113" s="232"/>
      <c r="EW113" s="42">
        <f>EW20/Model!EW365</f>
        <v>0.11611360742378973</v>
      </c>
      <c r="EX113" s="42">
        <f>EX20/Model!EX365</f>
        <v>0.11754615049799012</v>
      </c>
      <c r="EY113" s="42">
        <f>EY20/Model!EY365</f>
        <v>0.13144922773578704</v>
      </c>
      <c r="EZ113" s="42">
        <f>EZ20/Model!EZ365</f>
        <v>0.13062808377714055</v>
      </c>
      <c r="FA113" s="467">
        <f>EZ113</f>
        <v>0.13062808377714055</v>
      </c>
      <c r="FB113" s="232"/>
      <c r="FC113" s="42">
        <f>FC20/Model!FC365</f>
        <v>0.12953023488227863</v>
      </c>
      <c r="FD113" s="42">
        <f>FD20/Model!FD365</f>
        <v>0.1284047496058906</v>
      </c>
      <c r="FE113" s="42">
        <f>FE20/Model!FE365</f>
        <v>0.12741107121984033</v>
      </c>
      <c r="FF113" s="42">
        <f>FF20/Model!FF365</f>
        <v>0.12674708556590264</v>
      </c>
      <c r="FG113" s="467">
        <f>FF113</f>
        <v>0.12674708556590264</v>
      </c>
      <c r="FH113" s="232"/>
      <c r="FI113" s="42">
        <f>FI20/Model!FI365</f>
        <v>0.12555296348182243</v>
      </c>
      <c r="FJ113" s="42">
        <f>FJ20/Model!FJ365</f>
        <v>0.12446813563622099</v>
      </c>
      <c r="FK113" s="42">
        <f>FK20/Model!FK365</f>
        <v>0.12343940121438084</v>
      </c>
      <c r="FL113" s="42">
        <f>FL20/Model!FL365</f>
        <v>0.12264481870364292</v>
      </c>
      <c r="FM113" s="467">
        <f>FL113</f>
        <v>0.12264481870364292</v>
      </c>
      <c r="FN113" s="215"/>
      <c r="FO113" s="215"/>
      <c r="FP113" s="215"/>
      <c r="FQ113" s="215"/>
      <c r="FR113"/>
      <c r="FS113"/>
      <c r="FT113"/>
      <c r="FU113"/>
      <c r="FV113"/>
      <c r="FW113"/>
      <c r="FX113" s="215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</row>
    <row r="114" spans="1:274" s="24" customFormat="1" ht="5.25" customHeight="1" x14ac:dyDescent="0.2">
      <c r="A114" s="341"/>
      <c r="B114" s="20"/>
      <c r="C114" s="135"/>
      <c r="D114" s="135"/>
      <c r="E114" s="135"/>
      <c r="F114" s="135"/>
      <c r="G114" s="135"/>
      <c r="H114" s="135"/>
      <c r="I114" s="135"/>
      <c r="J114" s="135"/>
      <c r="K114" s="135"/>
      <c r="L114" s="135"/>
      <c r="M114" s="135"/>
      <c r="N114" s="135"/>
      <c r="O114" s="42"/>
      <c r="P114" s="42"/>
      <c r="Q114" s="42"/>
      <c r="R114" s="135"/>
      <c r="S114" s="135"/>
      <c r="T114" s="135"/>
      <c r="U114" s="135"/>
      <c r="V114" s="135"/>
      <c r="W114" s="135"/>
      <c r="X114" s="135"/>
      <c r="Y114" s="135"/>
      <c r="Z114" s="135"/>
      <c r="AA114" s="135"/>
      <c r="AB114" s="135"/>
      <c r="AC114" s="135"/>
      <c r="AD114" s="135"/>
      <c r="AE114" s="135"/>
      <c r="AF114" s="135"/>
      <c r="AG114" s="135"/>
      <c r="AH114" s="135"/>
      <c r="AI114" s="135"/>
      <c r="AJ114" s="135"/>
      <c r="AK114" s="135"/>
      <c r="AL114" s="135"/>
      <c r="AM114" s="135"/>
      <c r="AN114" s="135"/>
      <c r="AO114" s="135"/>
      <c r="AP114" s="135"/>
      <c r="AQ114" s="135"/>
      <c r="AR114" s="135"/>
      <c r="AS114" s="135"/>
      <c r="AT114" s="135"/>
      <c r="AU114" s="135"/>
      <c r="AV114" s="135"/>
      <c r="AW114" s="135"/>
      <c r="AX114" s="135"/>
      <c r="AY114" s="135"/>
      <c r="AZ114" s="135"/>
      <c r="BA114" s="135"/>
      <c r="BB114" s="135"/>
      <c r="BC114" s="135"/>
      <c r="BD114" s="135"/>
      <c r="BE114" s="135"/>
      <c r="BF114" s="135"/>
      <c r="BG114" s="135"/>
      <c r="BH114" s="135"/>
      <c r="BI114" s="135"/>
      <c r="BJ114" s="135"/>
      <c r="BK114" s="135"/>
      <c r="BL114" s="135"/>
      <c r="BM114" s="135"/>
      <c r="BN114" s="135"/>
      <c r="BO114" s="135"/>
      <c r="BP114" s="135"/>
      <c r="BQ114" s="135"/>
      <c r="BR114" s="135"/>
      <c r="BS114" s="135"/>
      <c r="BT114" s="135"/>
      <c r="BU114" s="135"/>
      <c r="BV114" s="135"/>
      <c r="BW114" s="135"/>
      <c r="BX114" s="135"/>
      <c r="BY114" s="135"/>
      <c r="BZ114" s="135"/>
      <c r="CA114" s="135"/>
      <c r="CB114" s="135"/>
      <c r="CC114" s="135"/>
      <c r="CD114" s="135"/>
      <c r="CE114" s="135"/>
      <c r="CF114" s="135"/>
      <c r="CG114" s="985"/>
      <c r="CH114" s="135"/>
      <c r="CI114" s="135"/>
      <c r="CJ114" s="135"/>
      <c r="CK114" s="135"/>
      <c r="CL114" s="135"/>
      <c r="CM114" s="985"/>
      <c r="CN114" s="135"/>
      <c r="CO114" s="135"/>
      <c r="CP114" s="135"/>
      <c r="CQ114" s="135"/>
      <c r="CR114" s="135"/>
      <c r="CS114" s="985"/>
      <c r="CT114" s="135"/>
      <c r="CU114" s="135"/>
      <c r="CV114" s="135"/>
      <c r="CW114" s="135"/>
      <c r="CX114" s="135"/>
      <c r="CY114" s="985"/>
      <c r="CZ114" s="135"/>
      <c r="DA114" s="135"/>
      <c r="DB114" s="135"/>
      <c r="DC114" s="135"/>
      <c r="DD114" s="135"/>
      <c r="DE114" s="985"/>
      <c r="DF114" s="135"/>
      <c r="DG114" s="135"/>
      <c r="DH114" s="135"/>
      <c r="DI114" s="135"/>
      <c r="DJ114" s="135"/>
      <c r="DK114" s="985"/>
      <c r="DL114" s="135"/>
      <c r="DM114" s="135"/>
      <c r="DN114" s="135"/>
      <c r="DO114" s="135"/>
      <c r="DP114" s="135"/>
      <c r="DQ114" s="985"/>
      <c r="DR114" s="135"/>
      <c r="DS114" s="135"/>
      <c r="DT114" s="135"/>
      <c r="DU114" s="135"/>
      <c r="DV114" s="135"/>
      <c r="DW114" s="985"/>
      <c r="DX114" s="135"/>
      <c r="DY114" s="135"/>
      <c r="DZ114" s="135"/>
      <c r="EA114" s="135"/>
      <c r="EB114" s="135"/>
      <c r="EC114" s="985"/>
      <c r="ED114" s="135"/>
      <c r="EE114" s="135"/>
      <c r="EF114" s="135"/>
      <c r="EG114" s="135"/>
      <c r="EH114" s="135"/>
      <c r="EI114" s="985"/>
      <c r="EJ114" s="135"/>
      <c r="EK114" s="135"/>
      <c r="EL114" s="135"/>
      <c r="EM114" s="135"/>
      <c r="EN114" s="135"/>
      <c r="EO114" s="985"/>
      <c r="EP114" s="135"/>
      <c r="EQ114" s="135"/>
      <c r="ER114" s="135"/>
      <c r="ES114" s="135"/>
      <c r="ET114" s="135"/>
      <c r="EU114" s="985"/>
      <c r="EV114" s="135"/>
      <c r="EW114" s="135"/>
      <c r="EX114" s="135"/>
      <c r="EY114" s="135"/>
      <c r="EZ114" s="135"/>
      <c r="FA114" s="985"/>
      <c r="FB114" s="135"/>
      <c r="FC114" s="135"/>
      <c r="FD114" s="135"/>
      <c r="FE114" s="135"/>
      <c r="FF114" s="135"/>
      <c r="FG114" s="985"/>
      <c r="FH114" s="135"/>
      <c r="FI114" s="135"/>
      <c r="FJ114" s="135"/>
      <c r="FK114" s="135"/>
      <c r="FL114" s="135"/>
      <c r="FM114" s="985"/>
      <c r="FN114" s="135"/>
      <c r="FO114" s="135"/>
      <c r="FP114" s="135"/>
      <c r="FQ114" s="135"/>
      <c r="FR114"/>
      <c r="FS114"/>
      <c r="FT114"/>
      <c r="FU114"/>
      <c r="FV114"/>
      <c r="FW114"/>
      <c r="FX114" s="135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</row>
    <row r="115" spans="1:274" s="24" customFormat="1" ht="12.75" customHeight="1" x14ac:dyDescent="0.2">
      <c r="A115" s="292" t="s">
        <v>490</v>
      </c>
      <c r="B115" s="20"/>
      <c r="C115" s="135"/>
      <c r="D115" s="135"/>
      <c r="E115" s="135"/>
      <c r="F115" s="135"/>
      <c r="G115" s="135"/>
      <c r="H115" s="135"/>
      <c r="I115" s="135"/>
      <c r="J115" s="135"/>
      <c r="K115" s="135"/>
      <c r="L115" s="135"/>
      <c r="M115" s="135"/>
      <c r="N115" s="135"/>
      <c r="O115" s="42"/>
      <c r="P115" s="42"/>
      <c r="Q115" s="42"/>
      <c r="R115" s="135"/>
      <c r="S115" s="135"/>
      <c r="T115" s="135"/>
      <c r="U115" s="135"/>
      <c r="V115" s="135"/>
      <c r="W115" s="135"/>
      <c r="X115" s="135"/>
      <c r="Y115" s="135"/>
      <c r="Z115" s="135"/>
      <c r="AA115" s="135"/>
      <c r="AB115" s="135"/>
      <c r="AC115" s="135"/>
      <c r="AD115" s="135"/>
      <c r="AE115" s="135"/>
      <c r="AF115" s="135"/>
      <c r="AG115" s="135"/>
      <c r="AH115" s="135"/>
      <c r="AI115" s="135"/>
      <c r="AJ115" s="135"/>
      <c r="AK115" s="135"/>
      <c r="AL115" s="135"/>
      <c r="AM115" s="135"/>
      <c r="AN115" s="135"/>
      <c r="AO115" s="135"/>
      <c r="AP115" s="135"/>
      <c r="AQ115" s="135"/>
      <c r="AR115" s="135"/>
      <c r="AS115" s="135"/>
      <c r="AT115" s="135"/>
      <c r="AU115" s="135"/>
      <c r="AV115" s="135"/>
      <c r="AW115" s="135"/>
      <c r="AX115" s="135"/>
      <c r="AY115" s="135"/>
      <c r="AZ115" s="135"/>
      <c r="BA115" s="135"/>
      <c r="BB115" s="135"/>
      <c r="BC115" s="135"/>
      <c r="BD115" s="135"/>
      <c r="BE115" s="135"/>
      <c r="BF115" s="135"/>
      <c r="BG115" s="135"/>
      <c r="BH115" s="135"/>
      <c r="BI115" s="135"/>
      <c r="BJ115" s="135"/>
      <c r="BK115" s="135"/>
      <c r="BL115" s="135"/>
      <c r="BM115" s="135"/>
      <c r="BN115" s="135"/>
      <c r="BO115" s="135"/>
      <c r="BP115" s="135"/>
      <c r="BQ115" s="135"/>
      <c r="BR115" s="135"/>
      <c r="BS115" s="135"/>
      <c r="BT115" s="135"/>
      <c r="BU115" s="135"/>
      <c r="BV115" s="135"/>
      <c r="BW115" s="135"/>
      <c r="BX115" s="135"/>
      <c r="BY115" s="135"/>
      <c r="BZ115" s="135"/>
      <c r="CA115" s="135"/>
      <c r="CB115" s="135"/>
      <c r="CC115" s="135"/>
      <c r="CD115" s="135"/>
      <c r="CE115" s="135"/>
      <c r="CF115" s="135"/>
      <c r="CG115" s="985"/>
      <c r="CH115" s="135"/>
      <c r="CI115" s="135"/>
      <c r="CJ115" s="135"/>
      <c r="CK115" s="135"/>
      <c r="CL115" s="135"/>
      <c r="CM115" s="985"/>
      <c r="CN115" s="135"/>
      <c r="CO115" s="135"/>
      <c r="CP115" s="135"/>
      <c r="CQ115" s="135"/>
      <c r="CR115" s="135"/>
      <c r="CS115" s="985"/>
      <c r="CT115" s="135"/>
      <c r="CU115" s="135"/>
      <c r="CV115" s="135"/>
      <c r="CW115" s="135"/>
      <c r="CX115" s="135"/>
      <c r="CY115" s="985"/>
      <c r="CZ115" s="135"/>
      <c r="DA115" s="135"/>
      <c r="DB115" s="135"/>
      <c r="DC115" s="135"/>
      <c r="DD115" s="135"/>
      <c r="DE115" s="985"/>
      <c r="DF115" s="135"/>
      <c r="DG115" s="135"/>
      <c r="DH115" s="135"/>
      <c r="DI115" s="135"/>
      <c r="DJ115" s="135"/>
      <c r="DK115" s="985"/>
      <c r="DL115" s="135"/>
      <c r="DM115" s="135"/>
      <c r="DN115" s="135"/>
      <c r="DO115" s="135"/>
      <c r="DP115" s="135"/>
      <c r="DQ115" s="985"/>
      <c r="DR115" s="135"/>
      <c r="DS115" s="135"/>
      <c r="DT115" s="135"/>
      <c r="DU115" s="135"/>
      <c r="DV115" s="135"/>
      <c r="DW115" s="985"/>
      <c r="DX115" s="135"/>
      <c r="DY115" s="135"/>
      <c r="DZ115" s="135"/>
      <c r="EA115" s="135"/>
      <c r="EB115" s="135"/>
      <c r="EC115" s="985"/>
      <c r="ED115" s="135"/>
      <c r="EE115" s="135"/>
      <c r="EF115" s="135"/>
      <c r="EG115" s="135"/>
      <c r="EH115" s="135"/>
      <c r="EI115" s="985"/>
      <c r="EJ115" s="135"/>
      <c r="EK115" s="135"/>
      <c r="EL115" s="135"/>
      <c r="EM115" s="135"/>
      <c r="EN115" s="135"/>
      <c r="EO115" s="985"/>
      <c r="EP115" s="135"/>
      <c r="EQ115" s="135"/>
      <c r="ER115" s="135"/>
      <c r="ES115" s="135"/>
      <c r="ET115" s="135"/>
      <c r="EU115" s="985"/>
      <c r="EV115" s="135"/>
      <c r="EW115" s="135"/>
      <c r="EX115" s="135"/>
      <c r="EY115" s="135"/>
      <c r="EZ115" s="135"/>
      <c r="FA115" s="985"/>
      <c r="FB115" s="135"/>
      <c r="FC115" s="135"/>
      <c r="FD115" s="135"/>
      <c r="FE115" s="135"/>
      <c r="FF115" s="135"/>
      <c r="FG115" s="985"/>
      <c r="FH115" s="135"/>
      <c r="FI115" s="135"/>
      <c r="FJ115" s="135"/>
      <c r="FK115" s="135"/>
      <c r="FL115" s="135"/>
      <c r="FM115" s="985"/>
      <c r="FN115" s="135"/>
      <c r="FO115" s="135"/>
      <c r="FP115" s="135"/>
      <c r="FQ115" s="135"/>
      <c r="FR115"/>
      <c r="FS115"/>
      <c r="FT115"/>
      <c r="FU115"/>
      <c r="FV115"/>
      <c r="FW115"/>
      <c r="FX115" s="13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</row>
    <row r="116" spans="1:274" s="24" customFormat="1" ht="10.5" customHeight="1" x14ac:dyDescent="0.2">
      <c r="A116" s="242" t="s">
        <v>491</v>
      </c>
      <c r="B116" s="20"/>
      <c r="C116" s="250" t="s">
        <v>945</v>
      </c>
      <c r="D116" s="42">
        <f>D27/rev _fy85</f>
        <v>4.2633147596216156E-2</v>
      </c>
      <c r="E116" s="42">
        <f>E27/rev _fy86</f>
        <v>4.5604842352516037E-2</v>
      </c>
      <c r="F116" s="42">
        <f>F27/rev _fy87</f>
        <v>7.0552918498426653E-2</v>
      </c>
      <c r="G116" s="42">
        <f>G27/rev _fy88</f>
        <v>6.9057434432301945E-2</v>
      </c>
      <c r="H116" s="42">
        <f>H27/rev _fy89</f>
        <v>6.6911613566289829E-2</v>
      </c>
      <c r="I116" s="42">
        <f>I27/rev _fy90</f>
        <v>6.6744508342517925E-2</v>
      </c>
      <c r="J116" s="42">
        <f>J27/rev _fy91</f>
        <v>4.8241692924454425E-2</v>
      </c>
      <c r="K116" s="42">
        <f>K27/rev _fy92</f>
        <v>6.7931297709923663E-2</v>
      </c>
      <c r="L116" s="42">
        <f>L27/rev _fy93</f>
        <v>6.8595475715236193E-2</v>
      </c>
      <c r="M116" s="42">
        <f>M27/rev _fy94</f>
        <v>6.8204884498739973E-2</v>
      </c>
      <c r="N116" s="36"/>
      <c r="O116" s="42" t="s">
        <v>945</v>
      </c>
      <c r="P116" s="42" t="s">
        <v>945</v>
      </c>
      <c r="Q116" s="42" t="s">
        <v>945</v>
      </c>
      <c r="R116" s="473">
        <f>R27/ltmopex _2c95</f>
        <v>0.13755154697802288</v>
      </c>
      <c r="S116" s="42">
        <f>R116</f>
        <v>0.13755154697802288</v>
      </c>
      <c r="T116" s="36"/>
      <c r="U116" s="42">
        <f>U27/ltmopex _3c95</f>
        <v>7.3824988165655234E-2</v>
      </c>
      <c r="V116" s="42">
        <f>V27/ltmopex _4c95</f>
        <v>9.1340506012621198E-2</v>
      </c>
      <c r="W116" s="42">
        <f>W27/ltmopex _1c96</f>
        <v>8.6455926726795876E-2</v>
      </c>
      <c r="X116" s="42">
        <f>X27/ltmopex _2c96</f>
        <v>0.13587508893765268</v>
      </c>
      <c r="Y116" s="42">
        <f>X116</f>
        <v>0.13587508893765268</v>
      </c>
      <c r="Z116" s="466"/>
      <c r="AA116" s="42">
        <f>AA27/ltmopex _3c96</f>
        <v>7.9761472214951099E-2</v>
      </c>
      <c r="AB116" s="42">
        <f>AB27/ltmopex _4c96</f>
        <v>9.4042667016260587E-2</v>
      </c>
      <c r="AC116" s="42">
        <f>AC27/ltmopex _1c97</f>
        <v>8.6198825895414291E-2</v>
      </c>
      <c r="AD116" s="42">
        <f>AD27/ltmopex _2c97</f>
        <v>0.13907592750393866</v>
      </c>
      <c r="AE116" s="42">
        <f>AD116</f>
        <v>0.13907592750393866</v>
      </c>
      <c r="AF116" s="466"/>
      <c r="AG116" s="42">
        <f>AG27/ltmopex _3c97</f>
        <v>7.5193033268391551E-2</v>
      </c>
      <c r="AH116" s="42">
        <f>AH27/ltmopex _4c97</f>
        <v>9.1114083601120471E-2</v>
      </c>
      <c r="AI116" s="42">
        <f>AI27/ltmopex _1c98</f>
        <v>9.113454461280722E-2</v>
      </c>
      <c r="AJ116" s="42">
        <f>AJ27/ltmopex _2c98</f>
        <v>0.15663724105631532</v>
      </c>
      <c r="AK116" s="42">
        <f>AJ116</f>
        <v>0.15663724105631532</v>
      </c>
      <c r="AL116" s="466"/>
      <c r="AM116" s="42">
        <f>AM27/ltmopex _3c98</f>
        <v>9.3250900008047422E-2</v>
      </c>
      <c r="AN116" s="42">
        <f>AN27/ltmopex _4c98</f>
        <v>0.11887634983576464</v>
      </c>
      <c r="AO116" s="42">
        <f>AO27/ltmopex _1c99</f>
        <v>0.11940933659049491</v>
      </c>
      <c r="AP116" s="42">
        <f>AP27/ltmopex _2c99</f>
        <v>0.17827384188515671</v>
      </c>
      <c r="AQ116" s="42">
        <f>AP116</f>
        <v>0.17827384188515671</v>
      </c>
      <c r="AR116" s="466"/>
      <c r="AS116" s="42">
        <f>AS27/ltmopex _3c99</f>
        <v>9.7030684575905954E-2</v>
      </c>
      <c r="AT116" s="42">
        <f>AT27/ltmopex _4c99</f>
        <v>0.12565093312673459</v>
      </c>
      <c r="AU116" s="42">
        <f>AU27/ltmopex _1c00</f>
        <v>0.12013582422735768</v>
      </c>
      <c r="AV116" s="42">
        <f>AV27/ltmopex _2c00</f>
        <v>0.1767248421038792</v>
      </c>
      <c r="AW116" s="42">
        <f>AV116</f>
        <v>0.1767248421038792</v>
      </c>
      <c r="AX116" s="466"/>
      <c r="AY116" s="42">
        <f>AY27/ltmopex _3c00</f>
        <v>9.6669082032016129E-2</v>
      </c>
      <c r="AZ116" s="42">
        <f>AZ27/ltmopex _4c00</f>
        <v>0.12404167184854255</v>
      </c>
      <c r="BA116" s="42">
        <f>BA27/ltmopex _1c01</f>
        <v>0.12460077357175744</v>
      </c>
      <c r="BB116" s="42">
        <f>BB27/ltmopex _2c01</f>
        <v>0.17146692403035454</v>
      </c>
      <c r="BC116" s="42">
        <f>BB116</f>
        <v>0.17146692403035454</v>
      </c>
      <c r="BD116" s="466"/>
      <c r="BE116" s="42">
        <f>BE27/ltmopex _3c01</f>
        <v>0.11665833918613805</v>
      </c>
      <c r="BF116" s="42">
        <f>BF27/ltmopex _4c01</f>
        <v>0.1194708073367317</v>
      </c>
      <c r="BG116" s="42">
        <f>BG27/ltmopex _1c02</f>
        <v>0.10339226896991853</v>
      </c>
      <c r="BH116" s="42">
        <f>BH27/ltmopex _2c02</f>
        <v>0.12390601539356393</v>
      </c>
      <c r="BI116" s="42">
        <f>BH116</f>
        <v>0.12390601539356393</v>
      </c>
      <c r="BJ116" s="215"/>
      <c r="BK116" s="42">
        <f>BK27/ltmopex _3c02</f>
        <v>9.4304781606751778E-2</v>
      </c>
      <c r="BL116" s="42">
        <f>BL27/ltmopex _4c02</f>
        <v>0.10280518717789644</v>
      </c>
      <c r="BM116" s="42">
        <f>BM27/ltmopex _1c03</f>
        <v>0.10132025164266135</v>
      </c>
      <c r="BN116" s="42">
        <f>BN27/ltmopex _2c03</f>
        <v>0.12293528296777688</v>
      </c>
      <c r="BO116" s="42">
        <f>BN116</f>
        <v>0.12293528296777688</v>
      </c>
      <c r="BP116" s="36"/>
      <c r="BQ116" s="42">
        <f>BQ27/ltmopex _3c03</f>
        <v>9.3640998121813784E-2</v>
      </c>
      <c r="BR116" s="42">
        <f>BR27/ltmopex _4c03</f>
        <v>0.12249736564805058</v>
      </c>
      <c r="BS116" s="42">
        <f>BS27/ltmopex _1c04</f>
        <v>0.11531484840632288</v>
      </c>
      <c r="BT116" s="42">
        <f>BT27/ltmopex _2c04</f>
        <v>0.139874213836478</v>
      </c>
      <c r="BU116" s="42">
        <f>BT116</f>
        <v>0.139874213836478</v>
      </c>
      <c r="BV116" s="36"/>
      <c r="BW116" s="42">
        <f>BW27/ltmopex _3c04</f>
        <v>0.10078779542328373</v>
      </c>
      <c r="BX116" s="42">
        <f>BX27/ltmopex _4c04</f>
        <v>0.12545960449170229</v>
      </c>
      <c r="BY116" s="42">
        <f>BY27/ltmopex _1c05</f>
        <v>0.12082663387874776</v>
      </c>
      <c r="BZ116" s="42">
        <f>BZ27/ltmopex _2c05</f>
        <v>0.20347427362109255</v>
      </c>
      <c r="CA116" s="42">
        <f>BZ116</f>
        <v>0.20347427362109255</v>
      </c>
      <c r="CB116" s="36"/>
      <c r="CC116" s="42">
        <f>CC27/ltmopex _3c05</f>
        <v>0.13166969715969654</v>
      </c>
      <c r="CD116" s="42">
        <f>CD27/ltmopex _4c05</f>
        <v>0.13838843793308256</v>
      </c>
      <c r="CE116" s="42">
        <f>CE27/ltmopex _1c06</f>
        <v>0.16465169833045482</v>
      </c>
      <c r="CF116" s="42">
        <f>CF27/ltmopex _2c06</f>
        <v>0.20995494567505354</v>
      </c>
      <c r="CG116" s="467">
        <f>CF116</f>
        <v>0.20995494567505354</v>
      </c>
      <c r="CH116" s="36"/>
      <c r="CI116" s="42">
        <f>CI27/ltmopex _3c06</f>
        <v>0.14517425230939399</v>
      </c>
      <c r="CJ116" s="42">
        <f>CJ27/ltmopex _4c06</f>
        <v>0.14972451677194601</v>
      </c>
      <c r="CK116" s="42">
        <f>CK27/ltmopex _1c07</f>
        <v>0.15853476866625374</v>
      </c>
      <c r="CL116" s="42">
        <f>CL27/ltmopex _2c07</f>
        <v>0.20374565775562603</v>
      </c>
      <c r="CM116" s="467">
        <f>CL116</f>
        <v>0.20374565775562603</v>
      </c>
      <c r="CN116" s="36"/>
      <c r="CO116" s="42">
        <f>CO27/ltmopex _3c07</f>
        <v>0.15544780376497433</v>
      </c>
      <c r="CP116" s="42">
        <f>CP27/ltmopex _4c07</f>
        <v>0.16166689290077371</v>
      </c>
      <c r="CQ116" s="42">
        <f>CQ27/ltmopex _1c08</f>
        <v>0.16979892232882113</v>
      </c>
      <c r="CR116" s="42">
        <f>CR27/ltmopex _2c08</f>
        <v>0.22147147147147148</v>
      </c>
      <c r="CS116" s="467">
        <f>CR116</f>
        <v>0.22147147147147148</v>
      </c>
      <c r="CT116" s="232"/>
      <c r="CU116" s="42">
        <f>CU27/ltmopex _3c08</f>
        <v>0.13915382734164833</v>
      </c>
      <c r="CV116" s="42">
        <f>CV27/ltmopex _4c08</f>
        <v>0.13033873343151695</v>
      </c>
      <c r="CW116" s="42">
        <f>CW27/ltmopex _1c09</f>
        <v>0.1327970297029703</v>
      </c>
      <c r="CX116" s="42">
        <f>CX27/ltmopex _2c09</f>
        <v>0.17894335788671578</v>
      </c>
      <c r="CY116" s="467">
        <f>CX116</f>
        <v>0.17894335788671578</v>
      </c>
      <c r="CZ116" s="232"/>
      <c r="DA116" s="42">
        <f>DA27/ltmopex _3c09</f>
        <v>0.13464546402502606</v>
      </c>
      <c r="DB116" s="42">
        <f>DB27/ltmopex _4c09</f>
        <v>0.14641421346128908</v>
      </c>
      <c r="DC116" s="42">
        <f>DC27/ltmopex _1c10</f>
        <v>0.18001487726258369</v>
      </c>
      <c r="DD116" s="42">
        <f>DD27/ltmopex _2c10</f>
        <v>0.21385848098408758</v>
      </c>
      <c r="DE116" s="467">
        <f>DD116</f>
        <v>0.21385848098408758</v>
      </c>
      <c r="DF116" s="232"/>
      <c r="DG116" s="42">
        <f>DG27/ltmopex _3c10</f>
        <v>0.14814051715257032</v>
      </c>
      <c r="DH116" s="42">
        <f>DH27/ltmopex _4c10</f>
        <v>0.15675417661097851</v>
      </c>
      <c r="DI116" s="42">
        <f>DI27/ltmopex _1c11</f>
        <v>0.1672922252010724</v>
      </c>
      <c r="DJ116" s="42">
        <f>DJ27/ltmopex _2c11</f>
        <v>0.19993105825577387</v>
      </c>
      <c r="DK116" s="467">
        <f>DJ116</f>
        <v>0.19993105825577387</v>
      </c>
      <c r="DL116" s="232"/>
      <c r="DM116" s="42">
        <f>DM27/ltmopex _3c11</f>
        <v>0.13085608358611392</v>
      </c>
      <c r="DN116" s="42">
        <f>DN27/ltmopex _4c11</f>
        <v>0.13061426684280053</v>
      </c>
      <c r="DO116" s="42">
        <f>DO27/ltmopex _1c12</f>
        <v>0.13693560325684678</v>
      </c>
      <c r="DP116" s="42">
        <f>DP27/ltmopex _2c12</f>
        <v>0.16411181244364292</v>
      </c>
      <c r="DQ116" s="467">
        <f>DP116</f>
        <v>0.16411181244364292</v>
      </c>
      <c r="DR116" s="232"/>
      <c r="DS116" s="42">
        <f>DS27/ltmopex _3c12</f>
        <v>0.12060630888979926</v>
      </c>
      <c r="DT116" s="42">
        <f>DT27/ltmopex _4c12</f>
        <v>0.1254055807916937</v>
      </c>
      <c r="DU116" s="42">
        <f>DU27/ltmopex _1c13</f>
        <v>0.12498996548125552</v>
      </c>
      <c r="DV116" s="42">
        <f>DV27/ltmopex _2c13</f>
        <v>0.14800895570126341</v>
      </c>
      <c r="DW116" s="467">
        <f>DV116</f>
        <v>0.14800895570126341</v>
      </c>
      <c r="DX116" s="232"/>
      <c r="DY116" s="42">
        <f>DY27/ltmopex _3c13</f>
        <v>0.11323003575685339</v>
      </c>
      <c r="DZ116" s="42">
        <f>DZ27/ltmopex _4c13</f>
        <v>0.12264077061633644</v>
      </c>
      <c r="EA116" s="42">
        <f>EA27/ltmopex _1c14</f>
        <v>0.122999222999223</v>
      </c>
      <c r="EB116" s="42">
        <f>EB27/ltmopex _2c14</f>
        <v>0.14878441598282077</v>
      </c>
      <c r="EC116" s="467">
        <f>EB116</f>
        <v>0.14878441598282077</v>
      </c>
      <c r="ED116" s="232"/>
      <c r="EE116" s="42">
        <f>EE27/ltmopex _3c14</f>
        <v>0.11282633371169126</v>
      </c>
      <c r="EF116" s="42">
        <f>EF27/ltmopex _4c14</f>
        <v>0.11617945442248441</v>
      </c>
      <c r="EG116" s="42">
        <f>EG27/ltmopex _1c15</f>
        <v>0.11702207257762813</v>
      </c>
      <c r="EH116" s="42">
        <f>EH27/Model!EH366</f>
        <v>0.13718761656098472</v>
      </c>
      <c r="EI116" s="467">
        <f>EH116</f>
        <v>0.13718761656098472</v>
      </c>
      <c r="EJ116" s="232"/>
      <c r="EK116" s="42">
        <f>EK27/Model!EK366</f>
        <v>0.10297619047619047</v>
      </c>
      <c r="EL116" s="42">
        <f>EL27/Model!EL366</f>
        <v>0.11792069703906077</v>
      </c>
      <c r="EM116" s="42">
        <f>EM27/Model!EM366</f>
        <v>0.11239572662081077</v>
      </c>
      <c r="EN116" s="42">
        <f>EN27/Model!EN366</f>
        <v>0.14166306384205216</v>
      </c>
      <c r="EO116" s="467">
        <f>EN116</f>
        <v>0.14166306384205216</v>
      </c>
      <c r="EP116" s="232"/>
      <c r="EQ116" s="42">
        <f>EQ27/Model!EQ366</f>
        <v>0.10002819681376005</v>
      </c>
      <c r="ER116" s="42">
        <f>ER27/Model!ER366</f>
        <v>0.10438325372295588</v>
      </c>
      <c r="ES116" s="42">
        <f>ES27/Model!ES366</f>
        <v>0.10577728160759141</v>
      </c>
      <c r="ET116" s="42">
        <f>ET27/Model!ET366</f>
        <v>0.1368032843921787</v>
      </c>
      <c r="EU116" s="467">
        <f>ET116</f>
        <v>0.1368032843921787</v>
      </c>
      <c r="EV116" s="232"/>
      <c r="EW116" s="42">
        <f>EW27/Model!EW366</f>
        <v>0.10503358028110503</v>
      </c>
      <c r="EX116" s="42">
        <f>EX27/Model!EX366</f>
        <v>0.10377750103777501</v>
      </c>
      <c r="EY116" s="42">
        <f>EY27/Model!EY366</f>
        <v>0.10326049493348038</v>
      </c>
      <c r="EZ116" s="468">
        <f>ET116+0.01</f>
        <v>0.14680328439217871</v>
      </c>
      <c r="FA116" s="467">
        <f>EZ116</f>
        <v>0.14680328439217871</v>
      </c>
      <c r="FB116" s="232"/>
      <c r="FC116" s="468">
        <f>EW116-1%</f>
        <v>9.5033580281105035E-2</v>
      </c>
      <c r="FD116" s="468">
        <f>EX116-1%</f>
        <v>9.3777501037775018E-2</v>
      </c>
      <c r="FE116" s="468">
        <f>EY116-1%</f>
        <v>9.326049493348039E-2</v>
      </c>
      <c r="FF116" s="468">
        <f>EZ116-1%</f>
        <v>0.1368032843921787</v>
      </c>
      <c r="FG116" s="467">
        <f>FF116</f>
        <v>0.1368032843921787</v>
      </c>
      <c r="FH116" s="232"/>
      <c r="FI116" s="468">
        <f>FC116-1%</f>
        <v>8.503358028110504E-2</v>
      </c>
      <c r="FJ116" s="468">
        <f>FD116-1%</f>
        <v>8.3777501037775023E-2</v>
      </c>
      <c r="FK116" s="468">
        <f>FE116-1%</f>
        <v>8.3260494933480395E-2</v>
      </c>
      <c r="FL116" s="468">
        <f>FF116-1%</f>
        <v>0.12680328439217869</v>
      </c>
      <c r="FM116" s="467">
        <f>FL116</f>
        <v>0.12680328439217869</v>
      </c>
      <c r="FN116" s="215"/>
      <c r="FO116" s="215"/>
      <c r="FP116" s="215"/>
      <c r="FQ116" s="215"/>
      <c r="FR116"/>
      <c r="FS116"/>
      <c r="FT116"/>
      <c r="FU116"/>
      <c r="FV116"/>
      <c r="FW116"/>
      <c r="FX116" s="215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</row>
    <row r="117" spans="1:274" s="24" customFormat="1" ht="5.25" customHeight="1" x14ac:dyDescent="0.2">
      <c r="A117" s="341"/>
      <c r="B117" s="20"/>
      <c r="C117" s="135"/>
      <c r="D117" s="135"/>
      <c r="E117" s="135"/>
      <c r="F117" s="135"/>
      <c r="G117" s="135"/>
      <c r="H117" s="135"/>
      <c r="I117" s="135"/>
      <c r="J117" s="135"/>
      <c r="K117" s="135"/>
      <c r="L117" s="135"/>
      <c r="M117" s="135"/>
      <c r="N117" s="135"/>
      <c r="O117" s="42"/>
      <c r="P117" s="42"/>
      <c r="Q117" s="42"/>
      <c r="R117" s="135"/>
      <c r="S117" s="135"/>
      <c r="T117" s="135"/>
      <c r="U117" s="135"/>
      <c r="V117" s="135"/>
      <c r="W117" s="135"/>
      <c r="X117" s="135"/>
      <c r="Y117" s="135"/>
      <c r="Z117" s="135"/>
      <c r="AA117" s="135"/>
      <c r="AB117" s="135"/>
      <c r="AC117" s="135"/>
      <c r="AD117" s="135"/>
      <c r="AE117" s="135"/>
      <c r="AF117" s="135"/>
      <c r="AG117" s="135"/>
      <c r="AH117" s="135"/>
      <c r="AI117" s="135"/>
      <c r="AJ117" s="135"/>
      <c r="AK117" s="135"/>
      <c r="AL117" s="135"/>
      <c r="AM117" s="135"/>
      <c r="AN117" s="135"/>
      <c r="AO117" s="135"/>
      <c r="AP117" s="135"/>
      <c r="AQ117" s="135"/>
      <c r="AR117" s="135"/>
      <c r="AS117" s="135"/>
      <c r="AT117" s="135"/>
      <c r="AU117" s="135"/>
      <c r="AV117" s="135"/>
      <c r="AW117" s="135"/>
      <c r="AX117" s="135"/>
      <c r="AY117" s="135"/>
      <c r="AZ117" s="135"/>
      <c r="BA117" s="135"/>
      <c r="BB117" s="135"/>
      <c r="BC117" s="135"/>
      <c r="BD117" s="135"/>
      <c r="BE117" s="135"/>
      <c r="BF117" s="135"/>
      <c r="BG117" s="135"/>
      <c r="BH117" s="135"/>
      <c r="BI117" s="135"/>
      <c r="BJ117" s="135"/>
      <c r="BK117" s="135"/>
      <c r="BL117" s="135"/>
      <c r="BM117" s="135"/>
      <c r="BN117" s="135"/>
      <c r="BO117" s="135"/>
      <c r="BP117" s="135"/>
      <c r="BQ117" s="135"/>
      <c r="BR117" s="135"/>
      <c r="BS117" s="135"/>
      <c r="BT117" s="135"/>
      <c r="BU117" s="135"/>
      <c r="BV117" s="135"/>
      <c r="BW117" s="135"/>
      <c r="BX117" s="135"/>
      <c r="BY117" s="135"/>
      <c r="BZ117" s="135"/>
      <c r="CA117" s="135"/>
      <c r="CB117" s="135"/>
      <c r="CC117" s="135"/>
      <c r="CD117" s="135"/>
      <c r="CE117" s="135"/>
      <c r="CF117" s="135"/>
      <c r="CG117" s="985"/>
      <c r="CH117" s="135"/>
      <c r="CI117" s="135"/>
      <c r="CJ117" s="135"/>
      <c r="CK117" s="135"/>
      <c r="CL117" s="135"/>
      <c r="CM117" s="985"/>
      <c r="CN117" s="135"/>
      <c r="CO117" s="135"/>
      <c r="CP117" s="135"/>
      <c r="CQ117" s="135"/>
      <c r="CR117" s="135"/>
      <c r="CS117" s="985"/>
      <c r="CT117" s="135"/>
      <c r="CU117" s="135"/>
      <c r="CV117" s="135"/>
      <c r="CW117" s="135"/>
      <c r="CX117" s="135"/>
      <c r="CY117" s="985"/>
      <c r="CZ117" s="135"/>
      <c r="DA117" s="135"/>
      <c r="DB117" s="135"/>
      <c r="DC117" s="135"/>
      <c r="DD117" s="135"/>
      <c r="DE117" s="985"/>
      <c r="DF117" s="135"/>
      <c r="DG117" s="135"/>
      <c r="DH117" s="135"/>
      <c r="DI117" s="135"/>
      <c r="DJ117" s="135"/>
      <c r="DK117" s="985"/>
      <c r="DL117" s="135"/>
      <c r="DM117" s="135"/>
      <c r="DN117" s="135"/>
      <c r="DO117" s="135"/>
      <c r="DP117" s="135"/>
      <c r="DQ117" s="985"/>
      <c r="DR117" s="135"/>
      <c r="DS117" s="135"/>
      <c r="DT117" s="135"/>
      <c r="DU117" s="135"/>
      <c r="DV117" s="135"/>
      <c r="DW117" s="985"/>
      <c r="DX117" s="135"/>
      <c r="DY117" s="135"/>
      <c r="DZ117" s="135"/>
      <c r="EA117" s="135"/>
      <c r="EB117" s="1616"/>
      <c r="EC117" s="985"/>
      <c r="ED117" s="135"/>
      <c r="EE117" s="135"/>
      <c r="EF117" s="135"/>
      <c r="EG117" s="135"/>
      <c r="EH117" s="135"/>
      <c r="EI117" s="985"/>
      <c r="EJ117" s="135"/>
      <c r="EK117" s="135"/>
      <c r="EL117" s="135"/>
      <c r="EM117" s="135"/>
      <c r="EN117" s="135"/>
      <c r="EO117" s="985"/>
      <c r="EP117" s="135"/>
      <c r="EQ117" s="135"/>
      <c r="ER117" s="135"/>
      <c r="ES117" s="135"/>
      <c r="ET117" s="135"/>
      <c r="EU117" s="985"/>
      <c r="EV117" s="135"/>
      <c r="EW117" s="135"/>
      <c r="EX117" s="135"/>
      <c r="EY117" s="135"/>
      <c r="EZ117" s="558"/>
      <c r="FA117" s="985"/>
      <c r="FB117" s="135"/>
      <c r="FC117" s="558"/>
      <c r="FD117" s="558"/>
      <c r="FE117" s="558"/>
      <c r="FF117" s="558"/>
      <c r="FG117" s="985"/>
      <c r="FH117" s="135"/>
      <c r="FI117" s="558"/>
      <c r="FJ117" s="558"/>
      <c r="FK117" s="558"/>
      <c r="FL117" s="558"/>
      <c r="FM117" s="985"/>
      <c r="FN117" s="135"/>
      <c r="FO117" s="135"/>
      <c r="FP117" s="135"/>
      <c r="FQ117" s="135"/>
      <c r="FR117"/>
      <c r="FS117"/>
      <c r="FT117"/>
      <c r="FU117"/>
      <c r="FV117"/>
      <c r="FW117"/>
      <c r="FX117" s="135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</row>
    <row r="118" spans="1:274" s="24" customFormat="1" ht="10.5" customHeight="1" x14ac:dyDescent="0.2">
      <c r="A118" s="247" t="s">
        <v>680</v>
      </c>
      <c r="B118" s="20"/>
      <c r="C118" s="250" t="s">
        <v>945</v>
      </c>
      <c r="D118" s="42">
        <f>D28/rev _fy85</f>
        <v>2.6996674009762002E-2</v>
      </c>
      <c r="E118" s="42">
        <f>E28/rev _fy86</f>
        <v>5.3573041828530128E-2</v>
      </c>
      <c r="F118" s="42">
        <f>F28/rev _fy87</f>
        <v>4.3672713696866268E-2</v>
      </c>
      <c r="G118" s="42">
        <f>G28/rev _fy88</f>
        <v>6.0192192490243275E-2</v>
      </c>
      <c r="H118" s="42">
        <f>H28/rev _fy89</f>
        <v>4.0082219938335044E-2</v>
      </c>
      <c r="I118" s="42">
        <f>I28/rev _fy90</f>
        <v>3.5374676720610225E-2</v>
      </c>
      <c r="J118" s="42">
        <f>J28/rev _fy91</f>
        <v>4.841582607697463E-2</v>
      </c>
      <c r="K118" s="42">
        <f>K28/rev _fy92</f>
        <v>4.9702290076335878E-2</v>
      </c>
      <c r="L118" s="42">
        <f>L28/rev _fy93</f>
        <v>6.0256154357950766E-2</v>
      </c>
      <c r="M118" s="42">
        <f>M28/rev _fy94</f>
        <v>5.4181926665057591E-2</v>
      </c>
      <c r="N118" s="36"/>
      <c r="O118" s="42" t="s">
        <v>945</v>
      </c>
      <c r="P118" s="42" t="s">
        <v>945</v>
      </c>
      <c r="Q118" s="42" t="s">
        <v>945</v>
      </c>
      <c r="R118" s="473">
        <f>R28/ltmopex _2c95</f>
        <v>0.12432432432432432</v>
      </c>
      <c r="S118" s="42">
        <f>R118</f>
        <v>0.12432432432432432</v>
      </c>
      <c r="T118" s="36"/>
      <c r="U118" s="42">
        <f>U28/ltmopex _3c95</f>
        <v>0.12358528556867911</v>
      </c>
      <c r="V118" s="42">
        <f>V28/ltmopex _4c95</f>
        <v>0.12108068072263441</v>
      </c>
      <c r="W118" s="42">
        <f>W28/ltmopex _1c96</f>
        <v>0.11840041684823273</v>
      </c>
      <c r="X118" s="42">
        <f>X28/ltmopex _2c96</f>
        <v>0.12367456993320178</v>
      </c>
      <c r="Y118" s="42">
        <f>X118</f>
        <v>0.12367456993320178</v>
      </c>
      <c r="Z118" s="466"/>
      <c r="AA118" s="42">
        <f>AA28/ltmopex _3c96</f>
        <v>0.13529293537029152</v>
      </c>
      <c r="AB118" s="42">
        <f>AB28/ltmopex _4c96</f>
        <v>0.13015520423356078</v>
      </c>
      <c r="AC118" s="42">
        <f>AC28/ltmopex _1c97</f>
        <v>0.14552003402404229</v>
      </c>
      <c r="AD118" s="42">
        <f>AD28/ltmopex _2c97</f>
        <v>0.14493531421958059</v>
      </c>
      <c r="AE118" s="42">
        <f>AD118</f>
        <v>0.14493531421958059</v>
      </c>
      <c r="AF118" s="466"/>
      <c r="AG118" s="42">
        <f>AG28/ltmopex _3c97</f>
        <v>0.17626866178969428</v>
      </c>
      <c r="AH118" s="42">
        <f>AH28/ltmopex _4c97</f>
        <v>0.13524493142319538</v>
      </c>
      <c r="AI118" s="42">
        <f>AI28/ltmopex _1c98</f>
        <v>0.14129381553645032</v>
      </c>
      <c r="AJ118" s="42">
        <f>AJ28/ltmopex _2c98</f>
        <v>0.15082169583449576</v>
      </c>
      <c r="AK118" s="42">
        <f>AJ118</f>
        <v>0.15082169583449576</v>
      </c>
      <c r="AL118" s="466"/>
      <c r="AM118" s="42">
        <f>AM28/ltmopex _3c98</f>
        <v>0.15474165934593762</v>
      </c>
      <c r="AN118" s="42">
        <f>AN28/ltmopex _4c98</f>
        <v>0.15108289536328928</v>
      </c>
      <c r="AO118" s="42">
        <f>AO28/ltmopex _1c99</f>
        <v>0.15174963527044802</v>
      </c>
      <c r="AP118" s="42">
        <f>AP28/ltmopex _2c99</f>
        <v>0.16753306944100635</v>
      </c>
      <c r="AQ118" s="42">
        <f>AP118</f>
        <v>0.16753306944100635</v>
      </c>
      <c r="AR118" s="466"/>
      <c r="AS118" s="42">
        <f>AS28/ltmopex _3c99</f>
        <v>0.15991661606128221</v>
      </c>
      <c r="AT118" s="42">
        <f>AT28/ltmopex _4c99</f>
        <v>0.15160220263021115</v>
      </c>
      <c r="AU118" s="42">
        <f>AU28/ltmopex _1c00</f>
        <v>0.16918018527544737</v>
      </c>
      <c r="AV118" s="42">
        <f>AV28/ltmopex _2c00</f>
        <v>0.17666884409643438</v>
      </c>
      <c r="AW118" s="42">
        <f>AV118</f>
        <v>0.17666884409643438</v>
      </c>
      <c r="AX118" s="466"/>
      <c r="AY118" s="42">
        <f>AY28/ltmopex _3c00</f>
        <v>0.18724865179536407</v>
      </c>
      <c r="AZ118" s="42">
        <f>AZ28/ltmopex _4c00</f>
        <v>0.16316834240560216</v>
      </c>
      <c r="BA118" s="42">
        <f>BA28/ltmopex _1c01</f>
        <v>0.17975465234657395</v>
      </c>
      <c r="BB118" s="42">
        <f>BB28/ltmopex _2c01</f>
        <v>0.17799899732674901</v>
      </c>
      <c r="BC118" s="42">
        <f>BB118</f>
        <v>0.17799899732674901</v>
      </c>
      <c r="BD118" s="466"/>
      <c r="BE118" s="42">
        <f>BE28/ltmopex _3c01</f>
        <v>0.19381472455679735</v>
      </c>
      <c r="BF118" s="42">
        <f>BF28/ltmopex _4c01</f>
        <v>0.19150647220546313</v>
      </c>
      <c r="BG118" s="42">
        <f>BG28/ltmopex _1c02</f>
        <v>0.21428650643782013</v>
      </c>
      <c r="BH118" s="42">
        <f>BH28/ltmopex _2c02</f>
        <v>0.21291273824177906</v>
      </c>
      <c r="BI118" s="42">
        <f>BH118</f>
        <v>0.21291273824177906</v>
      </c>
      <c r="BJ118" s="215"/>
      <c r="BK118" s="42">
        <f>BK28/ltmopex _3c02</f>
        <v>0.20687089375585144</v>
      </c>
      <c r="BL118" s="42">
        <f>BL28/ltmopex _4c02</f>
        <v>0.22146862131408543</v>
      </c>
      <c r="BM118" s="42">
        <f>BM28/ltmopex _1c03</f>
        <v>0.22079145745660161</v>
      </c>
      <c r="BN118" s="42">
        <f>BN28/ltmopex _2c03</f>
        <v>0.27701056051990253</v>
      </c>
      <c r="BO118" s="42">
        <f>BN118</f>
        <v>0.27701056051990253</v>
      </c>
      <c r="BP118" s="36"/>
      <c r="BQ118" s="42">
        <f>BQ28/ltmopex _3c03</f>
        <v>0.23370002683123156</v>
      </c>
      <c r="BR118" s="42">
        <f>BR28/ltmopex _4c03</f>
        <v>0.22708113804004215</v>
      </c>
      <c r="BS118" s="42">
        <f>BS28/ltmopex _1c04</f>
        <v>0.2687224669603524</v>
      </c>
      <c r="BT118" s="42">
        <f>BT28/ltmopex _2c04</f>
        <v>0.26893081761006288</v>
      </c>
      <c r="BU118" s="42">
        <f>BT118</f>
        <v>0.26893081761006288</v>
      </c>
      <c r="BV118" s="36"/>
      <c r="BW118" s="42">
        <f>BW28/ltmopex _3c04</f>
        <v>0.21883206202325872</v>
      </c>
      <c r="BX118" s="42">
        <f>BX28/ltmopex _4c04</f>
        <v>0.20098380204710325</v>
      </c>
      <c r="BY118" s="42">
        <f>BY28/ltmopex _1c05</f>
        <v>0.35136668873545823</v>
      </c>
      <c r="BZ118" s="42">
        <f>BZ28/ltmopex _2c05</f>
        <v>0.22573960583748512</v>
      </c>
      <c r="CA118" s="42">
        <f>BZ118</f>
        <v>0.22573960583748512</v>
      </c>
      <c r="CB118" s="36"/>
      <c r="CC118" s="42">
        <f>CC28/ltmopex _3c05</f>
        <v>0.17367860053921877</v>
      </c>
      <c r="CD118" s="42">
        <f>CD28/ltmopex _4c05</f>
        <v>0.17164917838051871</v>
      </c>
      <c r="CE118" s="42">
        <f>CE28/ltmopex _1c06</f>
        <v>0.24736135098829398</v>
      </c>
      <c r="CF118" s="42">
        <f>CF28/ltmopex _2c06</f>
        <v>0.30292987468985966</v>
      </c>
      <c r="CG118" s="467">
        <f>CF118</f>
        <v>0.30292987468985966</v>
      </c>
      <c r="CH118" s="36"/>
      <c r="CI118" s="42">
        <f>CI28/ltmopex _3c06</f>
        <v>0.23176032422249684</v>
      </c>
      <c r="CJ118" s="42">
        <f>CJ28/ltmopex _4c06</f>
        <v>0.21709231364733206</v>
      </c>
      <c r="CK118" s="42">
        <f>CK28/ltmopex _1c07</f>
        <v>0.20855711407133282</v>
      </c>
      <c r="CL118" s="42">
        <f>CL28/ltmopex _2c07</f>
        <v>0.24709258420178221</v>
      </c>
      <c r="CM118" s="467">
        <f>CL118</f>
        <v>0.24709258420178221</v>
      </c>
      <c r="CN118" s="36"/>
      <c r="CO118" s="42">
        <f>CO28/ltmopex _3c07</f>
        <v>0.21919566457501427</v>
      </c>
      <c r="CP118" s="42">
        <f>CP28/ltmopex _4c07</f>
        <v>0.19451608524501154</v>
      </c>
      <c r="CQ118" s="42">
        <f>CQ28/ltmopex _1c08</f>
        <v>0.19332369562360363</v>
      </c>
      <c r="CR118" s="42">
        <f>CR28/ltmopex _2c08</f>
        <v>0.24937437437437437</v>
      </c>
      <c r="CS118" s="467">
        <f>CR118</f>
        <v>0.24937437437437437</v>
      </c>
      <c r="CT118" s="232"/>
      <c r="CU118" s="42">
        <f>CU28/ltmopex _3c08</f>
        <v>0.20652971386647101</v>
      </c>
      <c r="CV118" s="42">
        <f>CV28/ltmopex _4c08</f>
        <v>0.20520373097692685</v>
      </c>
      <c r="CW118" s="42">
        <f>CW28/ltmopex _1c09</f>
        <v>0.20705445544554454</v>
      </c>
      <c r="CX118" s="42">
        <f>CX28/ltmopex _2c09</f>
        <v>0.23825247650495301</v>
      </c>
      <c r="CY118" s="467">
        <f>CX118</f>
        <v>0.23825247650495301</v>
      </c>
      <c r="CZ118" s="232"/>
      <c r="DA118" s="42">
        <f>DA28/ltmopex _3c09</f>
        <v>0.20633472367049011</v>
      </c>
      <c r="DB118" s="42">
        <f>DB28/ltmopex _4c09</f>
        <v>0.22746725457139153</v>
      </c>
      <c r="DC118" s="42">
        <f>DC28/ltmopex _1c10</f>
        <v>0.31911728242003473</v>
      </c>
      <c r="DD118" s="42">
        <f>DD28/ltmopex _2c10</f>
        <v>0.33585374111274124</v>
      </c>
      <c r="DE118" s="467">
        <f>DD118</f>
        <v>0.33585374111274124</v>
      </c>
      <c r="DF118" s="232"/>
      <c r="DG118" s="42">
        <f>DG28/ltmopex _3c10</f>
        <v>0.2568249716699289</v>
      </c>
      <c r="DH118" s="42">
        <f>DH28/ltmopex _4c10</f>
        <v>0.2801909307875895</v>
      </c>
      <c r="DI118" s="42">
        <f>DI28/ltmopex _1c11</f>
        <v>0.25808757819481681</v>
      </c>
      <c r="DJ118" s="42">
        <f>DJ28/ltmopex _2c11</f>
        <v>0.27740434332988623</v>
      </c>
      <c r="DK118" s="467">
        <f>DJ118</f>
        <v>0.27740434332988623</v>
      </c>
      <c r="DL118" s="232"/>
      <c r="DM118" s="42">
        <f>DM28/ltmopex _3c11</f>
        <v>0.24974721941354905</v>
      </c>
      <c r="DN118" s="42">
        <f>DN28/ltmopex _4c11</f>
        <v>0.24389035667107001</v>
      </c>
      <c r="DO118" s="42">
        <f>DO28/ltmopex _1c12</f>
        <v>0.26646928201332348</v>
      </c>
      <c r="DP118" s="42">
        <f>DP28/ltmopex _2c12</f>
        <v>0.2428887613738831</v>
      </c>
      <c r="DQ118" s="467">
        <f>DP118</f>
        <v>0.2428887613738831</v>
      </c>
      <c r="DR118" s="232"/>
      <c r="DS118" s="42">
        <f>DS28/ltmopex _3c11</f>
        <v>0.21309403437815977</v>
      </c>
      <c r="DT118" s="42">
        <f>DT28/ltmopex _4c11</f>
        <v>0.2208553500660502</v>
      </c>
      <c r="DU118" s="42">
        <f>DU28/ltmopex _1c13</f>
        <v>0.19828209039094485</v>
      </c>
      <c r="DV118" s="42">
        <f>DV28/ltmopex _2c13</f>
        <v>0.2785862785862786</v>
      </c>
      <c r="DW118" s="467">
        <f>DV118</f>
        <v>0.2785862785862786</v>
      </c>
      <c r="DX118" s="232"/>
      <c r="DY118" s="42">
        <f>DY28/ltmopex _3c13</f>
        <v>0.21271354787445371</v>
      </c>
      <c r="DZ118" s="42">
        <f>DZ28/ltmopex _4c13</f>
        <v>0.23055838358524552</v>
      </c>
      <c r="EA118" s="42">
        <f>EA28/ltmopex _1c14</f>
        <v>0.24273504273504273</v>
      </c>
      <c r="EB118" s="42">
        <f>EB28/ltmopex _2c14</f>
        <v>0.24549428637165427</v>
      </c>
      <c r="EC118" s="467">
        <f>EB118</f>
        <v>0.24549428637165427</v>
      </c>
      <c r="ED118" s="232"/>
      <c r="EE118" s="42">
        <f>EE28/ltmopex _3c14</f>
        <v>0.19099508134695423</v>
      </c>
      <c r="EF118" s="42">
        <f>EF28/ltmopex _4c14</f>
        <v>0.23543999398812654</v>
      </c>
      <c r="EG118" s="42">
        <f>EG28/ltmopex _1c15</f>
        <v>0.23643845866068089</v>
      </c>
      <c r="EH118" s="42">
        <f>EH28/Model!EH366</f>
        <v>0.25378590078328983</v>
      </c>
      <c r="EI118" s="467">
        <f>EH118</f>
        <v>0.25378590078328983</v>
      </c>
      <c r="EJ118" s="232"/>
      <c r="EK118" s="42">
        <f>EK28/Model!EK366</f>
        <v>0.1865327380952381</v>
      </c>
      <c r="EL118" s="42">
        <f>EL28/Model!EL366</f>
        <v>0.20261389647788525</v>
      </c>
      <c r="EM118" s="42">
        <f>EM28/Model!EM366</f>
        <v>0.21710815161715205</v>
      </c>
      <c r="EN118" s="42">
        <f>EN28/Model!EN366</f>
        <v>0.24016428880242111</v>
      </c>
      <c r="EO118" s="467">
        <f>EN118</f>
        <v>0.24016428880242111</v>
      </c>
      <c r="EP118" s="232"/>
      <c r="EQ118" s="42">
        <f>EQ28/Model!EQ366</f>
        <v>0.19110390525870577</v>
      </c>
      <c r="ER118" s="42">
        <f>ER28/Model!ER366</f>
        <v>0.21052261871312167</v>
      </c>
      <c r="ES118" s="42">
        <f>ES28/Model!ES366</f>
        <v>0.20283282165782862</v>
      </c>
      <c r="ET118" s="42">
        <f>ET28/Model!ET366</f>
        <v>0.24932155034444367</v>
      </c>
      <c r="EU118" s="467">
        <f>ET118</f>
        <v>0.24932155034444367</v>
      </c>
      <c r="EV118" s="232"/>
      <c r="EW118" s="42">
        <f>EW28/Model!EW366</f>
        <v>0.19725818735719725</v>
      </c>
      <c r="EX118" s="42">
        <f>EX28/Model!EX366</f>
        <v>0.19821502698215027</v>
      </c>
      <c r="EY118" s="42">
        <f>EY28/Model!EY366</f>
        <v>0.23250844419935204</v>
      </c>
      <c r="EZ118" s="468">
        <f>ET118-1%</f>
        <v>0.23932155034444366</v>
      </c>
      <c r="FA118" s="467">
        <f>EZ118</f>
        <v>0.23932155034444366</v>
      </c>
      <c r="FB118" s="232"/>
      <c r="FC118" s="468">
        <f>EW118-1%</f>
        <v>0.18725818735719724</v>
      </c>
      <c r="FD118" s="468">
        <f>EX118-1%</f>
        <v>0.18821502698215026</v>
      </c>
      <c r="FE118" s="468">
        <f>EY118-1%</f>
        <v>0.22250844419935203</v>
      </c>
      <c r="FF118" s="468">
        <f>EZ118-1%</f>
        <v>0.22932155034444365</v>
      </c>
      <c r="FG118" s="467">
        <f>FF118</f>
        <v>0.22932155034444365</v>
      </c>
      <c r="FH118" s="232"/>
      <c r="FI118" s="468">
        <f>FC118-1%</f>
        <v>0.17725818735719723</v>
      </c>
      <c r="FJ118" s="468">
        <f>FD118-1%</f>
        <v>0.17821502698215025</v>
      </c>
      <c r="FK118" s="468">
        <f>FE118-1%</f>
        <v>0.21250844419935203</v>
      </c>
      <c r="FL118" s="468">
        <f>FF118-1%</f>
        <v>0.21932155034444364</v>
      </c>
      <c r="FM118" s="467">
        <f>FL118</f>
        <v>0.21932155034444364</v>
      </c>
      <c r="FN118" s="215"/>
      <c r="FO118" s="215"/>
      <c r="FP118" s="215"/>
      <c r="FQ118" s="215"/>
      <c r="FR118"/>
      <c r="FS118"/>
      <c r="FT118"/>
      <c r="FU118"/>
      <c r="FV118"/>
      <c r="FW118"/>
      <c r="FX118" s="215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</row>
    <row r="119" spans="1:274" s="24" customFormat="1" ht="10.5" customHeight="1" x14ac:dyDescent="0.2">
      <c r="A119" s="247" t="s">
        <v>492</v>
      </c>
      <c r="B119" s="20"/>
      <c r="C119" s="250" t="s">
        <v>945</v>
      </c>
      <c r="D119" s="42">
        <f>D34/rev _fy85</f>
        <v>0</v>
      </c>
      <c r="E119" s="42">
        <f>E34/rev _fy86</f>
        <v>0</v>
      </c>
      <c r="F119" s="42">
        <f>F34/rev _fy87</f>
        <v>0</v>
      </c>
      <c r="G119" s="42">
        <f>G34/rev _fy88</f>
        <v>0</v>
      </c>
      <c r="H119" s="42">
        <f>H34/rev _fy89</f>
        <v>9.7670435080507035E-3</v>
      </c>
      <c r="I119" s="42">
        <f>I34/rev _fy90</f>
        <v>5.3863529719879091E-3</v>
      </c>
      <c r="J119" s="42">
        <f>J34/rev _fy91</f>
        <v>9.0772985819335388E-3</v>
      </c>
      <c r="K119" s="42">
        <f>K34/rev _fy92</f>
        <v>7.2298558100084807E-3</v>
      </c>
      <c r="L119" s="42">
        <f>L34/rev _fy93</f>
        <v>5.4710578842315375E-3</v>
      </c>
      <c r="M119" s="42">
        <f>M34/rev _fy94</f>
        <v>3.8650833746846185E-2</v>
      </c>
      <c r="N119" s="36"/>
      <c r="O119" s="42" t="s">
        <v>945</v>
      </c>
      <c r="P119" s="42" t="s">
        <v>945</v>
      </c>
      <c r="Q119" s="42" t="s">
        <v>945</v>
      </c>
      <c r="R119" s="473">
        <f>R34/ltmopex _2c95</f>
        <v>3.1715567918525721E-2</v>
      </c>
      <c r="S119" s="42">
        <f>R119</f>
        <v>3.1715567918525721E-2</v>
      </c>
      <c r="T119" s="36"/>
      <c r="U119" s="42">
        <f>U34/ltmopex _3c95</f>
        <v>2.9714105381413163E-2</v>
      </c>
      <c r="V119" s="42">
        <f>V34/ltmopex _4c95</f>
        <v>6.3405420478781054E-3</v>
      </c>
      <c r="W119" s="42">
        <f>W34/ltmopex _1c96</f>
        <v>6.0646484744341315E-3</v>
      </c>
      <c r="X119" s="42">
        <f>X34/ltmopex _2c96</f>
        <v>1.0005226885996319E-2</v>
      </c>
      <c r="Y119" s="42">
        <f>X119</f>
        <v>1.0005226885996319E-2</v>
      </c>
      <c r="Z119" s="466"/>
      <c r="AA119" s="42">
        <f>AA34/ltmopex _3c96</f>
        <v>9.5553497934347999E-3</v>
      </c>
      <c r="AB119" s="42">
        <f>AB34/ltmopex _4c96</f>
        <v>9.2871744491351011E-3</v>
      </c>
      <c r="AC119" s="42">
        <f>AC34/ltmopex _1c97</f>
        <v>9.1816002687073947E-3</v>
      </c>
      <c r="AD119" s="42">
        <f>AD34/ltmopex _2c97</f>
        <v>8.8621195200567372E-3</v>
      </c>
      <c r="AE119" s="42">
        <f>AD119</f>
        <v>8.8621195200567372E-3</v>
      </c>
      <c r="AF119" s="466"/>
      <c r="AG119" s="42">
        <f>AG34/ltmopex _3c97</f>
        <v>9.9781953093159778E-3</v>
      </c>
      <c r="AH119" s="42">
        <f>AH34/ltmopex _4c97</f>
        <v>1.8454847014284809E-2</v>
      </c>
      <c r="AI119" s="42">
        <f>AI34/ltmopex _1c98</f>
        <v>1.7235034778197947E-2</v>
      </c>
      <c r="AJ119" s="42">
        <f>AJ34/ltmopex _2c98</f>
        <v>1.6478727264054256E-2</v>
      </c>
      <c r="AK119" s="42">
        <f>AJ119</f>
        <v>1.6478727264054256E-2</v>
      </c>
      <c r="AL119" s="466"/>
      <c r="AM119" s="42">
        <f>AM34/ltmopex _3c98</f>
        <v>1.5625749188878175E-2</v>
      </c>
      <c r="AN119" s="42">
        <f>AN34/ltmopex _4c98</f>
        <v>1.5887718969115682E-2</v>
      </c>
      <c r="AO119" s="42">
        <f>AO34/ltmopex _1c99</f>
        <v>1.9398238767369375E-2</v>
      </c>
      <c r="AP119" s="42">
        <f>AP34/ltmopex _2c99</f>
        <v>2.0034070026319826E-2</v>
      </c>
      <c r="AQ119" s="42">
        <f>AP119</f>
        <v>2.0034070026319826E-2</v>
      </c>
      <c r="AR119" s="466"/>
      <c r="AS119" s="42">
        <f>AS34/ltmopex _3c99</f>
        <v>1.7876493382272946E-2</v>
      </c>
      <c r="AT119" s="42">
        <f>AT34/ltmopex _4c99</f>
        <v>1.8062107110984712E-2</v>
      </c>
      <c r="AU119" s="42">
        <f>AU34/ltmopex _1c00</f>
        <v>1.7405745749379226E-2</v>
      </c>
      <c r="AV119" s="42">
        <f>AV34/ltmopex _2c00</f>
        <v>4.5815621934565592E-2</v>
      </c>
      <c r="AW119" s="42">
        <f>AV119</f>
        <v>4.5815621934565592E-2</v>
      </c>
      <c r="AX119" s="466"/>
      <c r="AY119" s="42">
        <f>AY34/ltmopex _3c00</f>
        <v>4.2867240017124941E-2</v>
      </c>
      <c r="AZ119" s="42">
        <f>AZ34/ltmopex _4c00</f>
        <v>4.5741693851584699E-2</v>
      </c>
      <c r="BA119" s="42">
        <f>BA34/ltmopex _1c01</f>
        <v>4.5353192903696424E-2</v>
      </c>
      <c r="BB119" s="42">
        <f>BB34/ltmopex _2c01</f>
        <v>4.8290684726916173E-2</v>
      </c>
      <c r="BC119" s="42">
        <f>BB119</f>
        <v>4.8290684726916173E-2</v>
      </c>
      <c r="BD119" s="466"/>
      <c r="BE119" s="42">
        <f>BE34/ltmopex _3c01</f>
        <v>4.6186406723576358E-2</v>
      </c>
      <c r="BF119" s="42">
        <f>BF34/ltmopex _4c01</f>
        <v>5.1657219378201016E-2</v>
      </c>
      <c r="BG119" s="42">
        <f>BG34/ltmopex _1c02</f>
        <v>5.2813717078698585E-2</v>
      </c>
      <c r="BH119" s="42">
        <f>BH34/ltmopex _2c02</f>
        <v>5.9788710484667308E-2</v>
      </c>
      <c r="BI119" s="42">
        <f>BH119</f>
        <v>5.9788710484667308E-2</v>
      </c>
      <c r="BJ119" s="215"/>
      <c r="BK119" s="42">
        <f>BK34/ltmopex _3c02</f>
        <v>5.6964449005234452E-2</v>
      </c>
      <c r="BL119" s="42">
        <f>BL34/ltmopex _4c02</f>
        <v>5.8238044864074315E-2</v>
      </c>
      <c r="BM119" s="42">
        <f>BM34/ltmopex _1c03</f>
        <v>5.6349230860089736E-2</v>
      </c>
      <c r="BN119" s="42">
        <f>BN34/ltmopex _2c03</f>
        <v>6.0926076360682375E-2</v>
      </c>
      <c r="BO119" s="42">
        <f>BN119</f>
        <v>6.0926076360682375E-2</v>
      </c>
      <c r="BP119" s="36"/>
      <c r="BQ119" s="42">
        <f>BQ34/ltmopex _3c03</f>
        <v>5.6077273946874159E-2</v>
      </c>
      <c r="BR119" s="42">
        <f>BR34/ltmopex _4c03</f>
        <v>6.8493150684931503E-2</v>
      </c>
      <c r="BS119" s="42">
        <f>BS34/ltmopex _1c04</f>
        <v>6.4265353718579943E-2</v>
      </c>
      <c r="BT119" s="42">
        <f>BT34/ltmopex _2c04</f>
        <v>6.8930817610062894E-2</v>
      </c>
      <c r="BU119" s="42">
        <f>BT119</f>
        <v>6.8930817610062894E-2</v>
      </c>
      <c r="BV119" s="36"/>
      <c r="BW119" s="42">
        <f>BW34/ltmopex _3c04</f>
        <v>6.2574865574590466E-2</v>
      </c>
      <c r="BX119" s="42">
        <f>BX34/ltmopex _4c04</f>
        <v>9.3163072642353184E-2</v>
      </c>
      <c r="BY119" s="42">
        <f>BY34/ltmopex _1c05</f>
        <v>0.13737822756076801</v>
      </c>
      <c r="BZ119" s="42">
        <f>BZ34/ltmopex _2c05</f>
        <v>0.1362373793042635</v>
      </c>
      <c r="CA119" s="42">
        <f>BZ119</f>
        <v>0.1362373793042635</v>
      </c>
      <c r="CB119" s="36"/>
      <c r="CC119" s="42">
        <f>CC34/ltmopex _3c05</f>
        <v>0.12184671975254457</v>
      </c>
      <c r="CD119" s="42">
        <f>CD34/ltmopex _4c05</f>
        <v>0.11126509602058998</v>
      </c>
      <c r="CE119" s="42">
        <f>CE34/ltmopex _1c06</f>
        <v>0.19478027250047975</v>
      </c>
      <c r="CF119" s="42">
        <f>CF34/ltmopex _2c06</f>
        <v>0.14116424675080391</v>
      </c>
      <c r="CG119" s="467">
        <f>CF119</f>
        <v>0.14116424675080391</v>
      </c>
      <c r="CH119" s="36"/>
      <c r="CI119" s="42">
        <f>CI34/ltmopex _3c06</f>
        <v>0.16262972788469018</v>
      </c>
      <c r="CJ119" s="42">
        <f>CJ34/ltmopex _4c06</f>
        <v>0.16817242202877544</v>
      </c>
      <c r="CK119" s="42">
        <f>CK34/ltmopex _1c07</f>
        <v>0.13454286005504026</v>
      </c>
      <c r="CL119" s="42">
        <f>CL34/ltmopex _2c07</f>
        <v>0.13744147409756835</v>
      </c>
      <c r="CM119" s="467">
        <f>CL119</f>
        <v>0.13744147409756835</v>
      </c>
      <c r="CN119" s="36"/>
      <c r="CO119" s="42">
        <f>CO34/ltmopex _3c07</f>
        <v>0.30305191100969764</v>
      </c>
      <c r="CP119" s="42">
        <f>CP34/ltmopex _4c07</f>
        <v>0.34315189357947606</v>
      </c>
      <c r="CQ119" s="42">
        <f>CQ34/ltmopex _1c08</f>
        <v>0.35379156262320938</v>
      </c>
      <c r="CR119" s="42">
        <f>CR34/ltmopex _2c08</f>
        <v>0.34547047047047047</v>
      </c>
      <c r="CS119" s="467">
        <f>CR119</f>
        <v>0.34547047047047047</v>
      </c>
      <c r="CT119" s="232"/>
      <c r="CU119" s="42">
        <f>CU34/ltmopex _3c08</f>
        <v>0.3350452433357789</v>
      </c>
      <c r="CV119" s="42">
        <f>CV34/ltmopex _4c08</f>
        <v>0.33382425135002453</v>
      </c>
      <c r="CW119" s="42">
        <f>CW34/ltmopex _1c09</f>
        <v>0.3368811881188119</v>
      </c>
      <c r="CX119" s="42">
        <f>CX34/ltmopex _2c09</f>
        <v>0.43942087884175768</v>
      </c>
      <c r="CY119" s="467">
        <f>CX119</f>
        <v>0.43942087884175768</v>
      </c>
      <c r="CZ119" s="232"/>
      <c r="DA119" s="42">
        <f>DA34/ltmopex _3c09</f>
        <v>0.41227841501564128</v>
      </c>
      <c r="DB119" s="42">
        <f>DB34/ltmopex _4c09</f>
        <v>0.42562572947736999</v>
      </c>
      <c r="DC119" s="42">
        <f>DC34/ltmopex _1c10</f>
        <v>0.55132655591371182</v>
      </c>
      <c r="DD119" s="42">
        <f>DD34/ltmopex _2c10</f>
        <v>0.42365421509987589</v>
      </c>
      <c r="DE119" s="467">
        <f>DD119</f>
        <v>0.42365421509987589</v>
      </c>
      <c r="DF119" s="232"/>
      <c r="DG119" s="42">
        <f>DG34/ltmopex _3c10</f>
        <v>0.39311836818790563</v>
      </c>
      <c r="DH119" s="42">
        <f>DH34/ltmopex _4c10</f>
        <v>0.37489260143198089</v>
      </c>
      <c r="DI119" s="42">
        <f>DI34/ltmopex _1c11</f>
        <v>0.37739052725647898</v>
      </c>
      <c r="DJ119" s="42">
        <f>DJ34/ltmopex _2c11</f>
        <v>0.36771802826611516</v>
      </c>
      <c r="DK119" s="467">
        <f>DJ119</f>
        <v>0.36771802826611516</v>
      </c>
      <c r="DL119" s="232"/>
      <c r="DM119" s="42">
        <f>DM34/ltmopex _3c11</f>
        <v>0.40234243343444559</v>
      </c>
      <c r="DN119" s="42">
        <f>DN34/ltmopex _4c11</f>
        <v>0.39572324966974903</v>
      </c>
      <c r="DO119" s="42">
        <f>DO34/ltmopex _1c12</f>
        <v>0.38539353565260304</v>
      </c>
      <c r="DP119" s="42">
        <f>DP34/ltmopex _2c12</f>
        <v>0.43675711123862609</v>
      </c>
      <c r="DQ119" s="467">
        <f>DP119</f>
        <v>0.43675711123862609</v>
      </c>
      <c r="DR119" s="232"/>
      <c r="DS119" s="42">
        <f>DS34/ltmopex _3c11</f>
        <v>0.4504550050556117</v>
      </c>
      <c r="DT119" s="42">
        <f>DT34/ltmopex _4c11</f>
        <v>0.44526089828269483</v>
      </c>
      <c r="DU119" s="42">
        <f>DU34/ltmopex _1c13</f>
        <v>0.42080757806855584</v>
      </c>
      <c r="DV119" s="42">
        <f>DV34/ltmopex _2c13</f>
        <v>0.42387653926115465</v>
      </c>
      <c r="DW119" s="467">
        <f>DV119</f>
        <v>0.42387653926115465</v>
      </c>
      <c r="DX119" s="232"/>
      <c r="DY119" s="42">
        <f>DY34/ltmopex _3c13</f>
        <v>0.42264600715137068</v>
      </c>
      <c r="DZ119" s="42">
        <f>DZ34/ltmopex _4c13</f>
        <v>0.42454381705693478</v>
      </c>
      <c r="EA119" s="42">
        <f>EA34/ltmopex _1c14</f>
        <v>0.43185703185703184</v>
      </c>
      <c r="EB119" s="42">
        <f>EB34/ltmopex _2c14</f>
        <v>0.44796380090497739</v>
      </c>
      <c r="EC119" s="467">
        <f>EB119</f>
        <v>0.44796380090497739</v>
      </c>
      <c r="ED119" s="232"/>
      <c r="EE119" s="42">
        <f>EE34/ltmopex _3c14</f>
        <v>0.44275444570563754</v>
      </c>
      <c r="EF119" s="42">
        <f>EF34/ltmopex _4c14</f>
        <v>0.44352596377846248</v>
      </c>
      <c r="EG119" s="42">
        <f>EG34/ltmopex _1c15</f>
        <v>0.46644219977553308</v>
      </c>
      <c r="EH119" s="42">
        <f>EH34/Model!EH366</f>
        <v>0.48899664304364043</v>
      </c>
      <c r="EI119" s="467">
        <f>EH119</f>
        <v>0.48899664304364043</v>
      </c>
      <c r="EJ119" s="232"/>
      <c r="EK119" s="42">
        <f>EK34/Model!EK366</f>
        <v>0.5005208333333333</v>
      </c>
      <c r="EL119" s="42">
        <f>EL34/Model!EL366</f>
        <v>0.47677767112161262</v>
      </c>
      <c r="EM119" s="42">
        <f>EM34/Model!EM366</f>
        <v>0.48492609395580272</v>
      </c>
      <c r="EN119" s="42">
        <f>EN34/Model!EN366</f>
        <v>0.5099437959360138</v>
      </c>
      <c r="EO119" s="467">
        <f>EN119</f>
        <v>0.5099437959360138</v>
      </c>
      <c r="EP119" s="232"/>
      <c r="EQ119" s="42">
        <f>EQ34/Model!EQ366</f>
        <v>0.50697871140561113</v>
      </c>
      <c r="ER119" s="42">
        <f>ER34/Model!ER366</f>
        <v>0.55626580500140488</v>
      </c>
      <c r="ES119" s="42">
        <f>ES34/Model!ES366</f>
        <v>0.56516885291655039</v>
      </c>
      <c r="ET119" s="42">
        <f>ET34/Model!ET366</f>
        <v>0.58833762438243686</v>
      </c>
      <c r="EU119" s="467">
        <f>ET119</f>
        <v>0.58833762438243686</v>
      </c>
      <c r="EV119" s="232"/>
      <c r="EW119" s="42">
        <f>EW34/Model!EW366</f>
        <v>0.60319878141660321</v>
      </c>
      <c r="EX119" s="42">
        <f>EX34/Model!EX366</f>
        <v>0.60868963608689641</v>
      </c>
      <c r="EY119" s="42">
        <f>EY34/Model!EY366</f>
        <v>1.0847866547184117</v>
      </c>
      <c r="EZ119" s="468">
        <f>EY119-0.01</f>
        <v>1.0747866547184117</v>
      </c>
      <c r="FA119" s="467">
        <f>EZ119</f>
        <v>1.0747866547184117</v>
      </c>
      <c r="FB119" s="232"/>
      <c r="FC119" s="468">
        <f>EZ119-0.01</f>
        <v>1.0647866547184117</v>
      </c>
      <c r="FD119" s="468">
        <f>FC119-0.01</f>
        <v>1.0547866547184117</v>
      </c>
      <c r="FE119" s="468">
        <f t="shared" ref="FE119:FF119" si="139">FD119-0.01</f>
        <v>1.0447866547184117</v>
      </c>
      <c r="FF119" s="468">
        <f t="shared" si="139"/>
        <v>1.0347866547184117</v>
      </c>
      <c r="FG119" s="467">
        <f>FF119</f>
        <v>1.0347866547184117</v>
      </c>
      <c r="FH119" s="232"/>
      <c r="FI119" s="468">
        <f>FF119-0.01</f>
        <v>1.0247866547184117</v>
      </c>
      <c r="FJ119" s="468">
        <f>FI119-0.01</f>
        <v>1.0147866547184117</v>
      </c>
      <c r="FK119" s="468">
        <f t="shared" ref="FK119:FL119" si="140">FJ119-0.01</f>
        <v>1.0047866547184117</v>
      </c>
      <c r="FL119" s="468">
        <f t="shared" si="140"/>
        <v>0.99478665471841166</v>
      </c>
      <c r="FM119" s="467">
        <f>FL119</f>
        <v>0.99478665471841166</v>
      </c>
      <c r="FN119" s="215"/>
      <c r="FO119" s="215"/>
      <c r="FP119" s="215"/>
      <c r="FQ119" s="215"/>
      <c r="FR119"/>
      <c r="FS119"/>
      <c r="FT119"/>
      <c r="FU119"/>
      <c r="FV119"/>
      <c r="FW119"/>
      <c r="FX119" s="215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</row>
    <row r="120" spans="1:274" s="24" customFormat="1" ht="5.25" customHeight="1" x14ac:dyDescent="0.2">
      <c r="A120" s="18"/>
      <c r="B120" s="20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  <c r="AL120" s="28"/>
      <c r="AM120" s="28"/>
      <c r="AN120" s="28"/>
      <c r="AO120" s="28"/>
      <c r="AP120" s="28"/>
      <c r="AQ120" s="28"/>
      <c r="AR120" s="28"/>
      <c r="AS120" s="28"/>
      <c r="AT120" s="28"/>
      <c r="AU120" s="28"/>
      <c r="AV120" s="28"/>
      <c r="AW120" s="28"/>
      <c r="AX120" s="28"/>
      <c r="AY120" s="28"/>
      <c r="AZ120" s="28"/>
      <c r="BA120" s="28"/>
      <c r="BB120" s="28"/>
      <c r="BC120" s="28"/>
      <c r="BD120" s="28"/>
      <c r="BE120" s="28"/>
      <c r="BF120" s="28"/>
      <c r="BG120" s="28"/>
      <c r="BH120" s="28"/>
      <c r="BI120" s="28"/>
      <c r="BJ120" s="28"/>
      <c r="BK120" s="28"/>
      <c r="BL120" s="28"/>
      <c r="BM120" s="28"/>
      <c r="BN120" s="28"/>
      <c r="BO120" s="28"/>
      <c r="BP120" s="28"/>
      <c r="BQ120" s="28"/>
      <c r="BR120" s="28"/>
      <c r="BS120" s="28"/>
      <c r="BT120" s="28"/>
      <c r="BU120" s="28"/>
      <c r="BV120" s="28"/>
      <c r="BW120" s="28"/>
      <c r="BX120" s="28"/>
      <c r="BY120" s="28"/>
      <c r="BZ120" s="28"/>
      <c r="CA120" s="28"/>
      <c r="CB120" s="28"/>
      <c r="CC120" s="28"/>
      <c r="CD120" s="28"/>
      <c r="CE120" s="28"/>
      <c r="CF120" s="28"/>
      <c r="CG120" s="416"/>
      <c r="CH120" s="28"/>
      <c r="CI120" s="28"/>
      <c r="CJ120" s="28"/>
      <c r="CK120" s="28"/>
      <c r="CL120" s="28"/>
      <c r="CM120" s="416"/>
      <c r="CN120" s="28"/>
      <c r="CO120" s="28"/>
      <c r="CP120" s="28"/>
      <c r="CQ120" s="28"/>
      <c r="CR120" s="28"/>
      <c r="CS120" s="416"/>
      <c r="CT120" s="28"/>
      <c r="CU120" s="28"/>
      <c r="CV120" s="28"/>
      <c r="CW120" s="28"/>
      <c r="CX120" s="28"/>
      <c r="CY120" s="416"/>
      <c r="CZ120" s="28"/>
      <c r="DA120" s="28"/>
      <c r="DB120" s="28"/>
      <c r="DC120" s="28"/>
      <c r="DD120" s="28"/>
      <c r="DE120" s="416"/>
      <c r="DF120" s="28"/>
      <c r="DG120" s="28"/>
      <c r="DH120" s="28"/>
      <c r="DI120" s="28"/>
      <c r="DJ120" s="28"/>
      <c r="DK120" s="416"/>
      <c r="DL120" s="28"/>
      <c r="DM120" s="28"/>
      <c r="DN120" s="28"/>
      <c r="DO120" s="28"/>
      <c r="DP120" s="28"/>
      <c r="DQ120" s="416"/>
      <c r="DR120" s="28"/>
      <c r="DS120" s="28"/>
      <c r="DT120" s="28"/>
      <c r="DU120" s="28"/>
      <c r="DV120" s="28"/>
      <c r="DW120" s="416"/>
      <c r="DX120" s="28"/>
      <c r="DY120" s="28"/>
      <c r="DZ120" s="28"/>
      <c r="EA120" s="28"/>
      <c r="EB120" s="28"/>
      <c r="EC120" s="416"/>
      <c r="ED120" s="28"/>
      <c r="EE120" s="28"/>
      <c r="EF120" s="28"/>
      <c r="EG120" s="28"/>
      <c r="EH120" s="28"/>
      <c r="EI120" s="416"/>
      <c r="EJ120" s="28"/>
      <c r="EK120" s="28"/>
      <c r="EL120" s="28"/>
      <c r="EM120" s="28"/>
      <c r="EN120" s="28"/>
      <c r="EO120" s="416"/>
      <c r="EP120" s="28"/>
      <c r="EQ120" s="28"/>
      <c r="ER120" s="28"/>
      <c r="ES120" s="28"/>
      <c r="ET120" s="28"/>
      <c r="EU120" s="416"/>
      <c r="EV120" s="28"/>
      <c r="EW120" s="28"/>
      <c r="EX120" s="28"/>
      <c r="EY120" s="28"/>
      <c r="EZ120" s="28"/>
      <c r="FA120" s="416"/>
      <c r="FB120" s="28"/>
      <c r="FC120" s="28"/>
      <c r="FD120" s="28"/>
      <c r="FE120" s="28"/>
      <c r="FF120" s="28"/>
      <c r="FG120" s="416"/>
      <c r="FH120" s="28"/>
      <c r="FI120" s="28"/>
      <c r="FJ120" s="28"/>
      <c r="FK120" s="28"/>
      <c r="FL120" s="28"/>
      <c r="FM120" s="416"/>
      <c r="FN120" s="28"/>
      <c r="FO120" s="28"/>
      <c r="FP120" s="28"/>
      <c r="FQ120" s="28"/>
      <c r="FR120"/>
      <c r="FS120"/>
      <c r="FT120"/>
      <c r="FU120"/>
      <c r="FV120"/>
      <c r="FW120"/>
      <c r="FX120" s="28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</row>
    <row r="121" spans="1:274" s="24" customFormat="1" ht="12.75" x14ac:dyDescent="0.2">
      <c r="A121" s="292" t="s">
        <v>493</v>
      </c>
      <c r="B121" s="20"/>
      <c r="C121" s="342"/>
      <c r="D121" s="342"/>
      <c r="E121" s="342"/>
      <c r="F121" s="342"/>
      <c r="G121" s="342"/>
      <c r="H121" s="342"/>
      <c r="I121" s="342"/>
      <c r="J121" s="342"/>
      <c r="K121" s="342"/>
      <c r="L121" s="342"/>
      <c r="M121" s="342"/>
      <c r="N121" s="342"/>
      <c r="O121" s="342"/>
      <c r="P121" s="342"/>
      <c r="Q121" s="342"/>
      <c r="R121" s="342"/>
      <c r="S121" s="342"/>
      <c r="T121" s="342"/>
      <c r="U121" s="342"/>
      <c r="V121" s="342"/>
      <c r="W121" s="342"/>
      <c r="X121" s="342"/>
      <c r="Y121" s="342"/>
      <c r="Z121" s="342"/>
      <c r="AA121" s="342"/>
      <c r="AB121" s="342"/>
      <c r="AC121" s="342"/>
      <c r="AD121" s="342"/>
      <c r="AE121" s="342"/>
      <c r="AF121" s="342"/>
      <c r="AG121" s="342"/>
      <c r="AH121" s="342"/>
      <c r="AI121" s="342"/>
      <c r="AJ121" s="342"/>
      <c r="AK121" s="342"/>
      <c r="AL121" s="342"/>
      <c r="AM121" s="342"/>
      <c r="AN121" s="342"/>
      <c r="AO121" s="342"/>
      <c r="AP121" s="342"/>
      <c r="AQ121" s="342"/>
      <c r="AR121" s="342"/>
      <c r="AS121" s="342"/>
      <c r="AT121" s="342"/>
      <c r="AU121" s="342"/>
      <c r="AV121" s="342"/>
      <c r="AW121" s="342"/>
      <c r="AX121" s="342"/>
      <c r="AY121" s="342"/>
      <c r="AZ121" s="342"/>
      <c r="BA121" s="342"/>
      <c r="BB121" s="342"/>
      <c r="BC121" s="342"/>
      <c r="BD121" s="342"/>
      <c r="BE121" s="342"/>
      <c r="BF121" s="342"/>
      <c r="BG121" s="342"/>
      <c r="BH121" s="342"/>
      <c r="BI121" s="342"/>
      <c r="BJ121" s="27"/>
      <c r="BK121" s="27"/>
      <c r="BL121" s="27"/>
      <c r="BM121" s="27"/>
      <c r="BN121" s="27"/>
      <c r="BO121" s="27"/>
      <c r="BP121" s="342"/>
      <c r="BQ121" s="27"/>
      <c r="BR121" s="27"/>
      <c r="BS121" s="27"/>
      <c r="BT121" s="27"/>
      <c r="BU121" s="27"/>
      <c r="BV121" s="342"/>
      <c r="BW121" s="27"/>
      <c r="BX121" s="27"/>
      <c r="BY121" s="27"/>
      <c r="BZ121" s="27"/>
      <c r="CA121" s="27"/>
      <c r="CB121" s="342"/>
      <c r="CC121" s="27"/>
      <c r="CD121" s="27"/>
      <c r="CE121" s="27"/>
      <c r="CF121" s="27"/>
      <c r="CG121" s="474"/>
      <c r="CH121" s="342"/>
      <c r="CI121" s="27"/>
      <c r="CJ121" s="27"/>
      <c r="CK121" s="27"/>
      <c r="CL121" s="27"/>
      <c r="CM121" s="474"/>
      <c r="CN121" s="342"/>
      <c r="CO121" s="27"/>
      <c r="CP121" s="27"/>
      <c r="CQ121" s="27"/>
      <c r="CR121" s="27"/>
      <c r="CS121" s="474"/>
      <c r="CT121" s="475"/>
      <c r="CU121" s="27"/>
      <c r="CV121" s="27"/>
      <c r="CW121" s="27"/>
      <c r="CX121" s="27"/>
      <c r="CY121" s="474"/>
      <c r="CZ121" s="475"/>
      <c r="DA121" s="27"/>
      <c r="DB121" s="27"/>
      <c r="DC121" s="27"/>
      <c r="DD121" s="27"/>
      <c r="DE121" s="474"/>
      <c r="DF121" s="475"/>
      <c r="DG121" s="27"/>
      <c r="DH121" s="27"/>
      <c r="DI121" s="27"/>
      <c r="DJ121" s="27"/>
      <c r="DK121" s="474"/>
      <c r="DL121" s="475"/>
      <c r="DM121" s="27"/>
      <c r="DN121" s="27"/>
      <c r="DO121" s="27"/>
      <c r="DP121" s="27"/>
      <c r="DQ121" s="474"/>
      <c r="DR121" s="475"/>
      <c r="DS121" s="27"/>
      <c r="DT121" s="27"/>
      <c r="DU121" s="27"/>
      <c r="DV121" s="27"/>
      <c r="DW121" s="474"/>
      <c r="DX121" s="475"/>
      <c r="DY121" s="27"/>
      <c r="DZ121" s="27"/>
      <c r="EA121" s="27"/>
      <c r="EB121" s="27"/>
      <c r="EC121" s="474"/>
      <c r="ED121" s="475"/>
      <c r="EE121" s="27"/>
      <c r="EF121" s="27"/>
      <c r="EG121" s="27"/>
      <c r="EH121" s="27"/>
      <c r="EI121" s="474"/>
      <c r="EJ121" s="475"/>
      <c r="EK121" s="27"/>
      <c r="EL121" s="27"/>
      <c r="EM121" s="27"/>
      <c r="EN121" s="27"/>
      <c r="EO121" s="474"/>
      <c r="EP121" s="475"/>
      <c r="EQ121" s="27"/>
      <c r="ER121" s="27"/>
      <c r="ES121" s="27"/>
      <c r="ET121" s="27"/>
      <c r="EU121" s="474"/>
      <c r="EV121" s="475"/>
      <c r="EW121" s="27"/>
      <c r="EX121" s="27"/>
      <c r="EY121" s="27"/>
      <c r="EZ121" s="27"/>
      <c r="FA121" s="474"/>
      <c r="FB121" s="475"/>
      <c r="FC121" s="27"/>
      <c r="FD121" s="27"/>
      <c r="FE121" s="27"/>
      <c r="FF121" s="27"/>
      <c r="FG121" s="474"/>
      <c r="FH121" s="475"/>
      <c r="FI121" s="27"/>
      <c r="FJ121" s="27"/>
      <c r="FK121" s="27"/>
      <c r="FL121" s="27"/>
      <c r="FM121" s="474"/>
      <c r="FN121" s="27"/>
      <c r="FO121" s="27"/>
      <c r="FP121" s="27"/>
      <c r="FQ121" s="27"/>
      <c r="FR121"/>
      <c r="FS121"/>
      <c r="FT121"/>
      <c r="FU121"/>
      <c r="FV121"/>
      <c r="FW121"/>
      <c r="FX121" s="27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</row>
    <row r="122" spans="1:274" s="24" customFormat="1" ht="10.5" customHeight="1" x14ac:dyDescent="0.2">
      <c r="A122" s="273" t="s">
        <v>791</v>
      </c>
      <c r="B122" s="476"/>
      <c r="C122" s="477" t="s">
        <v>945</v>
      </c>
      <c r="D122" s="477">
        <v>0.27500000000000002</v>
      </c>
      <c r="E122" s="477">
        <v>1.2709999999999999</v>
      </c>
      <c r="F122" s="477">
        <v>6.6280000000000001</v>
      </c>
      <c r="G122" s="477">
        <v>10.102</v>
      </c>
      <c r="H122" s="267">
        <v>16.829000000000001</v>
      </c>
      <c r="I122" s="477">
        <v>28.445</v>
      </c>
      <c r="J122" s="477">
        <v>66.444999999999993</v>
      </c>
      <c r="K122" s="477">
        <v>50.406999999999996</v>
      </c>
      <c r="L122" s="244">
        <v>34.634</v>
      </c>
      <c r="M122" s="59">
        <v>39.777000000000001</v>
      </c>
      <c r="N122" s="267"/>
      <c r="O122" s="477" t="s">
        <v>945</v>
      </c>
      <c r="P122" s="477" t="s">
        <v>945</v>
      </c>
      <c r="Q122" s="477" t="s">
        <v>945</v>
      </c>
      <c r="R122" s="244">
        <v>67.727999999999994</v>
      </c>
      <c r="S122" s="59">
        <f>R122</f>
        <v>67.727999999999994</v>
      </c>
      <c r="T122" s="244"/>
      <c r="U122" s="477" t="s">
        <v>945</v>
      </c>
      <c r="V122" s="477" t="s">
        <v>945</v>
      </c>
      <c r="W122" s="477" t="s">
        <v>945</v>
      </c>
      <c r="X122" s="244">
        <v>105.711</v>
      </c>
      <c r="Y122" s="59">
        <f>X122</f>
        <v>105.711</v>
      </c>
      <c r="Z122" s="244"/>
      <c r="AA122" s="477" t="s">
        <v>945</v>
      </c>
      <c r="AB122" s="477" t="s">
        <v>945</v>
      </c>
      <c r="AC122" s="477" t="s">
        <v>945</v>
      </c>
      <c r="AD122" s="244">
        <v>127.84</v>
      </c>
      <c r="AE122" s="59">
        <f>AD122</f>
        <v>127.84</v>
      </c>
      <c r="AF122" s="244"/>
      <c r="AG122" s="477" t="s">
        <v>945</v>
      </c>
      <c r="AH122" s="477" t="s">
        <v>945</v>
      </c>
      <c r="AI122" s="477" t="s">
        <v>945</v>
      </c>
      <c r="AJ122" s="244">
        <v>195.60900000000001</v>
      </c>
      <c r="AK122" s="59">
        <f>AJ122</f>
        <v>195.60900000000001</v>
      </c>
      <c r="AL122" s="244"/>
      <c r="AM122" s="477" t="s">
        <v>945</v>
      </c>
      <c r="AN122" s="477" t="s">
        <v>945</v>
      </c>
      <c r="AO122" s="477" t="s">
        <v>945</v>
      </c>
      <c r="AP122" s="244">
        <v>217.096</v>
      </c>
      <c r="AQ122" s="59">
        <f>AP122</f>
        <v>217.096</v>
      </c>
      <c r="AR122" s="244"/>
      <c r="AS122" s="477" t="s">
        <v>945</v>
      </c>
      <c r="AT122" s="477" t="s">
        <v>945</v>
      </c>
      <c r="AU122" s="477" t="s">
        <v>945</v>
      </c>
      <c r="AV122" s="244">
        <v>272.20299999999997</v>
      </c>
      <c r="AW122" s="59">
        <f>AV122</f>
        <v>272.20299999999997</v>
      </c>
      <c r="AX122" s="244"/>
      <c r="AY122" s="477">
        <v>262.95800000000003</v>
      </c>
      <c r="AZ122" s="477">
        <v>304.79300000000001</v>
      </c>
      <c r="BA122" s="477">
        <v>317.97000000000003</v>
      </c>
      <c r="BB122" s="244">
        <v>403</v>
      </c>
      <c r="BC122" s="59">
        <f>BB122</f>
        <v>403</v>
      </c>
      <c r="BD122" s="244"/>
      <c r="BE122" s="477">
        <v>399.53100000000001</v>
      </c>
      <c r="BF122" s="477">
        <v>380.96199999999999</v>
      </c>
      <c r="BG122" s="477">
        <v>387.28300000000002</v>
      </c>
      <c r="BH122" s="244">
        <v>413</v>
      </c>
      <c r="BI122" s="59">
        <f>BH122</f>
        <v>413</v>
      </c>
      <c r="BJ122" s="243"/>
      <c r="BK122" s="477">
        <v>400</v>
      </c>
      <c r="BL122" s="477">
        <v>362</v>
      </c>
      <c r="BM122" s="477">
        <v>368</v>
      </c>
      <c r="BN122" s="243">
        <v>376</v>
      </c>
      <c r="BO122" s="243">
        <f>BN122</f>
        <v>376</v>
      </c>
      <c r="BP122" s="267"/>
      <c r="BQ122" s="59">
        <v>354</v>
      </c>
      <c r="BR122" s="59">
        <v>363</v>
      </c>
      <c r="BS122" s="59">
        <v>358</v>
      </c>
      <c r="BT122" s="243">
        <v>364</v>
      </c>
      <c r="BU122" s="243">
        <f>BT122</f>
        <v>364</v>
      </c>
      <c r="BV122" s="267"/>
      <c r="BW122" s="59">
        <v>367</v>
      </c>
      <c r="BX122" s="59">
        <v>313</v>
      </c>
      <c r="BY122" s="59">
        <v>290</v>
      </c>
      <c r="BZ122" s="243">
        <v>269</v>
      </c>
      <c r="CA122" s="243">
        <f>BZ122</f>
        <v>269</v>
      </c>
      <c r="CB122" s="267"/>
      <c r="CC122" s="477">
        <v>260</v>
      </c>
      <c r="CD122" s="477">
        <v>275</v>
      </c>
      <c r="CE122" s="477">
        <v>307</v>
      </c>
      <c r="CF122" s="243">
        <v>325</v>
      </c>
      <c r="CG122" s="143">
        <f>CF122</f>
        <v>325</v>
      </c>
      <c r="CH122" s="267"/>
      <c r="CI122" s="477">
        <f>CI123*ltmrev _3c06</f>
        <v>315.10920302864724</v>
      </c>
      <c r="CJ122" s="477">
        <f>CJ123*ltmrev _4c06</f>
        <v>334.28582050710094</v>
      </c>
      <c r="CK122" s="477">
        <v>347</v>
      </c>
      <c r="CL122" s="477">
        <v>306</v>
      </c>
      <c r="CM122" s="143">
        <f>CL122</f>
        <v>306</v>
      </c>
      <c r="CN122" s="267"/>
      <c r="CO122" s="477">
        <v>283</v>
      </c>
      <c r="CP122" s="477">
        <v>258</v>
      </c>
      <c r="CQ122" s="477">
        <v>251</v>
      </c>
      <c r="CR122" s="243">
        <v>303</v>
      </c>
      <c r="CS122" s="143">
        <f>CR122</f>
        <v>303</v>
      </c>
      <c r="CT122" s="186"/>
      <c r="CU122" s="477">
        <v>306</v>
      </c>
      <c r="CV122" s="477">
        <v>301</v>
      </c>
      <c r="CW122" s="477">
        <v>281</v>
      </c>
      <c r="CX122" s="243">
        <v>270</v>
      </c>
      <c r="CY122" s="143">
        <f>CX122</f>
        <v>270</v>
      </c>
      <c r="CZ122" s="186"/>
      <c r="DA122" s="477">
        <v>245</v>
      </c>
      <c r="DB122" s="445">
        <v>265</v>
      </c>
      <c r="DC122" s="445">
        <v>273</v>
      </c>
      <c r="DD122" s="277">
        <v>305</v>
      </c>
      <c r="DE122" s="143">
        <f>DD122</f>
        <v>305</v>
      </c>
      <c r="DF122" s="186"/>
      <c r="DG122" s="477">
        <v>329</v>
      </c>
      <c r="DH122" s="445">
        <v>346</v>
      </c>
      <c r="DI122" s="445">
        <v>273</v>
      </c>
      <c r="DJ122" s="277">
        <v>372</v>
      </c>
      <c r="DK122" s="143">
        <f>DJ122</f>
        <v>372</v>
      </c>
      <c r="DL122" s="186"/>
      <c r="DM122" s="445">
        <v>383</v>
      </c>
      <c r="DN122" s="445">
        <v>352</v>
      </c>
      <c r="DO122" s="477">
        <v>349</v>
      </c>
      <c r="DP122" s="243">
        <f>rev _fy12*DP123</f>
        <v>372.21498900000006</v>
      </c>
      <c r="DQ122" s="143">
        <f>DP122</f>
        <v>372.21498900000006</v>
      </c>
      <c r="DR122" s="186"/>
      <c r="DS122" s="445">
        <f>rev _fy13*DS123</f>
        <v>298.024</v>
      </c>
      <c r="DT122" s="477">
        <f>DT123*ltmrev _4c12</f>
        <v>298.6759912</v>
      </c>
      <c r="DU122" s="477">
        <v>349</v>
      </c>
      <c r="DV122" s="243">
        <f>rev _fy12*DV123</f>
        <v>372.21498900000006</v>
      </c>
      <c r="DW122" s="143">
        <f>DV122</f>
        <v>372.21498900000006</v>
      </c>
      <c r="DX122" s="186"/>
      <c r="DY122" s="445">
        <f>rev _fy13*DY123</f>
        <v>298.024</v>
      </c>
      <c r="DZ122" s="477">
        <f>DZ123*ltmrev _4c13</f>
        <v>300.76</v>
      </c>
      <c r="EA122" s="477">
        <f>EA123*ltmrev _1c14</f>
        <v>379.40000000000003</v>
      </c>
      <c r="EB122" s="243">
        <f>rev _fy13*EB123</f>
        <v>372.53000000000003</v>
      </c>
      <c r="EC122" s="143">
        <f>EB122</f>
        <v>372.53000000000003</v>
      </c>
      <c r="ED122" s="186"/>
      <c r="EE122" s="477">
        <f>EE123*ltmrev _3c14</f>
        <v>308.18400000000003</v>
      </c>
      <c r="EF122" s="477">
        <f>EF123*ltmrev _4c14</f>
        <v>310.78399999999999</v>
      </c>
      <c r="EG122" s="477">
        <f>EG123*ltmrev _1c15</f>
        <v>388.67</v>
      </c>
      <c r="EH122" s="477">
        <f>EH123*Model!EH365</f>
        <v>382.53000000000003</v>
      </c>
      <c r="EI122" s="143">
        <f>EH122</f>
        <v>382.53000000000003</v>
      </c>
      <c r="EJ122" s="186"/>
      <c r="EK122" s="477">
        <f>EK123*Model!EK365</f>
        <v>304.84000000000003</v>
      </c>
      <c r="EL122" s="477">
        <f>EL123*Model!EL365</f>
        <v>299.94400000000002</v>
      </c>
      <c r="EM122" s="477">
        <f>EM123*Model!EM365</f>
        <v>371.73</v>
      </c>
      <c r="EN122" s="477">
        <f>EN123*Model!EN365</f>
        <v>370.57</v>
      </c>
      <c r="EO122" s="143">
        <f>EN122</f>
        <v>370.57</v>
      </c>
      <c r="EP122" s="186"/>
      <c r="EQ122" s="477">
        <f>EQ123*Model!EQ365</f>
        <v>297.75200000000001</v>
      </c>
      <c r="ER122" s="477">
        <f>ER123*Model!ER365</f>
        <v>298.34224</v>
      </c>
      <c r="ES122" s="477">
        <f>ES123*Model!ES365</f>
        <v>375.52780000000001</v>
      </c>
      <c r="ET122" s="477">
        <f>ET123*Model!ET365</f>
        <v>378.9778</v>
      </c>
      <c r="EU122" s="143">
        <f>ET122</f>
        <v>378.9778</v>
      </c>
      <c r="EV122" s="186"/>
      <c r="EW122" s="477">
        <f>EW123*Model!EW365</f>
        <v>307.97424000000001</v>
      </c>
      <c r="EX122" s="477">
        <f>EX123*Model!EX365</f>
        <v>312.45600000000002</v>
      </c>
      <c r="EY122" s="477">
        <f>EY123*Model!EY365</f>
        <v>395.59000000000003</v>
      </c>
      <c r="EZ122" s="477">
        <f>EZ123*Model!EZ365</f>
        <v>398.07672666097716</v>
      </c>
      <c r="FA122" s="143">
        <f>EZ122</f>
        <v>398.07672666097716</v>
      </c>
      <c r="FB122" s="186"/>
      <c r="FC122" s="477">
        <f>FC123*Model!FC365</f>
        <v>321.1605386017207</v>
      </c>
      <c r="FD122" s="477">
        <f>FD123*Model!FD365</f>
        <v>323.97555485822619</v>
      </c>
      <c r="FE122" s="477">
        <f>FE123*Model!FE365</f>
        <v>408.12779848838301</v>
      </c>
      <c r="FF122" s="477">
        <f>FF123*Model!FF365</f>
        <v>410.26584372989311</v>
      </c>
      <c r="FG122" s="143">
        <f>FF122</f>
        <v>410.26584372989311</v>
      </c>
      <c r="FH122" s="186"/>
      <c r="FI122" s="477">
        <f>FI123*Model!FI365</f>
        <v>331.33427396974866</v>
      </c>
      <c r="FJ122" s="477">
        <f>FJ123*Model!FJ365</f>
        <v>334.22208653934518</v>
      </c>
      <c r="FK122" s="477">
        <f>FK123*Model!FK365</f>
        <v>421.25933444613906</v>
      </c>
      <c r="FL122" s="477">
        <f>FL123*Model!FL365</f>
        <v>423.98855939974123</v>
      </c>
      <c r="FM122" s="143">
        <f>FL122</f>
        <v>423.98855939974123</v>
      </c>
      <c r="FN122" s="33"/>
      <c r="FO122" s="33"/>
      <c r="FP122" s="33"/>
      <c r="FQ122" s="33"/>
      <c r="FR122"/>
      <c r="FS122"/>
      <c r="FT122"/>
      <c r="FU122"/>
      <c r="FV122"/>
      <c r="FW122"/>
      <c r="FX122" s="33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</row>
    <row r="123" spans="1:274" s="24" customFormat="1" ht="10.5" customHeight="1" x14ac:dyDescent="0.2">
      <c r="A123" s="41" t="s">
        <v>494</v>
      </c>
      <c r="B123" s="20"/>
      <c r="C123" s="250" t="s">
        <v>945</v>
      </c>
      <c r="D123" s="64">
        <f>D122/rev _fy85</f>
        <v>1.1878536564295281E-2</v>
      </c>
      <c r="E123" s="64">
        <f>E122/rev _fy86</f>
        <v>2.2965037492095039E-2</v>
      </c>
      <c r="F123" s="64">
        <f>F122/rev _fy87</f>
        <v>5.0499432376627636E-2</v>
      </c>
      <c r="G123" s="64">
        <f>G122/rev _fy88</f>
        <v>3.5808346300950332E-2</v>
      </c>
      <c r="H123" s="64">
        <f>H122/rev _fy89</f>
        <v>2.8826652963343614E-2</v>
      </c>
      <c r="I123" s="64">
        <f>I122/rev _fy90</f>
        <v>3.1040277611060794E-2</v>
      </c>
      <c r="J123" s="64">
        <f>J122/rev _fy91</f>
        <v>6.4638420777684488E-2</v>
      </c>
      <c r="K123" s="64">
        <f>K122/rev _fy92</f>
        <v>4.2754028837998302E-2</v>
      </c>
      <c r="L123" s="64">
        <f>L122/rev _fy93</f>
        <v>2.3043246839654027E-2</v>
      </c>
      <c r="M123" s="64">
        <f>M122/rev _fy94</f>
        <v>1.9877100482873073E-2</v>
      </c>
      <c r="N123" s="36"/>
      <c r="O123" s="42" t="s">
        <v>945</v>
      </c>
      <c r="P123" s="42" t="s">
        <v>945</v>
      </c>
      <c r="Q123" s="42" t="s">
        <v>945</v>
      </c>
      <c r="R123" s="64">
        <f>R122/rev _fy95</f>
        <v>2.2828036744348773E-2</v>
      </c>
      <c r="S123" s="64">
        <f>R123</f>
        <v>2.2828036744348773E-2</v>
      </c>
      <c r="T123" s="34"/>
      <c r="U123" s="42" t="s">
        <v>945</v>
      </c>
      <c r="V123" s="42" t="s">
        <v>945</v>
      </c>
      <c r="W123" s="42" t="s">
        <v>945</v>
      </c>
      <c r="X123" s="64">
        <f>X122/rev _fy96</f>
        <v>2.5031517012556605E-2</v>
      </c>
      <c r="Y123" s="64">
        <f>X123</f>
        <v>2.5031517012556605E-2</v>
      </c>
      <c r="Z123" s="34"/>
      <c r="AA123" s="42" t="s">
        <v>945</v>
      </c>
      <c r="AB123" s="42" t="s">
        <v>945</v>
      </c>
      <c r="AC123" s="42" t="s">
        <v>945</v>
      </c>
      <c r="AD123" s="64">
        <f>AD122/rev _fy97</f>
        <v>2.2489873927227389E-2</v>
      </c>
      <c r="AE123" s="64">
        <f>AD123</f>
        <v>2.2489873927227389E-2</v>
      </c>
      <c r="AF123" s="34"/>
      <c r="AG123" s="42" t="s">
        <v>945</v>
      </c>
      <c r="AH123" s="42" t="s">
        <v>945</v>
      </c>
      <c r="AI123" s="42" t="s">
        <v>945</v>
      </c>
      <c r="AJ123" s="64">
        <f>AJ122/rev _fy98</f>
        <v>2.7381396484955974E-2</v>
      </c>
      <c r="AK123" s="64">
        <f>AJ123</f>
        <v>2.7381396484955974E-2</v>
      </c>
      <c r="AL123" s="34"/>
      <c r="AM123" s="42" t="s">
        <v>945</v>
      </c>
      <c r="AN123" s="42" t="s">
        <v>945</v>
      </c>
      <c r="AO123" s="42" t="s">
        <v>945</v>
      </c>
      <c r="AP123" s="64">
        <f>AP122/rev _fy99</f>
        <v>2.4593837357311198E-2</v>
      </c>
      <c r="AQ123" s="64">
        <f>AP123</f>
        <v>2.4593837357311198E-2</v>
      </c>
      <c r="AR123" s="34"/>
      <c r="AS123" s="42" t="s">
        <v>945</v>
      </c>
      <c r="AT123" s="42" t="s">
        <v>945</v>
      </c>
      <c r="AU123" s="42" t="s">
        <v>945</v>
      </c>
      <c r="AV123" s="69">
        <f>AV122/rev _fy00</f>
        <v>2.6870637764892995E-2</v>
      </c>
      <c r="AW123" s="69">
        <f>AV123</f>
        <v>2.6870637764892995E-2</v>
      </c>
      <c r="AX123" s="82"/>
      <c r="AY123" s="478">
        <f>AY122/ltmrev _3c00</f>
        <v>2.52029907597596E-2</v>
      </c>
      <c r="AZ123" s="478">
        <f>AZ122/ltmrev _4c00</f>
        <v>2.8226466661628761E-2</v>
      </c>
      <c r="BA123" s="478">
        <f>BA122/ltmrev _1c01</f>
        <v>2.8789186413264122E-2</v>
      </c>
      <c r="BB123" s="69">
        <f>BB122/rev _fy01</f>
        <v>3.6767751525177431E-2</v>
      </c>
      <c r="BC123" s="69">
        <f>BB123</f>
        <v>3.6767751525177431E-2</v>
      </c>
      <c r="BD123" s="82"/>
      <c r="BE123" s="478">
        <f>BE122/ltmrev _3c01</f>
        <v>3.6527696954265297E-2</v>
      </c>
      <c r="BF123" s="478">
        <f>BF122/ltmrev _4c01</f>
        <v>3.5832368302441055E-2</v>
      </c>
      <c r="BG123" s="478">
        <f>BG122/ltmrev _1c02</f>
        <v>3.8009755971169817E-2</v>
      </c>
      <c r="BH123" s="69">
        <f>BH122/rev _fy02</f>
        <v>4.2697078289590198E-2</v>
      </c>
      <c r="BI123" s="69">
        <f>BH123</f>
        <v>4.2697078289590198E-2</v>
      </c>
      <c r="BJ123" s="69"/>
      <c r="BK123" s="478">
        <f>BK122/ltmrev _3c02</f>
        <v>4.2392020634739964E-2</v>
      </c>
      <c r="BL123" s="478">
        <f>BL122/ltmrev _4c02</f>
        <v>3.8657450246419887E-2</v>
      </c>
      <c r="BM123" s="478">
        <f>BM122/ltmrev _1c03</f>
        <v>3.9074192228674066E-2</v>
      </c>
      <c r="BN123" s="69">
        <f>BN122/rev _fy03</f>
        <v>3.9681702091732274E-2</v>
      </c>
      <c r="BO123" s="69">
        <f>BN123</f>
        <v>3.9681702091732274E-2</v>
      </c>
      <c r="BP123" s="36"/>
      <c r="BQ123" s="478">
        <f>BQ122/ltmrev _3c03</f>
        <v>3.718721768178667E-2</v>
      </c>
      <c r="BR123" s="478">
        <f>BR122/ltmrev _4c03</f>
        <v>3.7390301182481149E-2</v>
      </c>
      <c r="BS123" s="478">
        <f>BS122/ltmrev _1c04</f>
        <v>3.6123668065870196E-2</v>
      </c>
      <c r="BT123" s="478">
        <f>BT122/ltmrev _2c04</f>
        <v>3.5840882237101218E-2</v>
      </c>
      <c r="BU123" s="188">
        <f>BT123</f>
        <v>3.5840882237101218E-2</v>
      </c>
      <c r="BV123" s="36"/>
      <c r="BW123" s="478">
        <f>BW122/ltmrev _3c04</f>
        <v>3.5634527624041172E-2</v>
      </c>
      <c r="BX123" s="478">
        <f>BX122/ltmrev _4c04</f>
        <v>2.9648574405607652E-2</v>
      </c>
      <c r="BY123" s="478">
        <f>BY122/ltmrev _1c05</f>
        <v>2.6029979355533615E-2</v>
      </c>
      <c r="BZ123" s="478">
        <f>BZ122/ltmrev _2c05</f>
        <v>2.2196550870533873E-2</v>
      </c>
      <c r="CA123" s="188">
        <f>BZ123</f>
        <v>2.2196550870533873E-2</v>
      </c>
      <c r="CB123" s="36"/>
      <c r="CC123" s="478">
        <f>CC122/ltmrev _3c05</f>
        <v>2.0295058933728828E-2</v>
      </c>
      <c r="CD123" s="478">
        <f>CD122/ltmrev _4c05</f>
        <v>2.0447616923191317E-2</v>
      </c>
      <c r="CE123" s="478">
        <f>CE122/ltmrev _1c06</f>
        <v>2.2101595346426309E-2</v>
      </c>
      <c r="CF123" s="478">
        <f>CF122/ltmrev _2c06</f>
        <v>2.2000487395413069E-2</v>
      </c>
      <c r="CG123" s="274">
        <f>CF123</f>
        <v>2.2000487395413069E-2</v>
      </c>
      <c r="CH123" s="95"/>
      <c r="CI123" s="188">
        <f>CC123</f>
        <v>2.0295058933728828E-2</v>
      </c>
      <c r="CJ123" s="188">
        <f>CD123</f>
        <v>2.0447616923191317E-2</v>
      </c>
      <c r="CK123" s="478">
        <f>CK122/ltmrev _1c07</f>
        <v>2.0100793604819558E-2</v>
      </c>
      <c r="CL123" s="478">
        <f>CL122/ltmrev _2c07</f>
        <v>1.6804876709319568E-2</v>
      </c>
      <c r="CM123" s="274">
        <f>CL123</f>
        <v>1.6804876709319568E-2</v>
      </c>
      <c r="CN123" s="95"/>
      <c r="CO123" s="478">
        <f>CO122/ltmrev _3c07</f>
        <v>1.4785016456820437E-2</v>
      </c>
      <c r="CP123" s="478">
        <f>CP122/ltmrev _4c07</f>
        <v>1.2716250184829218E-2</v>
      </c>
      <c r="CQ123" s="478">
        <f>CQ122/ltmrev _1c08</f>
        <v>1.1833482626938853E-2</v>
      </c>
      <c r="CR123" s="478">
        <f>CR122/ltmrev _2c08</f>
        <v>1.3401742668848688E-2</v>
      </c>
      <c r="CS123" s="274">
        <f>CR123</f>
        <v>1.3401742668848688E-2</v>
      </c>
      <c r="CT123" s="130"/>
      <c r="CU123" s="478">
        <f>CU122/ltmrev _3c08</f>
        <v>1.3055721477941803E-2</v>
      </c>
      <c r="CV123" s="478">
        <f>CV122/ltmrev _4c08</f>
        <v>1.2667817011068557E-2</v>
      </c>
      <c r="CW123" s="478">
        <f>CW122/ltmrev _1c09</f>
        <v>1.1760274545911107E-2</v>
      </c>
      <c r="CX123" s="478">
        <f>CX122/ltmrev _2c09</f>
        <v>1.1492295905337534E-2</v>
      </c>
      <c r="CY123" s="274">
        <f>CX123</f>
        <v>1.1492295905337534E-2</v>
      </c>
      <c r="CZ123" s="130"/>
      <c r="DA123" s="478">
        <f>DA122/ltmrev _3c09</f>
        <v>1.059001512859304E-2</v>
      </c>
      <c r="DB123" s="478">
        <f>DB122/ltmrev _4c09</f>
        <v>1.1363636363636364E-2</v>
      </c>
      <c r="DC123" s="478">
        <f>DC122/ltmrev _1c10</f>
        <v>1.1241321946519308E-2</v>
      </c>
      <c r="DD123" s="478">
        <f>DD122/ltmrev _2c10</f>
        <v>1.1281504989754174E-2</v>
      </c>
      <c r="DE123" s="274">
        <f>DD123</f>
        <v>1.1281504989754174E-2</v>
      </c>
      <c r="DF123" s="130"/>
      <c r="DG123" s="478">
        <f>DG122/ltmrev _3c10</f>
        <v>1.1129754671790639E-2</v>
      </c>
      <c r="DH123" s="478">
        <f>DH122/ltmrev _4c10</f>
        <v>1.0684816443500172E-2</v>
      </c>
      <c r="DI123" s="478">
        <f>DI122/ltmrev _1c11</f>
        <v>7.8629032258064509E-3</v>
      </c>
      <c r="DJ123" s="478">
        <f>DJ122/ltmrev _2c11</f>
        <v>1.036356038445466E-2</v>
      </c>
      <c r="DK123" s="274">
        <f>DJ123</f>
        <v>1.036356038445466E-2</v>
      </c>
      <c r="DL123" s="130"/>
      <c r="DM123" s="478">
        <f>DM122/ltmrev _3c11</f>
        <v>1.0434545702220407E-2</v>
      </c>
      <c r="DN123" s="478">
        <f>DN122/ltmrev _4c11</f>
        <v>9.5595024713486503E-3</v>
      </c>
      <c r="DO123" s="478">
        <f>DO122/ltmrev _1c11</f>
        <v>1.0051843317972349E-2</v>
      </c>
      <c r="DP123" s="478">
        <v>0.01</v>
      </c>
      <c r="DQ123" s="274">
        <f>DP123</f>
        <v>0.01</v>
      </c>
      <c r="DR123" s="130"/>
      <c r="DS123" s="478">
        <v>8.0000000000000002E-3</v>
      </c>
      <c r="DT123" s="478">
        <v>8.0000000000000002E-3</v>
      </c>
      <c r="DU123" s="478">
        <f>DU122/ltmrev _1c11</f>
        <v>1.0051843317972349E-2</v>
      </c>
      <c r="DV123" s="478">
        <v>0.01</v>
      </c>
      <c r="DW123" s="274">
        <f>DV123</f>
        <v>0.01</v>
      </c>
      <c r="DX123" s="130"/>
      <c r="DY123" s="478">
        <v>8.0000000000000002E-3</v>
      </c>
      <c r="DZ123" s="478">
        <v>8.0000000000000002E-3</v>
      </c>
      <c r="EA123" s="478">
        <v>0.01</v>
      </c>
      <c r="EB123" s="478">
        <v>0.01</v>
      </c>
      <c r="EC123" s="274">
        <f>EB123</f>
        <v>0.01</v>
      </c>
      <c r="ED123" s="130"/>
      <c r="EE123" s="478">
        <v>8.0000000000000002E-3</v>
      </c>
      <c r="EF123" s="478">
        <v>8.0000000000000002E-3</v>
      </c>
      <c r="EG123" s="478">
        <v>0.01</v>
      </c>
      <c r="EH123" s="478">
        <v>0.01</v>
      </c>
      <c r="EI123" s="274">
        <f>EH123</f>
        <v>0.01</v>
      </c>
      <c r="EJ123" s="130"/>
      <c r="EK123" s="478">
        <v>8.0000000000000002E-3</v>
      </c>
      <c r="EL123" s="478">
        <v>8.0000000000000002E-3</v>
      </c>
      <c r="EM123" s="478">
        <v>0.01</v>
      </c>
      <c r="EN123" s="478">
        <v>0.01</v>
      </c>
      <c r="EO123" s="274">
        <f>EN123</f>
        <v>0.01</v>
      </c>
      <c r="EP123" s="130"/>
      <c r="EQ123" s="478">
        <v>8.0000000000000002E-3</v>
      </c>
      <c r="ER123" s="478">
        <v>8.0000000000000002E-3</v>
      </c>
      <c r="ES123" s="478">
        <v>0.01</v>
      </c>
      <c r="ET123" s="478">
        <v>0.01</v>
      </c>
      <c r="EU123" s="274">
        <f>ET123</f>
        <v>0.01</v>
      </c>
      <c r="EV123" s="130"/>
      <c r="EW123" s="900">
        <f>EQ123</f>
        <v>8.0000000000000002E-3</v>
      </c>
      <c r="EX123" s="900">
        <f>ER123</f>
        <v>8.0000000000000002E-3</v>
      </c>
      <c r="EY123" s="478">
        <v>0.01</v>
      </c>
      <c r="EZ123" s="900">
        <f>ET123</f>
        <v>0.01</v>
      </c>
      <c r="FA123" s="274">
        <f>EZ123</f>
        <v>0.01</v>
      </c>
      <c r="FB123" s="130"/>
      <c r="FC123" s="900">
        <f>EW123</f>
        <v>8.0000000000000002E-3</v>
      </c>
      <c r="FD123" s="900">
        <f>EX123</f>
        <v>8.0000000000000002E-3</v>
      </c>
      <c r="FE123" s="900">
        <f>EY123</f>
        <v>0.01</v>
      </c>
      <c r="FF123" s="900">
        <f>EZ123</f>
        <v>0.01</v>
      </c>
      <c r="FG123" s="274">
        <f>FF123</f>
        <v>0.01</v>
      </c>
      <c r="FH123" s="130"/>
      <c r="FI123" s="900">
        <f>FC123</f>
        <v>8.0000000000000002E-3</v>
      </c>
      <c r="FJ123" s="900">
        <f>FD123</f>
        <v>8.0000000000000002E-3</v>
      </c>
      <c r="FK123" s="900">
        <f>FE123</f>
        <v>0.01</v>
      </c>
      <c r="FL123" s="900">
        <f>FF123</f>
        <v>0.01</v>
      </c>
      <c r="FM123" s="274">
        <f>FL123</f>
        <v>0.01</v>
      </c>
      <c r="FN123" s="33"/>
      <c r="FO123" s="33"/>
      <c r="FP123" s="33"/>
      <c r="FQ123" s="33"/>
      <c r="FR123"/>
      <c r="FS123"/>
      <c r="FT123"/>
      <c r="FU123"/>
      <c r="FV123"/>
      <c r="FW123"/>
      <c r="FX123" s="3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</row>
    <row r="124" spans="1:274" s="24" customFormat="1" ht="10.5" customHeight="1" x14ac:dyDescent="0.2">
      <c r="A124" s="41" t="s">
        <v>495</v>
      </c>
      <c r="B124" s="20"/>
      <c r="C124" s="250"/>
      <c r="D124" s="69">
        <f t="shared" ref="D124:M124" si="141">D122/D10</f>
        <v>3.0447298494242696E-2</v>
      </c>
      <c r="E124" s="69">
        <f t="shared" si="141"/>
        <v>4.7864728477818787E-2</v>
      </c>
      <c r="F124" s="69">
        <f t="shared" si="141"/>
        <v>0.10164864657618282</v>
      </c>
      <c r="G124" s="69">
        <f t="shared" si="141"/>
        <v>7.7708290063769725E-2</v>
      </c>
      <c r="H124" s="69">
        <f t="shared" si="141"/>
        <v>6.4235521338682169E-2</v>
      </c>
      <c r="I124" s="69">
        <f t="shared" si="141"/>
        <v>6.0770695044127916E-2</v>
      </c>
      <c r="J124" s="69">
        <f t="shared" si="141"/>
        <v>0.17214399523297536</v>
      </c>
      <c r="K124" s="69">
        <f t="shared" si="141"/>
        <v>0.13965246879034535</v>
      </c>
      <c r="L124" s="69">
        <f t="shared" si="141"/>
        <v>9.6376892252894031E-2</v>
      </c>
      <c r="M124" s="69">
        <f t="shared" si="141"/>
        <v>8.7252458958857956E-2</v>
      </c>
      <c r="N124" s="36"/>
      <c r="O124" s="42"/>
      <c r="P124" s="42"/>
      <c r="Q124" s="42"/>
      <c r="R124" s="69">
        <f>R122/R10</f>
        <v>8.8564128180517662E-2</v>
      </c>
      <c r="S124" s="69">
        <f>S122/S10</f>
        <v>8.8564128180517662E-2</v>
      </c>
      <c r="T124" s="34"/>
      <c r="U124" s="42"/>
      <c r="V124" s="42"/>
      <c r="W124" s="42"/>
      <c r="X124" s="69">
        <f>X122/X10</f>
        <v>9.7442245897619781E-2</v>
      </c>
      <c r="Y124" s="69">
        <f>Y122/Y10</f>
        <v>9.7442245897619781E-2</v>
      </c>
      <c r="Z124" s="34"/>
      <c r="AA124" s="42"/>
      <c r="AB124" s="42"/>
      <c r="AC124" s="42"/>
      <c r="AD124" s="69">
        <f>AD122/AD10</f>
        <v>8.2987659610378656E-2</v>
      </c>
      <c r="AE124" s="69">
        <f>AE122/AE10</f>
        <v>8.2987659610378656E-2</v>
      </c>
      <c r="AF124" s="34"/>
      <c r="AG124" s="42"/>
      <c r="AH124" s="42"/>
      <c r="AI124" s="42"/>
      <c r="AJ124" s="69">
        <f>AJ122/AJ10</f>
        <v>0.10530880547839008</v>
      </c>
      <c r="AK124" s="69">
        <f>AK122/AK10</f>
        <v>0.10530880547839008</v>
      </c>
      <c r="AL124" s="34"/>
      <c r="AM124" s="42"/>
      <c r="AN124" s="42"/>
      <c r="AO124" s="42"/>
      <c r="AP124" s="69">
        <f>AP122/AP10</f>
        <v>9.6995626850814309E-2</v>
      </c>
      <c r="AQ124" s="69">
        <f>AQ122/AQ10</f>
        <v>9.6995626850814309E-2</v>
      </c>
      <c r="AR124" s="34"/>
      <c r="AS124" s="42"/>
      <c r="AT124" s="42"/>
      <c r="AU124" s="42"/>
      <c r="AV124" s="69">
        <f>AV122/AV10</f>
        <v>0.10742181025460502</v>
      </c>
      <c r="AW124" s="69">
        <f>AW122/AW10</f>
        <v>0.10742181025460502</v>
      </c>
      <c r="AX124" s="82"/>
      <c r="AY124" s="69">
        <f>AY122/AY10</f>
        <v>0.15501674212412755</v>
      </c>
      <c r="AZ124" s="69">
        <f>AZ122/AZ10</f>
        <v>0.15745335053237294</v>
      </c>
      <c r="BA124" s="69">
        <f>BA122/BA10</f>
        <v>0.16288453726437785</v>
      </c>
      <c r="BB124" s="69">
        <f>BB122/BB10</f>
        <v>0.16570723684210525</v>
      </c>
      <c r="BC124" s="69">
        <f>BC122/BC10</f>
        <v>0.16570723684210525</v>
      </c>
      <c r="BD124" s="82"/>
      <c r="BE124" s="69">
        <f>BE122/BE10</f>
        <v>0.22702185775272052</v>
      </c>
      <c r="BF124" s="69">
        <f>BF122/BF10</f>
        <v>0.21017224809639978</v>
      </c>
      <c r="BG124" s="69">
        <f>BG122/BG10</f>
        <v>0.23885524539398661</v>
      </c>
      <c r="BH124" s="69">
        <f>BH122/BH10</f>
        <v>0.20284872298624754</v>
      </c>
      <c r="BI124" s="69">
        <f>BI122/BI10</f>
        <v>0.20284872298624754</v>
      </c>
      <c r="BJ124" s="69"/>
      <c r="BK124" s="69">
        <f>BK122/BK10</f>
        <v>0.29368575624082233</v>
      </c>
      <c r="BL124" s="69">
        <f>BL122/BL10</f>
        <v>0.23675604970569</v>
      </c>
      <c r="BM124" s="69">
        <f>BM122/BM10</f>
        <v>0.25897255453905699</v>
      </c>
      <c r="BN124" s="69">
        <f>BN122/BN10</f>
        <v>0.19583333333333333</v>
      </c>
      <c r="BO124" s="69">
        <f>BO122/BO10</f>
        <v>0.19583333333333333</v>
      </c>
      <c r="BP124" s="36"/>
      <c r="BQ124" s="69">
        <f>BQ122/BQ10</f>
        <v>0.26300148588410105</v>
      </c>
      <c r="BR124" s="69">
        <f>BR122/BR10</f>
        <v>0.23464770523594053</v>
      </c>
      <c r="BS124" s="69">
        <f>BS122/BS10</f>
        <v>0.23171521035598705</v>
      </c>
      <c r="BT124" s="69">
        <f>BT122/BT10</f>
        <v>0.18091451292246521</v>
      </c>
      <c r="BU124" s="69">
        <f>BU122/BU10</f>
        <v>0.18091451292246521</v>
      </c>
      <c r="BV124" s="36"/>
      <c r="BW124" s="69">
        <f>BW122/BW10</f>
        <v>0.29764801297648014</v>
      </c>
      <c r="BX124" s="69">
        <f>BX122/BX10</f>
        <v>0.20430809399477806</v>
      </c>
      <c r="BY124" s="69">
        <f>BY122/BY10</f>
        <v>0.15625</v>
      </c>
      <c r="BZ124" s="69">
        <f>BZ122/BZ10</f>
        <v>0.10466926070038911</v>
      </c>
      <c r="CA124" s="69">
        <f>CA122/CA10</f>
        <v>0.10466926070038911</v>
      </c>
      <c r="CB124" s="36"/>
      <c r="CC124" s="69">
        <f>CC122/CC10</f>
        <v>0.15748031496062992</v>
      </c>
      <c r="CD124" s="69">
        <f>CD122/CD10</f>
        <v>0.13917004048582995</v>
      </c>
      <c r="CE124" s="69">
        <f>CE122/CE10</f>
        <v>0.13948205361199456</v>
      </c>
      <c r="CF124" s="69">
        <f>CF122/CF10</f>
        <v>0.10754467240238252</v>
      </c>
      <c r="CG124" s="479">
        <f>CG122/CG10</f>
        <v>0.10754467240238252</v>
      </c>
      <c r="CH124" s="95"/>
      <c r="CI124" s="69">
        <f>CI122/CI10</f>
        <v>0.14877677196819983</v>
      </c>
      <c r="CJ124" s="69">
        <f>CJ122/CJ10</f>
        <v>0.13145333091116829</v>
      </c>
      <c r="CK124" s="69">
        <f>CK122/CK10</f>
        <v>0.12415026833631485</v>
      </c>
      <c r="CL124" s="69">
        <f>CL122/CL10</f>
        <v>7.511045655375552E-2</v>
      </c>
      <c r="CM124" s="479">
        <f>CM122/CM10</f>
        <v>7.511045655375552E-2</v>
      </c>
      <c r="CN124" s="95"/>
      <c r="CO124" s="69">
        <f>CO122/CO10</f>
        <v>0.10347349177330896</v>
      </c>
      <c r="CP124" s="69">
        <f>CP122/CP10</f>
        <v>7.904411764705882E-2</v>
      </c>
      <c r="CQ124" s="69">
        <f>CQ122/CQ10</f>
        <v>7.7588871715610505E-2</v>
      </c>
      <c r="CR124" s="69">
        <f>CR122/CR10</f>
        <v>5.9098888238736103E-2</v>
      </c>
      <c r="CS124" s="479">
        <f>CS122/CS10</f>
        <v>5.9098888238736103E-2</v>
      </c>
      <c r="CT124" s="130"/>
      <c r="CU124" s="69">
        <f>CU122/CU10</f>
        <v>9.3865030674846625E-2</v>
      </c>
      <c r="CV124" s="69">
        <f>CV122/CV10</f>
        <v>9.2529972333230862E-2</v>
      </c>
      <c r="CW124" s="69">
        <f>CW122/CW10</f>
        <v>9.2892561983471081E-2</v>
      </c>
      <c r="CX124" s="69">
        <f>CX122/CX10</f>
        <v>6.0948081264108354E-2</v>
      </c>
      <c r="CY124" s="479">
        <f>CY122/CY10</f>
        <v>6.0948081264108354E-2</v>
      </c>
      <c r="CZ124" s="130"/>
      <c r="DA124" s="69">
        <f>DA122/DA10</f>
        <v>9.481424148606811E-2</v>
      </c>
      <c r="DB124" s="69">
        <f>DB122/DB10</f>
        <v>8.5871678548282565E-2</v>
      </c>
      <c r="DC124" s="69">
        <f>DC122/DC10</f>
        <v>7.0035915854284245E-2</v>
      </c>
      <c r="DD124" s="69">
        <f>DD122/DD10</f>
        <v>5.461056401074306E-2</v>
      </c>
      <c r="DE124" s="479">
        <f>DE122/DE10</f>
        <v>5.461056401074306E-2</v>
      </c>
      <c r="DF124" s="130"/>
      <c r="DG124" s="69">
        <f>DG122/DG10</f>
        <v>8.8417092179521636E-2</v>
      </c>
      <c r="DH124" s="69">
        <f>DH122/DH10</f>
        <v>7.852927825692238E-2</v>
      </c>
      <c r="DI124" s="69">
        <f>DI122/DI10</f>
        <v>6.0734149054505006E-2</v>
      </c>
      <c r="DJ124" s="69">
        <f>DJ122/DJ10</f>
        <v>5.6125528062764031E-2</v>
      </c>
      <c r="DK124" s="479">
        <f>DK122/DK10</f>
        <v>5.6125528062764031E-2</v>
      </c>
      <c r="DL124" s="130"/>
      <c r="DM124" s="69">
        <f>DM122/DM10</f>
        <v>9.1320934668574147E-2</v>
      </c>
      <c r="DN124" s="69">
        <f>DN122/DN10</f>
        <v>7.9386558412268826E-2</v>
      </c>
      <c r="DO124" s="69">
        <f>DO122/DO10</f>
        <v>7.4957044673539516E-2</v>
      </c>
      <c r="DP124" s="69">
        <f>DP122/DP10</f>
        <v>5.8368353300925206E-2</v>
      </c>
      <c r="DQ124" s="479">
        <f>DQ122/DQ10</f>
        <v>5.8368353300925206E-2</v>
      </c>
      <c r="DR124" s="130"/>
      <c r="DS124" s="69">
        <f>DS122/DS10</f>
        <v>7.8946754966887411E-2</v>
      </c>
      <c r="DT124" s="69">
        <f>DT122/DT10</f>
        <v>6.7865483117473299E-2</v>
      </c>
      <c r="DU124" s="69">
        <f>DU122/DU10</f>
        <v>8.3713120652434636E-2</v>
      </c>
      <c r="DV124" s="69">
        <f>DV122/DV10</f>
        <v>6.1533309472640116E-2</v>
      </c>
      <c r="DW124" s="479">
        <f>DW122/DW10</f>
        <v>6.1533309472640116E-2</v>
      </c>
      <c r="DX124" s="130"/>
      <c r="DY124" s="69">
        <f>DY122/DY10</f>
        <v>8.6383768115942033E-2</v>
      </c>
      <c r="DZ124" s="69">
        <f>DZ122/DZ10</f>
        <v>7.1746183206106873E-2</v>
      </c>
      <c r="EA124" s="69">
        <f>EA122/EA10</f>
        <v>9.3195774993859018E-2</v>
      </c>
      <c r="EB124" s="69">
        <f>EB122/EB10</f>
        <v>6.1200919993428624E-2</v>
      </c>
      <c r="EC124" s="479">
        <f>EC122/EC10</f>
        <v>6.1200919993428624E-2</v>
      </c>
      <c r="ED124" s="130"/>
      <c r="EE124" s="69">
        <f>EE122/EE10</f>
        <v>8.6787947057166998E-2</v>
      </c>
      <c r="EF124" s="69">
        <f>EF122/EF10</f>
        <v>7.1840961627369387E-2</v>
      </c>
      <c r="EG124" s="69">
        <f>EG122/EG10</f>
        <v>9.3027764480612743E-2</v>
      </c>
      <c r="EH124" s="69">
        <f>EH122/EH10</f>
        <v>6.809006763972944E-2</v>
      </c>
      <c r="EI124" s="479">
        <f>EI122/EI10</f>
        <v>6.809006763972944E-2</v>
      </c>
      <c r="EJ124" s="130"/>
      <c r="EK124" s="69">
        <f>EK122/EK10</f>
        <v>8.7723741007194253E-2</v>
      </c>
      <c r="EL124" s="69">
        <f>EL122/EL10</f>
        <v>7.5820020222446924E-2</v>
      </c>
      <c r="EM124" s="69">
        <f>EM122/EM10</f>
        <v>9.6703954214360052E-2</v>
      </c>
      <c r="EN124" s="69">
        <f>EN122/EN10</f>
        <v>6.8815227483751157E-2</v>
      </c>
      <c r="EO124" s="479">
        <f>EO122/EO10</f>
        <v>6.8815227483751157E-2</v>
      </c>
      <c r="EP124" s="130"/>
      <c r="EQ124" s="69">
        <f>EQ122/EQ10</f>
        <v>8.7394188435573825E-2</v>
      </c>
      <c r="ER124" s="69">
        <f>ER122/ER10</f>
        <v>8.0851555555555552E-2</v>
      </c>
      <c r="ES124" s="69">
        <f>ES122/ES10</f>
        <v>0.10092120397742543</v>
      </c>
      <c r="ET124" s="69">
        <f>ET122/ET10</f>
        <v>7.1505245283018867E-2</v>
      </c>
      <c r="EU124" s="479">
        <f>EU122/EU10</f>
        <v>7.1505245283018867E-2</v>
      </c>
      <c r="EV124" s="130"/>
      <c r="EW124" s="69">
        <f>EW122/EW10</f>
        <v>8.5762807017543866E-2</v>
      </c>
      <c r="EX124" s="69">
        <f>EX122/EX10</f>
        <v>8.2268562401263831E-2</v>
      </c>
      <c r="EY124" s="69">
        <f>EY122/EY10</f>
        <v>0.10138134290107638</v>
      </c>
      <c r="EZ124" s="69">
        <f>EZ122/EZ10</f>
        <v>7.1792920552362791E-2</v>
      </c>
      <c r="FA124" s="479">
        <f>FA122/FA10</f>
        <v>7.1792920552362791E-2</v>
      </c>
      <c r="FB124" s="130"/>
      <c r="FC124" s="69">
        <f>FC122/FC10</f>
        <v>8.3884002749032766E-2</v>
      </c>
      <c r="FD124" s="69">
        <f>FD122/FD10</f>
        <v>8.0039667496656794E-2</v>
      </c>
      <c r="FE124" s="69">
        <f>FE122/FE10</f>
        <v>9.8576966879146147E-2</v>
      </c>
      <c r="FF124" s="69">
        <f>FF122/FF10</f>
        <v>7.1011674941723349E-2</v>
      </c>
      <c r="FG124" s="479">
        <f>FG122/FG10</f>
        <v>7.1011674941723349E-2</v>
      </c>
      <c r="FH124" s="130"/>
      <c r="FI124" s="69">
        <f>FI122/FI10</f>
        <v>8.0901853614037747E-2</v>
      </c>
      <c r="FJ124" s="69">
        <f>FJ122/FJ10</f>
        <v>7.7563988159625605E-2</v>
      </c>
      <c r="FK124" s="69">
        <f>FK122/FK10</f>
        <v>9.5761806255294568E-2</v>
      </c>
      <c r="FL124" s="69">
        <f>FL122/FL10</f>
        <v>7.0133463816960492E-2</v>
      </c>
      <c r="FM124" s="479">
        <f>FM122/FM10</f>
        <v>7.0133463816960492E-2</v>
      </c>
      <c r="FN124" s="33"/>
      <c r="FO124" s="33"/>
      <c r="FP124" s="33"/>
      <c r="FQ124" s="33"/>
      <c r="FR124"/>
      <c r="FS124"/>
      <c r="FT124"/>
      <c r="FU124"/>
      <c r="FV124"/>
      <c r="FW124"/>
      <c r="FX124" s="33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</row>
    <row r="125" spans="1:274" s="24" customFormat="1" ht="10.5" customHeight="1" x14ac:dyDescent="0.2">
      <c r="A125" s="41" t="s">
        <v>496</v>
      </c>
      <c r="B125" s="20"/>
      <c r="C125" s="250"/>
      <c r="D125" s="69"/>
      <c r="E125" s="69"/>
      <c r="F125" s="69"/>
      <c r="G125" s="69"/>
      <c r="H125" s="69"/>
      <c r="I125" s="69"/>
      <c r="J125" s="69"/>
      <c r="K125" s="69"/>
      <c r="L125" s="69"/>
      <c r="M125" s="69"/>
      <c r="N125" s="36"/>
      <c r="O125" s="42"/>
      <c r="P125" s="42"/>
      <c r="Q125" s="42"/>
      <c r="R125" s="69">
        <f>R122/(AVERAGE(P10:R10,O10))</f>
        <v>0.11784736462508451</v>
      </c>
      <c r="S125" s="69"/>
      <c r="T125" s="34"/>
      <c r="U125" s="42"/>
      <c r="V125" s="42"/>
      <c r="W125" s="42"/>
      <c r="X125" s="69">
        <f>X122/(AVERAGE(V10:X10,U10))</f>
        <v>0.13061375280243606</v>
      </c>
      <c r="Y125" s="69"/>
      <c r="Z125" s="34"/>
      <c r="AA125" s="42"/>
      <c r="AB125" s="42"/>
      <c r="AC125" s="42"/>
      <c r="AD125" s="69">
        <f>AD122/(AVERAGE(AB10:AD10,AA10))</f>
        <v>0.11052649439121701</v>
      </c>
      <c r="AE125" s="69"/>
      <c r="AF125" s="34"/>
      <c r="AG125" s="42"/>
      <c r="AH125" s="42"/>
      <c r="AI125" s="42"/>
      <c r="AJ125" s="69">
        <f>AJ122/(AVERAGE(AH10:AJ10,AG10))</f>
        <v>0.13763076651919767</v>
      </c>
      <c r="AK125" s="69"/>
      <c r="AL125" s="34"/>
      <c r="AM125" s="42"/>
      <c r="AN125" s="42"/>
      <c r="AO125" s="42"/>
      <c r="AP125" s="69">
        <f>AP122/(AVERAGE(AN10:AP10,AM10))</f>
        <v>0.12850082031025145</v>
      </c>
      <c r="AQ125" s="69"/>
      <c r="AR125" s="34"/>
      <c r="AS125" s="42"/>
      <c r="AT125" s="42"/>
      <c r="AU125" s="42"/>
      <c r="AV125" s="69">
        <f>AV122/(AVERAGE(AT10:AV10,AS10))</f>
        <v>0.1420369766912167</v>
      </c>
      <c r="AW125" s="69"/>
      <c r="AX125" s="82"/>
      <c r="AY125" s="69">
        <f>AY122/(AVERAGE(AY10,AT10:AV10))</f>
        <v>0.13402686750462131</v>
      </c>
      <c r="AZ125" s="69">
        <f>AZ122/(AVERAGE(AY10:AZ10,AU10:AV10))</f>
        <v>0.15211561851042052</v>
      </c>
      <c r="BA125" s="69">
        <f>BA122/(AVERAGE(AY10:BA10,AV10))</f>
        <v>0.15667077678836488</v>
      </c>
      <c r="BB125" s="69">
        <f>BB122/(AVERAGE(AZ10:BB10,AY10))</f>
        <v>0.20109263659142493</v>
      </c>
      <c r="BC125" s="69"/>
      <c r="BD125" s="82"/>
      <c r="BE125" s="69">
        <f>BE122/(AVERAGE(BE10,AZ10:BB10))</f>
        <v>0.19779337641626954</v>
      </c>
      <c r="BF125" s="69">
        <f>BF122/(AVERAGE(BE10:BF10,BA10:BB10))</f>
        <v>0.19151961084963759</v>
      </c>
      <c r="BG125" s="69">
        <f>BG122/(AVERAGE(BE10:BG10,BB10))</f>
        <v>0.20314060879291784</v>
      </c>
      <c r="BH125" s="69">
        <f>BH122/(AVERAGE(BF10:BH10,BE10))</f>
        <v>0.22849523714679712</v>
      </c>
      <c r="BI125" s="69"/>
      <c r="BJ125" s="69"/>
      <c r="BK125" s="69">
        <f>BK122/(AVERAGE(BK10,BF10:BH10))</f>
        <v>0.23419097483603338</v>
      </c>
      <c r="BL125" s="69">
        <f>BL122/(AVERAGE(BK10:BL10,BG10:BH10))</f>
        <v>0.22112227802369824</v>
      </c>
      <c r="BM125" s="69">
        <f>BM122/(AVERAGE(BK10:BM10,BH10))</f>
        <v>0.2318840579710145</v>
      </c>
      <c r="BN125" s="69">
        <f>BN122/(AVERAGE(BL10:BN10,BK10))</f>
        <v>0.24133504492939667</v>
      </c>
      <c r="BO125" s="69"/>
      <c r="BP125" s="36"/>
      <c r="BQ125" s="69">
        <f>BQ122/(AVERAGE(BQ10,BL10:BN10))</f>
        <v>0.22779922779922779</v>
      </c>
      <c r="BR125" s="69">
        <f>BR122/(AVERAGE(BQ10:BR10,BM10:BN10))</f>
        <v>0.23291626564003851</v>
      </c>
      <c r="BS125" s="69">
        <f>BS122/(AVERAGE(BQ10:BS10,BN10))</f>
        <v>0.22522805913809374</v>
      </c>
      <c r="BT125" s="69">
        <f>BT122/(AVERAGE(BR10:BT10,BQ10))</f>
        <v>0.22573643410852715</v>
      </c>
      <c r="BU125" s="69"/>
      <c r="BV125" s="36"/>
      <c r="BW125" s="69">
        <f>BW122/(AVERAGE(BW10,BR10:BT10))</f>
        <v>0.23165535742464888</v>
      </c>
      <c r="BX125" s="69">
        <f>BX122/(AVERAGE(BW10:BX10,BS10:BT10))</f>
        <v>0.19803859538120847</v>
      </c>
      <c r="BY125" s="69">
        <f>BY122/(AVERAGE(BW10:BY10,BT10))</f>
        <v>0.17488315995778683</v>
      </c>
      <c r="BZ125" s="69">
        <f>BZ122/(AVERAGE(BX10:BZ10,BW10))</f>
        <v>0.14963148379919344</v>
      </c>
      <c r="CA125" s="69"/>
      <c r="CB125" s="36"/>
      <c r="CC125" s="69">
        <f>CC122/(AVERAGE(CC10,BX10:BZ10))</f>
        <v>0.13668024707583126</v>
      </c>
      <c r="CD125" s="69">
        <f>CD122/(AVERAGE(CC10:CD10,BY10:BZ10))</f>
        <v>0.13659505774245623</v>
      </c>
      <c r="CE125" s="69">
        <f>CE122/(AVERAGE(CC10:CE10,BZ10))</f>
        <v>0.14622529173612764</v>
      </c>
      <c r="CF125" s="69">
        <f>CF122/(AVERAGE(CD10:CF10,CC10))</f>
        <v>0.14689265536723164</v>
      </c>
      <c r="CG125" s="479"/>
      <c r="CH125" s="95"/>
      <c r="CI125" s="69">
        <f>CI122/(AVERAGE(CI10,CD10:CF10))</f>
        <v>0.13528354750612739</v>
      </c>
      <c r="CJ125" s="69">
        <f>CJ122/(AVERAGE(CI10:CJ10,CE10:CF10))</f>
        <v>0.13528361817365478</v>
      </c>
      <c r="CK125" s="69">
        <f>CK122/(AVERAGE(CI10:CK10,CF10))</f>
        <v>0.13246802824966597</v>
      </c>
      <c r="CL125" s="69">
        <f>CL122/(AVERAGE(CJ10:CL10,CI10))</f>
        <v>0.10615784908933218</v>
      </c>
      <c r="CM125" s="479"/>
      <c r="CN125" s="95"/>
      <c r="CO125" s="69">
        <f>CO122/(AVERAGE(CO10,CJ10:CL10))</f>
        <v>9.3191734584671115E-2</v>
      </c>
      <c r="CP125" s="69">
        <f>CP122/(AVERAGE(CO10:CP10,CK10:CL10))</f>
        <v>8.0198943114703145E-2</v>
      </c>
      <c r="CQ125" s="69">
        <f>CQ122/(AVERAGE(CO10:CQ10,CL10))</f>
        <v>7.5443342350465889E-2</v>
      </c>
      <c r="CR125" s="69">
        <f>CR122/(AVERAGE(CP10:CR10,CO10))</f>
        <v>8.4395237100480469E-2</v>
      </c>
      <c r="CS125" s="479"/>
      <c r="CT125" s="130"/>
      <c r="CU125" s="69">
        <f>CU122/(AVERAGE(CU10,CP10:CR10))</f>
        <v>8.222490931076179E-2</v>
      </c>
      <c r="CV125" s="69">
        <f>CV122/(AVERAGE(CU10:CV10,CQ10:CR10))</f>
        <v>8.0941176470588239E-2</v>
      </c>
      <c r="CW125" s="69">
        <f>CW122/(AVERAGE(CU10:CW10,CR10))</f>
        <v>7.6645073303784519E-2</v>
      </c>
      <c r="CX125" s="69">
        <f>CX122/(AVERAGE(CV10:CX10,CU10))</f>
        <v>7.7319587628865982E-2</v>
      </c>
      <c r="CY125" s="479"/>
      <c r="CZ125" s="130"/>
      <c r="DA125" s="69">
        <f>DA122/(AVERAGE(DA10,CV10:CX10))</f>
        <v>7.3728558531447483E-2</v>
      </c>
      <c r="DB125" s="69">
        <f>DB122/(AVERAGE(DA10:DB10,CW10:CX10))</f>
        <v>8.0761904761904757E-2</v>
      </c>
      <c r="DC125" s="69">
        <f>DC122/(AVERAGE(DA10:DC10,CX10))</f>
        <v>7.8011144449207023E-2</v>
      </c>
      <c r="DD125" s="69">
        <f>DD122/(AVERAGE(DB10:DD10,DA10))</f>
        <v>8.0512109813238308E-2</v>
      </c>
      <c r="DE125" s="479"/>
      <c r="DF125" s="130"/>
      <c r="DG125" s="69">
        <f>DG122/(AVERAGE(DG10,DB10:DD10))</f>
        <v>8.0785758133824437E-2</v>
      </c>
      <c r="DH125" s="69">
        <f>DH122/(AVERAGE(DG10:DH10,DC10:DD10))</f>
        <v>7.8591709256104481E-2</v>
      </c>
      <c r="DI125" s="69">
        <f>DI122/(AVERAGE(DG10:DI10,DD10))</f>
        <v>5.9976931949250287E-2</v>
      </c>
      <c r="DJ125" s="69">
        <f>DJ122/(AVERAGE(DH10:DJ10,DG10))</f>
        <v>7.7298701298701297E-2</v>
      </c>
      <c r="DK125" s="479"/>
      <c r="DL125" s="130"/>
      <c r="DM125" s="69">
        <f>DM122/(AVERAGE(DM10,DH10:DJ10))</f>
        <v>7.7675809968057591E-2</v>
      </c>
      <c r="DN125" s="69">
        <f>DN122/(AVERAGE(DM10:DN10,DI10:DJ10))</f>
        <v>7.1287529745329356E-2</v>
      </c>
      <c r="DO125" s="69">
        <f>DO122/(AVERAGE(DM10:DO10,DJ10))</f>
        <v>7.0108477300120528E-2</v>
      </c>
      <c r="DP125" s="69">
        <f>DP122/(AVERAGE(DN10:DP10,DM10))</f>
        <v>7.5726563043588838E-2</v>
      </c>
      <c r="DQ125" s="479"/>
      <c r="DR125" s="130"/>
      <c r="DS125" s="69">
        <f>DS122/(AVERAGE(DS10,DN10:DP10))</f>
        <v>6.1952811558050096E-2</v>
      </c>
      <c r="DT125" s="69">
        <f>DT122/(AVERAGE(DS10:DT10,DO10:DP10))</f>
        <v>6.219501092196366E-2</v>
      </c>
      <c r="DU125" s="69">
        <f>DU122/(AVERAGE(DS10:DU10,DP10))</f>
        <v>7.456468326033544E-2</v>
      </c>
      <c r="DV125" s="69">
        <f>DV122/(AVERAGE(DT10:DV10,DS10))</f>
        <v>8.0942696314015447E-2</v>
      </c>
      <c r="DW125" s="479"/>
      <c r="DX125" s="130"/>
      <c r="DY125" s="69">
        <f>DY122/(AVERAGE(DY10,DT10:DV10))</f>
        <v>6.5974652720128396E-2</v>
      </c>
      <c r="DZ125" s="69">
        <f>DZ122/(AVERAGE(DY10:DZ10,DU10:DV10))</f>
        <v>6.7359462486002233E-2</v>
      </c>
      <c r="EA125" s="69">
        <f>EA122/(AVERAGE(DY10:EA10,DV10))</f>
        <v>8.5440828735502766E-2</v>
      </c>
      <c r="EB125" s="69">
        <f>EB122/(AVERAGE(DZ10:EB10,DY10))</f>
        <v>8.3714606741573036E-2</v>
      </c>
      <c r="EC125" s="479"/>
      <c r="ED125" s="130"/>
      <c r="EE125" s="69">
        <f>EE122/(AVERAGE(EE10,DZ10:EB10))</f>
        <v>6.8864085805262279E-2</v>
      </c>
      <c r="EF125" s="69">
        <f>EF122/(AVERAGE(EE10:EF10,EA10:EB10))</f>
        <v>6.8929082339894643E-2</v>
      </c>
      <c r="EG125" s="69">
        <f>EG122/(AVERAGE(EE10:EG10,EB10))</f>
        <v>8.5695072208135825E-2</v>
      </c>
      <c r="EH125" s="69">
        <f>EH122/(AVERAGE(EF10:EH10,EC10))</f>
        <v>7.5714780543322285E-2</v>
      </c>
      <c r="EI125" s="479"/>
      <c r="EJ125" s="130"/>
      <c r="EK125" s="69">
        <f>EK122/(AVERAGE(EK10,EF10:EH10))</f>
        <v>6.9293629595953865E-2</v>
      </c>
      <c r="EL125" s="69">
        <f>EL122/(AVERAGE(EK10:EL10,EG10:EH10))</f>
        <v>6.9645092006733619E-2</v>
      </c>
      <c r="EM125" s="69">
        <f>EM122/(AVERAGE(EK10:EM10,EH10))</f>
        <v>8.8019889895222872E-2</v>
      </c>
      <c r="EN125" s="69">
        <f>EN122/(AVERAGE(EL10:EN10,EI10))</f>
        <v>7.883210126043716E-2</v>
      </c>
      <c r="EO125" s="479"/>
      <c r="EP125" s="130"/>
      <c r="EQ125" s="69">
        <f>EQ122/(AVERAGE(EQ10,EL10:EN10))</f>
        <v>7.1782063645130192E-2</v>
      </c>
      <c r="ER125" s="69">
        <f>ER122/(AVERAGE(EQ10:ER10,EM10:EN10))</f>
        <v>7.3096224427293882E-2</v>
      </c>
      <c r="ES125" s="69">
        <f>ES122/(AVERAGE(EQ10:ES10,EN10))</f>
        <v>9.2705745849534046E-2</v>
      </c>
      <c r="ET125" s="69">
        <f>ET122/(AVERAGE(ER10:ET10,EO10))</f>
        <v>8.3770512820512816E-2</v>
      </c>
      <c r="EU125" s="479"/>
      <c r="EV125" s="130"/>
      <c r="EW125" s="69">
        <f>EW122/(AVERAGE(EW10,ER10:ET10))</f>
        <v>7.5567228560912775E-2</v>
      </c>
      <c r="EX125" s="69">
        <f>EX122/(AVERAGE(EW10:EX10,ES10:ET10))</f>
        <v>7.6162340036563081E-2</v>
      </c>
      <c r="EY125" s="69">
        <f>EY122/(AVERAGE(EW10:EY10,ET10))</f>
        <v>9.5374600687119532E-2</v>
      </c>
      <c r="EZ125" s="69">
        <f>EZ122/(AVERAGE(EX10:EZ10,EW10))</f>
        <v>9.4578682039781203E-2</v>
      </c>
      <c r="FA125" s="479"/>
      <c r="FB125" s="130"/>
      <c r="FC125" s="69">
        <f>FC122/(AVERAGE(FC10,EX10:EZ10))</f>
        <v>7.5242238275374698E-2</v>
      </c>
      <c r="FD125" s="69">
        <f>FD122/(AVERAGE(FC10:FD10,EY10:EZ10))</f>
        <v>7.4807733319409042E-2</v>
      </c>
      <c r="FE125" s="69">
        <f>FE122/(AVERAGE(FC10:FE10,EZ10))</f>
        <v>9.2960729367034173E-2</v>
      </c>
      <c r="FF125" s="69">
        <f>FF122/(AVERAGE(FD10:FF10,FC10))</f>
        <v>9.2225914680319682E-2</v>
      </c>
      <c r="FG125" s="479"/>
      <c r="FH125" s="130"/>
      <c r="FI125" s="69">
        <f>FI122/(AVERAGE(FI10,FD10:FF10))</f>
        <v>7.3381836842662224E-2</v>
      </c>
      <c r="FJ125" s="69">
        <f>FJ122/(AVERAGE(FI10:FJ10,FE10:FF10))</f>
        <v>7.2965767872426174E-2</v>
      </c>
      <c r="FK125" s="69">
        <f>FK122/(AVERAGE(FI10:FK10,FF10))</f>
        <v>9.0686190860701121E-2</v>
      </c>
      <c r="FL125" s="69">
        <f>FL122/(AVERAGE(FJ10:FL10,FI10))</f>
        <v>8.9975914570178894E-2</v>
      </c>
      <c r="FM125" s="479"/>
      <c r="FN125" s="33"/>
      <c r="FO125" s="33"/>
      <c r="FP125" s="33"/>
      <c r="FQ125" s="33"/>
      <c r="FR125"/>
      <c r="FS125"/>
      <c r="FT125"/>
      <c r="FU125"/>
      <c r="FV125"/>
      <c r="FW125"/>
      <c r="FX125" s="33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</row>
    <row r="126" spans="1:274" s="24" customFormat="1" ht="5.25" customHeight="1" x14ac:dyDescent="0.2">
      <c r="A126" s="341"/>
      <c r="B126" s="20"/>
      <c r="C126" s="135"/>
      <c r="D126" s="135"/>
      <c r="E126" s="135"/>
      <c r="F126" s="135"/>
      <c r="G126" s="135"/>
      <c r="H126" s="135"/>
      <c r="I126" s="135"/>
      <c r="J126" s="135"/>
      <c r="K126" s="135"/>
      <c r="L126" s="135"/>
      <c r="M126" s="135"/>
      <c r="N126" s="135"/>
      <c r="O126" s="342"/>
      <c r="P126" s="342"/>
      <c r="Q126" s="135"/>
      <c r="R126" s="135"/>
      <c r="S126" s="135"/>
      <c r="T126" s="135"/>
      <c r="U126" s="135"/>
      <c r="V126" s="135"/>
      <c r="W126" s="135"/>
      <c r="X126" s="135"/>
      <c r="Y126" s="135"/>
      <c r="Z126" s="135"/>
      <c r="AA126" s="135"/>
      <c r="AB126" s="135"/>
      <c r="AC126" s="135"/>
      <c r="AD126" s="135"/>
      <c r="AE126" s="135"/>
      <c r="AF126" s="135"/>
      <c r="AG126" s="135"/>
      <c r="AH126" s="135"/>
      <c r="AI126" s="135"/>
      <c r="AJ126" s="135"/>
      <c r="AK126" s="135"/>
      <c r="AL126" s="135"/>
      <c r="AM126" s="135"/>
      <c r="AN126" s="135"/>
      <c r="AO126" s="135"/>
      <c r="AP126" s="135"/>
      <c r="AQ126" s="135"/>
      <c r="AR126" s="135"/>
      <c r="AS126" s="135"/>
      <c r="AT126" s="135"/>
      <c r="AU126" s="135"/>
      <c r="AV126" s="135"/>
      <c r="AW126" s="135"/>
      <c r="AX126" s="135"/>
      <c r="AY126" s="135"/>
      <c r="AZ126" s="135"/>
      <c r="BA126" s="135"/>
      <c r="BB126" s="135"/>
      <c r="BC126" s="135"/>
      <c r="BD126" s="135"/>
      <c r="BE126" s="135"/>
      <c r="BF126" s="135"/>
      <c r="BG126" s="135"/>
      <c r="BH126" s="135"/>
      <c r="BI126" s="135"/>
      <c r="BJ126" s="135"/>
      <c r="BK126" s="135"/>
      <c r="BL126" s="135"/>
      <c r="BM126" s="135"/>
      <c r="BN126" s="135"/>
      <c r="BO126" s="135"/>
      <c r="BP126" s="135"/>
      <c r="BQ126" s="135"/>
      <c r="BR126" s="135"/>
      <c r="BS126" s="135"/>
      <c r="BT126" s="135"/>
      <c r="BU126" s="135"/>
      <c r="BV126" s="135"/>
      <c r="BW126" s="135"/>
      <c r="BX126" s="135"/>
      <c r="BY126" s="135"/>
      <c r="BZ126" s="135"/>
      <c r="CA126" s="135"/>
      <c r="CB126" s="135"/>
      <c r="CC126" s="135"/>
      <c r="CD126" s="135"/>
      <c r="CE126" s="135"/>
      <c r="CF126" s="135"/>
      <c r="CG126" s="985"/>
      <c r="CH126" s="135"/>
      <c r="CI126" s="135"/>
      <c r="CJ126" s="135"/>
      <c r="CK126" s="135"/>
      <c r="CL126" s="135"/>
      <c r="CM126" s="985"/>
      <c r="CN126" s="135"/>
      <c r="CO126" s="135"/>
      <c r="CP126" s="135"/>
      <c r="CQ126" s="135"/>
      <c r="CR126" s="135"/>
      <c r="CS126" s="985"/>
      <c r="CT126" s="135"/>
      <c r="CU126" s="135"/>
      <c r="CV126" s="135"/>
      <c r="CW126" s="135"/>
      <c r="CX126" s="135"/>
      <c r="CY126" s="985"/>
      <c r="CZ126" s="135"/>
      <c r="DA126" s="135"/>
      <c r="DB126" s="135"/>
      <c r="DC126" s="135"/>
      <c r="DD126" s="135"/>
      <c r="DE126" s="985"/>
      <c r="DF126" s="135"/>
      <c r="DG126" s="135"/>
      <c r="DH126" s="135"/>
      <c r="DI126" s="135"/>
      <c r="DJ126" s="135"/>
      <c r="DK126" s="985"/>
      <c r="DL126" s="135"/>
      <c r="DM126" s="135"/>
      <c r="DN126" s="135"/>
      <c r="DO126" s="135"/>
      <c r="DP126" s="135"/>
      <c r="DQ126" s="985"/>
      <c r="DR126" s="135"/>
      <c r="DS126" s="135"/>
      <c r="DT126" s="135"/>
      <c r="DU126" s="135"/>
      <c r="DV126" s="135"/>
      <c r="DW126" s="985"/>
      <c r="DX126" s="135"/>
      <c r="DY126" s="135"/>
      <c r="DZ126" s="135"/>
      <c r="EA126" s="135"/>
      <c r="EB126" s="135"/>
      <c r="EC126" s="985"/>
      <c r="ED126" s="135"/>
      <c r="EE126" s="135"/>
      <c r="EF126" s="135"/>
      <c r="EG126" s="135"/>
      <c r="EH126" s="135"/>
      <c r="EI126" s="985"/>
      <c r="EJ126" s="135"/>
      <c r="EK126" s="135"/>
      <c r="EL126" s="135"/>
      <c r="EM126" s="135"/>
      <c r="EN126" s="135"/>
      <c r="EO126" s="985"/>
      <c r="EP126" s="135"/>
      <c r="EQ126" s="135"/>
      <c r="ER126" s="135"/>
      <c r="ES126" s="135"/>
      <c r="ET126" s="135"/>
      <c r="EU126" s="985"/>
      <c r="EV126" s="135"/>
      <c r="EW126" s="135"/>
      <c r="EX126" s="135"/>
      <c r="EY126" s="135"/>
      <c r="EZ126" s="135"/>
      <c r="FA126" s="985"/>
      <c r="FB126" s="135"/>
      <c r="FC126" s="135"/>
      <c r="FD126" s="135"/>
      <c r="FE126" s="135"/>
      <c r="FF126" s="135"/>
      <c r="FG126" s="985"/>
      <c r="FH126" s="135"/>
      <c r="FI126" s="135"/>
      <c r="FJ126" s="135"/>
      <c r="FK126" s="135"/>
      <c r="FL126" s="135"/>
      <c r="FM126" s="985"/>
      <c r="FN126" s="135"/>
      <c r="FO126" s="135"/>
      <c r="FP126" s="135"/>
      <c r="FQ126" s="135"/>
      <c r="FR126"/>
      <c r="FS126"/>
      <c r="FT126"/>
      <c r="FU126"/>
      <c r="FV126"/>
      <c r="FW126"/>
      <c r="FX126" s="135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</row>
    <row r="127" spans="1:274" s="24" customFormat="1" ht="12.75" customHeight="1" x14ac:dyDescent="0.2">
      <c r="A127" s="273" t="s">
        <v>497</v>
      </c>
      <c r="B127" s="476"/>
      <c r="C127" s="444"/>
      <c r="D127" s="444"/>
      <c r="E127" s="444"/>
      <c r="F127" s="444"/>
      <c r="G127" s="444"/>
      <c r="H127" s="444"/>
      <c r="I127" s="444"/>
      <c r="J127" s="444"/>
      <c r="K127" s="444"/>
      <c r="L127" s="444"/>
      <c r="M127" s="444"/>
      <c r="N127" s="444"/>
      <c r="O127" s="244"/>
      <c r="P127" s="244"/>
      <c r="Q127" s="444"/>
      <c r="R127" s="444"/>
      <c r="S127" s="444"/>
      <c r="T127" s="444"/>
      <c r="U127" s="444"/>
      <c r="V127" s="444"/>
      <c r="W127" s="444"/>
      <c r="X127" s="444"/>
      <c r="Y127" s="444"/>
      <c r="Z127" s="444"/>
      <c r="AA127" s="444"/>
      <c r="AB127" s="444"/>
      <c r="AC127" s="444"/>
      <c r="AD127" s="444"/>
      <c r="AE127" s="444"/>
      <c r="AF127" s="444"/>
      <c r="AG127" s="444"/>
      <c r="AH127" s="444"/>
      <c r="AI127" s="444"/>
      <c r="AJ127" s="444"/>
      <c r="AK127" s="444"/>
      <c r="AL127" s="444"/>
      <c r="AM127" s="444"/>
      <c r="AN127" s="444"/>
      <c r="AO127" s="444"/>
      <c r="AP127" s="444"/>
      <c r="AQ127" s="444"/>
      <c r="AR127" s="444"/>
      <c r="AS127" s="444"/>
      <c r="AT127" s="444"/>
      <c r="AU127" s="444"/>
      <c r="AV127" s="444"/>
      <c r="AW127" s="444"/>
      <c r="AX127" s="444"/>
      <c r="AY127" s="444"/>
      <c r="AZ127" s="444"/>
      <c r="BA127" s="444"/>
      <c r="BB127" s="444"/>
      <c r="BC127" s="277">
        <v>256</v>
      </c>
      <c r="BD127" s="444"/>
      <c r="BE127" s="444"/>
      <c r="BF127" s="444"/>
      <c r="BG127" s="444"/>
      <c r="BH127" s="444"/>
      <c r="BI127" s="277">
        <v>256</v>
      </c>
      <c r="BJ127" s="444"/>
      <c r="BK127" s="444"/>
      <c r="BL127" s="444"/>
      <c r="BM127" s="444"/>
      <c r="BN127" s="444"/>
      <c r="BO127" s="277">
        <v>128</v>
      </c>
      <c r="BP127" s="444"/>
      <c r="BQ127" s="444"/>
      <c r="BR127" s="444"/>
      <c r="BS127" s="444"/>
      <c r="BT127" s="444"/>
      <c r="BU127" s="277">
        <v>173</v>
      </c>
      <c r="BV127" s="444"/>
      <c r="BW127" s="444"/>
      <c r="BX127" s="444"/>
      <c r="BY127" s="444"/>
      <c r="BZ127" s="444"/>
      <c r="CA127" s="277">
        <v>197</v>
      </c>
      <c r="CB127" s="444"/>
      <c r="CC127" s="444"/>
      <c r="CD127" s="444"/>
      <c r="CE127" s="444"/>
      <c r="CF127" s="444"/>
      <c r="CG127" s="436">
        <f>CG128+CG122-CA122</f>
        <v>313</v>
      </c>
      <c r="CH127" s="444"/>
      <c r="CI127" s="444"/>
      <c r="CJ127" s="444"/>
      <c r="CK127" s="444"/>
      <c r="CL127" s="444"/>
      <c r="CM127" s="436">
        <f>CM128+CM122-CG122</f>
        <v>283.20000000000005</v>
      </c>
      <c r="CN127" s="444"/>
      <c r="CO127" s="444"/>
      <c r="CP127" s="444"/>
      <c r="CQ127" s="444"/>
      <c r="CR127" s="444"/>
      <c r="CS127" s="436">
        <f>CS128+CS122-CM122</f>
        <v>404.40000000000009</v>
      </c>
      <c r="CT127" s="444"/>
      <c r="CU127" s="444"/>
      <c r="CV127" s="444"/>
      <c r="CW127" s="444"/>
      <c r="CX127" s="444"/>
      <c r="CY127" s="436">
        <f>CY128+CY122-CS122</f>
        <v>479.70000000000005</v>
      </c>
      <c r="CZ127" s="444"/>
      <c r="DA127" s="444"/>
      <c r="DB127" s="444"/>
      <c r="DC127" s="444"/>
      <c r="DD127" s="444"/>
      <c r="DE127" s="436">
        <f>DE128+DE122-CY122</f>
        <v>478</v>
      </c>
      <c r="DF127" s="444"/>
      <c r="DG127" s="444"/>
      <c r="DH127" s="444"/>
      <c r="DI127" s="444"/>
      <c r="DJ127" s="444"/>
      <c r="DK127" s="436">
        <f>DK128+DK122-DE122</f>
        <v>625.5</v>
      </c>
      <c r="DL127" s="444"/>
      <c r="DM127" s="444"/>
      <c r="DN127" s="444"/>
      <c r="DO127" s="444"/>
      <c r="DP127" s="444"/>
      <c r="DQ127" s="436">
        <f>DQ128+DQ122-DK122</f>
        <v>663.01498900000024</v>
      </c>
      <c r="DR127" s="444"/>
      <c r="DS127" s="444"/>
      <c r="DT127" s="444"/>
      <c r="DU127" s="444"/>
      <c r="DV127" s="444"/>
      <c r="DW127" s="436">
        <f>DW128+DW122-DQ122</f>
        <v>637.70000000000005</v>
      </c>
      <c r="DX127" s="444"/>
      <c r="DY127" s="444"/>
      <c r="DZ127" s="444"/>
      <c r="EA127" s="444"/>
      <c r="EB127" s="444"/>
      <c r="EC127" s="436">
        <f>EC128+EC122-DW122</f>
        <v>605.215011</v>
      </c>
      <c r="ED127" s="444"/>
      <c r="EE127" s="444"/>
      <c r="EF127" s="444"/>
      <c r="EG127" s="444"/>
      <c r="EH127" s="444"/>
      <c r="EI127" s="436">
        <f>EI128+EI122-EC122</f>
        <v>618.70000000000005</v>
      </c>
      <c r="EJ127" s="444"/>
      <c r="EK127" s="444"/>
      <c r="EL127" s="444"/>
      <c r="EM127" s="444"/>
      <c r="EN127" s="444"/>
      <c r="EO127" s="436">
        <f>EO128+EO122-EI122</f>
        <v>549.84000000000015</v>
      </c>
      <c r="EP127" s="444"/>
      <c r="EQ127" s="444"/>
      <c r="ER127" s="444"/>
      <c r="ES127" s="444"/>
      <c r="ET127" s="444"/>
      <c r="EU127" s="436">
        <f>EU128+EU122-EO122</f>
        <v>546.90779999999995</v>
      </c>
      <c r="EV127" s="444"/>
      <c r="EW127" s="444"/>
      <c r="EX127" s="444"/>
      <c r="EY127" s="444"/>
      <c r="EZ127" s="444"/>
      <c r="FA127" s="436">
        <f>FA128+FA122-EU122</f>
        <v>549.0989266609771</v>
      </c>
      <c r="FB127" s="444"/>
      <c r="FC127" s="444"/>
      <c r="FD127" s="444"/>
      <c r="FE127" s="444"/>
      <c r="FF127" s="444"/>
      <c r="FG127" s="436">
        <f>FG128+FG122-FA122</f>
        <v>566.6681988477892</v>
      </c>
      <c r="FH127" s="444"/>
      <c r="FI127" s="444"/>
      <c r="FJ127" s="444"/>
      <c r="FK127" s="444"/>
      <c r="FL127" s="444"/>
      <c r="FM127" s="436">
        <f>FM128+FM122-FG122</f>
        <v>591.46693035931025</v>
      </c>
      <c r="FN127" s="135"/>
      <c r="FO127" s="135"/>
      <c r="FP127" s="135"/>
      <c r="FQ127" s="135"/>
      <c r="FR127"/>
      <c r="FS127"/>
      <c r="FT127"/>
      <c r="FU127"/>
      <c r="FV127"/>
      <c r="FW127"/>
      <c r="FX127" s="135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</row>
    <row r="128" spans="1:274" s="24" customFormat="1" ht="12.75" customHeight="1" x14ac:dyDescent="0.2">
      <c r="A128" s="273" t="s">
        <v>186</v>
      </c>
      <c r="B128" s="476"/>
      <c r="C128" s="444"/>
      <c r="D128" s="444"/>
      <c r="E128" s="444"/>
      <c r="F128" s="444"/>
      <c r="G128" s="444"/>
      <c r="H128" s="444"/>
      <c r="I128" s="444"/>
      <c r="J128" s="444"/>
      <c r="K128" s="444"/>
      <c r="L128" s="444"/>
      <c r="M128" s="444"/>
      <c r="N128" s="444"/>
      <c r="O128" s="244"/>
      <c r="P128" s="244"/>
      <c r="Q128" s="444"/>
      <c r="R128" s="444"/>
      <c r="S128" s="444"/>
      <c r="T128" s="444"/>
      <c r="U128" s="444"/>
      <c r="V128" s="444"/>
      <c r="W128" s="444"/>
      <c r="X128" s="444"/>
      <c r="Y128" s="444"/>
      <c r="Z128" s="444"/>
      <c r="AA128" s="444"/>
      <c r="AB128" s="444"/>
      <c r="AC128" s="444"/>
      <c r="AD128" s="444"/>
      <c r="AE128" s="444"/>
      <c r="AF128" s="444"/>
      <c r="AG128" s="444"/>
      <c r="AH128" s="444"/>
      <c r="AI128" s="444"/>
      <c r="AJ128" s="444"/>
      <c r="AK128" s="444"/>
      <c r="AL128" s="444"/>
      <c r="AM128" s="444"/>
      <c r="AN128" s="444"/>
      <c r="AO128" s="444"/>
      <c r="AP128" s="444"/>
      <c r="AQ128" s="444"/>
      <c r="AR128" s="444"/>
      <c r="AS128" s="444"/>
      <c r="AT128" s="444"/>
      <c r="AU128" s="444"/>
      <c r="AV128" s="444"/>
      <c r="AW128" s="444"/>
      <c r="AX128" s="444"/>
      <c r="AY128" s="444"/>
      <c r="AZ128" s="444"/>
      <c r="BA128" s="444"/>
      <c r="BB128" s="444"/>
      <c r="BC128" s="277">
        <v>125</v>
      </c>
      <c r="BD128" s="444"/>
      <c r="BE128" s="444"/>
      <c r="BF128" s="444"/>
      <c r="BG128" s="444"/>
      <c r="BH128" s="444"/>
      <c r="BI128" s="277">
        <v>185</v>
      </c>
      <c r="BJ128" s="444"/>
      <c r="BK128" s="444"/>
      <c r="BL128" s="444"/>
      <c r="BM128" s="444"/>
      <c r="BN128" s="444"/>
      <c r="BO128" s="277">
        <v>165</v>
      </c>
      <c r="BP128" s="444"/>
      <c r="BQ128" s="277"/>
      <c r="BR128" s="277"/>
      <c r="BS128" s="277"/>
      <c r="BT128" s="277"/>
      <c r="BU128" s="277">
        <v>188</v>
      </c>
      <c r="BV128" s="444"/>
      <c r="BW128" s="277"/>
      <c r="BX128" s="277"/>
      <c r="BY128" s="277"/>
      <c r="BZ128" s="277"/>
      <c r="CA128" s="277">
        <v>300</v>
      </c>
      <c r="CB128" s="444"/>
      <c r="CC128" s="444"/>
      <c r="CD128" s="444"/>
      <c r="CE128" s="444"/>
      <c r="CF128" s="444"/>
      <c r="CG128" s="436">
        <f>CA10*CG129</f>
        <v>257</v>
      </c>
      <c r="CH128" s="444"/>
      <c r="CI128" s="444"/>
      <c r="CJ128" s="444"/>
      <c r="CK128" s="444"/>
      <c r="CL128" s="444"/>
      <c r="CM128" s="436">
        <f>CG10*CM129</f>
        <v>302.2</v>
      </c>
      <c r="CN128" s="444"/>
      <c r="CO128" s="444"/>
      <c r="CP128" s="444"/>
      <c r="CQ128" s="444"/>
      <c r="CR128" s="444"/>
      <c r="CS128" s="436">
        <f>CM10*CS129</f>
        <v>407.40000000000003</v>
      </c>
      <c r="CT128" s="444"/>
      <c r="CU128" s="444"/>
      <c r="CV128" s="444"/>
      <c r="CW128" s="444"/>
      <c r="CX128" s="444"/>
      <c r="CY128" s="436">
        <f>CS10*CY129</f>
        <v>512.70000000000005</v>
      </c>
      <c r="CZ128" s="444"/>
      <c r="DA128" s="444"/>
      <c r="DB128" s="444"/>
      <c r="DC128" s="444"/>
      <c r="DD128" s="444"/>
      <c r="DE128" s="436">
        <f>CY10*DE129</f>
        <v>443</v>
      </c>
      <c r="DF128" s="444"/>
      <c r="DG128" s="444"/>
      <c r="DH128" s="444"/>
      <c r="DI128" s="444"/>
      <c r="DJ128" s="444"/>
      <c r="DK128" s="436">
        <f>DE10*DK129</f>
        <v>558.5</v>
      </c>
      <c r="DL128" s="444"/>
      <c r="DM128" s="444"/>
      <c r="DN128" s="444"/>
      <c r="DO128" s="444"/>
      <c r="DP128" s="444"/>
      <c r="DQ128" s="436">
        <f>DK10*DQ129</f>
        <v>662.80000000000007</v>
      </c>
      <c r="DR128" s="444"/>
      <c r="DS128" s="444"/>
      <c r="DT128" s="444"/>
      <c r="DU128" s="444"/>
      <c r="DV128" s="444"/>
      <c r="DW128" s="436">
        <f>DQ10*DW129</f>
        <v>637.70000000000005</v>
      </c>
      <c r="DX128" s="444"/>
      <c r="DY128" s="444"/>
      <c r="DZ128" s="444"/>
      <c r="EA128" s="444"/>
      <c r="EB128" s="444"/>
      <c r="EC128" s="436">
        <f>DW10*EC129</f>
        <v>604.9</v>
      </c>
      <c r="ED128" s="444"/>
      <c r="EE128" s="444"/>
      <c r="EF128" s="444"/>
      <c r="EG128" s="444"/>
      <c r="EH128" s="444"/>
      <c r="EI128" s="436">
        <f>EC10*EI129</f>
        <v>608.70000000000005</v>
      </c>
      <c r="EJ128" s="444"/>
      <c r="EK128" s="444"/>
      <c r="EL128" s="444"/>
      <c r="EM128" s="444"/>
      <c r="EN128" s="444"/>
      <c r="EO128" s="436">
        <f>EI10*EO129</f>
        <v>561.80000000000007</v>
      </c>
      <c r="EP128" s="444"/>
      <c r="EQ128" s="444"/>
      <c r="ER128" s="444"/>
      <c r="ES128" s="444"/>
      <c r="ET128" s="444"/>
      <c r="EU128" s="436">
        <f>EO10*EU129</f>
        <v>538.5</v>
      </c>
      <c r="EV128" s="444"/>
      <c r="EW128" s="444"/>
      <c r="EX128" s="444"/>
      <c r="EY128" s="444"/>
      <c r="EZ128" s="444"/>
      <c r="FA128" s="436">
        <f>EU10*FA129</f>
        <v>530</v>
      </c>
      <c r="FB128" s="444"/>
      <c r="FC128" s="444"/>
      <c r="FD128" s="444"/>
      <c r="FE128" s="444"/>
      <c r="FF128" s="444"/>
      <c r="FG128" s="436">
        <f>FA10*FG129</f>
        <v>554.47908177887325</v>
      </c>
      <c r="FH128" s="444"/>
      <c r="FI128" s="444"/>
      <c r="FJ128" s="444"/>
      <c r="FK128" s="444"/>
      <c r="FL128" s="444"/>
      <c r="FM128" s="436">
        <f>FG10*FM129</f>
        <v>577.74421468946218</v>
      </c>
      <c r="FN128" s="135"/>
      <c r="FO128" s="135"/>
      <c r="FP128" s="135"/>
      <c r="FQ128" s="135"/>
      <c r="FR128"/>
      <c r="FS128"/>
      <c r="FT128"/>
      <c r="FU128"/>
      <c r="FV128"/>
      <c r="FW128"/>
      <c r="FX128" s="135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</row>
    <row r="129" spans="1:274" s="24" customFormat="1" ht="12.75" customHeight="1" x14ac:dyDescent="0.2">
      <c r="A129" s="41" t="s">
        <v>187</v>
      </c>
      <c r="B129" s="20"/>
      <c r="C129" s="135"/>
      <c r="D129" s="135"/>
      <c r="E129" s="135"/>
      <c r="F129" s="135"/>
      <c r="G129" s="135"/>
      <c r="H129" s="135"/>
      <c r="I129" s="135"/>
      <c r="J129" s="135"/>
      <c r="K129" s="135"/>
      <c r="L129" s="135"/>
      <c r="M129" s="135"/>
      <c r="N129" s="135"/>
      <c r="O129" s="342"/>
      <c r="P129" s="342"/>
      <c r="Q129" s="135"/>
      <c r="R129" s="135"/>
      <c r="S129" s="135"/>
      <c r="T129" s="135"/>
      <c r="U129" s="135"/>
      <c r="V129" s="135"/>
      <c r="W129" s="135"/>
      <c r="X129" s="135"/>
      <c r="Y129" s="135"/>
      <c r="Z129" s="135"/>
      <c r="AA129" s="135"/>
      <c r="AB129" s="135"/>
      <c r="AC129" s="135"/>
      <c r="AD129" s="135"/>
      <c r="AE129" s="135"/>
      <c r="AF129" s="135"/>
      <c r="AG129" s="135"/>
      <c r="AH129" s="135"/>
      <c r="AI129" s="135"/>
      <c r="AJ129" s="135"/>
      <c r="AK129" s="135"/>
      <c r="AL129" s="135"/>
      <c r="AM129" s="135"/>
      <c r="AN129" s="135"/>
      <c r="AO129" s="135"/>
      <c r="AP129" s="135"/>
      <c r="AQ129" s="135"/>
      <c r="AR129" s="135"/>
      <c r="AS129" s="135"/>
      <c r="AT129" s="135"/>
      <c r="AU129" s="135"/>
      <c r="AV129" s="135"/>
      <c r="AW129" s="135"/>
      <c r="AX129" s="135"/>
      <c r="AY129" s="135"/>
      <c r="AZ129" s="135"/>
      <c r="BA129" s="135"/>
      <c r="BB129" s="135"/>
      <c r="BC129" s="188">
        <f>BC128/AW10</f>
        <v>4.9329824733105918E-2</v>
      </c>
      <c r="BD129" s="135"/>
      <c r="BE129" s="135"/>
      <c r="BF129" s="135"/>
      <c r="BG129" s="135"/>
      <c r="BH129" s="135"/>
      <c r="BI129" s="188">
        <f>BI128/BC10</f>
        <v>7.6069078947368418E-2</v>
      </c>
      <c r="BJ129" s="135"/>
      <c r="BK129" s="135"/>
      <c r="BL129" s="135"/>
      <c r="BM129" s="135"/>
      <c r="BN129" s="135"/>
      <c r="BO129" s="188">
        <f>BO128/BI10</f>
        <v>8.1041257367387029E-2</v>
      </c>
      <c r="BP129" s="135"/>
      <c r="BQ129" s="236"/>
      <c r="BR129" s="236"/>
      <c r="BS129" s="236"/>
      <c r="BT129" s="236"/>
      <c r="BU129" s="188">
        <f>BU128/BO10</f>
        <v>9.7916666666666666E-2</v>
      </c>
      <c r="BV129" s="135"/>
      <c r="BW129" s="236"/>
      <c r="BX129" s="236"/>
      <c r="BY129" s="236"/>
      <c r="BZ129" s="236"/>
      <c r="CA129" s="188">
        <f>CA128/BU10</f>
        <v>0.14910536779324055</v>
      </c>
      <c r="CB129" s="135"/>
      <c r="CC129" s="135"/>
      <c r="CD129" s="135"/>
      <c r="CE129" s="135"/>
      <c r="CF129" s="135"/>
      <c r="CG129" s="480">
        <v>0.1</v>
      </c>
      <c r="CH129" s="135"/>
      <c r="CI129" s="135"/>
      <c r="CJ129" s="135"/>
      <c r="CK129" s="135"/>
      <c r="CL129" s="135"/>
      <c r="CM129" s="480">
        <v>0.1</v>
      </c>
      <c r="CN129" s="135"/>
      <c r="CO129" s="135"/>
      <c r="CP129" s="135"/>
      <c r="CQ129" s="135"/>
      <c r="CR129" s="135"/>
      <c r="CS129" s="480">
        <v>0.1</v>
      </c>
      <c r="CT129" s="135"/>
      <c r="CU129" s="135"/>
      <c r="CV129" s="135"/>
      <c r="CW129" s="135"/>
      <c r="CX129" s="135"/>
      <c r="CY129" s="480">
        <v>0.1</v>
      </c>
      <c r="CZ129" s="135"/>
      <c r="DA129" s="135"/>
      <c r="DB129" s="135"/>
      <c r="DC129" s="135"/>
      <c r="DD129" s="135"/>
      <c r="DE129" s="480">
        <v>0.1</v>
      </c>
      <c r="DF129" s="135"/>
      <c r="DG129" s="135"/>
      <c r="DH129" s="135"/>
      <c r="DI129" s="135"/>
      <c r="DJ129" s="135"/>
      <c r="DK129" s="480">
        <v>0.1</v>
      </c>
      <c r="DL129" s="135"/>
      <c r="DM129" s="135"/>
      <c r="DN129" s="135"/>
      <c r="DO129" s="135"/>
      <c r="DP129" s="135"/>
      <c r="DQ129" s="480">
        <v>0.1</v>
      </c>
      <c r="DR129" s="135"/>
      <c r="DS129" s="135"/>
      <c r="DT129" s="135"/>
      <c r="DU129" s="135"/>
      <c r="DV129" s="135"/>
      <c r="DW129" s="480">
        <v>0.1</v>
      </c>
      <c r="DX129" s="135"/>
      <c r="DY129" s="135"/>
      <c r="DZ129" s="135"/>
      <c r="EA129" s="135"/>
      <c r="EB129" s="135"/>
      <c r="EC129" s="480">
        <v>0.1</v>
      </c>
      <c r="ED129" s="135"/>
      <c r="EE129" s="135"/>
      <c r="EF129" s="135"/>
      <c r="EG129" s="135"/>
      <c r="EH129" s="135"/>
      <c r="EI129" s="480">
        <v>0.1</v>
      </c>
      <c r="EJ129" s="135"/>
      <c r="EK129" s="135"/>
      <c r="EL129" s="135"/>
      <c r="EM129" s="135"/>
      <c r="EN129" s="135"/>
      <c r="EO129" s="480">
        <v>0.1</v>
      </c>
      <c r="EP129" s="135"/>
      <c r="EQ129" s="135"/>
      <c r="ER129" s="135"/>
      <c r="ES129" s="135"/>
      <c r="ET129" s="135"/>
      <c r="EU129" s="480">
        <v>0.1</v>
      </c>
      <c r="EV129" s="135"/>
      <c r="EW129" s="135"/>
      <c r="EX129" s="135"/>
      <c r="EY129" s="135"/>
      <c r="EZ129" s="135"/>
      <c r="FA129" s="480">
        <v>0.1</v>
      </c>
      <c r="FB129" s="135"/>
      <c r="FC129" s="135"/>
      <c r="FD129" s="135"/>
      <c r="FE129" s="135"/>
      <c r="FF129" s="135"/>
      <c r="FG129" s="480">
        <v>0.1</v>
      </c>
      <c r="FH129" s="135"/>
      <c r="FI129" s="135"/>
      <c r="FJ129" s="135"/>
      <c r="FK129" s="135"/>
      <c r="FL129" s="135"/>
      <c r="FM129" s="480">
        <v>0.1</v>
      </c>
      <c r="FN129" s="135"/>
      <c r="FO129" s="135"/>
      <c r="FP129" s="135"/>
      <c r="FQ129" s="135"/>
      <c r="FR129"/>
      <c r="FS129"/>
      <c r="FT129"/>
      <c r="FU129"/>
      <c r="FV129"/>
      <c r="FW129"/>
      <c r="FX129" s="135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</row>
    <row r="130" spans="1:274" s="24" customFormat="1" ht="6" customHeight="1" x14ac:dyDescent="0.2">
      <c r="A130" s="341"/>
      <c r="B130" s="20"/>
      <c r="C130" s="135"/>
      <c r="D130" s="135"/>
      <c r="E130" s="135"/>
      <c r="F130" s="135"/>
      <c r="G130" s="135"/>
      <c r="H130" s="135"/>
      <c r="I130" s="135"/>
      <c r="J130" s="135"/>
      <c r="K130" s="135"/>
      <c r="L130" s="135"/>
      <c r="M130" s="135"/>
      <c r="N130" s="135"/>
      <c r="O130" s="342"/>
      <c r="P130" s="342"/>
      <c r="Q130" s="135"/>
      <c r="R130" s="135"/>
      <c r="S130" s="135"/>
      <c r="T130" s="135"/>
      <c r="U130" s="135"/>
      <c r="V130" s="135"/>
      <c r="W130" s="135"/>
      <c r="X130" s="135"/>
      <c r="Y130" s="135"/>
      <c r="Z130" s="135"/>
      <c r="AA130" s="135"/>
      <c r="AB130" s="135"/>
      <c r="AC130" s="135"/>
      <c r="AD130" s="135"/>
      <c r="AE130" s="135"/>
      <c r="AF130" s="135"/>
      <c r="AG130" s="135"/>
      <c r="AH130" s="135"/>
      <c r="AI130" s="135"/>
      <c r="AJ130" s="135"/>
      <c r="AK130" s="135"/>
      <c r="AL130" s="135"/>
      <c r="AM130" s="135"/>
      <c r="AN130" s="135"/>
      <c r="AO130" s="135"/>
      <c r="AP130" s="135"/>
      <c r="AQ130" s="135"/>
      <c r="AR130" s="135"/>
      <c r="AS130" s="135"/>
      <c r="AT130" s="135"/>
      <c r="AU130" s="135"/>
      <c r="AV130" s="135"/>
      <c r="AW130" s="135"/>
      <c r="AX130" s="135"/>
      <c r="AY130" s="135"/>
      <c r="AZ130" s="135"/>
      <c r="BA130" s="135"/>
      <c r="BB130" s="135"/>
      <c r="BC130" s="135"/>
      <c r="BD130" s="135"/>
      <c r="BE130" s="135"/>
      <c r="BF130" s="135"/>
      <c r="BG130" s="135"/>
      <c r="BH130" s="135"/>
      <c r="BI130" s="135"/>
      <c r="BJ130" s="135"/>
      <c r="BK130" s="135"/>
      <c r="BL130" s="135"/>
      <c r="BM130" s="135"/>
      <c r="BN130" s="135"/>
      <c r="BO130" s="986"/>
      <c r="BP130" s="135"/>
      <c r="BQ130" s="135"/>
      <c r="BR130" s="135"/>
      <c r="BS130" s="135"/>
      <c r="BT130" s="133"/>
      <c r="BU130" s="135"/>
      <c r="BV130" s="135"/>
      <c r="BW130" s="135"/>
      <c r="BX130" s="135"/>
      <c r="BY130" s="135"/>
      <c r="BZ130" s="135"/>
      <c r="CA130" s="135"/>
      <c r="CB130" s="135"/>
      <c r="CC130" s="135"/>
      <c r="CD130" s="135"/>
      <c r="CE130" s="135"/>
      <c r="CF130" s="135"/>
      <c r="CG130" s="985"/>
      <c r="CH130" s="135"/>
      <c r="CI130" s="135"/>
      <c r="CJ130" s="135"/>
      <c r="CK130" s="135"/>
      <c r="CL130" s="135"/>
      <c r="CM130" s="985"/>
      <c r="CN130" s="135"/>
      <c r="CO130" s="135"/>
      <c r="CP130" s="135"/>
      <c r="CQ130" s="135"/>
      <c r="CR130" s="135"/>
      <c r="CS130" s="985"/>
      <c r="CT130" s="135"/>
      <c r="CU130" s="135"/>
      <c r="CV130" s="135"/>
      <c r="CW130" s="135"/>
      <c r="CX130" s="135"/>
      <c r="CY130" s="985"/>
      <c r="CZ130" s="135"/>
      <c r="DA130" s="135"/>
      <c r="DB130" s="135"/>
      <c r="DC130" s="135"/>
      <c r="DD130" s="135"/>
      <c r="DE130" s="985"/>
      <c r="DF130" s="135"/>
      <c r="DG130" s="135"/>
      <c r="DH130" s="135"/>
      <c r="DI130" s="135"/>
      <c r="DJ130" s="135"/>
      <c r="DK130" s="985"/>
      <c r="DL130" s="135"/>
      <c r="DM130" s="135"/>
      <c r="DN130" s="135"/>
      <c r="DO130" s="135"/>
      <c r="DP130" s="135"/>
      <c r="DQ130" s="985"/>
      <c r="DR130" s="135"/>
      <c r="DS130" s="135"/>
      <c r="DT130" s="135"/>
      <c r="DU130" s="135"/>
      <c r="DV130" s="135"/>
      <c r="DW130" s="985"/>
      <c r="DX130" s="135"/>
      <c r="DY130" s="135"/>
      <c r="DZ130" s="135"/>
      <c r="EA130" s="135"/>
      <c r="EB130" s="135"/>
      <c r="EC130" s="985"/>
      <c r="ED130" s="135"/>
      <c r="EE130" s="135"/>
      <c r="EF130" s="135"/>
      <c r="EG130" s="135"/>
      <c r="EH130" s="135"/>
      <c r="EI130" s="985"/>
      <c r="EJ130" s="135"/>
      <c r="EK130" s="135"/>
      <c r="EL130" s="135"/>
      <c r="EM130" s="135"/>
      <c r="EN130" s="135"/>
      <c r="EO130" s="985"/>
      <c r="EP130" s="135"/>
      <c r="EQ130" s="135"/>
      <c r="ER130" s="135"/>
      <c r="ES130" s="135"/>
      <c r="ET130" s="135"/>
      <c r="EU130" s="985"/>
      <c r="EV130" s="135"/>
      <c r="EW130" s="135"/>
      <c r="EX130" s="135"/>
      <c r="EY130" s="135"/>
      <c r="EZ130" s="135"/>
      <c r="FA130" s="985"/>
      <c r="FB130" s="135"/>
      <c r="FC130" s="135"/>
      <c r="FD130" s="135"/>
      <c r="FE130" s="135"/>
      <c r="FF130" s="135"/>
      <c r="FG130" s="985"/>
      <c r="FH130" s="135"/>
      <c r="FI130" s="135"/>
      <c r="FJ130" s="135"/>
      <c r="FK130" s="135"/>
      <c r="FL130" s="135"/>
      <c r="FM130" s="985"/>
      <c r="FN130" s="135"/>
      <c r="FO130" s="135"/>
      <c r="FP130" s="135"/>
      <c r="FQ130" s="135"/>
      <c r="FR130"/>
      <c r="FS130"/>
      <c r="FT130"/>
      <c r="FU130"/>
      <c r="FV130"/>
      <c r="FW130"/>
      <c r="FX130" s="135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</row>
    <row r="131" spans="1:274" s="24" customFormat="1" ht="13.5" customHeight="1" x14ac:dyDescent="0.2">
      <c r="A131" s="1095" t="s">
        <v>108</v>
      </c>
      <c r="B131" s="20"/>
      <c r="C131" s="135"/>
      <c r="D131" s="135"/>
      <c r="E131" s="135"/>
      <c r="F131" s="135"/>
      <c r="G131" s="135"/>
      <c r="H131" s="135"/>
      <c r="I131" s="135"/>
      <c r="J131" s="135"/>
      <c r="K131" s="135"/>
      <c r="L131" s="135"/>
      <c r="M131" s="135"/>
      <c r="N131" s="135"/>
      <c r="O131" s="342"/>
      <c r="P131" s="342"/>
      <c r="Q131" s="135"/>
      <c r="R131" s="135"/>
      <c r="S131" s="135"/>
      <c r="T131" s="135"/>
      <c r="U131" s="135"/>
      <c r="V131" s="135"/>
      <c r="W131" s="135"/>
      <c r="X131" s="135"/>
      <c r="Y131" s="135"/>
      <c r="Z131" s="135"/>
      <c r="AA131" s="135"/>
      <c r="AB131" s="135"/>
      <c r="AC131" s="135"/>
      <c r="AD131" s="135"/>
      <c r="AE131" s="135"/>
      <c r="AF131" s="135"/>
      <c r="AG131" s="135"/>
      <c r="AH131" s="135"/>
      <c r="AI131" s="135"/>
      <c r="AJ131" s="135"/>
      <c r="AK131" s="135"/>
      <c r="AL131" s="135"/>
      <c r="AM131" s="135"/>
      <c r="AN131" s="135"/>
      <c r="AO131" s="135"/>
      <c r="AP131" s="135"/>
      <c r="AQ131" s="135"/>
      <c r="AR131" s="135"/>
      <c r="AS131" s="135"/>
      <c r="AT131" s="135"/>
      <c r="AU131" s="135"/>
      <c r="AV131" s="135"/>
      <c r="AW131" s="135"/>
      <c r="AX131" s="135"/>
      <c r="AY131" s="135"/>
      <c r="AZ131" s="135"/>
      <c r="BA131" s="135"/>
      <c r="BB131" s="135"/>
      <c r="BC131" s="135"/>
      <c r="BD131" s="135"/>
      <c r="BE131" s="135"/>
      <c r="BF131" s="135"/>
      <c r="BG131" s="135"/>
      <c r="BH131" s="135"/>
      <c r="BI131" s="135"/>
      <c r="BJ131" s="135"/>
      <c r="BK131" s="135"/>
      <c r="BL131" s="135"/>
      <c r="BM131" s="135"/>
      <c r="BN131" s="135"/>
      <c r="BO131" s="986"/>
      <c r="BP131" s="135"/>
      <c r="BQ131" s="135"/>
      <c r="BR131" s="135"/>
      <c r="BS131" s="135"/>
      <c r="BT131" s="133"/>
      <c r="BU131" s="135"/>
      <c r="BV131" s="135"/>
      <c r="BW131" s="135"/>
      <c r="BX131" s="135"/>
      <c r="BY131" s="135"/>
      <c r="BZ131" s="135"/>
      <c r="CA131" s="135"/>
      <c r="CB131" s="135"/>
      <c r="CC131" s="135"/>
      <c r="CD131" s="135"/>
      <c r="CE131" s="135"/>
      <c r="CF131" s="135"/>
      <c r="CG131" s="985"/>
      <c r="CH131" s="135"/>
      <c r="CI131" s="135"/>
      <c r="CJ131" s="135"/>
      <c r="CK131" s="135"/>
      <c r="CL131" s="135"/>
      <c r="CM131" s="985"/>
      <c r="CN131" s="135"/>
      <c r="CO131" s="135"/>
      <c r="CP131" s="135"/>
      <c r="CQ131" s="135"/>
      <c r="CR131" s="135"/>
      <c r="CS131" s="985"/>
      <c r="CT131" s="135"/>
      <c r="CU131" s="135"/>
      <c r="CV131" s="135"/>
      <c r="CW131" s="135"/>
      <c r="CX131" s="135"/>
      <c r="CY131" s="985"/>
      <c r="CZ131" s="135"/>
      <c r="DA131" s="135"/>
      <c r="DB131" s="135"/>
      <c r="DC131" s="477">
        <f>90*DC12/(Model!DC132*3)</f>
        <v>52.5</v>
      </c>
      <c r="DD131" s="477">
        <f>90*DD12/Model!DD132</f>
        <v>34.879545114469551</v>
      </c>
      <c r="DE131" s="985"/>
      <c r="DF131" s="135"/>
      <c r="DG131" s="477">
        <f>90*DG12/(Model!DG132)</f>
        <v>38.039568345323744</v>
      </c>
      <c r="DH131" s="477">
        <f>90*DH12/(Model!DH132)</f>
        <v>40.534351145038165</v>
      </c>
      <c r="DI131" s="477">
        <f>90*DI12/(Model!DI132*3)</f>
        <v>17.844827586206897</v>
      </c>
      <c r="DJ131" s="477">
        <f>90*DJ12/Model!DJ132</f>
        <v>53.365949119373774</v>
      </c>
      <c r="DK131" s="985"/>
      <c r="DL131" s="135"/>
      <c r="DM131" s="477">
        <f>90*DM12/(Model!DM132)</f>
        <v>49.490445859872608</v>
      </c>
      <c r="DN131" s="477">
        <f>90*DN12/(Model!DN132)</f>
        <v>41.65605095541401</v>
      </c>
      <c r="DO131" s="477">
        <f>90*DO12/(Model!DO132*3)</f>
        <v>12.169811320754716</v>
      </c>
      <c r="DP131" s="477">
        <f>90*DP12/Model!DP132</f>
        <v>29.873949579831933</v>
      </c>
      <c r="DQ131" s="985"/>
      <c r="DR131" s="135"/>
      <c r="DS131" s="477">
        <f>90*DS12/(Model!DS132)</f>
        <v>34.6875</v>
      </c>
      <c r="DT131" s="477">
        <f>90*DT12/(Model!DT132)</f>
        <v>40.327868852459019</v>
      </c>
      <c r="DU131" s="477">
        <f>90*DU12/(Model!DU132*3)</f>
        <v>18.839285714285715</v>
      </c>
      <c r="DV131" s="477">
        <f>90*DV12/Model!DV132</f>
        <v>52.427184466019419</v>
      </c>
      <c r="DW131" s="985"/>
      <c r="DX131" s="135"/>
      <c r="DY131" s="477">
        <f>90*DY12/(Model!DY132)</f>
        <v>66.676829268292678</v>
      </c>
      <c r="DZ131" s="477">
        <f>90*DZ12/(Model!DZ132)</f>
        <v>57.228260869565219</v>
      </c>
      <c r="EA131" s="477">
        <f>90*EA12/(Model!EA132*3)</f>
        <v>18.015873015873016</v>
      </c>
      <c r="EB131" s="477">
        <f>90*EB12/Model!EB132</f>
        <v>38.484162895927604</v>
      </c>
      <c r="EC131" s="985"/>
      <c r="ED131" s="135"/>
      <c r="EE131" s="477">
        <f>90*EE12/(Model!EE132)</f>
        <v>54.242424242424242</v>
      </c>
      <c r="EF131" s="477">
        <f>90*EF12/(Model!EF132)</f>
        <v>50.869565217391305</v>
      </c>
      <c r="EG131" s="477">
        <f>90*EG12/(Model!EG132*3)</f>
        <v>23.360655737704917</v>
      </c>
      <c r="EH131" s="477">
        <f>90*EH12/(Model!EH132*3)</f>
        <v>21.605504587155963</v>
      </c>
      <c r="EI131" s="985"/>
      <c r="EJ131" s="135"/>
      <c r="EK131" s="477">
        <f>90*EK12/(Model!EK132)</f>
        <v>75.049833887043192</v>
      </c>
      <c r="EL131" s="477">
        <f>90*EL12/(Model!EL132)</f>
        <v>66.315789473684205</v>
      </c>
      <c r="EM131" s="477">
        <f>90*EM12/(Model!EM132)</f>
        <v>56.617210682492583</v>
      </c>
      <c r="EN131" s="477">
        <f>90*EN12/(Model!EN132)</f>
        <v>47.344913151364764</v>
      </c>
      <c r="EO131" s="985"/>
      <c r="EP131" s="135"/>
      <c r="EQ131" s="477">
        <f>90*EQ12/(Model!EQ132)</f>
        <v>107.25</v>
      </c>
      <c r="ER131" s="477">
        <f>90*ER12/(Model!ER132)</f>
        <v>122.625</v>
      </c>
      <c r="ES131" s="477">
        <f>90*ES12/(Model!ES132)</f>
        <v>122.1875</v>
      </c>
      <c r="ET131" s="477">
        <f>90*ET12/(Model!ET132)</f>
        <v>92.389816589104839</v>
      </c>
      <c r="EU131" s="985"/>
      <c r="EV131" s="135"/>
      <c r="EW131" s="477">
        <f>90*EW12/(Model!EW132)</f>
        <v>137.96898645859952</v>
      </c>
      <c r="EX131" s="477">
        <f>90*EX12/(Model!EX132)</f>
        <v>205.18290769906511</v>
      </c>
      <c r="EY131" s="477">
        <f>90*EY12/(Model!EY132)</f>
        <v>193.17985113380649</v>
      </c>
      <c r="EZ131" s="1096">
        <f>ET131</f>
        <v>92.389816589104839</v>
      </c>
      <c r="FA131" s="985"/>
      <c r="FB131" s="135"/>
      <c r="FC131" s="1096">
        <f>EW131</f>
        <v>137.96898645859952</v>
      </c>
      <c r="FD131" s="1096">
        <f>EX131</f>
        <v>205.18290769906511</v>
      </c>
      <c r="FE131" s="1096">
        <f>EY131</f>
        <v>193.17985113380649</v>
      </c>
      <c r="FF131" s="1096">
        <f>EZ131</f>
        <v>92.389816589104839</v>
      </c>
      <c r="FG131" s="985"/>
      <c r="FH131" s="135"/>
      <c r="FI131" s="1096">
        <f>FC131</f>
        <v>137.96898645859952</v>
      </c>
      <c r="FJ131" s="1096">
        <f>FD131</f>
        <v>205.18290769906511</v>
      </c>
      <c r="FK131" s="1096">
        <f>FE131</f>
        <v>193.17985113380649</v>
      </c>
      <c r="FL131" s="1096">
        <f>FF131</f>
        <v>92.389816589104839</v>
      </c>
      <c r="FM131" s="985"/>
      <c r="FN131" s="135"/>
      <c r="FO131" s="135"/>
      <c r="FP131" s="135"/>
      <c r="FQ131" s="135"/>
      <c r="FR131"/>
      <c r="FS131"/>
      <c r="FT131"/>
      <c r="FU131"/>
      <c r="FV131"/>
      <c r="FW131"/>
      <c r="FX131" s="135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</row>
    <row r="132" spans="1:274" s="24" customFormat="1" ht="6" customHeight="1" x14ac:dyDescent="0.2">
      <c r="A132" s="341"/>
      <c r="B132" s="20"/>
      <c r="C132" s="135"/>
      <c r="D132" s="135"/>
      <c r="E132" s="135"/>
      <c r="F132" s="135"/>
      <c r="G132" s="135"/>
      <c r="H132" s="135"/>
      <c r="I132" s="135"/>
      <c r="J132" s="135"/>
      <c r="K132" s="135"/>
      <c r="L132" s="135"/>
      <c r="M132" s="135"/>
      <c r="N132" s="135"/>
      <c r="O132" s="342"/>
      <c r="P132" s="342"/>
      <c r="Q132" s="135"/>
      <c r="R132" s="135"/>
      <c r="S132" s="135"/>
      <c r="T132" s="135"/>
      <c r="U132" s="135"/>
      <c r="V132" s="135"/>
      <c r="W132" s="135"/>
      <c r="X132" s="135"/>
      <c r="Y132" s="135"/>
      <c r="Z132" s="135"/>
      <c r="AA132" s="135"/>
      <c r="AB132" s="135"/>
      <c r="AC132" s="135"/>
      <c r="AD132" s="135"/>
      <c r="AE132" s="135"/>
      <c r="AF132" s="135"/>
      <c r="AG132" s="135"/>
      <c r="AH132" s="135"/>
      <c r="AI132" s="135"/>
      <c r="AJ132" s="135"/>
      <c r="AK132" s="135"/>
      <c r="AL132" s="135"/>
      <c r="AM132" s="135"/>
      <c r="AN132" s="135"/>
      <c r="AO132" s="135"/>
      <c r="AP132" s="135"/>
      <c r="AQ132" s="135"/>
      <c r="AR132" s="135"/>
      <c r="AS132" s="135"/>
      <c r="AT132" s="135"/>
      <c r="AU132" s="135"/>
      <c r="AV132" s="135"/>
      <c r="AW132" s="135"/>
      <c r="AX132" s="135"/>
      <c r="AY132" s="135"/>
      <c r="AZ132" s="135"/>
      <c r="BA132" s="135"/>
      <c r="BB132" s="135"/>
      <c r="BC132" s="135"/>
      <c r="BD132" s="135"/>
      <c r="BE132" s="135"/>
      <c r="BF132" s="135"/>
      <c r="BG132" s="135"/>
      <c r="BH132" s="135"/>
      <c r="BI132" s="135"/>
      <c r="BJ132" s="135"/>
      <c r="BK132" s="135"/>
      <c r="BL132" s="135"/>
      <c r="BM132" s="135"/>
      <c r="BN132" s="135"/>
      <c r="BO132" s="986"/>
      <c r="BP132" s="135"/>
      <c r="BQ132" s="135"/>
      <c r="BR132" s="135"/>
      <c r="BS132" s="135"/>
      <c r="BT132" s="133"/>
      <c r="BU132" s="135"/>
      <c r="BV132" s="135"/>
      <c r="BW132" s="135"/>
      <c r="BX132" s="135"/>
      <c r="BY132" s="135"/>
      <c r="BZ132" s="135"/>
      <c r="CA132" s="135"/>
      <c r="CB132" s="135"/>
      <c r="CC132" s="135"/>
      <c r="CD132" s="135"/>
      <c r="CE132" s="135"/>
      <c r="CF132" s="135"/>
      <c r="CG132" s="985"/>
      <c r="CH132" s="135"/>
      <c r="CI132" s="135"/>
      <c r="CJ132" s="135"/>
      <c r="CK132" s="135"/>
      <c r="CL132" s="135"/>
      <c r="CM132" s="985"/>
      <c r="CN132" s="135"/>
      <c r="CO132" s="135"/>
      <c r="CP132" s="135"/>
      <c r="CQ132" s="135"/>
      <c r="CR132" s="135"/>
      <c r="CS132" s="985"/>
      <c r="CT132" s="135"/>
      <c r="CU132" s="135"/>
      <c r="CV132" s="135"/>
      <c r="CW132" s="135"/>
      <c r="CX132" s="135"/>
      <c r="CY132" s="985"/>
      <c r="CZ132" s="135"/>
      <c r="DA132" s="135"/>
      <c r="DB132" s="135"/>
      <c r="DC132" s="135"/>
      <c r="DD132" s="135"/>
      <c r="DE132" s="985"/>
      <c r="DF132" s="135"/>
      <c r="DG132" s="135"/>
      <c r="DH132" s="135"/>
      <c r="DI132" s="135"/>
      <c r="DJ132" s="135"/>
      <c r="DK132" s="985"/>
      <c r="DL132" s="135"/>
      <c r="DM132" s="135"/>
      <c r="DN132" s="135"/>
      <c r="DO132" s="135"/>
      <c r="DP132" s="135"/>
      <c r="DQ132" s="985"/>
      <c r="DR132" s="135"/>
      <c r="DS132" s="135"/>
      <c r="DT132" s="135"/>
      <c r="DU132" s="135"/>
      <c r="DV132" s="135"/>
      <c r="DW132" s="985"/>
      <c r="DX132" s="135"/>
      <c r="DY132" s="135"/>
      <c r="DZ132" s="135"/>
      <c r="EA132" s="135"/>
      <c r="EB132" s="135"/>
      <c r="EC132" s="985"/>
      <c r="ED132" s="135"/>
      <c r="EE132" s="135"/>
      <c r="EF132" s="135"/>
      <c r="EG132" s="135"/>
      <c r="EH132" s="135"/>
      <c r="EI132" s="985"/>
      <c r="EJ132" s="135"/>
      <c r="EK132" s="135"/>
      <c r="EL132" s="135"/>
      <c r="EM132" s="135"/>
      <c r="EN132" s="135"/>
      <c r="EO132" s="985"/>
      <c r="EP132" s="135"/>
      <c r="EQ132" s="135"/>
      <c r="ER132" s="135"/>
      <c r="ES132" s="135"/>
      <c r="ET132" s="135"/>
      <c r="EU132" s="985"/>
      <c r="EV132" s="135"/>
      <c r="EW132" s="135"/>
      <c r="EX132" s="135"/>
      <c r="EY132" s="135"/>
      <c r="EZ132" s="135"/>
      <c r="FA132" s="985"/>
      <c r="FB132" s="135"/>
      <c r="FC132" s="135"/>
      <c r="FD132" s="135"/>
      <c r="FE132" s="135"/>
      <c r="FF132" s="135"/>
      <c r="FG132" s="985"/>
      <c r="FH132" s="135"/>
      <c r="FI132" s="135"/>
      <c r="FJ132" s="135"/>
      <c r="FK132" s="135"/>
      <c r="FL132" s="135"/>
      <c r="FM132" s="985"/>
      <c r="FN132" s="135"/>
      <c r="FO132" s="135"/>
      <c r="FP132" s="135"/>
      <c r="FQ132" s="135"/>
      <c r="FR132"/>
      <c r="FS132"/>
      <c r="FT132"/>
      <c r="FU132"/>
      <c r="FV132"/>
      <c r="FW132"/>
      <c r="FX132" s="135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</row>
    <row r="133" spans="1:274" s="24" customFormat="1" ht="10.5" customHeight="1" x14ac:dyDescent="0.2">
      <c r="A133" s="56" t="s">
        <v>188</v>
      </c>
      <c r="B133" s="20"/>
      <c r="C133" s="259"/>
      <c r="D133" s="259"/>
      <c r="E133" s="259"/>
      <c r="F133" s="259"/>
      <c r="G133" s="259"/>
      <c r="H133" s="34"/>
      <c r="I133" s="259"/>
      <c r="J133" s="259"/>
      <c r="K133" s="259"/>
      <c r="L133" s="259"/>
      <c r="M133" s="259"/>
      <c r="N133" s="34"/>
      <c r="O133" s="342"/>
      <c r="P133" s="342"/>
      <c r="Q133" s="259"/>
      <c r="R133" s="259"/>
      <c r="S133" s="259"/>
      <c r="T133" s="34"/>
      <c r="U133" s="259"/>
      <c r="V133" s="259"/>
      <c r="W133" s="259"/>
      <c r="X133" s="259"/>
      <c r="Y133" s="259"/>
      <c r="Z133" s="34"/>
      <c r="AA133" s="259"/>
      <c r="AB133" s="259"/>
      <c r="AC133" s="259"/>
      <c r="AD133" s="259"/>
      <c r="AE133" s="259"/>
      <c r="AF133" s="34"/>
      <c r="AG133" s="259"/>
      <c r="AH133" s="259"/>
      <c r="AI133" s="259"/>
      <c r="AJ133" s="259"/>
      <c r="AK133" s="259"/>
      <c r="AL133" s="34"/>
      <c r="AM133" s="259"/>
      <c r="AN133" s="259"/>
      <c r="AO133" s="259"/>
      <c r="AP133" s="259"/>
      <c r="AQ133" s="259"/>
      <c r="AR133" s="34"/>
      <c r="AS133" s="259"/>
      <c r="AT133" s="259"/>
      <c r="AU133" s="34"/>
      <c r="AV133" s="34"/>
      <c r="AW133" s="259"/>
      <c r="AX133" s="34"/>
      <c r="AY133" s="34"/>
      <c r="AZ133" s="34"/>
      <c r="BA133" s="34"/>
      <c r="BB133" s="34"/>
      <c r="BC133" s="259"/>
      <c r="BD133" s="34"/>
      <c r="BE133" s="34"/>
      <c r="BF133" s="34"/>
      <c r="BG133" s="34"/>
      <c r="BH133" s="34"/>
      <c r="BI133" s="259"/>
      <c r="BJ133" s="33"/>
      <c r="BK133" s="33"/>
      <c r="BL133" s="33"/>
      <c r="BM133" s="33"/>
      <c r="BN133" s="33"/>
      <c r="BO133" s="33"/>
      <c r="BP133" s="34"/>
      <c r="BQ133" s="33"/>
      <c r="BR133" s="33"/>
      <c r="BS133" s="33"/>
      <c r="BT133" s="33"/>
      <c r="BU133" s="33"/>
      <c r="BV133" s="34"/>
      <c r="BW133" s="33"/>
      <c r="BX133" s="33"/>
      <c r="BY133" s="33"/>
      <c r="BZ133" s="33"/>
      <c r="CA133" s="33"/>
      <c r="CB133" s="34"/>
      <c r="CC133" s="33"/>
      <c r="CD133" s="33"/>
      <c r="CE133" s="33"/>
      <c r="CF133" s="33"/>
      <c r="CG133" s="226"/>
      <c r="CH133" s="34"/>
      <c r="CI133" s="33"/>
      <c r="CJ133" s="33"/>
      <c r="CK133" s="33"/>
      <c r="CL133" s="33"/>
      <c r="CM133" s="226"/>
      <c r="CN133" s="34"/>
      <c r="CO133" s="33"/>
      <c r="CP133" s="33"/>
      <c r="CQ133" s="33"/>
      <c r="CR133" s="33"/>
      <c r="CS133" s="226"/>
      <c r="CT133" s="91"/>
      <c r="CU133" s="33"/>
      <c r="CV133" s="33"/>
      <c r="CW133" s="33"/>
      <c r="CX133" s="33"/>
      <c r="CY133" s="226"/>
      <c r="CZ133" s="91"/>
      <c r="DA133" s="33"/>
      <c r="DB133" s="33"/>
      <c r="DC133" s="33"/>
      <c r="DD133" s="33"/>
      <c r="DE133" s="226"/>
      <c r="DF133" s="91"/>
      <c r="DG133" s="33"/>
      <c r="DH133" s="33"/>
      <c r="DI133" s="33"/>
      <c r="DJ133" s="33"/>
      <c r="DK133" s="226"/>
      <c r="DL133" s="91"/>
      <c r="DM133" s="33"/>
      <c r="DN133" s="33"/>
      <c r="DO133" s="33"/>
      <c r="DP133" s="33"/>
      <c r="DQ133" s="226"/>
      <c r="DR133" s="91"/>
      <c r="DS133" s="33"/>
      <c r="DT133" s="33"/>
      <c r="DU133" s="33"/>
      <c r="DV133" s="33"/>
      <c r="DW133" s="226"/>
      <c r="DX133" s="91"/>
      <c r="DY133" s="33"/>
      <c r="DZ133" s="33"/>
      <c r="EA133" s="33"/>
      <c r="EB133" s="1526"/>
      <c r="EC133" s="226"/>
      <c r="ED133" s="91"/>
      <c r="EE133" s="33"/>
      <c r="EF133" s="33"/>
      <c r="EG133" s="33"/>
      <c r="EH133" s="33"/>
      <c r="EI133" s="226"/>
      <c r="EJ133" s="91"/>
      <c r="EK133" s="33"/>
      <c r="EL133" s="33"/>
      <c r="EM133" s="33"/>
      <c r="EN133" s="33"/>
      <c r="EO133" s="226"/>
      <c r="EP133" s="91"/>
      <c r="EQ133" s="33"/>
      <c r="ER133" s="33"/>
      <c r="ES133" s="33"/>
      <c r="ET133" s="33"/>
      <c r="EU133" s="226"/>
      <c r="EV133" s="91"/>
      <c r="EW133" s="33"/>
      <c r="EX133" s="33"/>
      <c r="EY133" s="33"/>
      <c r="EZ133" s="33"/>
      <c r="FA133" s="226"/>
      <c r="FB133" s="91"/>
      <c r="FC133" s="33"/>
      <c r="FD133" s="33"/>
      <c r="FE133" s="33"/>
      <c r="FF133" s="33"/>
      <c r="FG133" s="226"/>
      <c r="FH133" s="91"/>
      <c r="FI133" s="33"/>
      <c r="FJ133" s="33"/>
      <c r="FK133" s="33"/>
      <c r="FL133" s="33"/>
      <c r="FM133" s="226"/>
      <c r="FN133" s="33"/>
      <c r="FO133" s="33"/>
      <c r="FP133" s="33"/>
      <c r="FQ133" s="33"/>
      <c r="FR133"/>
      <c r="FS133"/>
      <c r="FT133"/>
      <c r="FU133"/>
      <c r="FV133"/>
      <c r="FW133"/>
      <c r="FX133" s="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</row>
    <row r="134" spans="1:274" s="24" customFormat="1" ht="10.5" customHeight="1" x14ac:dyDescent="0.2">
      <c r="A134" s="273" t="s">
        <v>189</v>
      </c>
      <c r="B134" s="476"/>
      <c r="C134" s="59" t="s">
        <v>945</v>
      </c>
      <c r="D134" s="59">
        <v>5.9580000000000002</v>
      </c>
      <c r="E134" s="59">
        <v>17.395</v>
      </c>
      <c r="F134" s="59">
        <v>35.008000000000003</v>
      </c>
      <c r="G134" s="59">
        <v>65.834999999999994</v>
      </c>
      <c r="H134" s="244">
        <v>127.867</v>
      </c>
      <c r="I134" s="59">
        <v>238.57</v>
      </c>
      <c r="J134" s="59">
        <v>305.916</v>
      </c>
      <c r="K134" s="59">
        <v>370.17700000000002</v>
      </c>
      <c r="L134" s="244">
        <v>390.54599999999999</v>
      </c>
      <c r="M134" s="243">
        <v>614.01599999999996</v>
      </c>
      <c r="N134" s="244"/>
      <c r="O134" s="477" t="s">
        <v>945</v>
      </c>
      <c r="P134" s="477" t="s">
        <v>945</v>
      </c>
      <c r="Q134" s="477" t="s">
        <v>945</v>
      </c>
      <c r="R134" s="244">
        <v>858.44500000000005</v>
      </c>
      <c r="S134" s="243">
        <f>R134</f>
        <v>858.44500000000005</v>
      </c>
      <c r="T134" s="244"/>
      <c r="U134" s="477" t="s">
        <v>945</v>
      </c>
      <c r="V134" s="477" t="s">
        <v>945</v>
      </c>
      <c r="W134" s="477" t="s">
        <v>945</v>
      </c>
      <c r="X134" s="244">
        <v>1128.5940000000001</v>
      </c>
      <c r="Y134" s="243">
        <f>X134</f>
        <v>1128.5940000000001</v>
      </c>
      <c r="Z134" s="244"/>
      <c r="AA134" s="477" t="s">
        <v>945</v>
      </c>
      <c r="AB134" s="477" t="s">
        <v>945</v>
      </c>
      <c r="AC134" s="477" t="s">
        <v>945</v>
      </c>
      <c r="AD134" s="244">
        <v>1477.2739999999999</v>
      </c>
      <c r="AE134" s="243">
        <f>AD134</f>
        <v>1477.2739999999999</v>
      </c>
      <c r="AF134" s="244"/>
      <c r="AG134" s="477" t="s">
        <v>945</v>
      </c>
      <c r="AH134" s="477" t="s">
        <v>945</v>
      </c>
      <c r="AI134" s="477" t="s">
        <v>945</v>
      </c>
      <c r="AJ134" s="244">
        <v>1733.328</v>
      </c>
      <c r="AK134" s="243">
        <f>AJ134</f>
        <v>1733.328</v>
      </c>
      <c r="AL134" s="244"/>
      <c r="AM134" s="477" t="s">
        <v>945</v>
      </c>
      <c r="AN134" s="477" t="s">
        <v>945</v>
      </c>
      <c r="AO134" s="477"/>
      <c r="AP134" s="244">
        <v>2023.4469999999999</v>
      </c>
      <c r="AQ134" s="243">
        <f>AP134</f>
        <v>2023.4469999999999</v>
      </c>
      <c r="AR134" s="244"/>
      <c r="AS134" s="477">
        <f>AS135+AS136</f>
        <v>2040.7154999999998</v>
      </c>
      <c r="AT134" s="477">
        <f>AT135+AT136</f>
        <v>2079.674</v>
      </c>
      <c r="AU134" s="477">
        <f>AU135+AU136</f>
        <v>2118.5985000000001</v>
      </c>
      <c r="AV134" s="244">
        <v>2125.0300000000002</v>
      </c>
      <c r="AW134" s="243">
        <f>AV134</f>
        <v>2125.0300000000002</v>
      </c>
      <c r="AX134" s="244"/>
      <c r="AY134" s="477">
        <f>AY135+AY136</f>
        <v>2161.9382500000002</v>
      </c>
      <c r="AZ134" s="477">
        <f>AZ135+AZ136</f>
        <v>2201.5805</v>
      </c>
      <c r="BA134" s="477">
        <f>BA135+BA136</f>
        <v>2240.6617500000002</v>
      </c>
      <c r="BB134" s="244">
        <v>2304</v>
      </c>
      <c r="BC134" s="243">
        <f>BB134</f>
        <v>2304</v>
      </c>
      <c r="BD134" s="244"/>
      <c r="BE134" s="477">
        <f>BE135+BE136</f>
        <v>2360.9629999999997</v>
      </c>
      <c r="BF134" s="477">
        <f>BF135+BF136</f>
        <v>2348.8710000000001</v>
      </c>
      <c r="BG134" s="477">
        <f>BG135+BG136</f>
        <v>2329.5160000000001</v>
      </c>
      <c r="BH134" s="244">
        <v>2337</v>
      </c>
      <c r="BI134" s="243">
        <f>BH134</f>
        <v>2337</v>
      </c>
      <c r="BJ134" s="243"/>
      <c r="BK134" s="477">
        <f>BK135+BK136</f>
        <v>2359</v>
      </c>
      <c r="BL134" s="477">
        <f>BL135+BL136</f>
        <v>2371</v>
      </c>
      <c r="BM134" s="477">
        <f>BM135+BM136</f>
        <v>2357</v>
      </c>
      <c r="BN134" s="243">
        <v>2556</v>
      </c>
      <c r="BO134" s="243">
        <f>BN134</f>
        <v>2556</v>
      </c>
      <c r="BP134" s="244"/>
      <c r="BQ134" s="477">
        <f>BN134+BQ144-BQ142</f>
        <v>2582</v>
      </c>
      <c r="BR134" s="477">
        <f>BQ134+BR144-BR142</f>
        <v>2559</v>
      </c>
      <c r="BS134" s="477">
        <f>BR134+BS144-BS142</f>
        <v>2550</v>
      </c>
      <c r="BT134" s="477">
        <v>2653</v>
      </c>
      <c r="BU134" s="243">
        <f>BT134</f>
        <v>2653</v>
      </c>
      <c r="BV134" s="244"/>
      <c r="BW134" s="477">
        <f>BT134+BW144-BW142</f>
        <v>2643</v>
      </c>
      <c r="BX134" s="477">
        <f>BW134+BX144-BX142</f>
        <v>2656</v>
      </c>
      <c r="BY134" s="477">
        <f>BX134+BY144-BY142</f>
        <v>2661</v>
      </c>
      <c r="BZ134" s="477">
        <v>3023</v>
      </c>
      <c r="CA134" s="243">
        <f>BZ134</f>
        <v>3023</v>
      </c>
      <c r="CB134" s="244"/>
      <c r="CC134" s="477">
        <f>BZ134+CC144-CC142</f>
        <v>3018</v>
      </c>
      <c r="CD134" s="477">
        <f>CC134+CD144-CD142</f>
        <v>2999</v>
      </c>
      <c r="CE134" s="477">
        <f>CD134+CE144-CE142</f>
        <v>3024</v>
      </c>
      <c r="CF134" s="477">
        <v>3051</v>
      </c>
      <c r="CG134" s="143">
        <f>CF134</f>
        <v>3051</v>
      </c>
      <c r="CH134" s="244"/>
      <c r="CI134" s="477">
        <f>CF134+CI144-CI142</f>
        <v>3041</v>
      </c>
      <c r="CJ134" s="477">
        <f>CI134+CJ144-CJ142</f>
        <v>3033</v>
      </c>
      <c r="CK134" s="477">
        <f>CJ134+CK144-CK142</f>
        <v>3050</v>
      </c>
      <c r="CL134" s="477">
        <v>3459</v>
      </c>
      <c r="CM134" s="143">
        <f>CL134</f>
        <v>3459</v>
      </c>
      <c r="CN134" s="244"/>
      <c r="CO134" s="477">
        <f>CL134+CO144-CO142</f>
        <v>3479</v>
      </c>
      <c r="CP134" s="477">
        <f>CO134+CP144-CP142</f>
        <v>3478</v>
      </c>
      <c r="CQ134" s="477">
        <f>CP134+CQ144-CQ142</f>
        <v>3385</v>
      </c>
      <c r="CR134" s="477">
        <v>3640</v>
      </c>
      <c r="CS134" s="143">
        <f>CR134</f>
        <v>3640</v>
      </c>
      <c r="CT134" s="131"/>
      <c r="CU134" s="477">
        <f>CR134+CU144-CU142</f>
        <v>3899</v>
      </c>
      <c r="CV134" s="477">
        <f>CU134+CV144-CV142</f>
        <v>3905</v>
      </c>
      <c r="CW134" s="477">
        <f>CV134+CW144-CW142</f>
        <v>3933</v>
      </c>
      <c r="CX134" s="477">
        <v>3826</v>
      </c>
      <c r="CY134" s="143">
        <f>CX134</f>
        <v>3826</v>
      </c>
      <c r="CZ134" s="131"/>
      <c r="DA134" s="477">
        <f>CX134+DA144-DA142</f>
        <v>3820</v>
      </c>
      <c r="DB134" s="477">
        <f>DA134+DB144-DB142</f>
        <v>3803</v>
      </c>
      <c r="DC134" s="477">
        <f>DB134+DC144-DC142</f>
        <v>3791</v>
      </c>
      <c r="DD134" s="477">
        <f>DC134+DD144-DD142</f>
        <v>3758</v>
      </c>
      <c r="DE134" s="143">
        <f>DD134</f>
        <v>3758</v>
      </c>
      <c r="DF134" s="131"/>
      <c r="DG134" s="477">
        <f>DD134+DG144-DG142</f>
        <v>3777</v>
      </c>
      <c r="DH134" s="477">
        <f>DG134+DH144-DH142</f>
        <v>3803</v>
      </c>
      <c r="DI134" s="477">
        <f>DH134+DI144-DI142</f>
        <v>3847</v>
      </c>
      <c r="DJ134" s="477">
        <f>DI134+DJ144-DJ142</f>
        <v>3840</v>
      </c>
      <c r="DK134" s="143">
        <f>DJ134</f>
        <v>3840</v>
      </c>
      <c r="DL134" s="131"/>
      <c r="DM134" s="477">
        <f>DJ134+DM144-DM142</f>
        <v>3883</v>
      </c>
      <c r="DN134" s="477">
        <f>DM134+DN144-DN142</f>
        <v>3883</v>
      </c>
      <c r="DO134" s="477">
        <f>DN134+DO144-DO142</f>
        <v>3921</v>
      </c>
      <c r="DP134" s="477">
        <f>DO134+DP144-DP142</f>
        <v>4002</v>
      </c>
      <c r="DQ134" s="143">
        <f>DP134</f>
        <v>4002</v>
      </c>
      <c r="DR134" s="131"/>
      <c r="DS134" s="477">
        <f>DP134+DS144-DS142</f>
        <v>4014</v>
      </c>
      <c r="DT134" s="477">
        <f>DS134+DT144-DT142</f>
        <v>4092</v>
      </c>
      <c r="DU134" s="477">
        <f>DT134+DU144-DU142</f>
        <v>4069</v>
      </c>
      <c r="DV134" s="477">
        <f>DU134+DV144-DV142</f>
        <v>4106</v>
      </c>
      <c r="DW134" s="143">
        <f>DV134</f>
        <v>4106</v>
      </c>
      <c r="DX134" s="131"/>
      <c r="DY134" s="477">
        <f>DV134+DY144-DY142</f>
        <v>4109</v>
      </c>
      <c r="DZ134" s="477">
        <f>DY134+DZ144-DZ142</f>
        <v>4083</v>
      </c>
      <c r="EA134" s="477">
        <f>DZ134+EA144-EA142</f>
        <v>4080</v>
      </c>
      <c r="EB134" s="477">
        <f>EA134+EB144-EB142</f>
        <v>4078</v>
      </c>
      <c r="EC134" s="143">
        <f>EB134</f>
        <v>4078</v>
      </c>
      <c r="ED134" s="131"/>
      <c r="EE134" s="477">
        <f>EB134+EE144-EE142</f>
        <v>4119</v>
      </c>
      <c r="EF134" s="477">
        <f>EE134+EF144-EF142</f>
        <v>4180</v>
      </c>
      <c r="EG134" s="477">
        <f>EF134+EG144-EG142</f>
        <v>4370</v>
      </c>
      <c r="EH134" s="477">
        <f>EG134+EH144-EH142</f>
        <v>4597</v>
      </c>
      <c r="EI134" s="143">
        <f>EH134</f>
        <v>4597</v>
      </c>
      <c r="EJ134" s="131"/>
      <c r="EK134" s="477">
        <f>EH134+EK144-EK142</f>
        <v>4824</v>
      </c>
      <c r="EL134" s="477">
        <f>EK134+EL144-EL142</f>
        <v>4809</v>
      </c>
      <c r="EM134" s="477">
        <f>EL134+EM144-EM142</f>
        <v>4744</v>
      </c>
      <c r="EN134" s="477">
        <f>EM134+EN144-EN142</f>
        <v>4696</v>
      </c>
      <c r="EO134" s="143">
        <f>EN134</f>
        <v>4696</v>
      </c>
      <c r="EP134" s="131"/>
      <c r="EQ134" s="477">
        <f>EN134+EQ144-EQ142</f>
        <v>4773</v>
      </c>
      <c r="ER134" s="477">
        <f>EQ134+ER144-ER142</f>
        <v>5289</v>
      </c>
      <c r="ES134" s="477">
        <f>ER134+ES144-ES142</f>
        <v>5248</v>
      </c>
      <c r="ET134" s="477">
        <f>ES134+ET144-ET142</f>
        <v>5495</v>
      </c>
      <c r="EU134" s="143">
        <f>ET134</f>
        <v>5495</v>
      </c>
      <c r="EV134" s="131"/>
      <c r="EW134" s="477">
        <f>ET134+EW144-EW142</f>
        <v>5683</v>
      </c>
      <c r="EX134" s="477">
        <f>EW134+EX144-EX142</f>
        <v>5994</v>
      </c>
      <c r="EY134" s="477">
        <f>EX134+EY144-EY142</f>
        <v>5690</v>
      </c>
      <c r="EZ134" s="477">
        <f>EY134+EZ144-EZ139</f>
        <v>5607.6153285830951</v>
      </c>
      <c r="FA134" s="143">
        <f>EZ134</f>
        <v>5607.6153285830951</v>
      </c>
      <c r="FB134" s="131"/>
      <c r="FC134" s="477">
        <f>EZ134+FC144-FC139</f>
        <v>5873.01706632266</v>
      </c>
      <c r="FD134" s="477">
        <f>FC134+FD144-FD139</f>
        <v>6133.1763291100669</v>
      </c>
      <c r="FE134" s="477">
        <f>FD134+FE144-FE139</f>
        <v>6387.8621258528547</v>
      </c>
      <c r="FF134" s="477">
        <f>FE134+FF144-FF139</f>
        <v>6636.0926717373814</v>
      </c>
      <c r="FG134" s="143">
        <f>FF134</f>
        <v>6636.0926717373814</v>
      </c>
      <c r="FH134" s="131"/>
      <c r="FI134" s="477">
        <f>FF134+FI144-FI139</f>
        <v>6880.1224470580873</v>
      </c>
      <c r="FJ134" s="477">
        <f>FI134+FJ144-FJ139</f>
        <v>7119.7624108113632</v>
      </c>
      <c r="FK134" s="477">
        <f>FJ134+FK144-FK139</f>
        <v>7355.0189610460257</v>
      </c>
      <c r="FL134" s="477">
        <f>FK134+FL144-FL139</f>
        <v>7585.1801407191169</v>
      </c>
      <c r="FM134" s="143">
        <f>FL134</f>
        <v>7585.1801407191169</v>
      </c>
      <c r="FN134" s="33"/>
      <c r="FO134" s="33"/>
      <c r="FP134" s="33"/>
      <c r="FQ134" s="33"/>
      <c r="FR134"/>
      <c r="FS134"/>
      <c r="FT134"/>
      <c r="FU134"/>
      <c r="FV134"/>
      <c r="FW134"/>
      <c r="FX134" s="33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</row>
    <row r="135" spans="1:274" s="24" customFormat="1" ht="10.5" customHeight="1" x14ac:dyDescent="0.2">
      <c r="A135" s="273" t="s">
        <v>190</v>
      </c>
      <c r="B135" s="476"/>
      <c r="C135" s="59" t="s">
        <v>945</v>
      </c>
      <c r="D135" s="59">
        <v>1.4670000000000001</v>
      </c>
      <c r="E135" s="59">
        <v>3.2429999999999999</v>
      </c>
      <c r="F135" s="59">
        <v>8.1120000000000001</v>
      </c>
      <c r="G135" s="59">
        <v>18.280999999999999</v>
      </c>
      <c r="H135" s="244">
        <v>33.411999999999999</v>
      </c>
      <c r="I135" s="59">
        <v>66.625</v>
      </c>
      <c r="J135" s="59">
        <v>111.70699999999999</v>
      </c>
      <c r="K135" s="59">
        <v>163.22200000000001</v>
      </c>
      <c r="L135" s="244">
        <v>201.30799999999999</v>
      </c>
      <c r="M135" s="243">
        <v>235.53299999999999</v>
      </c>
      <c r="N135" s="244"/>
      <c r="O135" s="477" t="s">
        <v>945</v>
      </c>
      <c r="P135" s="477" t="s">
        <v>945</v>
      </c>
      <c r="Q135" s="477" t="s">
        <v>945</v>
      </c>
      <c r="R135" s="244">
        <v>323.411</v>
      </c>
      <c r="S135" s="243">
        <f>R135</f>
        <v>323.411</v>
      </c>
      <c r="T135" s="244"/>
      <c r="U135" s="477" t="s">
        <v>945</v>
      </c>
      <c r="V135" s="477" t="s">
        <v>945</v>
      </c>
      <c r="W135" s="477" t="s">
        <v>945</v>
      </c>
      <c r="X135" s="244">
        <v>442.84</v>
      </c>
      <c r="Y135" s="243">
        <f>X135</f>
        <v>442.84</v>
      </c>
      <c r="Z135" s="244"/>
      <c r="AA135" s="477" t="s">
        <v>945</v>
      </c>
      <c r="AB135" s="477" t="s">
        <v>945</v>
      </c>
      <c r="AC135" s="477" t="s">
        <v>945</v>
      </c>
      <c r="AD135" s="244">
        <v>608.32600000000002</v>
      </c>
      <c r="AE135" s="243">
        <f>AD135</f>
        <v>608.32600000000002</v>
      </c>
      <c r="AF135" s="244"/>
      <c r="AG135" s="477" t="s">
        <v>945</v>
      </c>
      <c r="AH135" s="477" t="s">
        <v>945</v>
      </c>
      <c r="AI135" s="477" t="s">
        <v>945</v>
      </c>
      <c r="AJ135" s="244">
        <v>798.97799999999995</v>
      </c>
      <c r="AK135" s="243">
        <f>AJ135</f>
        <v>798.97799999999995</v>
      </c>
      <c r="AL135" s="244"/>
      <c r="AM135" s="477" t="s">
        <v>945</v>
      </c>
      <c r="AN135" s="477" t="s">
        <v>945</v>
      </c>
      <c r="AO135" s="477" t="s">
        <v>945</v>
      </c>
      <c r="AP135" s="244">
        <v>1035.9649999999999</v>
      </c>
      <c r="AQ135" s="243">
        <f>AP135</f>
        <v>1035.9649999999999</v>
      </c>
      <c r="AR135" s="244"/>
      <c r="AS135" s="477">
        <f>(AV135-AQ135)/4+AQ135</f>
        <v>1074.6174999999998</v>
      </c>
      <c r="AT135" s="477">
        <f>(AV135-AQ135)/4+AS135</f>
        <v>1113.27</v>
      </c>
      <c r="AU135" s="477">
        <f>(AV135-AQ135)/4+AT135</f>
        <v>1151.9225000000001</v>
      </c>
      <c r="AV135" s="244">
        <v>1190.575</v>
      </c>
      <c r="AW135" s="243">
        <f>AV135</f>
        <v>1190.575</v>
      </c>
      <c r="AX135" s="244"/>
      <c r="AY135" s="477">
        <f>(BB135-AW135)/4+AW135</f>
        <v>1225.1812500000001</v>
      </c>
      <c r="AZ135" s="477">
        <f>(BB135-AW135)/4+AY135</f>
        <v>1259.7875000000001</v>
      </c>
      <c r="BA135" s="477">
        <f>(BB135-AW135)/4+AZ135</f>
        <v>1294.3937500000002</v>
      </c>
      <c r="BB135" s="244">
        <v>1329</v>
      </c>
      <c r="BC135" s="243">
        <f>BB135</f>
        <v>1329</v>
      </c>
      <c r="BD135" s="244"/>
      <c r="BE135" s="477">
        <f>(BH135-BC135)/4+BC135</f>
        <v>1334.25</v>
      </c>
      <c r="BF135" s="477">
        <f>(BH135-BC135)/4+BE135</f>
        <v>1339.5</v>
      </c>
      <c r="BG135" s="477">
        <f>(BH135-BC135)/4+BF135</f>
        <v>1344.75</v>
      </c>
      <c r="BH135" s="244">
        <v>1350</v>
      </c>
      <c r="BI135" s="243">
        <f>BH135</f>
        <v>1350</v>
      </c>
      <c r="BJ135" s="243"/>
      <c r="BK135" s="477">
        <f>(BN135-BI135)/4+BI135</f>
        <v>1386</v>
      </c>
      <c r="BL135" s="477">
        <f>(BN135-BI135)/4+BK135</f>
        <v>1422</v>
      </c>
      <c r="BM135" s="477">
        <f>(BN135-BI135)/4+BL135</f>
        <v>1458</v>
      </c>
      <c r="BN135" s="243">
        <v>1494</v>
      </c>
      <c r="BO135" s="243">
        <f>BN135</f>
        <v>1494</v>
      </c>
      <c r="BP135" s="244"/>
      <c r="BQ135" s="477">
        <f>BQ134-BQ136</f>
        <v>1501</v>
      </c>
      <c r="BR135" s="477">
        <f>BR134-BR136</f>
        <v>1486</v>
      </c>
      <c r="BS135" s="477">
        <f>BS134-BS136</f>
        <v>1470</v>
      </c>
      <c r="BT135" s="477">
        <v>1585</v>
      </c>
      <c r="BU135" s="243">
        <f>BT135</f>
        <v>1585</v>
      </c>
      <c r="BV135" s="244"/>
      <c r="BW135" s="477">
        <f>BW134-BW136</f>
        <v>1586</v>
      </c>
      <c r="BX135" s="477">
        <f>BX134-BX136</f>
        <v>1572</v>
      </c>
      <c r="BY135" s="477">
        <f>BY134-BY136</f>
        <v>1190</v>
      </c>
      <c r="BZ135" s="477">
        <v>1581</v>
      </c>
      <c r="CA135" s="243">
        <f>BZ135</f>
        <v>1581</v>
      </c>
      <c r="CB135" s="244"/>
      <c r="CC135" s="477">
        <f>CC134-CC136</f>
        <v>1614</v>
      </c>
      <c r="CD135" s="477">
        <f>CD134-CD136</f>
        <v>1633</v>
      </c>
      <c r="CE135" s="477">
        <f>CE134-CE136</f>
        <v>1649</v>
      </c>
      <c r="CF135" s="477">
        <v>1660</v>
      </c>
      <c r="CG135" s="143">
        <f>CF135</f>
        <v>1660</v>
      </c>
      <c r="CH135" s="244"/>
      <c r="CI135" s="477">
        <f>CI134-CI136</f>
        <v>1604</v>
      </c>
      <c r="CJ135" s="477">
        <f>CJ134-CJ136</f>
        <v>1587</v>
      </c>
      <c r="CK135" s="477">
        <f>CK134-CK136</f>
        <v>1585</v>
      </c>
      <c r="CL135" s="477">
        <f>CL134-CL136</f>
        <v>1856</v>
      </c>
      <c r="CM135" s="143">
        <f>CL135</f>
        <v>1856</v>
      </c>
      <c r="CN135" s="244"/>
      <c r="CO135" s="477">
        <f>CO134-CO136</f>
        <v>1846</v>
      </c>
      <c r="CP135" s="477">
        <f>CP134-CP136</f>
        <v>1823</v>
      </c>
      <c r="CQ135" s="477">
        <f>CQ134-CQ136</f>
        <v>1815</v>
      </c>
      <c r="CR135" s="477">
        <f>CR134-CR136</f>
        <v>1952</v>
      </c>
      <c r="CS135" s="143">
        <f>CR135</f>
        <v>1952</v>
      </c>
      <c r="CT135" s="131"/>
      <c r="CU135" s="477">
        <f>CU134-CU136</f>
        <v>2013</v>
      </c>
      <c r="CV135" s="477">
        <f>CV134-CV136</f>
        <v>1998</v>
      </c>
      <c r="CW135" s="477">
        <f>CW134-CW136</f>
        <v>2019</v>
      </c>
      <c r="CX135" s="477">
        <v>1904</v>
      </c>
      <c r="CY135" s="143">
        <f>CX135</f>
        <v>1904</v>
      </c>
      <c r="CZ135" s="131"/>
      <c r="DA135" s="477">
        <f>DA134-DA136</f>
        <v>1896</v>
      </c>
      <c r="DB135" s="477">
        <f>DB134-DB136</f>
        <v>1847</v>
      </c>
      <c r="DC135" s="477">
        <f>DC134-DC136</f>
        <v>922</v>
      </c>
      <c r="DD135" s="477">
        <f>DD134-DD136</f>
        <v>995</v>
      </c>
      <c r="DE135" s="143">
        <f>DD135</f>
        <v>995</v>
      </c>
      <c r="DF135" s="131"/>
      <c r="DG135" s="477">
        <f>DG134-DG136</f>
        <v>942</v>
      </c>
      <c r="DH135" s="477">
        <f>DH134-DH136</f>
        <v>933</v>
      </c>
      <c r="DI135" s="477">
        <f>DI134-DI136</f>
        <v>953</v>
      </c>
      <c r="DJ135" s="477">
        <f>DJ134-DJ136</f>
        <v>983</v>
      </c>
      <c r="DK135" s="143">
        <f>DJ135</f>
        <v>983</v>
      </c>
      <c r="DL135" s="131"/>
      <c r="DM135" s="477">
        <f>DM134-DM136</f>
        <v>953</v>
      </c>
      <c r="DN135" s="477">
        <f>DN134-DN136</f>
        <v>983</v>
      </c>
      <c r="DO135" s="477">
        <f>DO134-DO136</f>
        <v>985</v>
      </c>
      <c r="DP135" s="477">
        <f>DP134-DP136</f>
        <v>981</v>
      </c>
      <c r="DQ135" s="143">
        <f>DP135</f>
        <v>981</v>
      </c>
      <c r="DR135" s="131"/>
      <c r="DS135" s="477">
        <f>DS134-DS136</f>
        <v>977</v>
      </c>
      <c r="DT135" s="477">
        <f>DT134-DT136</f>
        <v>999</v>
      </c>
      <c r="DU135" s="477">
        <f>DU134-DU136</f>
        <v>1035</v>
      </c>
      <c r="DV135" s="477">
        <f>DV134-DV136</f>
        <v>1053</v>
      </c>
      <c r="DW135" s="143">
        <f>DV135</f>
        <v>1053</v>
      </c>
      <c r="DX135" s="131"/>
      <c r="DY135" s="477">
        <f>DY134-DY136</f>
        <v>1057</v>
      </c>
      <c r="DZ135" s="477">
        <f>DZ134-DZ136</f>
        <v>1044</v>
      </c>
      <c r="EA135" s="477">
        <f>EA134-EA136</f>
        <v>1028</v>
      </c>
      <c r="EB135" s="477">
        <f>EB134-EB136</f>
        <v>1017</v>
      </c>
      <c r="EC135" s="143">
        <f>EB135</f>
        <v>1017</v>
      </c>
      <c r="ED135" s="131"/>
      <c r="EE135" s="477">
        <f>EE134-EE136</f>
        <v>1033</v>
      </c>
      <c r="EF135" s="477">
        <f>EF134-EF136</f>
        <v>1011</v>
      </c>
      <c r="EG135" s="477">
        <f>EG134-EG136</f>
        <v>1035</v>
      </c>
      <c r="EH135" s="477">
        <f>EH134-EH136</f>
        <v>911</v>
      </c>
      <c r="EI135" s="143">
        <f>EH135</f>
        <v>911</v>
      </c>
      <c r="EJ135" s="131"/>
      <c r="EK135" s="477">
        <f>EK134-EK136</f>
        <v>928</v>
      </c>
      <c r="EL135" s="477">
        <f>EL134-EL136</f>
        <v>954</v>
      </c>
      <c r="EM135" s="477">
        <f>EM134-EM136</f>
        <v>733</v>
      </c>
      <c r="EN135" s="477">
        <f>EN134-EN136</f>
        <v>696</v>
      </c>
      <c r="EO135" s="143">
        <f>EN135</f>
        <v>696</v>
      </c>
      <c r="EP135" s="131"/>
      <c r="EQ135" s="477">
        <f>EQ134-EQ136</f>
        <v>665</v>
      </c>
      <c r="ER135" s="477">
        <f>ER134-ER136</f>
        <v>407</v>
      </c>
      <c r="ES135" s="477">
        <f>ES134-ES136</f>
        <v>178</v>
      </c>
      <c r="ET135" s="477">
        <f>ET134-ET136</f>
        <v>180</v>
      </c>
      <c r="EU135" s="143">
        <f>ET135</f>
        <v>180</v>
      </c>
      <c r="EV135" s="131"/>
      <c r="EW135" s="477">
        <f>EW134-EW136</f>
        <v>97</v>
      </c>
      <c r="EX135" s="477">
        <f>EX134-EX136</f>
        <v>126</v>
      </c>
      <c r="EY135" s="477">
        <f>EY134-EY136</f>
        <v>-214</v>
      </c>
      <c r="EZ135" s="477">
        <f>EY135+EZ142-EZ139</f>
        <v>-479.59289346127292</v>
      </c>
      <c r="FA135" s="143">
        <f>EZ135</f>
        <v>-479.59289346127292</v>
      </c>
      <c r="FB135" s="131"/>
      <c r="FC135" s="477">
        <f>EZ135+FC142-FC139</f>
        <v>-389.91017810156637</v>
      </c>
      <c r="FD135" s="477">
        <f>FC135+FD142-FD139</f>
        <v>-305.76312660879319</v>
      </c>
      <c r="FE135" s="477">
        <f>FD135+FE142-FE139</f>
        <v>98.982417753035634</v>
      </c>
      <c r="FF135" s="477">
        <f>FE135+FF142-FF139</f>
        <v>206.00869005526815</v>
      </c>
      <c r="FG135" s="143">
        <f>FF135</f>
        <v>206.00869005526815</v>
      </c>
      <c r="FH135" s="131"/>
      <c r="FI135" s="477">
        <f>FF135+FI142-FI139</f>
        <v>312.13986619827153</v>
      </c>
      <c r="FJ135" s="477">
        <f>FI135+FJ142-FJ139</f>
        <v>410.7164600156093</v>
      </c>
      <c r="FK135" s="477">
        <f>FJ135+FK142-FK139</f>
        <v>880.56959288793132</v>
      </c>
      <c r="FL135" s="477">
        <f>FK135+FL142-FL139</f>
        <v>1003.8002210079611</v>
      </c>
      <c r="FM135" s="143">
        <f>FL135</f>
        <v>1003.8002210079611</v>
      </c>
      <c r="FN135" s="33"/>
      <c r="FO135" s="33"/>
      <c r="FP135" s="33"/>
      <c r="FQ135" s="33"/>
      <c r="FR135"/>
      <c r="FS135"/>
      <c r="FT135"/>
      <c r="FU135"/>
      <c r="FV135"/>
      <c r="FW135"/>
      <c r="FX135" s="33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</row>
    <row r="136" spans="1:274" s="24" customFormat="1" ht="10.5" customHeight="1" x14ac:dyDescent="0.2">
      <c r="A136" s="273" t="s">
        <v>191</v>
      </c>
      <c r="B136" s="476"/>
      <c r="C136" s="59" t="s">
        <v>945</v>
      </c>
      <c r="D136" s="243">
        <f t="shared" ref="D136:K136" si="142">D134-D135</f>
        <v>4.4909999999999997</v>
      </c>
      <c r="E136" s="243">
        <f t="shared" si="142"/>
        <v>14.151999999999999</v>
      </c>
      <c r="F136" s="243">
        <f t="shared" si="142"/>
        <v>26.896000000000001</v>
      </c>
      <c r="G136" s="243">
        <f t="shared" si="142"/>
        <v>47.553999999999995</v>
      </c>
      <c r="H136" s="243">
        <f t="shared" si="142"/>
        <v>94.455000000000013</v>
      </c>
      <c r="I136" s="243">
        <f t="shared" si="142"/>
        <v>171.94499999999999</v>
      </c>
      <c r="J136" s="243">
        <f t="shared" si="142"/>
        <v>194.209</v>
      </c>
      <c r="K136" s="243">
        <f t="shared" si="142"/>
        <v>206.95500000000001</v>
      </c>
      <c r="L136" s="243">
        <f>L134-L135</f>
        <v>189.238</v>
      </c>
      <c r="M136" s="243">
        <f>M134-M135</f>
        <v>378.48299999999995</v>
      </c>
      <c r="N136" s="244"/>
      <c r="O136" s="477" t="s">
        <v>945</v>
      </c>
      <c r="P136" s="477" t="s">
        <v>945</v>
      </c>
      <c r="Q136" s="477" t="s">
        <v>945</v>
      </c>
      <c r="R136" s="243">
        <f>R134-R135</f>
        <v>535.03400000000011</v>
      </c>
      <c r="S136" s="243">
        <f>R136</f>
        <v>535.03400000000011</v>
      </c>
      <c r="T136" s="244"/>
      <c r="U136" s="477" t="s">
        <v>945</v>
      </c>
      <c r="V136" s="477" t="s">
        <v>945</v>
      </c>
      <c r="W136" s="477" t="s">
        <v>945</v>
      </c>
      <c r="X136" s="243">
        <f>X134-X135</f>
        <v>685.75400000000013</v>
      </c>
      <c r="Y136" s="243">
        <f>X136</f>
        <v>685.75400000000013</v>
      </c>
      <c r="Z136" s="244"/>
      <c r="AA136" s="477" t="s">
        <v>945</v>
      </c>
      <c r="AB136" s="477" t="s">
        <v>945</v>
      </c>
      <c r="AC136" s="477" t="s">
        <v>945</v>
      </c>
      <c r="AD136" s="243">
        <f>AD134-AD135</f>
        <v>868.94799999999987</v>
      </c>
      <c r="AE136" s="243">
        <f>AD136</f>
        <v>868.94799999999987</v>
      </c>
      <c r="AF136" s="244"/>
      <c r="AG136" s="477" t="s">
        <v>945</v>
      </c>
      <c r="AH136" s="477" t="s">
        <v>945</v>
      </c>
      <c r="AI136" s="477" t="s">
        <v>945</v>
      </c>
      <c r="AJ136" s="243">
        <f>AJ134-AJ135</f>
        <v>934.35</v>
      </c>
      <c r="AK136" s="243">
        <f>AJ136</f>
        <v>934.35</v>
      </c>
      <c r="AL136" s="244"/>
      <c r="AM136" s="477" t="s">
        <v>945</v>
      </c>
      <c r="AN136" s="477" t="s">
        <v>945</v>
      </c>
      <c r="AO136" s="477" t="s">
        <v>945</v>
      </c>
      <c r="AP136" s="243">
        <f>AP134-AP135</f>
        <v>987.48199999999997</v>
      </c>
      <c r="AQ136" s="243">
        <f>AP136</f>
        <v>987.48199999999997</v>
      </c>
      <c r="AR136" s="244"/>
      <c r="AS136" s="477">
        <f>AS17</f>
        <v>966.09799999999996</v>
      </c>
      <c r="AT136" s="477">
        <f>AT17</f>
        <v>966.404</v>
      </c>
      <c r="AU136" s="477">
        <f>AU17</f>
        <v>966.67600000000004</v>
      </c>
      <c r="AV136" s="243">
        <f>AV134-AV135</f>
        <v>934.45500000000015</v>
      </c>
      <c r="AW136" s="243">
        <f>AV136</f>
        <v>934.45500000000015</v>
      </c>
      <c r="AX136" s="244"/>
      <c r="AY136" s="477">
        <f>AY17</f>
        <v>936.75699999999995</v>
      </c>
      <c r="AZ136" s="477">
        <f>AZ17</f>
        <v>941.79300000000001</v>
      </c>
      <c r="BA136" s="477">
        <f>BA17</f>
        <v>946.26800000000003</v>
      </c>
      <c r="BB136" s="243">
        <f>BB134-BB135</f>
        <v>975</v>
      </c>
      <c r="BC136" s="243">
        <f>BB136</f>
        <v>975</v>
      </c>
      <c r="BD136" s="244"/>
      <c r="BE136" s="477">
        <f>BE17</f>
        <v>1026.713</v>
      </c>
      <c r="BF136" s="477">
        <f>BF17</f>
        <v>1009.371</v>
      </c>
      <c r="BG136" s="477">
        <f>BG17</f>
        <v>984.76599999999996</v>
      </c>
      <c r="BH136" s="243">
        <f>BH134-BH135</f>
        <v>987</v>
      </c>
      <c r="BI136" s="243">
        <f>BH136</f>
        <v>987</v>
      </c>
      <c r="BJ136" s="243"/>
      <c r="BK136" s="477">
        <f>BK17</f>
        <v>973</v>
      </c>
      <c r="BL136" s="477">
        <f>BL17</f>
        <v>949</v>
      </c>
      <c r="BM136" s="477">
        <f>BM17</f>
        <v>899</v>
      </c>
      <c r="BN136" s="243">
        <f>BN134-BN135</f>
        <v>1062</v>
      </c>
      <c r="BO136" s="243">
        <f>BN136</f>
        <v>1062</v>
      </c>
      <c r="BP136" s="244"/>
      <c r="BQ136" s="477">
        <f>BQ17</f>
        <v>1081</v>
      </c>
      <c r="BR136" s="477">
        <f>BR17</f>
        <v>1073</v>
      </c>
      <c r="BS136" s="477">
        <f>BS17</f>
        <v>1080</v>
      </c>
      <c r="BT136" s="477">
        <f>BT134-BT135</f>
        <v>1068</v>
      </c>
      <c r="BU136" s="243">
        <f>BT136</f>
        <v>1068</v>
      </c>
      <c r="BV136" s="244"/>
      <c r="BW136" s="477">
        <f>BW17</f>
        <v>1057</v>
      </c>
      <c r="BX136" s="477">
        <f>BX17</f>
        <v>1084</v>
      </c>
      <c r="BY136" s="477">
        <f>BY17</f>
        <v>1471</v>
      </c>
      <c r="BZ136" s="477">
        <f>BZ134-BZ135</f>
        <v>1442</v>
      </c>
      <c r="CA136" s="243">
        <f>BZ136</f>
        <v>1442</v>
      </c>
      <c r="CB136" s="244"/>
      <c r="CC136" s="477">
        <f>CC17</f>
        <v>1404</v>
      </c>
      <c r="CD136" s="477">
        <f>CD17</f>
        <v>1366</v>
      </c>
      <c r="CE136" s="477">
        <f>CE17</f>
        <v>1375</v>
      </c>
      <c r="CF136" s="477">
        <f>CF17</f>
        <v>1391</v>
      </c>
      <c r="CG136" s="143">
        <f>CF136</f>
        <v>1391</v>
      </c>
      <c r="CH136" s="244"/>
      <c r="CI136" s="477">
        <f>CI17</f>
        <v>1437</v>
      </c>
      <c r="CJ136" s="477">
        <f>CJ17</f>
        <v>1446</v>
      </c>
      <c r="CK136" s="477">
        <f>CK17</f>
        <v>1465</v>
      </c>
      <c r="CL136" s="477">
        <f>CL17</f>
        <v>1603</v>
      </c>
      <c r="CM136" s="143">
        <f>CL136</f>
        <v>1603</v>
      </c>
      <c r="CN136" s="244"/>
      <c r="CO136" s="477">
        <f>CO17</f>
        <v>1633</v>
      </c>
      <c r="CP136" s="477">
        <f>CP17</f>
        <v>1655</v>
      </c>
      <c r="CQ136" s="477">
        <f>CQ17</f>
        <v>1570</v>
      </c>
      <c r="CR136" s="477">
        <f>CR17</f>
        <v>1688</v>
      </c>
      <c r="CS136" s="143">
        <f>CR136</f>
        <v>1688</v>
      </c>
      <c r="CT136" s="131"/>
      <c r="CU136" s="477">
        <f>CU17</f>
        <v>1886</v>
      </c>
      <c r="CV136" s="477">
        <f>CV17</f>
        <v>1907</v>
      </c>
      <c r="CW136" s="477">
        <f>CW17</f>
        <v>1914</v>
      </c>
      <c r="CX136" s="477">
        <f>CX17</f>
        <v>1922</v>
      </c>
      <c r="CY136" s="143">
        <f>CX136</f>
        <v>1922</v>
      </c>
      <c r="CZ136" s="131"/>
      <c r="DA136" s="477">
        <f>DA17</f>
        <v>1924</v>
      </c>
      <c r="DB136" s="477">
        <f>DB17</f>
        <v>1956</v>
      </c>
      <c r="DC136" s="477">
        <f>DC17</f>
        <v>2869</v>
      </c>
      <c r="DD136" s="477">
        <f>DD17</f>
        <v>2763</v>
      </c>
      <c r="DE136" s="143">
        <f>DD136</f>
        <v>2763</v>
      </c>
      <c r="DF136" s="131"/>
      <c r="DG136" s="477">
        <f>DG17</f>
        <v>2835</v>
      </c>
      <c r="DH136" s="477">
        <f>DH17</f>
        <v>2870</v>
      </c>
      <c r="DI136" s="477">
        <f>DI17</f>
        <v>2894</v>
      </c>
      <c r="DJ136" s="477">
        <f>DJ17</f>
        <v>2857</v>
      </c>
      <c r="DK136" s="143">
        <f>DJ136</f>
        <v>2857</v>
      </c>
      <c r="DL136" s="131"/>
      <c r="DM136" s="477">
        <f>DM17</f>
        <v>2930</v>
      </c>
      <c r="DN136" s="477">
        <f>DN17</f>
        <v>2900</v>
      </c>
      <c r="DO136" s="477">
        <f>DO17</f>
        <v>2936</v>
      </c>
      <c r="DP136" s="477">
        <f>DP17</f>
        <v>3021</v>
      </c>
      <c r="DQ136" s="143">
        <f>DP136</f>
        <v>3021</v>
      </c>
      <c r="DR136" s="131"/>
      <c r="DS136" s="477">
        <f>DS17</f>
        <v>3037</v>
      </c>
      <c r="DT136" s="477">
        <f>DT17</f>
        <v>3093</v>
      </c>
      <c r="DU136" s="477">
        <f>DU17</f>
        <v>3034</v>
      </c>
      <c r="DV136" s="477">
        <f>DV17</f>
        <v>3053</v>
      </c>
      <c r="DW136" s="143">
        <f>DV136</f>
        <v>3053</v>
      </c>
      <c r="DX136" s="131"/>
      <c r="DY136" s="477">
        <f>DY17</f>
        <v>3052</v>
      </c>
      <c r="DZ136" s="477">
        <f>DZ17</f>
        <v>3039</v>
      </c>
      <c r="EA136" s="477">
        <f>EA17</f>
        <v>3052</v>
      </c>
      <c r="EB136" s="477">
        <f>EB17</f>
        <v>3061</v>
      </c>
      <c r="EC136" s="143">
        <f>EB136</f>
        <v>3061</v>
      </c>
      <c r="ED136" s="131"/>
      <c r="EE136" s="477">
        <f>EE17</f>
        <v>3086</v>
      </c>
      <c r="EF136" s="477">
        <f>EF17</f>
        <v>3169</v>
      </c>
      <c r="EG136" s="477">
        <f>EG17</f>
        <v>3335</v>
      </c>
      <c r="EH136" s="477">
        <f>EH17</f>
        <v>3686</v>
      </c>
      <c r="EI136" s="143">
        <f>EH136</f>
        <v>3686</v>
      </c>
      <c r="EJ136" s="131"/>
      <c r="EK136" s="477">
        <f>EK17</f>
        <v>3896</v>
      </c>
      <c r="EL136" s="477">
        <f>EL17</f>
        <v>3855</v>
      </c>
      <c r="EM136" s="477">
        <f>EM17</f>
        <v>4011</v>
      </c>
      <c r="EN136" s="477">
        <f>EN17</f>
        <v>4000</v>
      </c>
      <c r="EO136" s="143">
        <f>EN136</f>
        <v>4000</v>
      </c>
      <c r="EP136" s="131"/>
      <c r="EQ136" s="477">
        <f>EQ17</f>
        <v>4108</v>
      </c>
      <c r="ER136" s="477">
        <f>ER17</f>
        <v>4882</v>
      </c>
      <c r="ES136" s="477">
        <f>ES17</f>
        <v>5070</v>
      </c>
      <c r="ET136" s="477">
        <f>ET17</f>
        <v>5315</v>
      </c>
      <c r="EU136" s="143">
        <f>ET136</f>
        <v>5315</v>
      </c>
      <c r="EV136" s="131"/>
      <c r="EW136" s="477">
        <f>EW17</f>
        <v>5586</v>
      </c>
      <c r="EX136" s="477">
        <f>EX17</f>
        <v>5868</v>
      </c>
      <c r="EY136" s="477">
        <f>EY17</f>
        <v>5904</v>
      </c>
      <c r="EZ136" s="477">
        <f>EZ134-EZ135</f>
        <v>6087.2082220443681</v>
      </c>
      <c r="FA136" s="143">
        <f>EZ136</f>
        <v>6087.2082220443681</v>
      </c>
      <c r="FB136" s="131"/>
      <c r="FC136" s="477">
        <f>FC134-FC135</f>
        <v>6262.927244424226</v>
      </c>
      <c r="FD136" s="477">
        <f>FD134-FD135</f>
        <v>6438.9394557188598</v>
      </c>
      <c r="FE136" s="477">
        <f>FE134-FE135</f>
        <v>6288.8797080998193</v>
      </c>
      <c r="FF136" s="477">
        <f>FF134-FF135</f>
        <v>6430.0839816821135</v>
      </c>
      <c r="FG136" s="143">
        <f>FF136</f>
        <v>6430.0839816821135</v>
      </c>
      <c r="FH136" s="131"/>
      <c r="FI136" s="477">
        <f>FI134-FI135</f>
        <v>6567.9825808598162</v>
      </c>
      <c r="FJ136" s="477">
        <f>FJ134-FJ135</f>
        <v>6709.0459507957539</v>
      </c>
      <c r="FK136" s="477">
        <f>FK134-FK135</f>
        <v>6474.4493681580943</v>
      </c>
      <c r="FL136" s="477">
        <f>FL134-FL135</f>
        <v>6581.3799197111557</v>
      </c>
      <c r="FM136" s="143">
        <f>FL136</f>
        <v>6581.3799197111557</v>
      </c>
      <c r="FN136" s="33"/>
      <c r="FO136" s="33"/>
      <c r="FP136" s="33"/>
      <c r="FQ136" s="33"/>
      <c r="FR136"/>
      <c r="FS136"/>
      <c r="FT136"/>
      <c r="FU136"/>
      <c r="FV136"/>
      <c r="FW136"/>
      <c r="FX136" s="33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</row>
    <row r="137" spans="1:274" s="24" customFormat="1" ht="10.5" customHeight="1" x14ac:dyDescent="0.2">
      <c r="A137" s="41" t="s">
        <v>192</v>
      </c>
      <c r="B137" s="20"/>
      <c r="C137" s="259" t="s">
        <v>945</v>
      </c>
      <c r="D137" s="65">
        <f t="shared" ref="D137:K137" si="143">D134/D135</f>
        <v>4.0613496932515334</v>
      </c>
      <c r="E137" s="65">
        <f t="shared" si="143"/>
        <v>5.3638606228800496</v>
      </c>
      <c r="F137" s="65">
        <f t="shared" si="143"/>
        <v>4.3155818540433923</v>
      </c>
      <c r="G137" s="65">
        <f t="shared" si="143"/>
        <v>3.601280017504513</v>
      </c>
      <c r="H137" s="65">
        <f t="shared" si="143"/>
        <v>3.8269783311385135</v>
      </c>
      <c r="I137" s="65">
        <f t="shared" si="143"/>
        <v>3.5807879924953094</v>
      </c>
      <c r="J137" s="65">
        <f t="shared" si="143"/>
        <v>2.7385571181752262</v>
      </c>
      <c r="K137" s="65">
        <f t="shared" si="143"/>
        <v>2.2679356949430836</v>
      </c>
      <c r="L137" s="65">
        <f>L134/L135</f>
        <v>1.9400421245057324</v>
      </c>
      <c r="M137" s="65">
        <f>M134/M135</f>
        <v>2.6069213231266954</v>
      </c>
      <c r="N137" s="34"/>
      <c r="O137" s="42" t="s">
        <v>945</v>
      </c>
      <c r="P137" s="42" t="s">
        <v>945</v>
      </c>
      <c r="Q137" s="42" t="s">
        <v>945</v>
      </c>
      <c r="R137" s="42" t="s">
        <v>945</v>
      </c>
      <c r="S137" s="65">
        <f>AVERAGE(S134,M134)/S142</f>
        <v>4.9822056952602658</v>
      </c>
      <c r="T137" s="34"/>
      <c r="U137" s="42" t="s">
        <v>945</v>
      </c>
      <c r="V137" s="42" t="s">
        <v>945</v>
      </c>
      <c r="W137" s="42" t="s">
        <v>945</v>
      </c>
      <c r="X137" s="42" t="s">
        <v>945</v>
      </c>
      <c r="Y137" s="65">
        <f>AVERAGE(Y134,S134)/Y142</f>
        <v>4.5264084667462443</v>
      </c>
      <c r="Z137" s="34"/>
      <c r="AA137" s="42" t="s">
        <v>945</v>
      </c>
      <c r="AB137" s="42" t="s">
        <v>945</v>
      </c>
      <c r="AC137" s="42" t="s">
        <v>945</v>
      </c>
      <c r="AD137" s="42" t="s">
        <v>945</v>
      </c>
      <c r="AE137" s="65">
        <f>AVERAGE(AE134,Y134)/AE142</f>
        <v>4.9209473775649322</v>
      </c>
      <c r="AF137" s="34"/>
      <c r="AG137" s="42" t="s">
        <v>945</v>
      </c>
      <c r="AH137" s="42" t="s">
        <v>945</v>
      </c>
      <c r="AI137" s="42" t="s">
        <v>945</v>
      </c>
      <c r="AJ137" s="42" t="s">
        <v>945</v>
      </c>
      <c r="AK137" s="65">
        <f>AVERAGE(AK134,AE134)/AK142</f>
        <v>4.8858240276598401</v>
      </c>
      <c r="AL137" s="34"/>
      <c r="AM137" s="42" t="s">
        <v>945</v>
      </c>
      <c r="AN137" s="42" t="s">
        <v>945</v>
      </c>
      <c r="AO137" s="42" t="s">
        <v>945</v>
      </c>
      <c r="AP137" s="42" t="s">
        <v>945</v>
      </c>
      <c r="AQ137" s="65">
        <f>AVERAGE(AQ134,AK134)/AQ142</f>
        <v>5.8732095565359588</v>
      </c>
      <c r="AR137" s="34"/>
      <c r="AS137" s="65">
        <f>AVERAGE(AP134,AS134)/AS142/4</f>
        <v>6.6137283077083291</v>
      </c>
      <c r="AT137" s="65">
        <f>AVERAGE(AS134,AT134)/AT142/4</f>
        <v>6.6584190335216471</v>
      </c>
      <c r="AU137" s="65">
        <f>AVERAGE(AT134,AU134)/AU142/4</f>
        <v>6.3824484937304646</v>
      </c>
      <c r="AV137" s="65">
        <f>AVERAGE(AU134,AV134)/AV142/4</f>
        <v>6.8071447591304608</v>
      </c>
      <c r="AW137" s="65">
        <f>AVERAGE(AW134,AQ134)/AW142</f>
        <v>6.5992348440258972</v>
      </c>
      <c r="AX137" s="34"/>
      <c r="AY137" s="65">
        <f>AVERAGE(AV134,AY134)/AY142/4</f>
        <v>7.3246450416894477</v>
      </c>
      <c r="AZ137" s="65">
        <f>AVERAGE(AY134,AZ134)/AZ142/4</f>
        <v>8.2543598382239427</v>
      </c>
      <c r="BA137" s="65">
        <f>AVERAGE(AZ134,BA134)/BA142/4</f>
        <v>8.2680208643537831</v>
      </c>
      <c r="BB137" s="65">
        <f>AVERAGE(BA134,BB134)/BB142/4</f>
        <v>8.2809684807801638</v>
      </c>
      <c r="BC137" s="65">
        <f>AVERAGE(BC134,AW134)/BC142</f>
        <v>8.0527818181818187</v>
      </c>
      <c r="BD137" s="34"/>
      <c r="BE137" s="65">
        <f>AVERAGE(BB134,BE134)/BE142/4</f>
        <v>8.8834779329991918</v>
      </c>
      <c r="BF137" s="65">
        <f>AVERAGE(BE134,BF134)/BF142/4</f>
        <v>10.088062680991793</v>
      </c>
      <c r="BG137" s="65">
        <f>AVERAGE(BF134,BG134)/BG142/4</f>
        <v>8.354262499999999</v>
      </c>
      <c r="BH137" s="65">
        <f>AVERAGE(BG134,BH134)/BH142/4</f>
        <v>7.3837278481012643</v>
      </c>
      <c r="BI137" s="65">
        <f>AVERAGE(BI134,BC134)/BI142</f>
        <v>8.5</v>
      </c>
      <c r="BJ137" s="33"/>
      <c r="BK137" s="65">
        <f>AVERAGE(BH134,BK134)/BK142/4</f>
        <v>9.4677419354838701</v>
      </c>
      <c r="BL137" s="65">
        <f>AVERAGE(BK134,BL134)/BL142/4</f>
        <v>9.8541666666666661</v>
      </c>
      <c r="BM137" s="65">
        <f>AVERAGE(BL134,BM134)/BM142/4</f>
        <v>8.3239436619718301</v>
      </c>
      <c r="BN137" s="65">
        <f>AVERAGE(BM134,BN134)/BN142/4</f>
        <v>12.282500000000001</v>
      </c>
      <c r="BO137" s="65">
        <f>AVERAGE(BO134,BI134)/BO142</f>
        <v>10.067901234567902</v>
      </c>
      <c r="BP137" s="34"/>
      <c r="BQ137" s="65">
        <f>AVERAGE(BN134,BQ134)/BQ142/4</f>
        <v>12.845000000000001</v>
      </c>
      <c r="BR137" s="65">
        <f>AVERAGE(BQ134,BR134)/BR142/4</f>
        <v>12.852499999999999</v>
      </c>
      <c r="BS137" s="65">
        <f>AVERAGE(BR134,BS134)/BS142/4</f>
        <v>12.772500000000001</v>
      </c>
      <c r="BT137" s="65">
        <f>AVERAGE(BS134,BT134)/BT142/4</f>
        <v>13.549479166666666</v>
      </c>
      <c r="BU137" s="65">
        <f>BT137</f>
        <v>13.549479166666666</v>
      </c>
      <c r="BV137" s="34"/>
      <c r="BW137" s="65">
        <f>AVERAGE(BT134,BW134)/BW142/4</f>
        <v>15.045454545454545</v>
      </c>
      <c r="BX137" s="65">
        <f>AVERAGE(BW134,BX134)/BX142/4</f>
        <v>14.719444444444445</v>
      </c>
      <c r="BY137" s="65">
        <f>AVERAGE(BX134,BY134)/BY142/4</f>
        <v>12.540094339622641</v>
      </c>
      <c r="BZ137" s="65">
        <f>AVERAGE(BY134,BZ134)/BZ142/4</f>
        <v>11.1015625</v>
      </c>
      <c r="CA137" s="65">
        <f>BZ137</f>
        <v>11.1015625</v>
      </c>
      <c r="CB137" s="83"/>
      <c r="CC137" s="65">
        <f>AVERAGE(BZ134,CC134)/CC142/4</f>
        <v>13.24780701754386</v>
      </c>
      <c r="CD137" s="65">
        <f>AVERAGE(CC134,CD134)/CD142/4</f>
        <v>14.191037735849056</v>
      </c>
      <c r="CE137" s="65">
        <f>AVERAGE(CD134,CE134)/CE142/4</f>
        <v>15.057499999999999</v>
      </c>
      <c r="CF137" s="65">
        <f>AVERAGE(CE134,CF134)/CF142/4</f>
        <v>12.053571428571429</v>
      </c>
      <c r="CG137" s="481">
        <f>CF137</f>
        <v>12.053571428571429</v>
      </c>
      <c r="CH137" s="83"/>
      <c r="CI137" s="65">
        <f>AVERAGE(CF134,CI134)/CI142/4</f>
        <v>12.90677966101695</v>
      </c>
      <c r="CJ137" s="65">
        <f>AVERAGE(CI134,CJ134)/CJ142/4</f>
        <v>11.680769230769231</v>
      </c>
      <c r="CK137" s="65">
        <f>AVERAGE(CJ134,CK134)/CK142/4</f>
        <v>12.672916666666667</v>
      </c>
      <c r="CL137" s="65">
        <f>AVERAGE(CK134,CL134)/CL142/4</f>
        <v>12.517307692307693</v>
      </c>
      <c r="CM137" s="481">
        <f>CL137</f>
        <v>12.517307692307693</v>
      </c>
      <c r="CN137" s="83"/>
      <c r="CO137" s="65">
        <f>AVERAGE(CL134,CO134)/CO142/4</f>
        <v>12.944029850746269</v>
      </c>
      <c r="CP137" s="65">
        <f>AVERAGE(CO134,CP134)/CP142/4</f>
        <v>12.423214285714286</v>
      </c>
      <c r="CQ137" s="65">
        <f>AVERAGE(CP134,CQ134)/CQ142/4</f>
        <v>6.4990530303030303</v>
      </c>
      <c r="CR137" s="65">
        <f>AVERAGE(CQ134,CR134)/CR142/4</f>
        <v>6.4568014705882355</v>
      </c>
      <c r="CS137" s="481">
        <f>CR137</f>
        <v>6.4568014705882355</v>
      </c>
      <c r="CT137" s="118"/>
      <c r="CU137" s="65">
        <f>AVERAGE(CR134,CU134)/CU142/4</f>
        <v>14.724609375</v>
      </c>
      <c r="CV137" s="65">
        <f>AVERAGE(CU134,CV134)/CV142/4</f>
        <v>13.935714285714285</v>
      </c>
      <c r="CW137" s="65">
        <f>AVERAGE(CV134,CW134)/CW142/4</f>
        <v>15.30859375</v>
      </c>
      <c r="CX137" s="65">
        <f>AVERAGE(CW134,CX134)/CX142/4</f>
        <v>14.921153846153846</v>
      </c>
      <c r="CY137" s="481">
        <f>CX137</f>
        <v>14.921153846153846</v>
      </c>
      <c r="CZ137" s="118"/>
      <c r="DA137" s="65">
        <f>AVERAGE(CX134,DA134)/DA142/4</f>
        <v>15.668032786885245</v>
      </c>
      <c r="DB137" s="65">
        <f>AVERAGE(DA134,DB134)/DB142/4</f>
        <v>15.368951612903226</v>
      </c>
      <c r="DC137" s="65">
        <f>AVERAGE(DB134,DC134)/DC142/4</f>
        <v>13.003424657534246</v>
      </c>
      <c r="DD137" s="65">
        <f>AVERAGE(DC134,DD134)/DD142/4</f>
        <v>9.2512254901960791</v>
      </c>
      <c r="DE137" s="481">
        <f>DD137</f>
        <v>9.2512254901960791</v>
      </c>
      <c r="DF137" s="118"/>
      <c r="DG137" s="65">
        <f>AVERAGE(DD134,DG134)/DG142/4</f>
        <v>9.5138888888888893</v>
      </c>
      <c r="DH137" s="65">
        <f>AVERAGE(DG134,DH134)/DH142/4</f>
        <v>9.973684210526315</v>
      </c>
      <c r="DI137" s="65">
        <f>AVERAGE(DH134,DI134)/DI142/4</f>
        <v>10.74438202247191</v>
      </c>
      <c r="DJ137" s="65">
        <f>AVERAGE(DI134,DJ134)/DJ142/4</f>
        <v>11.304411764705883</v>
      </c>
      <c r="DK137" s="481">
        <f>DJ137</f>
        <v>11.304411764705883</v>
      </c>
      <c r="DL137" s="118"/>
      <c r="DM137" s="65">
        <f>AVERAGE(DJ134,DM134)/DM142/4</f>
        <v>8.2510683760683765</v>
      </c>
      <c r="DN137" s="65">
        <f>AVERAGE(DM134,DN134)/DN142/4</f>
        <v>8.9059633027522942</v>
      </c>
      <c r="DO137" s="65">
        <f>AVERAGE(DN134,DO134)/DO142/4</f>
        <v>7.866935483870968</v>
      </c>
      <c r="DP137" s="65">
        <f>AVERAGE(DO134,DP134)/DP142/4</f>
        <v>7.2821691176470589</v>
      </c>
      <c r="DQ137" s="481">
        <f>DP137</f>
        <v>7.2821691176470589</v>
      </c>
      <c r="DR137" s="118"/>
      <c r="DS137" s="65">
        <f>AVERAGE(DP134,DS134)/DS142/4</f>
        <v>7.8897637795275593</v>
      </c>
      <c r="DT137" s="65">
        <f>AVERAGE(DS134,DT134)/DT142/4</f>
        <v>7.5615671641791042</v>
      </c>
      <c r="DU137" s="65">
        <f>AVERAGE(DT134,DU134)/DU142/4</f>
        <v>7.3390287769784175</v>
      </c>
      <c r="DV137" s="65">
        <f>AVERAGE(DU134,DV134)/DV142/4</f>
        <v>6.9991438356164384</v>
      </c>
      <c r="DW137" s="481">
        <f>DV137</f>
        <v>6.9991438356164384</v>
      </c>
      <c r="DX137" s="118"/>
      <c r="DY137" s="65">
        <f>AVERAGE(DV134,DY134)/DY142/4</f>
        <v>6.8458333333333332</v>
      </c>
      <c r="DZ137" s="65">
        <f>AVERAGE(DY134,DZ134)/DZ142/4</f>
        <v>6.7368421052631575</v>
      </c>
      <c r="EA137" s="65">
        <f>AVERAGE(DZ134,EA134)/EA142/4</f>
        <v>6.8025000000000002</v>
      </c>
      <c r="EB137" s="65">
        <f>AVERAGE(EA134,EB134)/EB142/4</f>
        <v>6.5368589743589745</v>
      </c>
      <c r="EC137" s="481">
        <f>EB137</f>
        <v>6.5368589743589745</v>
      </c>
      <c r="ED137" s="118"/>
      <c r="EE137" s="65">
        <f>AVERAGE(EB134,EE134)/EE142/4</f>
        <v>6.4039062500000004</v>
      </c>
      <c r="EF137" s="65">
        <f>AVERAGE(EE134,EF134)/EF142/4</f>
        <v>6.3254573170731705</v>
      </c>
      <c r="EG137" s="65">
        <f>AVERAGE(EF134,EG134)/EG142/4</f>
        <v>6.0042134831460672</v>
      </c>
      <c r="EH137" s="65">
        <f>AVERAGE(EG134,EH134)/EH142/4</f>
        <v>3.0293918918918918</v>
      </c>
      <c r="EI137" s="481">
        <f>EH137</f>
        <v>3.0293918918918918</v>
      </c>
      <c r="EJ137" s="118"/>
      <c r="EK137" s="65">
        <f>AVERAGE(EH134,EK134)/EK142/4</f>
        <v>5.3772831050228307</v>
      </c>
      <c r="EL137" s="65">
        <f>AVERAGE(EK134,EL134)/EL142/4</f>
        <v>5.7339285714285717</v>
      </c>
      <c r="EM137" s="65">
        <f>AVERAGE(EL134,EM134)/EM142/4</f>
        <v>2.757794457274827</v>
      </c>
      <c r="EN137" s="65">
        <f>AVERAGE(EM134,EN134)/EN142/4</f>
        <v>5.1754385964912277</v>
      </c>
      <c r="EO137" s="481">
        <f>EN137</f>
        <v>5.1754385964912277</v>
      </c>
      <c r="EP137" s="118"/>
      <c r="EQ137" s="65">
        <f>AVERAGE(EN134,EQ134)/EQ142/4</f>
        <v>5.3316441441441444</v>
      </c>
      <c r="ER137" s="65">
        <f>AVERAGE(EQ134,ER134)/ER142/4</f>
        <v>5.2188796680497926</v>
      </c>
      <c r="ES137" s="65">
        <f>AVERAGE(ER134,ES134)/ES142/4</f>
        <v>2.7383056133056134</v>
      </c>
      <c r="ET137" s="65">
        <f>AVERAGE(ES134,ET134)/ET142/4</f>
        <v>4.8304856115107917</v>
      </c>
      <c r="EU137" s="481">
        <f>ET137</f>
        <v>4.8304856115107917</v>
      </c>
      <c r="EV137" s="118"/>
      <c r="EW137" s="65">
        <f>AVERAGE(ET134,EW134)/EW142/4</f>
        <v>4.9026315789473687</v>
      </c>
      <c r="EX137" s="65">
        <f>AVERAGE(EW134,EX134)/EX142/4</f>
        <v>5.0681423611111107</v>
      </c>
      <c r="EY137" s="65">
        <f>AVERAGE(EX134,EY134)/EY142/4</f>
        <v>2.4754237288135594</v>
      </c>
      <c r="EZ137" s="482">
        <f>ET137</f>
        <v>4.8304856115107917</v>
      </c>
      <c r="FA137" s="481">
        <f>EZ137</f>
        <v>4.8304856115107917</v>
      </c>
      <c r="FB137" s="118"/>
      <c r="FC137" s="482">
        <f>EW137</f>
        <v>4.9026315789473687</v>
      </c>
      <c r="FD137" s="482">
        <f>EX137</f>
        <v>5.0681423611111107</v>
      </c>
      <c r="FE137" s="482">
        <f>EY137</f>
        <v>2.4754237288135594</v>
      </c>
      <c r="FF137" s="482">
        <f>EZ137</f>
        <v>4.8304856115107917</v>
      </c>
      <c r="FG137" s="481">
        <f>FF137</f>
        <v>4.8304856115107917</v>
      </c>
      <c r="FH137" s="118"/>
      <c r="FI137" s="482">
        <f>FC137</f>
        <v>4.9026315789473687</v>
      </c>
      <c r="FJ137" s="482">
        <f>FD137</f>
        <v>5.0681423611111107</v>
      </c>
      <c r="FK137" s="482">
        <f>FE137</f>
        <v>2.4754237288135594</v>
      </c>
      <c r="FL137" s="482">
        <f>FF137</f>
        <v>4.8304856115107917</v>
      </c>
      <c r="FM137" s="481">
        <f>FL137</f>
        <v>4.8304856115107917</v>
      </c>
      <c r="FN137" s="33"/>
      <c r="FO137" s="33"/>
      <c r="FP137" s="33"/>
      <c r="FQ137" s="33"/>
      <c r="FR137"/>
      <c r="FS137"/>
      <c r="FT137"/>
      <c r="FU137"/>
      <c r="FV137"/>
      <c r="FW137"/>
      <c r="FX137" s="33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</row>
    <row r="138" spans="1:274" s="24" customFormat="1" ht="4.5" customHeight="1" x14ac:dyDescent="0.2">
      <c r="A138" s="41"/>
      <c r="B138" s="20"/>
      <c r="C138" s="259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34"/>
      <c r="O138" s="42"/>
      <c r="P138" s="42"/>
      <c r="Q138" s="42"/>
      <c r="R138" s="65"/>
      <c r="S138" s="65"/>
      <c r="T138" s="34"/>
      <c r="U138" s="42"/>
      <c r="V138" s="42"/>
      <c r="W138" s="42"/>
      <c r="X138" s="65"/>
      <c r="Y138" s="65"/>
      <c r="Z138" s="34"/>
      <c r="AA138" s="42"/>
      <c r="AB138" s="42"/>
      <c r="AC138" s="42"/>
      <c r="AD138" s="65"/>
      <c r="AE138" s="65"/>
      <c r="AF138" s="34"/>
      <c r="AG138" s="42"/>
      <c r="AH138" s="42"/>
      <c r="AI138" s="42"/>
      <c r="AJ138" s="65"/>
      <c r="AK138" s="65"/>
      <c r="AL138" s="34"/>
      <c r="AM138" s="42"/>
      <c r="AN138" s="42"/>
      <c r="AO138" s="42"/>
      <c r="AP138" s="65"/>
      <c r="AQ138" s="65"/>
      <c r="AR138" s="34"/>
      <c r="AS138" s="42"/>
      <c r="AT138" s="42"/>
      <c r="AU138" s="42"/>
      <c r="AV138" s="65"/>
      <c r="AW138" s="65"/>
      <c r="AX138" s="34"/>
      <c r="AY138" s="42"/>
      <c r="AZ138" s="42"/>
      <c r="BA138" s="42"/>
      <c r="BB138" s="65"/>
      <c r="BC138" s="65"/>
      <c r="BD138" s="34"/>
      <c r="BE138" s="42"/>
      <c r="BF138" s="42"/>
      <c r="BG138" s="42"/>
      <c r="BH138" s="65"/>
      <c r="BI138" s="65"/>
      <c r="BJ138" s="33"/>
      <c r="BK138" s="42"/>
      <c r="BL138" s="42"/>
      <c r="BM138" s="42"/>
      <c r="BN138" s="65"/>
      <c r="BO138" s="65"/>
      <c r="BP138" s="34"/>
      <c r="BQ138" s="42"/>
      <c r="BR138" s="42"/>
      <c r="BS138" s="42"/>
      <c r="BT138" s="65"/>
      <c r="BU138" s="65"/>
      <c r="BV138" s="34"/>
      <c r="BW138" s="42"/>
      <c r="BX138" s="42"/>
      <c r="BY138" s="42"/>
      <c r="BZ138" s="65"/>
      <c r="CA138" s="65"/>
      <c r="CB138" s="34"/>
      <c r="CC138" s="42"/>
      <c r="CD138" s="42"/>
      <c r="CE138" s="65"/>
      <c r="CF138" s="65"/>
      <c r="CG138" s="481"/>
      <c r="CH138" s="34"/>
      <c r="CI138" s="42"/>
      <c r="CJ138" s="42"/>
      <c r="CK138" s="65"/>
      <c r="CL138" s="42"/>
      <c r="CM138" s="481"/>
      <c r="CN138" s="34"/>
      <c r="CO138" s="42"/>
      <c r="CP138" s="42"/>
      <c r="CQ138" s="42"/>
      <c r="CR138" s="42"/>
      <c r="CS138" s="481"/>
      <c r="CT138" s="91"/>
      <c r="CU138" s="42"/>
      <c r="CV138" s="42"/>
      <c r="CW138" s="42"/>
      <c r="CX138" s="42"/>
      <c r="CY138" s="481"/>
      <c r="CZ138" s="91"/>
      <c r="DA138" s="42"/>
      <c r="DB138" s="42"/>
      <c r="DC138" s="42"/>
      <c r="DD138" s="42"/>
      <c r="DE138" s="481"/>
      <c r="DF138" s="91"/>
      <c r="DG138" s="42"/>
      <c r="DH138" s="42"/>
      <c r="DI138" s="42"/>
      <c r="DJ138" s="42"/>
      <c r="DK138" s="481"/>
      <c r="DL138" s="91"/>
      <c r="DM138" s="42"/>
      <c r="DN138" s="42"/>
      <c r="DO138" s="42"/>
      <c r="DP138" s="42"/>
      <c r="DQ138" s="481"/>
      <c r="DR138" s="91"/>
      <c r="DS138" s="42"/>
      <c r="DT138" s="42"/>
      <c r="DU138" s="42"/>
      <c r="DV138" s="42"/>
      <c r="DW138" s="481"/>
      <c r="DX138" s="91"/>
      <c r="DY138" s="42"/>
      <c r="DZ138" s="42"/>
      <c r="EA138" s="42"/>
      <c r="EB138" s="42"/>
      <c r="EC138" s="481"/>
      <c r="ED138" s="91"/>
      <c r="EE138" s="42"/>
      <c r="EF138" s="42"/>
      <c r="EG138" s="42"/>
      <c r="EH138" s="42"/>
      <c r="EI138" s="481"/>
      <c r="EJ138" s="91"/>
      <c r="EK138" s="42"/>
      <c r="EL138" s="42"/>
      <c r="EM138" s="42"/>
      <c r="EN138" s="42"/>
      <c r="EO138" s="481"/>
      <c r="EP138" s="91"/>
      <c r="EQ138" s="42"/>
      <c r="ER138" s="42"/>
      <c r="ES138" s="42"/>
      <c r="ET138" s="42"/>
      <c r="EU138" s="481"/>
      <c r="EV138" s="91"/>
      <c r="EW138" s="42"/>
      <c r="EX138" s="42"/>
      <c r="EY138" s="42"/>
      <c r="EZ138" s="65"/>
      <c r="FA138" s="481"/>
      <c r="FB138" s="91"/>
      <c r="FC138" s="42"/>
      <c r="FD138" s="42"/>
      <c r="FE138" s="42"/>
      <c r="FF138" s="65"/>
      <c r="FG138" s="481"/>
      <c r="FH138" s="91"/>
      <c r="FI138" s="42"/>
      <c r="FJ138" s="42"/>
      <c r="FK138" s="42"/>
      <c r="FL138" s="65"/>
      <c r="FM138" s="481"/>
      <c r="FN138" s="33"/>
      <c r="FO138" s="33"/>
      <c r="FP138" s="33"/>
      <c r="FQ138" s="33"/>
      <c r="FR138"/>
      <c r="FS138"/>
      <c r="FT138"/>
      <c r="FU138"/>
      <c r="FV138"/>
      <c r="FW138"/>
      <c r="FX138" s="33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</row>
    <row r="139" spans="1:274" s="24" customFormat="1" ht="10.5" customHeight="1" x14ac:dyDescent="0.2">
      <c r="A139" s="305" t="s">
        <v>193</v>
      </c>
      <c r="B139" s="476"/>
      <c r="C139" s="59"/>
      <c r="D139" s="243"/>
      <c r="E139" s="243"/>
      <c r="F139" s="243"/>
      <c r="G139" s="243"/>
      <c r="H139" s="243"/>
      <c r="I139" s="243"/>
      <c r="J139" s="243"/>
      <c r="K139" s="243"/>
      <c r="L139" s="243"/>
      <c r="M139" s="243"/>
      <c r="N139" s="244"/>
      <c r="O139" s="477"/>
      <c r="P139" s="477"/>
      <c r="Q139" s="477"/>
      <c r="R139" s="243"/>
      <c r="S139" s="243">
        <f>M134+S144-S134</f>
        <v>17.616999999999848</v>
      </c>
      <c r="T139" s="244"/>
      <c r="U139" s="477"/>
      <c r="V139" s="477"/>
      <c r="W139" s="477"/>
      <c r="X139" s="243"/>
      <c r="Y139" s="243">
        <f>S134+Y144-Y134</f>
        <v>38.242999999999938</v>
      </c>
      <c r="Z139" s="244"/>
      <c r="AA139" s="477"/>
      <c r="AB139" s="477"/>
      <c r="AC139" s="477"/>
      <c r="AD139" s="243"/>
      <c r="AE139" s="243">
        <f>Y134+AE144-AE134</f>
        <v>42.061000000000149</v>
      </c>
      <c r="AF139" s="244"/>
      <c r="AG139" s="477"/>
      <c r="AH139" s="477"/>
      <c r="AI139" s="477"/>
      <c r="AJ139" s="243"/>
      <c r="AK139" s="243">
        <f>AE134+AK144-AK134</f>
        <v>72.30399999999986</v>
      </c>
      <c r="AL139" s="244"/>
      <c r="AM139" s="477"/>
      <c r="AN139" s="477"/>
      <c r="AO139" s="477"/>
      <c r="AP139" s="243"/>
      <c r="AQ139" s="243">
        <f>AK134+AQ144-AQ134</f>
        <v>56.473000000000184</v>
      </c>
      <c r="AR139" s="244"/>
      <c r="AS139" s="243">
        <f>AP134+AS144-AS134</f>
        <v>37.623500000000149</v>
      </c>
      <c r="AT139" s="243">
        <f>AS134+AT144-AT134</f>
        <v>30.609499999999571</v>
      </c>
      <c r="AU139" s="243">
        <f>AT134+AU144-AU134</f>
        <v>56.128499999999804</v>
      </c>
      <c r="AV139" s="243">
        <f>AU134+AV144-AV134</f>
        <v>37.498499999999694</v>
      </c>
      <c r="AW139" s="243">
        <f>AQ134+AW144-AW134</f>
        <v>161.85999999999967</v>
      </c>
      <c r="AX139" s="244"/>
      <c r="AY139" s="243">
        <f>AV134+AY144-AY134</f>
        <v>36.488749999999982</v>
      </c>
      <c r="AZ139" s="243">
        <f>AY134+AZ144-AZ134</f>
        <v>40.957750000000033</v>
      </c>
      <c r="BA139" s="243">
        <f>AZ134+BA144-BA134</f>
        <v>23.610749999999825</v>
      </c>
      <c r="BB139" s="243">
        <f>BA134+BB144-BB134</f>
        <v>32.97275000000036</v>
      </c>
      <c r="BC139" s="243">
        <f>AW134+BC144-BC134</f>
        <v>134.0300000000002</v>
      </c>
      <c r="BD139" s="244"/>
      <c r="BE139" s="243">
        <f>BB134+BE144-BE134</f>
        <v>55.584000000000287</v>
      </c>
      <c r="BF139" s="243">
        <f>BE134+BF144-BF134</f>
        <v>59.544999999999618</v>
      </c>
      <c r="BG139" s="243">
        <f>BF134+BG144-BG134</f>
        <v>58.355000000000018</v>
      </c>
      <c r="BH139" s="243">
        <f>BG134+BH144-BH134</f>
        <v>71.516000000000076</v>
      </c>
      <c r="BI139" s="243">
        <f>BC134+BI144-BI134</f>
        <v>245</v>
      </c>
      <c r="BJ139" s="243"/>
      <c r="BK139" s="243">
        <f>BH134+BK144-BK134</f>
        <v>21</v>
      </c>
      <c r="BL139" s="243">
        <f>BK134+BL144-BL134</f>
        <v>20</v>
      </c>
      <c r="BM139" s="243">
        <f>BL134+BM144-BM134</f>
        <v>27</v>
      </c>
      <c r="BN139" s="243">
        <f>BM134+BN144-BN134</f>
        <v>4</v>
      </c>
      <c r="BO139" s="243">
        <f>BI134+BO144-BO134</f>
        <v>72</v>
      </c>
      <c r="BP139" s="244"/>
      <c r="BQ139" s="483">
        <f>BN134+BQ144-BQ134</f>
        <v>50</v>
      </c>
      <c r="BR139" s="483">
        <f>BQ134+BR144-BR134</f>
        <v>50</v>
      </c>
      <c r="BS139" s="483">
        <f>BR134+BS144-BS134</f>
        <v>50</v>
      </c>
      <c r="BT139" s="483">
        <f>BS134+BT144-BT134</f>
        <v>-58</v>
      </c>
      <c r="BU139" s="243">
        <f>BO134+BU144-BU134</f>
        <v>92</v>
      </c>
      <c r="BV139" s="244"/>
      <c r="BW139" s="483">
        <f>BT134+BW144-BW134</f>
        <v>44</v>
      </c>
      <c r="BX139" s="483">
        <f>BW134+BX144-BX134</f>
        <v>45</v>
      </c>
      <c r="BY139" s="483">
        <f>BX134+BY144-BY134</f>
        <v>53</v>
      </c>
      <c r="BZ139" s="483">
        <f>BY134+BZ144-BZ134</f>
        <v>-324</v>
      </c>
      <c r="CA139" s="243">
        <f>BU134+CA144-CA134</f>
        <v>-182</v>
      </c>
      <c r="CB139" s="244"/>
      <c r="CC139" s="483">
        <f>BZ134+CC144-CC134</f>
        <v>57</v>
      </c>
      <c r="CD139" s="483">
        <f>CC134+CD144-CD134</f>
        <v>53</v>
      </c>
      <c r="CE139" s="483">
        <f>CD134+CE144-CE134</f>
        <v>50</v>
      </c>
      <c r="CF139" s="483">
        <f>CE134+CF144-CF134</f>
        <v>48</v>
      </c>
      <c r="CG139" s="143">
        <f>CA134+CG144-CG134</f>
        <v>208</v>
      </c>
      <c r="CH139" s="244"/>
      <c r="CI139" s="483">
        <f>CF134+CI144-CI134</f>
        <v>59</v>
      </c>
      <c r="CJ139" s="483">
        <f>CI134+CJ144-CJ134</f>
        <v>65</v>
      </c>
      <c r="CK139" s="483">
        <f>CJ134+CK144-CK134</f>
        <v>60</v>
      </c>
      <c r="CL139" s="483">
        <f>CK134+CL144-CL134</f>
        <v>-273</v>
      </c>
      <c r="CM139" s="143">
        <f>CG134+CM144-CM134</f>
        <v>-89</v>
      </c>
      <c r="CN139" s="244"/>
      <c r="CO139" s="243">
        <f>CL134+CO144-CO134</f>
        <v>67</v>
      </c>
      <c r="CP139" s="243">
        <f>CO134+CP144-CP134</f>
        <v>70</v>
      </c>
      <c r="CQ139" s="243">
        <f>CP134+CQ144-CQ134</f>
        <v>132</v>
      </c>
      <c r="CR139" s="243">
        <f>CQ134+CR144-CR134</f>
        <v>-207</v>
      </c>
      <c r="CS139" s="143">
        <f>CM134+CS144-CS134</f>
        <v>62</v>
      </c>
      <c r="CT139" s="367"/>
      <c r="CU139" s="243">
        <f>CR134+CU144-CU134</f>
        <v>64</v>
      </c>
      <c r="CV139" s="243">
        <f>CU134+CV144-CV134</f>
        <v>70</v>
      </c>
      <c r="CW139" s="243">
        <f>CV134+CW144-CW134</f>
        <v>64</v>
      </c>
      <c r="CX139" s="243">
        <f>CW134+CX144-CX134</f>
        <v>145</v>
      </c>
      <c r="CY139" s="143">
        <f>CS134+CY144-CY134</f>
        <v>343</v>
      </c>
      <c r="CZ139" s="131"/>
      <c r="DA139" s="243">
        <f>CX134+DA144-DA134</f>
        <v>61</v>
      </c>
      <c r="DB139" s="243">
        <f>DA134+DB144-DB134</f>
        <v>62</v>
      </c>
      <c r="DC139" s="243">
        <f>DB134+DC144-DC134</f>
        <v>73</v>
      </c>
      <c r="DD139" s="243">
        <f>DC134+DD144-DD134</f>
        <v>102</v>
      </c>
      <c r="DE139" s="143">
        <f>CY134+DE144-DE134</f>
        <v>298</v>
      </c>
      <c r="DF139" s="131"/>
      <c r="DG139" s="243">
        <f>DD134+DG144-DG134</f>
        <v>99</v>
      </c>
      <c r="DH139" s="243">
        <f>DG134+DH144-DH134</f>
        <v>95</v>
      </c>
      <c r="DI139" s="243">
        <f>DH134+DI144-DI134</f>
        <v>89</v>
      </c>
      <c r="DJ139" s="243">
        <f>DI134+DJ144-DJ134</f>
        <v>85</v>
      </c>
      <c r="DK139" s="143">
        <f>DE134+DK144-DK134</f>
        <v>368</v>
      </c>
      <c r="DL139" s="131"/>
      <c r="DM139" s="243">
        <f>DJ134+DM144-DM134</f>
        <v>117</v>
      </c>
      <c r="DN139" s="243">
        <f>DM134+DN144-DN134</f>
        <v>109</v>
      </c>
      <c r="DO139" s="243">
        <f>DN134+DO144-DO134</f>
        <v>124</v>
      </c>
      <c r="DP139" s="243">
        <f>DO134+DP144-DP134</f>
        <v>136</v>
      </c>
      <c r="DQ139" s="143">
        <f>DK134+DQ144-DQ134</f>
        <v>486</v>
      </c>
      <c r="DR139" s="131"/>
      <c r="DS139" s="243">
        <f>DP134+DS144-DS134</f>
        <v>127</v>
      </c>
      <c r="DT139" s="243">
        <f>DS134+DT144-DT134</f>
        <v>134</v>
      </c>
      <c r="DU139" s="243">
        <f>DT134+DU144-DU134</f>
        <v>139</v>
      </c>
      <c r="DV139" s="243">
        <f>DU134+DV144-DV134</f>
        <v>146</v>
      </c>
      <c r="DW139" s="143">
        <f>DQ134+DW144-DW134</f>
        <v>546</v>
      </c>
      <c r="DX139" s="131"/>
      <c r="DY139" s="243">
        <f>DV134+DY144-DY134</f>
        <v>150</v>
      </c>
      <c r="DZ139" s="243">
        <f>DY134+DZ144-DZ134</f>
        <v>152</v>
      </c>
      <c r="EA139" s="243">
        <f>DZ134+EA144-EA134</f>
        <v>150</v>
      </c>
      <c r="EB139" s="243">
        <f>EA134+EB144-EB134</f>
        <v>156</v>
      </c>
      <c r="EC139" s="143">
        <f>DW134+EC144-EC134</f>
        <v>608</v>
      </c>
      <c r="ED139" s="131"/>
      <c r="EE139" s="243">
        <f>EB134+EE144-EE134</f>
        <v>160</v>
      </c>
      <c r="EF139" s="243">
        <f>EE134+EF144-EF134</f>
        <v>164</v>
      </c>
      <c r="EG139" s="243">
        <f>EF134+EG144-EG134</f>
        <v>178</v>
      </c>
      <c r="EH139" s="243">
        <f>EG134+EH144-EH134</f>
        <v>370</v>
      </c>
      <c r="EI139" s="143">
        <f>EC134+EI144-EI134</f>
        <v>872</v>
      </c>
      <c r="EJ139" s="131"/>
      <c r="EK139" s="243">
        <f>EH134+EK144-EK134</f>
        <v>219</v>
      </c>
      <c r="EL139" s="243">
        <f>EK134+EL144-EL134</f>
        <v>210</v>
      </c>
      <c r="EM139" s="243">
        <f>EL134+EM144-EM134</f>
        <v>433</v>
      </c>
      <c r="EN139" s="243">
        <f>EM134+EN144-EN134</f>
        <v>228</v>
      </c>
      <c r="EO139" s="143">
        <f>EI134+EO144-EO134</f>
        <v>1090</v>
      </c>
      <c r="EP139" s="131"/>
      <c r="EQ139" s="243">
        <f>EN134+EQ144-EQ134</f>
        <v>222</v>
      </c>
      <c r="ER139" s="243">
        <f>EQ134+ER144-ER134</f>
        <v>241</v>
      </c>
      <c r="ES139" s="243">
        <f>ER134+ES144-ES134</f>
        <v>481</v>
      </c>
      <c r="ET139" s="243">
        <f>ES134+ET144-ET134</f>
        <v>278</v>
      </c>
      <c r="EU139" s="143">
        <f>EO134+EU144-EU134</f>
        <v>1222</v>
      </c>
      <c r="EV139" s="131"/>
      <c r="EW139" s="243">
        <f>ET134+EW144-EW134</f>
        <v>285</v>
      </c>
      <c r="EX139" s="243">
        <f>EW134+EX144-EX134</f>
        <v>288</v>
      </c>
      <c r="EY139" s="243">
        <f>EX134+EY144-EY134</f>
        <v>590</v>
      </c>
      <c r="EZ139" s="477">
        <f>EY134*EZ140</f>
        <v>560.0767434100768</v>
      </c>
      <c r="FA139" s="143">
        <f>EU134+FA144-FA134</f>
        <v>1723.0767434100781</v>
      </c>
      <c r="FB139" s="131"/>
      <c r="FC139" s="477">
        <f>EZ134*FC140</f>
        <v>196.26653650040834</v>
      </c>
      <c r="FD139" s="477">
        <f>FC134*FD140</f>
        <v>205.55559732129311</v>
      </c>
      <c r="FE139" s="477">
        <f>FD134*FE140</f>
        <v>214.66117151885237</v>
      </c>
      <c r="FF139" s="477">
        <f>FE134*FF140</f>
        <v>223.57517440484995</v>
      </c>
      <c r="FG139" s="143">
        <f>FA134+FG144-FG134</f>
        <v>840.05847974540484</v>
      </c>
      <c r="FH139" s="131"/>
      <c r="FI139" s="477">
        <f>FF134*FI140</f>
        <v>232.26324351080837</v>
      </c>
      <c r="FJ139" s="477">
        <f>FI134*FJ140</f>
        <v>240.80428564703308</v>
      </c>
      <c r="FK139" s="477">
        <f>FJ134*FK140</f>
        <v>249.19168437839772</v>
      </c>
      <c r="FL139" s="477">
        <f>FK134*FL140</f>
        <v>257.42566363661092</v>
      </c>
      <c r="FM139" s="143">
        <f>FG134+FM144-FM134</f>
        <v>979.68487717284825</v>
      </c>
      <c r="FN139" s="33"/>
      <c r="FO139" s="33"/>
      <c r="FP139" s="33"/>
      <c r="FQ139" s="33"/>
      <c r="FR139"/>
      <c r="FS139"/>
      <c r="FT139"/>
      <c r="FU139"/>
      <c r="FV139"/>
      <c r="FW139"/>
      <c r="FX139" s="33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</row>
    <row r="140" spans="1:274" s="24" customFormat="1" ht="10.5" customHeight="1" x14ac:dyDescent="0.2">
      <c r="A140" s="341" t="s">
        <v>769</v>
      </c>
      <c r="B140" s="20"/>
      <c r="C140" s="259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34"/>
      <c r="O140" s="42"/>
      <c r="P140" s="42"/>
      <c r="Q140" s="42"/>
      <c r="R140" s="65"/>
      <c r="S140" s="69">
        <f>S139/M134</f>
        <v>2.8691434750885723E-2</v>
      </c>
      <c r="T140" s="34"/>
      <c r="U140" s="42"/>
      <c r="V140" s="42"/>
      <c r="W140" s="42"/>
      <c r="X140" s="65"/>
      <c r="Y140" s="69">
        <f>Y139/S134</f>
        <v>4.4549155740903533E-2</v>
      </c>
      <c r="Z140" s="34"/>
      <c r="AA140" s="42"/>
      <c r="AB140" s="42"/>
      <c r="AC140" s="42"/>
      <c r="AD140" s="65"/>
      <c r="AE140" s="69">
        <f>AE139/Y134</f>
        <v>3.7268495136426515E-2</v>
      </c>
      <c r="AF140" s="34"/>
      <c r="AG140" s="42"/>
      <c r="AH140" s="42"/>
      <c r="AI140" s="42"/>
      <c r="AJ140" s="65"/>
      <c r="AK140" s="69">
        <f>AK139/AE134</f>
        <v>4.8944203986531862E-2</v>
      </c>
      <c r="AL140" s="34"/>
      <c r="AM140" s="42"/>
      <c r="AN140" s="42"/>
      <c r="AO140" s="42"/>
      <c r="AP140" s="65"/>
      <c r="AQ140" s="69">
        <f>AQ139/AK134</f>
        <v>3.2580677171314479E-2</v>
      </c>
      <c r="AR140" s="34"/>
      <c r="AS140" s="69">
        <f>AS139/AP134</f>
        <v>1.8593765984481012E-2</v>
      </c>
      <c r="AT140" s="69">
        <f>AT139/AS134</f>
        <v>1.4999396045161402E-2</v>
      </c>
      <c r="AU140" s="69">
        <f>AU139/AT134</f>
        <v>2.6989085789407286E-2</v>
      </c>
      <c r="AV140" s="69">
        <f>AV139/AU134</f>
        <v>1.7699672684559953E-2</v>
      </c>
      <c r="AW140" s="69">
        <f>AW139/AQ134</f>
        <v>7.9992211310698863E-2</v>
      </c>
      <c r="AX140" s="34"/>
      <c r="AY140" s="69">
        <f>AY139/AV134</f>
        <v>1.7170934057401534E-2</v>
      </c>
      <c r="AZ140" s="69">
        <f>AZ139/AY134</f>
        <v>1.8944921299209185E-2</v>
      </c>
      <c r="BA140" s="69">
        <f>BA139/AZ134</f>
        <v>1.0724454545268649E-2</v>
      </c>
      <c r="BB140" s="69">
        <f>BB139/BA134</f>
        <v>1.4715630326621302E-2</v>
      </c>
      <c r="BC140" s="69">
        <f>BC139/AW134</f>
        <v>6.307205074751894E-2</v>
      </c>
      <c r="BD140" s="34"/>
      <c r="BE140" s="69">
        <f>BE139/BB134</f>
        <v>2.4125000000000126E-2</v>
      </c>
      <c r="BF140" s="69">
        <f>BF139/BE134</f>
        <v>2.5220640899497208E-2</v>
      </c>
      <c r="BG140" s="69">
        <f>BG139/BF134</f>
        <v>2.4843850513714894E-2</v>
      </c>
      <c r="BH140" s="69">
        <f>BH139/BG134</f>
        <v>3.0699939386550714E-2</v>
      </c>
      <c r="BI140" s="69">
        <f>BI139/BC134</f>
        <v>0.10633680555555555</v>
      </c>
      <c r="BJ140" s="33"/>
      <c r="BK140" s="69">
        <f>BK139/BH134</f>
        <v>8.9858793324775355E-3</v>
      </c>
      <c r="BL140" s="69">
        <f>BL139/BK134</f>
        <v>8.4781687155574392E-3</v>
      </c>
      <c r="BM140" s="69">
        <f>BM139/BL134</f>
        <v>1.1387600168705188E-2</v>
      </c>
      <c r="BN140" s="69">
        <f>BN139/BM134</f>
        <v>1.6970725498515061E-3</v>
      </c>
      <c r="BO140" s="69">
        <f>BO139/BI134</f>
        <v>3.0808729139922979E-2</v>
      </c>
      <c r="BP140" s="34"/>
      <c r="BQ140" s="69">
        <f>BQ139/BN134</f>
        <v>1.9561815336463225E-2</v>
      </c>
      <c r="BR140" s="69">
        <f>BR139/BQ134</f>
        <v>1.9364833462432222E-2</v>
      </c>
      <c r="BS140" s="69">
        <f>BS139/BR134</f>
        <v>1.9538882375928098E-2</v>
      </c>
      <c r="BT140" s="69">
        <f>BT139/BS134</f>
        <v>-2.2745098039215685E-2</v>
      </c>
      <c r="BU140" s="69">
        <f>BU139/BO134</f>
        <v>3.5993740219092331E-2</v>
      </c>
      <c r="BV140" s="34"/>
      <c r="BW140" s="69">
        <f>BW139/BT134</f>
        <v>1.6584998115341122E-2</v>
      </c>
      <c r="BX140" s="69">
        <f>BX139/BW134</f>
        <v>1.70261066969353E-2</v>
      </c>
      <c r="BY140" s="69">
        <f>BY139/BX134</f>
        <v>1.9954819277108432E-2</v>
      </c>
      <c r="BZ140" s="69">
        <f>BZ139/BY134</f>
        <v>-0.12175873731679819</v>
      </c>
      <c r="CA140" s="69">
        <f>CA139/BU134</f>
        <v>-6.860158311345646E-2</v>
      </c>
      <c r="CB140" s="34"/>
      <c r="CC140" s="69">
        <f>CC139/BZ134</f>
        <v>1.8855441614290439E-2</v>
      </c>
      <c r="CD140" s="69">
        <f>CD139/CC134</f>
        <v>1.7561298873426109E-2</v>
      </c>
      <c r="CE140" s="69">
        <f>CE139/CD134</f>
        <v>1.6672224074691565E-2</v>
      </c>
      <c r="CF140" s="69">
        <f>CF139/CE134</f>
        <v>1.5873015873015872E-2</v>
      </c>
      <c r="CG140" s="479">
        <f>CG139/CA134</f>
        <v>6.8805822031094935E-2</v>
      </c>
      <c r="CH140" s="34"/>
      <c r="CI140" s="69">
        <f>CI139/CF134</f>
        <v>1.9337921992789251E-2</v>
      </c>
      <c r="CJ140" s="69">
        <f>CJ139/CI134</f>
        <v>2.1374547846103254E-2</v>
      </c>
      <c r="CK140" s="69">
        <f>CK139/CJ134</f>
        <v>1.9782393669634024E-2</v>
      </c>
      <c r="CL140" s="69">
        <f>CL139/CK134</f>
        <v>-8.9508196721311481E-2</v>
      </c>
      <c r="CM140" s="479">
        <f>CM139/CG134</f>
        <v>-2.917076368403802E-2</v>
      </c>
      <c r="CN140" s="34"/>
      <c r="CO140" s="69">
        <f>CO139/CL134</f>
        <v>1.9369760046256145E-2</v>
      </c>
      <c r="CP140" s="69">
        <f>CP139/CO134</f>
        <v>2.0120724346076459E-2</v>
      </c>
      <c r="CQ140" s="69">
        <f>CQ139/CP134</f>
        <v>3.7952846463484763E-2</v>
      </c>
      <c r="CR140" s="69">
        <f>CR139/CQ134</f>
        <v>-6.1152141802067947E-2</v>
      </c>
      <c r="CS140" s="479">
        <f>CS139/CM134</f>
        <v>1.7924255565192251E-2</v>
      </c>
      <c r="CT140" s="91"/>
      <c r="CU140" s="69">
        <f>CU139/CR134</f>
        <v>1.7582417582417582E-2</v>
      </c>
      <c r="CV140" s="69">
        <f>CV139/CU134</f>
        <v>1.7953321364452424E-2</v>
      </c>
      <c r="CW140" s="69">
        <f>CW139/CV134</f>
        <v>1.6389244558258641E-2</v>
      </c>
      <c r="CX140" s="69">
        <f>CX139/CW134</f>
        <v>3.686753114670735E-2</v>
      </c>
      <c r="CY140" s="479">
        <f>CY139/CS134</f>
        <v>9.4230769230769229E-2</v>
      </c>
      <c r="CZ140" s="91"/>
      <c r="DA140" s="69">
        <f>DA139/CX134</f>
        <v>1.5943544171458442E-2</v>
      </c>
      <c r="DB140" s="69">
        <f>DB139/DA134</f>
        <v>1.6230366492146597E-2</v>
      </c>
      <c r="DC140" s="69">
        <f>DC139/DB134</f>
        <v>1.9195372074677884E-2</v>
      </c>
      <c r="DD140" s="69">
        <f>DD139/DC134</f>
        <v>2.6905829596412557E-2</v>
      </c>
      <c r="DE140" s="479">
        <f>DE139/CY134</f>
        <v>7.7888133821223213E-2</v>
      </c>
      <c r="DF140" s="91"/>
      <c r="DG140" s="69">
        <f>DG139/DD134</f>
        <v>2.6343799893560404E-2</v>
      </c>
      <c r="DH140" s="69">
        <f>DH139/DG134</f>
        <v>2.5152237225311094E-2</v>
      </c>
      <c r="DI140" s="69">
        <f>DI139/DH134</f>
        <v>2.3402576912963449E-2</v>
      </c>
      <c r="DJ140" s="69">
        <f>DJ139/DI134</f>
        <v>2.2095139069404732E-2</v>
      </c>
      <c r="DK140" s="479">
        <f>DK139/DE134</f>
        <v>9.7924427887174023E-2</v>
      </c>
      <c r="DL140" s="91"/>
      <c r="DM140" s="69">
        <f>DM139/DJ134</f>
        <v>3.0468749999999999E-2</v>
      </c>
      <c r="DN140" s="69">
        <f>DN139/DM134</f>
        <v>2.8071079062580478E-2</v>
      </c>
      <c r="DO140" s="69">
        <f>DO139/DN134</f>
        <v>3.1934071594128248E-2</v>
      </c>
      <c r="DP140" s="69">
        <f>DP139/DO134</f>
        <v>3.4685029329252742E-2</v>
      </c>
      <c r="DQ140" s="479">
        <f>DQ139/DK134</f>
        <v>0.12656249999999999</v>
      </c>
      <c r="DR140" s="91"/>
      <c r="DS140" s="69">
        <f>DS139/DP134</f>
        <v>3.1734132933533235E-2</v>
      </c>
      <c r="DT140" s="69">
        <f>DT139/DS134</f>
        <v>3.3383158943697061E-2</v>
      </c>
      <c r="DU140" s="69">
        <f>DU139/DT134</f>
        <v>3.3968719452590418E-2</v>
      </c>
      <c r="DV140" s="69">
        <f>DV139/DU134</f>
        <v>3.588105185549275E-2</v>
      </c>
      <c r="DW140" s="479">
        <f>DW139/DQ134</f>
        <v>0.13643178410794601</v>
      </c>
      <c r="DX140" s="91"/>
      <c r="DY140" s="69">
        <f>DY139/DV134</f>
        <v>3.6531904529956159E-2</v>
      </c>
      <c r="DZ140" s="69">
        <f>DZ139/DY134</f>
        <v>3.6991968848868337E-2</v>
      </c>
      <c r="EA140" s="69">
        <f>EA139/DZ134</f>
        <v>3.6737692872887584E-2</v>
      </c>
      <c r="EB140" s="69">
        <f>EB139/EA134</f>
        <v>3.8235294117647062E-2</v>
      </c>
      <c r="EC140" s="479">
        <f>EC139/DW134</f>
        <v>0.1480759863614223</v>
      </c>
      <c r="ED140" s="91"/>
      <c r="EE140" s="69">
        <f>EE139/EB134</f>
        <v>3.9234919077979401E-2</v>
      </c>
      <c r="EF140" s="69">
        <f>EF139/EE134</f>
        <v>3.9815489196406893E-2</v>
      </c>
      <c r="EG140" s="69">
        <f>EG139/EF134</f>
        <v>4.2583732057416265E-2</v>
      </c>
      <c r="EH140" s="69">
        <f>EH139/EG134</f>
        <v>8.4668192219679639E-2</v>
      </c>
      <c r="EI140" s="479">
        <f>EI139/EC134</f>
        <v>0.21383030897498773</v>
      </c>
      <c r="EJ140" s="91"/>
      <c r="EK140" s="69">
        <f>EK139/EH134</f>
        <v>4.7639765064172286E-2</v>
      </c>
      <c r="EL140" s="69">
        <f>EL139/EK134</f>
        <v>4.3532338308457715E-2</v>
      </c>
      <c r="EM140" s="69">
        <f>EM139/EL134</f>
        <v>9.0039509253483058E-2</v>
      </c>
      <c r="EN140" s="69">
        <f>EN139/EM134</f>
        <v>4.8060708263069137E-2</v>
      </c>
      <c r="EO140" s="479">
        <f>EO139/EI134</f>
        <v>0.23711115945181641</v>
      </c>
      <c r="EP140" s="91"/>
      <c r="EQ140" s="69">
        <f>EQ139/EN134</f>
        <v>4.7274275979557072E-2</v>
      </c>
      <c r="ER140" s="69">
        <f>ER139/EQ134</f>
        <v>5.0492352817934211E-2</v>
      </c>
      <c r="ES140" s="69">
        <f>ES139/ER134</f>
        <v>9.0943467574210624E-2</v>
      </c>
      <c r="ET140" s="69">
        <f>ET139/ES134</f>
        <v>5.2972560975609755E-2</v>
      </c>
      <c r="EU140" s="479">
        <f>EU139/EO134</f>
        <v>0.260221465076661</v>
      </c>
      <c r="EV140" s="91"/>
      <c r="EW140" s="69">
        <f>EW139/ET134</f>
        <v>5.1865332120109194E-2</v>
      </c>
      <c r="EX140" s="69">
        <f>EX139/EW134</f>
        <v>5.067745908850959E-2</v>
      </c>
      <c r="EY140" s="69">
        <f>EY139/EX134</f>
        <v>9.8431765098431767E-2</v>
      </c>
      <c r="EZ140" s="484">
        <f>EY140</f>
        <v>9.8431765098431767E-2</v>
      </c>
      <c r="FA140" s="479">
        <f>FA139/EU134</f>
        <v>0.31357174584350828</v>
      </c>
      <c r="FB140" s="91"/>
      <c r="FC140" s="484">
        <v>3.5000000000000003E-2</v>
      </c>
      <c r="FD140" s="484">
        <f>FC140</f>
        <v>3.5000000000000003E-2</v>
      </c>
      <c r="FE140" s="484">
        <f>FD140</f>
        <v>3.5000000000000003E-2</v>
      </c>
      <c r="FF140" s="484">
        <f>FE140</f>
        <v>3.5000000000000003E-2</v>
      </c>
      <c r="FG140" s="479">
        <f>FG139/FA134</f>
        <v>0.14980672362875266</v>
      </c>
      <c r="FH140" s="91"/>
      <c r="FI140" s="484">
        <v>3.5000000000000003E-2</v>
      </c>
      <c r="FJ140" s="484">
        <f>FI140</f>
        <v>3.5000000000000003E-2</v>
      </c>
      <c r="FK140" s="484">
        <f>FJ140</f>
        <v>3.5000000000000003E-2</v>
      </c>
      <c r="FL140" s="484">
        <f>FK140</f>
        <v>3.5000000000000003E-2</v>
      </c>
      <c r="FM140" s="479">
        <f>FM139/FG134</f>
        <v>0.14762977638110034</v>
      </c>
      <c r="FN140" s="33"/>
      <c r="FO140" s="33"/>
      <c r="FP140" s="33"/>
      <c r="FQ140" s="33"/>
      <c r="FR140"/>
      <c r="FS140"/>
      <c r="FT140"/>
      <c r="FU140"/>
      <c r="FV140"/>
      <c r="FW140"/>
      <c r="FX140" s="33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</row>
    <row r="141" spans="1:274" s="24" customFormat="1" ht="5.25" customHeight="1" x14ac:dyDescent="0.2">
      <c r="A141" s="41"/>
      <c r="B141" s="20"/>
      <c r="C141" s="259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34"/>
      <c r="O141" s="42"/>
      <c r="P141" s="42"/>
      <c r="Q141" s="42"/>
      <c r="R141" s="65"/>
      <c r="S141" s="65"/>
      <c r="T141" s="34"/>
      <c r="U141" s="42"/>
      <c r="V141" s="42"/>
      <c r="W141" s="42"/>
      <c r="X141" s="65"/>
      <c r="Y141" s="65"/>
      <c r="Z141" s="34"/>
      <c r="AA141" s="42"/>
      <c r="AB141" s="42"/>
      <c r="AC141" s="42"/>
      <c r="AD141" s="65"/>
      <c r="AE141" s="65"/>
      <c r="AF141" s="34"/>
      <c r="AG141" s="42"/>
      <c r="AH141" s="42"/>
      <c r="AI141" s="42"/>
      <c r="AJ141" s="65"/>
      <c r="AK141" s="65"/>
      <c r="AL141" s="34"/>
      <c r="AM141" s="42"/>
      <c r="AN141" s="42"/>
      <c r="AO141" s="42"/>
      <c r="AP141" s="65"/>
      <c r="AQ141" s="65"/>
      <c r="AR141" s="34"/>
      <c r="AS141" s="42"/>
      <c r="AT141" s="42"/>
      <c r="AU141" s="42"/>
      <c r="AV141" s="65"/>
      <c r="AW141" s="65"/>
      <c r="AX141" s="34"/>
      <c r="AY141" s="42"/>
      <c r="AZ141" s="42"/>
      <c r="BA141" s="42"/>
      <c r="BB141" s="65"/>
      <c r="BC141" s="65"/>
      <c r="BD141" s="34"/>
      <c r="BE141" s="42"/>
      <c r="BF141" s="42"/>
      <c r="BG141" s="42"/>
      <c r="BH141" s="65"/>
      <c r="BI141" s="65"/>
      <c r="BJ141" s="33"/>
      <c r="BK141" s="42"/>
      <c r="BL141" s="42"/>
      <c r="BM141" s="42"/>
      <c r="BN141" s="65"/>
      <c r="BO141" s="65"/>
      <c r="BP141" s="34"/>
      <c r="BQ141" s="42"/>
      <c r="BR141" s="42"/>
      <c r="BS141" s="42"/>
      <c r="BT141" s="65"/>
      <c r="BU141" s="65"/>
      <c r="BV141" s="34"/>
      <c r="BW141" s="42"/>
      <c r="BX141" s="42"/>
      <c r="BY141" s="42"/>
      <c r="BZ141" s="65"/>
      <c r="CA141" s="65"/>
      <c r="CB141" s="34"/>
      <c r="CC141" s="42"/>
      <c r="CD141" s="42"/>
      <c r="CE141" s="42"/>
      <c r="CF141" s="42"/>
      <c r="CG141" s="481"/>
      <c r="CH141" s="34"/>
      <c r="CI141" s="42"/>
      <c r="CJ141" s="42"/>
      <c r="CK141" s="42"/>
      <c r="CL141" s="42"/>
      <c r="CM141" s="481"/>
      <c r="CN141" s="34"/>
      <c r="CO141" s="42"/>
      <c r="CP141" s="42"/>
      <c r="CQ141" s="42"/>
      <c r="CR141" s="42"/>
      <c r="CS141" s="481"/>
      <c r="CT141" s="91"/>
      <c r="CU141" s="42"/>
      <c r="CV141" s="42"/>
      <c r="CW141" s="42"/>
      <c r="CX141" s="65"/>
      <c r="CY141" s="481"/>
      <c r="CZ141" s="91"/>
      <c r="DA141" s="42"/>
      <c r="DB141" s="42"/>
      <c r="DC141" s="42"/>
      <c r="DD141" s="65"/>
      <c r="DE141" s="481"/>
      <c r="DF141" s="91"/>
      <c r="DG141" s="42"/>
      <c r="DH141" s="42"/>
      <c r="DI141" s="42"/>
      <c r="DJ141" s="65"/>
      <c r="DK141" s="481"/>
      <c r="DL141" s="91"/>
      <c r="DM141" s="42"/>
      <c r="DN141" s="42"/>
      <c r="DO141" s="42"/>
      <c r="DP141" s="65"/>
      <c r="DQ141" s="481"/>
      <c r="DR141" s="91"/>
      <c r="DS141" s="42"/>
      <c r="DT141" s="42"/>
      <c r="DU141" s="42"/>
      <c r="DV141" s="65"/>
      <c r="DW141" s="481"/>
      <c r="DX141" s="91"/>
      <c r="DY141" s="42"/>
      <c r="DZ141" s="42"/>
      <c r="EA141" s="42"/>
      <c r="EB141" s="65"/>
      <c r="EC141" s="481"/>
      <c r="ED141" s="91"/>
      <c r="EE141" s="42"/>
      <c r="EF141" s="42"/>
      <c r="EG141" s="42"/>
      <c r="EH141" s="42"/>
      <c r="EI141" s="481"/>
      <c r="EJ141" s="91"/>
      <c r="EK141" s="42"/>
      <c r="EL141" s="42"/>
      <c r="EM141" s="42"/>
      <c r="EN141" s="42"/>
      <c r="EO141" s="481"/>
      <c r="EP141" s="91"/>
      <c r="EQ141" s="42"/>
      <c r="ER141" s="42"/>
      <c r="ES141" s="42"/>
      <c r="ET141" s="42"/>
      <c r="EU141" s="481"/>
      <c r="EV141" s="91"/>
      <c r="EW141" s="42"/>
      <c r="EX141" s="42"/>
      <c r="EY141" s="42"/>
      <c r="EZ141" s="65"/>
      <c r="FA141" s="481"/>
      <c r="FB141" s="91"/>
      <c r="FC141" s="42"/>
      <c r="FD141" s="42"/>
      <c r="FE141" s="42"/>
      <c r="FF141" s="65"/>
      <c r="FG141" s="481"/>
      <c r="FH141" s="91"/>
      <c r="FI141" s="42"/>
      <c r="FJ141" s="42"/>
      <c r="FK141" s="42"/>
      <c r="FL141" s="65"/>
      <c r="FM141" s="481"/>
      <c r="FN141" s="33"/>
      <c r="FO141" s="33"/>
      <c r="FP141" s="33"/>
      <c r="FQ141" s="33"/>
      <c r="FR141"/>
      <c r="FS141"/>
      <c r="FT141"/>
      <c r="FU141"/>
      <c r="FV141"/>
      <c r="FW141"/>
      <c r="FX141" s="33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</row>
    <row r="142" spans="1:274" s="24" customFormat="1" ht="10.5" customHeight="1" x14ac:dyDescent="0.2">
      <c r="A142" s="341" t="s">
        <v>199</v>
      </c>
      <c r="B142" s="20"/>
      <c r="C142" s="259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34"/>
      <c r="O142" s="42"/>
      <c r="P142" s="42"/>
      <c r="Q142" s="42"/>
      <c r="R142" s="33">
        <f>'Cash Flow'!R12</f>
        <v>147.77199999999999</v>
      </c>
      <c r="S142" s="65">
        <f>R142</f>
        <v>147.77199999999999</v>
      </c>
      <c r="T142" s="34"/>
      <c r="U142" s="42"/>
      <c r="V142" s="42"/>
      <c r="W142" s="42"/>
      <c r="X142" s="33">
        <f>'Cash Flow'!X12</f>
        <v>219.49399999999997</v>
      </c>
      <c r="Y142" s="65">
        <f>X142</f>
        <v>219.49399999999997</v>
      </c>
      <c r="Z142" s="34"/>
      <c r="AA142" s="42"/>
      <c r="AB142" s="42"/>
      <c r="AC142" s="42"/>
      <c r="AD142" s="33">
        <f>'Cash Flow'!AD12</f>
        <v>264.77300000000002</v>
      </c>
      <c r="AE142" s="65">
        <f>AD142</f>
        <v>264.77300000000002</v>
      </c>
      <c r="AF142" s="34"/>
      <c r="AG142" s="42"/>
      <c r="AH142" s="42"/>
      <c r="AI142" s="42"/>
      <c r="AJ142" s="33">
        <f>'Cash Flow'!AJ12</f>
        <v>328.56299999999999</v>
      </c>
      <c r="AK142" s="65">
        <f>AJ142</f>
        <v>328.56299999999999</v>
      </c>
      <c r="AL142" s="34"/>
      <c r="AM142" s="42"/>
      <c r="AN142" s="42"/>
      <c r="AO142" s="42"/>
      <c r="AP142" s="33">
        <f>'Cash Flow'!AP12</f>
        <v>319.82299999999998</v>
      </c>
      <c r="AQ142" s="65">
        <f>AP142</f>
        <v>319.82299999999998</v>
      </c>
      <c r="AR142" s="34"/>
      <c r="AS142" s="33">
        <f>'Cash Flow'!AS12</f>
        <v>76.813000000000002</v>
      </c>
      <c r="AT142" s="33">
        <f>'Cash Flow'!AT12-AS142</f>
        <v>77.352999999999994</v>
      </c>
      <c r="AU142" s="33">
        <f>'Cash Flow'!AU12-AT142-AS142</f>
        <v>82.222999999999999</v>
      </c>
      <c r="AV142" s="33">
        <f>'Cash Flow'!AV12-AU142-AT142-AS142</f>
        <v>77.925999999999974</v>
      </c>
      <c r="AW142" s="65">
        <f>SUM(AS142:AV142)</f>
        <v>314.315</v>
      </c>
      <c r="AX142" s="34"/>
      <c r="AY142" s="33">
        <f>'Cash Flow'!AY12</f>
        <v>73.16</v>
      </c>
      <c r="AZ142" s="33">
        <f>'Cash Flow'!AZ12-AY142</f>
        <v>66.079000000000008</v>
      </c>
      <c r="BA142" s="33">
        <f>'Cash Flow'!BA12-AZ142-AY142</f>
        <v>67.16</v>
      </c>
      <c r="BB142" s="33">
        <f>'Cash Flow'!BB12-BA142-AZ142-AY142</f>
        <v>68.600999999999999</v>
      </c>
      <c r="BC142" s="65">
        <f>SUM(AY142:BB142)</f>
        <v>275</v>
      </c>
      <c r="BD142" s="34"/>
      <c r="BE142" s="33">
        <f>'Cash Flow'!BE12</f>
        <v>65.641000000000005</v>
      </c>
      <c r="BF142" s="33">
        <f>'Cash Flow'!BF12-BE142</f>
        <v>58.358999999999995</v>
      </c>
      <c r="BG142" s="33">
        <f>'Cash Flow'!BG12-BF142-BE142</f>
        <v>70.000000000000014</v>
      </c>
      <c r="BH142" s="33">
        <f>'Cash Flow'!BH12-BG142-BF142-BE142</f>
        <v>79.000000000000014</v>
      </c>
      <c r="BI142" s="65">
        <f>SUM(BE142:BH142)</f>
        <v>273</v>
      </c>
      <c r="BJ142" s="33"/>
      <c r="BK142" s="33">
        <f>'Cash Flow'!BK12</f>
        <v>62</v>
      </c>
      <c r="BL142" s="33">
        <f>'Cash Flow'!BL12-BK142</f>
        <v>60</v>
      </c>
      <c r="BM142" s="33">
        <f>'Cash Flow'!BM12-BL142-BK142</f>
        <v>71</v>
      </c>
      <c r="BN142" s="33">
        <f>'Cash Flow'!BN12-BM142-BL142-BK142</f>
        <v>50</v>
      </c>
      <c r="BO142" s="65">
        <f>SUM(BK142:BN142)</f>
        <v>243</v>
      </c>
      <c r="BP142" s="34"/>
      <c r="BQ142" s="33">
        <f>'Cash Flow'!BQ12</f>
        <v>50</v>
      </c>
      <c r="BR142" s="33">
        <f>'Cash Flow'!BR12-BQ142</f>
        <v>50</v>
      </c>
      <c r="BS142" s="33">
        <f>'Cash Flow'!BS12-BR142-BQ142</f>
        <v>50</v>
      </c>
      <c r="BT142" s="33">
        <f>'Cash Flow'!BT12-BS142-BR142-BQ142</f>
        <v>48</v>
      </c>
      <c r="BU142" s="65">
        <f>SUM(BQ142:BT142)</f>
        <v>198</v>
      </c>
      <c r="BV142" s="34"/>
      <c r="BW142" s="33">
        <f>'Cash Flow'!BW12</f>
        <v>44</v>
      </c>
      <c r="BX142" s="33">
        <f>'Cash Flow'!BX12-BW142</f>
        <v>45</v>
      </c>
      <c r="BY142" s="33">
        <f>'Cash Flow'!BY63</f>
        <v>53</v>
      </c>
      <c r="BZ142" s="33">
        <f>'Cash Flow'!BZ63</f>
        <v>64</v>
      </c>
      <c r="CA142" s="65">
        <f>SUM(BW142:BZ142)</f>
        <v>206</v>
      </c>
      <c r="CB142" s="34"/>
      <c r="CC142" s="33">
        <f>'Cash Flow'!CC12</f>
        <v>57</v>
      </c>
      <c r="CD142" s="33">
        <f>'Cash Flow'!CD12-CC142</f>
        <v>53</v>
      </c>
      <c r="CE142" s="33">
        <f>'Cash Flow'!CE12-CD142-CC142</f>
        <v>50</v>
      </c>
      <c r="CF142" s="33">
        <f>'Cash Flow'!CF12-CE142-CD142-CC142</f>
        <v>63</v>
      </c>
      <c r="CG142" s="481">
        <f>SUM(CC142:CF142)</f>
        <v>223</v>
      </c>
      <c r="CH142" s="34"/>
      <c r="CI142" s="33">
        <f>'Cash Flow'!CI12</f>
        <v>59</v>
      </c>
      <c r="CJ142" s="33">
        <f>'Cash Flow'!CJ12-CI142</f>
        <v>65</v>
      </c>
      <c r="CK142" s="33">
        <f>'Cash Flow'!CK12-CJ142-CI142</f>
        <v>60</v>
      </c>
      <c r="CL142" s="33">
        <f>'Cash Flow'!CL12-CK142-CJ142-CI142</f>
        <v>65</v>
      </c>
      <c r="CM142" s="481">
        <f>SUM(CI142:CL142)</f>
        <v>249</v>
      </c>
      <c r="CN142" s="34"/>
      <c r="CO142" s="33">
        <f>'Cash Flow'!CO12</f>
        <v>67</v>
      </c>
      <c r="CP142" s="33">
        <f>'Cash Flow'!CP12-CO142</f>
        <v>70</v>
      </c>
      <c r="CQ142" s="33">
        <f>'Cash Flow'!CQ12-CP142</f>
        <v>132</v>
      </c>
      <c r="CR142" s="33">
        <f>'Cash Flow'!CR12-CQ142</f>
        <v>136</v>
      </c>
      <c r="CS142" s="481">
        <f>SUM(CO142:CR142)</f>
        <v>405</v>
      </c>
      <c r="CT142" s="91"/>
      <c r="CU142" s="33">
        <f>'Cash Flow'!CU12</f>
        <v>64</v>
      </c>
      <c r="CV142" s="33">
        <f>'Cash Flow'!CV12-CU142</f>
        <v>70</v>
      </c>
      <c r="CW142" s="33">
        <f>'Cash Flow'!CW12-CV142-CU142</f>
        <v>64</v>
      </c>
      <c r="CX142" s="33">
        <f>'Cash Flow'!CX12-CW142-CV142-CU142</f>
        <v>65</v>
      </c>
      <c r="CY142" s="481">
        <f>SUM(CU142:CX142)</f>
        <v>263</v>
      </c>
      <c r="CZ142" s="91"/>
      <c r="DA142" s="33">
        <f>'Cash Flow'!DA12</f>
        <v>61</v>
      </c>
      <c r="DB142" s="33">
        <f>'Cash Flow'!DB12-DA142</f>
        <v>62</v>
      </c>
      <c r="DC142" s="33">
        <f>'Cash Flow'!DC12-DB142-DA142</f>
        <v>73</v>
      </c>
      <c r="DD142" s="33">
        <f>'Cash Flow'!DD12-DC142-DB142-DA142</f>
        <v>102</v>
      </c>
      <c r="DE142" s="481">
        <f>SUM(DA142:DD142)</f>
        <v>298</v>
      </c>
      <c r="DF142" s="91"/>
      <c r="DG142" s="33">
        <f>'Cash Flow'!DG12</f>
        <v>99</v>
      </c>
      <c r="DH142" s="33">
        <f>'Cash Flow'!DH12-DG142</f>
        <v>95</v>
      </c>
      <c r="DI142" s="33">
        <f>'Cash Flow'!DI12-DH142-DG142</f>
        <v>89</v>
      </c>
      <c r="DJ142" s="33">
        <f>'Cash Flow'!DJ12-DI142-DH142-DG142</f>
        <v>85</v>
      </c>
      <c r="DK142" s="481">
        <f>SUM(DG142:DJ142)</f>
        <v>368</v>
      </c>
      <c r="DL142" s="91"/>
      <c r="DM142" s="33">
        <f>'Cash Flow'!DM12</f>
        <v>117</v>
      </c>
      <c r="DN142" s="33">
        <f>'Cash Flow'!DN12-DM142</f>
        <v>109</v>
      </c>
      <c r="DO142" s="33">
        <f>'Cash Flow'!DO12-DN142-DM142</f>
        <v>124</v>
      </c>
      <c r="DP142" s="33">
        <f>'Cash Flow'!DP12-DO142-DN142-DM142</f>
        <v>136</v>
      </c>
      <c r="DQ142" s="481">
        <f>SUM(DM142:DP142)</f>
        <v>486</v>
      </c>
      <c r="DR142" s="91"/>
      <c r="DS142" s="33">
        <f>'Cash Flow'!DS12</f>
        <v>127</v>
      </c>
      <c r="DT142" s="33">
        <f>'Cash Flow'!DT12-DS142</f>
        <v>134</v>
      </c>
      <c r="DU142" s="33">
        <f>'Cash Flow'!DU12-DT142-DS142</f>
        <v>139</v>
      </c>
      <c r="DV142" s="33">
        <f>'Cash Flow'!DV12-DU142-DT142-DS142</f>
        <v>146</v>
      </c>
      <c r="DW142" s="481">
        <f>SUM(DS142:DV142)</f>
        <v>546</v>
      </c>
      <c r="DX142" s="91"/>
      <c r="DY142" s="33">
        <f>'Cash Flow'!DY12</f>
        <v>150</v>
      </c>
      <c r="DZ142" s="33">
        <f>'Cash Flow'!DZ12-DY142</f>
        <v>152</v>
      </c>
      <c r="EA142" s="33">
        <f>'Cash Flow'!EA12-DZ142-DY142</f>
        <v>150</v>
      </c>
      <c r="EB142" s="33">
        <f>'Cash Flow'!EB12-EA142-DZ142-DY142</f>
        <v>156</v>
      </c>
      <c r="EC142" s="481">
        <f>SUM(DY142:EB142)</f>
        <v>608</v>
      </c>
      <c r="ED142" s="91"/>
      <c r="EE142" s="33">
        <f>'Cash Flow'!EE12</f>
        <v>160</v>
      </c>
      <c r="EF142" s="33">
        <f>'Cash Flow'!EF12-EE142</f>
        <v>164</v>
      </c>
      <c r="EG142" s="33">
        <f>'Cash Flow'!EG12-EF142-EE142</f>
        <v>178</v>
      </c>
      <c r="EH142" s="33">
        <f>'Cash Flow'!EH12-EG142-EF142</f>
        <v>370</v>
      </c>
      <c r="EI142" s="481">
        <f>SUM(EE142:EH142)</f>
        <v>872</v>
      </c>
      <c r="EJ142" s="91"/>
      <c r="EK142" s="33">
        <f>'Cash Flow'!EK12</f>
        <v>219</v>
      </c>
      <c r="EL142" s="33">
        <f>'Cash Flow'!EL12-EK142</f>
        <v>210</v>
      </c>
      <c r="EM142" s="33">
        <f>'Cash Flow'!EM12-EL142</f>
        <v>433</v>
      </c>
      <c r="EN142" s="33">
        <f>'Cash Flow'!EN12-EM142-EL142</f>
        <v>228</v>
      </c>
      <c r="EO142" s="481">
        <f>SUM(EK142:EN142)</f>
        <v>1090</v>
      </c>
      <c r="EP142" s="91"/>
      <c r="EQ142" s="33">
        <f>'Cash Flow'!EQ12</f>
        <v>222</v>
      </c>
      <c r="ER142" s="33">
        <f>'Cash Flow'!ER12-EQ142</f>
        <v>241</v>
      </c>
      <c r="ES142" s="33">
        <f>'Cash Flow'!ES12-ER142</f>
        <v>481</v>
      </c>
      <c r="ET142" s="33">
        <f>'Cash Flow'!ET12-ES142-ER142</f>
        <v>278</v>
      </c>
      <c r="EU142" s="481">
        <f>SUM(EQ142:ET142)</f>
        <v>1222</v>
      </c>
      <c r="EV142" s="91"/>
      <c r="EW142" s="33">
        <f>'Cash Flow'!EW12</f>
        <v>285</v>
      </c>
      <c r="EX142" s="33">
        <f>'Cash Flow'!EX12-EW142</f>
        <v>288</v>
      </c>
      <c r="EY142" s="33">
        <f>'Cash Flow'!EY12-EX142</f>
        <v>590</v>
      </c>
      <c r="EZ142" s="33">
        <f>EY134/EZ137/4</f>
        <v>294.48384994880388</v>
      </c>
      <c r="FA142" s="481">
        <f>SUM(EW142:EZ142)</f>
        <v>1457.4838499488039</v>
      </c>
      <c r="FB142" s="91"/>
      <c r="FC142" s="33">
        <f>EZ134/FC137/4</f>
        <v>285.94925186011488</v>
      </c>
      <c r="FD142" s="33">
        <f>FC134/FD137/4</f>
        <v>289.70264881406632</v>
      </c>
      <c r="FE142" s="33">
        <f>FD134/FE137/4</f>
        <v>619.40671588068119</v>
      </c>
      <c r="FF142" s="33">
        <f>FE134/FF137/4</f>
        <v>330.60144670708246</v>
      </c>
      <c r="FG142" s="481">
        <f>SUM(FC142:FF142)</f>
        <v>1525.660063261945</v>
      </c>
      <c r="FH142" s="91"/>
      <c r="FI142" s="33">
        <f>FF134/FI137/4</f>
        <v>338.39441965381172</v>
      </c>
      <c r="FJ142" s="33">
        <f>FI134/FJ137/4</f>
        <v>339.38087946437088</v>
      </c>
      <c r="FK142" s="33">
        <f>FJ134/FK137/4</f>
        <v>719.04481725071969</v>
      </c>
      <c r="FL142" s="33">
        <f>FK134/FL137/4</f>
        <v>380.6562917566406</v>
      </c>
      <c r="FM142" s="481">
        <f>SUM(FI142:FL142)</f>
        <v>1777.476408125543</v>
      </c>
      <c r="FN142" s="33"/>
      <c r="FO142" s="33"/>
      <c r="FP142" s="33"/>
      <c r="FQ142" s="33"/>
      <c r="FR142"/>
      <c r="FS142"/>
      <c r="FT142"/>
      <c r="FU142"/>
      <c r="FV142"/>
      <c r="FW142"/>
      <c r="FX142" s="33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</row>
    <row r="143" spans="1:274" s="24" customFormat="1" ht="5.25" customHeight="1" x14ac:dyDescent="0.2">
      <c r="A143" s="41"/>
      <c r="B143" s="20"/>
      <c r="C143" s="259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34"/>
      <c r="O143" s="42"/>
      <c r="P143" s="42"/>
      <c r="Q143" s="42"/>
      <c r="R143" s="65"/>
      <c r="S143" s="65"/>
      <c r="T143" s="34"/>
      <c r="U143" s="42"/>
      <c r="V143" s="42"/>
      <c r="W143" s="42"/>
      <c r="X143" s="65"/>
      <c r="Y143" s="65"/>
      <c r="Z143" s="34"/>
      <c r="AA143" s="42"/>
      <c r="AB143" s="42"/>
      <c r="AC143" s="42"/>
      <c r="AD143" s="65"/>
      <c r="AE143" s="65"/>
      <c r="AF143" s="34"/>
      <c r="AG143" s="42"/>
      <c r="AH143" s="42"/>
      <c r="AI143" s="42"/>
      <c r="AJ143" s="65"/>
      <c r="AK143" s="65"/>
      <c r="AL143" s="34"/>
      <c r="AM143" s="42"/>
      <c r="AN143" s="42"/>
      <c r="AO143" s="42"/>
      <c r="AP143" s="65"/>
      <c r="AQ143" s="65"/>
      <c r="AR143" s="34"/>
      <c r="AS143" s="42"/>
      <c r="AT143" s="42"/>
      <c r="AU143" s="42"/>
      <c r="AV143" s="65"/>
      <c r="AW143" s="65"/>
      <c r="AX143" s="34"/>
      <c r="AY143" s="42"/>
      <c r="AZ143" s="42"/>
      <c r="BA143" s="42"/>
      <c r="BB143" s="65"/>
      <c r="BC143" s="65"/>
      <c r="BD143" s="34"/>
      <c r="BE143" s="42"/>
      <c r="BF143" s="42"/>
      <c r="BG143" s="42"/>
      <c r="BH143" s="65"/>
      <c r="BI143" s="65"/>
      <c r="BJ143" s="33"/>
      <c r="BK143" s="42"/>
      <c r="BL143" s="42"/>
      <c r="BM143" s="42"/>
      <c r="BN143" s="65"/>
      <c r="BO143" s="65"/>
      <c r="BP143" s="34"/>
      <c r="BQ143" s="42"/>
      <c r="BR143" s="42"/>
      <c r="BS143" s="42"/>
      <c r="BT143" s="65"/>
      <c r="BU143" s="65"/>
      <c r="BV143" s="34"/>
      <c r="BW143" s="42"/>
      <c r="BX143" s="42"/>
      <c r="BY143" s="42"/>
      <c r="BZ143" s="65"/>
      <c r="CA143" s="65"/>
      <c r="CB143" s="34"/>
      <c r="CC143" s="42"/>
      <c r="CD143" s="42"/>
      <c r="CE143" s="42"/>
      <c r="CF143" s="65"/>
      <c r="CG143" s="481"/>
      <c r="CH143" s="34"/>
      <c r="CI143" s="42"/>
      <c r="CJ143" s="42"/>
      <c r="CK143" s="42"/>
      <c r="CL143" s="42"/>
      <c r="CM143" s="481"/>
      <c r="CN143" s="34"/>
      <c r="CO143" s="42"/>
      <c r="CP143" s="42"/>
      <c r="CQ143" s="42"/>
      <c r="CR143" s="42"/>
      <c r="CS143" s="481"/>
      <c r="CT143" s="91"/>
      <c r="CU143" s="42"/>
      <c r="CV143" s="42"/>
      <c r="CW143" s="42"/>
      <c r="CX143" s="65"/>
      <c r="CY143" s="481"/>
      <c r="CZ143" s="91"/>
      <c r="DA143" s="42"/>
      <c r="DB143" s="42"/>
      <c r="DC143" s="42"/>
      <c r="DD143" s="65"/>
      <c r="DE143" s="481"/>
      <c r="DF143" s="91"/>
      <c r="DG143" s="42"/>
      <c r="DH143" s="42"/>
      <c r="DI143" s="42"/>
      <c r="DJ143" s="65"/>
      <c r="DK143" s="481"/>
      <c r="DL143" s="91"/>
      <c r="DM143" s="42"/>
      <c r="DN143" s="42"/>
      <c r="DO143" s="42"/>
      <c r="DP143" s="65"/>
      <c r="DQ143" s="481"/>
      <c r="DR143" s="91"/>
      <c r="DS143" s="42"/>
      <c r="DT143" s="42"/>
      <c r="DU143" s="42"/>
      <c r="DV143" s="65"/>
      <c r="DW143" s="481"/>
      <c r="DX143" s="91"/>
      <c r="DY143" s="42"/>
      <c r="DZ143" s="42"/>
      <c r="EA143" s="42"/>
      <c r="EB143" s="65"/>
      <c r="EC143" s="481"/>
      <c r="ED143" s="91"/>
      <c r="EE143" s="42"/>
      <c r="EF143" s="42"/>
      <c r="EG143" s="42"/>
      <c r="EH143" s="42"/>
      <c r="EI143" s="481"/>
      <c r="EJ143" s="91"/>
      <c r="EK143" s="42"/>
      <c r="EL143" s="42"/>
      <c r="EM143" s="42"/>
      <c r="EN143" s="42"/>
      <c r="EO143" s="481"/>
      <c r="EP143" s="91"/>
      <c r="EQ143" s="42"/>
      <c r="ER143" s="42"/>
      <c r="ES143" s="42"/>
      <c r="ET143" s="42"/>
      <c r="EU143" s="481"/>
      <c r="EV143" s="91"/>
      <c r="EW143" s="42"/>
      <c r="EX143" s="42"/>
      <c r="EY143" s="42"/>
      <c r="EZ143" s="65"/>
      <c r="FA143" s="481"/>
      <c r="FB143" s="91"/>
      <c r="FC143" s="42"/>
      <c r="FD143" s="42"/>
      <c r="FE143" s="42"/>
      <c r="FF143" s="65"/>
      <c r="FG143" s="481"/>
      <c r="FH143" s="91"/>
      <c r="FI143" s="42"/>
      <c r="FJ143" s="42"/>
      <c r="FK143" s="42"/>
      <c r="FL143" s="65"/>
      <c r="FM143" s="481"/>
      <c r="FN143" s="33"/>
      <c r="FO143" s="33"/>
      <c r="FP143" s="33"/>
      <c r="FQ143" s="33"/>
      <c r="FR143"/>
      <c r="FS143"/>
      <c r="FT143"/>
      <c r="FU143"/>
      <c r="FV143"/>
      <c r="FW143"/>
      <c r="FX143" s="3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</row>
    <row r="144" spans="1:274" s="24" customFormat="1" ht="10.5" customHeight="1" x14ac:dyDescent="0.2">
      <c r="A144" s="276" t="s">
        <v>762</v>
      </c>
      <c r="B144" s="476"/>
      <c r="C144" s="59"/>
      <c r="D144" s="243"/>
      <c r="E144" s="243"/>
      <c r="F144" s="243"/>
      <c r="G144" s="243"/>
      <c r="H144" s="243"/>
      <c r="I144" s="243"/>
      <c r="J144" s="243"/>
      <c r="K144" s="243"/>
      <c r="L144" s="243"/>
      <c r="M144" s="243"/>
      <c r="N144" s="244"/>
      <c r="O144" s="477"/>
      <c r="P144" s="477"/>
      <c r="Q144" s="477"/>
      <c r="R144" s="243">
        <f>-'Cash Flow'!R83</f>
        <v>82.392999999999986</v>
      </c>
      <c r="S144" s="243">
        <f>-'Cash Flow'!S83</f>
        <v>262.04599999999999</v>
      </c>
      <c r="T144" s="244"/>
      <c r="U144" s="243">
        <f>-'Cash Flow'!U83</f>
        <v>59.667000000000002</v>
      </c>
      <c r="V144" s="243">
        <f>-'Cash Flow'!V83</f>
        <v>80.949999999999989</v>
      </c>
      <c r="W144" s="243">
        <f>-'Cash Flow'!W83</f>
        <v>79.405000000000001</v>
      </c>
      <c r="X144" s="243">
        <f>-'Cash Flow'!X83</f>
        <v>88.37</v>
      </c>
      <c r="Y144" s="243">
        <f>SUM(U144:X144)</f>
        <v>308.392</v>
      </c>
      <c r="Z144" s="244"/>
      <c r="AA144" s="243">
        <f>-'Cash Flow'!AA83</f>
        <v>88.975999999999999</v>
      </c>
      <c r="AB144" s="243">
        <f>-'Cash Flow'!AB83</f>
        <v>84.87700000000001</v>
      </c>
      <c r="AC144" s="243">
        <f>-'Cash Flow'!AC83</f>
        <v>66.544999999999987</v>
      </c>
      <c r="AD144" s="243">
        <f>-'Cash Flow'!AD83</f>
        <v>150.34300000000002</v>
      </c>
      <c r="AE144" s="243">
        <f>SUM(AA144:AD144)</f>
        <v>390.74099999999999</v>
      </c>
      <c r="AF144" s="244"/>
      <c r="AG144" s="243">
        <f>-'Cash Flow'!AG83</f>
        <v>77.483999999999995</v>
      </c>
      <c r="AH144" s="243">
        <f>-'Cash Flow'!AH83</f>
        <v>77.810000000000016</v>
      </c>
      <c r="AI144" s="243">
        <f>-'Cash Flow'!AI83</f>
        <v>85.286999999999964</v>
      </c>
      <c r="AJ144" s="243">
        <f>-'Cash Flow'!AJ83</f>
        <v>87.777000000000029</v>
      </c>
      <c r="AK144" s="243">
        <f>SUM(AG144:AJ144)</f>
        <v>328.358</v>
      </c>
      <c r="AL144" s="244"/>
      <c r="AM144" s="243">
        <f>-'Cash Flow'!AM83</f>
        <v>88.319000000000003</v>
      </c>
      <c r="AN144" s="243">
        <f>-'Cash Flow'!AN83</f>
        <v>84.612999999999985</v>
      </c>
      <c r="AO144" s="243">
        <f>-'Cash Flow'!AO83</f>
        <v>86.027000000000001</v>
      </c>
      <c r="AP144" s="243">
        <f>-'Cash Flow'!AP83</f>
        <v>87.632999999999996</v>
      </c>
      <c r="AQ144" s="243">
        <f>SUM(AM144:AP144)</f>
        <v>346.59199999999998</v>
      </c>
      <c r="AR144" s="244"/>
      <c r="AS144" s="243">
        <f>-'Cash Flow'!AS83</f>
        <v>54.892000000000003</v>
      </c>
      <c r="AT144" s="243">
        <f>-'Cash Flow'!AT83</f>
        <v>69.567999999999984</v>
      </c>
      <c r="AU144" s="243">
        <f>-'Cash Flow'!AU83</f>
        <v>95.053000000000026</v>
      </c>
      <c r="AV144" s="243">
        <f>-'Cash Flow'!AV83</f>
        <v>43.929999999999971</v>
      </c>
      <c r="AW144" s="243">
        <f>SUM(AS144:AV144)</f>
        <v>263.44299999999998</v>
      </c>
      <c r="AX144" s="244"/>
      <c r="AY144" s="243">
        <f>-'Cash Flow'!AY83</f>
        <v>73.397000000000006</v>
      </c>
      <c r="AZ144" s="243">
        <f>-'Cash Flow'!AZ83</f>
        <v>80.600000000000009</v>
      </c>
      <c r="BA144" s="243">
        <f>-'Cash Flow'!BA83</f>
        <v>62.691999999999993</v>
      </c>
      <c r="BB144" s="243">
        <f>-'Cash Flow'!BB83</f>
        <v>96.310999999999964</v>
      </c>
      <c r="BC144" s="243">
        <f>SUM(AY144:BB144)</f>
        <v>313</v>
      </c>
      <c r="BD144" s="244"/>
      <c r="BE144" s="243">
        <f>-'Cash Flow'!BE83</f>
        <v>112.547</v>
      </c>
      <c r="BF144" s="243">
        <f>-'Cash Flow'!BF83</f>
        <v>47.453000000000003</v>
      </c>
      <c r="BG144" s="243">
        <f>-'Cash Flow'!BG83</f>
        <v>39</v>
      </c>
      <c r="BH144" s="243">
        <f>-'Cash Flow'!BH83</f>
        <v>79</v>
      </c>
      <c r="BI144" s="243">
        <f>SUM(BE144:BH144)</f>
        <v>278</v>
      </c>
      <c r="BJ144" s="243"/>
      <c r="BK144" s="243">
        <f>-'Cash Flow'!BK83</f>
        <v>43</v>
      </c>
      <c r="BL144" s="243">
        <f>-'Cash Flow'!BL83</f>
        <v>32</v>
      </c>
      <c r="BM144" s="243">
        <f>-'Cash Flow'!BM83</f>
        <v>13</v>
      </c>
      <c r="BN144" s="243">
        <f>-'Cash Flow'!BN83</f>
        <v>203</v>
      </c>
      <c r="BO144" s="243">
        <f>SUM(BK144:BN144)</f>
        <v>291</v>
      </c>
      <c r="BP144" s="244"/>
      <c r="BQ144" s="243">
        <f>-'Cash Flow'!BQ83</f>
        <v>76</v>
      </c>
      <c r="BR144" s="243">
        <f>-'Cash Flow'!BR83</f>
        <v>27</v>
      </c>
      <c r="BS144" s="243">
        <f>-'Cash Flow'!BS83</f>
        <v>41</v>
      </c>
      <c r="BT144" s="243">
        <f>-'Cash Flow'!BT83</f>
        <v>45</v>
      </c>
      <c r="BU144" s="243">
        <f>SUM(BQ144:BT144)</f>
        <v>189</v>
      </c>
      <c r="BV144" s="244"/>
      <c r="BW144" s="243">
        <f>-'Cash Flow'!BW83</f>
        <v>34</v>
      </c>
      <c r="BX144" s="243">
        <f>-'Cash Flow'!BX83</f>
        <v>58</v>
      </c>
      <c r="BY144" s="243">
        <f>-'Cash Flow'!BY83</f>
        <v>58</v>
      </c>
      <c r="BZ144" s="243">
        <f>-'Cash Flow'!BZ83</f>
        <v>38</v>
      </c>
      <c r="CA144" s="243">
        <f>SUM(BW144:BZ144)</f>
        <v>188</v>
      </c>
      <c r="CB144" s="244"/>
      <c r="CC144" s="243">
        <f>-'Cash Flow'!CC83</f>
        <v>52</v>
      </c>
      <c r="CD144" s="243">
        <f>-'Cash Flow'!CD83</f>
        <v>34</v>
      </c>
      <c r="CE144" s="243">
        <f>-'Cash Flow'!CE83</f>
        <v>75</v>
      </c>
      <c r="CF144" s="243">
        <f>-'Cash Flow'!CF83</f>
        <v>75</v>
      </c>
      <c r="CG144" s="143">
        <f>SUM(CC144:CF144)</f>
        <v>236</v>
      </c>
      <c r="CH144" s="244"/>
      <c r="CI144" s="243">
        <f>-'Cash Flow'!CI83</f>
        <v>49</v>
      </c>
      <c r="CJ144" s="243">
        <f>-'Cash Flow'!CJ83</f>
        <v>57</v>
      </c>
      <c r="CK144" s="243">
        <f>-'Cash Flow'!CK83</f>
        <v>77</v>
      </c>
      <c r="CL144" s="243">
        <f>-'Cash Flow'!CL83</f>
        <v>136</v>
      </c>
      <c r="CM144" s="143">
        <f>SUM(CI144:CL144)</f>
        <v>319</v>
      </c>
      <c r="CN144" s="244"/>
      <c r="CO144" s="243">
        <f>-'Cash Flow'!CO83</f>
        <v>87</v>
      </c>
      <c r="CP144" s="243">
        <f>-'Cash Flow'!CP83</f>
        <v>69</v>
      </c>
      <c r="CQ144" s="243">
        <f>-'Cash Flow'!CQ83</f>
        <v>39</v>
      </c>
      <c r="CR144" s="243">
        <f>-'Cash Flow'!CR83</f>
        <v>48</v>
      </c>
      <c r="CS144" s="143">
        <f>SUM(CO144:CR144)</f>
        <v>243</v>
      </c>
      <c r="CT144" s="131"/>
      <c r="CU144" s="243">
        <f>-'Cash Flow'!CU83</f>
        <v>323</v>
      </c>
      <c r="CV144" s="243">
        <f>-'Cash Flow'!CV83</f>
        <v>76</v>
      </c>
      <c r="CW144" s="243">
        <f>-'Cash Flow'!CW83</f>
        <v>92</v>
      </c>
      <c r="CX144" s="243">
        <f>-'Cash Flow'!CX83</f>
        <v>38</v>
      </c>
      <c r="CY144" s="143">
        <f>SUM(CU144:CX144)</f>
        <v>529</v>
      </c>
      <c r="CZ144" s="131"/>
      <c r="DA144" s="243">
        <f>-'Cash Flow'!DA83</f>
        <v>55</v>
      </c>
      <c r="DB144" s="243">
        <f>-'Cash Flow'!DB83</f>
        <v>45</v>
      </c>
      <c r="DC144" s="243">
        <f>-'Cash Flow'!DC83</f>
        <v>61</v>
      </c>
      <c r="DD144" s="243">
        <f>-'Cash Flow'!DD83</f>
        <v>69</v>
      </c>
      <c r="DE144" s="143">
        <f>SUM(DA144:DD144)</f>
        <v>230</v>
      </c>
      <c r="DF144" s="131"/>
      <c r="DG144" s="243">
        <f>-'Cash Flow'!DG83</f>
        <v>118</v>
      </c>
      <c r="DH144" s="243">
        <f>-'Cash Flow'!DH83</f>
        <v>121</v>
      </c>
      <c r="DI144" s="243">
        <f>-'Cash Flow'!DI83</f>
        <v>133</v>
      </c>
      <c r="DJ144" s="243">
        <f>-'Cash Flow'!DJ83</f>
        <v>78</v>
      </c>
      <c r="DK144" s="143">
        <f>SUM(DG144:DJ144)</f>
        <v>450</v>
      </c>
      <c r="DL144" s="131"/>
      <c r="DM144" s="243">
        <f>-'Cash Flow'!DM83</f>
        <v>160</v>
      </c>
      <c r="DN144" s="243">
        <f>-'Cash Flow'!DN83</f>
        <v>109</v>
      </c>
      <c r="DO144" s="243">
        <f>-'Cash Flow'!DO83</f>
        <v>162</v>
      </c>
      <c r="DP144" s="243">
        <f>-'Cash Flow'!DP83</f>
        <v>217</v>
      </c>
      <c r="DQ144" s="143">
        <f>SUM(DM144:DP144)</f>
        <v>648</v>
      </c>
      <c r="DR144" s="131"/>
      <c r="DS144" s="243">
        <f>-'Cash Flow'!DS83</f>
        <v>139</v>
      </c>
      <c r="DT144" s="243">
        <f>-'Cash Flow'!DT83</f>
        <v>212</v>
      </c>
      <c r="DU144" s="243">
        <f>-'Cash Flow'!DU83</f>
        <v>116</v>
      </c>
      <c r="DV144" s="243">
        <f>-'Cash Flow'!DV83</f>
        <v>183</v>
      </c>
      <c r="DW144" s="143">
        <f>SUM(DS144:DV144)</f>
        <v>650</v>
      </c>
      <c r="DX144" s="131"/>
      <c r="DY144" s="243">
        <f>-'Cash Flow'!DY83</f>
        <v>153</v>
      </c>
      <c r="DZ144" s="243">
        <f>-'Cash Flow'!DZ83</f>
        <v>126</v>
      </c>
      <c r="EA144" s="243">
        <f>-'Cash Flow'!EA83</f>
        <v>147</v>
      </c>
      <c r="EB144" s="243">
        <f>-'Cash Flow'!EB83</f>
        <v>154</v>
      </c>
      <c r="EC144" s="143">
        <f>SUM(DY144:EB144)</f>
        <v>580</v>
      </c>
      <c r="ED144" s="131"/>
      <c r="EE144" s="243">
        <f>-'Cash Flow'!EE83</f>
        <v>201</v>
      </c>
      <c r="EF144" s="243">
        <f>-'Cash Flow'!EF83</f>
        <v>225</v>
      </c>
      <c r="EG144" s="243">
        <f>-'Cash Flow'!EG83</f>
        <v>368</v>
      </c>
      <c r="EH144" s="243">
        <f>-'Cash Flow'!EH83</f>
        <v>597</v>
      </c>
      <c r="EI144" s="143">
        <f>SUM(EE144:EH144)</f>
        <v>1391</v>
      </c>
      <c r="EJ144" s="131"/>
      <c r="EK144" s="243">
        <f>-'Cash Flow'!EK83</f>
        <v>446</v>
      </c>
      <c r="EL144" s="243">
        <f>-'Cash Flow'!EL83</f>
        <v>195</v>
      </c>
      <c r="EM144" s="243">
        <f>-'Cash Flow'!EM83</f>
        <v>368</v>
      </c>
      <c r="EN144" s="243">
        <f>-'Cash Flow'!EN83</f>
        <v>180</v>
      </c>
      <c r="EO144" s="143">
        <f>SUM(EK144:EN144)</f>
        <v>1189</v>
      </c>
      <c r="EP144" s="131"/>
      <c r="EQ144" s="243">
        <f>-'Cash Flow'!EQ83</f>
        <v>299</v>
      </c>
      <c r="ER144" s="243">
        <f>-'Cash Flow'!ER83</f>
        <v>757</v>
      </c>
      <c r="ES144" s="243">
        <f>-'Cash Flow'!ES83</f>
        <v>440</v>
      </c>
      <c r="ET144" s="243">
        <f>-'Cash Flow'!ET83</f>
        <v>525</v>
      </c>
      <c r="EU144" s="143">
        <f>SUM(EQ144:ET144)</f>
        <v>2021</v>
      </c>
      <c r="EV144" s="131"/>
      <c r="EW144" s="243">
        <f>-'Cash Flow'!EW83</f>
        <v>473</v>
      </c>
      <c r="EX144" s="243">
        <f>-'Cash Flow'!EX83</f>
        <v>599</v>
      </c>
      <c r="EY144" s="243">
        <f>-'Cash Flow'!EY83</f>
        <v>286</v>
      </c>
      <c r="EZ144" s="477">
        <f>EZ145*Model!EZ365</f>
        <v>477.69207199317259</v>
      </c>
      <c r="FA144" s="143">
        <f>SUM(EW144:EZ144)</f>
        <v>1835.6920719931727</v>
      </c>
      <c r="FB144" s="131"/>
      <c r="FC144" s="477">
        <f>FC145*Model!FC365</f>
        <v>461.66827423997353</v>
      </c>
      <c r="FD144" s="477">
        <f>FD145*Model!FD365</f>
        <v>465.71486010870007</v>
      </c>
      <c r="FE144" s="477">
        <f>FE145*Model!FE365</f>
        <v>469.34696826164043</v>
      </c>
      <c r="FF144" s="477">
        <f>FF145*Model!FF365</f>
        <v>471.80572028937706</v>
      </c>
      <c r="FG144" s="143">
        <f>SUM(FC144:FF144)</f>
        <v>1868.5358228996911</v>
      </c>
      <c r="FH144" s="131"/>
      <c r="FI144" s="477">
        <f>FI145*Model!FI365</f>
        <v>476.29301883151368</v>
      </c>
      <c r="FJ144" s="477">
        <f>FJ145*Model!FJ365</f>
        <v>480.44424940030865</v>
      </c>
      <c r="FK144" s="477">
        <f>FK145*Model!FK365</f>
        <v>484.44823461305987</v>
      </c>
      <c r="FL144" s="477">
        <f>FL145*Model!FL365</f>
        <v>487.58684330970237</v>
      </c>
      <c r="FM144" s="143">
        <f>SUM(FI144:FL144)</f>
        <v>1928.7723461545845</v>
      </c>
      <c r="FN144" s="33"/>
      <c r="FO144" s="33"/>
      <c r="FP144" s="33"/>
      <c r="FQ144" s="33"/>
      <c r="FR144"/>
      <c r="FS144"/>
      <c r="FT144"/>
      <c r="FU144"/>
      <c r="FV144"/>
      <c r="FW144"/>
      <c r="FX144" s="33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</row>
    <row r="145" spans="1:274" s="24" customFormat="1" ht="10.5" customHeight="1" x14ac:dyDescent="0.2">
      <c r="A145" s="247" t="s">
        <v>200</v>
      </c>
      <c r="B145" s="20"/>
      <c r="C145" s="250" t="s">
        <v>945</v>
      </c>
      <c r="D145" s="42">
        <f>D17/rev _fy85</f>
        <v>0.19398730076454582</v>
      </c>
      <c r="E145" s="42">
        <f>E17/rev _fy86</f>
        <v>0.25570512241394888</v>
      </c>
      <c r="F145" s="42">
        <f>F17/rev _fy87</f>
        <v>0.20492346608355114</v>
      </c>
      <c r="G145" s="42">
        <f>G17/rev _fy88</f>
        <v>0.16856366066079906</v>
      </c>
      <c r="H145" s="42">
        <f>H17/rev _fy89</f>
        <v>0.16179342240493322</v>
      </c>
      <c r="I145" s="42">
        <f>I17/rev _fy90</f>
        <v>0.18763299468566877</v>
      </c>
      <c r="J145" s="42">
        <f>J17/rev _fy91</f>
        <v>0.18892863361898304</v>
      </c>
      <c r="K145" s="42">
        <f>K17/rev _fy92</f>
        <v>0.17553435114503818</v>
      </c>
      <c r="L145" s="42">
        <f>L17/rev _fy93</f>
        <v>0.12590685296074516</v>
      </c>
      <c r="M145" s="42">
        <f>M17/rev _fy94</f>
        <v>0.18913303220602984</v>
      </c>
      <c r="N145" s="36"/>
      <c r="O145" s="42" t="s">
        <v>945</v>
      </c>
      <c r="P145" s="42" t="s">
        <v>945</v>
      </c>
      <c r="Q145" s="42" t="s">
        <v>945</v>
      </c>
      <c r="R145" s="485">
        <f>R144/ltmrev _2c95</f>
        <v>2.7770943058663008E-2</v>
      </c>
      <c r="S145" s="478">
        <f>S144/ltmrev _2c95</f>
        <v>8.8323820527841046E-2</v>
      </c>
      <c r="T145" s="95"/>
      <c r="U145" s="478">
        <f>U144/ltmrev _3c95</f>
        <v>1.8750194440525079E-2</v>
      </c>
      <c r="V145" s="478">
        <f>V144/ltmrev _4c95</f>
        <v>2.3268668759074275E-2</v>
      </c>
      <c r="W145" s="478">
        <f>W144/ltmrev _1c96</f>
        <v>2.1023738648491722E-2</v>
      </c>
      <c r="X145" s="478">
        <f>X144/ltmrev _2c96</f>
        <v>2.0925307284952628E-2</v>
      </c>
      <c r="Y145" s="478">
        <f>Y144/ltmrev _2c96</f>
        <v>7.3024752339267973E-2</v>
      </c>
      <c r="Z145" s="95"/>
      <c r="AA145" s="478">
        <f>AA144/ltmrev _3c96</f>
        <v>1.9756498754782807E-2</v>
      </c>
      <c r="AB145" s="478">
        <f>AB144/ltmrev _4c96</f>
        <v>1.7507613956668781E-2</v>
      </c>
      <c r="AC145" s="478">
        <f>AC144/ltmrev _1c97</f>
        <v>1.2796182739758005E-2</v>
      </c>
      <c r="AD145" s="478">
        <f>AD144/ltmrev _2c97</f>
        <v>2.6448647652074057E-2</v>
      </c>
      <c r="AE145" s="478">
        <f>AE144/ltmrev _2c97</f>
        <v>6.8739954851366997E-2</v>
      </c>
      <c r="AF145" s="95"/>
      <c r="AG145" s="478">
        <f>AG144/ltmrev _3c97</f>
        <v>1.2912181534433902E-2</v>
      </c>
      <c r="AH145" s="478">
        <f>AH144/ltmrev _4c97</f>
        <v>1.2344525375130951E-2</v>
      </c>
      <c r="AI145" s="478">
        <f>AI144/ltmrev _1c98</f>
        <v>1.2768770820722931E-2</v>
      </c>
      <c r="AJ145" s="478">
        <f>AJ144/ltmrev _2c98</f>
        <v>1.228704629776739E-2</v>
      </c>
      <c r="AK145" s="478">
        <f>AK144/ltmrev _2c98</f>
        <v>4.5963634531167655E-2</v>
      </c>
      <c r="AL145" s="95"/>
      <c r="AM145" s="478">
        <f>AM144/ltmrev _3c98</f>
        <v>1.1738074761165618E-2</v>
      </c>
      <c r="AN145" s="478">
        <f>AN144/ltmrev _4c98</f>
        <v>1.0621282180929718E-2</v>
      </c>
      <c r="AO145" s="478">
        <f>AO144/ltmrev _1c99</f>
        <v>1.0369037550290621E-2</v>
      </c>
      <c r="AP145" s="478">
        <f>AP144/ltmrev _2c99</f>
        <v>9.9275516321500716E-3</v>
      </c>
      <c r="AQ145" s="478">
        <f>AQ144/ltmrev _2c99</f>
        <v>3.9263861505256674E-2</v>
      </c>
      <c r="AR145" s="95"/>
      <c r="AS145" s="478">
        <f>AS144/ltmrev _3c99</f>
        <v>6.0569420078588421E-3</v>
      </c>
      <c r="AT145" s="478">
        <f>AT144/ltmrev _4c99</f>
        <v>7.4574979005419661E-3</v>
      </c>
      <c r="AU145" s="478">
        <f>AU144/ltmrev _1c00</f>
        <v>9.8001916879676236E-3</v>
      </c>
      <c r="AV145" s="478">
        <f>AV144/ltmrev _2c00</f>
        <v>4.33656909369753E-3</v>
      </c>
      <c r="AW145" s="478">
        <f>AW144/ltmrev _2c00</f>
        <v>2.6005890547483701E-2</v>
      </c>
      <c r="AX145" s="95"/>
      <c r="AY145" s="478">
        <f>AY144/ltmrev _3c00</f>
        <v>7.0346744072972691E-3</v>
      </c>
      <c r="AZ145" s="478">
        <f>AZ144/ltmrev _4c00</f>
        <v>7.4642567674693258E-3</v>
      </c>
      <c r="BA145" s="478">
        <f>BA144/ltmrev _1c01</f>
        <v>5.6761696846254492E-3</v>
      </c>
      <c r="BB145" s="478">
        <f>BB144/ltmrev _2c01</f>
        <v>8.7869452038247201E-3</v>
      </c>
      <c r="BC145" s="478">
        <f>BC144/ltmrev _2c01</f>
        <v>2.8556591134939292E-2</v>
      </c>
      <c r="BD145" s="95"/>
      <c r="BE145" s="478">
        <f>BE144/ltmrev _3c01</f>
        <v>1.0289771529898047E-2</v>
      </c>
      <c r="BF145" s="478">
        <f>BF144/ltmrev _4c01</f>
        <v>4.4633149055699406E-3</v>
      </c>
      <c r="BG145" s="478">
        <f>BG144/ltmrev _1c02</f>
        <v>3.8276414995639437E-3</v>
      </c>
      <c r="BH145" s="478">
        <f>BH144/ltmrev _2c02</f>
        <v>8.1672377357811746E-3</v>
      </c>
      <c r="BI145" s="478">
        <f>BI144/ltmrev _2c02</f>
        <v>2.8740406209457808E-2</v>
      </c>
      <c r="BJ145" s="188"/>
      <c r="BK145" s="478">
        <f>BK144/ltmrev _3c02</f>
        <v>4.557142218234546E-3</v>
      </c>
      <c r="BL145" s="478">
        <f>BL144/ltmrev _4c02</f>
        <v>3.4172331709542442E-3</v>
      </c>
      <c r="BM145" s="478">
        <f>BM144/ltmrev _1c03</f>
        <v>1.380338312425986E-3</v>
      </c>
      <c r="BN145" s="478">
        <f>BN144/ltmrev _2c03</f>
        <v>2.1423897671866095E-2</v>
      </c>
      <c r="BO145" s="478">
        <f>BO144/ltmrev _2c03</f>
        <v>3.0711104544399181E-2</v>
      </c>
      <c r="BP145" s="95"/>
      <c r="BQ145" s="478">
        <f>BQ144/ltmrev _3c03</f>
        <v>7.9836964514570247E-3</v>
      </c>
      <c r="BR145" s="478">
        <f>BR144/ltmrev _4c03</f>
        <v>2.7810967821680194E-3</v>
      </c>
      <c r="BS145" s="478">
        <f>BS144/ltmrev _1c04</f>
        <v>4.1370681304488217E-3</v>
      </c>
      <c r="BT145" s="478">
        <f>BT144/ltmrev _2c04</f>
        <v>4.4308782985427331E-3</v>
      </c>
      <c r="BU145" s="478">
        <f>BU144/ltmrev _2c04</f>
        <v>1.860968885387948E-2</v>
      </c>
      <c r="BV145" s="95"/>
      <c r="BW145" s="478">
        <f>BW144/ltmrev _3c04</f>
        <v>3.3012913875133509E-3</v>
      </c>
      <c r="BX145" s="478">
        <f>BX144/ltmrev _4c04</f>
        <v>5.4939850336269778E-3</v>
      </c>
      <c r="BY145" s="478">
        <f>BY144/ltmrev _1c05</f>
        <v>5.2059958711067229E-3</v>
      </c>
      <c r="BZ145" s="478">
        <f>BZ144/ltmrev _2c05</f>
        <v>3.1355722419341529E-3</v>
      </c>
      <c r="CA145" s="478">
        <f>CA144/ltmrev _2c05</f>
        <v>1.551283109167423E-2</v>
      </c>
      <c r="CB145" s="95"/>
      <c r="CC145" s="478">
        <f>CC144/ltmrev _3c05</f>
        <v>4.0590117867457653E-3</v>
      </c>
      <c r="CD145" s="478">
        <f>CD144/ltmrev _4c05</f>
        <v>2.5280690014127445E-3</v>
      </c>
      <c r="CE145" s="478">
        <f>CE144/ltmrev _1c06</f>
        <v>5.399412543915222E-3</v>
      </c>
      <c r="CF145" s="478">
        <f>CF144/ltmrev _2c06</f>
        <v>5.0770355527876313E-3</v>
      </c>
      <c r="CG145" s="486">
        <f>CG144/ltmrev _2c06</f>
        <v>1.5975738539438414E-2</v>
      </c>
      <c r="CH145" s="95"/>
      <c r="CI145" s="478">
        <f>CI144/ltmrev _3c06</f>
        <v>3.1559150865622426E-3</v>
      </c>
      <c r="CJ145" s="478">
        <f>CJ144/ltmrev _4c06</f>
        <v>3.4865797264564116E-3</v>
      </c>
      <c r="CK145" s="478">
        <f>CK144/ltmrev _1c07</f>
        <v>4.4604066500608238E-3</v>
      </c>
      <c r="CL145" s="478">
        <f>CL144/ltmrev _2c07</f>
        <v>7.4688340930309186E-3</v>
      </c>
      <c r="CM145" s="486">
        <f>CM144/ltmrev _2c07</f>
        <v>1.7518809379976935E-2</v>
      </c>
      <c r="CN145" s="95"/>
      <c r="CO145" s="478">
        <f>CO144/ltmrev _3c07</f>
        <v>4.5452170732981556E-3</v>
      </c>
      <c r="CP145" s="478">
        <f>CP144/ltmrev _4c07</f>
        <v>3.4008576075706047E-3</v>
      </c>
      <c r="CQ145" s="478">
        <f>CQ144/ltmrev _1c08</f>
        <v>1.8386686153410966E-3</v>
      </c>
      <c r="CR145" s="478">
        <f>CR144/ltmrev _1c08</f>
        <v>2.2629767573428879E-3</v>
      </c>
      <c r="CS145" s="486">
        <f>CS144/ltmrev _2c08</f>
        <v>1.0747932239373701E-2</v>
      </c>
      <c r="CT145" s="130"/>
      <c r="CU145" s="478">
        <f>CU144/ltmrev _3c08</f>
        <v>1.3781039337827459E-2</v>
      </c>
      <c r="CV145" s="478">
        <f>CV144/ltmrev _4c08</f>
        <v>3.1985185808678087E-3</v>
      </c>
      <c r="CW145" s="478">
        <f>CW144/ltmrev _1c09</f>
        <v>3.8503389972378002E-3</v>
      </c>
      <c r="CX145" s="478">
        <f>CX144/ltmrev _1c09</f>
        <v>1.5903574119025697E-3</v>
      </c>
      <c r="CY145" s="486">
        <f>CY144/ltmrev _2c09</f>
        <v>2.2516387162679834E-2</v>
      </c>
      <c r="CZ145" s="130"/>
      <c r="DA145" s="478">
        <f>DA144/ltmrev _3c09</f>
        <v>2.3773503349902745E-3</v>
      </c>
      <c r="DB145" s="478">
        <f>DB144/ltmrev _4c09</f>
        <v>1.9296740994854203E-3</v>
      </c>
      <c r="DC145" s="478">
        <f>DC144/ltmrev _1c10</f>
        <v>2.5117972114933251E-3</v>
      </c>
      <c r="DD145" s="478">
        <f>DD144/ltmrev _1c10</f>
        <v>2.8412132392301548E-3</v>
      </c>
      <c r="DE145" s="486">
        <f>DE144/ltmrev _2c10</f>
        <v>8.507364418503147E-3</v>
      </c>
      <c r="DF145" s="130"/>
      <c r="DG145" s="478">
        <f>DG144/ltmrev _3c10</f>
        <v>3.9918269035601681E-3</v>
      </c>
      <c r="DH145" s="478">
        <f>DH144/ltmrev _4c10</f>
        <v>3.7365976579870545E-3</v>
      </c>
      <c r="DI145" s="478">
        <f>DI144/ltmrev _1c11</f>
        <v>3.8306451612903224E-3</v>
      </c>
      <c r="DJ145" s="478">
        <f>DJ144/ltmrev _1c10</f>
        <v>3.2118062704340877E-3</v>
      </c>
      <c r="DK145" s="486">
        <f>DK144/ltmrev _2c11</f>
        <v>1.2536564981195153E-2</v>
      </c>
      <c r="DL145" s="130"/>
      <c r="DM145" s="478">
        <f>DM144/ltmrev _3c11</f>
        <v>4.3590791445307182E-3</v>
      </c>
      <c r="DN145" s="478">
        <f>DN144/ltmrev _4c11</f>
        <v>2.9601868448210309E-3</v>
      </c>
      <c r="DO145" s="478">
        <f>DO144/ltmrev _1c11</f>
        <v>4.665898617511521E-3</v>
      </c>
      <c r="DP145" s="478">
        <f>DP144/ltmrev _1c10</f>
        <v>8.9354097523615013E-3</v>
      </c>
      <c r="DQ145" s="486">
        <f>DQ144/ltmrev _2c12</f>
        <v>1.7409293530626733E-2</v>
      </c>
      <c r="DR145" s="130"/>
      <c r="DS145" s="478">
        <f>DS144/ltmrev _3c12</f>
        <v>3.7534599103167731E-3</v>
      </c>
      <c r="DT145" s="478">
        <f>DT144/ltmrev _4c12</f>
        <v>5.6783941460641918E-3</v>
      </c>
      <c r="DU145" s="478">
        <f>DU144/ltmrev _1c13</f>
        <v>3.1147495455264907E-3</v>
      </c>
      <c r="DV145" s="478">
        <f>DV144/ltmrev _2c13</f>
        <v>4.9123560518615954E-3</v>
      </c>
      <c r="DW145" s="486">
        <f>DW144/ltmrev _2c13</f>
        <v>1.7448259200601293E-2</v>
      </c>
      <c r="DX145" s="130"/>
      <c r="DY145" s="478">
        <f>DY144/ltmrev _3c13</f>
        <v>4.0881763527054107E-3</v>
      </c>
      <c r="DZ145" s="478">
        <f>DZ144/ltmrev _4c13</f>
        <v>3.3515095092432503E-3</v>
      </c>
      <c r="EA145" s="478">
        <f>EA144/ltmrev _1c14</f>
        <v>3.8745387453874539E-3</v>
      </c>
      <c r="EB145" s="478">
        <f>EB144/ltmrev _2c13</f>
        <v>4.1338952567578453E-3</v>
      </c>
      <c r="EC145" s="486">
        <f>EC144/ltmrev _2c14</f>
        <v>1.5141626419527477E-2</v>
      </c>
      <c r="ED145" s="130"/>
      <c r="EE145" s="478">
        <f>EE144/ltmrev _3c14</f>
        <v>5.217662175843003E-3</v>
      </c>
      <c r="EF145" s="478">
        <f>EF144/ltmrev _4c14</f>
        <v>5.791803953871499E-3</v>
      </c>
      <c r="EG145" s="478">
        <f>EG144/ltmrev _1c15</f>
        <v>9.468186379190573E-3</v>
      </c>
      <c r="EH145" s="478">
        <f>EH144/Model!EH365</f>
        <v>1.5606619088698925E-2</v>
      </c>
      <c r="EI145" s="486">
        <f>EI144/ltmrev _2c14</f>
        <v>3.631379715441848E-2</v>
      </c>
      <c r="EJ145" s="130"/>
      <c r="EK145" s="478">
        <f>EK144/Model!EK365</f>
        <v>1.1704500721690067E-2</v>
      </c>
      <c r="EL145" s="478">
        <f>EL144/Model!EL365</f>
        <v>5.2009708478916068E-3</v>
      </c>
      <c r="EM145" s="478">
        <f>EM144/Model!EM365</f>
        <v>9.8996583541817989E-3</v>
      </c>
      <c r="EN145" s="478">
        <f>EN144/Model!EN365</f>
        <v>4.8573818711714388E-3</v>
      </c>
      <c r="EO145" s="486">
        <f>EO144/ltmrev _2c14</f>
        <v>3.1040334160031328E-2</v>
      </c>
      <c r="EP145" s="130"/>
      <c r="EQ145" s="478">
        <f>EQ144/Model!EQ365</f>
        <v>8.0335312609151246E-3</v>
      </c>
      <c r="ER145" s="478">
        <f>ER144/Model!ER365</f>
        <v>2.0298835324156581E-2</v>
      </c>
      <c r="ES145" s="478">
        <f>ES144/Model!ES365</f>
        <v>1.1716842268401967E-2</v>
      </c>
      <c r="ET145" s="478">
        <f>ET144/Model!ET365</f>
        <v>1.3853054189453842E-2</v>
      </c>
      <c r="EU145" s="486">
        <f>EU144/ltmrev _2c14</f>
        <v>5.2760736196319019E-2</v>
      </c>
      <c r="EV145" s="130"/>
      <c r="EW145" s="478">
        <f>EW144/Model!EW365</f>
        <v>1.2286741904128085E-2</v>
      </c>
      <c r="EX145" s="478">
        <f>EX144/Model!EX365</f>
        <v>1.5336559387561769E-2</v>
      </c>
      <c r="EY145" s="478">
        <f>EY144/Model!EY365</f>
        <v>7.229707525468288E-3</v>
      </c>
      <c r="EZ145" s="484">
        <v>1.2E-2</v>
      </c>
      <c r="FA145" s="486">
        <f>FA144/ltmrev _2c14</f>
        <v>4.7923040647256825E-2</v>
      </c>
      <c r="FB145" s="130"/>
      <c r="FC145" s="484">
        <v>1.15E-2</v>
      </c>
      <c r="FD145" s="484">
        <f>FC145</f>
        <v>1.15E-2</v>
      </c>
      <c r="FE145" s="484">
        <f>FD145</f>
        <v>1.15E-2</v>
      </c>
      <c r="FF145" s="484">
        <f>FE145</f>
        <v>1.15E-2</v>
      </c>
      <c r="FG145" s="486">
        <f>FG144/ltmrev _2c14</f>
        <v>4.8780467899743926E-2</v>
      </c>
      <c r="FH145" s="130"/>
      <c r="FI145" s="484">
        <f>FF145</f>
        <v>1.15E-2</v>
      </c>
      <c r="FJ145" s="484">
        <f>FI145</f>
        <v>1.15E-2</v>
      </c>
      <c r="FK145" s="484">
        <f>FJ145</f>
        <v>1.15E-2</v>
      </c>
      <c r="FL145" s="484">
        <f>FK145</f>
        <v>1.15E-2</v>
      </c>
      <c r="FM145" s="486">
        <f>FM144/ltmrev _2c14</f>
        <v>5.0353017782393539E-2</v>
      </c>
      <c r="FN145" s="215"/>
      <c r="FO145" s="215"/>
      <c r="FP145" s="215"/>
      <c r="FQ145" s="215"/>
      <c r="FR145"/>
      <c r="FS145"/>
      <c r="FT145"/>
      <c r="FU145"/>
      <c r="FV145"/>
      <c r="FW145"/>
      <c r="FX145" s="21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</row>
    <row r="146" spans="1:274" s="24" customFormat="1" ht="6" customHeight="1" x14ac:dyDescent="0.2">
      <c r="A146" s="41"/>
      <c r="B146" s="20"/>
      <c r="C146" s="259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34"/>
      <c r="O146" s="42"/>
      <c r="P146" s="42"/>
      <c r="Q146" s="42"/>
      <c r="R146" s="65"/>
      <c r="S146" s="65"/>
      <c r="T146" s="34"/>
      <c r="U146" s="42"/>
      <c r="V146" s="42"/>
      <c r="W146" s="42"/>
      <c r="X146" s="65"/>
      <c r="Y146" s="65"/>
      <c r="Z146" s="34"/>
      <c r="AA146" s="42"/>
      <c r="AB146" s="42"/>
      <c r="AC146" s="42"/>
      <c r="AD146" s="65"/>
      <c r="AE146" s="65"/>
      <c r="AF146" s="34"/>
      <c r="AG146" s="42"/>
      <c r="AH146" s="42"/>
      <c r="AI146" s="42"/>
      <c r="AJ146" s="65"/>
      <c r="AK146" s="65"/>
      <c r="AL146" s="34"/>
      <c r="AM146" s="42"/>
      <c r="AN146" s="42"/>
      <c r="AO146" s="42"/>
      <c r="AP146" s="65"/>
      <c r="AQ146" s="65"/>
      <c r="AR146" s="34"/>
      <c r="AS146" s="42"/>
      <c r="AT146" s="42"/>
      <c r="AU146" s="42"/>
      <c r="AV146" s="65"/>
      <c r="AW146" s="65"/>
      <c r="AX146" s="34"/>
      <c r="AY146" s="42"/>
      <c r="AZ146" s="42"/>
      <c r="BA146" s="42"/>
      <c r="BB146" s="65"/>
      <c r="BC146" s="65"/>
      <c r="BD146" s="34"/>
      <c r="BE146" s="42"/>
      <c r="BF146" s="42"/>
      <c r="BG146" s="42"/>
      <c r="BH146" s="65"/>
      <c r="BI146" s="65"/>
      <c r="BJ146" s="33"/>
      <c r="BK146" s="42"/>
      <c r="BL146" s="42"/>
      <c r="BM146" s="42"/>
      <c r="BN146" s="65"/>
      <c r="BO146" s="65"/>
      <c r="BP146" s="34"/>
      <c r="BQ146" s="42"/>
      <c r="BR146" s="42"/>
      <c r="BS146" s="42"/>
      <c r="BT146" s="65"/>
      <c r="BU146" s="65"/>
      <c r="BV146" s="34"/>
      <c r="BW146" s="42"/>
      <c r="BX146" s="42"/>
      <c r="BY146" s="42"/>
      <c r="BZ146" s="65"/>
      <c r="CA146" s="65"/>
      <c r="CB146" s="34"/>
      <c r="CC146" s="42"/>
      <c r="CD146" s="42"/>
      <c r="CE146" s="42"/>
      <c r="CF146" s="65"/>
      <c r="CG146" s="481"/>
      <c r="CH146" s="34"/>
      <c r="CI146" s="42"/>
      <c r="CJ146" s="42"/>
      <c r="CK146" s="42"/>
      <c r="CL146" s="42"/>
      <c r="CM146" s="481"/>
      <c r="CN146" s="34"/>
      <c r="CO146" s="42"/>
      <c r="CP146" s="42"/>
      <c r="CQ146" s="42"/>
      <c r="CR146" s="42"/>
      <c r="CS146" s="481"/>
      <c r="CT146" s="91"/>
      <c r="CU146" s="42"/>
      <c r="CV146" s="42"/>
      <c r="CW146" s="42"/>
      <c r="CX146" s="65"/>
      <c r="CY146" s="481"/>
      <c r="CZ146" s="91"/>
      <c r="DA146" s="42"/>
      <c r="DB146" s="42"/>
      <c r="DC146" s="42"/>
      <c r="DD146" s="65"/>
      <c r="DE146" s="481"/>
      <c r="DF146" s="91"/>
      <c r="DG146" s="42"/>
      <c r="DH146" s="42"/>
      <c r="DI146" s="42"/>
      <c r="DJ146" s="65"/>
      <c r="DK146" s="481"/>
      <c r="DL146" s="91"/>
      <c r="DM146" s="42"/>
      <c r="DN146" s="42"/>
      <c r="DO146" s="42"/>
      <c r="DP146" s="65"/>
      <c r="DQ146" s="481"/>
      <c r="DR146" s="91"/>
      <c r="DS146" s="42"/>
      <c r="DT146" s="42"/>
      <c r="DU146" s="42"/>
      <c r="DV146" s="65"/>
      <c r="DW146" s="481"/>
      <c r="DX146" s="91"/>
      <c r="DY146" s="42"/>
      <c r="DZ146" s="42"/>
      <c r="EA146" s="42"/>
      <c r="EB146" s="65"/>
      <c r="EC146" s="481"/>
      <c r="ED146" s="91"/>
      <c r="EE146" s="42"/>
      <c r="EF146" s="42"/>
      <c r="EG146" s="42"/>
      <c r="EH146" s="42"/>
      <c r="EI146" s="481"/>
      <c r="EJ146" s="91"/>
      <c r="EK146" s="42"/>
      <c r="EL146" s="42"/>
      <c r="EM146" s="42"/>
      <c r="EN146" s="42"/>
      <c r="EO146" s="481"/>
      <c r="EP146" s="91"/>
      <c r="EQ146" s="42"/>
      <c r="ER146" s="42"/>
      <c r="ES146" s="42"/>
      <c r="ET146" s="42"/>
      <c r="EU146" s="481"/>
      <c r="EV146" s="91"/>
      <c r="EW146" s="42"/>
      <c r="EX146" s="42"/>
      <c r="EY146" s="42"/>
      <c r="EZ146" s="65"/>
      <c r="FA146" s="481"/>
      <c r="FB146" s="91"/>
      <c r="FC146" s="42"/>
      <c r="FD146" s="42"/>
      <c r="FE146" s="42"/>
      <c r="FF146" s="65"/>
      <c r="FG146" s="481"/>
      <c r="FH146" s="91"/>
      <c r="FI146" s="42"/>
      <c r="FJ146" s="42"/>
      <c r="FK146" s="42"/>
      <c r="FL146" s="65"/>
      <c r="FM146" s="481"/>
      <c r="FN146" s="33"/>
      <c r="FO146" s="33"/>
      <c r="FP146" s="33"/>
      <c r="FQ146" s="33"/>
      <c r="FR146"/>
      <c r="FS146"/>
      <c r="FT146"/>
      <c r="FU146"/>
      <c r="FV146"/>
      <c r="FW146"/>
      <c r="FX146" s="33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</row>
    <row r="147" spans="1:274" s="24" customFormat="1" ht="10.5" customHeight="1" x14ac:dyDescent="0.2">
      <c r="A147" s="276" t="s">
        <v>679</v>
      </c>
      <c r="B147" s="476"/>
      <c r="C147" s="59"/>
      <c r="D147" s="243"/>
      <c r="E147" s="243"/>
      <c r="F147" s="243"/>
      <c r="G147" s="243"/>
      <c r="H147" s="243"/>
      <c r="I147" s="243"/>
      <c r="J147" s="243"/>
      <c r="K147" s="243"/>
      <c r="L147" s="243"/>
      <c r="M147" s="243"/>
      <c r="N147" s="244"/>
      <c r="O147" s="477">
        <f>'Cash Flow'!O65</f>
        <v>0</v>
      </c>
      <c r="P147" s="477">
        <f>'Cash Flow'!P65</f>
        <v>0</v>
      </c>
      <c r="Q147" s="477">
        <f>'Cash Flow'!Q65</f>
        <v>0</v>
      </c>
      <c r="R147" s="477">
        <f>'Cash Flow'!R65</f>
        <v>0</v>
      </c>
      <c r="S147" s="243">
        <f>SUM(O147:R147)</f>
        <v>0</v>
      </c>
      <c r="T147" s="244"/>
      <c r="U147" s="477">
        <f>'Cash Flow'!U65</f>
        <v>50.930999999999997</v>
      </c>
      <c r="V147" s="477">
        <f>'Cash Flow'!V65</f>
        <v>0</v>
      </c>
      <c r="W147" s="477">
        <f>'Cash Flow'!W65</f>
        <v>0</v>
      </c>
      <c r="X147" s="477">
        <f>'Cash Flow'!X65</f>
        <v>0</v>
      </c>
      <c r="Y147" s="243">
        <f>SUM(U147:X147)</f>
        <v>50.930999999999997</v>
      </c>
      <c r="Z147" s="244"/>
      <c r="AA147" s="477">
        <f>'Cash Flow'!AA65</f>
        <v>0</v>
      </c>
      <c r="AB147" s="477">
        <f>'Cash Flow'!AB65</f>
        <v>0</v>
      </c>
      <c r="AC147" s="477">
        <f>'Cash Flow'!AC65</f>
        <v>36.799999999999997</v>
      </c>
      <c r="AD147" s="477">
        <f>'Cash Flow'!AD65</f>
        <v>0</v>
      </c>
      <c r="AE147" s="243">
        <f>SUM(AA147:AD147)</f>
        <v>36.799999999999997</v>
      </c>
      <c r="AF147" s="244"/>
      <c r="AG147" s="477">
        <f>'Cash Flow'!AG65</f>
        <v>167.054</v>
      </c>
      <c r="AH147" s="477">
        <f>'Cash Flow'!AH65</f>
        <v>0</v>
      </c>
      <c r="AI147" s="477">
        <f>'Cash Flow'!AI65</f>
        <v>29.656000000000006</v>
      </c>
      <c r="AJ147" s="477">
        <f>'Cash Flow'!AJ65</f>
        <v>-29.656000000000006</v>
      </c>
      <c r="AK147" s="243">
        <f>SUM(AG147:AJ147)</f>
        <v>167.054</v>
      </c>
      <c r="AL147" s="244"/>
      <c r="AM147" s="477">
        <f>'Cash Flow'!AM65</f>
        <v>0</v>
      </c>
      <c r="AN147" s="477">
        <f>'Cash Flow'!AN65</f>
        <v>0</v>
      </c>
      <c r="AO147" s="477">
        <f>'Cash Flow'!AO65</f>
        <v>35.72</v>
      </c>
      <c r="AP147" s="477">
        <f>'Cash Flow'!AP65</f>
        <v>19.841000000000001</v>
      </c>
      <c r="AQ147" s="243">
        <f>SUM(AM147:AP147)</f>
        <v>55.561</v>
      </c>
      <c r="AR147" s="244"/>
      <c r="AS147" s="477">
        <f>'Cash Flow'!AS65</f>
        <v>18.308</v>
      </c>
      <c r="AT147" s="477">
        <f>'Cash Flow'!AT65</f>
        <v>19.069000000000003</v>
      </c>
      <c r="AU147" s="477">
        <f>'Cash Flow'!AU65</f>
        <v>19.268999999999998</v>
      </c>
      <c r="AV147" s="477">
        <f>'Cash Flow'!AV65</f>
        <v>19.963999999999999</v>
      </c>
      <c r="AW147" s="243">
        <f>SUM(AS147:AV147)</f>
        <v>76.61</v>
      </c>
      <c r="AX147" s="244"/>
      <c r="AY147" s="477">
        <f>'Cash Flow'!AY65</f>
        <v>18.997</v>
      </c>
      <c r="AZ147" s="477">
        <f>'Cash Flow'!AZ65</f>
        <v>17.807000000000002</v>
      </c>
      <c r="BA147" s="477">
        <f>'Cash Flow'!BA65</f>
        <v>16.286999999999999</v>
      </c>
      <c r="BB147" s="477">
        <f>'Cash Flow'!BB65</f>
        <v>17.908999999999999</v>
      </c>
      <c r="BC147" s="243">
        <f>SUM(AY147:BB147)</f>
        <v>71</v>
      </c>
      <c r="BD147" s="244"/>
      <c r="BE147" s="477">
        <f>'Cash Flow'!BE65</f>
        <v>15.36</v>
      </c>
      <c r="BF147" s="477">
        <f>'Cash Flow'!BF65</f>
        <v>21.64</v>
      </c>
      <c r="BG147" s="477">
        <f>'Cash Flow'!BG65</f>
        <v>3</v>
      </c>
      <c r="BH147" s="477">
        <f>'Cash Flow'!BH65</f>
        <v>50</v>
      </c>
      <c r="BI147" s="243">
        <f>SUM(BE147:BH147)</f>
        <v>90</v>
      </c>
      <c r="BJ147" s="243"/>
      <c r="BK147" s="477">
        <f>'Cash Flow'!BK65</f>
        <v>22</v>
      </c>
      <c r="BL147" s="477">
        <f>'Cash Flow'!BL65</f>
        <v>22</v>
      </c>
      <c r="BM147" s="477">
        <f>'Cash Flow'!BM65</f>
        <v>21</v>
      </c>
      <c r="BN147" s="477">
        <f>'Cash Flow'!BN65</f>
        <v>19</v>
      </c>
      <c r="BO147" s="243">
        <f>SUM(BK147:BN147)</f>
        <v>84</v>
      </c>
      <c r="BP147" s="244"/>
      <c r="BQ147" s="477">
        <f>'Cash Flow'!BQ65</f>
        <v>11</v>
      </c>
      <c r="BR147" s="477">
        <f>'Cash Flow'!BR65</f>
        <v>10</v>
      </c>
      <c r="BS147" s="477">
        <f>'Cash Flow'!BS65</f>
        <v>8</v>
      </c>
      <c r="BT147" s="477">
        <f>'Cash Flow'!BT65</f>
        <v>7</v>
      </c>
      <c r="BU147" s="243">
        <f>SUM(BQ147:BT147)</f>
        <v>36</v>
      </c>
      <c r="BV147" s="244"/>
      <c r="BW147" s="477">
        <f>'Cash Flow'!BW65</f>
        <v>9</v>
      </c>
      <c r="BX147" s="477">
        <f>'Cash Flow'!BX65</f>
        <v>7</v>
      </c>
      <c r="BY147" s="477">
        <f>'Cash Flow'!BY65</f>
        <v>81</v>
      </c>
      <c r="BZ147" s="477">
        <f>'Cash Flow'!BZ65</f>
        <v>122</v>
      </c>
      <c r="CA147" s="243">
        <f>SUM(BW147:BZ147)</f>
        <v>219</v>
      </c>
      <c r="CB147" s="244"/>
      <c r="CC147" s="477">
        <f>'Cash Flow'!CC65</f>
        <v>123</v>
      </c>
      <c r="CD147" s="477">
        <f>'Cash Flow'!CD65</f>
        <v>126</v>
      </c>
      <c r="CE147" s="477">
        <f>'Cash Flow'!CE65</f>
        <v>235</v>
      </c>
      <c r="CF147" s="477">
        <f>'Cash Flow'!CF65</f>
        <v>177</v>
      </c>
      <c r="CG147" s="143">
        <f>SUM(CC147:CF147)</f>
        <v>661</v>
      </c>
      <c r="CH147" s="244"/>
      <c r="CI147" s="477">
        <f>'Cash Flow'!CI65</f>
        <v>198</v>
      </c>
      <c r="CJ147" s="477">
        <f>'Cash Flow'!CJ65</f>
        <v>203</v>
      </c>
      <c r="CK147" s="477">
        <f>'Cash Flow'!CK65</f>
        <v>222</v>
      </c>
      <c r="CL147" s="477">
        <f>'Cash Flow'!CL65</f>
        <v>255</v>
      </c>
      <c r="CM147" s="143">
        <f>SUM(CI147:CL147)</f>
        <v>878</v>
      </c>
      <c r="CN147" s="244"/>
      <c r="CO147" s="477">
        <f>'Cash Flow'!CO65</f>
        <v>285</v>
      </c>
      <c r="CP147" s="477">
        <f>'Cash Flow'!CP65</f>
        <v>290</v>
      </c>
      <c r="CQ147" s="477">
        <f>'Cash Flow'!CQ65</f>
        <v>292</v>
      </c>
      <c r="CR147" s="477">
        <f>'Cash Flow'!CR65</f>
        <v>345</v>
      </c>
      <c r="CS147" s="143">
        <f>SUM(CO147:CR147)</f>
        <v>1212</v>
      </c>
      <c r="CT147" s="131"/>
      <c r="CU147" s="477">
        <f>'Cash Flow'!CU65</f>
        <v>413</v>
      </c>
      <c r="CV147" s="477">
        <f>'Cash Flow'!CV65</f>
        <v>426</v>
      </c>
      <c r="CW147" s="477">
        <f>'Cash Flow'!CW65</f>
        <v>437</v>
      </c>
      <c r="CX147" s="477">
        <f>'Cash Flow'!CX65</f>
        <v>437</v>
      </c>
      <c r="CY147" s="143">
        <f>SUM(CU147:CX147)</f>
        <v>1713</v>
      </c>
      <c r="CZ147" s="131"/>
      <c r="DA147" s="477">
        <f>'Cash Flow'!DA65</f>
        <v>431</v>
      </c>
      <c r="DB147" s="477">
        <f>'Cash Flow'!DB65</f>
        <v>436</v>
      </c>
      <c r="DC147" s="477">
        <f>'Cash Flow'!DC65</f>
        <v>502</v>
      </c>
      <c r="DD147" s="477">
        <f>'Cash Flow'!DD65</f>
        <v>604</v>
      </c>
      <c r="DE147" s="143">
        <f>SUM(DA147:DD147)</f>
        <v>1973</v>
      </c>
      <c r="DF147" s="131"/>
      <c r="DG147" s="477">
        <f>'Cash Flow'!DG65</f>
        <v>603</v>
      </c>
      <c r="DH147" s="477">
        <f>'Cash Flow'!DH65</f>
        <v>614</v>
      </c>
      <c r="DI147" s="477">
        <f>'Cash Flow'!DI65</f>
        <v>612</v>
      </c>
      <c r="DJ147" s="477">
        <f>'Cash Flow'!DJ65</f>
        <v>599</v>
      </c>
      <c r="DK147" s="143">
        <f>SUM(DG147:DJ147)</f>
        <v>2428</v>
      </c>
      <c r="DL147" s="131"/>
      <c r="DM147" s="477">
        <f>'Cash Flow'!DM65</f>
        <v>592</v>
      </c>
      <c r="DN147" s="477">
        <f>'Cash Flow'!DN65</f>
        <v>592</v>
      </c>
      <c r="DO147" s="477">
        <f>'Cash Flow'!DO65</f>
        <v>606</v>
      </c>
      <c r="DP147" s="477">
        <f>'Cash Flow'!DP65</f>
        <v>640</v>
      </c>
      <c r="DQ147" s="143">
        <f>SUM(DM147:DP147)</f>
        <v>2430</v>
      </c>
      <c r="DR147" s="131"/>
      <c r="DS147" s="477">
        <f>'Cash Flow'!DS65</f>
        <v>619</v>
      </c>
      <c r="DT147" s="477">
        <f>'Cash Flow'!DT65</f>
        <v>584</v>
      </c>
      <c r="DU147" s="477">
        <f>'Cash Flow'!DU65</f>
        <v>586</v>
      </c>
      <c r="DV147" s="477">
        <f>'Cash Flow'!DV65</f>
        <v>596</v>
      </c>
      <c r="DW147" s="143">
        <f>SUM(DS147:DV147)</f>
        <v>2385</v>
      </c>
      <c r="DX147" s="131"/>
      <c r="DY147" s="477">
        <f>'Cash Flow'!DY65</f>
        <v>595</v>
      </c>
      <c r="DZ147" s="477">
        <f>'Cash Flow'!DZ65</f>
        <v>577</v>
      </c>
      <c r="EA147" s="477">
        <f>'Cash Flow'!EA65</f>
        <v>560</v>
      </c>
      <c r="EB147" s="477">
        <f>'Cash Flow'!EB65</f>
        <v>568</v>
      </c>
      <c r="EC147" s="143">
        <f>SUM(DY147:EB147)</f>
        <v>2300</v>
      </c>
      <c r="ED147" s="131"/>
      <c r="EE147" s="477">
        <f>'Cash Flow'!EE65</f>
        <v>547</v>
      </c>
      <c r="EF147" s="477">
        <f>'Cash Flow'!EF65</f>
        <v>569</v>
      </c>
      <c r="EG147" s="477">
        <f>'Cash Flow'!EG65</f>
        <v>526</v>
      </c>
      <c r="EH147" s="477">
        <f>'Cash Flow'!EH65</f>
        <v>507</v>
      </c>
      <c r="EI147" s="143">
        <f>SUM(EE147:EH147)</f>
        <v>2149</v>
      </c>
      <c r="EJ147" s="131"/>
      <c r="EK147" s="477">
        <f>'Cash Flow'!EK65</f>
        <v>452</v>
      </c>
      <c r="EL147" s="477">
        <f>'Cash Flow'!EL65</f>
        <v>423</v>
      </c>
      <c r="EM147" s="477">
        <f>'Cash Flow'!EM65</f>
        <v>408</v>
      </c>
      <c r="EN147" s="477">
        <f>'Cash Flow'!EN65</f>
        <v>355</v>
      </c>
      <c r="EO147" s="143">
        <f>SUM(EK147:EN147)</f>
        <v>1638</v>
      </c>
      <c r="EP147" s="131"/>
      <c r="EQ147" s="477">
        <f>'Cash Flow'!EQ65</f>
        <v>311</v>
      </c>
      <c r="ER147" s="477">
        <f>'Cash Flow'!ER65</f>
        <v>302</v>
      </c>
      <c r="ES147" s="477">
        <f>'Cash Flow'!ES65</f>
        <v>397</v>
      </c>
      <c r="ET147" s="477">
        <f>'Cash Flow'!ET65</f>
        <v>441</v>
      </c>
      <c r="EU147" s="143">
        <f>SUM(EQ147:ET147)</f>
        <v>1451</v>
      </c>
      <c r="EV147" s="131"/>
      <c r="EW147" s="477">
        <f>'Cash Flow'!EW65</f>
        <v>411</v>
      </c>
      <c r="EX147" s="477">
        <f>'Cash Flow'!EX65</f>
        <v>400</v>
      </c>
      <c r="EY147" s="477">
        <f>'Cash Flow'!EY65</f>
        <v>394</v>
      </c>
      <c r="EZ147" s="477">
        <f>EY18*EZ148</f>
        <v>390.88809839623775</v>
      </c>
      <c r="FA147" s="143">
        <f>SUM(EW147:EZ147)</f>
        <v>1595.8880983962376</v>
      </c>
      <c r="FB147" s="131"/>
      <c r="FC147" s="477">
        <f>EZ18*FC148</f>
        <v>269.3576154588207</v>
      </c>
      <c r="FD147" s="477">
        <f>FC18*FD148</f>
        <v>267.87614857379714</v>
      </c>
      <c r="FE147" s="477">
        <f>FD18*FE148</f>
        <v>266.40282975664127</v>
      </c>
      <c r="FF147" s="477">
        <f>FE18*FF148</f>
        <v>264.93761419297971</v>
      </c>
      <c r="FG147" s="143">
        <f>SUM(FC147:FF147)</f>
        <v>1068.5742079822389</v>
      </c>
      <c r="FH147" s="131"/>
      <c r="FI147" s="477">
        <f>FF18*FI148</f>
        <v>263.48045731491834</v>
      </c>
      <c r="FJ147" s="477">
        <f>FI18*FJ148</f>
        <v>262.0313147996863</v>
      </c>
      <c r="FK147" s="477">
        <f>FJ18*FK148</f>
        <v>260.590142568288</v>
      </c>
      <c r="FL147" s="477">
        <f>FK18*FL148</f>
        <v>259.15689678416243</v>
      </c>
      <c r="FM147" s="143">
        <f>SUM(FI147:FL147)</f>
        <v>1045.258811467055</v>
      </c>
      <c r="FN147" s="65"/>
      <c r="FO147" s="65"/>
      <c r="FP147" s="65"/>
      <c r="FQ147" s="65"/>
      <c r="FR147"/>
      <c r="FS147"/>
      <c r="FT147"/>
      <c r="FU147"/>
      <c r="FV147"/>
      <c r="FW147"/>
      <c r="FX147" s="65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</row>
    <row r="148" spans="1:274" s="24" customFormat="1" ht="10.5" customHeight="1" x14ac:dyDescent="0.2">
      <c r="A148" s="41" t="s">
        <v>950</v>
      </c>
      <c r="B148" s="20"/>
      <c r="C148" s="259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34"/>
      <c r="O148" s="478">
        <f>O147/L18</f>
        <v>0</v>
      </c>
      <c r="P148" s="478">
        <f>P147/O18</f>
        <v>0</v>
      </c>
      <c r="Q148" s="478">
        <f>Q147/P18</f>
        <v>0</v>
      </c>
      <c r="R148" s="478">
        <f>R147/Q18</f>
        <v>0</v>
      </c>
      <c r="S148" s="64">
        <f>S147/L18</f>
        <v>0</v>
      </c>
      <c r="T148" s="34"/>
      <c r="U148" s="478">
        <f>U147/R18</f>
        <v>0.51004957187922484</v>
      </c>
      <c r="V148" s="478">
        <f>V147/U18</f>
        <v>0</v>
      </c>
      <c r="W148" s="478">
        <f>W147/V18</f>
        <v>0</v>
      </c>
      <c r="X148" s="478">
        <f>X147/W18</f>
        <v>0</v>
      </c>
      <c r="Y148" s="64">
        <f>Y147/R18</f>
        <v>0.51004957187922484</v>
      </c>
      <c r="Z148" s="34"/>
      <c r="AA148" s="478">
        <f>AA147/X18</f>
        <v>0</v>
      </c>
      <c r="AB148" s="478">
        <f>AB147/AA18</f>
        <v>0</v>
      </c>
      <c r="AC148" s="478">
        <f>AC147/AB18</f>
        <v>0.14695135830175343</v>
      </c>
      <c r="AD148" s="478">
        <f>AD147/AC18</f>
        <v>0</v>
      </c>
      <c r="AE148" s="64">
        <f>AE147/X18</f>
        <v>0.37144702842377259</v>
      </c>
      <c r="AF148" s="34"/>
      <c r="AG148" s="478">
        <f>AG147/AD18</f>
        <v>1.6877380507370103</v>
      </c>
      <c r="AH148" s="478">
        <f>AH147/AG18</f>
        <v>0</v>
      </c>
      <c r="AI148" s="478">
        <f>AI147/AH18</f>
        <v>0.29946783265508092</v>
      </c>
      <c r="AJ148" s="478">
        <f>AJ147/AI18</f>
        <v>-0.30011030490705048</v>
      </c>
      <c r="AK148" s="64">
        <f>AK147/AD18</f>
        <v>1.6877380507370103</v>
      </c>
      <c r="AL148" s="34"/>
      <c r="AM148" s="478">
        <f>AM147/AJ18</f>
        <v>0</v>
      </c>
      <c r="AN148" s="478">
        <f>AN147/AM18</f>
        <v>0</v>
      </c>
      <c r="AO148" s="478">
        <f>AO147/AN18</f>
        <v>0.36129345484337544</v>
      </c>
      <c r="AP148" s="478">
        <f>AP147/AO18</f>
        <v>4.0859152174136881E-2</v>
      </c>
      <c r="AQ148" s="64">
        <f>AQ147/AJ18</f>
        <v>0.56115420353088519</v>
      </c>
      <c r="AR148" s="34"/>
      <c r="AS148" s="478">
        <f>AS147/AP18</f>
        <v>3.1820575613842682E-2</v>
      </c>
      <c r="AT148" s="478">
        <f>AT147/AS18</f>
        <v>3.0943861613481654E-2</v>
      </c>
      <c r="AU148" s="478">
        <f>AU147/AT18</f>
        <v>2.359968352492486E-2</v>
      </c>
      <c r="AV148" s="478">
        <f>AV147/AU18</f>
        <v>1.7868170776894891E-2</v>
      </c>
      <c r="AW148" s="64">
        <f>AW147/AP18</f>
        <v>0.13315350108021018</v>
      </c>
      <c r="AX148" s="34"/>
      <c r="AY148" s="478">
        <f>AY147/AV18</f>
        <v>1.6533651293744941E-2</v>
      </c>
      <c r="AZ148" s="478">
        <f>AZ147/AY18</f>
        <v>1.4277867981638504E-2</v>
      </c>
      <c r="BA148" s="478">
        <f>BA147/AZ18</f>
        <v>1.9415033747136084E-2</v>
      </c>
      <c r="BB148" s="478">
        <f>BB147/BA18</f>
        <v>2.3135134297200374E-2</v>
      </c>
      <c r="BC148" s="64">
        <f>BC147/AV18</f>
        <v>6.1793401161019675E-2</v>
      </c>
      <c r="BD148" s="34"/>
      <c r="BE148" s="478">
        <f>BE147/BB18</f>
        <v>2.1452513966480447E-2</v>
      </c>
      <c r="BF148" s="478">
        <f>BF147/BE18</f>
        <v>2.4050911467305654E-2</v>
      </c>
      <c r="BG148" s="478">
        <f>BG147/BF18</f>
        <v>4.2204836955680707E-3</v>
      </c>
      <c r="BH148" s="478">
        <f>BH147/BG18</f>
        <v>7.7880164233690347E-2</v>
      </c>
      <c r="BI148" s="64">
        <f>BI147/BB18</f>
        <v>0.12569832402234637</v>
      </c>
      <c r="BJ148" s="33"/>
      <c r="BK148" s="478">
        <f>BK147/BH18</f>
        <v>4.9327354260089683E-2</v>
      </c>
      <c r="BL148" s="478">
        <f>BL147/BK18</f>
        <v>5.3012048192771083E-2</v>
      </c>
      <c r="BM148" s="478">
        <f>BM147/BL18</f>
        <v>5.6910569105691054E-2</v>
      </c>
      <c r="BN148" s="478">
        <f>BN147/BM18</f>
        <v>5.3221288515406161E-2</v>
      </c>
      <c r="BO148" s="64">
        <f>BO147/BH18</f>
        <v>0.18834080717488788</v>
      </c>
      <c r="BP148" s="34"/>
      <c r="BQ148" s="478">
        <f>BQ147/BN18</f>
        <v>3.1884057971014491E-2</v>
      </c>
      <c r="BR148" s="478">
        <f>BR147/BQ18</f>
        <v>4.1493775933609957E-2</v>
      </c>
      <c r="BS148" s="478">
        <f>BS147/BR18</f>
        <v>3.4042553191489362E-2</v>
      </c>
      <c r="BT148" s="478">
        <f>BT147/BS18</f>
        <v>2.9661016949152543E-2</v>
      </c>
      <c r="BU148" s="64">
        <f>BU147/BN18</f>
        <v>0.10434782608695652</v>
      </c>
      <c r="BV148" s="34"/>
      <c r="BW148" s="478">
        <f>BW147/BT18</f>
        <v>3.3707865168539325E-2</v>
      </c>
      <c r="BX148" s="478">
        <f>BX147/BW18</f>
        <v>2.3178807947019868E-2</v>
      </c>
      <c r="BY148" s="478">
        <f>BY147/BX18</f>
        <v>0.20300751879699247</v>
      </c>
      <c r="BZ148" s="478">
        <f>BZ147/BY18</f>
        <v>1.2268704746580853E-2</v>
      </c>
      <c r="CA148" s="64">
        <f>CA147/BT18</f>
        <v>0.8202247191011236</v>
      </c>
      <c r="CB148" s="34"/>
      <c r="CC148" s="478">
        <f>CC147/BZ18</f>
        <v>1.1854279105628373E-2</v>
      </c>
      <c r="CD148" s="478">
        <f>CD147/CC18</f>
        <v>1.1937470393178589E-2</v>
      </c>
      <c r="CE148" s="478">
        <f>CE147/CD18</f>
        <v>2.2096850023507288E-2</v>
      </c>
      <c r="CF148" s="478">
        <f>CF147/CE18</f>
        <v>1.1977263499796996E-2</v>
      </c>
      <c r="CG148" s="360">
        <f>CG147/BZ18</f>
        <v>6.3704703161141088E-2</v>
      </c>
      <c r="CH148" s="34"/>
      <c r="CI148" s="478">
        <f>CI147/CF18</f>
        <v>1.3810420590081607E-2</v>
      </c>
      <c r="CJ148" s="478">
        <f>CJ147/CI18</f>
        <v>1.3382556529764651E-2</v>
      </c>
      <c r="CK148" s="478">
        <f>CK147/CJ18</f>
        <v>1.4565973361327996E-2</v>
      </c>
      <c r="CL148" s="478">
        <f>CL147/CK18</f>
        <v>1.5317155213839501E-2</v>
      </c>
      <c r="CM148" s="360">
        <f>CM147/CF18</f>
        <v>6.1240147869149754E-2</v>
      </c>
      <c r="CN148" s="34"/>
      <c r="CO148" s="478">
        <f>CO147/CL18</f>
        <v>1.4658231754358896E-2</v>
      </c>
      <c r="CP148" s="478">
        <f>CP147/CO18</f>
        <v>1.4887827917244212E-2</v>
      </c>
      <c r="CQ148" s="478">
        <f>CQ147/CP18</f>
        <v>1.5093559392122402E-2</v>
      </c>
      <c r="CR148" s="478">
        <f>CR147/CQ18</f>
        <v>1.8078918409055181E-2</v>
      </c>
      <c r="CS148" s="360">
        <f>CS147/CL18</f>
        <v>6.2336059250115726E-2</v>
      </c>
      <c r="CT148" s="91"/>
      <c r="CU148" s="478">
        <f>CU147/CR18</f>
        <v>1.5652239824149171E-2</v>
      </c>
      <c r="CV148" s="478">
        <f>CV147/CU18</f>
        <v>1.6128421610570553E-2</v>
      </c>
      <c r="CW148" s="478">
        <f>CW147/CV18</f>
        <v>1.6374400479616306E-2</v>
      </c>
      <c r="CX148" s="478">
        <f>CX147/CW18</f>
        <v>1.6586958172018523E-2</v>
      </c>
      <c r="CY148" s="360">
        <f>CY147/CR18</f>
        <v>6.4920791328734934E-2</v>
      </c>
      <c r="CZ148" s="91"/>
      <c r="DA148" s="478">
        <f>DA147/CX18</f>
        <v>1.6506453218949869E-2</v>
      </c>
      <c r="DB148" s="478">
        <f>DB147/DA18</f>
        <v>1.6930066400031064E-2</v>
      </c>
      <c r="DC148" s="478">
        <f>DC147/DB18</f>
        <v>1.9546764270695429E-2</v>
      </c>
      <c r="DD148" s="478">
        <f>DD147/DC18</f>
        <v>1.9945183766469636E-2</v>
      </c>
      <c r="DE148" s="360">
        <f>DE147/CX18</f>
        <v>7.5562023668185818E-2</v>
      </c>
      <c r="DF148" s="91"/>
      <c r="DG148" s="478">
        <f>DG147/DD18</f>
        <v>2.027163316076111E-2</v>
      </c>
      <c r="DH148" s="478">
        <f>DH147/DG18</f>
        <v>2.0449625312239799E-2</v>
      </c>
      <c r="DI148" s="478">
        <f>DI147/DH18</f>
        <v>2.0805711371749108E-2</v>
      </c>
      <c r="DJ148" s="478">
        <f>DJ147/DI18</f>
        <v>2.0135130592624961E-2</v>
      </c>
      <c r="DK148" s="360">
        <f>DK147/DD18</f>
        <v>8.1624420090096142E-2</v>
      </c>
      <c r="DL148" s="91"/>
      <c r="DM148" s="478">
        <f>DM147/DJ18</f>
        <v>2.01271546595043E-2</v>
      </c>
      <c r="DN148" s="478">
        <f>DN147/DM18</f>
        <v>2.0072559590411283E-2</v>
      </c>
      <c r="DO148" s="478">
        <f>DO147/DN18</f>
        <v>2.0791875385987785E-2</v>
      </c>
      <c r="DP148" s="478">
        <f>DP147/DO18</f>
        <v>2.0464283430325511E-2</v>
      </c>
      <c r="DQ148" s="360">
        <f>DQ147/DJ18</f>
        <v>8.2616530105735553E-2</v>
      </c>
      <c r="DR148" s="91"/>
      <c r="DS148" s="478">
        <f>DS147/DP18</f>
        <v>1.8747349930341026E-2</v>
      </c>
      <c r="DT148" s="478">
        <f>DT147/DS18</f>
        <v>1.7879010531471957E-2</v>
      </c>
      <c r="DU148" s="478">
        <f>DU147/DT18</f>
        <v>1.8125019331291948E-2</v>
      </c>
      <c r="DV148" s="478">
        <f>DV147/DU18</f>
        <v>1.8190697106580393E-2</v>
      </c>
      <c r="DW148" s="360">
        <f>DW147/DP18</f>
        <v>7.2233327276031253E-2</v>
      </c>
      <c r="DX148" s="91"/>
      <c r="DY148" s="478">
        <f>DY147/DV18</f>
        <v>1.7508754377188594E-2</v>
      </c>
      <c r="DZ148" s="478">
        <f>DZ147/DY18</f>
        <v>1.6542905473207373E-2</v>
      </c>
      <c r="EA148" s="478">
        <f>EA147/DZ18</f>
        <v>1.6096579476861168E-2</v>
      </c>
      <c r="EB148" s="478">
        <f>EB147/EA18</f>
        <v>1.5830546265328874E-2</v>
      </c>
      <c r="EC148" s="360">
        <f>EC147/DV18</f>
        <v>6.7680899273165993E-2</v>
      </c>
      <c r="ED148" s="91"/>
      <c r="EE148" s="478">
        <f>EE147/EB18</f>
        <v>1.5284025817988767E-2</v>
      </c>
      <c r="EF148" s="478">
        <f>EF147/EE18</f>
        <v>1.6113502492070685E-2</v>
      </c>
      <c r="EG148" s="478">
        <f>EG147/EF18</f>
        <v>1.2971639950678175E-2</v>
      </c>
      <c r="EH148" s="478">
        <f>EH147/EG18</f>
        <v>1.2314792324508137E-2</v>
      </c>
      <c r="EI148" s="360">
        <f>EI147/EB18</f>
        <v>6.0046382966833386E-2</v>
      </c>
      <c r="EJ148" s="91"/>
      <c r="EK148" s="478">
        <f>EK147/EH18</f>
        <v>1.1162423134862817E-2</v>
      </c>
      <c r="EL148" s="478">
        <f>EL147/EK18</f>
        <v>1.0551786070644583E-2</v>
      </c>
      <c r="EM148" s="478">
        <f>EM147/EL18</f>
        <v>1.0258989187830022E-2</v>
      </c>
      <c r="EN148" s="478">
        <f>EN147/EM18</f>
        <v>8.9798396276528462E-3</v>
      </c>
      <c r="EO148" s="360">
        <f>EO147/EH18</f>
        <v>4.0451436050675423E-2</v>
      </c>
      <c r="EP148" s="91"/>
      <c r="EQ148" s="478">
        <f>EQ147/EN18</f>
        <v>7.8668454202817893E-3</v>
      </c>
      <c r="ER148" s="478">
        <f>ER147/EQ18</f>
        <v>7.4676689498281443E-3</v>
      </c>
      <c r="ES148" s="478">
        <f>ES147/ER18</f>
        <v>7.9319094523585942E-3</v>
      </c>
      <c r="ET148" s="478">
        <f>ET147/ES18</f>
        <v>8.7687902648532576E-3</v>
      </c>
      <c r="EU148" s="360">
        <f>EU147/EN18</f>
        <v>3.670351352035009E-2</v>
      </c>
      <c r="EV148" s="91"/>
      <c r="EW148" s="478">
        <f>EW147/ET18</f>
        <v>8.102673290749941E-3</v>
      </c>
      <c r="EX148" s="478">
        <f>EX147/EW18</f>
        <v>7.9671752380193594E-3</v>
      </c>
      <c r="EY148" s="478">
        <f>EY147/EX18</f>
        <v>7.9183246915068926E-3</v>
      </c>
      <c r="EZ148" s="484">
        <f>EY148</f>
        <v>7.9183246915068926E-3</v>
      </c>
      <c r="FA148" s="360">
        <f>FA147/ET18</f>
        <v>3.1462189464479096E-2</v>
      </c>
      <c r="FB148" s="91"/>
      <c r="FC148" s="484">
        <v>5.4999999999999997E-3</v>
      </c>
      <c r="FD148" s="484">
        <f>FC148</f>
        <v>5.4999999999999997E-3</v>
      </c>
      <c r="FE148" s="484">
        <f>FD148</f>
        <v>5.4999999999999997E-3</v>
      </c>
      <c r="FF148" s="484">
        <f>FE148</f>
        <v>5.4999999999999997E-3</v>
      </c>
      <c r="FG148" s="360">
        <f>FG147/EZ18</f>
        <v>2.18191645849375E-2</v>
      </c>
      <c r="FH148" s="91"/>
      <c r="FI148" s="484">
        <v>5.4999999999999997E-3</v>
      </c>
      <c r="FJ148" s="484">
        <f>FI148</f>
        <v>5.4999999999999997E-3</v>
      </c>
      <c r="FK148" s="484">
        <f>FJ148</f>
        <v>5.4999999999999997E-3</v>
      </c>
      <c r="FL148" s="484">
        <f>FK148</f>
        <v>5.4999999999999997E-3</v>
      </c>
      <c r="FM148" s="360">
        <f>FM147/FF18</f>
        <v>2.1819164584937496E-2</v>
      </c>
      <c r="FN148" s="33"/>
      <c r="FO148" s="33"/>
      <c r="FP148" s="33"/>
      <c r="FQ148" s="33"/>
      <c r="FR148"/>
      <c r="FS148"/>
      <c r="FT148"/>
      <c r="FU148"/>
      <c r="FV148"/>
      <c r="FW148"/>
      <c r="FX148" s="33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</row>
    <row r="149" spans="1:274" s="24" customFormat="1" ht="6" customHeight="1" x14ac:dyDescent="0.2">
      <c r="A149" s="341"/>
      <c r="B149" s="20"/>
      <c r="C149" s="135"/>
      <c r="D149" s="135"/>
      <c r="E149" s="135"/>
      <c r="F149" s="135"/>
      <c r="G149" s="135"/>
      <c r="H149" s="135"/>
      <c r="I149" s="135"/>
      <c r="J149" s="135"/>
      <c r="K149" s="135"/>
      <c r="L149" s="135"/>
      <c r="M149" s="135"/>
      <c r="N149" s="135"/>
      <c r="O149" s="135"/>
      <c r="P149" s="135"/>
      <c r="Q149" s="135"/>
      <c r="R149" s="135"/>
      <c r="S149" s="135"/>
      <c r="T149" s="135"/>
      <c r="U149" s="135"/>
      <c r="V149" s="135"/>
      <c r="W149" s="135"/>
      <c r="X149" s="135"/>
      <c r="Y149" s="135"/>
      <c r="Z149" s="135"/>
      <c r="AA149" s="135"/>
      <c r="AB149" s="135"/>
      <c r="AC149" s="135"/>
      <c r="AD149" s="135"/>
      <c r="AE149" s="135"/>
      <c r="AF149" s="135"/>
      <c r="AG149" s="135"/>
      <c r="AH149" s="135"/>
      <c r="AI149" s="135"/>
      <c r="AJ149" s="135"/>
      <c r="AK149" s="135"/>
      <c r="AL149" s="135"/>
      <c r="AM149" s="135"/>
      <c r="AN149" s="135"/>
      <c r="AO149" s="135"/>
      <c r="AP149" s="135"/>
      <c r="AQ149" s="135"/>
      <c r="AR149" s="135"/>
      <c r="AS149" s="37"/>
      <c r="AT149" s="37"/>
      <c r="AU149" s="37"/>
      <c r="AV149" s="37"/>
      <c r="AW149" s="135"/>
      <c r="AX149" s="135"/>
      <c r="AY149" s="37"/>
      <c r="AZ149" s="37"/>
      <c r="BA149" s="37"/>
      <c r="BB149" s="37"/>
      <c r="BC149" s="135"/>
      <c r="BD149" s="135"/>
      <c r="BE149" s="37"/>
      <c r="BF149" s="37"/>
      <c r="BG149" s="37"/>
      <c r="BH149" s="37"/>
      <c r="BI149" s="135"/>
      <c r="BJ149" s="135"/>
      <c r="BK149" s="37"/>
      <c r="BL149" s="37"/>
      <c r="BM149" s="37"/>
      <c r="BN149" s="37"/>
      <c r="BO149" s="135"/>
      <c r="BP149" s="135"/>
      <c r="BQ149" s="37"/>
      <c r="BR149" s="37"/>
      <c r="BS149" s="37"/>
      <c r="BT149" s="135"/>
      <c r="BU149" s="135"/>
      <c r="BV149" s="135"/>
      <c r="BW149" s="37"/>
      <c r="BX149" s="135"/>
      <c r="BY149" s="135"/>
      <c r="BZ149" s="135"/>
      <c r="CA149" s="135"/>
      <c r="CB149" s="135"/>
      <c r="CC149" s="135"/>
      <c r="CD149" s="135"/>
      <c r="CE149" s="135"/>
      <c r="CF149" s="135"/>
      <c r="CG149" s="985"/>
      <c r="CH149" s="135"/>
      <c r="CI149" s="135"/>
      <c r="CJ149" s="135"/>
      <c r="CK149" s="135"/>
      <c r="CL149" s="135"/>
      <c r="CM149" s="985"/>
      <c r="CN149" s="135"/>
      <c r="CO149" s="135"/>
      <c r="CP149" s="135"/>
      <c r="CQ149" s="135"/>
      <c r="CR149" s="135"/>
      <c r="CS149" s="985"/>
      <c r="CT149" s="135"/>
      <c r="CU149" s="135"/>
      <c r="CV149" s="135"/>
      <c r="CW149" s="135"/>
      <c r="CX149" s="135"/>
      <c r="CY149" s="985"/>
      <c r="CZ149" s="135"/>
      <c r="DA149" s="135"/>
      <c r="DB149" s="135"/>
      <c r="DC149" s="135"/>
      <c r="DD149" s="135"/>
      <c r="DE149" s="985"/>
      <c r="DF149" s="135"/>
      <c r="DG149" s="135"/>
      <c r="DH149" s="135"/>
      <c r="DI149" s="135"/>
      <c r="DJ149" s="135"/>
      <c r="DK149" s="985"/>
      <c r="DL149" s="135"/>
      <c r="DM149" s="135"/>
      <c r="DN149" s="135"/>
      <c r="DO149" s="135"/>
      <c r="DP149" s="135"/>
      <c r="DQ149" s="985"/>
      <c r="DR149" s="135"/>
      <c r="DS149" s="135"/>
      <c r="DT149" s="135"/>
      <c r="DU149" s="135"/>
      <c r="DV149" s="135"/>
      <c r="DW149" s="985"/>
      <c r="DX149" s="135"/>
      <c r="DY149" s="135"/>
      <c r="DZ149" s="135"/>
      <c r="EA149" s="135"/>
      <c r="EB149" s="135"/>
      <c r="EC149" s="985"/>
      <c r="ED149" s="135"/>
      <c r="EE149" s="135"/>
      <c r="EF149" s="135"/>
      <c r="EG149" s="135"/>
      <c r="EH149" s="135"/>
      <c r="EI149" s="985"/>
      <c r="EJ149" s="135"/>
      <c r="EK149" s="135"/>
      <c r="EL149" s="135"/>
      <c r="EM149" s="135"/>
      <c r="EN149" s="135"/>
      <c r="EO149" s="985"/>
      <c r="EP149" s="135"/>
      <c r="EQ149" s="135"/>
      <c r="ER149" s="135"/>
      <c r="ES149" s="135"/>
      <c r="ET149" s="135"/>
      <c r="EU149" s="985"/>
      <c r="EV149" s="135"/>
      <c r="EW149" s="135"/>
      <c r="EX149" s="135"/>
      <c r="EY149" s="135"/>
      <c r="EZ149" s="135"/>
      <c r="FA149" s="985"/>
      <c r="FB149" s="135"/>
      <c r="FC149" s="135"/>
      <c r="FD149" s="135"/>
      <c r="FE149" s="135"/>
      <c r="FF149" s="135"/>
      <c r="FG149" s="985"/>
      <c r="FH149" s="135"/>
      <c r="FI149" s="135"/>
      <c r="FJ149" s="135"/>
      <c r="FK149" s="135"/>
      <c r="FL149" s="135"/>
      <c r="FM149" s="985"/>
      <c r="FN149" s="135"/>
      <c r="FO149" s="135"/>
      <c r="FP149" s="135"/>
      <c r="FQ149" s="135"/>
      <c r="FR149"/>
      <c r="FS149"/>
      <c r="FT149"/>
      <c r="FU149"/>
      <c r="FV149"/>
      <c r="FW149"/>
      <c r="FX149" s="135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</row>
    <row r="150" spans="1:274" s="24" customFormat="1" ht="13.5" customHeight="1" x14ac:dyDescent="0.2">
      <c r="A150" s="56" t="s">
        <v>542</v>
      </c>
      <c r="B150" s="20"/>
      <c r="C150" s="259"/>
      <c r="D150" s="259"/>
      <c r="E150" s="259"/>
      <c r="F150" s="259"/>
      <c r="G150" s="259"/>
      <c r="H150" s="34"/>
      <c r="I150" s="259"/>
      <c r="J150" s="259"/>
      <c r="K150" s="259"/>
      <c r="L150" s="259"/>
      <c r="M150" s="259"/>
      <c r="N150" s="34"/>
      <c r="O150" s="259"/>
      <c r="P150" s="259"/>
      <c r="Q150" s="259"/>
      <c r="R150" s="259"/>
      <c r="S150" s="259"/>
      <c r="T150" s="34"/>
      <c r="U150" s="259"/>
      <c r="V150" s="259"/>
      <c r="W150" s="259"/>
      <c r="X150" s="259"/>
      <c r="Y150" s="259"/>
      <c r="Z150" s="34"/>
      <c r="AA150" s="259"/>
      <c r="AB150" s="259"/>
      <c r="AC150" s="259"/>
      <c r="AD150" s="259"/>
      <c r="AE150" s="259"/>
      <c r="AF150" s="34"/>
      <c r="AG150" s="259"/>
      <c r="AH150" s="259"/>
      <c r="AI150" s="259"/>
      <c r="AJ150" s="259"/>
      <c r="AK150" s="259"/>
      <c r="AL150" s="34"/>
      <c r="AM150" s="259"/>
      <c r="AN150" s="259"/>
      <c r="AO150" s="259"/>
      <c r="AP150" s="259"/>
      <c r="AQ150" s="259"/>
      <c r="AR150" s="34"/>
      <c r="AS150" s="259"/>
      <c r="AT150" s="259"/>
      <c r="AU150" s="34"/>
      <c r="AV150" s="34"/>
      <c r="AW150" s="259"/>
      <c r="AX150" s="34"/>
      <c r="AY150" s="34"/>
      <c r="AZ150" s="34"/>
      <c r="BA150" s="34"/>
      <c r="BB150" s="34"/>
      <c r="BC150" s="259"/>
      <c r="BD150" s="34"/>
      <c r="BE150" s="34"/>
      <c r="BF150" s="34"/>
      <c r="BG150" s="34"/>
      <c r="BH150" s="34"/>
      <c r="BI150" s="259"/>
      <c r="BJ150" s="33"/>
      <c r="BK150" s="33"/>
      <c r="BL150" s="33"/>
      <c r="BM150" s="33"/>
      <c r="BN150" s="33"/>
      <c r="BO150" s="33"/>
      <c r="BP150" s="34"/>
      <c r="BQ150" s="33"/>
      <c r="BR150" s="33"/>
      <c r="BS150" s="64"/>
      <c r="BT150" s="33"/>
      <c r="BU150" s="33"/>
      <c r="BV150" s="34"/>
      <c r="BW150" s="33"/>
      <c r="BX150" s="33"/>
      <c r="BY150" s="33"/>
      <c r="BZ150" s="33"/>
      <c r="CA150" s="33"/>
      <c r="CB150" s="34"/>
      <c r="CC150" s="33"/>
      <c r="CD150" s="33"/>
      <c r="CE150" s="33"/>
      <c r="CF150" s="33"/>
      <c r="CG150" s="226"/>
      <c r="CH150" s="34"/>
      <c r="CI150" s="33"/>
      <c r="CJ150" s="33"/>
      <c r="CK150" s="33"/>
      <c r="CL150" s="33"/>
      <c r="CM150" s="226"/>
      <c r="CN150" s="34"/>
      <c r="CO150" s="33"/>
      <c r="CP150" s="33"/>
      <c r="CQ150" s="33"/>
      <c r="CR150" s="33"/>
      <c r="CS150" s="226"/>
      <c r="CT150" s="91"/>
      <c r="CU150" s="33"/>
      <c r="CV150" s="33"/>
      <c r="CW150" s="33"/>
      <c r="CX150" s="33"/>
      <c r="CY150" s="226"/>
      <c r="CZ150" s="91"/>
      <c r="DA150" s="33"/>
      <c r="DB150" s="33"/>
      <c r="DC150" s="33"/>
      <c r="DD150" s="33"/>
      <c r="DE150" s="226"/>
      <c r="DF150" s="91"/>
      <c r="DG150" s="33"/>
      <c r="DH150" s="33"/>
      <c r="DI150" s="33"/>
      <c r="DJ150" s="33"/>
      <c r="DK150" s="226"/>
      <c r="DL150" s="91"/>
      <c r="DM150" s="33"/>
      <c r="DN150" s="33"/>
      <c r="DO150" s="33"/>
      <c r="DP150" s="33"/>
      <c r="DQ150" s="226"/>
      <c r="DR150" s="91"/>
      <c r="DS150" s="33"/>
      <c r="DT150" s="33"/>
      <c r="DU150" s="33"/>
      <c r="DV150" s="33"/>
      <c r="DW150" s="226"/>
      <c r="DX150" s="91"/>
      <c r="DY150" s="33"/>
      <c r="DZ150" s="33"/>
      <c r="EA150" s="33"/>
      <c r="EB150" s="33"/>
      <c r="EC150" s="226"/>
      <c r="ED150" s="91"/>
      <c r="EE150" s="33"/>
      <c r="EF150" s="33"/>
      <c r="EG150" s="33"/>
      <c r="EH150" s="33"/>
      <c r="EI150" s="226"/>
      <c r="EJ150" s="91"/>
      <c r="EK150" s="33"/>
      <c r="EL150" s="33"/>
      <c r="EM150" s="33"/>
      <c r="EN150" s="33"/>
      <c r="EO150" s="226"/>
      <c r="EP150" s="91"/>
      <c r="EQ150" s="33"/>
      <c r="ER150" s="33"/>
      <c r="ES150" s="33"/>
      <c r="ET150" s="33"/>
      <c r="EU150" s="226"/>
      <c r="EV150" s="91"/>
      <c r="EW150" s="33"/>
      <c r="EX150" s="33"/>
      <c r="EY150" s="33"/>
      <c r="EZ150" s="33"/>
      <c r="FA150" s="226"/>
      <c r="FB150" s="91"/>
      <c r="FC150" s="33"/>
      <c r="FD150" s="33"/>
      <c r="FE150" s="33"/>
      <c r="FF150" s="33"/>
      <c r="FG150" s="226"/>
      <c r="FH150" s="91"/>
      <c r="FI150" s="33"/>
      <c r="FJ150" s="33"/>
      <c r="FK150" s="33"/>
      <c r="FL150" s="33"/>
      <c r="FM150" s="226"/>
      <c r="FN150" s="33"/>
      <c r="FO150" s="33"/>
      <c r="FP150" s="33"/>
      <c r="FQ150" s="33"/>
      <c r="FR150"/>
      <c r="FS150"/>
      <c r="FT150"/>
      <c r="FU150"/>
      <c r="FV150"/>
      <c r="FW150"/>
      <c r="FX150" s="33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</row>
    <row r="151" spans="1:274" s="24" customFormat="1" ht="10.5" customHeight="1" x14ac:dyDescent="0.2">
      <c r="A151" s="60" t="s">
        <v>951</v>
      </c>
      <c r="B151" s="476"/>
      <c r="C151" s="435" t="s">
        <v>945</v>
      </c>
      <c r="D151" s="435" t="s">
        <v>945</v>
      </c>
      <c r="E151" s="435" t="s">
        <v>945</v>
      </c>
      <c r="F151" s="435" t="s">
        <v>945</v>
      </c>
      <c r="G151" s="435" t="s">
        <v>945</v>
      </c>
      <c r="H151" s="435" t="s">
        <v>945</v>
      </c>
      <c r="I151" s="435" t="s">
        <v>945</v>
      </c>
      <c r="J151" s="435" t="s">
        <v>945</v>
      </c>
      <c r="K151" s="435" t="s">
        <v>945</v>
      </c>
      <c r="L151" s="435" t="s">
        <v>945</v>
      </c>
      <c r="M151" s="435" t="s">
        <v>945</v>
      </c>
      <c r="N151" s="276"/>
      <c r="O151" s="477" t="s">
        <v>945</v>
      </c>
      <c r="P151" s="477" t="s">
        <v>945</v>
      </c>
      <c r="Q151" s="477" t="s">
        <v>945</v>
      </c>
      <c r="R151" s="477" t="s">
        <v>945</v>
      </c>
      <c r="S151" s="59" t="str">
        <f>R151</f>
        <v>-</v>
      </c>
      <c r="T151" s="276"/>
      <c r="U151" s="435" t="s">
        <v>945</v>
      </c>
      <c r="V151" s="435" t="s">
        <v>945</v>
      </c>
      <c r="W151" s="435" t="s">
        <v>945</v>
      </c>
      <c r="X151" s="435" t="s">
        <v>945</v>
      </c>
      <c r="Y151" s="435" t="s">
        <v>945</v>
      </c>
      <c r="Z151" s="276"/>
      <c r="AA151" s="435" t="s">
        <v>945</v>
      </c>
      <c r="AB151" s="435" t="s">
        <v>945</v>
      </c>
      <c r="AC151" s="435" t="s">
        <v>945</v>
      </c>
      <c r="AD151" s="435" t="s">
        <v>945</v>
      </c>
      <c r="AE151" s="435" t="s">
        <v>945</v>
      </c>
      <c r="AF151" s="276"/>
      <c r="AG151" s="435" t="s">
        <v>945</v>
      </c>
      <c r="AH151" s="435" t="s">
        <v>945</v>
      </c>
      <c r="AI151" s="435" t="s">
        <v>945</v>
      </c>
      <c r="AJ151" s="435" t="s">
        <v>945</v>
      </c>
      <c r="AK151" s="435" t="s">
        <v>945</v>
      </c>
      <c r="AL151" s="276"/>
      <c r="AM151" s="435" t="s">
        <v>945</v>
      </c>
      <c r="AN151" s="435" t="s">
        <v>945</v>
      </c>
      <c r="AO151" s="435" t="s">
        <v>945</v>
      </c>
      <c r="AP151" s="435" t="s">
        <v>945</v>
      </c>
      <c r="AQ151" s="435" t="s">
        <v>945</v>
      </c>
      <c r="AR151" s="276"/>
      <c r="AS151" s="435" t="s">
        <v>945</v>
      </c>
      <c r="AT151" s="435" t="s">
        <v>945</v>
      </c>
      <c r="AU151" s="435" t="s">
        <v>945</v>
      </c>
      <c r="AV151" s="435" t="s">
        <v>945</v>
      </c>
      <c r="AW151" s="435" t="s">
        <v>945</v>
      </c>
      <c r="AX151" s="435"/>
      <c r="AY151" s="435" t="s">
        <v>945</v>
      </c>
      <c r="AZ151" s="435" t="s">
        <v>945</v>
      </c>
      <c r="BA151" s="435" t="s">
        <v>945</v>
      </c>
      <c r="BB151" s="435" t="s">
        <v>945</v>
      </c>
      <c r="BC151" s="435" t="s">
        <v>945</v>
      </c>
      <c r="BD151" s="276"/>
      <c r="BE151" s="435" t="s">
        <v>945</v>
      </c>
      <c r="BF151" s="435" t="s">
        <v>945</v>
      </c>
      <c r="BG151" s="435" t="s">
        <v>945</v>
      </c>
      <c r="BH151" s="60">
        <v>951</v>
      </c>
      <c r="BI151" s="435">
        <f>BH151</f>
        <v>951</v>
      </c>
      <c r="BJ151" s="276"/>
      <c r="BK151" s="435" t="s">
        <v>945</v>
      </c>
      <c r="BL151" s="60">
        <v>991</v>
      </c>
      <c r="BM151" s="60">
        <v>984</v>
      </c>
      <c r="BN151" s="60">
        <v>1168</v>
      </c>
      <c r="BO151" s="435">
        <f>BN151</f>
        <v>1168</v>
      </c>
      <c r="BP151" s="276"/>
      <c r="BQ151" s="60">
        <v>1367</v>
      </c>
      <c r="BR151" s="59">
        <v>1131</v>
      </c>
      <c r="BS151" s="59">
        <v>1136</v>
      </c>
      <c r="BT151" s="435">
        <v>1329</v>
      </c>
      <c r="BU151" s="59">
        <f>BT151</f>
        <v>1329</v>
      </c>
      <c r="BV151" s="276"/>
      <c r="BW151" s="59">
        <v>1615</v>
      </c>
      <c r="BX151" s="59">
        <v>1337</v>
      </c>
      <c r="BY151" s="59">
        <v>1638</v>
      </c>
      <c r="BZ151" s="477">
        <v>1985</v>
      </c>
      <c r="CA151" s="477">
        <f>BZ151</f>
        <v>1985</v>
      </c>
      <c r="CB151" s="276"/>
      <c r="CC151" s="477">
        <v>2366</v>
      </c>
      <c r="CD151" s="477">
        <v>1926</v>
      </c>
      <c r="CE151" s="477">
        <v>2118</v>
      </c>
      <c r="CF151" s="477">
        <v>2501</v>
      </c>
      <c r="CG151" s="487">
        <f>CF151</f>
        <v>2501</v>
      </c>
      <c r="CH151" s="276"/>
      <c r="CI151" s="477">
        <v>2913</v>
      </c>
      <c r="CJ151" s="477">
        <v>2398</v>
      </c>
      <c r="CK151" s="477">
        <v>2576</v>
      </c>
      <c r="CL151" s="477">
        <v>3079</v>
      </c>
      <c r="CM151" s="487">
        <f>CL151</f>
        <v>3079</v>
      </c>
      <c r="CN151" s="276"/>
      <c r="CO151" s="477">
        <v>3682</v>
      </c>
      <c r="CP151" s="477">
        <v>3097</v>
      </c>
      <c r="CQ151" s="477">
        <v>3140</v>
      </c>
      <c r="CR151" s="477">
        <v>3939</v>
      </c>
      <c r="CS151" s="487">
        <f>CR151</f>
        <v>3939</v>
      </c>
      <c r="CT151" s="442"/>
      <c r="CU151" s="477">
        <v>4486</v>
      </c>
      <c r="CV151" s="477">
        <v>3450</v>
      </c>
      <c r="CW151" s="477">
        <v>3509</v>
      </c>
      <c r="CX151" s="445">
        <v>4158</v>
      </c>
      <c r="CY151" s="487">
        <f>CX151</f>
        <v>4158</v>
      </c>
      <c r="CZ151" s="442"/>
      <c r="DA151" s="477">
        <v>4840</v>
      </c>
      <c r="DB151" s="477">
        <v>3986</v>
      </c>
      <c r="DC151" s="477">
        <v>4161</v>
      </c>
      <c r="DD151" s="477">
        <v>4618</v>
      </c>
      <c r="DE151" s="487">
        <f>DD151</f>
        <v>4618</v>
      </c>
      <c r="DF151" s="442"/>
      <c r="DG151" s="477">
        <v>5535</v>
      </c>
      <c r="DH151" s="477">
        <v>4485</v>
      </c>
      <c r="DI151" s="477">
        <v>4562</v>
      </c>
      <c r="DJ151" s="477">
        <v>5386</v>
      </c>
      <c r="DK151" s="487">
        <f>DJ151</f>
        <v>5386</v>
      </c>
      <c r="DL151" s="442"/>
      <c r="DM151" s="477">
        <v>6494</v>
      </c>
      <c r="DN151" s="477">
        <v>4781</v>
      </c>
      <c r="DO151" s="477">
        <v>4896</v>
      </c>
      <c r="DP151" s="477">
        <v>5565</v>
      </c>
      <c r="DQ151" s="487">
        <f>DP151</f>
        <v>5565</v>
      </c>
      <c r="DR151" s="442"/>
      <c r="DS151" s="477">
        <v>6799</v>
      </c>
      <c r="DT151" s="477">
        <v>5184</v>
      </c>
      <c r="DU151" s="477">
        <v>4981</v>
      </c>
      <c r="DV151" s="477">
        <v>5705</v>
      </c>
      <c r="DW151" s="487">
        <f t="shared" ref="DW151:DW157" si="144">DV151</f>
        <v>5705</v>
      </c>
      <c r="DX151" s="442"/>
      <c r="DY151" s="477">
        <v>7073</v>
      </c>
      <c r="DZ151" s="477">
        <v>5415</v>
      </c>
      <c r="EA151" s="477">
        <v>5218</v>
      </c>
      <c r="EB151" s="477">
        <v>5909</v>
      </c>
      <c r="EC151" s="487">
        <f t="shared" ref="EC151:EC157" si="145">EB151</f>
        <v>5909</v>
      </c>
      <c r="ED151" s="442"/>
      <c r="EE151" s="477">
        <v>7498</v>
      </c>
      <c r="EF151" s="477">
        <v>5520</v>
      </c>
      <c r="EG151" s="477">
        <v>5188</v>
      </c>
      <c r="EH151" s="445">
        <v>5635</v>
      </c>
      <c r="EI151" s="487">
        <f t="shared" ref="EI151:EI157" si="146">EH151</f>
        <v>5635</v>
      </c>
      <c r="EJ151" s="442"/>
      <c r="EK151" s="477">
        <v>7287</v>
      </c>
      <c r="EL151" s="477">
        <v>5382</v>
      </c>
      <c r="EM151" s="477">
        <v>5239</v>
      </c>
      <c r="EN151" s="445">
        <v>5864</v>
      </c>
      <c r="EO151" s="487">
        <f t="shared" ref="EO151:EO157" si="147">EN151</f>
        <v>5864</v>
      </c>
      <c r="EP151" s="442"/>
      <c r="EQ151" s="445">
        <v>7375</v>
      </c>
      <c r="ER151" s="445">
        <v>5446</v>
      </c>
      <c r="ES151" s="477">
        <v>5163</v>
      </c>
      <c r="ET151" s="445">
        <v>5952</v>
      </c>
      <c r="EU151" s="487">
        <f t="shared" ref="EU151:EU157" si="148">ET151</f>
        <v>5952</v>
      </c>
      <c r="EV151" s="442"/>
      <c r="EW151" s="445">
        <v>7690</v>
      </c>
      <c r="EX151" s="1884"/>
      <c r="EY151" s="1884"/>
      <c r="EZ151" s="477" t="s">
        <v>945</v>
      </c>
      <c r="FA151" s="487" t="str">
        <f>EZ151</f>
        <v>-</v>
      </c>
      <c r="FB151" s="442"/>
      <c r="FC151" s="477" t="s">
        <v>945</v>
      </c>
      <c r="FD151" s="477" t="s">
        <v>945</v>
      </c>
      <c r="FE151" s="477" t="s">
        <v>945</v>
      </c>
      <c r="FF151" s="477" t="s">
        <v>945</v>
      </c>
      <c r="FG151" s="487" t="str">
        <f>FF151</f>
        <v>-</v>
      </c>
      <c r="FH151" s="442"/>
      <c r="FI151" s="477" t="s">
        <v>945</v>
      </c>
      <c r="FJ151" s="477" t="s">
        <v>945</v>
      </c>
      <c r="FK151" s="477" t="s">
        <v>945</v>
      </c>
      <c r="FL151" s="477" t="s">
        <v>945</v>
      </c>
      <c r="FM151" s="487" t="str">
        <f>FL151</f>
        <v>-</v>
      </c>
      <c r="FN151" s="242"/>
      <c r="FO151" s="242"/>
      <c r="FP151" s="242"/>
      <c r="FQ151" s="242"/>
      <c r="FR151"/>
      <c r="FS151"/>
      <c r="FT151"/>
      <c r="FU151"/>
      <c r="FV151"/>
      <c r="FW151"/>
      <c r="FX151" s="135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</row>
    <row r="152" spans="1:274" s="24" customFormat="1" ht="10.5" customHeight="1" x14ac:dyDescent="0.2">
      <c r="A152" s="60" t="s">
        <v>513</v>
      </c>
      <c r="B152" s="476"/>
      <c r="C152" s="435"/>
      <c r="D152" s="435"/>
      <c r="E152" s="435"/>
      <c r="F152" s="435"/>
      <c r="G152" s="435"/>
      <c r="H152" s="435"/>
      <c r="I152" s="435"/>
      <c r="J152" s="435"/>
      <c r="K152" s="435"/>
      <c r="L152" s="435"/>
      <c r="M152" s="435"/>
      <c r="N152" s="276"/>
      <c r="O152" s="477"/>
      <c r="P152" s="477"/>
      <c r="Q152" s="477"/>
      <c r="R152" s="477"/>
      <c r="S152" s="59"/>
      <c r="T152" s="276"/>
      <c r="U152" s="435"/>
      <c r="V152" s="435"/>
      <c r="W152" s="435"/>
      <c r="X152" s="435"/>
      <c r="Y152" s="435"/>
      <c r="Z152" s="276"/>
      <c r="AA152" s="435"/>
      <c r="AB152" s="435"/>
      <c r="AC152" s="435"/>
      <c r="AD152" s="435"/>
      <c r="AE152" s="435"/>
      <c r="AF152" s="276"/>
      <c r="AG152" s="435"/>
      <c r="AH152" s="435"/>
      <c r="AI152" s="435"/>
      <c r="AJ152" s="435"/>
      <c r="AK152" s="435"/>
      <c r="AL152" s="276"/>
      <c r="AM152" s="435"/>
      <c r="AN152" s="435"/>
      <c r="AO152" s="435"/>
      <c r="AP152" s="435"/>
      <c r="AQ152" s="435"/>
      <c r="AR152" s="276"/>
      <c r="AS152" s="435"/>
      <c r="AT152" s="435"/>
      <c r="AU152" s="435"/>
      <c r="AV152" s="435"/>
      <c r="AW152" s="435"/>
      <c r="AX152" s="435"/>
      <c r="AY152" s="435"/>
      <c r="AZ152" s="435"/>
      <c r="BA152" s="435"/>
      <c r="BB152" s="435"/>
      <c r="BC152" s="435"/>
      <c r="BD152" s="276"/>
      <c r="BE152" s="435"/>
      <c r="BF152" s="435"/>
      <c r="BG152" s="435"/>
      <c r="BH152" s="60"/>
      <c r="BI152" s="435"/>
      <c r="BJ152" s="276"/>
      <c r="BK152" s="435"/>
      <c r="BL152" s="60"/>
      <c r="BM152" s="60"/>
      <c r="BN152" s="60"/>
      <c r="BO152" s="435"/>
      <c r="BP152" s="276"/>
      <c r="BQ152" s="60"/>
      <c r="BR152" s="59"/>
      <c r="BS152" s="59"/>
      <c r="BT152" s="435"/>
      <c r="BU152" s="59"/>
      <c r="BV152" s="276"/>
      <c r="BW152" s="59"/>
      <c r="BX152" s="59"/>
      <c r="BY152" s="59"/>
      <c r="BZ152" s="477"/>
      <c r="CA152" s="477"/>
      <c r="CB152" s="276"/>
      <c r="CC152" s="477"/>
      <c r="CD152" s="477"/>
      <c r="CE152" s="477"/>
      <c r="CF152" s="477"/>
      <c r="CG152" s="487"/>
      <c r="CH152" s="276"/>
      <c r="CI152" s="477"/>
      <c r="CJ152" s="477"/>
      <c r="CK152" s="477"/>
      <c r="CL152" s="477"/>
      <c r="CM152" s="487"/>
      <c r="CN152" s="276"/>
      <c r="CO152" s="477"/>
      <c r="CP152" s="477"/>
      <c r="CQ152" s="477"/>
      <c r="CR152" s="477"/>
      <c r="CS152" s="487"/>
      <c r="CT152" s="442"/>
      <c r="CU152" s="477"/>
      <c r="CV152" s="477"/>
      <c r="CW152" s="477"/>
      <c r="CX152" s="445"/>
      <c r="CY152" s="487"/>
      <c r="CZ152" s="442"/>
      <c r="DA152" s="477"/>
      <c r="DB152" s="477"/>
      <c r="DC152" s="477">
        <v>487</v>
      </c>
      <c r="DD152" s="477">
        <v>537</v>
      </c>
      <c r="DE152" s="487">
        <f>DD152</f>
        <v>537</v>
      </c>
      <c r="DF152" s="442"/>
      <c r="DG152" s="477">
        <v>563</v>
      </c>
      <c r="DH152" s="477">
        <v>535</v>
      </c>
      <c r="DI152" s="477">
        <v>501</v>
      </c>
      <c r="DJ152" s="477">
        <v>687</v>
      </c>
      <c r="DK152" s="487">
        <f>DJ152</f>
        <v>687</v>
      </c>
      <c r="DL152" s="442"/>
      <c r="DM152" s="477">
        <v>729</v>
      </c>
      <c r="DN152" s="477">
        <v>620</v>
      </c>
      <c r="DO152" s="477">
        <v>621</v>
      </c>
      <c r="DP152" s="477">
        <v>694</v>
      </c>
      <c r="DQ152" s="487">
        <f>DP152</f>
        <v>694</v>
      </c>
      <c r="DR152" s="442"/>
      <c r="DS152" s="477">
        <v>772</v>
      </c>
      <c r="DT152" s="477">
        <v>651</v>
      </c>
      <c r="DU152" s="477">
        <v>613</v>
      </c>
      <c r="DV152" s="477">
        <v>706</v>
      </c>
      <c r="DW152" s="487">
        <f t="shared" si="144"/>
        <v>706</v>
      </c>
      <c r="DX152" s="442"/>
      <c r="DY152" s="477">
        <v>783</v>
      </c>
      <c r="DZ152" s="477">
        <v>611</v>
      </c>
      <c r="EA152" s="477">
        <v>634</v>
      </c>
      <c r="EB152" s="477">
        <v>664</v>
      </c>
      <c r="EC152" s="487">
        <f t="shared" si="145"/>
        <v>664</v>
      </c>
      <c r="ED152" s="442"/>
      <c r="EE152" s="477">
        <v>738</v>
      </c>
      <c r="EF152" s="477">
        <v>621</v>
      </c>
      <c r="EG152" s="477">
        <v>514</v>
      </c>
      <c r="EH152" s="445">
        <v>703</v>
      </c>
      <c r="EI152" s="487">
        <f t="shared" si="146"/>
        <v>703</v>
      </c>
      <c r="EJ152" s="442"/>
      <c r="EK152" s="477">
        <v>764</v>
      </c>
      <c r="EL152" s="477">
        <v>628</v>
      </c>
      <c r="EM152" s="477">
        <v>618</v>
      </c>
      <c r="EN152" s="445">
        <v>675</v>
      </c>
      <c r="EO152" s="487">
        <f t="shared" si="147"/>
        <v>675</v>
      </c>
      <c r="EP152" s="442"/>
      <c r="EQ152" s="445">
        <v>750</v>
      </c>
      <c r="ER152" s="445">
        <v>605</v>
      </c>
      <c r="ES152" s="477">
        <v>595</v>
      </c>
      <c r="ET152" s="445">
        <v>640</v>
      </c>
      <c r="EU152" s="487">
        <f t="shared" si="148"/>
        <v>640</v>
      </c>
      <c r="EV152" s="442"/>
      <c r="EW152" s="445">
        <v>716</v>
      </c>
      <c r="EX152" s="1884"/>
      <c r="EY152" s="1884"/>
      <c r="EZ152" s="477"/>
      <c r="FA152" s="487"/>
      <c r="FB152" s="442"/>
      <c r="FC152" s="477"/>
      <c r="FD152" s="477"/>
      <c r="FE152" s="477"/>
      <c r="FF152" s="477"/>
      <c r="FG152" s="487"/>
      <c r="FH152" s="442"/>
      <c r="FI152" s="477"/>
      <c r="FJ152" s="477"/>
      <c r="FK152" s="477"/>
      <c r="FL152" s="477"/>
      <c r="FM152" s="487"/>
      <c r="FN152" s="242"/>
      <c r="FO152" s="242"/>
      <c r="FP152" s="242"/>
      <c r="FQ152" s="242"/>
      <c r="FR152"/>
      <c r="FS152"/>
      <c r="FT152"/>
      <c r="FU152"/>
      <c r="FV152"/>
      <c r="FW152"/>
      <c r="FX152" s="135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</row>
    <row r="153" spans="1:274" s="24" customFormat="1" ht="10.5" customHeight="1" x14ac:dyDescent="0.2">
      <c r="A153" s="60" t="s">
        <v>1087</v>
      </c>
      <c r="B153" s="476"/>
      <c r="C153" s="435" t="s">
        <v>945</v>
      </c>
      <c r="D153" s="435" t="s">
        <v>945</v>
      </c>
      <c r="E153" s="435" t="s">
        <v>945</v>
      </c>
      <c r="F153" s="435" t="s">
        <v>945</v>
      </c>
      <c r="G153" s="435" t="s">
        <v>945</v>
      </c>
      <c r="H153" s="435" t="s">
        <v>945</v>
      </c>
      <c r="I153" s="435" t="s">
        <v>945</v>
      </c>
      <c r="J153" s="435" t="s">
        <v>945</v>
      </c>
      <c r="K153" s="435" t="s">
        <v>945</v>
      </c>
      <c r="L153" s="435" t="s">
        <v>945</v>
      </c>
      <c r="M153" s="435" t="s">
        <v>945</v>
      </c>
      <c r="N153" s="276"/>
      <c r="O153" s="477" t="s">
        <v>945</v>
      </c>
      <c r="P153" s="477" t="s">
        <v>945</v>
      </c>
      <c r="Q153" s="477" t="s">
        <v>945</v>
      </c>
      <c r="R153" s="477" t="s">
        <v>945</v>
      </c>
      <c r="S153" s="59" t="str">
        <f>R153</f>
        <v>-</v>
      </c>
      <c r="T153" s="276"/>
      <c r="U153" s="435" t="s">
        <v>945</v>
      </c>
      <c r="V153" s="435" t="s">
        <v>945</v>
      </c>
      <c r="W153" s="435" t="s">
        <v>945</v>
      </c>
      <c r="X153" s="435" t="s">
        <v>945</v>
      </c>
      <c r="Y153" s="435" t="s">
        <v>945</v>
      </c>
      <c r="Z153" s="276"/>
      <c r="AA153" s="435" t="s">
        <v>945</v>
      </c>
      <c r="AB153" s="435" t="s">
        <v>945</v>
      </c>
      <c r="AC153" s="435" t="s">
        <v>945</v>
      </c>
      <c r="AD153" s="435" t="s">
        <v>945</v>
      </c>
      <c r="AE153" s="435" t="s">
        <v>945</v>
      </c>
      <c r="AF153" s="276"/>
      <c r="AG153" s="435" t="s">
        <v>945</v>
      </c>
      <c r="AH153" s="435" t="s">
        <v>945</v>
      </c>
      <c r="AI153" s="435" t="s">
        <v>945</v>
      </c>
      <c r="AJ153" s="435" t="s">
        <v>945</v>
      </c>
      <c r="AK153" s="435" t="s">
        <v>945</v>
      </c>
      <c r="AL153" s="276"/>
      <c r="AM153" s="435" t="s">
        <v>945</v>
      </c>
      <c r="AN153" s="435" t="s">
        <v>945</v>
      </c>
      <c r="AO153" s="435" t="s">
        <v>945</v>
      </c>
      <c r="AP153" s="435" t="s">
        <v>945</v>
      </c>
      <c r="AQ153" s="435" t="s">
        <v>945</v>
      </c>
      <c r="AR153" s="276"/>
      <c r="AS153" s="435" t="s">
        <v>945</v>
      </c>
      <c r="AT153" s="435" t="s">
        <v>945</v>
      </c>
      <c r="AU153" s="435" t="s">
        <v>945</v>
      </c>
      <c r="AV153" s="435" t="s">
        <v>945</v>
      </c>
      <c r="AW153" s="435" t="s">
        <v>945</v>
      </c>
      <c r="AX153" s="435"/>
      <c r="AY153" s="435" t="s">
        <v>945</v>
      </c>
      <c r="AZ153" s="435" t="s">
        <v>945</v>
      </c>
      <c r="BA153" s="435" t="s">
        <v>945</v>
      </c>
      <c r="BB153" s="435" t="s">
        <v>945</v>
      </c>
      <c r="BC153" s="435" t="s">
        <v>945</v>
      </c>
      <c r="BD153" s="276"/>
      <c r="BE153" s="435" t="s">
        <v>945</v>
      </c>
      <c r="BF153" s="435" t="s">
        <v>945</v>
      </c>
      <c r="BG153" s="435" t="s">
        <v>945</v>
      </c>
      <c r="BH153" s="60">
        <v>160</v>
      </c>
      <c r="BI153" s="435">
        <f>BH153</f>
        <v>160</v>
      </c>
      <c r="BJ153" s="276"/>
      <c r="BK153" s="435" t="s">
        <v>945</v>
      </c>
      <c r="BL153" s="60">
        <v>135</v>
      </c>
      <c r="BM153" s="60">
        <v>128</v>
      </c>
      <c r="BN153" s="60">
        <v>128</v>
      </c>
      <c r="BO153" s="435">
        <f>BN153</f>
        <v>128</v>
      </c>
      <c r="BP153" s="276"/>
      <c r="BQ153" s="60">
        <v>123</v>
      </c>
      <c r="BR153" s="59">
        <v>119</v>
      </c>
      <c r="BS153" s="59">
        <v>129</v>
      </c>
      <c r="BT153" s="435">
        <v>99</v>
      </c>
      <c r="BU153" s="59">
        <f>BT153</f>
        <v>99</v>
      </c>
      <c r="BV153" s="276"/>
      <c r="BW153" s="59">
        <v>94</v>
      </c>
      <c r="BX153" s="59">
        <v>91</v>
      </c>
      <c r="BY153" s="59">
        <v>205</v>
      </c>
      <c r="BZ153" s="477">
        <v>225</v>
      </c>
      <c r="CA153" s="477">
        <f>BZ153</f>
        <v>225</v>
      </c>
      <c r="CB153" s="276"/>
      <c r="CC153" s="477">
        <v>194</v>
      </c>
      <c r="CD153" s="477">
        <v>190</v>
      </c>
      <c r="CE153" s="477">
        <v>256</v>
      </c>
      <c r="CF153" s="477">
        <v>246</v>
      </c>
      <c r="CG153" s="487">
        <f>CF153</f>
        <v>246</v>
      </c>
      <c r="CH153" s="276"/>
      <c r="CI153" s="477">
        <v>245</v>
      </c>
      <c r="CJ153" s="477">
        <v>251</v>
      </c>
      <c r="CK153" s="477">
        <v>268</v>
      </c>
      <c r="CL153" s="477">
        <v>279</v>
      </c>
      <c r="CM153" s="487">
        <f>CL153</f>
        <v>279</v>
      </c>
      <c r="CN153" s="276"/>
      <c r="CO153" s="477">
        <v>287</v>
      </c>
      <c r="CP153" s="477">
        <v>301</v>
      </c>
      <c r="CQ153" s="477">
        <v>336</v>
      </c>
      <c r="CR153" s="477">
        <v>333</v>
      </c>
      <c r="CS153" s="487">
        <f>CR153</f>
        <v>333</v>
      </c>
      <c r="CT153" s="442"/>
      <c r="CU153" s="477">
        <v>315</v>
      </c>
      <c r="CV153" s="477">
        <v>266</v>
      </c>
      <c r="CW153" s="477">
        <v>261</v>
      </c>
      <c r="CX153" s="445">
        <v>243</v>
      </c>
      <c r="CY153" s="487">
        <f>CX153</f>
        <v>243</v>
      </c>
      <c r="CZ153" s="442"/>
      <c r="DA153" s="477">
        <v>245</v>
      </c>
      <c r="DB153" s="477">
        <v>214</v>
      </c>
      <c r="DC153" s="477">
        <v>351</v>
      </c>
      <c r="DD153" s="477">
        <v>376</v>
      </c>
      <c r="DE153" s="487">
        <f>DD153</f>
        <v>376</v>
      </c>
      <c r="DF153" s="442"/>
      <c r="DG153" s="477">
        <v>407</v>
      </c>
      <c r="DH153" s="477">
        <v>379</v>
      </c>
      <c r="DI153" s="477">
        <v>419</v>
      </c>
      <c r="DJ153" s="477">
        <v>438</v>
      </c>
      <c r="DK153" s="487">
        <f>DJ153</f>
        <v>438</v>
      </c>
      <c r="DL153" s="442"/>
      <c r="DM153" s="477">
        <v>410</v>
      </c>
      <c r="DN153" s="477">
        <v>370</v>
      </c>
      <c r="DO153" s="477">
        <v>387</v>
      </c>
      <c r="DP153" s="477">
        <v>403</v>
      </c>
      <c r="DQ153" s="487">
        <f>DP153</f>
        <v>403</v>
      </c>
      <c r="DR153" s="442"/>
      <c r="DS153" s="477">
        <v>414</v>
      </c>
      <c r="DT153" s="477">
        <v>335</v>
      </c>
      <c r="DU153" s="477">
        <v>348</v>
      </c>
      <c r="DV153" s="477">
        <f>DV29-DV151-DV152-DV156</f>
        <v>355</v>
      </c>
      <c r="DW153" s="487">
        <f t="shared" si="144"/>
        <v>355</v>
      </c>
      <c r="DX153" s="442"/>
      <c r="DY153" s="477">
        <v>390</v>
      </c>
      <c r="DZ153" s="477">
        <v>337</v>
      </c>
      <c r="EA153" s="477">
        <f>EA29-EA151-EA152-EA156</f>
        <v>366</v>
      </c>
      <c r="EB153" s="477">
        <v>364</v>
      </c>
      <c r="EC153" s="487">
        <f t="shared" si="145"/>
        <v>364</v>
      </c>
      <c r="ED153" s="442"/>
      <c r="EE153" s="477">
        <v>376</v>
      </c>
      <c r="EF153" s="477">
        <v>340</v>
      </c>
      <c r="EG153" s="477">
        <v>316</v>
      </c>
      <c r="EH153" s="445">
        <v>379</v>
      </c>
      <c r="EI153" s="487">
        <f t="shared" si="146"/>
        <v>379</v>
      </c>
      <c r="EJ153" s="442"/>
      <c r="EK153" s="477">
        <v>380</v>
      </c>
      <c r="EL153" s="477">
        <v>339</v>
      </c>
      <c r="EM153" s="477">
        <v>322</v>
      </c>
      <c r="EN153" s="445">
        <v>339</v>
      </c>
      <c r="EO153" s="487">
        <f t="shared" si="147"/>
        <v>339</v>
      </c>
      <c r="EP153" s="442"/>
      <c r="EQ153" s="445">
        <v>370</v>
      </c>
      <c r="ER153" s="445">
        <v>350</v>
      </c>
      <c r="ES153" s="477">
        <v>366</v>
      </c>
      <c r="ET153" s="445">
        <v>382</v>
      </c>
      <c r="EU153" s="487">
        <f t="shared" si="148"/>
        <v>382</v>
      </c>
      <c r="EV153" s="442"/>
      <c r="EW153" s="445">
        <v>407</v>
      </c>
      <c r="EX153" s="1884"/>
      <c r="EY153" s="1884"/>
      <c r="EZ153" s="477" t="s">
        <v>945</v>
      </c>
      <c r="FA153" s="487" t="str">
        <f>EZ153</f>
        <v>-</v>
      </c>
      <c r="FB153" s="442"/>
      <c r="FC153" s="477" t="s">
        <v>945</v>
      </c>
      <c r="FD153" s="477" t="s">
        <v>945</v>
      </c>
      <c r="FE153" s="477" t="s">
        <v>945</v>
      </c>
      <c r="FF153" s="477" t="s">
        <v>945</v>
      </c>
      <c r="FG153" s="487" t="str">
        <f>FF153</f>
        <v>-</v>
      </c>
      <c r="FH153" s="442"/>
      <c r="FI153" s="477" t="s">
        <v>945</v>
      </c>
      <c r="FJ153" s="477" t="s">
        <v>945</v>
      </c>
      <c r="FK153" s="477" t="s">
        <v>945</v>
      </c>
      <c r="FL153" s="477" t="s">
        <v>945</v>
      </c>
      <c r="FM153" s="487" t="str">
        <f>FL153</f>
        <v>-</v>
      </c>
      <c r="FN153" s="242"/>
      <c r="FO153" s="242"/>
      <c r="FP153" s="242"/>
      <c r="FQ153" s="242"/>
      <c r="FR153"/>
      <c r="FS153"/>
      <c r="FT153"/>
      <c r="FU153"/>
      <c r="FV153"/>
      <c r="FW153"/>
      <c r="FX153" s="3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</row>
    <row r="154" spans="1:274" s="24" customFormat="1" ht="10.5" customHeight="1" x14ac:dyDescent="0.2">
      <c r="A154" s="60" t="s">
        <v>1115</v>
      </c>
      <c r="B154" s="476"/>
      <c r="C154" s="435"/>
      <c r="D154" s="435"/>
      <c r="E154" s="435"/>
      <c r="F154" s="435"/>
      <c r="G154" s="435"/>
      <c r="H154" s="435"/>
      <c r="I154" s="435"/>
      <c r="J154" s="435"/>
      <c r="K154" s="435"/>
      <c r="L154" s="435"/>
      <c r="M154" s="435"/>
      <c r="N154" s="276"/>
      <c r="O154" s="477"/>
      <c r="P154" s="477"/>
      <c r="Q154" s="477"/>
      <c r="R154" s="477"/>
      <c r="S154" s="59"/>
      <c r="T154" s="276"/>
      <c r="U154" s="435"/>
      <c r="V154" s="435"/>
      <c r="W154" s="435"/>
      <c r="X154" s="435"/>
      <c r="Y154" s="435"/>
      <c r="Z154" s="276"/>
      <c r="AA154" s="435"/>
      <c r="AB154" s="435"/>
      <c r="AC154" s="435"/>
      <c r="AD154" s="435"/>
      <c r="AE154" s="435"/>
      <c r="AF154" s="276"/>
      <c r="AG154" s="435"/>
      <c r="AH154" s="435"/>
      <c r="AI154" s="435"/>
      <c r="AJ154" s="435"/>
      <c r="AK154" s="435"/>
      <c r="AL154" s="276"/>
      <c r="AM154" s="435"/>
      <c r="AN154" s="435"/>
      <c r="AO154" s="435"/>
      <c r="AP154" s="435"/>
      <c r="AQ154" s="435"/>
      <c r="AR154" s="276"/>
      <c r="AS154" s="435"/>
      <c r="AT154" s="435"/>
      <c r="AU154" s="435"/>
      <c r="AV154" s="435"/>
      <c r="AW154" s="435"/>
      <c r="AX154" s="435"/>
      <c r="AY154" s="435"/>
      <c r="AZ154" s="435"/>
      <c r="BA154" s="435"/>
      <c r="BB154" s="435"/>
      <c r="BC154" s="435"/>
      <c r="BD154" s="276"/>
      <c r="BE154" s="435"/>
      <c r="BF154" s="435"/>
      <c r="BG154" s="435"/>
      <c r="BH154" s="60"/>
      <c r="BI154" s="435"/>
      <c r="BJ154" s="276"/>
      <c r="BK154" s="435"/>
      <c r="BL154" s="60"/>
      <c r="BM154" s="60"/>
      <c r="BN154" s="60"/>
      <c r="BO154" s="435"/>
      <c r="BP154" s="276"/>
      <c r="BQ154" s="60"/>
      <c r="BR154" s="59"/>
      <c r="BS154" s="59"/>
      <c r="BT154" s="435"/>
      <c r="BU154" s="59"/>
      <c r="BV154" s="276"/>
      <c r="BW154" s="59"/>
      <c r="BX154" s="59"/>
      <c r="BY154" s="59"/>
      <c r="BZ154" s="477"/>
      <c r="CA154" s="477"/>
      <c r="CB154" s="276"/>
      <c r="CC154" s="477"/>
      <c r="CD154" s="477"/>
      <c r="CE154" s="477"/>
      <c r="CF154" s="477"/>
      <c r="CG154" s="487"/>
      <c r="CH154" s="276"/>
      <c r="CI154" s="477"/>
      <c r="CJ154" s="477"/>
      <c r="CK154" s="477"/>
      <c r="CL154" s="477"/>
      <c r="CM154" s="487"/>
      <c r="CN154" s="276"/>
      <c r="CO154" s="477"/>
      <c r="CP154" s="477"/>
      <c r="CQ154" s="477"/>
      <c r="CR154" s="477"/>
      <c r="CS154" s="487"/>
      <c r="CT154" s="442"/>
      <c r="CU154" s="477"/>
      <c r="CV154" s="477"/>
      <c r="CW154" s="477"/>
      <c r="CX154" s="445"/>
      <c r="CY154" s="487"/>
      <c r="CZ154" s="442"/>
      <c r="DA154" s="477"/>
      <c r="DB154" s="477"/>
      <c r="DC154" s="477"/>
      <c r="DD154" s="477"/>
      <c r="DE154" s="487"/>
      <c r="DF154" s="442"/>
      <c r="DG154" s="477"/>
      <c r="DH154" s="477"/>
      <c r="DI154" s="477"/>
      <c r="DJ154" s="477"/>
      <c r="DK154" s="487"/>
      <c r="DL154" s="442"/>
      <c r="DM154" s="477"/>
      <c r="DN154" s="477"/>
      <c r="DO154" s="477"/>
      <c r="DP154" s="477"/>
      <c r="DQ154" s="487"/>
      <c r="DR154" s="442"/>
      <c r="DS154" s="477"/>
      <c r="DT154" s="477"/>
      <c r="DU154" s="477"/>
      <c r="DV154" s="477">
        <v>223</v>
      </c>
      <c r="DW154" s="487">
        <f t="shared" si="144"/>
        <v>223</v>
      </c>
      <c r="DX154" s="442"/>
      <c r="DY154" s="477"/>
      <c r="DZ154" s="477"/>
      <c r="EA154" s="477">
        <v>218</v>
      </c>
      <c r="EB154" s="477">
        <v>248</v>
      </c>
      <c r="EC154" s="487">
        <f t="shared" si="145"/>
        <v>248</v>
      </c>
      <c r="ED154" s="442"/>
      <c r="EE154" s="477">
        <v>249</v>
      </c>
      <c r="EF154" s="477">
        <v>242</v>
      </c>
      <c r="EG154" s="477">
        <v>321</v>
      </c>
      <c r="EH154" s="445">
        <v>404</v>
      </c>
      <c r="EI154" s="487">
        <f t="shared" si="146"/>
        <v>404</v>
      </c>
      <c r="EJ154" s="442"/>
      <c r="EK154" s="477">
        <v>512</v>
      </c>
      <c r="EL154" s="477">
        <v>562</v>
      </c>
      <c r="EM154" s="477">
        <v>642</v>
      </c>
      <c r="EN154" s="445">
        <v>705</v>
      </c>
      <c r="EO154" s="487">
        <f t="shared" si="147"/>
        <v>705</v>
      </c>
      <c r="EP154" s="442"/>
      <c r="EQ154" s="445">
        <v>909</v>
      </c>
      <c r="ER154" s="445">
        <v>954</v>
      </c>
      <c r="ES154" s="477">
        <v>1169</v>
      </c>
      <c r="ET154" s="445">
        <v>1192</v>
      </c>
      <c r="EU154" s="487">
        <f t="shared" si="148"/>
        <v>1192</v>
      </c>
      <c r="EV154" s="442"/>
      <c r="EW154" s="445">
        <v>1397</v>
      </c>
      <c r="EX154" s="1884">
        <f>+EW154-125</f>
        <v>1272</v>
      </c>
      <c r="EY154" s="1884"/>
      <c r="EZ154" s="477"/>
      <c r="FA154" s="487"/>
      <c r="FB154" s="442"/>
      <c r="FC154" s="477"/>
      <c r="FD154" s="477"/>
      <c r="FE154" s="477"/>
      <c r="FF154" s="477"/>
      <c r="FG154" s="487"/>
      <c r="FH154" s="442"/>
      <c r="FI154" s="477"/>
      <c r="FJ154" s="477"/>
      <c r="FK154" s="477"/>
      <c r="FL154" s="477"/>
      <c r="FM154" s="487"/>
      <c r="FN154" s="242"/>
      <c r="FO154" s="242"/>
      <c r="FP154" s="242"/>
      <c r="FQ154" s="242"/>
      <c r="FR154"/>
      <c r="FS154"/>
      <c r="FT154"/>
      <c r="FU154"/>
      <c r="FV154"/>
      <c r="FW154"/>
      <c r="FX154" s="33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</row>
    <row r="155" spans="1:274" s="24" customFormat="1" ht="10.5" customHeight="1" x14ac:dyDescent="0.2">
      <c r="A155" s="60" t="s">
        <v>1116</v>
      </c>
      <c r="B155" s="476"/>
      <c r="C155" s="435"/>
      <c r="D155" s="435"/>
      <c r="E155" s="435"/>
      <c r="F155" s="435"/>
      <c r="G155" s="435"/>
      <c r="H155" s="435"/>
      <c r="I155" s="435"/>
      <c r="J155" s="435"/>
      <c r="K155" s="435"/>
      <c r="L155" s="435"/>
      <c r="M155" s="435"/>
      <c r="N155" s="276"/>
      <c r="O155" s="477"/>
      <c r="P155" s="477"/>
      <c r="Q155" s="477"/>
      <c r="R155" s="477"/>
      <c r="S155" s="59"/>
      <c r="T155" s="276"/>
      <c r="U155" s="435"/>
      <c r="V155" s="435"/>
      <c r="W155" s="435"/>
      <c r="X155" s="435"/>
      <c r="Y155" s="435"/>
      <c r="Z155" s="276"/>
      <c r="AA155" s="435"/>
      <c r="AB155" s="435"/>
      <c r="AC155" s="435"/>
      <c r="AD155" s="435"/>
      <c r="AE155" s="435"/>
      <c r="AF155" s="276"/>
      <c r="AG155" s="435"/>
      <c r="AH155" s="435"/>
      <c r="AI155" s="435"/>
      <c r="AJ155" s="435"/>
      <c r="AK155" s="435"/>
      <c r="AL155" s="276"/>
      <c r="AM155" s="435"/>
      <c r="AN155" s="435"/>
      <c r="AO155" s="435"/>
      <c r="AP155" s="435"/>
      <c r="AQ155" s="435"/>
      <c r="AR155" s="276"/>
      <c r="AS155" s="435"/>
      <c r="AT155" s="435"/>
      <c r="AU155" s="435"/>
      <c r="AV155" s="435"/>
      <c r="AW155" s="435"/>
      <c r="AX155" s="435"/>
      <c r="AY155" s="435"/>
      <c r="AZ155" s="435"/>
      <c r="BA155" s="435"/>
      <c r="BB155" s="435"/>
      <c r="BC155" s="435"/>
      <c r="BD155" s="276"/>
      <c r="BE155" s="435"/>
      <c r="BF155" s="435"/>
      <c r="BG155" s="435"/>
      <c r="BH155" s="60"/>
      <c r="BI155" s="435"/>
      <c r="BJ155" s="276"/>
      <c r="BK155" s="435"/>
      <c r="BL155" s="60"/>
      <c r="BM155" s="60"/>
      <c r="BN155" s="60"/>
      <c r="BO155" s="435"/>
      <c r="BP155" s="276"/>
      <c r="BQ155" s="60"/>
      <c r="BR155" s="59"/>
      <c r="BS155" s="59"/>
      <c r="BT155" s="435"/>
      <c r="BU155" s="59"/>
      <c r="BV155" s="276"/>
      <c r="BW155" s="59"/>
      <c r="BX155" s="59"/>
      <c r="BY155" s="59"/>
      <c r="BZ155" s="477"/>
      <c r="CA155" s="477"/>
      <c r="CB155" s="276"/>
      <c r="CC155" s="477"/>
      <c r="CD155" s="477"/>
      <c r="CE155" s="477"/>
      <c r="CF155" s="477"/>
      <c r="CG155" s="487"/>
      <c r="CH155" s="276"/>
      <c r="CI155" s="477"/>
      <c r="CJ155" s="477"/>
      <c r="CK155" s="477"/>
      <c r="CL155" s="477"/>
      <c r="CM155" s="487"/>
      <c r="CN155" s="276"/>
      <c r="CO155" s="477"/>
      <c r="CP155" s="477"/>
      <c r="CQ155" s="477"/>
      <c r="CR155" s="477"/>
      <c r="CS155" s="487"/>
      <c r="CT155" s="442"/>
      <c r="CU155" s="477"/>
      <c r="CV155" s="477"/>
      <c r="CW155" s="477"/>
      <c r="CX155" s="445"/>
      <c r="CY155" s="487"/>
      <c r="CZ155" s="442"/>
      <c r="DA155" s="477"/>
      <c r="DB155" s="477"/>
      <c r="DC155" s="477"/>
      <c r="DD155" s="477"/>
      <c r="DE155" s="487"/>
      <c r="DF155" s="442"/>
      <c r="DG155" s="477"/>
      <c r="DH155" s="477"/>
      <c r="DI155" s="477"/>
      <c r="DJ155" s="477"/>
      <c r="DK155" s="487"/>
      <c r="DL155" s="442"/>
      <c r="DM155" s="477"/>
      <c r="DN155" s="477"/>
      <c r="DO155" s="477"/>
      <c r="DP155" s="477"/>
      <c r="DQ155" s="487"/>
      <c r="DR155" s="442"/>
      <c r="DS155" s="477"/>
      <c r="DT155" s="477"/>
      <c r="DU155" s="477"/>
      <c r="DV155" s="477">
        <v>129</v>
      </c>
      <c r="DW155" s="487">
        <f t="shared" si="144"/>
        <v>129</v>
      </c>
      <c r="DX155" s="442"/>
      <c r="DY155" s="477"/>
      <c r="DZ155" s="477"/>
      <c r="EA155" s="477"/>
      <c r="EB155" s="477">
        <v>84</v>
      </c>
      <c r="EC155" s="487">
        <f t="shared" si="145"/>
        <v>84</v>
      </c>
      <c r="ED155" s="442"/>
      <c r="EE155" s="477">
        <v>78</v>
      </c>
      <c r="EF155" s="477">
        <v>93</v>
      </c>
      <c r="EG155" s="477">
        <v>104</v>
      </c>
      <c r="EH155" s="445">
        <v>124</v>
      </c>
      <c r="EI155" s="487">
        <f t="shared" si="146"/>
        <v>124</v>
      </c>
      <c r="EJ155" s="442"/>
      <c r="EK155" s="477">
        <v>135</v>
      </c>
      <c r="EL155" s="477">
        <v>87</v>
      </c>
      <c r="EM155" s="477">
        <v>91</v>
      </c>
      <c r="EN155" s="445">
        <v>72</v>
      </c>
      <c r="EO155" s="487">
        <f t="shared" si="147"/>
        <v>72</v>
      </c>
      <c r="EP155" s="442"/>
      <c r="EQ155" s="445">
        <v>66</v>
      </c>
      <c r="ER155" s="445">
        <v>56</v>
      </c>
      <c r="ES155" s="477">
        <v>95</v>
      </c>
      <c r="ET155" s="445">
        <v>67</v>
      </c>
      <c r="EU155" s="487">
        <f t="shared" si="148"/>
        <v>67</v>
      </c>
      <c r="EV155" s="442"/>
      <c r="EW155" s="445">
        <v>59</v>
      </c>
      <c r="EX155" s="1884"/>
      <c r="EY155" s="1884"/>
      <c r="EZ155" s="477"/>
      <c r="FA155" s="487"/>
      <c r="FB155" s="442"/>
      <c r="FC155" s="477"/>
      <c r="FD155" s="477"/>
      <c r="FE155" s="477"/>
      <c r="FF155" s="477"/>
      <c r="FG155" s="487"/>
      <c r="FH155" s="442"/>
      <c r="FI155" s="477"/>
      <c r="FJ155" s="477"/>
      <c r="FK155" s="477"/>
      <c r="FL155" s="477"/>
      <c r="FM155" s="487"/>
      <c r="FN155" s="242"/>
      <c r="FO155" s="242"/>
      <c r="FP155" s="242"/>
      <c r="FQ155" s="242"/>
      <c r="FR155"/>
      <c r="FS155"/>
      <c r="FT155"/>
      <c r="FU155"/>
      <c r="FV155"/>
      <c r="FW155"/>
      <c r="FX155" s="33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</row>
    <row r="156" spans="1:274" s="24" customFormat="1" ht="10.5" customHeight="1" x14ac:dyDescent="0.2">
      <c r="A156" s="1675" t="s">
        <v>1123</v>
      </c>
      <c r="B156" s="476"/>
      <c r="C156" s="435" t="s">
        <v>945</v>
      </c>
      <c r="D156" s="435" t="s">
        <v>945</v>
      </c>
      <c r="E156" s="435" t="s">
        <v>945</v>
      </c>
      <c r="F156" s="435" t="s">
        <v>945</v>
      </c>
      <c r="G156" s="435" t="s">
        <v>945</v>
      </c>
      <c r="H156" s="435" t="s">
        <v>945</v>
      </c>
      <c r="I156" s="435" t="s">
        <v>945</v>
      </c>
      <c r="J156" s="435" t="s">
        <v>945</v>
      </c>
      <c r="K156" s="435" t="s">
        <v>945</v>
      </c>
      <c r="L156" s="435" t="s">
        <v>945</v>
      </c>
      <c r="M156" s="435" t="s">
        <v>945</v>
      </c>
      <c r="N156" s="276"/>
      <c r="O156" s="477" t="s">
        <v>945</v>
      </c>
      <c r="P156" s="477" t="s">
        <v>945</v>
      </c>
      <c r="Q156" s="477" t="s">
        <v>945</v>
      </c>
      <c r="R156" s="477" t="s">
        <v>945</v>
      </c>
      <c r="S156" s="59" t="str">
        <f>R156</f>
        <v>-</v>
      </c>
      <c r="T156" s="276"/>
      <c r="U156" s="435" t="s">
        <v>945</v>
      </c>
      <c r="V156" s="435" t="s">
        <v>945</v>
      </c>
      <c r="W156" s="435" t="s">
        <v>945</v>
      </c>
      <c r="X156" s="435" t="s">
        <v>945</v>
      </c>
      <c r="Y156" s="435" t="s">
        <v>945</v>
      </c>
      <c r="Z156" s="276"/>
      <c r="AA156" s="435" t="s">
        <v>945</v>
      </c>
      <c r="AB156" s="435" t="s">
        <v>945</v>
      </c>
      <c r="AC156" s="435" t="s">
        <v>945</v>
      </c>
      <c r="AD156" s="435" t="s">
        <v>945</v>
      </c>
      <c r="AE156" s="435" t="s">
        <v>945</v>
      </c>
      <c r="AF156" s="276"/>
      <c r="AG156" s="435" t="s">
        <v>945</v>
      </c>
      <c r="AH156" s="435" t="s">
        <v>945</v>
      </c>
      <c r="AI156" s="435" t="s">
        <v>945</v>
      </c>
      <c r="AJ156" s="435" t="s">
        <v>945</v>
      </c>
      <c r="AK156" s="435" t="s">
        <v>945</v>
      </c>
      <c r="AL156" s="276"/>
      <c r="AM156" s="435" t="s">
        <v>945</v>
      </c>
      <c r="AN156" s="435" t="s">
        <v>945</v>
      </c>
      <c r="AO156" s="435" t="s">
        <v>945</v>
      </c>
      <c r="AP156" s="435" t="s">
        <v>945</v>
      </c>
      <c r="AQ156" s="435" t="s">
        <v>945</v>
      </c>
      <c r="AR156" s="276"/>
      <c r="AS156" s="435" t="s">
        <v>945</v>
      </c>
      <c r="AT156" s="435" t="s">
        <v>945</v>
      </c>
      <c r="AU156" s="435" t="s">
        <v>945</v>
      </c>
      <c r="AV156" s="435" t="s">
        <v>945</v>
      </c>
      <c r="AW156" s="435" t="s">
        <v>945</v>
      </c>
      <c r="AX156" s="435"/>
      <c r="AY156" s="435" t="s">
        <v>945</v>
      </c>
      <c r="AZ156" s="435" t="s">
        <v>945</v>
      </c>
      <c r="BA156" s="435" t="s">
        <v>945</v>
      </c>
      <c r="BB156" s="435" t="s">
        <v>945</v>
      </c>
      <c r="BC156" s="435" t="s">
        <v>945</v>
      </c>
      <c r="BD156" s="276"/>
      <c r="BE156" s="435" t="s">
        <v>945</v>
      </c>
      <c r="BF156" s="435" t="s">
        <v>945</v>
      </c>
      <c r="BG156" s="435" t="s">
        <v>945</v>
      </c>
      <c r="BH156" s="60">
        <v>130</v>
      </c>
      <c r="BI156" s="435">
        <f>BH156</f>
        <v>130</v>
      </c>
      <c r="BJ156" s="276"/>
      <c r="BK156" s="435" t="s">
        <v>945</v>
      </c>
      <c r="BL156" s="60">
        <v>122</v>
      </c>
      <c r="BM156" s="60">
        <v>113</v>
      </c>
      <c r="BN156" s="60">
        <v>113</v>
      </c>
      <c r="BO156" s="435">
        <f>BN156</f>
        <v>113</v>
      </c>
      <c r="BP156" s="276"/>
      <c r="BQ156" s="60">
        <v>113</v>
      </c>
      <c r="BR156" s="59">
        <v>99</v>
      </c>
      <c r="BS156" s="59">
        <v>90</v>
      </c>
      <c r="BT156" s="435">
        <v>69</v>
      </c>
      <c r="BU156" s="59">
        <f>BT156</f>
        <v>69</v>
      </c>
      <c r="BV156" s="276"/>
      <c r="BW156" s="59">
        <v>73</v>
      </c>
      <c r="BX156" s="59">
        <v>69</v>
      </c>
      <c r="BY156" s="59">
        <v>92</v>
      </c>
      <c r="BZ156" s="477">
        <v>79</v>
      </c>
      <c r="CA156" s="477">
        <f>BZ156</f>
        <v>79</v>
      </c>
      <c r="CB156" s="276"/>
      <c r="CC156" s="477">
        <v>70</v>
      </c>
      <c r="CD156" s="477">
        <v>67</v>
      </c>
      <c r="CE156" s="477">
        <v>93</v>
      </c>
      <c r="CF156" s="477">
        <v>83</v>
      </c>
      <c r="CG156" s="487">
        <f>CF156</f>
        <v>83</v>
      </c>
      <c r="CH156" s="276"/>
      <c r="CI156" s="477">
        <v>111</v>
      </c>
      <c r="CJ156" s="477">
        <v>121</v>
      </c>
      <c r="CK156" s="477">
        <v>104</v>
      </c>
      <c r="CL156" s="477">
        <v>134</v>
      </c>
      <c r="CM156" s="487">
        <f>CL156</f>
        <v>134</v>
      </c>
      <c r="CN156" s="276"/>
      <c r="CO156" s="477">
        <v>152</v>
      </c>
      <c r="CP156" s="477">
        <v>179</v>
      </c>
      <c r="CQ156" s="477">
        <v>207</v>
      </c>
      <c r="CR156" s="477">
        <v>220</v>
      </c>
      <c r="CS156" s="487">
        <f>CR156</f>
        <v>220</v>
      </c>
      <c r="CT156" s="442"/>
      <c r="CU156" s="477">
        <v>216</v>
      </c>
      <c r="CV156" s="477">
        <v>165</v>
      </c>
      <c r="CW156" s="477">
        <v>182</v>
      </c>
      <c r="CX156" s="445">
        <v>191</v>
      </c>
      <c r="CY156" s="487">
        <f>CX156</f>
        <v>191</v>
      </c>
      <c r="CZ156" s="442"/>
      <c r="DA156" s="477">
        <v>198</v>
      </c>
      <c r="DB156" s="477">
        <v>195</v>
      </c>
      <c r="DC156" s="477">
        <v>354</v>
      </c>
      <c r="DD156" s="477">
        <v>330</v>
      </c>
      <c r="DE156" s="487">
        <f>DD156</f>
        <v>330</v>
      </c>
      <c r="DF156" s="442"/>
      <c r="DG156" s="477">
        <v>353</v>
      </c>
      <c r="DH156" s="477">
        <v>325</v>
      </c>
      <c r="DI156" s="477">
        <v>351</v>
      </c>
      <c r="DJ156" s="477">
        <v>263</v>
      </c>
      <c r="DK156" s="487">
        <f>DJ156</f>
        <v>263</v>
      </c>
      <c r="DL156" s="442"/>
      <c r="DM156" s="477">
        <v>263</v>
      </c>
      <c r="DN156" s="477">
        <v>294</v>
      </c>
      <c r="DO156" s="477">
        <v>344</v>
      </c>
      <c r="DP156" s="477">
        <v>353</v>
      </c>
      <c r="DQ156" s="487">
        <f>DP156</f>
        <v>353</v>
      </c>
      <c r="DR156" s="442"/>
      <c r="DS156" s="477">
        <v>331</v>
      </c>
      <c r="DT156" s="477">
        <v>334</v>
      </c>
      <c r="DU156" s="477">
        <v>336</v>
      </c>
      <c r="DV156" s="477">
        <f>SUM(DV154:DV155)</f>
        <v>352</v>
      </c>
      <c r="DW156" s="487">
        <f t="shared" si="144"/>
        <v>352</v>
      </c>
      <c r="DX156" s="442"/>
      <c r="DY156" s="477">
        <v>278</v>
      </c>
      <c r="DZ156" s="477">
        <v>304</v>
      </c>
      <c r="EA156" s="477">
        <v>255</v>
      </c>
      <c r="EB156" s="477">
        <f>SUM(EB154:EB155)</f>
        <v>332</v>
      </c>
      <c r="EC156" s="487">
        <f t="shared" si="145"/>
        <v>332</v>
      </c>
      <c r="ED156" s="442"/>
      <c r="EE156" s="477">
        <f>SUM(EE154:EE155)</f>
        <v>327</v>
      </c>
      <c r="EF156" s="477">
        <f>SUM(EF154:EF155)</f>
        <v>335</v>
      </c>
      <c r="EG156" s="477">
        <f>SUM(EG154:EG155)</f>
        <v>425</v>
      </c>
      <c r="EH156" s="445">
        <f>SUM(EH154:EH155)</f>
        <v>528</v>
      </c>
      <c r="EI156" s="487">
        <f t="shared" si="146"/>
        <v>528</v>
      </c>
      <c r="EJ156" s="442"/>
      <c r="EK156" s="477">
        <f>SUM(EK154:EK155)</f>
        <v>647</v>
      </c>
      <c r="EL156" s="477">
        <f>SUM(EL154:EL155)</f>
        <v>649</v>
      </c>
      <c r="EM156" s="477">
        <f>SUM(EM154:EM155)</f>
        <v>733</v>
      </c>
      <c r="EN156" s="445">
        <f>SUM(EN154:EN155)</f>
        <v>777</v>
      </c>
      <c r="EO156" s="487">
        <f t="shared" si="147"/>
        <v>777</v>
      </c>
      <c r="EP156" s="442"/>
      <c r="EQ156" s="445">
        <f>SUM(EQ154:EQ155)</f>
        <v>975</v>
      </c>
      <c r="ER156" s="445">
        <f>SUM(ER154:ER155)</f>
        <v>1010</v>
      </c>
      <c r="ES156" s="445">
        <f>SUM(ES154:ES155)</f>
        <v>1264</v>
      </c>
      <c r="ET156" s="445">
        <f>SUM(ET154:ET155)</f>
        <v>1259</v>
      </c>
      <c r="EU156" s="487">
        <f t="shared" si="148"/>
        <v>1259</v>
      </c>
      <c r="EV156" s="442"/>
      <c r="EW156" s="445">
        <f>SUM(EW154:EW155)</f>
        <v>1456</v>
      </c>
      <c r="EX156" s="1884">
        <f>SUM(EX154:EX155)</f>
        <v>1272</v>
      </c>
      <c r="EY156" s="1884">
        <f>SUM(EY154:EY155)</f>
        <v>0</v>
      </c>
      <c r="EZ156" s="477" t="s">
        <v>945</v>
      </c>
      <c r="FA156" s="487" t="str">
        <f>EZ156</f>
        <v>-</v>
      </c>
      <c r="FB156" s="442"/>
      <c r="FC156" s="477" t="s">
        <v>945</v>
      </c>
      <c r="FD156" s="477" t="s">
        <v>945</v>
      </c>
      <c r="FE156" s="477" t="s">
        <v>945</v>
      </c>
      <c r="FF156" s="477" t="s">
        <v>945</v>
      </c>
      <c r="FG156" s="487" t="str">
        <f>FF156</f>
        <v>-</v>
      </c>
      <c r="FH156" s="442"/>
      <c r="FI156" s="477" t="s">
        <v>945</v>
      </c>
      <c r="FJ156" s="477" t="s">
        <v>945</v>
      </c>
      <c r="FK156" s="477" t="s">
        <v>945</v>
      </c>
      <c r="FL156" s="477" t="s">
        <v>945</v>
      </c>
      <c r="FM156" s="487" t="str">
        <f>FL156</f>
        <v>-</v>
      </c>
      <c r="FN156" s="242"/>
      <c r="FO156" s="242"/>
      <c r="FP156" s="242"/>
      <c r="FQ156" s="242"/>
      <c r="FR156"/>
      <c r="FS156"/>
      <c r="FT156"/>
      <c r="FU156"/>
      <c r="FV156"/>
      <c r="FW156"/>
      <c r="FX156" s="135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</row>
    <row r="157" spans="1:274" s="24" customFormat="1" ht="10.5" customHeight="1" x14ac:dyDescent="0.2">
      <c r="A157" s="846" t="s">
        <v>1122</v>
      </c>
      <c r="B157" s="476"/>
      <c r="C157" s="435"/>
      <c r="D157" s="435"/>
      <c r="E157" s="435"/>
      <c r="F157" s="435"/>
      <c r="G157" s="435"/>
      <c r="H157" s="435"/>
      <c r="I157" s="435"/>
      <c r="J157" s="435"/>
      <c r="K157" s="435"/>
      <c r="L157" s="435"/>
      <c r="M157" s="435"/>
      <c r="N157" s="276"/>
      <c r="O157" s="477"/>
      <c r="P157" s="477"/>
      <c r="Q157" s="477"/>
      <c r="R157" s="477"/>
      <c r="S157" s="59"/>
      <c r="T157" s="276"/>
      <c r="U157" s="435"/>
      <c r="V157" s="435"/>
      <c r="W157" s="435"/>
      <c r="X157" s="435"/>
      <c r="Y157" s="435"/>
      <c r="Z157" s="276"/>
      <c r="AA157" s="435"/>
      <c r="AB157" s="435"/>
      <c r="AC157" s="435"/>
      <c r="AD157" s="435"/>
      <c r="AE157" s="435"/>
      <c r="AF157" s="276"/>
      <c r="AG157" s="435"/>
      <c r="AH157" s="435"/>
      <c r="AI157" s="435"/>
      <c r="AJ157" s="435"/>
      <c r="AK157" s="435"/>
      <c r="AL157" s="276"/>
      <c r="AM157" s="435"/>
      <c r="AN157" s="435"/>
      <c r="AO157" s="435"/>
      <c r="AP157" s="435"/>
      <c r="AQ157" s="435"/>
      <c r="AR157" s="276"/>
      <c r="AS157" s="435"/>
      <c r="AT157" s="435"/>
      <c r="AU157" s="435"/>
      <c r="AV157" s="435"/>
      <c r="AW157" s="435"/>
      <c r="AX157" s="435"/>
      <c r="AY157" s="435"/>
      <c r="AZ157" s="435"/>
      <c r="BA157" s="435"/>
      <c r="BB157" s="435"/>
      <c r="BC157" s="435"/>
      <c r="BD157" s="276"/>
      <c r="BE157" s="435"/>
      <c r="BF157" s="435"/>
      <c r="BG157" s="435"/>
      <c r="BH157" s="60"/>
      <c r="BI157" s="435"/>
      <c r="BJ157" s="276"/>
      <c r="BK157" s="435"/>
      <c r="BL157" s="60"/>
      <c r="BM157" s="60"/>
      <c r="BN157" s="60"/>
      <c r="BO157" s="435"/>
      <c r="BP157" s="276"/>
      <c r="BQ157" s="60"/>
      <c r="BR157" s="59"/>
      <c r="BS157" s="59"/>
      <c r="BT157" s="435"/>
      <c r="BU157" s="59"/>
      <c r="BV157" s="276"/>
      <c r="BW157" s="59"/>
      <c r="BX157" s="59"/>
      <c r="BY157" s="59"/>
      <c r="BZ157" s="477"/>
      <c r="CA157" s="477"/>
      <c r="CB157" s="276"/>
      <c r="CC157" s="477"/>
      <c r="CD157" s="477"/>
      <c r="CE157" s="477"/>
      <c r="CF157" s="477"/>
      <c r="CG157" s="487"/>
      <c r="CH157" s="276"/>
      <c r="CI157" s="477"/>
      <c r="CJ157" s="477"/>
      <c r="CK157" s="477"/>
      <c r="CL157" s="477"/>
      <c r="CM157" s="487"/>
      <c r="CN157" s="276"/>
      <c r="CO157" s="477"/>
      <c r="CP157" s="477"/>
      <c r="CQ157" s="477"/>
      <c r="CR157" s="477"/>
      <c r="CS157" s="487"/>
      <c r="CT157" s="442"/>
      <c r="CU157" s="477"/>
      <c r="CV157" s="477"/>
      <c r="CW157" s="477"/>
      <c r="CX157" s="445">
        <v>204</v>
      </c>
      <c r="CY157" s="487">
        <f>CX157</f>
        <v>204</v>
      </c>
      <c r="CZ157" s="442"/>
      <c r="DA157" s="477">
        <v>175</v>
      </c>
      <c r="DB157" s="477">
        <v>176</v>
      </c>
      <c r="DC157" s="477">
        <v>430</v>
      </c>
      <c r="DD157" s="477">
        <v>388</v>
      </c>
      <c r="DE157" s="487">
        <f>DD157</f>
        <v>388</v>
      </c>
      <c r="DF157" s="442"/>
      <c r="DG157" s="477">
        <v>375</v>
      </c>
      <c r="DH157" s="477">
        <v>353</v>
      </c>
      <c r="DI157" s="477">
        <v>334</v>
      </c>
      <c r="DJ157" s="477">
        <v>316</v>
      </c>
      <c r="DK157" s="487">
        <f>DJ157</f>
        <v>316</v>
      </c>
      <c r="DL157" s="442"/>
      <c r="DM157" s="477">
        <v>311</v>
      </c>
      <c r="DN157" s="477">
        <v>269</v>
      </c>
      <c r="DO157" s="477">
        <v>306</v>
      </c>
      <c r="DP157" s="477">
        <v>296</v>
      </c>
      <c r="DQ157" s="487">
        <f>DP157</f>
        <v>296</v>
      </c>
      <c r="DR157" s="442"/>
      <c r="DS157" s="477">
        <v>310</v>
      </c>
      <c r="DT157" s="477">
        <v>311</v>
      </c>
      <c r="DU157" s="477">
        <v>305</v>
      </c>
      <c r="DV157" s="477">
        <v>312</v>
      </c>
      <c r="DW157" s="487">
        <f t="shared" si="144"/>
        <v>312</v>
      </c>
      <c r="DX157" s="442"/>
      <c r="DY157" s="477">
        <v>347</v>
      </c>
      <c r="DZ157" s="477">
        <v>344</v>
      </c>
      <c r="EA157" s="477">
        <v>352</v>
      </c>
      <c r="EB157" s="477">
        <v>404</v>
      </c>
      <c r="EC157" s="487">
        <f t="shared" si="145"/>
        <v>404</v>
      </c>
      <c r="ED157" s="442"/>
      <c r="EE157" s="477">
        <v>464</v>
      </c>
      <c r="EF157" s="477">
        <v>408</v>
      </c>
      <c r="EG157" s="477">
        <v>435</v>
      </c>
      <c r="EH157" s="445">
        <v>393</v>
      </c>
      <c r="EI157" s="487">
        <f t="shared" si="146"/>
        <v>393</v>
      </c>
      <c r="EJ157" s="442"/>
      <c r="EK157" s="1544">
        <v>525</v>
      </c>
      <c r="EL157" s="477">
        <v>463</v>
      </c>
      <c r="EM157" s="477">
        <v>485</v>
      </c>
      <c r="EN157" s="445">
        <v>536</v>
      </c>
      <c r="EO157" s="487">
        <f t="shared" si="147"/>
        <v>536</v>
      </c>
      <c r="EP157" s="442"/>
      <c r="EQ157" s="445">
        <v>523</v>
      </c>
      <c r="ER157" s="445">
        <v>519</v>
      </c>
      <c r="ES157" s="477">
        <v>560</v>
      </c>
      <c r="ET157" s="445">
        <v>602</v>
      </c>
      <c r="EU157" s="487">
        <f t="shared" si="148"/>
        <v>602</v>
      </c>
      <c r="EV157" s="442"/>
      <c r="EW157" s="445">
        <v>653</v>
      </c>
      <c r="EX157" s="1884">
        <v>519</v>
      </c>
      <c r="EY157" s="1884"/>
      <c r="EZ157" s="477"/>
      <c r="FA157" s="487"/>
      <c r="FB157" s="442"/>
      <c r="FC157" s="477"/>
      <c r="FD157" s="477"/>
      <c r="FE157" s="477"/>
      <c r="FF157" s="477"/>
      <c r="FG157" s="487"/>
      <c r="FH157" s="442"/>
      <c r="FI157" s="477"/>
      <c r="FJ157" s="477"/>
      <c r="FK157" s="477"/>
      <c r="FL157" s="477"/>
      <c r="FM157" s="487"/>
      <c r="FN157" s="242"/>
      <c r="FO157" s="242"/>
      <c r="FP157" s="242"/>
      <c r="FQ157" s="242"/>
      <c r="FR157"/>
      <c r="FS157"/>
      <c r="FT157"/>
      <c r="FU157"/>
      <c r="FV157"/>
      <c r="FW157"/>
      <c r="FX157" s="135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</row>
    <row r="158" spans="1:274" s="24" customFormat="1" ht="10.5" customHeight="1" x14ac:dyDescent="0.2">
      <c r="A158" s="60" t="s">
        <v>512</v>
      </c>
      <c r="B158" s="476"/>
      <c r="C158" s="435"/>
      <c r="D158" s="435"/>
      <c r="E158" s="435"/>
      <c r="F158" s="435"/>
      <c r="G158" s="435"/>
      <c r="H158" s="435"/>
      <c r="I158" s="435"/>
      <c r="J158" s="435"/>
      <c r="K158" s="435"/>
      <c r="L158" s="435"/>
      <c r="M158" s="435"/>
      <c r="N158" s="276"/>
      <c r="O158" s="477"/>
      <c r="P158" s="477"/>
      <c r="Q158" s="477"/>
      <c r="R158" s="477"/>
      <c r="S158" s="59"/>
      <c r="T158" s="276"/>
      <c r="U158" s="435"/>
      <c r="V158" s="435"/>
      <c r="W158" s="435"/>
      <c r="X158" s="435"/>
      <c r="Y158" s="435"/>
      <c r="Z158" s="276"/>
      <c r="AA158" s="435"/>
      <c r="AB158" s="435"/>
      <c r="AC158" s="435"/>
      <c r="AD158" s="435"/>
      <c r="AE158" s="435"/>
      <c r="AF158" s="276"/>
      <c r="AG158" s="435"/>
      <c r="AH158" s="435"/>
      <c r="AI158" s="435"/>
      <c r="AJ158" s="435"/>
      <c r="AK158" s="435"/>
      <c r="AL158" s="276"/>
      <c r="AM158" s="435"/>
      <c r="AN158" s="435"/>
      <c r="AO158" s="435"/>
      <c r="AP158" s="435"/>
      <c r="AQ158" s="435"/>
      <c r="AR158" s="276"/>
      <c r="AS158" s="435"/>
      <c r="AT158" s="435"/>
      <c r="AU158" s="435"/>
      <c r="AV158" s="435"/>
      <c r="AW158" s="435"/>
      <c r="AX158" s="435"/>
      <c r="AY158" s="435"/>
      <c r="AZ158" s="435"/>
      <c r="BA158" s="435"/>
      <c r="BB158" s="435"/>
      <c r="BC158" s="435"/>
      <c r="BD158" s="276"/>
      <c r="BE158" s="435"/>
      <c r="BF158" s="435"/>
      <c r="BG158" s="435"/>
      <c r="BH158" s="60"/>
      <c r="BI158" s="435"/>
      <c r="BJ158" s="276"/>
      <c r="BK158" s="435"/>
      <c r="BL158" s="60"/>
      <c r="BM158" s="60"/>
      <c r="BN158" s="60"/>
      <c r="BO158" s="435"/>
      <c r="BP158" s="276"/>
      <c r="BQ158" s="60"/>
      <c r="BR158" s="59"/>
      <c r="BS158" s="59"/>
      <c r="BT158" s="435"/>
      <c r="BU158" s="59"/>
      <c r="BV158" s="276"/>
      <c r="BW158" s="59"/>
      <c r="BX158" s="59"/>
      <c r="BY158" s="59"/>
      <c r="BZ158" s="477"/>
      <c r="CA158" s="477"/>
      <c r="CB158" s="276"/>
      <c r="CC158" s="477"/>
      <c r="CD158" s="477"/>
      <c r="CE158" s="477"/>
      <c r="CF158" s="477"/>
      <c r="CG158" s="487"/>
      <c r="CH158" s="276"/>
      <c r="CI158" s="477"/>
      <c r="CJ158" s="477"/>
      <c r="CK158" s="477"/>
      <c r="CL158" s="477"/>
      <c r="CM158" s="487"/>
      <c r="CN158" s="276"/>
      <c r="CO158" s="477"/>
      <c r="CP158" s="477"/>
      <c r="CQ158" s="477"/>
      <c r="CR158" s="477"/>
      <c r="CS158" s="487"/>
      <c r="CT158" s="442"/>
      <c r="CU158" s="477"/>
      <c r="CV158" s="477"/>
      <c r="CW158" s="477"/>
      <c r="CX158" s="445"/>
      <c r="CY158" s="487"/>
      <c r="CZ158" s="442"/>
      <c r="DA158" s="477"/>
      <c r="DB158" s="477"/>
      <c r="DC158" s="477">
        <v>36</v>
      </c>
      <c r="DD158" s="477">
        <v>39</v>
      </c>
      <c r="DE158" s="487">
        <f>DD158</f>
        <v>39</v>
      </c>
      <c r="DF158" s="442"/>
      <c r="DG158" s="477">
        <v>45</v>
      </c>
      <c r="DH158" s="477">
        <v>18</v>
      </c>
      <c r="DI158" s="477">
        <v>16</v>
      </c>
      <c r="DJ158" s="477">
        <v>28</v>
      </c>
      <c r="DK158" s="487"/>
      <c r="DL158" s="442"/>
      <c r="DM158" s="477">
        <v>29</v>
      </c>
      <c r="DN158" s="477">
        <v>26</v>
      </c>
      <c r="DO158" s="477">
        <v>37</v>
      </c>
      <c r="DP158" s="477">
        <v>20</v>
      </c>
      <c r="DQ158" s="487"/>
      <c r="DR158" s="442"/>
      <c r="DS158" s="477"/>
      <c r="DT158" s="477"/>
      <c r="DU158" s="1635"/>
      <c r="DV158" s="477"/>
      <c r="DW158" s="487"/>
      <c r="DX158" s="442"/>
      <c r="DY158" s="477"/>
      <c r="DZ158" s="477"/>
      <c r="EA158" s="1635"/>
      <c r="EB158" s="477"/>
      <c r="EC158" s="487"/>
      <c r="ED158" s="442"/>
      <c r="EE158" s="477"/>
      <c r="EF158" s="477"/>
      <c r="EG158" s="477"/>
      <c r="EH158" s="477"/>
      <c r="EI158" s="487"/>
      <c r="EJ158" s="442"/>
      <c r="EK158" s="477"/>
      <c r="EL158" s="477"/>
      <c r="EM158" s="477"/>
      <c r="EN158" s="477"/>
      <c r="EO158" s="487"/>
      <c r="EP158" s="442"/>
      <c r="EQ158" s="477"/>
      <c r="ER158" s="477"/>
      <c r="ES158" s="477"/>
      <c r="ET158" s="477"/>
      <c r="EU158" s="487"/>
      <c r="EV158" s="442"/>
      <c r="EW158" s="477"/>
      <c r="EX158" s="477"/>
      <c r="EY158" s="477"/>
      <c r="EZ158" s="477"/>
      <c r="FA158" s="487"/>
      <c r="FB158" s="442"/>
      <c r="FC158" s="477"/>
      <c r="FD158" s="477"/>
      <c r="FE158" s="477"/>
      <c r="FF158" s="477"/>
      <c r="FG158" s="487"/>
      <c r="FH158" s="442"/>
      <c r="FI158" s="477"/>
      <c r="FJ158" s="477"/>
      <c r="FK158" s="477"/>
      <c r="FL158" s="477"/>
      <c r="FM158" s="487"/>
      <c r="FN158" s="242"/>
      <c r="FO158" s="242"/>
      <c r="FP158" s="242"/>
      <c r="FQ158" s="242"/>
      <c r="FR158"/>
      <c r="FS158"/>
      <c r="FT158"/>
      <c r="FU158"/>
      <c r="FV158"/>
      <c r="FW158"/>
      <c r="FX158" s="135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</row>
    <row r="159" spans="1:274" s="24" customFormat="1" ht="10.5" customHeight="1" x14ac:dyDescent="0.2">
      <c r="A159" s="60"/>
      <c r="B159" s="476"/>
      <c r="C159" s="435"/>
      <c r="D159" s="435"/>
      <c r="E159" s="435"/>
      <c r="F159" s="435"/>
      <c r="G159" s="435"/>
      <c r="H159" s="435"/>
      <c r="I159" s="435"/>
      <c r="J159" s="435"/>
      <c r="K159" s="435"/>
      <c r="L159" s="435"/>
      <c r="M159" s="435"/>
      <c r="N159" s="276"/>
      <c r="O159" s="477"/>
      <c r="P159" s="477"/>
      <c r="Q159" s="477"/>
      <c r="R159" s="477"/>
      <c r="S159" s="59"/>
      <c r="T159" s="276"/>
      <c r="U159" s="435"/>
      <c r="V159" s="435"/>
      <c r="W159" s="435"/>
      <c r="X159" s="435"/>
      <c r="Y159" s="435"/>
      <c r="Z159" s="276"/>
      <c r="AA159" s="435"/>
      <c r="AB159" s="435"/>
      <c r="AC159" s="435"/>
      <c r="AD159" s="435"/>
      <c r="AE159" s="435"/>
      <c r="AF159" s="276"/>
      <c r="AG159" s="435"/>
      <c r="AH159" s="435"/>
      <c r="AI159" s="435"/>
      <c r="AJ159" s="435"/>
      <c r="AK159" s="435"/>
      <c r="AL159" s="276"/>
      <c r="AM159" s="435"/>
      <c r="AN159" s="435"/>
      <c r="AO159" s="435"/>
      <c r="AP159" s="435"/>
      <c r="AQ159" s="435"/>
      <c r="AR159" s="276"/>
      <c r="AS159" s="435"/>
      <c r="AT159" s="435"/>
      <c r="AU159" s="435"/>
      <c r="AV159" s="435"/>
      <c r="AW159" s="435"/>
      <c r="AX159" s="435"/>
      <c r="AY159" s="435"/>
      <c r="AZ159" s="435"/>
      <c r="BA159" s="435"/>
      <c r="BB159" s="435"/>
      <c r="BC159" s="435"/>
      <c r="BD159" s="276"/>
      <c r="BE159" s="435"/>
      <c r="BF159" s="435"/>
      <c r="BG159" s="435"/>
      <c r="BH159" s="60"/>
      <c r="BI159" s="435"/>
      <c r="BJ159" s="276"/>
      <c r="BK159" s="435"/>
      <c r="BL159" s="60"/>
      <c r="BM159" s="60"/>
      <c r="BN159" s="60"/>
      <c r="BO159" s="435"/>
      <c r="BP159" s="276"/>
      <c r="BQ159" s="60"/>
      <c r="BR159" s="59"/>
      <c r="BS159" s="59"/>
      <c r="BT159" s="435"/>
      <c r="BU159" s="59"/>
      <c r="BV159" s="276"/>
      <c r="BW159" s="59"/>
      <c r="BX159" s="59"/>
      <c r="BY159" s="59"/>
      <c r="BZ159" s="477"/>
      <c r="CA159" s="477"/>
      <c r="CB159" s="276"/>
      <c r="CC159" s="477"/>
      <c r="CD159" s="477"/>
      <c r="CE159" s="477"/>
      <c r="CF159" s="477"/>
      <c r="CG159" s="487"/>
      <c r="CH159" s="276"/>
      <c r="CI159" s="477"/>
      <c r="CJ159" s="477"/>
      <c r="CK159" s="477"/>
      <c r="CL159" s="477"/>
      <c r="CM159" s="487"/>
      <c r="CN159" s="276"/>
      <c r="CO159" s="477"/>
      <c r="CP159" s="477"/>
      <c r="CQ159" s="477"/>
      <c r="CR159" s="477"/>
      <c r="CS159" s="487"/>
      <c r="CT159" s="442"/>
      <c r="CU159" s="477"/>
      <c r="CV159" s="477"/>
      <c r="CW159" s="477"/>
      <c r="CX159" s="445"/>
      <c r="CY159" s="487"/>
      <c r="CZ159" s="442"/>
      <c r="DA159" s="477"/>
      <c r="DB159" s="477"/>
      <c r="DC159" s="477"/>
      <c r="DD159" s="477"/>
      <c r="DE159" s="487"/>
      <c r="DF159" s="442"/>
      <c r="DG159" s="477"/>
      <c r="DH159" s="477"/>
      <c r="DI159" s="477"/>
      <c r="DJ159" s="477"/>
      <c r="DK159" s="487"/>
      <c r="DL159" s="442"/>
      <c r="DM159" s="477"/>
      <c r="DN159" s="477"/>
      <c r="DO159" s="477"/>
      <c r="DP159" s="477"/>
      <c r="DQ159" s="487"/>
      <c r="DR159" s="442"/>
      <c r="DS159" s="477"/>
      <c r="DT159" s="477"/>
      <c r="DU159" s="1635"/>
      <c r="DV159" s="477"/>
      <c r="DW159" s="487"/>
      <c r="DX159" s="442"/>
      <c r="DY159" s="477"/>
      <c r="DZ159" s="477"/>
      <c r="EA159" s="1635"/>
      <c r="EB159" s="477"/>
      <c r="EC159" s="487"/>
      <c r="ED159" s="442"/>
      <c r="EE159" s="477"/>
      <c r="EF159" s="477"/>
      <c r="EG159" s="477"/>
      <c r="EH159" s="477"/>
      <c r="EI159" s="487"/>
      <c r="EJ159" s="442"/>
      <c r="EK159" s="477"/>
      <c r="EL159" s="477"/>
      <c r="EM159" s="477"/>
      <c r="EN159" s="477"/>
      <c r="EO159" s="487"/>
      <c r="EP159" s="442"/>
      <c r="EQ159" s="477"/>
      <c r="ER159" s="477"/>
      <c r="ES159" s="477"/>
      <c r="ET159" s="477"/>
      <c r="EU159" s="487"/>
      <c r="EV159" s="442"/>
      <c r="EW159" s="477"/>
      <c r="EX159" s="477"/>
      <c r="EY159" s="477"/>
      <c r="EZ159" s="477"/>
      <c r="FA159" s="487"/>
      <c r="FB159" s="442"/>
      <c r="FC159" s="477"/>
      <c r="FD159" s="477"/>
      <c r="FE159" s="477"/>
      <c r="FF159" s="477"/>
      <c r="FG159" s="487"/>
      <c r="FH159" s="442"/>
      <c r="FI159" s="477"/>
      <c r="FJ159" s="477"/>
      <c r="FK159" s="477"/>
      <c r="FL159" s="477"/>
      <c r="FM159" s="487"/>
      <c r="FN159" s="242"/>
      <c r="FO159" s="242"/>
      <c r="FP159" s="242"/>
      <c r="FQ159" s="242"/>
      <c r="FR159"/>
      <c r="FS159"/>
      <c r="FT159"/>
      <c r="FU159"/>
      <c r="FV159"/>
      <c r="FW159"/>
      <c r="FX159" s="135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</row>
    <row r="160" spans="1:274" s="24" customFormat="1" ht="10.5" customHeight="1" x14ac:dyDescent="0.2">
      <c r="A160" s="242" t="s">
        <v>1039</v>
      </c>
      <c r="B160" s="20"/>
      <c r="C160" s="272"/>
      <c r="D160" s="272"/>
      <c r="E160" s="272"/>
      <c r="F160" s="272"/>
      <c r="G160" s="272"/>
      <c r="H160" s="272"/>
      <c r="I160" s="272"/>
      <c r="J160" s="272"/>
      <c r="K160" s="272"/>
      <c r="L160" s="272"/>
      <c r="M160" s="272"/>
      <c r="N160" s="261"/>
      <c r="O160" s="42"/>
      <c r="P160" s="42"/>
      <c r="Q160" s="42"/>
      <c r="R160" s="42"/>
      <c r="S160" s="259"/>
      <c r="T160" s="261"/>
      <c r="U160" s="272"/>
      <c r="V160" s="272"/>
      <c r="W160" s="272"/>
      <c r="X160" s="272"/>
      <c r="Y160" s="272"/>
      <c r="Z160" s="261"/>
      <c r="AA160" s="272"/>
      <c r="AB160" s="272"/>
      <c r="AC160" s="272"/>
      <c r="AD160" s="272"/>
      <c r="AE160" s="272"/>
      <c r="AF160" s="261"/>
      <c r="AG160" s="272"/>
      <c r="AH160" s="272"/>
      <c r="AI160" s="272"/>
      <c r="AJ160" s="272"/>
      <c r="AK160" s="272"/>
      <c r="AL160" s="261"/>
      <c r="AM160" s="272"/>
      <c r="AN160" s="272"/>
      <c r="AO160" s="272"/>
      <c r="AP160" s="272"/>
      <c r="AQ160" s="272"/>
      <c r="AR160" s="261"/>
      <c r="AS160" s="272"/>
      <c r="AT160" s="272"/>
      <c r="AU160" s="272"/>
      <c r="AV160" s="272"/>
      <c r="AW160" s="272"/>
      <c r="AX160" s="272"/>
      <c r="AY160" s="272"/>
      <c r="AZ160" s="272"/>
      <c r="BA160" s="272"/>
      <c r="BB160" s="272"/>
      <c r="BC160" s="272"/>
      <c r="BD160" s="261"/>
      <c r="BE160" s="272"/>
      <c r="BF160" s="272"/>
      <c r="BG160" s="272"/>
      <c r="BH160" s="242"/>
      <c r="BI160" s="272"/>
      <c r="BJ160" s="261"/>
      <c r="BK160" s="478"/>
      <c r="BL160" s="478"/>
      <c r="BM160" s="478">
        <f>BM156/Model!BM14</f>
        <v>0.14966887417218544</v>
      </c>
      <c r="BN160" s="478">
        <f>BN156/Model!BN14</f>
        <v>9.5197978096040442E-2</v>
      </c>
      <c r="BO160" s="272"/>
      <c r="BP160" s="261"/>
      <c r="BQ160" s="478">
        <f>BQ156/Model!BQ14</f>
        <v>0.21523809523809523</v>
      </c>
      <c r="BR160" s="478">
        <f>BR156/Model!BR14</f>
        <v>0.11578947368421053</v>
      </c>
      <c r="BS160" s="478">
        <f>BS156/Model!BS14</f>
        <v>0.10625737898465171</v>
      </c>
      <c r="BT160" s="478">
        <f>BT156/Model!BT14</f>
        <v>5.2511415525114152E-2</v>
      </c>
      <c r="BU160" s="259"/>
      <c r="BV160" s="261"/>
      <c r="BW160" s="478">
        <f>BW156/Model!BW14</f>
        <v>0.12966252220248667</v>
      </c>
      <c r="BX160" s="478">
        <f>BX156/Model!BX14</f>
        <v>7.1060762100926878E-2</v>
      </c>
      <c r="BY160" s="478">
        <f>BY156/Model!BY14</f>
        <v>9.714889123548047E-2</v>
      </c>
      <c r="BZ160" s="478">
        <f>BZ156/Model!BZ14</f>
        <v>4.9098819142324425E-2</v>
      </c>
      <c r="CA160" s="250"/>
      <c r="CB160" s="261"/>
      <c r="CC160" s="478">
        <f>CC156/Model!CC14</f>
        <v>0.11128775834658187</v>
      </c>
      <c r="CD160" s="478">
        <f>CD156/Model!CD14</f>
        <v>6.3327032136105854E-2</v>
      </c>
      <c r="CE160" s="478">
        <f>CE156/Model!CE14</f>
        <v>8.4823057278365546E-2</v>
      </c>
      <c r="CF160" s="478">
        <f>CF156/Model!CF14</f>
        <v>3.9132484677039135E-2</v>
      </c>
      <c r="CG160" s="251"/>
      <c r="CH160" s="261"/>
      <c r="CI160" s="478">
        <f>CI156/Model!CI14</f>
        <v>0.13805970149253732</v>
      </c>
      <c r="CJ160" s="478">
        <f>CJ156/Model!CJ14</f>
        <v>0.10024855012427507</v>
      </c>
      <c r="CK160" s="478">
        <f>CK156/Model!CK14</f>
        <v>7.4820143884892082E-2</v>
      </c>
      <c r="CL160" s="478">
        <f>CL156/Model!CL14</f>
        <v>5.401047964530431E-2</v>
      </c>
      <c r="CM160" s="251"/>
      <c r="CN160" s="261"/>
      <c r="CO160" s="478">
        <f>CO156/Model!CO14</f>
        <v>0.13983440662373506</v>
      </c>
      <c r="CP160" s="478">
        <f>CP156/Model!CP14</f>
        <v>0.10731414868105515</v>
      </c>
      <c r="CQ160" s="478">
        <f>CQ156/Model!CQ14</f>
        <v>0.1280940594059406</v>
      </c>
      <c r="CR160" s="478">
        <f>CR156/Model!CR14</f>
        <v>6.9974554707379136E-2</v>
      </c>
      <c r="CS160" s="251"/>
      <c r="CT160" s="1180"/>
      <c r="CU160" s="478">
        <f>CU156/Model!CU14</f>
        <v>0.17489878542510121</v>
      </c>
      <c r="CV160" s="478">
        <f>CV156/Model!CV14</f>
        <v>0.1014760147601476</v>
      </c>
      <c r="CW160" s="478">
        <f>CW156/Model!CW14</f>
        <v>0.12005277044854881</v>
      </c>
      <c r="CX160" s="478">
        <f>CX156/Model!CX14</f>
        <v>6.96064139941691E-2</v>
      </c>
      <c r="CY160" s="1180"/>
      <c r="CZ160" s="488"/>
      <c r="DA160" s="478">
        <f>DA156/Model!DA14</f>
        <v>0.19260700389105059</v>
      </c>
      <c r="DB160" s="478">
        <f>DB156/Model!DB14</f>
        <v>0.11796733212341198</v>
      </c>
      <c r="DC160" s="478">
        <f>DC156/Model!DC14</f>
        <v>0.20600558659217877</v>
      </c>
      <c r="DD160" s="478">
        <f>DD156/Model!DD14</f>
        <v>0.10526315789473684</v>
      </c>
      <c r="DE160" s="1180"/>
      <c r="DF160" s="488"/>
      <c r="DG160" s="478">
        <f>DG156/Model!DG14</f>
        <v>0.27449455676516332</v>
      </c>
      <c r="DH160" s="478">
        <f>DH156/Model!DH14</f>
        <v>0.16258129064532267</v>
      </c>
      <c r="DI160" s="478">
        <f>DI156/Model!DI14</f>
        <v>0.15853658536585366</v>
      </c>
      <c r="DJ160" s="478">
        <f>DJ156/Model!DJ14</f>
        <v>7.0396145610278377E-2</v>
      </c>
      <c r="DK160" s="1180"/>
      <c r="DL160" s="488"/>
      <c r="DM160" s="478">
        <f>DM156/Model!DM14</f>
        <v>0.17556742323097463</v>
      </c>
      <c r="DN160" s="478">
        <f>DN156/Model!DN14</f>
        <v>0.1435546875</v>
      </c>
      <c r="DO160" s="478">
        <f>DO156/Model!DO14</f>
        <v>0.14490311710193765</v>
      </c>
      <c r="DP160" s="478">
        <f>DP156/Model!DP14</f>
        <v>8.8095832293486401E-2</v>
      </c>
      <c r="DQ160" s="251"/>
      <c r="DR160" s="488"/>
      <c r="DS160" s="478">
        <f>DS156/Model!DS14</f>
        <v>0.19334112149532709</v>
      </c>
      <c r="DT160" s="478">
        <f>DT156/Model!DT14</f>
        <v>0.13280318091451293</v>
      </c>
      <c r="DU160" s="478">
        <f>DU156/Model!DU14</f>
        <v>0.13725490196078433</v>
      </c>
      <c r="DV160" s="478">
        <f>DV156/Model!DV14</f>
        <v>8.4880636604774531E-2</v>
      </c>
      <c r="DW160" s="251"/>
      <c r="DX160" s="488"/>
      <c r="DY160" s="478">
        <f>DY156/Model!DY14</f>
        <v>0.15750708215297451</v>
      </c>
      <c r="DZ160" s="478">
        <f>DZ156/Model!DZ14</f>
        <v>0.12258064516129032</v>
      </c>
      <c r="EA160" s="478">
        <f>EA156/Model!EA14</f>
        <v>0.10035419126328217</v>
      </c>
      <c r="EB160" s="478">
        <f>EB156/Model!EB14</f>
        <v>7.8598484848484848E-2</v>
      </c>
      <c r="EC160" s="251"/>
      <c r="ED160" s="488"/>
      <c r="EE160" s="478">
        <f>EE156/Model!EE14</f>
        <v>0.17704385489983757</v>
      </c>
      <c r="EF160" s="478">
        <f>EF156/Model!EF14</f>
        <v>0.13065522620904838</v>
      </c>
      <c r="EG160" s="478">
        <f>EG156/Model!EG14</f>
        <v>0.16918789808917198</v>
      </c>
      <c r="EH160" s="478">
        <f>EH156/Model!EH14</f>
        <v>0.14205004035512511</v>
      </c>
      <c r="EI160" s="251"/>
      <c r="EJ160" s="488"/>
      <c r="EK160" s="478">
        <f>EK156/Model!EK14</f>
        <v>0.36698808848553605</v>
      </c>
      <c r="EL160" s="478">
        <f>EL156/Model!EL14</f>
        <v>0.27866036925719195</v>
      </c>
      <c r="EM160" s="478">
        <f>EM156/Model!EM14</f>
        <v>0.30326851468762928</v>
      </c>
      <c r="EN160" s="478">
        <f>EN156/Model!EN14</f>
        <v>0.21428571428571427</v>
      </c>
      <c r="EO160" s="251"/>
      <c r="EP160" s="488"/>
      <c r="EQ160" s="478">
        <f>EQ156/Model!EQ14</f>
        <v>0.48363095238095238</v>
      </c>
      <c r="ER160" s="478">
        <f>ER156/Model!ER14</f>
        <v>0.41495480690221859</v>
      </c>
      <c r="ES160" s="250"/>
      <c r="ET160" s="478">
        <f>ET156/Model!ET14</f>
        <v>0.31194251734390488</v>
      </c>
      <c r="EU160" s="251"/>
      <c r="EV160" s="488"/>
      <c r="EW160" s="478">
        <f>EW156/Model!EW14</f>
        <v>0.59235150528885272</v>
      </c>
      <c r="EX160" s="478"/>
      <c r="EY160" s="250"/>
      <c r="EZ160" s="250"/>
      <c r="FA160" s="251"/>
      <c r="FB160" s="488"/>
      <c r="FC160" s="250"/>
      <c r="FD160" s="250"/>
      <c r="FE160" s="250"/>
      <c r="FF160" s="250"/>
      <c r="FG160" s="251"/>
      <c r="FH160" s="488"/>
      <c r="FI160" s="250"/>
      <c r="FJ160" s="250"/>
      <c r="FK160" s="250"/>
      <c r="FL160" s="250"/>
      <c r="FM160" s="251"/>
      <c r="FN160" s="242"/>
      <c r="FO160" s="242"/>
      <c r="FP160" s="242"/>
      <c r="FQ160" s="242"/>
      <c r="FR160"/>
      <c r="FS160"/>
      <c r="FT160"/>
      <c r="FU160"/>
      <c r="FV160"/>
      <c r="FW160"/>
      <c r="FX160" s="33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</row>
    <row r="161" spans="1:274" s="24" customFormat="1" ht="10.5" customHeight="1" x14ac:dyDescent="0.2">
      <c r="A161" s="242" t="s">
        <v>1040</v>
      </c>
      <c r="B161" s="20"/>
      <c r="C161" s="272"/>
      <c r="D161" s="272"/>
      <c r="E161" s="272"/>
      <c r="F161" s="272"/>
      <c r="G161" s="272"/>
      <c r="H161" s="272"/>
      <c r="I161" s="272"/>
      <c r="J161" s="272"/>
      <c r="K161" s="272"/>
      <c r="L161" s="272"/>
      <c r="M161" s="272"/>
      <c r="N161" s="261"/>
      <c r="O161" s="42"/>
      <c r="P161" s="42"/>
      <c r="Q161" s="42"/>
      <c r="R161" s="42"/>
      <c r="S161" s="259"/>
      <c r="T161" s="261"/>
      <c r="U161" s="272"/>
      <c r="V161" s="272"/>
      <c r="W161" s="272"/>
      <c r="X161" s="272"/>
      <c r="Y161" s="272"/>
      <c r="Z161" s="261"/>
      <c r="AA161" s="272"/>
      <c r="AB161" s="272"/>
      <c r="AC161" s="272"/>
      <c r="AD161" s="272"/>
      <c r="AE161" s="272"/>
      <c r="AF161" s="261"/>
      <c r="AG161" s="272"/>
      <c r="AH161" s="272"/>
      <c r="AI161" s="272"/>
      <c r="AJ161" s="272"/>
      <c r="AK161" s="272"/>
      <c r="AL161" s="261"/>
      <c r="AM161" s="272"/>
      <c r="AN161" s="272"/>
      <c r="AO161" s="272"/>
      <c r="AP161" s="272"/>
      <c r="AQ161" s="272"/>
      <c r="AR161" s="261"/>
      <c r="AS161" s="272"/>
      <c r="AT161" s="272"/>
      <c r="AU161" s="272"/>
      <c r="AV161" s="272"/>
      <c r="AW161" s="272"/>
      <c r="AX161" s="272"/>
      <c r="AY161" s="272"/>
      <c r="AZ161" s="272"/>
      <c r="BA161" s="272"/>
      <c r="BB161" s="272"/>
      <c r="BC161" s="272"/>
      <c r="BD161" s="261"/>
      <c r="BE161" s="272"/>
      <c r="BF161" s="272"/>
      <c r="BG161" s="272"/>
      <c r="BH161" s="242"/>
      <c r="BI161" s="272"/>
      <c r="BJ161" s="261"/>
      <c r="BK161" s="478"/>
      <c r="BL161" s="478"/>
      <c r="BM161" s="478">
        <f>(BL156-BM156)/Model!BM14</f>
        <v>1.1920529801324504E-2</v>
      </c>
      <c r="BN161" s="478">
        <f>(BM156-BN156)/Model!BN14</f>
        <v>0</v>
      </c>
      <c r="BO161" s="272"/>
      <c r="BP161" s="261"/>
      <c r="BQ161" s="478">
        <f>(BN156-BQ156)/Model!BQ14</f>
        <v>0</v>
      </c>
      <c r="BR161" s="478">
        <f>(BQ156-BR156)/Model!BR14</f>
        <v>1.6374269005847954E-2</v>
      </c>
      <c r="BS161" s="478">
        <f>(BR156-BS156)/Model!BS14</f>
        <v>1.0625737898465172E-2</v>
      </c>
      <c r="BT161" s="478">
        <f>(BS156-BT156)/Model!BT14</f>
        <v>1.5981735159817351E-2</v>
      </c>
      <c r="BU161" s="259"/>
      <c r="BV161" s="261"/>
      <c r="BW161" s="478">
        <f>(BT156-BW156)/Model!BW14</f>
        <v>-7.104795737122558E-3</v>
      </c>
      <c r="BX161" s="478">
        <f>(BW156-BX156)/Model!BX14</f>
        <v>4.1194644696189494E-3</v>
      </c>
      <c r="BY161" s="478">
        <f>(BX156-BY156)/Model!BY14</f>
        <v>-2.4287222808870117E-2</v>
      </c>
      <c r="BZ161" s="478">
        <f>(BY156-BZ156)/Model!BZ14</f>
        <v>8.0795525170913613E-3</v>
      </c>
      <c r="CA161" s="250"/>
      <c r="CB161" s="261"/>
      <c r="CC161" s="478">
        <f>(BZ156-CC156)/Model!CC14</f>
        <v>1.4308426073131956E-2</v>
      </c>
      <c r="CD161" s="478">
        <f>(CC156-CD156)/Model!CD14</f>
        <v>2.8355387523629491E-3</v>
      </c>
      <c r="CE161" s="478">
        <f>(CD156-CE156)/Model!CE14</f>
        <v>-2.3713973002553811E-2</v>
      </c>
      <c r="CF161" s="478">
        <f>(CE156-CF156)/Model!CF14</f>
        <v>4.7147571900047151E-3</v>
      </c>
      <c r="CG161" s="251"/>
      <c r="CH161" s="261"/>
      <c r="CI161" s="478">
        <f>(CF156-CI156)/Model!CI14</f>
        <v>-3.482587064676617E-2</v>
      </c>
      <c r="CJ161" s="478">
        <f>(CI156-CJ156)/Model!CJ14</f>
        <v>-8.2850041425020712E-3</v>
      </c>
      <c r="CK161" s="478">
        <f>(CJ156-CK156)/Model!CK14</f>
        <v>1.2230215827338129E-2</v>
      </c>
      <c r="CL161" s="478">
        <f>(CK156-CL156)/Model!CL14</f>
        <v>-1.2091898428053204E-2</v>
      </c>
      <c r="CM161" s="251"/>
      <c r="CN161" s="261"/>
      <c r="CO161" s="478">
        <f>(CL156-CO156)/Model!CO14</f>
        <v>-1.655933762649494E-2</v>
      </c>
      <c r="CP161" s="478">
        <f>(CO156-CP156)/Model!CP14</f>
        <v>-1.618705035971223E-2</v>
      </c>
      <c r="CQ161" s="478">
        <f>(CP156-CQ156)/Model!CQ14</f>
        <v>-1.7326732673267328E-2</v>
      </c>
      <c r="CR161" s="478">
        <f>(CQ156-CR156)/Model!CR14</f>
        <v>-4.1348600508905849E-3</v>
      </c>
      <c r="CS161" s="251"/>
      <c r="CT161" s="488"/>
      <c r="CU161" s="478">
        <f>(CR156-CU156)/Model!CU14</f>
        <v>3.2388663967611335E-3</v>
      </c>
      <c r="CV161" s="478">
        <f>(CU156-CV156)/Model!CV14</f>
        <v>3.136531365313653E-2</v>
      </c>
      <c r="CW161" s="478">
        <f>(CV156-CW156)/Model!CW14</f>
        <v>-1.1213720316622692E-2</v>
      </c>
      <c r="CX161" s="478">
        <f>(CW156-CX156)/Model!CX14</f>
        <v>-3.2798833819241984E-3</v>
      </c>
      <c r="CY161" s="251"/>
      <c r="CZ161" s="488"/>
      <c r="DA161" s="478">
        <f>(CX156-DA156)/Model!DA14</f>
        <v>-6.8093385214007783E-3</v>
      </c>
      <c r="DB161" s="478">
        <f>(DA156-DB156)/Model!DB14</f>
        <v>1.8148820326678765E-3</v>
      </c>
      <c r="DC161" s="478">
        <f>(DB156-DC156)/Model!DC14</f>
        <v>-9.2527932960893844E-2</v>
      </c>
      <c r="DD161" s="478">
        <f>(DC156-DD156)/Model!DD14</f>
        <v>7.6555023923444978E-3</v>
      </c>
      <c r="DE161" s="251"/>
      <c r="DF161" s="488"/>
      <c r="DG161" s="478">
        <f>(DD156-DG156)/Model!DG14</f>
        <v>-1.7884914463452566E-2</v>
      </c>
      <c r="DH161" s="478">
        <f>(DG156-DH156)/Model!DH14</f>
        <v>1.4007003501750876E-2</v>
      </c>
      <c r="DI161" s="478">
        <f>(DH156-DI156)/Model!DI14</f>
        <v>-1.1743450767841012E-2</v>
      </c>
      <c r="DJ161" s="478">
        <f>(DI156-DJ156)/Model!DJ14</f>
        <v>2.3554603854389723E-2</v>
      </c>
      <c r="DK161" s="251"/>
      <c r="DL161" s="488"/>
      <c r="DM161" s="478">
        <f>(DJ156-DM156)/Model!DM14</f>
        <v>0</v>
      </c>
      <c r="DN161" s="478">
        <f>(DM156-DN156)/Model!DN14</f>
        <v>-1.513671875E-2</v>
      </c>
      <c r="DO161" s="478">
        <f>(DN156-DO156)/Model!DO14</f>
        <v>-2.1061499578770009E-2</v>
      </c>
      <c r="DP161" s="478">
        <f>(DO156-DP156)/Model!DP14</f>
        <v>-2.246069378587472E-3</v>
      </c>
      <c r="DQ161" s="251"/>
      <c r="DR161" s="488"/>
      <c r="DS161" s="478">
        <f>(DP156-DS156)/Model!DS14</f>
        <v>1.2850467289719626E-2</v>
      </c>
      <c r="DT161" s="478">
        <f>(DS156-DT156)/Model!DT14</f>
        <v>-1.1928429423459245E-3</v>
      </c>
      <c r="DU161" s="478">
        <f>(DT156-DU156)/Model!DU14</f>
        <v>-8.1699346405228761E-4</v>
      </c>
      <c r="DV161" s="478">
        <f>(DU156-DV156)/Model!DV14</f>
        <v>-3.858210754762479E-3</v>
      </c>
      <c r="DW161" s="251"/>
      <c r="DX161" s="488"/>
      <c r="DY161" s="478">
        <f>(DV156-DY156)/Model!DY14</f>
        <v>4.1926345609065156E-2</v>
      </c>
      <c r="DZ161" s="478">
        <f>(DY156-DZ156)/Model!DZ14</f>
        <v>-1.0483870967741936E-2</v>
      </c>
      <c r="EA161" s="478">
        <f>(DZ156-EA156)/Model!EA14</f>
        <v>1.928374655647383E-2</v>
      </c>
      <c r="EB161" s="478">
        <f>(EA156-EB156)/Model!EB14</f>
        <v>-1.8229166666666668E-2</v>
      </c>
      <c r="EC161" s="251"/>
      <c r="ED161" s="488"/>
      <c r="EE161" s="478">
        <f>(EB156-EE156)/Model!EE14</f>
        <v>2.7070925825663237E-3</v>
      </c>
      <c r="EF161" s="478">
        <f>(EE156-EF156)/Model!EF14</f>
        <v>-3.1201248049921998E-3</v>
      </c>
      <c r="EG161" s="478">
        <f>(EF156-EG156)/Model!EG14</f>
        <v>-3.5828025477707005E-2</v>
      </c>
      <c r="EH161" s="478">
        <f>(EG156-EH156)/Model!EH14</f>
        <v>-2.7710519235942966E-2</v>
      </c>
      <c r="EI161" s="251"/>
      <c r="EJ161" s="488"/>
      <c r="EK161" s="478">
        <f>(EH156-EK156)/Model!EK14</f>
        <v>-6.7498581962563808E-2</v>
      </c>
      <c r="EL161" s="478">
        <f>(EK156-EL156)/Model!EL14</f>
        <v>-8.5873765564620013E-4</v>
      </c>
      <c r="EM161" s="478">
        <f>(EL156-EM156)/Model!EM14</f>
        <v>-3.4753827058336781E-2</v>
      </c>
      <c r="EN161" s="478">
        <f>(EM156-EN156)/Model!EN14</f>
        <v>-1.2134583563154992E-2</v>
      </c>
      <c r="EO161" s="251"/>
      <c r="EP161" s="488"/>
      <c r="EQ161" s="478">
        <f>(EN156-EQ156)/Model!EQ14</f>
        <v>-9.8214285714285712E-2</v>
      </c>
      <c r="ER161" s="478">
        <f>(EQ156-ER156)/Model!ER14</f>
        <v>-1.4379622021364009E-2</v>
      </c>
      <c r="ES161" s="250"/>
      <c r="ET161" s="478">
        <f>(ES156-ET156)/Model!ET14</f>
        <v>1.2388503468780971E-3</v>
      </c>
      <c r="EU161" s="251"/>
      <c r="EV161" s="488"/>
      <c r="EW161" s="478">
        <f>(ET156-EW156)/Model!EW14</f>
        <v>-8.0146460537021971E-2</v>
      </c>
      <c r="EX161" s="478"/>
      <c r="EY161" s="250"/>
      <c r="EZ161" s="250"/>
      <c r="FA161" s="251"/>
      <c r="FB161" s="488"/>
      <c r="FC161" s="250"/>
      <c r="FD161" s="250"/>
      <c r="FE161" s="250"/>
      <c r="FF161" s="250"/>
      <c r="FG161" s="251"/>
      <c r="FH161" s="488"/>
      <c r="FI161" s="250"/>
      <c r="FJ161" s="250"/>
      <c r="FK161" s="250"/>
      <c r="FL161" s="250"/>
      <c r="FM161" s="251"/>
      <c r="FN161" s="242"/>
      <c r="FO161" s="242"/>
      <c r="FP161" s="242"/>
      <c r="FQ161" s="242"/>
      <c r="FR161"/>
      <c r="FS161"/>
      <c r="FT161"/>
      <c r="FU161"/>
      <c r="FV161"/>
      <c r="FW161"/>
      <c r="FX161" s="135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</row>
    <row r="162" spans="1:274" s="24" customFormat="1" ht="10.5" customHeight="1" x14ac:dyDescent="0.2">
      <c r="A162" s="242" t="s">
        <v>1041</v>
      </c>
      <c r="B162" s="20"/>
      <c r="C162" s="272"/>
      <c r="D162" s="272"/>
      <c r="E162" s="272"/>
      <c r="F162" s="272"/>
      <c r="G162" s="272"/>
      <c r="H162" s="272"/>
      <c r="I162" s="272"/>
      <c r="J162" s="272"/>
      <c r="K162" s="272"/>
      <c r="L162" s="272"/>
      <c r="M162" s="272"/>
      <c r="N162" s="261"/>
      <c r="O162" s="42"/>
      <c r="P162" s="42"/>
      <c r="Q162" s="42"/>
      <c r="R162" s="42"/>
      <c r="S162" s="259"/>
      <c r="T162" s="261"/>
      <c r="U162" s="272"/>
      <c r="V162" s="272"/>
      <c r="W162" s="272"/>
      <c r="X162" s="272"/>
      <c r="Y162" s="272"/>
      <c r="Z162" s="261"/>
      <c r="AA162" s="272"/>
      <c r="AB162" s="272"/>
      <c r="AC162" s="272"/>
      <c r="AD162" s="272"/>
      <c r="AE162" s="272"/>
      <c r="AF162" s="261"/>
      <c r="AG162" s="272"/>
      <c r="AH162" s="272"/>
      <c r="AI162" s="272"/>
      <c r="AJ162" s="272"/>
      <c r="AK162" s="272"/>
      <c r="AL162" s="261"/>
      <c r="AM162" s="272"/>
      <c r="AN162" s="272"/>
      <c r="AO162" s="272"/>
      <c r="AP162" s="272"/>
      <c r="AQ162" s="272"/>
      <c r="AR162" s="261"/>
      <c r="AS162" s="272"/>
      <c r="AT162" s="272"/>
      <c r="AU162" s="272"/>
      <c r="AV162" s="272"/>
      <c r="AW162" s="272"/>
      <c r="AX162" s="272"/>
      <c r="AY162" s="272"/>
      <c r="AZ162" s="272"/>
      <c r="BA162" s="272"/>
      <c r="BB162" s="272"/>
      <c r="BC162" s="272"/>
      <c r="BD162" s="261"/>
      <c r="BE162" s="272"/>
      <c r="BF162" s="272"/>
      <c r="BG162" s="272"/>
      <c r="BH162" s="242"/>
      <c r="BI162" s="272"/>
      <c r="BJ162" s="261"/>
      <c r="BK162" s="272"/>
      <c r="BL162" s="478"/>
      <c r="BM162" s="478">
        <f>BM156/Model!BN14</f>
        <v>9.5197978096040442E-2</v>
      </c>
      <c r="BN162" s="478">
        <f>BN156/Model!BQ14</f>
        <v>0.21523809523809523</v>
      </c>
      <c r="BO162" s="272"/>
      <c r="BP162" s="261"/>
      <c r="BQ162" s="478">
        <f>BQ156/Model!BR14</f>
        <v>0.13216374269005848</v>
      </c>
      <c r="BR162" s="478">
        <f>BR156/Model!BS14</f>
        <v>0.11688311688311688</v>
      </c>
      <c r="BS162" s="478">
        <f>BS156/Model!BT14</f>
        <v>6.8493150684931503E-2</v>
      </c>
      <c r="BT162" s="478">
        <f>BT156/Model!BW14</f>
        <v>0.12255772646536411</v>
      </c>
      <c r="BU162" s="250"/>
      <c r="BV162" s="261"/>
      <c r="BW162" s="478">
        <f>BW156/Model!BX14</f>
        <v>7.5180226570545836E-2</v>
      </c>
      <c r="BX162" s="478">
        <f>BX156/Model!BY14</f>
        <v>7.2861668426610349E-2</v>
      </c>
      <c r="BY162" s="478">
        <f>BY156/Model!BZ14</f>
        <v>5.7178371659415785E-2</v>
      </c>
      <c r="BZ162" s="478">
        <f>BZ156/Model!CC14</f>
        <v>0.12559618441971382</v>
      </c>
      <c r="CA162" s="250"/>
      <c r="CB162" s="261"/>
      <c r="CC162" s="478">
        <f>CC156/Model!CD14</f>
        <v>6.6162570888468802E-2</v>
      </c>
      <c r="CD162" s="478">
        <f>CD156/Model!CE14</f>
        <v>6.1109084275811743E-2</v>
      </c>
      <c r="CE162" s="478">
        <f>CE156/Model!CF14</f>
        <v>4.3847241867043849E-2</v>
      </c>
      <c r="CF162" s="478">
        <f>CF156/Model!CI14</f>
        <v>0.10323383084577115</v>
      </c>
      <c r="CG162" s="251"/>
      <c r="CH162" s="261"/>
      <c r="CI162" s="478">
        <f>CI156/Model!CJ14</f>
        <v>9.196354598177299E-2</v>
      </c>
      <c r="CJ162" s="478">
        <f>CJ156/Model!CK14</f>
        <v>8.7050359712230213E-2</v>
      </c>
      <c r="CK162" s="478">
        <f>CK156/Model!CL14</f>
        <v>4.1918581217251109E-2</v>
      </c>
      <c r="CL162" s="478">
        <f>CL156/Model!CO14</f>
        <v>0.12327506899724011</v>
      </c>
      <c r="CM162" s="251"/>
      <c r="CN162" s="261"/>
      <c r="CO162" s="478">
        <f>CO156/Model!CP14</f>
        <v>9.1127098321342928E-2</v>
      </c>
      <c r="CP162" s="478">
        <f>CP156/Model!CQ14</f>
        <v>0.11076732673267327</v>
      </c>
      <c r="CQ162" s="478">
        <f>CQ156/Model!CR14</f>
        <v>6.5839694656488548E-2</v>
      </c>
      <c r="CR162" s="478">
        <f>CR156/Model!CU14</f>
        <v>0.17813765182186234</v>
      </c>
      <c r="CS162" s="251"/>
      <c r="CT162" s="488"/>
      <c r="CU162" s="478">
        <f>CU156/Model!CV14</f>
        <v>0.13284132841328414</v>
      </c>
      <c r="CV162" s="478">
        <f>CV156/Model!CW14</f>
        <v>0.10883905013192612</v>
      </c>
      <c r="CW162" s="478">
        <f>CW156/Model!CX14</f>
        <v>6.6326530612244902E-2</v>
      </c>
      <c r="CX162" s="478">
        <f>CX156/Model!DA14</f>
        <v>0.18579766536964981</v>
      </c>
      <c r="CY162" s="251"/>
      <c r="CZ162" s="488"/>
      <c r="DA162" s="478">
        <f>DA156/Model!DB14</f>
        <v>0.11978221415607986</v>
      </c>
      <c r="DB162" s="478">
        <v>0.11659889978474049</v>
      </c>
      <c r="DC162" s="478">
        <f>DC156/Model!DD14</f>
        <v>0.11291866028708133</v>
      </c>
      <c r="DD162" s="478">
        <f>DD156/Model!DG14</f>
        <v>0.25660964230171074</v>
      </c>
      <c r="DE162" s="251"/>
      <c r="DF162" s="488"/>
      <c r="DG162" s="478">
        <f>DG156/Model!DH14</f>
        <v>0.17658829414707353</v>
      </c>
      <c r="DH162" s="478">
        <f>DH156/Model!DI14</f>
        <v>0.14679313459801266</v>
      </c>
      <c r="DI162" s="478">
        <f>DI156/Model!DJ14</f>
        <v>9.3950749464668096E-2</v>
      </c>
      <c r="DJ162" s="478">
        <f>DJ156/Model!DM14</f>
        <v>0.17556742323097463</v>
      </c>
      <c r="DK162" s="251"/>
      <c r="DL162" s="488"/>
      <c r="DM162" s="478">
        <f>DM156/Model!DN14</f>
        <v>0.12841796875</v>
      </c>
      <c r="DN162" s="478">
        <f>DN156/Model!DO14</f>
        <v>0.12384161752316765</v>
      </c>
      <c r="DO162" s="478">
        <f>DO156/Model!DP14</f>
        <v>8.5849762914898931E-2</v>
      </c>
      <c r="DP162" s="478">
        <f>DP156/Model!DS14</f>
        <v>0.20619158878504673</v>
      </c>
      <c r="DQ162" s="251"/>
      <c r="DR162" s="488"/>
      <c r="DS162" s="478">
        <f>DS156/Model!DT14</f>
        <v>0.13161033797216701</v>
      </c>
      <c r="DT162" s="478">
        <f>DT156/Model!DU14</f>
        <v>0.13643790849673201</v>
      </c>
      <c r="DU162" s="478">
        <f>DU156/Model!DV14</f>
        <v>8.1022425850012056E-2</v>
      </c>
      <c r="DV162" s="478">
        <f>DV156/Model!DY14</f>
        <v>0.19943342776203965</v>
      </c>
      <c r="DW162" s="251"/>
      <c r="DX162" s="488"/>
      <c r="DY162" s="478">
        <f>DY156/Model!DZ14</f>
        <v>0.11209677419354838</v>
      </c>
      <c r="DZ162" s="478">
        <f>DZ156/Model!EA14</f>
        <v>0.119637937819756</v>
      </c>
      <c r="EA162" s="478">
        <f>EA156/Model!EB14</f>
        <v>6.0369318181818184E-2</v>
      </c>
      <c r="EB162" s="478">
        <f>EB156/Model!EE14</f>
        <v>0.17975094748240389</v>
      </c>
      <c r="EC162" s="251"/>
      <c r="ED162" s="488"/>
      <c r="EE162" s="478">
        <f>EE156/Model!EF14</f>
        <v>0.12753510140405616</v>
      </c>
      <c r="EF162" s="478">
        <f>EF156/Model!EG14</f>
        <v>0.13335987261146498</v>
      </c>
      <c r="EG162" s="478">
        <f>EG156/Model!EH14</f>
        <v>0.11433952111918214</v>
      </c>
      <c r="EH162" s="478">
        <f>EH156/Model!EI14</f>
        <v>4.9624060150375938E-2</v>
      </c>
      <c r="EI162" s="251"/>
      <c r="EJ162" s="488"/>
      <c r="EK162" s="478">
        <f>EK156/Model!EL14</f>
        <v>0.27780163160154575</v>
      </c>
      <c r="EL162" s="478">
        <f>EL156/Model!EM14</f>
        <v>0.26851468762929254</v>
      </c>
      <c r="EM162" s="478">
        <f>EM156/Model!EN14</f>
        <v>0.2021511307225593</v>
      </c>
      <c r="EN162" s="478">
        <f>EN156/Model!EO14</f>
        <v>7.6665022200296001E-2</v>
      </c>
      <c r="EO162" s="251"/>
      <c r="EP162" s="488"/>
      <c r="EQ162" s="478">
        <f>EQ156/Model!ER14</f>
        <v>0.40057518488085458</v>
      </c>
      <c r="ER162" s="478">
        <f>ER156/Model!ES14</f>
        <v>0.37799401197604793</v>
      </c>
      <c r="ES162" s="250"/>
      <c r="ET162" s="478">
        <f>ET156/Model!EU14</f>
        <v>0.11283384119017745</v>
      </c>
      <c r="EU162" s="251"/>
      <c r="EV162" s="488"/>
      <c r="EW162" s="478">
        <f>EW156/Model!EX14</f>
        <v>0.50538007636237414</v>
      </c>
      <c r="EX162" s="478"/>
      <c r="EY162" s="250"/>
      <c r="EZ162" s="250"/>
      <c r="FA162" s="251"/>
      <c r="FB162" s="488"/>
      <c r="FC162" s="250"/>
      <c r="FD162" s="250"/>
      <c r="FE162" s="250"/>
      <c r="FF162" s="250"/>
      <c r="FG162" s="251"/>
      <c r="FH162" s="488"/>
      <c r="FI162" s="250"/>
      <c r="FJ162" s="250"/>
      <c r="FK162" s="250"/>
      <c r="FL162" s="250"/>
      <c r="FM162" s="251"/>
      <c r="FN162" s="242"/>
      <c r="FO162" s="242"/>
      <c r="FP162" s="242"/>
      <c r="FQ162" s="242"/>
      <c r="FR162"/>
      <c r="FS162"/>
      <c r="FT162"/>
      <c r="FU162"/>
      <c r="FV162"/>
      <c r="FW162"/>
      <c r="FX162" s="33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</row>
    <row r="163" spans="1:274" s="24" customFormat="1" ht="10.5" customHeight="1" x14ac:dyDescent="0.2">
      <c r="A163" s="242" t="s">
        <v>515</v>
      </c>
      <c r="B163" s="20"/>
      <c r="C163" s="272"/>
      <c r="D163" s="272"/>
      <c r="E163" s="272"/>
      <c r="F163" s="272"/>
      <c r="G163" s="272"/>
      <c r="H163" s="272"/>
      <c r="I163" s="272"/>
      <c r="J163" s="272"/>
      <c r="K163" s="272"/>
      <c r="L163" s="272"/>
      <c r="M163" s="272"/>
      <c r="N163" s="261"/>
      <c r="O163" s="42"/>
      <c r="P163" s="42"/>
      <c r="Q163" s="42"/>
      <c r="R163" s="42"/>
      <c r="S163" s="259"/>
      <c r="T163" s="261"/>
      <c r="U163" s="272"/>
      <c r="V163" s="272"/>
      <c r="W163" s="272"/>
      <c r="X163" s="272"/>
      <c r="Y163" s="272"/>
      <c r="Z163" s="261"/>
      <c r="AA163" s="272"/>
      <c r="AB163" s="272"/>
      <c r="AC163" s="272"/>
      <c r="AD163" s="272"/>
      <c r="AE163" s="272"/>
      <c r="AF163" s="261"/>
      <c r="AG163" s="272"/>
      <c r="AH163" s="272"/>
      <c r="AI163" s="272"/>
      <c r="AJ163" s="272"/>
      <c r="AK163" s="272"/>
      <c r="AL163" s="261"/>
      <c r="AM163" s="272"/>
      <c r="AN163" s="272"/>
      <c r="AO163" s="272"/>
      <c r="AP163" s="272"/>
      <c r="AQ163" s="272"/>
      <c r="AR163" s="261"/>
      <c r="AS163" s="272"/>
      <c r="AT163" s="272"/>
      <c r="AU163" s="272"/>
      <c r="AV163" s="272"/>
      <c r="AW163" s="272"/>
      <c r="AX163" s="272"/>
      <c r="AY163" s="272"/>
      <c r="AZ163" s="272"/>
      <c r="BA163" s="272"/>
      <c r="BB163" s="272"/>
      <c r="BC163" s="272"/>
      <c r="BD163" s="261"/>
      <c r="BE163" s="272"/>
      <c r="BF163" s="272"/>
      <c r="BG163" s="272"/>
      <c r="BH163" s="242"/>
      <c r="BI163" s="272"/>
      <c r="BJ163" s="261"/>
      <c r="BK163" s="272"/>
      <c r="BL163" s="478"/>
      <c r="BM163" s="478">
        <f>SUM(BM151:BM156)/Model!BM91</f>
        <v>0.53099263112267014</v>
      </c>
      <c r="BN163" s="478">
        <f>SUM(BN151:BN156)/Model!BN91</f>
        <v>0.49763367945186127</v>
      </c>
      <c r="BO163" s="272"/>
      <c r="BP163" s="261"/>
      <c r="BQ163" s="478">
        <f>SUM(BQ151:BQ156)/Model!BQ91</f>
        <v>0.77364864864864868</v>
      </c>
      <c r="BR163" s="478">
        <f>SUM(BR151:BR156)/Model!BR91</f>
        <v>0.54003202562049635</v>
      </c>
      <c r="BS163" s="478">
        <f>SUM(BS151:BS156)/Model!BS91</f>
        <v>0.5400557991231566</v>
      </c>
      <c r="BT163" s="478">
        <f>SUM(BT151:BT156)/Model!BT91</f>
        <v>0.48651283717907051</v>
      </c>
      <c r="BU163" s="250"/>
      <c r="BV163" s="261"/>
      <c r="BW163" s="478">
        <f>SUM(BW151:BW156)/Model!BW91</f>
        <v>0.80451467268623023</v>
      </c>
      <c r="BX163" s="478">
        <f>SUM(BX151:BX156)/Model!BX91</f>
        <v>0.54317851959361396</v>
      </c>
      <c r="BY163" s="478">
        <f>SUM(BY151:BY156)/Model!BY91</f>
        <v>0.62560620756547036</v>
      </c>
      <c r="BZ163" s="478">
        <f>SUM(BZ151:BZ156)/Model!BZ91</f>
        <v>0.56448828606658441</v>
      </c>
      <c r="CA163" s="250"/>
      <c r="CB163" s="261"/>
      <c r="CC163" s="478">
        <f>SUM(CC151:CC156)/Model!CC91</f>
        <v>0.90471276229790165</v>
      </c>
      <c r="CD163" s="478">
        <f>SUM(CD151:CD156)/Model!CD91</f>
        <v>0.64319387153800822</v>
      </c>
      <c r="CE163" s="478">
        <f>SUM(CE151:CE156)/Model!CE91</f>
        <v>0.69799683114531463</v>
      </c>
      <c r="CF163" s="478">
        <f>SUM(CF151:CF156)/Model!CF91</f>
        <v>0.57322260482074139</v>
      </c>
      <c r="CG163" s="251"/>
      <c r="CH163" s="261"/>
      <c r="CI163" s="478">
        <f>SUM(CI151:CI156)/Model!CI91</f>
        <v>0.892925430210325</v>
      </c>
      <c r="CJ163" s="478">
        <f>SUM(CJ151:CJ156)/Model!CJ91</f>
        <v>0.65702087286527511</v>
      </c>
      <c r="CK163" s="478">
        <f>SUM(CK151:CK156)/Model!CK91</f>
        <v>0.66262081366599235</v>
      </c>
      <c r="CL163" s="478">
        <f>SUM(CL151:CL156)/Model!CL91</f>
        <v>0.59357470678225399</v>
      </c>
      <c r="CM163" s="251"/>
      <c r="CN163" s="261"/>
      <c r="CO163" s="478">
        <f>SUM(CO151:CO156)/Model!CO91</f>
        <v>0.89723492270846938</v>
      </c>
      <c r="CP163" s="478">
        <f>SUM(CP151:CP156)/Model!CP91</f>
        <v>0.66685309470544374</v>
      </c>
      <c r="CQ163" s="478">
        <f>SUM(CQ151:CQ156)/Model!CQ91</f>
        <v>0.68571960528765596</v>
      </c>
      <c r="CR163" s="478">
        <f>SUM(CR151:CR156)/Model!CR91</f>
        <v>0.61694822139815964</v>
      </c>
      <c r="CS163" s="251"/>
      <c r="CT163" s="488"/>
      <c r="CU163" s="478">
        <f>SUM(CU151:CU156)/Model!CU91</f>
        <v>0.92530431575064553</v>
      </c>
      <c r="CV163" s="478">
        <f>SUM(CV151:CV156)/Model!CV91</f>
        <v>0.68243362053806933</v>
      </c>
      <c r="CW163" s="478">
        <f>SUM(CW151:CW156)/Model!CW91</f>
        <v>0.71802325581395354</v>
      </c>
      <c r="CX163" s="478">
        <f>SUM(CX151:CX156)/Model!CX91</f>
        <v>0.66734486266531023</v>
      </c>
      <c r="CY163" s="251"/>
      <c r="CZ163" s="488"/>
      <c r="DA163" s="478">
        <f>SUM(DA151:DA156)/Model!DA91</f>
        <v>1.0434524985186648</v>
      </c>
      <c r="DB163" s="478">
        <v>0.74790688176434561</v>
      </c>
      <c r="DC163" s="478">
        <f>SUM(DC151:DC158)/Model!DC91</f>
        <v>0.89946517451386532</v>
      </c>
      <c r="DD163" s="478">
        <f>SUM(DD151:DD158)/Model!DD91</f>
        <v>0.6528917038729104</v>
      </c>
      <c r="DE163" s="251"/>
      <c r="DF163" s="488"/>
      <c r="DG163" s="478">
        <f>SUM(DG151:DG158)/Model!DG91</f>
        <v>0.95914602003162885</v>
      </c>
      <c r="DH163" s="478">
        <f>SUM(DH151:DH158)/Model!DH91</f>
        <v>0.70105820105820105</v>
      </c>
      <c r="DI163" s="478">
        <f>SUM(DI151:DI158)/Model!DI91</f>
        <v>0.70205518337685935</v>
      </c>
      <c r="DJ163" s="478">
        <f>SUM(DJ151:DJ158)/Model!DJ91</f>
        <v>0.65870812511567645</v>
      </c>
      <c r="DK163" s="251"/>
      <c r="DL163" s="488"/>
      <c r="DM163" s="478">
        <f>SUM(DM151:DM158)/Model!DM91</f>
        <v>0.98070969278399622</v>
      </c>
      <c r="DN163" s="478">
        <f>SUM(DN151:DN158)/Model!DN91</f>
        <v>0.72182499148791279</v>
      </c>
      <c r="DO163" s="478">
        <f>SUM(DO151:DO158)/Model!DO91</f>
        <v>0.72729566335367357</v>
      </c>
      <c r="DP163" s="478">
        <f>SUM(DP151:DP158)/Model!DP91</f>
        <v>0.66948795276474371</v>
      </c>
      <c r="DQ163" s="251"/>
      <c r="DR163" s="488"/>
      <c r="DS163" s="478">
        <f>SUM(DS151:DS158)/Model!DS91</f>
        <v>1.0507979047387015</v>
      </c>
      <c r="DT163" s="478">
        <f>SUM(DT151:DT158)/Model!DT91</f>
        <v>0.74783276637770213</v>
      </c>
      <c r="DU163" s="478">
        <f>SUM(DU151:DU158)/Model!DU91</f>
        <v>0.73389074693422518</v>
      </c>
      <c r="DV163" s="478">
        <f>SUM(DV151:DV158)/Model!DV91</f>
        <v>0.70997171790894986</v>
      </c>
      <c r="DW163" s="251"/>
      <c r="DX163" s="488"/>
      <c r="DY163" s="478">
        <f>SUM(DY151:DY158)/Model!DY91</f>
        <v>1.0584655769001312</v>
      </c>
      <c r="DZ163" s="478">
        <f>SUM(DZ151:DZ158)/Model!DZ91</f>
        <v>0.7552515350640957</v>
      </c>
      <c r="EA163" s="478">
        <f>SUM(EA151:EA158)/Model!EA91</f>
        <v>0.75609232420826622</v>
      </c>
      <c r="EB163" s="478">
        <f>SUM(EB151:EB158)/Model!EB91</f>
        <v>0.70678085820236625</v>
      </c>
      <c r="EC163" s="251"/>
      <c r="ED163" s="488"/>
      <c r="EE163" s="478">
        <f>SUM(EE151:EE158)/Model!EE91</f>
        <v>1.1315269217350854</v>
      </c>
      <c r="EF163" s="478">
        <f>SUM(EF151:EF158)/Model!EF91</f>
        <v>0.78674021648626147</v>
      </c>
      <c r="EG163" s="478">
        <f>SUM(EG151:EG158)/Model!EG91</f>
        <v>0.78240839940004281</v>
      </c>
      <c r="EH163" s="478">
        <f>SUM(EH151:EH158)/Model!EH91</f>
        <v>0.76232262882748325</v>
      </c>
      <c r="EI163" s="251"/>
      <c r="EJ163" s="488"/>
      <c r="EK163" s="478">
        <f>SUM(EK151:EK158)/Model!EK91</f>
        <v>1.2128742160691042</v>
      </c>
      <c r="EL163" s="478">
        <f>SUM(EL151:EL158)/Model!EL91</f>
        <v>0.90151178301467316</v>
      </c>
      <c r="EM163" s="478">
        <f>SUM(EM151:EM158)/Model!EM91</f>
        <v>0.90193033059684935</v>
      </c>
      <c r="EN163" s="478">
        <f>SUM(EN151:EN158)/Model!EN91</f>
        <v>0.84635711589278972</v>
      </c>
      <c r="EO163" s="251"/>
      <c r="EP163" s="488"/>
      <c r="EQ163" s="478">
        <f>SUM(EQ151:EQ158)/Model!EQ91</f>
        <v>1.2734238941135494</v>
      </c>
      <c r="ER163" s="478">
        <f>SUM(ER151:ER158)/Model!ER91</f>
        <v>0.98569094288946379</v>
      </c>
      <c r="ES163" s="250"/>
      <c r="ET163" s="478">
        <f>SUM(ET151:ET158)/Model!ET91</f>
        <v>0.9225847728726807</v>
      </c>
      <c r="EU163" s="251"/>
      <c r="EV163" s="488"/>
      <c r="EW163" s="478">
        <f>SUM(EW151:EW158)/Model!EW91</f>
        <v>1.343682153712549</v>
      </c>
      <c r="EX163" s="478"/>
      <c r="EY163" s="250"/>
      <c r="EZ163" s="250"/>
      <c r="FA163" s="251"/>
      <c r="FB163" s="488"/>
      <c r="FC163" s="250"/>
      <c r="FD163" s="250"/>
      <c r="FE163" s="250"/>
      <c r="FF163" s="250"/>
      <c r="FG163" s="251"/>
      <c r="FH163" s="488"/>
      <c r="FI163" s="250"/>
      <c r="FJ163" s="250"/>
      <c r="FK163" s="250"/>
      <c r="FL163" s="250"/>
      <c r="FM163" s="251"/>
      <c r="FN163" s="242"/>
      <c r="FO163" s="242"/>
      <c r="FP163" s="242"/>
      <c r="FQ163" s="242"/>
      <c r="FR163"/>
      <c r="FS163"/>
      <c r="FT163"/>
      <c r="FU163"/>
      <c r="FV163"/>
      <c r="FW163"/>
      <c r="FX163" s="135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</row>
    <row r="164" spans="1:274" s="24" customFormat="1" ht="10.5" customHeight="1" x14ac:dyDescent="0.2">
      <c r="A164" s="247" t="s">
        <v>1042</v>
      </c>
      <c r="B164" s="20"/>
      <c r="C164" s="250"/>
      <c r="D164" s="250"/>
      <c r="E164" s="42"/>
      <c r="F164" s="42"/>
      <c r="G164" s="42"/>
      <c r="H164" s="42"/>
      <c r="I164" s="42"/>
      <c r="J164" s="42"/>
      <c r="K164" s="42"/>
      <c r="L164" s="42"/>
      <c r="M164" s="42"/>
      <c r="N164" s="36"/>
      <c r="O164" s="42"/>
      <c r="P164" s="42"/>
      <c r="Q164" s="42"/>
      <c r="R164" s="42"/>
      <c r="S164" s="259"/>
      <c r="T164" s="36"/>
      <c r="U164" s="42"/>
      <c r="V164" s="42"/>
      <c r="W164" s="42"/>
      <c r="X164" s="42"/>
      <c r="Y164" s="259"/>
      <c r="Z164" s="466"/>
      <c r="AA164" s="42"/>
      <c r="AB164" s="42"/>
      <c r="AC164" s="42"/>
      <c r="AD164" s="42"/>
      <c r="AE164" s="250"/>
      <c r="AF164" s="466"/>
      <c r="AG164" s="42"/>
      <c r="AH164" s="42"/>
      <c r="AI164" s="42"/>
      <c r="AJ164" s="42"/>
      <c r="AK164" s="250"/>
      <c r="AL164" s="466"/>
      <c r="AM164" s="42"/>
      <c r="AN164" s="42"/>
      <c r="AO164" s="42"/>
      <c r="AP164" s="42"/>
      <c r="AQ164" s="250"/>
      <c r="AR164" s="466"/>
      <c r="AS164" s="42"/>
      <c r="AT164" s="42"/>
      <c r="AU164" s="42"/>
      <c r="AV164" s="42"/>
      <c r="AW164" s="250"/>
      <c r="AX164" s="466"/>
      <c r="AY164" s="42"/>
      <c r="AZ164" s="42"/>
      <c r="BA164" s="42"/>
      <c r="BB164" s="42"/>
      <c r="BC164" s="250"/>
      <c r="BD164" s="466"/>
      <c r="BE164" s="42"/>
      <c r="BF164" s="42"/>
      <c r="BG164" s="42"/>
      <c r="BH164" s="42"/>
      <c r="BI164" s="250"/>
      <c r="BJ164" s="215"/>
      <c r="BK164" s="42"/>
      <c r="BL164" s="42"/>
      <c r="BM164" s="42">
        <f>BM151/(Model!BS$46+Model!BN$46+Model!BQ$46+Model!BR$46)</f>
        <v>0.22417642502392129</v>
      </c>
      <c r="BN164" s="42">
        <f>BN151/(Model!BT$46+Model!BQ$46+Model!BR$46+Model!BS$46)</f>
        <v>0.25789357474056085</v>
      </c>
      <c r="BO164" s="250"/>
      <c r="BP164" s="36"/>
      <c r="BQ164" s="478">
        <f>BQ151/(Model!BW$46+Model!BR$46+Model!BS$46+Model!BT$46)</f>
        <v>0.29265681866837934</v>
      </c>
      <c r="BR164" s="478">
        <f>BR151/(Model!BX$46+Model!BS$46+Model!BT$46+Model!BW$46)</f>
        <v>0.23518402994385526</v>
      </c>
      <c r="BS164" s="478">
        <f>BS151/(Model!BY$46+Model!BT$46+Model!BW$46+Model!BX$46)</f>
        <v>0.21994191674733785</v>
      </c>
      <c r="BT164" s="478">
        <f>BT151/(Model!BZ$46+Model!BW$46+Model!BX$46+Model!BY$46)</f>
        <v>0.23517961422757033</v>
      </c>
      <c r="BU164" s="250"/>
      <c r="BV164" s="36"/>
      <c r="BW164" s="478">
        <f>BW151/(Model!CC$46+Model!BX$46+Model!BY$46+Model!BZ$46)</f>
        <v>0.26406147809025504</v>
      </c>
      <c r="BX164" s="478">
        <f>BX151/(Model!CD$46+Model!BY$46+Model!BZ$46+Model!CC$46)</f>
        <v>0.20490421455938698</v>
      </c>
      <c r="BY164" s="478">
        <f>BY151/(Model!CE$46+Model!BZ$46+Model!CC$46+Model!CD$46)</f>
        <v>0.24230769230769231</v>
      </c>
      <c r="BZ164" s="478">
        <f>BZ151/(Model!CF$46+Model!CC$46+Model!CD$46+Model!CE$46)</f>
        <v>0.28244166192373366</v>
      </c>
      <c r="CA164" s="250"/>
      <c r="CB164" s="36"/>
      <c r="CC164" s="42">
        <f>CC151/(Model!CI$46+Model!CD$46+Model!CE$46+Model!CF$46)</f>
        <v>0.31981616653149497</v>
      </c>
      <c r="CD164" s="42">
        <f>CD151/(Model!CJ$46+Model!CE$46+Model!CF$46+Model!CI$46)</f>
        <v>0.24701808387841478</v>
      </c>
      <c r="CE164" s="42">
        <f>CE151/(Model!CK$46+Model!CF$46+Model!CI$46+Model!CJ$46)</f>
        <v>0.25914596843264409</v>
      </c>
      <c r="CF164" s="478">
        <f>CF151/(Model!CL$46+Model!CI$46+Model!CJ$46+Model!CK$46)</f>
        <v>0.2928228544666901</v>
      </c>
      <c r="CG164" s="251"/>
      <c r="CH164" s="36"/>
      <c r="CI164" s="478">
        <f>CI151/(Model!CO$46+Model!CJ$46+Model!CK$46+Model!CL$46)</f>
        <v>0.32449593405369276</v>
      </c>
      <c r="CJ164" s="478">
        <f>CJ151/(Model!CP$46+Model!CK$46+Model!CL$46+Model!CO$46)</f>
        <v>0.25351517073686436</v>
      </c>
      <c r="CK164" s="478">
        <f>CK151/(Model!CQ$46+Model!CL$46+Model!CO$46+Model!CP$46)</f>
        <v>0.25858261393294518</v>
      </c>
      <c r="CL164" s="478">
        <f>CL151/(Model!CR$46+Model!CO$46+Model!CP$46+Model!CQ$46)</f>
        <v>0.29304273341581805</v>
      </c>
      <c r="CM164" s="251"/>
      <c r="CN164" s="261"/>
      <c r="CO164" s="478">
        <f>CO151/(Model!CU$46+Model!CP$46+Model!CQ$46+Model!CR$46)</f>
        <v>0.3321006584287905</v>
      </c>
      <c r="CP164" s="478">
        <f>CP151/(Model!CV$46+Model!CQ$46+Model!CR$46+Model!CU$46)</f>
        <v>0.26989106753812636</v>
      </c>
      <c r="CQ164" s="478">
        <f>CQ151/(Model!CW$46+Model!CR$46+Model!CU$46+Model!CV$46)</f>
        <v>0.26616936509282019</v>
      </c>
      <c r="CR164" s="478">
        <f>CR151/(Model!CX$46+Model!CU$46+Model!CV$46+Model!CW$46)</f>
        <v>0.32833208302075517</v>
      </c>
      <c r="CS164" s="251"/>
      <c r="CT164" s="232"/>
      <c r="CU164" s="478">
        <f>CU151/(Model!DA$46+Model!CV$46+Model!CW$46+Model!CX$46)</f>
        <v>0.37086640211640209</v>
      </c>
      <c r="CV164" s="478">
        <f>CV151/(Model!DB$46+Model!CW$46+Model!CX$46+Model!DA$46)</f>
        <v>0.27762130844129718</v>
      </c>
      <c r="CW164" s="1078">
        <v>0.27500000000000002</v>
      </c>
      <c r="CX164" s="1078">
        <v>0.31767132706853085</v>
      </c>
      <c r="CY164" s="251"/>
      <c r="CZ164" s="232"/>
      <c r="DA164" s="1078">
        <v>0.36214855521163986</v>
      </c>
      <c r="DB164" s="1078">
        <v>0.29114694379895567</v>
      </c>
      <c r="DC164" s="478">
        <f>DC151/(Model!DI$46+Model!DD$46+Model!DG$46+Model!DH$46)</f>
        <v>0.28875780707841775</v>
      </c>
      <c r="DD164" s="478">
        <f>DD151/(Model!DJ$46+Model!DG$46+Model!DH$46+Model!DI$46)</f>
        <v>0.30949668252798068</v>
      </c>
      <c r="DE164" s="251"/>
      <c r="DF164" s="232"/>
      <c r="DG164" s="478">
        <f>DG151/(Model!DM$46+Model!DH$46+Model!DI$46+Model!DJ$46)</f>
        <v>0.3575350429558814</v>
      </c>
      <c r="DH164" s="478">
        <f>DH151/(Model!DN$46+Model!DI$46+Model!DJ$46+Model!DM$46)</f>
        <v>0.2844909609895338</v>
      </c>
      <c r="DI164" s="478">
        <f>DI151/(Model!DO$46+Model!DJ$46+Model!DM$46+Model!DN$46)</f>
        <v>0.2837594078497232</v>
      </c>
      <c r="DJ164" s="478">
        <f>DJ151/(Model!DP$46+Model!DM$46+Model!DN$46+Model!DO$46)</f>
        <v>0.33126268528199765</v>
      </c>
      <c r="DK164" s="251"/>
      <c r="DL164" s="232"/>
      <c r="DM164" s="478">
        <f>DM151/(Model!DS$46+Model!DN$46+Model!DO$46+Model!DP$46)</f>
        <v>0.39672551774696074</v>
      </c>
      <c r="DN164" s="478">
        <f>DN151/(Model!DT$46+Model!DO$46+Model!DP$46+Model!DS$46)</f>
        <v>0.28737152130792809</v>
      </c>
      <c r="DO164" s="478">
        <f>DO151/(Model!DU$46+Model!DP$46+Model!DS$46+Model!DT$46)</f>
        <v>0.2894814639626323</v>
      </c>
      <c r="DP164" s="478">
        <f>DP151/(Model!DV$46+Model!DS$46+Model!DT$46+Model!DU$46)</f>
        <v>0.32435740514075889</v>
      </c>
      <c r="DQ164" s="251"/>
      <c r="DR164" s="232"/>
      <c r="DS164" s="478">
        <f>DS151/(Model!DY$46+Model!DT$46+Model!DU$46+Model!DV$46)</f>
        <v>0.38976152258656271</v>
      </c>
      <c r="DT164" s="478">
        <f>DT151/(Model!DZ$46+Model!DU$46+Model!DV$46+Model!DY$46)</f>
        <v>0.292931005255128</v>
      </c>
      <c r="DU164" s="478">
        <f>DU151/(Model!EA$46+Model!DV$46+Model!DY$46+Model!DZ$46)</f>
        <v>0.27798861480075904</v>
      </c>
      <c r="DV164" s="478">
        <f>DV151/(Model!EB$46+Model!DY$46+Model!DZ$46+Model!EA$46)</f>
        <v>0.31330660662309845</v>
      </c>
      <c r="DW164" s="251"/>
      <c r="DX164" s="232"/>
      <c r="DY164" s="478">
        <f>DY151/(Model!EE$46+Model!DZ$46+Model!EA$46+Model!EB$46)</f>
        <v>0.3821590663496866</v>
      </c>
      <c r="DZ164" s="478">
        <f>DZ151/(Model!EF$46+Model!EA$46+Model!EB$46+Model!EE$46)</f>
        <v>0.28858452355574504</v>
      </c>
      <c r="EA164" s="478">
        <f>EA151/(Model!EG$46+Model!EB$46+Model!EE$46+Model!EF$46)</f>
        <v>0.27662619943805333</v>
      </c>
      <c r="EB164" s="478">
        <f>EB151/(Model!EH$46+Model!EE$46+Model!EF$46+Model!EG$46)</f>
        <v>0.3133750530335172</v>
      </c>
      <c r="EC164" s="251"/>
      <c r="ED164" s="232"/>
      <c r="EE164" s="478">
        <f>EE151/(Model!EK$46+Model!EF$46+Model!EG$46+Model!EH$46)</f>
        <v>0.39836361704388479</v>
      </c>
      <c r="EF164" s="478">
        <f>EF151/(Model!EL$46+Model!EG$46+Model!EH$46+Model!EK$46)</f>
        <v>0.29468289557975658</v>
      </c>
      <c r="EG164" s="478">
        <f>EG151/(Model!EM$46+Model!EH$46+Model!EK$46+Model!EL$46)</f>
        <v>0.27688530714628812</v>
      </c>
      <c r="EH164" s="478">
        <f>EH151/(Model!EN$46+Model!EI$46+Model!EL$46+Model!EM$46)</f>
        <v>0.17063864579232657</v>
      </c>
      <c r="EI164" s="251"/>
      <c r="EJ164" s="232"/>
      <c r="EK164" s="478">
        <f>EK151/(Model!EQ$46+Model!EL$46+Model!EM$46+Model!EN$46)</f>
        <v>0.38433544303797468</v>
      </c>
      <c r="EL164" s="478">
        <f>EL151/(Model!ER$46+Model!EM$46+Model!EN$46+Model!EQ$46)</f>
        <v>0.28244555234846497</v>
      </c>
      <c r="EM164" s="478">
        <f>EM151/(Model!ES$46+Model!EN$46+Model!EO$46+Model!ER$46)</f>
        <v>0.15771094855353865</v>
      </c>
      <c r="EN164" s="478">
        <f>EN151/(Model!ET$46+Model!EO$46+Model!ER$46+Model!ES$46)</f>
        <v>0.17609080808384134</v>
      </c>
      <c r="EO164" s="251"/>
      <c r="EP164" s="232"/>
      <c r="EQ164" s="478">
        <f>EQ151/(Model!EW$46+Model!ER$46+Model!ES$46+Model!ET$46)</f>
        <v>0.38038993191664949</v>
      </c>
      <c r="ER164" s="478">
        <f>ER151/(Model!EX$46+Model!ES$46+Model!ET$46+Model!EW$46)</f>
        <v>0.27838266114604099</v>
      </c>
      <c r="ES164" s="42"/>
      <c r="ET164" s="478">
        <f>ET151/(Model!EZ$46+Model!EU$46+Model!EX$46+Model!EY$46)</f>
        <v>0.17347267830912147</v>
      </c>
      <c r="EU164" s="251"/>
      <c r="EV164" s="232"/>
      <c r="EW164" s="478">
        <f>EW151/(Model!FC$46+Model!EX$46+Model!EY$46+Model!EZ$46)</f>
        <v>0.38048730616021287</v>
      </c>
      <c r="EX164" s="478"/>
      <c r="EY164" s="42"/>
      <c r="EZ164" s="42"/>
      <c r="FA164" s="251"/>
      <c r="FB164" s="232"/>
      <c r="FC164" s="42"/>
      <c r="FD164" s="42"/>
      <c r="FE164" s="42"/>
      <c r="FF164" s="42"/>
      <c r="FG164" s="251"/>
      <c r="FH164" s="232"/>
      <c r="FI164" s="42"/>
      <c r="FJ164" s="42"/>
      <c r="FK164" s="42"/>
      <c r="FL164" s="42"/>
      <c r="FM164" s="251"/>
      <c r="FN164" s="215"/>
      <c r="FO164" s="215"/>
      <c r="FP164" s="215"/>
      <c r="FQ164" s="215"/>
      <c r="FR164"/>
      <c r="FS164"/>
      <c r="FT164"/>
      <c r="FU164"/>
      <c r="FV164"/>
      <c r="FW164"/>
      <c r="FX164" s="33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</row>
    <row r="165" spans="1:274" s="24" customFormat="1" ht="10.5" customHeight="1" x14ac:dyDescent="0.2">
      <c r="A165" s="247"/>
      <c r="B165" s="20"/>
      <c r="C165" s="272"/>
      <c r="D165" s="272"/>
      <c r="E165" s="272"/>
      <c r="F165" s="272"/>
      <c r="G165" s="272"/>
      <c r="H165" s="272"/>
      <c r="I165" s="272"/>
      <c r="J165" s="272"/>
      <c r="K165" s="272"/>
      <c r="L165" s="272"/>
      <c r="M165" s="272"/>
      <c r="N165" s="261"/>
      <c r="O165" s="42"/>
      <c r="P165" s="42"/>
      <c r="Q165" s="42"/>
      <c r="R165" s="42"/>
      <c r="S165" s="259"/>
      <c r="T165" s="261"/>
      <c r="U165" s="272"/>
      <c r="V165" s="272"/>
      <c r="W165" s="272"/>
      <c r="X165" s="272"/>
      <c r="Y165" s="272"/>
      <c r="Z165" s="261"/>
      <c r="AA165" s="272"/>
      <c r="AB165" s="272"/>
      <c r="AC165" s="272"/>
      <c r="AD165" s="272"/>
      <c r="AE165" s="272"/>
      <c r="AF165" s="261"/>
      <c r="AG165" s="272"/>
      <c r="AH165" s="272"/>
      <c r="AI165" s="272"/>
      <c r="AJ165" s="272"/>
      <c r="AK165" s="272"/>
      <c r="AL165" s="261"/>
      <c r="AM165" s="272"/>
      <c r="AN165" s="272"/>
      <c r="AO165" s="272"/>
      <c r="AP165" s="272"/>
      <c r="AQ165" s="272"/>
      <c r="AR165" s="261"/>
      <c r="AS165" s="272"/>
      <c r="AT165" s="272"/>
      <c r="AU165" s="272"/>
      <c r="AV165" s="272"/>
      <c r="AW165" s="272"/>
      <c r="AX165" s="272"/>
      <c r="AY165" s="272"/>
      <c r="AZ165" s="272"/>
      <c r="BA165" s="272"/>
      <c r="BB165" s="272"/>
      <c r="BC165" s="272"/>
      <c r="BD165" s="261"/>
      <c r="BE165" s="272"/>
      <c r="BF165" s="272"/>
      <c r="BG165" s="272"/>
      <c r="BH165" s="242"/>
      <c r="BI165" s="272"/>
      <c r="BJ165" s="261"/>
      <c r="BK165" s="272"/>
      <c r="BL165" s="242"/>
      <c r="BM165" s="242"/>
      <c r="BN165" s="242"/>
      <c r="BO165" s="272"/>
      <c r="BP165" s="261"/>
      <c r="BQ165" s="242"/>
      <c r="BR165" s="259"/>
      <c r="BS165" s="259"/>
      <c r="BT165" s="250"/>
      <c r="BU165" s="250"/>
      <c r="BV165" s="261"/>
      <c r="BW165" s="250"/>
      <c r="BX165" s="250"/>
      <c r="BY165" s="250"/>
      <c r="BZ165" s="250"/>
      <c r="CA165" s="250"/>
      <c r="CB165" s="261"/>
      <c r="CC165" s="250"/>
      <c r="CD165" s="250"/>
      <c r="CE165" s="250"/>
      <c r="CF165" s="250"/>
      <c r="CG165" s="251"/>
      <c r="CH165" s="261"/>
      <c r="CI165" s="42"/>
      <c r="CJ165" s="42"/>
      <c r="CK165" s="42"/>
      <c r="CL165" s="42"/>
      <c r="CM165" s="251"/>
      <c r="CN165" s="261"/>
      <c r="CO165" s="42"/>
      <c r="CP165" s="42"/>
      <c r="CQ165" s="42"/>
      <c r="CR165" s="42"/>
      <c r="CS165" s="251"/>
      <c r="CT165" s="488"/>
      <c r="CU165" s="42"/>
      <c r="CV165" s="42"/>
      <c r="CW165" s="42"/>
      <c r="CX165" s="42"/>
      <c r="CY165" s="251"/>
      <c r="CZ165" s="488"/>
      <c r="DA165" s="250"/>
      <c r="DB165" s="42"/>
      <c r="DC165" s="250"/>
      <c r="DD165" s="250"/>
      <c r="DE165" s="251"/>
      <c r="DF165" s="488"/>
      <c r="DG165" s="250"/>
      <c r="DH165" s="250"/>
      <c r="DI165" s="250"/>
      <c r="DJ165" s="250"/>
      <c r="DK165" s="251"/>
      <c r="DL165" s="488"/>
      <c r="DM165" s="1194">
        <f>AVERAGE(DG162,DA162,CU162,CO162,CI162)</f>
        <v>0.12246049620391068</v>
      </c>
      <c r="DN165" s="250"/>
      <c r="DO165" s="250"/>
      <c r="DP165" s="250"/>
      <c r="DQ165" s="251"/>
      <c r="DR165" s="488"/>
      <c r="DS165" s="1194">
        <f>AVERAGE(DM162,DG162,DA162,CU162,CO162)</f>
        <v>0.1297513807575561</v>
      </c>
      <c r="DT165" s="250"/>
      <c r="DU165" s="250"/>
      <c r="DV165" s="250"/>
      <c r="DW165" s="251"/>
      <c r="DX165" s="488"/>
      <c r="DY165" s="1194">
        <f>AVERAGE(DS162,DM162,DG162,DA162,CU162)</f>
        <v>0.13784802868772089</v>
      </c>
      <c r="DZ165" s="250"/>
      <c r="EA165" s="250"/>
      <c r="EB165" s="250"/>
      <c r="EC165" s="251"/>
      <c r="ED165" s="488"/>
      <c r="EE165" s="1194">
        <f>AVERAGE(DY162,DS162,DM162,DG162,DA162)</f>
        <v>0.13369911784377375</v>
      </c>
      <c r="EF165" s="250"/>
      <c r="EG165" s="250"/>
      <c r="EH165" s="250"/>
      <c r="EI165" s="251"/>
      <c r="EJ165" s="488"/>
      <c r="EK165" s="1194">
        <f>AVERAGE(EE162,DY162,DS162,DM162,DG162)</f>
        <v>0.135249695293369</v>
      </c>
      <c r="EL165" s="250"/>
      <c r="EM165" s="250"/>
      <c r="EN165" s="250"/>
      <c r="EO165" s="251"/>
      <c r="EP165" s="488"/>
      <c r="EQ165" s="1194">
        <f>AVERAGE(EK162,EE162,DY162,DS162,DM162)</f>
        <v>0.15549236278426345</v>
      </c>
      <c r="ER165" s="250"/>
      <c r="ES165" s="250"/>
      <c r="ET165" s="250"/>
      <c r="EU165" s="251"/>
      <c r="EV165" s="488"/>
      <c r="EW165" s="1194">
        <f>AVERAGE(EQ162,EK162,EE162,DY162,DS162)</f>
        <v>0.20992380601043434</v>
      </c>
      <c r="EX165" s="250"/>
      <c r="EY165" s="250"/>
      <c r="EZ165" s="250"/>
      <c r="FA165" s="251"/>
      <c r="FB165" s="488"/>
      <c r="FC165" s="250"/>
      <c r="FD165" s="250"/>
      <c r="FE165" s="250"/>
      <c r="FF165" s="250"/>
      <c r="FG165" s="251"/>
      <c r="FH165" s="488"/>
      <c r="FI165" s="250"/>
      <c r="FJ165" s="250"/>
      <c r="FK165" s="250"/>
      <c r="FL165" s="250"/>
      <c r="FM165" s="251"/>
      <c r="FN165" s="242"/>
      <c r="FO165" s="242"/>
      <c r="FP165" s="242"/>
      <c r="FQ165" s="242"/>
      <c r="FR165"/>
      <c r="FS165"/>
      <c r="FT165"/>
      <c r="FU165"/>
      <c r="FV165"/>
      <c r="FW165"/>
      <c r="FX165" s="13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</row>
    <row r="166" spans="1:274" s="24" customFormat="1" ht="10.5" customHeight="1" x14ac:dyDescent="0.2">
      <c r="A166" s="60" t="s">
        <v>1043</v>
      </c>
      <c r="B166" s="476"/>
      <c r="C166" s="435"/>
      <c r="D166" s="435"/>
      <c r="E166" s="435"/>
      <c r="F166" s="435"/>
      <c r="G166" s="435"/>
      <c r="H166" s="435"/>
      <c r="I166" s="435"/>
      <c r="J166" s="435"/>
      <c r="K166" s="435"/>
      <c r="L166" s="435"/>
      <c r="M166" s="435"/>
      <c r="N166" s="276"/>
      <c r="O166" s="477"/>
      <c r="P166" s="477"/>
      <c r="Q166" s="477"/>
      <c r="R166" s="477"/>
      <c r="S166" s="59"/>
      <c r="T166" s="276"/>
      <c r="U166" s="435"/>
      <c r="V166" s="435"/>
      <c r="W166" s="435"/>
      <c r="X166" s="435"/>
      <c r="Y166" s="435"/>
      <c r="Z166" s="276"/>
      <c r="AA166" s="435"/>
      <c r="AB166" s="435"/>
      <c r="AC166" s="435"/>
      <c r="AD166" s="435"/>
      <c r="AE166" s="435"/>
      <c r="AF166" s="276"/>
      <c r="AG166" s="435"/>
      <c r="AH166" s="435"/>
      <c r="AI166" s="435"/>
      <c r="AJ166" s="435"/>
      <c r="AK166" s="435"/>
      <c r="AL166" s="276"/>
      <c r="AM166" s="435"/>
      <c r="AN166" s="435"/>
      <c r="AO166" s="435"/>
      <c r="AP166" s="435"/>
      <c r="AQ166" s="435"/>
      <c r="AR166" s="276"/>
      <c r="AS166" s="435"/>
      <c r="AT166" s="435"/>
      <c r="AU166" s="435"/>
      <c r="AV166" s="435"/>
      <c r="AW166" s="435"/>
      <c r="AX166" s="435"/>
      <c r="AY166" s="435"/>
      <c r="AZ166" s="435"/>
      <c r="BA166" s="435"/>
      <c r="BB166" s="435"/>
      <c r="BC166" s="435"/>
      <c r="BD166" s="276"/>
      <c r="BE166" s="435"/>
      <c r="BF166" s="435"/>
      <c r="BG166" s="435"/>
      <c r="BH166" s="60"/>
      <c r="BI166" s="435"/>
      <c r="BJ166" s="276"/>
      <c r="BK166" s="435"/>
      <c r="BL166" s="60"/>
      <c r="BM166" s="60"/>
      <c r="BN166" s="60"/>
      <c r="BO166" s="477">
        <f>Model!BO46+('Balance Sheet'!BO151-'Balance Sheet'!BI151)</f>
        <v>4146.3999999999996</v>
      </c>
      <c r="BP166" s="276"/>
      <c r="BQ166" s="477">
        <f>Model!BQ46+('Balance Sheet'!BQ151-'Balance Sheet'!BN151)</f>
        <v>1233</v>
      </c>
      <c r="BR166" s="477">
        <f>Model!BR46+('Balance Sheet'!BR151-'Balance Sheet'!BQ151)</f>
        <v>878</v>
      </c>
      <c r="BS166" s="477">
        <f>Model!BS46+('Balance Sheet'!BS151-'Balance Sheet'!BR151)</f>
        <v>1181</v>
      </c>
      <c r="BT166" s="477">
        <f>Model!BT46+('Balance Sheet'!BT151-'Balance Sheet'!BS151)</f>
        <v>1398</v>
      </c>
      <c r="BU166" s="477">
        <f>SUM(BQ166:BT166)</f>
        <v>4690</v>
      </c>
      <c r="BV166" s="276"/>
      <c r="BW166" s="477">
        <f>Model!BW46+('Balance Sheet'!BW151-'Balance Sheet'!BT151)</f>
        <v>1462</v>
      </c>
      <c r="BX166" s="477">
        <f>Model!BX46+('Balance Sheet'!BX151-'Balance Sheet'!BW151)</f>
        <v>974</v>
      </c>
      <c r="BY166" s="477">
        <f>Model!BY46+('Balance Sheet'!BY151-'Balance Sheet'!BX151)</f>
        <v>1833</v>
      </c>
      <c r="BZ166" s="477">
        <f>Model!BZ46+('Balance Sheet'!BZ151-'Balance Sheet'!BY151)</f>
        <v>2038</v>
      </c>
      <c r="CA166" s="477">
        <f>SUM(BW166:BZ166)</f>
        <v>6307</v>
      </c>
      <c r="CB166" s="276"/>
      <c r="CC166" s="477">
        <f>Model!CC46+('Balance Sheet'!CC151-'Balance Sheet'!BZ151)</f>
        <v>2022</v>
      </c>
      <c r="CD166" s="477">
        <f>Model!CD46+('Balance Sheet'!CD151-'Balance Sheet'!CC151)</f>
        <v>1221</v>
      </c>
      <c r="CE166" s="477">
        <f>Model!CE46+('Balance Sheet'!CE151-'Balance Sheet'!CD151)</f>
        <v>1959</v>
      </c>
      <c r="CF166" s="477">
        <f>Model!CF46+('Balance Sheet'!CF151-'Balance Sheet'!CE151)</f>
        <v>2342</v>
      </c>
      <c r="CG166" s="487">
        <f>SUM(CC166:CF166)</f>
        <v>7544</v>
      </c>
      <c r="CH166" s="276"/>
      <c r="CI166" s="477">
        <f>Model!CI46+('Balance Sheet'!CI151-'Balance Sheet'!CF151)</f>
        <v>2423</v>
      </c>
      <c r="CJ166" s="477">
        <f>Model!CJ46+('Balance Sheet'!CJ151-'Balance Sheet'!CI151)</f>
        <v>1545</v>
      </c>
      <c r="CK166" s="477">
        <f>Model!CK46+('Balance Sheet'!CK151-'Balance Sheet'!CJ151)</f>
        <v>2321</v>
      </c>
      <c r="CL166" s="477">
        <f>Model!CL46+('Balance Sheet'!CL151-'Balance Sheet'!CK151)</f>
        <v>2830</v>
      </c>
      <c r="CM166" s="487">
        <f>SUM(CI166:CL166)</f>
        <v>9119</v>
      </c>
      <c r="CN166" s="276"/>
      <c r="CO166" s="477">
        <f>Model!CO46+('Balance Sheet'!CO151-'Balance Sheet'!CL151)</f>
        <v>3050</v>
      </c>
      <c r="CP166" s="477">
        <f>Model!CP46+('Balance Sheet'!CP151-'Balance Sheet'!CO151)</f>
        <v>1957</v>
      </c>
      <c r="CQ166" s="477">
        <f>Model!CQ46+('Balance Sheet'!CQ151-'Balance Sheet'!CP151)</f>
        <v>2689</v>
      </c>
      <c r="CR166" s="477">
        <f>Model!CR46+('Balance Sheet'!CR151-'Balance Sheet'!CQ151)</f>
        <v>3671</v>
      </c>
      <c r="CS166" s="487">
        <f>SUM(CO166:CR166)</f>
        <v>11367</v>
      </c>
      <c r="CT166" s="488"/>
      <c r="CU166" s="477">
        <f>Model!CU46+('Balance Sheet'!CU151-'Balance Sheet'!CR151)</f>
        <v>3574</v>
      </c>
      <c r="CV166" s="477">
        <f>Model!CV46+('Balance Sheet'!CV151-'Balance Sheet'!CU151)</f>
        <v>1894</v>
      </c>
      <c r="CW166" s="477">
        <f>Model!CW46+('Balance Sheet'!CW151-'Balance Sheet'!CV151)</f>
        <v>3027</v>
      </c>
      <c r="CX166" s="477">
        <f>Model!CX46+('Balance Sheet'!CX151-'Balance Sheet'!CW151)</f>
        <v>3721</v>
      </c>
      <c r="CY166" s="487">
        <f>SUM(CU166:CX166)</f>
        <v>12216</v>
      </c>
      <c r="CZ166" s="488"/>
      <c r="DA166" s="477">
        <f>Model!DA46+('Balance Sheet'!DA151-'Balance Sheet'!CX151)</f>
        <v>3808</v>
      </c>
      <c r="DB166" s="477">
        <f>Model!DB46+('Balance Sheet'!DB151-'Balance Sheet'!DA151)</f>
        <v>2407</v>
      </c>
      <c r="DC166" s="477">
        <f>Model!DC46+('Balance Sheet'!DC151-'Balance Sheet'!DB151)</f>
        <v>3498</v>
      </c>
      <c r="DD166" s="477">
        <f>Model!DD46+('Balance Sheet'!DD151-'Balance Sheet'!DC151)</f>
        <v>3924</v>
      </c>
      <c r="DE166" s="487">
        <f>SUM(DA166:DD166)</f>
        <v>13637</v>
      </c>
      <c r="DF166" s="488"/>
      <c r="DG166" s="477">
        <f>Model!DG46+('Balance Sheet'!DG151-'Balance Sheet'!DD151)</f>
        <v>4392</v>
      </c>
      <c r="DH166" s="477">
        <f>Model!DH46+('Balance Sheet'!DH151-'Balance Sheet'!DG151)</f>
        <v>2662</v>
      </c>
      <c r="DI166" s="477">
        <f>Model!DI46+('Balance Sheet'!DI151-'Balance Sheet'!DH151)</f>
        <v>3833</v>
      </c>
      <c r="DJ166" s="477">
        <f>Model!DJ46+('Balance Sheet'!DJ151-'Balance Sheet'!DI151)</f>
        <v>4802</v>
      </c>
      <c r="DK166" s="251"/>
      <c r="DL166" s="488"/>
      <c r="DM166" s="477">
        <f>Model!DM46+('Balance Sheet'!DM151-'Balance Sheet'!DJ151)</f>
        <v>5143</v>
      </c>
      <c r="DN166" s="477">
        <f>Model!DN46+('Balance Sheet'!DN151-'Balance Sheet'!DM151)</f>
        <v>2283</v>
      </c>
      <c r="DO166" s="477">
        <f>Model!DO46+('Balance Sheet'!DO151-'Balance Sheet'!DN151)</f>
        <v>4183</v>
      </c>
      <c r="DP166" s="477">
        <f>Model!DP46+('Balance Sheet'!DP151-'Balance Sheet'!DO151)</f>
        <v>4829</v>
      </c>
      <c r="DQ166" s="251"/>
      <c r="DR166" s="488"/>
      <c r="DS166" s="477">
        <f>Model!DS46+('Balance Sheet'!DS151-'Balance Sheet'!DP151)</f>
        <v>5379</v>
      </c>
      <c r="DT166" s="477">
        <f>Model!DT46+('Balance Sheet'!DT151-'Balance Sheet'!DS151)</f>
        <v>2649</v>
      </c>
      <c r="DU166" s="477">
        <f>Model!DU46+('Balance Sheet'!DU151-'Balance Sheet'!DT151)</f>
        <v>4141</v>
      </c>
      <c r="DV166" s="477">
        <f>Model!DV46+('Balance Sheet'!DV151-'Balance Sheet'!DU151)</f>
        <v>5128</v>
      </c>
      <c r="DW166" s="251"/>
      <c r="DX166" s="488"/>
      <c r="DY166" s="477">
        <f>Model!DY46+('Balance Sheet'!DY151-'Balance Sheet'!DV151)</f>
        <v>5800</v>
      </c>
      <c r="DZ166" s="477">
        <f>Model!DZ46+('Balance Sheet'!DZ151-'Balance Sheet'!DY151)</f>
        <v>2859</v>
      </c>
      <c r="EA166" s="477">
        <f>Model!EA46+('Balance Sheet'!EA151-'Balance Sheet'!DZ151)</f>
        <v>4368</v>
      </c>
      <c r="EB166" s="477">
        <f>Model!EB46+('Balance Sheet'!EB151-'Balance Sheet'!EA151)</f>
        <v>5386</v>
      </c>
      <c r="EC166" s="251"/>
      <c r="ED166" s="488"/>
      <c r="EE166" s="477">
        <f>Model!EE46+('Balance Sheet'!EE151-'Balance Sheet'!EB151)</f>
        <v>6320</v>
      </c>
      <c r="EF166" s="477">
        <f>Model!EF46+('Balance Sheet'!EF151-'Balance Sheet'!EE151)</f>
        <v>2795</v>
      </c>
      <c r="EG166" s="477">
        <f>Model!EG46+('Balance Sheet'!EG151-'Balance Sheet'!EF151)</f>
        <v>4332</v>
      </c>
      <c r="EH166" s="477">
        <f>Model!EH46+('Balance Sheet'!EH151-'Balance Sheet'!EG151)</f>
        <v>5135</v>
      </c>
      <c r="EI166" s="251"/>
      <c r="EJ166" s="488"/>
      <c r="EK166" s="477">
        <f>Model!EK46+('Balance Sheet'!EK151-'Balance Sheet'!EH151)</f>
        <v>6349</v>
      </c>
      <c r="EL166" s="477">
        <f>Model!EL46+('Balance Sheet'!EL151-'Balance Sheet'!EK151)</f>
        <v>2778</v>
      </c>
      <c r="EM166" s="477">
        <f>Model!EM46+('Balance Sheet'!EM151-'Balance Sheet'!EL151)</f>
        <v>4526</v>
      </c>
      <c r="EN166" s="477">
        <f>Model!EN46+('Balance Sheet'!EN151-'Balance Sheet'!EM151)</f>
        <v>5440</v>
      </c>
      <c r="EO166" s="251"/>
      <c r="EP166" s="488"/>
      <c r="EQ166" s="477">
        <f>Model!EQ46+('Balance Sheet'!EQ151-'Balance Sheet'!EN151)</f>
        <v>6304</v>
      </c>
      <c r="ER166" s="477">
        <f>Model!ER46+('Balance Sheet'!ER151-'Balance Sheet'!EQ151)</f>
        <v>2849</v>
      </c>
      <c r="ES166" s="250"/>
      <c r="ET166" s="477">
        <f>Model!ET46+('Balance Sheet'!ET151-'Balance Sheet'!ES151)</f>
        <v>5686</v>
      </c>
      <c r="EU166" s="251"/>
      <c r="EV166" s="488"/>
      <c r="EW166" s="477">
        <f>Model!EW46+('Balance Sheet'!EW151-'Balance Sheet'!ET151)</f>
        <v>6689</v>
      </c>
      <c r="EX166" s="477"/>
      <c r="EY166" s="250"/>
      <c r="EZ166" s="250"/>
      <c r="FA166" s="251"/>
      <c r="FB166" s="488"/>
      <c r="FC166" s="250"/>
      <c r="FD166" s="250"/>
      <c r="FE166" s="250"/>
      <c r="FF166" s="250"/>
      <c r="FG166" s="251"/>
      <c r="FH166" s="488"/>
      <c r="FI166" s="250"/>
      <c r="FJ166" s="250"/>
      <c r="FK166" s="250"/>
      <c r="FL166" s="250"/>
      <c r="FM166" s="251"/>
      <c r="FN166" s="242"/>
      <c r="FO166" s="242"/>
      <c r="FP166" s="242"/>
      <c r="FQ166" s="242"/>
      <c r="FR166"/>
      <c r="FS166"/>
      <c r="FT166"/>
      <c r="FU166"/>
      <c r="FV166"/>
      <c r="FW166"/>
      <c r="FX166" s="33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</row>
    <row r="167" spans="1:274" s="24" customFormat="1" ht="10.5" customHeight="1" x14ac:dyDescent="0.2">
      <c r="A167" s="261" t="s">
        <v>498</v>
      </c>
      <c r="B167" s="20"/>
      <c r="C167" s="272"/>
      <c r="D167" s="272"/>
      <c r="E167" s="272"/>
      <c r="F167" s="272"/>
      <c r="G167" s="272"/>
      <c r="H167" s="272"/>
      <c r="I167" s="272"/>
      <c r="J167" s="272"/>
      <c r="K167" s="272"/>
      <c r="L167" s="272"/>
      <c r="M167" s="272"/>
      <c r="N167" s="261"/>
      <c r="O167" s="42"/>
      <c r="P167" s="42"/>
      <c r="Q167" s="42"/>
      <c r="R167" s="42"/>
      <c r="S167" s="259"/>
      <c r="T167" s="261"/>
      <c r="U167" s="272"/>
      <c r="V167" s="272"/>
      <c r="W167" s="272"/>
      <c r="X167" s="272"/>
      <c r="Y167" s="272"/>
      <c r="Z167" s="261"/>
      <c r="AA167" s="272"/>
      <c r="AB167" s="272"/>
      <c r="AC167" s="272"/>
      <c r="AD167" s="272"/>
      <c r="AE167" s="272"/>
      <c r="AF167" s="261"/>
      <c r="AG167" s="272"/>
      <c r="AH167" s="272"/>
      <c r="AI167" s="272"/>
      <c r="AJ167" s="272"/>
      <c r="AK167" s="272"/>
      <c r="AL167" s="261"/>
      <c r="AM167" s="272"/>
      <c r="AN167" s="272"/>
      <c r="AO167" s="272"/>
      <c r="AP167" s="272"/>
      <c r="AQ167" s="272"/>
      <c r="AR167" s="261"/>
      <c r="AS167" s="272"/>
      <c r="AT167" s="272"/>
      <c r="AU167" s="272"/>
      <c r="AV167" s="272"/>
      <c r="AW167" s="272"/>
      <c r="AX167" s="272"/>
      <c r="AY167" s="272"/>
      <c r="AZ167" s="272"/>
      <c r="BA167" s="272"/>
      <c r="BB167" s="272"/>
      <c r="BC167" s="272"/>
      <c r="BD167" s="261"/>
      <c r="BE167" s="272"/>
      <c r="BF167" s="272"/>
      <c r="BG167" s="272"/>
      <c r="BH167" s="242"/>
      <c r="BI167" s="272"/>
      <c r="BJ167" s="261"/>
      <c r="BK167" s="272"/>
      <c r="BL167" s="242"/>
      <c r="BM167" s="242"/>
      <c r="BN167" s="242"/>
      <c r="BO167" s="272"/>
      <c r="BP167" s="261"/>
      <c r="BQ167" s="242"/>
      <c r="BR167" s="259"/>
      <c r="BS167" s="259"/>
      <c r="BT167" s="250"/>
      <c r="BU167" s="250"/>
      <c r="BV167" s="261"/>
      <c r="BW167" s="478">
        <f>BW166/BQ166-1</f>
        <v>0.18572587185725875</v>
      </c>
      <c r="BX167" s="478">
        <f>BX166/BR166-1</f>
        <v>0.10933940774487461</v>
      </c>
      <c r="BY167" s="478">
        <f>BY166/BS166-1</f>
        <v>0.55207451312447087</v>
      </c>
      <c r="BZ167" s="478">
        <f>BZ166/BT166-1</f>
        <v>0.45779685264663805</v>
      </c>
      <c r="CA167" s="478">
        <f>CA166/BU166-1</f>
        <v>0.34477611940298503</v>
      </c>
      <c r="CB167" s="261"/>
      <c r="CC167" s="478">
        <f>CC166/BW166-1</f>
        <v>0.38303693570451447</v>
      </c>
      <c r="CD167" s="478">
        <f>CD166/BX166-1</f>
        <v>0.25359342915811078</v>
      </c>
      <c r="CE167" s="478">
        <f>CE166/BY166-1</f>
        <v>6.8739770867430439E-2</v>
      </c>
      <c r="CF167" s="478">
        <f>CF166/BZ166-1</f>
        <v>0.14916584887144269</v>
      </c>
      <c r="CG167" s="486">
        <f>CG166/CA166-1</f>
        <v>0.19613128270176006</v>
      </c>
      <c r="CH167" s="261"/>
      <c r="CI167" s="478">
        <f>CI166/CC166-1</f>
        <v>0.19831849653808109</v>
      </c>
      <c r="CJ167" s="478">
        <f>CJ166/CD166-1</f>
        <v>0.26535626535626533</v>
      </c>
      <c r="CK167" s="478">
        <f>CK166/CE166-1</f>
        <v>0.18478815722307296</v>
      </c>
      <c r="CL167" s="478">
        <f>CL166/CF166-1</f>
        <v>0.20836891545687442</v>
      </c>
      <c r="CM167" s="486">
        <f>CM166/CG166-1</f>
        <v>0.20877518557794272</v>
      </c>
      <c r="CN167" s="261"/>
      <c r="CO167" s="478">
        <f>CO166/CI166-1</f>
        <v>0.25877011968633923</v>
      </c>
      <c r="CP167" s="478">
        <f>CP166/CJ166-1</f>
        <v>0.26666666666666661</v>
      </c>
      <c r="CQ167" s="478">
        <f>CQ166/CK166-1</f>
        <v>0.15855234812580776</v>
      </c>
      <c r="CR167" s="478">
        <f>CR166/CL166-1</f>
        <v>0.29717314487632507</v>
      </c>
      <c r="CS167" s="486">
        <f>CS166/CM166-1</f>
        <v>0.24651825858098486</v>
      </c>
      <c r="CT167" s="488"/>
      <c r="CU167" s="478">
        <f>CU166/CO166-1</f>
        <v>0.17180327868852463</v>
      </c>
      <c r="CV167" s="478">
        <f>CV166/CP166-1</f>
        <v>-3.2192130812468078E-2</v>
      </c>
      <c r="CW167" s="478">
        <f>CW166/CQ166-1</f>
        <v>0.12569728523614732</v>
      </c>
      <c r="CX167" s="478">
        <f>CX166/CR166-1</f>
        <v>1.3620266957232285E-2</v>
      </c>
      <c r="CY167" s="486">
        <f>CY166/CS166-1</f>
        <v>7.4689891792029561E-2</v>
      </c>
      <c r="CZ167" s="488"/>
      <c r="DA167" s="478">
        <f>DA166/CU166-1</f>
        <v>6.5472859541130468E-2</v>
      </c>
      <c r="DB167" s="478">
        <f>DB166/CV166-1</f>
        <v>0.2708553326293559</v>
      </c>
      <c r="DC167" s="478">
        <f>DC166/CW166-1</f>
        <v>0.15559960356788904</v>
      </c>
      <c r="DD167" s="478">
        <f>DD166/CX166-1</f>
        <v>5.4555227089492009E-2</v>
      </c>
      <c r="DE167" s="486">
        <f>DE166/CY166-1</f>
        <v>0.11632285527177477</v>
      </c>
      <c r="DF167" s="488"/>
      <c r="DG167" s="478">
        <f>DG166/DA166-1</f>
        <v>0.15336134453781503</v>
      </c>
      <c r="DH167" s="478">
        <f>DH166/DB166-1</f>
        <v>0.105941005400914</v>
      </c>
      <c r="DI167" s="478">
        <f>DI166/DC166-1</f>
        <v>9.5769010863350434E-2</v>
      </c>
      <c r="DJ167" s="478">
        <f>DJ166/DD166-1</f>
        <v>0.22375127420998986</v>
      </c>
      <c r="DK167" s="251"/>
      <c r="DL167" s="488"/>
      <c r="DM167" s="478">
        <f>DM166/DG166-1</f>
        <v>0.17099271402550098</v>
      </c>
      <c r="DN167" s="478">
        <f>DN166/DH166-1</f>
        <v>-0.14237415477084903</v>
      </c>
      <c r="DO167" s="478">
        <f>DO166/DI166-1</f>
        <v>9.1312288025045651E-2</v>
      </c>
      <c r="DP167" s="478">
        <f>DP166/DJ166-1</f>
        <v>5.6226572261557362E-3</v>
      </c>
      <c r="DQ167" s="251"/>
      <c r="DR167" s="488"/>
      <c r="DS167" s="478">
        <f>DS166/DM166-1</f>
        <v>4.5887614232938079E-2</v>
      </c>
      <c r="DT167" s="478">
        <f>DT166/DN166-1</f>
        <v>0.16031537450722744</v>
      </c>
      <c r="DU167" s="478">
        <f>DU166/DO166-1</f>
        <v>-1.0040640688501079E-2</v>
      </c>
      <c r="DV167" s="478">
        <f>DV166/DP166-1</f>
        <v>6.1917581279768097E-2</v>
      </c>
      <c r="DW167" s="251"/>
      <c r="DX167" s="488"/>
      <c r="DY167" s="478">
        <f>DY166/DS166-1</f>
        <v>7.8267335936047511E-2</v>
      </c>
      <c r="DZ167" s="478">
        <f>DZ166/DT166-1</f>
        <v>7.9275198187995555E-2</v>
      </c>
      <c r="EA167" s="478">
        <f>EA166/DU166-1</f>
        <v>5.4817676889640232E-2</v>
      </c>
      <c r="EB167" s="478">
        <f>EB166/DV166-1</f>
        <v>5.0312012480499213E-2</v>
      </c>
      <c r="EC167" s="251"/>
      <c r="ED167" s="488"/>
      <c r="EE167" s="478">
        <f>EE166/DY166-1</f>
        <v>8.9655172413793061E-2</v>
      </c>
      <c r="EF167" s="478">
        <f>EF166/DZ166-1</f>
        <v>-2.2385449457852369E-2</v>
      </c>
      <c r="EG167" s="478">
        <f>EG166/EA166-1</f>
        <v>-8.2417582417582125E-3</v>
      </c>
      <c r="EH167" s="478">
        <f>EH166/EB166-1</f>
        <v>-4.6602302265131845E-2</v>
      </c>
      <c r="EI167" s="251"/>
      <c r="EJ167" s="488"/>
      <c r="EK167" s="478">
        <f>EK166/EE166-1</f>
        <v>4.5886075949366223E-3</v>
      </c>
      <c r="EL167" s="478">
        <f>EL166/EF166-1</f>
        <v>-6.082289803220009E-3</v>
      </c>
      <c r="EM167" s="478">
        <f>EM166/EG166-1</f>
        <v>4.4783010156971281E-2</v>
      </c>
      <c r="EN167" s="478">
        <f>EN166/EH166-1</f>
        <v>5.9396299902628957E-2</v>
      </c>
      <c r="EO167" s="251"/>
      <c r="EP167" s="488"/>
      <c r="EQ167" s="478">
        <f>EQ166/EK166-1</f>
        <v>-7.0877303512364431E-3</v>
      </c>
      <c r="ER167" s="478">
        <f>ER166/EL166-1</f>
        <v>2.5557955363570972E-2</v>
      </c>
      <c r="ES167" s="250"/>
      <c r="ET167" s="478">
        <f>ET166/EN166-1</f>
        <v>4.5220588235294068E-2</v>
      </c>
      <c r="EU167" s="251"/>
      <c r="EV167" s="488"/>
      <c r="EW167" s="478">
        <f>EW166/EQ166-1</f>
        <v>6.1072335025380786E-2</v>
      </c>
      <c r="EX167" s="478"/>
      <c r="EY167" s="250"/>
      <c r="EZ167" s="250"/>
      <c r="FA167" s="251"/>
      <c r="FB167" s="488"/>
      <c r="FC167" s="250"/>
      <c r="FD167" s="250"/>
      <c r="FE167" s="250"/>
      <c r="FF167" s="250"/>
      <c r="FG167" s="251"/>
      <c r="FH167" s="488"/>
      <c r="FI167" s="250"/>
      <c r="FJ167" s="250"/>
      <c r="FK167" s="250"/>
      <c r="FL167" s="250"/>
      <c r="FM167" s="251"/>
      <c r="FN167" s="242"/>
      <c r="FO167" s="242"/>
      <c r="FP167" s="242"/>
      <c r="FQ167" s="242"/>
      <c r="FR167"/>
      <c r="FS167"/>
      <c r="FT167"/>
      <c r="FU167"/>
      <c r="FV167"/>
      <c r="FW167"/>
      <c r="FX167" s="135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</row>
    <row r="168" spans="1:274" s="24" customFormat="1" ht="10.5" customHeight="1" x14ac:dyDescent="0.2">
      <c r="A168" s="242" t="s">
        <v>499</v>
      </c>
      <c r="B168" s="20"/>
      <c r="C168" s="272"/>
      <c r="D168" s="272"/>
      <c r="E168" s="272"/>
      <c r="F168" s="272"/>
      <c r="G168" s="272"/>
      <c r="H168" s="272"/>
      <c r="I168" s="272"/>
      <c r="J168" s="272"/>
      <c r="K168" s="272"/>
      <c r="L168" s="272"/>
      <c r="M168" s="272"/>
      <c r="N168" s="261"/>
      <c r="O168" s="42"/>
      <c r="P168" s="42"/>
      <c r="Q168" s="42"/>
      <c r="R168" s="42"/>
      <c r="S168" s="259"/>
      <c r="T168" s="261"/>
      <c r="U168" s="272"/>
      <c r="V168" s="272"/>
      <c r="W168" s="272"/>
      <c r="X168" s="272"/>
      <c r="Y168" s="272"/>
      <c r="Z168" s="261"/>
      <c r="AA168" s="272"/>
      <c r="AB168" s="272"/>
      <c r="AC168" s="272"/>
      <c r="AD168" s="272"/>
      <c r="AE168" s="272"/>
      <c r="AF168" s="261"/>
      <c r="AG168" s="272"/>
      <c r="AH168" s="272"/>
      <c r="AI168" s="272"/>
      <c r="AJ168" s="272"/>
      <c r="AK168" s="272"/>
      <c r="AL168" s="261"/>
      <c r="AM168" s="272"/>
      <c r="AN168" s="272"/>
      <c r="AO168" s="272"/>
      <c r="AP168" s="272"/>
      <c r="AQ168" s="272"/>
      <c r="AR168" s="261"/>
      <c r="AS168" s="272"/>
      <c r="AT168" s="272"/>
      <c r="AU168" s="272"/>
      <c r="AV168" s="272"/>
      <c r="AW168" s="272"/>
      <c r="AX168" s="272"/>
      <c r="AY168" s="272"/>
      <c r="AZ168" s="272"/>
      <c r="BA168" s="272"/>
      <c r="BB168" s="272"/>
      <c r="BC168" s="272"/>
      <c r="BD168" s="261"/>
      <c r="BE168" s="272"/>
      <c r="BF168" s="272"/>
      <c r="BG168" s="272"/>
      <c r="BH168" s="242"/>
      <c r="BI168" s="272"/>
      <c r="BJ168" s="261"/>
      <c r="BK168" s="272"/>
      <c r="BL168" s="242"/>
      <c r="BM168" s="242"/>
      <c r="BN168" s="242"/>
      <c r="BO168" s="272"/>
      <c r="BP168" s="261"/>
      <c r="BQ168" s="242"/>
      <c r="BR168" s="259"/>
      <c r="BS168" s="259"/>
      <c r="BT168" s="250"/>
      <c r="BU168" s="250"/>
      <c r="BV168" s="261"/>
      <c r="BW168" s="478">
        <f>BW166/(Model!BX46+Model!BY46+Model!BZ46+Model!CC46)</f>
        <v>0.23904512753433615</v>
      </c>
      <c r="BX168" s="478">
        <f>BX166/(Model!BY46+Model!BZ46+Model!CC46+Model!CD46)</f>
        <v>0.14927203065134101</v>
      </c>
      <c r="BY168" s="478">
        <f>BY166/(Model!BZ46+Model!CC46+Model!CD46+Model!CE46)</f>
        <v>0.27115384615384613</v>
      </c>
      <c r="BZ168" s="478">
        <f>BZ166/(Model!CC46+Model!CD46+Model!CE46+Model!CF46)</f>
        <v>0.28998292544109278</v>
      </c>
      <c r="CA168" s="250"/>
      <c r="CB168" s="261"/>
      <c r="CC168" s="478">
        <f>CC166/(Model!CD46+Model!CE46+Model!CF46+Model!CI46)</f>
        <v>0.27331711273317111</v>
      </c>
      <c r="CD168" s="42">
        <f>CD166/(Model!CE46+Model!CF46+Model!CI46+Model!CJ46)</f>
        <v>0.1565986918045402</v>
      </c>
      <c r="CE168" s="42">
        <f>CE166/(Model!CF46+Model!CI46+Model!CJ46+Model!CK46)</f>
        <v>0.23969166768628411</v>
      </c>
      <c r="CF168" s="478">
        <f>CF166/(Model!CI46+Model!CJ46+Model!CK46+Model!CL46)</f>
        <v>0.27420676735745231</v>
      </c>
      <c r="CG168" s="251"/>
      <c r="CH168" s="261"/>
      <c r="CI168" s="478">
        <f>CI166/(Model!CJ46+Model!CK46+Model!CL46+Model!CO46)</f>
        <v>0.26991199732650106</v>
      </c>
      <c r="CJ168" s="478">
        <f>CJ166/(Model!CK46+Model!CL46+Model!CO46+Model!CP46)</f>
        <v>0.16333650491595306</v>
      </c>
      <c r="CK168" s="478">
        <f>CK166/(Model!CL46+Model!CO46+Model!CP46+Model!CQ46)</f>
        <v>0.23298534430837181</v>
      </c>
      <c r="CL168" s="478">
        <f>CL166/(Model!CO46+Model!CP46+Model!CQ46+Model!CR46)</f>
        <v>0.26934424669268109</v>
      </c>
      <c r="CM168" s="251"/>
      <c r="CN168" s="261"/>
      <c r="CO168" s="478">
        <f>CO166/(Model!CP46+Model!CQ46+Model!CR46+Model!CU46)</f>
        <v>0.27509696040407683</v>
      </c>
      <c r="CP168" s="478">
        <f>CP166/(Model!CQ46+Model!CR46+Model!CU46+Model!CV46)</f>
        <v>0.17054466230936818</v>
      </c>
      <c r="CQ168" s="478">
        <f>CQ166/(Model!CR46+Model!CU46+Model!CV46+Model!CW46)</f>
        <v>0.22793930660337375</v>
      </c>
      <c r="CR168" s="478">
        <f>CR166/(Model!CU46+Model!CV46+Model!CW46+Model!CX46)</f>
        <v>0.30599316495790613</v>
      </c>
      <c r="CS168" s="251"/>
      <c r="CT168" s="488"/>
      <c r="CU168" s="478">
        <f>CU166/(Model!CV46+Model!CW46+Model!CX46+Model!DA46)</f>
        <v>0.29546957671957674</v>
      </c>
      <c r="CV168" s="478">
        <f>CV166/(Model!CW46+Model!CX46+Model!DA46+Model!DB46)</f>
        <v>0.15241007483704835</v>
      </c>
      <c r="CW168" s="478">
        <f>CW166/(Model!CX46+Model!DA46+Model!DB46+Model!DC46)</f>
        <v>0.23681739946800187</v>
      </c>
      <c r="CX168" s="478">
        <f>CX166/(Model!DA46+Model!DB46+Model!DC46+Model!DD46)</f>
        <v>0.28238597556348183</v>
      </c>
      <c r="CY168" s="251"/>
      <c r="CZ168" s="488"/>
      <c r="DA168" s="478">
        <f>DA166/(Model!DB46+Model!DC46+Model!DD46+Model!DG46)</f>
        <v>0.28153186455714918</v>
      </c>
      <c r="DB168" s="478">
        <f>DB166/(Model!DC46+Model!DD46+Model!DG46+Model!DH46)</f>
        <v>0.1722114903055019</v>
      </c>
      <c r="DC168" s="478">
        <f>DC166/(Model!DD46+Model!DG46+Model!DH46+Model!DI46)</f>
        <v>0.24274809160305344</v>
      </c>
      <c r="DD168" s="478">
        <f>DD166/(Model!DG46+Model!DH46+Model!DI46+Model!DJ46)</f>
        <v>0.26298505462100397</v>
      </c>
      <c r="DE168" s="251"/>
      <c r="DF168" s="488"/>
      <c r="DG168" s="478">
        <f>DG166/(Model!DH46+Model!DI46+Model!DJ46+Model!DM46)</f>
        <v>0.28370260319100832</v>
      </c>
      <c r="DH168" s="478">
        <f>DH166/(Model!DI46+Model!DJ46+Model!DM46+Model!DN46)</f>
        <v>0.16885505867427847</v>
      </c>
      <c r="DI168" s="478">
        <f>DI166/(Model!DJ46+Model!DM46+Model!DN46+Model!DO46)</f>
        <v>0.23841512720034833</v>
      </c>
      <c r="DJ168" s="478">
        <f>DJ166/(Model!DM46+Model!DN46+Model!DO46+Model!DP46)</f>
        <v>0.29534411710437297</v>
      </c>
      <c r="DK168" s="251"/>
      <c r="DL168" s="488"/>
      <c r="DM168" s="478">
        <f>DM166/(Model!DN46+Model!DO46+Model!DP46+Model!DS46)</f>
        <v>0.31419145946606392</v>
      </c>
      <c r="DN168" s="478">
        <f>DN166/(Model!DO46+Model!DP46+Model!DS46+Model!DT46)</f>
        <v>0.13722425918134279</v>
      </c>
      <c r="DO168" s="478">
        <f>DO166/(Model!DP46+Model!DS46+Model!DT46+Model!DU46)</f>
        <v>0.24732454325075387</v>
      </c>
      <c r="DP168" s="478">
        <f>DP166/(Model!DS46+Model!DT46+Model!DU46+Model!DV46)</f>
        <v>0.28145946261001342</v>
      </c>
      <c r="DQ168" s="251"/>
      <c r="DR168" s="488"/>
      <c r="DS168" s="478">
        <f>DS166/(Model!DT46+Model!DU46+Model!DV46+Model!DY46)</f>
        <v>0.30835817473056637</v>
      </c>
      <c r="DT168" s="478">
        <f>DT166/(Model!DU46+Model!DV46+Model!DY46+Model!DZ46)</f>
        <v>0.14968638752330904</v>
      </c>
      <c r="DU168" s="478">
        <f>DU166/(Model!DV46+Model!DY46+Model!DZ46+Model!EA46)</f>
        <v>0.23110838263199018</v>
      </c>
      <c r="DV168" s="478">
        <f>DV166/(Model!DY46+Model!DZ46+Model!EA46+Model!EB46)</f>
        <v>0.28161897962545995</v>
      </c>
      <c r="DW168" s="251"/>
      <c r="DX168" s="488"/>
      <c r="DY168" s="478">
        <f>DY166/(Model!DZ46+Model!EA46+Model!EB46+Model!EE46)</f>
        <v>0.31337799870326344</v>
      </c>
      <c r="DZ168" s="478">
        <f>DZ166/(Model!EA46+Model!EB46+Model!EE46+Model!EF46)</f>
        <v>0.15236623321253465</v>
      </c>
      <c r="EA168" s="478">
        <f>EA166/(Model!EB46+Model!EE46+Model!EF46+Model!EG46)</f>
        <v>0.23156443831840109</v>
      </c>
      <c r="EB168" s="478">
        <f>EB166/(Model!EE46+Model!EF46+Model!EG46+Model!EH46)</f>
        <v>0.28563852354688163</v>
      </c>
      <c r="EC168" s="251"/>
      <c r="ED168" s="488"/>
      <c r="EE168" s="478">
        <f>EE166/(Model!EF46+Model!EG46+Model!EH46+Model!EK46)</f>
        <v>0.33577728190415473</v>
      </c>
      <c r="EF168" s="478">
        <f>EF166/(Model!EG46+Model!EH46+Model!EK46+Model!EL46)</f>
        <v>0.14920990817851804</v>
      </c>
      <c r="EG168" s="478">
        <f>EG166/(Model!EH46+Model!EK46+Model!EL46+Model!EM46)</f>
        <v>0.23120029887388591</v>
      </c>
      <c r="EH168" s="478">
        <f>EH166/(Model!EI46+Model!EL46+Model!EM46+Model!EN46)</f>
        <v>0.15549768343275899</v>
      </c>
      <c r="EI168" s="251"/>
      <c r="EJ168" s="488"/>
      <c r="EK168" s="478">
        <f>EK166/(Model!EL46+Model!EM46+Model!EN46+Model!EQ46)</f>
        <v>0.33486286919831226</v>
      </c>
      <c r="EL168" s="478">
        <f>EL166/(Model!EM46+Model!EN46+Model!EQ46+Model!ER46)</f>
        <v>0.1457885069535555</v>
      </c>
      <c r="EM168" s="478">
        <f>EM166/(Model!EN46+Model!EO46+Model!ER46+Model!ES46)</f>
        <v>0.13624732833619313</v>
      </c>
      <c r="EN168" s="478">
        <f>EN166/(Model!EO46+Model!ER46+Model!ES46+Model!ET46)</f>
        <v>0.16335845770397286</v>
      </c>
      <c r="EO168" s="251"/>
      <c r="EP168" s="488"/>
      <c r="EQ168" s="478">
        <f>EQ166/(Model!ER46+Model!ES46+Model!ET46+Model!EW46)</f>
        <v>0.32514957705797398</v>
      </c>
      <c r="ER168" s="478">
        <f>ER166/(Model!ES46+Model!ET46+Model!EW46+Model!EX46)</f>
        <v>0.14563206052241476</v>
      </c>
      <c r="ES168" s="250"/>
      <c r="ET168" s="478">
        <f>ET166/(Model!EU46+Model!EX46+Model!EY46+Model!EZ46)</f>
        <v>0.16572003509167754</v>
      </c>
      <c r="EU168" s="251"/>
      <c r="EV168" s="488"/>
      <c r="EW168" s="478">
        <f>EW166/(Model!EX46+Model!EY46+Model!EZ46+Model!FC46)</f>
        <v>0.33095963470814871</v>
      </c>
      <c r="EX168" s="478"/>
      <c r="EY168" s="250"/>
      <c r="EZ168" s="250"/>
      <c r="FA168" s="251"/>
      <c r="FB168" s="488"/>
      <c r="FC168" s="250"/>
      <c r="FD168" s="250"/>
      <c r="FE168" s="250"/>
      <c r="FF168" s="250"/>
      <c r="FG168" s="251"/>
      <c r="FH168" s="488"/>
      <c r="FI168" s="250"/>
      <c r="FJ168" s="250"/>
      <c r="FK168" s="250"/>
      <c r="FL168" s="250"/>
      <c r="FM168" s="251"/>
      <c r="FN168" s="242"/>
      <c r="FO168" s="242"/>
      <c r="FP168" s="242"/>
      <c r="FQ168" s="242"/>
      <c r="FR168"/>
      <c r="FS168"/>
      <c r="FT168"/>
      <c r="FU168"/>
      <c r="FV168"/>
      <c r="FW168"/>
      <c r="FX168" s="242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</row>
    <row r="169" spans="1:274" s="24" customFormat="1" ht="10.5" customHeight="1" x14ac:dyDescent="0.2">
      <c r="A169" s="242" t="s">
        <v>500</v>
      </c>
      <c r="B169" s="20"/>
      <c r="C169" s="272"/>
      <c r="D169" s="272"/>
      <c r="E169" s="272"/>
      <c r="F169" s="272"/>
      <c r="G169" s="272"/>
      <c r="H169" s="272"/>
      <c r="I169" s="272"/>
      <c r="J169" s="272"/>
      <c r="K169" s="272"/>
      <c r="L169" s="272"/>
      <c r="M169" s="272"/>
      <c r="N169" s="261"/>
      <c r="O169" s="42"/>
      <c r="P169" s="42"/>
      <c r="Q169" s="42"/>
      <c r="R169" s="42"/>
      <c r="S169" s="259"/>
      <c r="T169" s="261"/>
      <c r="U169" s="272"/>
      <c r="V169" s="272"/>
      <c r="W169" s="272"/>
      <c r="X169" s="272"/>
      <c r="Y169" s="272"/>
      <c r="Z169" s="261"/>
      <c r="AA169" s="272"/>
      <c r="AB169" s="272"/>
      <c r="AC169" s="272"/>
      <c r="AD169" s="272"/>
      <c r="AE169" s="272"/>
      <c r="AF169" s="261"/>
      <c r="AG169" s="272"/>
      <c r="AH169" s="272"/>
      <c r="AI169" s="272"/>
      <c r="AJ169" s="272"/>
      <c r="AK169" s="272"/>
      <c r="AL169" s="261"/>
      <c r="AM169" s="272"/>
      <c r="AN169" s="272"/>
      <c r="AO169" s="272"/>
      <c r="AP169" s="272"/>
      <c r="AQ169" s="272"/>
      <c r="AR169" s="261"/>
      <c r="AS169" s="272"/>
      <c r="AT169" s="272"/>
      <c r="AU169" s="272"/>
      <c r="AV169" s="272"/>
      <c r="AW169" s="272"/>
      <c r="AX169" s="272"/>
      <c r="AY169" s="272"/>
      <c r="AZ169" s="272"/>
      <c r="BA169" s="272"/>
      <c r="BB169" s="272"/>
      <c r="BC169" s="272"/>
      <c r="BD169" s="261"/>
      <c r="BE169" s="272"/>
      <c r="BF169" s="272"/>
      <c r="BG169" s="272"/>
      <c r="BH169" s="242"/>
      <c r="BI169" s="272"/>
      <c r="BJ169" s="261"/>
      <c r="BK169" s="272"/>
      <c r="BL169" s="242"/>
      <c r="BM169" s="242"/>
      <c r="BN169" s="242"/>
      <c r="BO169" s="272"/>
      <c r="BP169" s="261"/>
      <c r="BQ169" s="242"/>
      <c r="BR169" s="259"/>
      <c r="BS169" s="259"/>
      <c r="BT169" s="250"/>
      <c r="BU169" s="250"/>
      <c r="BV169" s="261"/>
      <c r="BW169" s="42">
        <f>(BW166+BT166+BS166+BR166)/(Model!BX46+Model!BY46+Model!BZ46+Model!CC46)</f>
        <v>0.80428384565075217</v>
      </c>
      <c r="BX169" s="42">
        <f>(BX166+BW166+BT166+BS166)/(Model!BY46+Model!BZ46+Model!CC46+Model!CD46)</f>
        <v>0.76858237547892716</v>
      </c>
      <c r="BY169" s="42">
        <f>(BY166+BX166+BW166+BT166)/(Model!BZ46+Model!CC46+Model!CD46+Model!CE46)</f>
        <v>0.83831360946745559</v>
      </c>
      <c r="BZ169" s="42">
        <f>(BZ166+BY166+BX166+BW166)/(Model!CC46+Model!CD46+Model!CE46+Model!CF46)</f>
        <v>0.89741035856573703</v>
      </c>
      <c r="CA169" s="250"/>
      <c r="CB169" s="261"/>
      <c r="CC169" s="42">
        <f>(CC166+BZ166+BY166+BX166)/(Model!CD46+Model!CE46+Model!CF46+Model!CI46)</f>
        <v>0.92822384428223847</v>
      </c>
      <c r="CD169" s="42">
        <f>(CD166+CC166+BZ166+BY166)/(Model!CE46+Model!CF46+Model!CI46+Model!CJ46)</f>
        <v>0.91240220597665767</v>
      </c>
      <c r="CE169" s="42">
        <f>(CE166+CD166+CC166+BZ166)/(Model!CF46+Model!CI46+Model!CJ46+Model!CK46)</f>
        <v>0.88584363146947265</v>
      </c>
      <c r="CF169" s="42">
        <f>(CF166+CE166+CD166+CC166)/(Model!CI46+Model!CJ46+Model!CK46+Model!CL46)</f>
        <v>0.88326893806345863</v>
      </c>
      <c r="CG169" s="251"/>
      <c r="CH169" s="261"/>
      <c r="CI169" s="42">
        <f>(CI166+CF166+CE166+CD166)/(Model!CJ46+Model!CK46+Model!CL46+Model!CO46)</f>
        <v>0.88503954550517994</v>
      </c>
      <c r="CJ169" s="42">
        <f>(CJ166+CI166+CF166+CE166)/(Model!CK46+Model!CL46+Model!CO46+Model!CP46)</f>
        <v>0.87419388941748599</v>
      </c>
      <c r="CK169" s="42">
        <f>(CK166+CJ166+CI166+CF166)/(Model!CL46+Model!CO46+Model!CP46+Model!CQ46)</f>
        <v>0.86639229070467783</v>
      </c>
      <c r="CL169" s="42">
        <f>(CL166+CK166+CJ166+CI166)/(Model!CO46+Model!CP46+Model!CQ46+Model!CR46)</f>
        <v>0.86789759208146955</v>
      </c>
      <c r="CM169" s="251"/>
      <c r="CN169" s="261"/>
      <c r="CO169" s="42">
        <f>(CO166+CL166+CK166+CJ166)/(Model!CP46+Model!CQ46+Model!CR46+Model!CU46)</f>
        <v>0.87904753314692885</v>
      </c>
      <c r="CP169" s="42">
        <f>(CP166+CO166+CL166+CK166)/(Model!CQ46+Model!CR46+Model!CU46+Model!CV46)</f>
        <v>0.88522875816993463</v>
      </c>
      <c r="CQ169" s="42">
        <f>(CQ166+CP166+CO166+CL166)/(Model!CR46+Model!CU46+Model!CV46+Model!CW46)</f>
        <v>0.89226074425701452</v>
      </c>
      <c r="CR169" s="42">
        <f>(CR166+CQ166+CP166+CO166)/(Model!CU46+Model!CV46+Model!CW46+Model!CX46)</f>
        <v>0.94748687171792945</v>
      </c>
      <c r="CS169" s="251"/>
      <c r="CT169" s="488"/>
      <c r="CU169" s="42">
        <f>(CU166+CR166+CQ166+CP166)/(Model!CV46+Model!CW46+Model!CX46+Model!DA46)</f>
        <v>0.98305224867724872</v>
      </c>
      <c r="CV169" s="42">
        <f>(CV166+CU166+CR166+CQ166)/(Model!CW46+Model!CX46+Model!DA46+Model!DB46)</f>
        <v>0.9517985032590327</v>
      </c>
      <c r="CW169" s="42">
        <f>(CW166+CV166+CU166+CR166)/(Model!CX46+Model!DA46+Model!DB46+Model!DC46)</f>
        <v>0.95180722891566261</v>
      </c>
      <c r="CX169" s="42">
        <f>(CX166+CW166+CV166+CU166)/(Model!DA46+Model!DB46+Model!DC46+Model!DD46)</f>
        <v>0.9270698945131669</v>
      </c>
      <c r="CY169" s="251"/>
      <c r="CZ169" s="488"/>
      <c r="DA169" s="42">
        <f>(DA166+CX166+CW166+CV166)/(Model!DB46+Model!DC46+Model!DD46+Model!DG46)</f>
        <v>0.92044950465769626</v>
      </c>
      <c r="DB169" s="42">
        <f>(DB166+DA166+CX166+CW166)/(Model!DC46+Model!DD46+Model!DG46+Model!DH46)</f>
        <v>0.92745224297059459</v>
      </c>
      <c r="DC169" s="42">
        <f>(DC166+DB166+DA166+CX166)/(Model!DD46+Model!DG46+Model!DH46+Model!DI46)</f>
        <v>0.93226925746009714</v>
      </c>
      <c r="DD169" s="42">
        <f>(DD166+DC166+DB166+DA166)/(Model!DG46+Model!DH46+Model!DI46+Model!DJ46)</f>
        <v>0.91394678640841764</v>
      </c>
      <c r="DE169" s="251"/>
      <c r="DF169" s="488"/>
      <c r="DG169" s="42">
        <f>(DG166+DD166+DC166+DB166)/(Model!DH46+Model!DI46+Model!DJ46+Model!DM46)</f>
        <v>0.91860990892061234</v>
      </c>
      <c r="DH169" s="42">
        <f>(DH166+DG166+DD166+DC166)/(Model!DI46+Model!DJ46+Model!DM46+Model!DN46)</f>
        <v>0.91823660006343166</v>
      </c>
      <c r="DI169" s="42">
        <f>(DI166+DH166+DG166+DD166)/(Model!DJ46+Model!DM46+Model!DN46+Model!DO46)</f>
        <v>0.92125396529203207</v>
      </c>
      <c r="DJ169" s="42">
        <f>(DJ166+DI166+DH166+DG166)/(Model!DM46+Model!DN46+Model!DO46+Model!DP46)</f>
        <v>0.96494249338827731</v>
      </c>
      <c r="DK169" s="251"/>
      <c r="DL169" s="488"/>
      <c r="DM169" s="42">
        <f>(DM166+DJ166+DI166+DH166)/(Model!DN46+Model!DO46+Model!DP46+Model!DS46)</f>
        <v>1.0043374671635408</v>
      </c>
      <c r="DN169" s="42">
        <f>(DN166+DM166+DJ166+DI166)/(Model!DO46+Model!DP46+Model!DS46+Model!DT46)</f>
        <v>0.96537837350483857</v>
      </c>
      <c r="DO169" s="42">
        <f>(DO166+DN166+DM166+DJ166)/(Model!DP46+Model!DS46+Model!DT46+Model!DU46)</f>
        <v>0.97031868976526936</v>
      </c>
      <c r="DP169" s="42">
        <f>(DP166+DO166+DN166+DM166)/(Model!DS46+Model!DT46+Model!DU46+Model!DV46)</f>
        <v>0.95809290668531799</v>
      </c>
      <c r="DQ169" s="251"/>
      <c r="DR169" s="488"/>
      <c r="DS169" s="42">
        <f>(DS166+DP166+DO166+DN166)/(Model!DT46+Model!DU46+Model!DV46+Model!DY46)</f>
        <v>0.95585874799357951</v>
      </c>
      <c r="DT169" s="42">
        <f>(DT166+DS166+DP166+DO166)/(Model!DU46+Model!DV46+Model!DY46+Model!DZ46)</f>
        <v>0.96287506357009667</v>
      </c>
      <c r="DU169" s="42">
        <f>(DU166+DT166+DS166+DP166)/(Model!DV46+Model!DY46+Model!DZ46+Model!EA46)</f>
        <v>0.94865498381515789</v>
      </c>
      <c r="DV169" s="42">
        <f>(DV166+DU166+DT166+DS166)/(Model!DY46+Model!DZ46+Model!EA46+Model!EB46)</f>
        <v>0.94991487725849855</v>
      </c>
      <c r="DW169" s="251"/>
      <c r="DX169" s="488"/>
      <c r="DY169" s="42">
        <f>(DY166+DV166+DU166+DT166)/(Model!DZ46+Model!EA46+Model!EB46+Model!EE46)</f>
        <v>0.95731575534903823</v>
      </c>
      <c r="DZ169" s="42">
        <f>(DZ166+DY166+DV166+DU166)/(Model!EA46+Model!EB46+Model!EE46+Model!EF46)</f>
        <v>0.95544659987209546</v>
      </c>
      <c r="EA169" s="42">
        <f>(EA166+DZ166+DY166+DV166)/(Model!EB46+Model!EE46+Model!EF46+Model!EG46)</f>
        <v>0.96246620367916025</v>
      </c>
      <c r="EB169" s="42">
        <f>(EB166+EA166+DZ166+DY166)/(Model!EE46+Model!EF46+Model!EG46+Model!EH46)</f>
        <v>0.97650615188799317</v>
      </c>
      <c r="EC169" s="251"/>
      <c r="ED169" s="488"/>
      <c r="EE169" s="42">
        <f>(EE166+EB166+EA166+DZ166)/(Model!EF46+Model!EG46+Model!EH46+Model!EK46)</f>
        <v>1.0058973541600256</v>
      </c>
      <c r="EF169" s="42">
        <f>(EF166+EE166+EB166+EA166)/(Model!EG46+Model!EH46+Model!EK46+Model!EL46)</f>
        <v>1.0073136878069613</v>
      </c>
      <c r="EG169" s="42">
        <f>(EG166+EF166+EE166+EB166)/(Model!EH46+Model!EK46+Model!EL46+Model!EM46)</f>
        <v>1.0051235523296151</v>
      </c>
      <c r="EH169" s="42">
        <f>(EH166+EG166+EF166+EC166)/(Model!EI46+Model!EL46+Model!EM46+Model!EN46)</f>
        <v>0.37131696090603517</v>
      </c>
      <c r="EI169" s="251"/>
      <c r="EJ169" s="488"/>
      <c r="EK169" s="42">
        <f>(EK166+EH166+EG166+EF166)/(Model!EL46+Model!EM46+Model!EN46+Model!EQ46)</f>
        <v>0.98159282700421946</v>
      </c>
      <c r="EL169" s="42">
        <f>(EL166+EK166+EH166+EG166)/(Model!EM46+Model!EN46+Model!EQ46+Model!ER46)</f>
        <v>0.97580687483600104</v>
      </c>
      <c r="EM169" s="42">
        <f>(EM166+EL166+EK166+EH166)/(Model!EN46+Model!EQ46+Model!ER46+Model!ES46)</f>
        <v>0.98119908084395235</v>
      </c>
      <c r="EN169" s="42">
        <f>(EN166+EM166+EL166+EI166)/(Model!EO46+Model!ER46+Model!ES46+Model!ET46)</f>
        <v>0.38269121047415994</v>
      </c>
      <c r="EO169" s="251"/>
      <c r="EP169" s="488"/>
      <c r="EQ169" s="42">
        <f>(EQ166+EN166+EM166+EL166)/(Model!ER46+Model!ES46+Model!ET46+Model!EW46)</f>
        <v>0.98246337940994433</v>
      </c>
      <c r="ER169" s="42">
        <f>(ER166+EQ166+EN166+EM166)/(Model!ES46+Model!ET46+Model!EW46+Model!EX46)</f>
        <v>0.97730409446403921</v>
      </c>
      <c r="ES169" s="250"/>
      <c r="ET169" s="42">
        <f>(ET166+ES166+ER166+EO166)/(Model!EU46+Model!EX46+Model!EY46+Model!EZ46)</f>
        <v>0.24875492428903759</v>
      </c>
      <c r="EU169" s="251"/>
      <c r="EV169" s="488"/>
      <c r="EW169" s="42">
        <f>(EW166+ET166+ES166+ER166)/(Model!EX46+Model!EY46+Model!EZ46+Model!FC46)</f>
        <v>0.75325601417205201</v>
      </c>
      <c r="EX169" s="42"/>
      <c r="EY169" s="250"/>
      <c r="EZ169" s="250"/>
      <c r="FA169" s="251"/>
      <c r="FB169" s="488"/>
      <c r="FC169" s="250"/>
      <c r="FD169" s="250"/>
      <c r="FE169" s="250"/>
      <c r="FF169" s="250"/>
      <c r="FG169" s="251"/>
      <c r="FH169" s="488"/>
      <c r="FI169" s="250"/>
      <c r="FJ169" s="250"/>
      <c r="FK169" s="250"/>
      <c r="FL169" s="250"/>
      <c r="FM169" s="251"/>
      <c r="FN169" s="242"/>
      <c r="FO169" s="242"/>
      <c r="FP169" s="242"/>
      <c r="FQ169" s="242"/>
      <c r="FR169"/>
      <c r="FS169"/>
      <c r="FT169"/>
      <c r="FU169"/>
      <c r="FV169"/>
      <c r="FW169"/>
      <c r="FX169" s="242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</row>
    <row r="170" spans="1:274" s="24" customFormat="1" ht="10.5" customHeight="1" x14ac:dyDescent="0.2">
      <c r="A170" s="242"/>
      <c r="B170" s="20"/>
      <c r="C170" s="272"/>
      <c r="D170" s="272"/>
      <c r="E170" s="272"/>
      <c r="F170" s="272"/>
      <c r="G170" s="272"/>
      <c r="H170" s="272"/>
      <c r="I170" s="272"/>
      <c r="J170" s="272"/>
      <c r="K170" s="272"/>
      <c r="L170" s="272"/>
      <c r="M170" s="272"/>
      <c r="N170" s="261"/>
      <c r="O170" s="42"/>
      <c r="P170" s="42"/>
      <c r="Q170" s="42"/>
      <c r="R170" s="42"/>
      <c r="S170" s="259"/>
      <c r="T170" s="261"/>
      <c r="U170" s="272"/>
      <c r="V170" s="272"/>
      <c r="W170" s="272"/>
      <c r="X170" s="272"/>
      <c r="Y170" s="272"/>
      <c r="Z170" s="261"/>
      <c r="AA170" s="272"/>
      <c r="AB170" s="272"/>
      <c r="AC170" s="272"/>
      <c r="AD170" s="272"/>
      <c r="AE170" s="272"/>
      <c r="AF170" s="261"/>
      <c r="AG170" s="272"/>
      <c r="AH170" s="272"/>
      <c r="AI170" s="272"/>
      <c r="AJ170" s="272"/>
      <c r="AK170" s="272"/>
      <c r="AL170" s="261"/>
      <c r="AM170" s="272"/>
      <c r="AN170" s="272"/>
      <c r="AO170" s="272"/>
      <c r="AP170" s="272"/>
      <c r="AQ170" s="272"/>
      <c r="AR170" s="261"/>
      <c r="AS170" s="272"/>
      <c r="AT170" s="272"/>
      <c r="AU170" s="272"/>
      <c r="AV170" s="272"/>
      <c r="AW170" s="272"/>
      <c r="AX170" s="272"/>
      <c r="AY170" s="272"/>
      <c r="AZ170" s="272"/>
      <c r="BA170" s="272"/>
      <c r="BB170" s="272"/>
      <c r="BC170" s="272"/>
      <c r="BD170" s="261"/>
      <c r="BE170" s="272"/>
      <c r="BF170" s="272"/>
      <c r="BG170" s="272"/>
      <c r="BH170" s="242"/>
      <c r="BI170" s="272"/>
      <c r="BJ170" s="261"/>
      <c r="BK170" s="42"/>
      <c r="BL170" s="42"/>
      <c r="BM170" s="42"/>
      <c r="BN170" s="42"/>
      <c r="BO170" s="272"/>
      <c r="BP170" s="261"/>
      <c r="BQ170" s="42"/>
      <c r="BR170" s="42"/>
      <c r="BS170" s="42"/>
      <c r="BT170" s="42"/>
      <c r="BU170" s="250"/>
      <c r="BV170" s="261"/>
      <c r="BW170" s="42"/>
      <c r="BX170" s="42"/>
      <c r="BY170" s="42"/>
      <c r="BZ170" s="42"/>
      <c r="CA170" s="250"/>
      <c r="CB170" s="261"/>
      <c r="CC170" s="42"/>
      <c r="CD170" s="42"/>
      <c r="CE170" s="42"/>
      <c r="CF170" s="42"/>
      <c r="CG170" s="251"/>
      <c r="CH170" s="261"/>
      <c r="CI170" s="42"/>
      <c r="CJ170" s="42"/>
      <c r="CK170" s="42"/>
      <c r="CL170" s="42"/>
      <c r="CM170" s="251"/>
      <c r="CN170" s="261"/>
      <c r="CO170" s="42"/>
      <c r="CP170" s="42"/>
      <c r="CQ170" s="42"/>
      <c r="CR170" s="250"/>
      <c r="CS170" s="251"/>
      <c r="CT170" s="488"/>
      <c r="CU170" s="250"/>
      <c r="CV170" s="250"/>
      <c r="CW170" s="478">
        <f>(CW166-Metrics!GG59-Metrics!GG66)/'Balance Sheet'!CQ166-1</f>
        <v>4.7973224246931956E-2</v>
      </c>
      <c r="CX170" s="250"/>
      <c r="CY170" s="251"/>
      <c r="CZ170" s="488"/>
      <c r="DA170" s="250"/>
      <c r="DB170" s="250"/>
      <c r="DC170" s="250"/>
      <c r="DD170" s="250"/>
      <c r="DE170" s="251"/>
      <c r="DF170" s="488"/>
      <c r="DG170" s="250"/>
      <c r="DH170" s="250"/>
      <c r="DI170" s="250"/>
      <c r="DJ170" s="250"/>
      <c r="DK170" s="251"/>
      <c r="DL170" s="488"/>
      <c r="DM170" s="250"/>
      <c r="DN170" s="250"/>
      <c r="DO170" s="250"/>
      <c r="DP170" s="250"/>
      <c r="DQ170" s="251"/>
      <c r="DR170" s="488"/>
      <c r="DS170" s="250"/>
      <c r="DT170" s="250"/>
      <c r="DU170" s="250"/>
      <c r="DV170" s="250"/>
      <c r="DW170" s="251"/>
      <c r="DX170" s="488"/>
      <c r="DY170" s="250"/>
      <c r="DZ170" s="250"/>
      <c r="EA170" s="250"/>
      <c r="EB170" s="250"/>
      <c r="EC170" s="251"/>
      <c r="ED170" s="488"/>
      <c r="EE170" s="250"/>
      <c r="EF170" s="250"/>
      <c r="EG170" s="250"/>
      <c r="EH170" s="250"/>
      <c r="EI170" s="251"/>
      <c r="EJ170" s="488"/>
      <c r="EK170" s="250"/>
      <c r="EL170" s="250"/>
      <c r="EM170" s="250"/>
      <c r="EN170" s="250"/>
      <c r="EO170" s="251"/>
      <c r="EP170" s="488"/>
      <c r="EQ170" s="250"/>
      <c r="ER170" s="250"/>
      <c r="ES170" s="250"/>
      <c r="ET170" s="250"/>
      <c r="EU170" s="251"/>
      <c r="EV170" s="488"/>
      <c r="EW170" s="250"/>
      <c r="EX170" s="250"/>
      <c r="EY170" s="250">
        <f>+EY185-'Cash Flow'!EY109</f>
        <v>-3024</v>
      </c>
      <c r="EZ170" s="250">
        <f>+EZ185-'Cash Flow'!EZ109</f>
        <v>-3898.0100285260419</v>
      </c>
      <c r="FA170" s="251"/>
      <c r="FB170" s="488"/>
      <c r="FC170" s="250">
        <f>+FC185-'Cash Flow'!FC109</f>
        <v>-5434.7875663250661</v>
      </c>
      <c r="FD170" s="250">
        <f>+FD185-'Cash Flow'!FD109+589</f>
        <v>208.1269472297995</v>
      </c>
      <c r="FE170" s="250">
        <f>+FE185-'Cash Flow'!FE109</f>
        <v>-3690.5117168027809</v>
      </c>
      <c r="FF170" s="250">
        <f>+FF185-'Cash Flow'!FF109</f>
        <v>-4609.3770522728873</v>
      </c>
      <c r="FG170" s="251"/>
      <c r="FH170" s="488"/>
      <c r="FI170" s="250">
        <f>+FI185-'Cash Flow'!FI109</f>
        <v>-5833.9843780139408</v>
      </c>
      <c r="FJ170" s="250">
        <f>+FJ185-'Cash Flow'!FJ109+589</f>
        <v>191.48119056853238</v>
      </c>
      <c r="FK170" s="250">
        <f>+FK185-'Cash Flow'!FK109</f>
        <v>-3763.9764186229586</v>
      </c>
      <c r="FL170" s="250">
        <f>+FL185-'Cash Flow'!FL109</f>
        <v>-5457.6846345258218</v>
      </c>
      <c r="FM170" s="251"/>
      <c r="FN170" s="242"/>
      <c r="FO170" s="242"/>
      <c r="FP170" s="242"/>
      <c r="FQ170" s="242"/>
      <c r="FR170"/>
      <c r="FS170"/>
      <c r="FT170"/>
      <c r="FU170"/>
      <c r="FV170"/>
      <c r="FW170"/>
      <c r="FX170" s="242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</row>
    <row r="171" spans="1:274" s="24" customFormat="1" ht="14.25" hidden="1" customHeight="1" outlineLevel="1" x14ac:dyDescent="0.2">
      <c r="A171" s="489" t="s">
        <v>501</v>
      </c>
      <c r="B171" s="476"/>
      <c r="C171" s="490"/>
      <c r="D171" s="490"/>
      <c r="E171" s="490"/>
      <c r="F171" s="490"/>
      <c r="G171" s="490"/>
      <c r="H171" s="490"/>
      <c r="I171" s="73"/>
      <c r="J171" s="73"/>
      <c r="K171" s="73"/>
      <c r="L171" s="73"/>
      <c r="M171" s="490"/>
      <c r="N171" s="490"/>
      <c r="O171" s="73"/>
      <c r="P171" s="73"/>
      <c r="Q171" s="73"/>
      <c r="R171" s="73"/>
      <c r="S171" s="490"/>
      <c r="T171" s="490"/>
      <c r="U171" s="73">
        <f>U37-R37</f>
        <v>94.544000000000096</v>
      </c>
      <c r="V171" s="73">
        <f>V37-U37</f>
        <v>155.79399999999987</v>
      </c>
      <c r="W171" s="73">
        <f>W37-V37</f>
        <v>129.45700000000011</v>
      </c>
      <c r="X171" s="73">
        <f>X37-W37</f>
        <v>279.29600000000005</v>
      </c>
      <c r="Y171" s="490"/>
      <c r="Z171" s="490"/>
      <c r="AA171" s="73">
        <f>AA37-X37</f>
        <v>125.404</v>
      </c>
      <c r="AB171" s="73">
        <f>AB37-AA37</f>
        <v>140.08300000000008</v>
      </c>
      <c r="AC171" s="73">
        <f>AC37-AB37</f>
        <v>-68.039000000000215</v>
      </c>
      <c r="AD171" s="73">
        <f>AD37-AC37</f>
        <v>300.92500000000018</v>
      </c>
      <c r="AE171" s="490"/>
      <c r="AF171" s="490"/>
      <c r="AG171" s="73">
        <f>AG37-AD37</f>
        <v>76.4699999999998</v>
      </c>
      <c r="AH171" s="73">
        <f>AH37-AG37</f>
        <v>223.2829999999999</v>
      </c>
      <c r="AI171" s="73">
        <f>AI37-AH37</f>
        <v>-91.540999999999713</v>
      </c>
      <c r="AJ171" s="73">
        <f>AJ37-AI37</f>
        <v>380.52399999999989</v>
      </c>
      <c r="AK171" s="491">
        <f>SUM(AG171:AJ171)</f>
        <v>588.73599999999988</v>
      </c>
      <c r="AL171" s="490"/>
      <c r="AM171" s="73">
        <f>AM37-AJ37</f>
        <v>123.64100000000008</v>
      </c>
      <c r="AN171" s="73">
        <f>AN37-AM37</f>
        <v>-65.889000000000124</v>
      </c>
      <c r="AO171" s="73">
        <f>AO37-AN37</f>
        <v>326.33899999999994</v>
      </c>
      <c r="AP171" s="73">
        <f>AP37-AO37</f>
        <v>353.61799999999994</v>
      </c>
      <c r="AQ171" s="491">
        <f>SUM(AM171:AP171)</f>
        <v>737.70899999999983</v>
      </c>
      <c r="AR171" s="490"/>
      <c r="AS171" s="73">
        <f>AS37-AP37</f>
        <v>-194.79199999999992</v>
      </c>
      <c r="AT171" s="73">
        <f>AT37-AS37</f>
        <v>-99.918999999999869</v>
      </c>
      <c r="AU171" s="73">
        <f>AU37-AT37</f>
        <v>583.73199999999997</v>
      </c>
      <c r="AV171" s="73">
        <f>AV37-AU37</f>
        <v>-871.28800000000001</v>
      </c>
      <c r="AW171" s="491">
        <f>SUM(AS171:AV171)</f>
        <v>-582.26699999999983</v>
      </c>
      <c r="AX171" s="490"/>
      <c r="AY171" s="73">
        <f>AY37-AV37</f>
        <v>2257.8980000000001</v>
      </c>
      <c r="AZ171" s="73">
        <f>AZ37-AY37</f>
        <v>-1421.5630000000001</v>
      </c>
      <c r="BA171" s="73">
        <f>BA37-AZ37</f>
        <v>-241.83399999999983</v>
      </c>
      <c r="BB171" s="73">
        <f>BB37-BA37</f>
        <v>1113.4989999999998</v>
      </c>
      <c r="BC171" s="491">
        <f>SUM(AY171:BB171)</f>
        <v>1708</v>
      </c>
      <c r="BD171" s="490"/>
      <c r="BE171" s="73">
        <f>BE37-BB37</f>
        <v>13.899000000000342</v>
      </c>
      <c r="BF171" s="73">
        <f>BF37-BE37</f>
        <v>111.98299999999927</v>
      </c>
      <c r="BG171" s="73">
        <f>BG37-BF37</f>
        <v>25.916000000000167</v>
      </c>
      <c r="BH171" s="73">
        <f>BH37-BG37</f>
        <v>56.202000000000226</v>
      </c>
      <c r="BI171" s="73">
        <f>SUM(BE171:BH171)</f>
        <v>208</v>
      </c>
      <c r="BJ171" s="490"/>
      <c r="BK171" s="73">
        <f>BK37-BH37</f>
        <v>-47</v>
      </c>
      <c r="BL171" s="73">
        <f>BL37-BK37</f>
        <v>-140</v>
      </c>
      <c r="BM171" s="73">
        <f>BM37-BL37</f>
        <v>79</v>
      </c>
      <c r="BN171" s="73">
        <f>BN37-BM37</f>
        <v>180</v>
      </c>
      <c r="BO171" s="73">
        <f>SUM(BK171:BN171)</f>
        <v>72</v>
      </c>
      <c r="BP171" s="490"/>
      <c r="BQ171" s="73">
        <f>BQ37-BN37</f>
        <v>45</v>
      </c>
      <c r="BR171" s="73">
        <f>BR37-BQ37</f>
        <v>134</v>
      </c>
      <c r="BS171" s="73">
        <f>BS37-BR37</f>
        <v>49</v>
      </c>
      <c r="BT171" s="73">
        <f>BT37-BS37</f>
        <v>127</v>
      </c>
      <c r="BU171" s="73">
        <f>SUM(BQ171:BT171)</f>
        <v>355</v>
      </c>
      <c r="BV171" s="490"/>
      <c r="BW171" s="73">
        <f>BW37-BT37</f>
        <v>4</v>
      </c>
      <c r="BX171" s="73">
        <f>BX37-BW37</f>
        <v>118</v>
      </c>
      <c r="BY171" s="73">
        <f>BY37-BX37</f>
        <v>794</v>
      </c>
      <c r="BZ171" s="73">
        <f>BZ37-BY37</f>
        <v>224</v>
      </c>
      <c r="CA171" s="73">
        <f>SUM(BW171:BZ171)</f>
        <v>1140</v>
      </c>
      <c r="CB171" s="490"/>
      <c r="CC171" s="73">
        <f>CC37-BZ37</f>
        <v>196</v>
      </c>
      <c r="CD171" s="73">
        <f>CD37-CC37</f>
        <v>95</v>
      </c>
      <c r="CE171" s="73">
        <f>CE37-CD37</f>
        <v>2151</v>
      </c>
      <c r="CF171" s="73">
        <f>CF37-CE37</f>
        <v>208</v>
      </c>
      <c r="CG171" s="162">
        <f>SUM(CC171:CF171)</f>
        <v>2650</v>
      </c>
      <c r="CH171" s="490"/>
      <c r="CI171" s="492">
        <f>CI37-CF37</f>
        <v>116</v>
      </c>
      <c r="CJ171" s="73">
        <f>CJ37-CI37</f>
        <v>512</v>
      </c>
      <c r="CK171" s="73">
        <f>CK37-CJ37</f>
        <v>130</v>
      </c>
      <c r="CL171" s="73">
        <f>CL37-CK37</f>
        <v>289</v>
      </c>
      <c r="CM171" s="162">
        <f>SUM(CI171:CL171)</f>
        <v>1047</v>
      </c>
      <c r="CN171" s="490"/>
      <c r="CO171" s="492">
        <f>CO37-CL37</f>
        <v>466</v>
      </c>
      <c r="CP171" s="73">
        <f>CP37-CO37</f>
        <v>497</v>
      </c>
      <c r="CQ171" s="73">
        <f>CQ37-CP37</f>
        <v>591</v>
      </c>
      <c r="CR171" s="73">
        <f>CR37-CQ37</f>
        <v>389</v>
      </c>
      <c r="CS171" s="162">
        <f>SUM(CO171:CR171)</f>
        <v>1943</v>
      </c>
      <c r="CT171" s="490"/>
      <c r="CU171" s="492">
        <f>CU37-CR37</f>
        <v>513.31831676251204</v>
      </c>
      <c r="CV171" s="73">
        <f>CV37-CU37</f>
        <v>-618.16217828221124</v>
      </c>
      <c r="CW171" s="73">
        <f>CW37-CV37</f>
        <v>626.8438615196992</v>
      </c>
      <c r="CX171" s="73">
        <f>CX37-CW37</f>
        <v>222</v>
      </c>
      <c r="CY171" s="162">
        <f>SUM(CU171:CX171)</f>
        <v>744</v>
      </c>
      <c r="CZ171" s="490"/>
      <c r="DA171" s="492">
        <f>DA37-CX37</f>
        <v>339</v>
      </c>
      <c r="DB171" s="73">
        <f>DB37-DA37</f>
        <v>210</v>
      </c>
      <c r="DC171" s="73">
        <f>DC37-DB37</f>
        <v>444</v>
      </c>
      <c r="DD171" s="73">
        <f>DD37-DC37</f>
        <v>675</v>
      </c>
      <c r="DE171" s="162">
        <f>SUM(DA171:DD171)</f>
        <v>1668</v>
      </c>
      <c r="DF171" s="490"/>
      <c r="DG171" s="73">
        <f>DG37-DD37</f>
        <v>275</v>
      </c>
      <c r="DH171" s="73">
        <f>DH37-DG37</f>
        <v>740</v>
      </c>
      <c r="DI171" s="73">
        <f>DI37-DH37</f>
        <v>468</v>
      </c>
      <c r="DJ171" s="73">
        <f>DJ37-DI37</f>
        <v>522</v>
      </c>
      <c r="DK171" s="162">
        <f>SUM(DG171:DJ171)</f>
        <v>2005</v>
      </c>
      <c r="DL171" s="490"/>
      <c r="DM171" s="73">
        <f>DM37-DJ37</f>
        <v>262</v>
      </c>
      <c r="DN171" s="73">
        <f>DN37-DM37</f>
        <v>330</v>
      </c>
      <c r="DO171" s="73">
        <f>DO37-DN37</f>
        <v>96</v>
      </c>
      <c r="DP171" s="73">
        <f>DP37-DO37</f>
        <v>148</v>
      </c>
      <c r="DQ171" s="162">
        <f>SUM(DM171:DP171)</f>
        <v>836</v>
      </c>
      <c r="DR171" s="490"/>
      <c r="DS171" s="73">
        <f>DS37-DP37</f>
        <v>412</v>
      </c>
      <c r="DT171" s="73">
        <f>DT37-DS37</f>
        <v>114</v>
      </c>
      <c r="DU171" s="73">
        <f>DU37-DT37</f>
        <v>630</v>
      </c>
      <c r="DV171" s="73">
        <f>DV37-DU37</f>
        <v>248</v>
      </c>
      <c r="DW171" s="162">
        <f>SUM(DS171:DV171)</f>
        <v>1404</v>
      </c>
      <c r="DX171" s="490"/>
      <c r="DY171" s="73">
        <f>DY37-DV37</f>
        <v>162</v>
      </c>
      <c r="DZ171" s="73">
        <f>DZ37-DY37</f>
        <v>348</v>
      </c>
      <c r="EA171" s="73">
        <f>EA37-DZ37</f>
        <v>933</v>
      </c>
      <c r="EB171" s="73">
        <f>EB37-EA37</f>
        <v>741</v>
      </c>
      <c r="EC171" s="162">
        <f>SUM(DY171:EB171)</f>
        <v>2184</v>
      </c>
      <c r="ED171" s="490"/>
      <c r="EE171" s="73">
        <f>EE37-EB37</f>
        <v>632</v>
      </c>
      <c r="EF171" s="73">
        <f>EF37-EE37</f>
        <v>330</v>
      </c>
      <c r="EG171" s="73">
        <f>EG37-EF37</f>
        <v>655</v>
      </c>
      <c r="EH171" s="73">
        <f>EH37-EG37</f>
        <v>462</v>
      </c>
      <c r="EI171" s="162">
        <f>SUM(EE171:EH171)</f>
        <v>2079</v>
      </c>
      <c r="EJ171" s="490"/>
      <c r="EK171" s="73">
        <f>EK37-EH37</f>
        <v>116</v>
      </c>
      <c r="EL171" s="73">
        <f>EL37-EK37</f>
        <v>154</v>
      </c>
      <c r="EM171" s="73">
        <f>EM37-EL37</f>
        <v>100</v>
      </c>
      <c r="EN171" s="73">
        <f>EN37-EM37</f>
        <v>691</v>
      </c>
      <c r="EO171" s="162">
        <f>SUM(EK171:EN171)</f>
        <v>1061</v>
      </c>
      <c r="EP171" s="490"/>
      <c r="EQ171" s="73">
        <f>EQ37-EN37</f>
        <v>371</v>
      </c>
      <c r="ER171" s="73">
        <f>ER37-EQ37</f>
        <v>571</v>
      </c>
      <c r="ES171" s="73">
        <f>ES37-ER37</f>
        <v>811</v>
      </c>
      <c r="ET171" s="73">
        <f>ET37-ES37</f>
        <v>1095</v>
      </c>
      <c r="EU171" s="162">
        <f>SUM(EQ171:ET171)</f>
        <v>2848</v>
      </c>
      <c r="EV171" s="490"/>
      <c r="EW171" s="73">
        <f>EW37-ET37</f>
        <v>1024</v>
      </c>
      <c r="EX171" s="73">
        <f>EX37-EW37</f>
        <v>385</v>
      </c>
      <c r="EY171" s="73">
        <f>EY37-EX37</f>
        <v>-10061.84</v>
      </c>
      <c r="EZ171" s="73">
        <f>EZ37-EY37</f>
        <v>96.042126727359573</v>
      </c>
      <c r="FA171" s="162">
        <f>SUM(EW171:EZ171)</f>
        <v>-8556.7978732726406</v>
      </c>
      <c r="FB171" s="490"/>
      <c r="FC171" s="73">
        <f>FC37-EZ37</f>
        <v>1757.5965255322444</v>
      </c>
      <c r="FD171" s="73">
        <f>FD37-FC37</f>
        <v>1757.5965255322444</v>
      </c>
      <c r="FE171" s="73">
        <f>FE37-FD37</f>
        <v>1757.5965255322444</v>
      </c>
      <c r="FF171" s="73">
        <f>FF37-FE37</f>
        <v>1757.5965255322444</v>
      </c>
      <c r="FG171" s="162">
        <f>SUM(FC171:FF171)</f>
        <v>7030.3861021289777</v>
      </c>
      <c r="FH171" s="490"/>
      <c r="FI171" s="73">
        <f>FI37-FF37</f>
        <v>1985.6709457831857</v>
      </c>
      <c r="FJ171" s="73">
        <f>FJ37-FI37</f>
        <v>1985.6709457831857</v>
      </c>
      <c r="FK171" s="73">
        <f>FK37-FJ37</f>
        <v>1985.6709457831857</v>
      </c>
      <c r="FL171" s="73">
        <f>FL37-FK37</f>
        <v>1985.6709457831857</v>
      </c>
      <c r="FM171" s="162">
        <f>SUM(FI171:FL171)</f>
        <v>7942.683783132743</v>
      </c>
      <c r="FN171" s="135"/>
      <c r="FO171" s="135"/>
      <c r="FP171" s="135"/>
      <c r="FQ171" s="135"/>
      <c r="FR171"/>
      <c r="FS171"/>
      <c r="FT171"/>
      <c r="FU171"/>
      <c r="FV171"/>
      <c r="FW171"/>
      <c r="FX171" s="135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</row>
    <row r="172" spans="1:274" s="24" customFormat="1" ht="14.25" hidden="1" customHeight="1" outlineLevel="1" x14ac:dyDescent="0.2">
      <c r="A172" s="493" t="s">
        <v>852</v>
      </c>
      <c r="B172" s="20"/>
      <c r="C172" s="494"/>
      <c r="D172" s="494"/>
      <c r="E172" s="494"/>
      <c r="F172" s="494"/>
      <c r="G172" s="494"/>
      <c r="H172" s="494"/>
      <c r="I172" s="302"/>
      <c r="J172" s="302"/>
      <c r="K172" s="302"/>
      <c r="L172" s="302"/>
      <c r="M172" s="494"/>
      <c r="N172" s="494"/>
      <c r="O172" s="302"/>
      <c r="P172" s="302"/>
      <c r="Q172" s="302"/>
      <c r="R172" s="302"/>
      <c r="S172" s="494"/>
      <c r="T172" s="494"/>
      <c r="U172" s="302"/>
      <c r="V172" s="302"/>
      <c r="W172" s="302"/>
      <c r="X172" s="302"/>
      <c r="Y172" s="494"/>
      <c r="Z172" s="494"/>
      <c r="AA172" s="302"/>
      <c r="AB172" s="302"/>
      <c r="AC172" s="302"/>
      <c r="AD172" s="302"/>
      <c r="AE172" s="494"/>
      <c r="AF172" s="494"/>
      <c r="AG172" s="302"/>
      <c r="AH172" s="302"/>
      <c r="AI172" s="302"/>
      <c r="AJ172" s="302"/>
      <c r="AK172" s="494"/>
      <c r="AL172" s="494"/>
      <c r="AM172" s="302"/>
      <c r="AN172" s="302"/>
      <c r="AO172" s="302"/>
      <c r="AP172" s="302"/>
      <c r="AQ172" s="494"/>
      <c r="AR172" s="494"/>
      <c r="AS172" s="302"/>
      <c r="AT172" s="302"/>
      <c r="AU172" s="302"/>
      <c r="AV172" s="302"/>
      <c r="AW172" s="495"/>
      <c r="AX172" s="496"/>
      <c r="AY172" s="302"/>
      <c r="AZ172" s="302"/>
      <c r="BA172" s="302"/>
      <c r="BB172" s="302"/>
      <c r="BC172" s="495"/>
      <c r="BD172" s="494"/>
      <c r="BE172" s="497"/>
      <c r="BF172" s="497"/>
      <c r="BG172" s="497"/>
      <c r="BH172" s="498"/>
      <c r="BI172" s="495"/>
      <c r="BJ172" s="494"/>
      <c r="BK172" s="497"/>
      <c r="BL172" s="497"/>
      <c r="BM172" s="497"/>
      <c r="BN172" s="497"/>
      <c r="BO172" s="495"/>
      <c r="BP172" s="494"/>
      <c r="BQ172" s="497"/>
      <c r="BR172" s="497"/>
      <c r="BS172" s="497"/>
      <c r="BT172" s="987"/>
      <c r="BU172" s="495"/>
      <c r="BV172" s="494"/>
      <c r="BW172" s="497"/>
      <c r="BX172" s="497"/>
      <c r="BY172" s="497"/>
      <c r="BZ172" s="987"/>
      <c r="CA172" s="495"/>
      <c r="CB172" s="494"/>
      <c r="CC172" s="497"/>
      <c r="CD172" s="497"/>
      <c r="CE172" s="497"/>
      <c r="CF172" s="987"/>
      <c r="CG172" s="499"/>
      <c r="CH172" s="494"/>
      <c r="CI172" s="497"/>
      <c r="CJ172" s="497"/>
      <c r="CK172" s="497"/>
      <c r="CL172" s="497"/>
      <c r="CM172" s="499"/>
      <c r="CN172" s="494"/>
      <c r="CO172" s="497"/>
      <c r="CP172" s="497"/>
      <c r="CQ172" s="497"/>
      <c r="CR172" s="987"/>
      <c r="CS172" s="499"/>
      <c r="CT172" s="494"/>
      <c r="CU172" s="497"/>
      <c r="CV172" s="497"/>
      <c r="CW172" s="497"/>
      <c r="CX172" s="497"/>
      <c r="CY172" s="499"/>
      <c r="CZ172" s="494"/>
      <c r="DA172" s="497"/>
      <c r="DB172" s="497"/>
      <c r="DC172" s="497"/>
      <c r="DD172" s="987"/>
      <c r="DE172" s="499"/>
      <c r="DF172" s="494"/>
      <c r="DG172" s="497"/>
      <c r="DH172" s="497"/>
      <c r="DI172" s="497"/>
      <c r="DJ172" s="987"/>
      <c r="DK172" s="499"/>
      <c r="DL172" s="494"/>
      <c r="DM172" s="497"/>
      <c r="DN172" s="497"/>
      <c r="DO172" s="497"/>
      <c r="DP172" s="987"/>
      <c r="DQ172" s="499"/>
      <c r="DR172" s="494"/>
      <c r="DS172" s="497"/>
      <c r="DT172" s="497"/>
      <c r="DU172" s="497"/>
      <c r="DV172" s="987"/>
      <c r="DW172" s="499"/>
      <c r="DX172" s="494"/>
      <c r="DY172" s="497"/>
      <c r="DZ172" s="497"/>
      <c r="EA172" s="497"/>
      <c r="EB172" s="987"/>
      <c r="EC172" s="499"/>
      <c r="ED172" s="494"/>
      <c r="EE172" s="497"/>
      <c r="EF172" s="497"/>
      <c r="EG172" s="497"/>
      <c r="EH172" s="497"/>
      <c r="EI172" s="499"/>
      <c r="EJ172" s="494"/>
      <c r="EK172" s="497"/>
      <c r="EL172" s="497"/>
      <c r="EM172" s="497"/>
      <c r="EN172" s="497"/>
      <c r="EO172" s="499"/>
      <c r="EP172" s="494"/>
      <c r="EQ172" s="497"/>
      <c r="ER172" s="497"/>
      <c r="ES172" s="497"/>
      <c r="ET172" s="497"/>
      <c r="EU172" s="499"/>
      <c r="EV172" s="494"/>
      <c r="EW172" s="497"/>
      <c r="EX172" s="497"/>
      <c r="EY172" s="497"/>
      <c r="EZ172" s="987"/>
      <c r="FA172" s="499"/>
      <c r="FB172" s="494"/>
      <c r="FC172" s="497"/>
      <c r="FD172" s="497"/>
      <c r="FE172" s="497"/>
      <c r="FF172" s="987"/>
      <c r="FG172" s="499"/>
      <c r="FH172" s="494"/>
      <c r="FI172" s="497"/>
      <c r="FJ172" s="497"/>
      <c r="FK172" s="497"/>
      <c r="FL172" s="987"/>
      <c r="FM172" s="499"/>
      <c r="FN172" s="135"/>
      <c r="FO172" s="135"/>
      <c r="FP172" s="135"/>
      <c r="FQ172" s="135"/>
      <c r="FR172"/>
      <c r="FS172"/>
      <c r="FT172"/>
      <c r="FU172"/>
      <c r="FV172"/>
      <c r="FW172"/>
      <c r="FX172" s="135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</row>
    <row r="173" spans="1:274" s="24" customFormat="1" ht="14.25" hidden="1" customHeight="1" outlineLevel="1" x14ac:dyDescent="0.2">
      <c r="A173" s="1113" t="s">
        <v>961</v>
      </c>
      <c r="B173" s="20"/>
      <c r="C173" s="494"/>
      <c r="D173" s="494"/>
      <c r="E173" s="494"/>
      <c r="F173" s="494"/>
      <c r="G173" s="494"/>
      <c r="H173" s="494"/>
      <c r="I173" s="302"/>
      <c r="J173" s="302"/>
      <c r="K173" s="302"/>
      <c r="L173" s="302"/>
      <c r="M173" s="494"/>
      <c r="N173" s="494"/>
      <c r="O173" s="302"/>
      <c r="P173" s="302"/>
      <c r="Q173" s="302"/>
      <c r="R173" s="302"/>
      <c r="S173" s="494"/>
      <c r="T173" s="494"/>
      <c r="U173" s="302"/>
      <c r="V173" s="302"/>
      <c r="W173" s="302"/>
      <c r="X173" s="302"/>
      <c r="Y173" s="494"/>
      <c r="Z173" s="494"/>
      <c r="AA173" s="302"/>
      <c r="AB173" s="302"/>
      <c r="AC173" s="302"/>
      <c r="AD173" s="302"/>
      <c r="AE173" s="494"/>
      <c r="AF173" s="494"/>
      <c r="AG173" s="302"/>
      <c r="AH173" s="302"/>
      <c r="AI173" s="302"/>
      <c r="AJ173" s="302"/>
      <c r="AK173" s="500"/>
      <c r="AL173" s="494"/>
      <c r="AM173" s="500"/>
      <c r="AN173" s="500"/>
      <c r="AO173" s="500"/>
      <c r="AP173" s="500"/>
      <c r="AQ173" s="500"/>
      <c r="AR173" s="494"/>
      <c r="AS173" s="500"/>
      <c r="AT173" s="500"/>
      <c r="AU173" s="500"/>
      <c r="AV173" s="500"/>
      <c r="AW173" s="500"/>
      <c r="AX173" s="496"/>
      <c r="AY173" s="497"/>
      <c r="AZ173" s="497"/>
      <c r="BA173" s="497"/>
      <c r="BB173" s="497"/>
      <c r="BC173" s="500">
        <f>348+187</f>
        <v>535</v>
      </c>
      <c r="BD173" s="494"/>
      <c r="BE173" s="495">
        <f>(BE171-BE183-BE189)-((BE171-BE183-BE189)*$BI179)</f>
        <v>41.621864096385863</v>
      </c>
      <c r="BF173" s="495">
        <f>(BF171-BF183-BF189)-((BF171-BF183-BF189)*$BI179)</f>
        <v>153.13197686746921</v>
      </c>
      <c r="BG173" s="495">
        <f>(BG171-BG183-BG189)-((BG171-BG183-BG189)*$BI179)</f>
        <v>31.363946024096592</v>
      </c>
      <c r="BH173" s="495">
        <f>(BH171-BH183-BH189)-((BH171-BH183-BH189)*$BI179)</f>
        <v>100.05088771084351</v>
      </c>
      <c r="BI173" s="500">
        <f>123+209</f>
        <v>332</v>
      </c>
      <c r="BJ173" s="494"/>
      <c r="BK173" s="495">
        <f>(BK171-BK183-BK189)-((BK171-BK183-BK189)*$BO179)</f>
        <v>16.27195021459228</v>
      </c>
      <c r="BL173" s="495">
        <f>(BL171-BL183-BL189)-((BL171-BL183-BL189)*$BO179)</f>
        <v>89.305884978540675</v>
      </c>
      <c r="BM173" s="495">
        <f>(BM171-BM183-BM189)-((BM171-BM183-BM189)*$BO179)</f>
        <v>89.992980257510652</v>
      </c>
      <c r="BN173" s="495">
        <f>(BN171-BN183-BN189)-((BN171-BN183-BN189)*$BO179)</f>
        <v>160.42918454935639</v>
      </c>
      <c r="BO173" s="500">
        <f>192+164</f>
        <v>356</v>
      </c>
      <c r="BP173" s="494"/>
      <c r="BQ173" s="495">
        <f>(BQ171-BQ183-BQ189)-((BQ171-BQ183-BQ189)*$BO179)</f>
        <v>45.836909871244636</v>
      </c>
      <c r="BR173" s="495">
        <f>(BR171-BR183-BR189)-((BR171-BR183-BR189)*$BO179)</f>
        <v>114.13390557939914</v>
      </c>
      <c r="BS173" s="495">
        <f>(BS171-BS183-BS189)-((BS171-BS183-BS189)*$BO179)</f>
        <v>78.151931330472067</v>
      </c>
      <c r="BT173" s="495">
        <f>BU173-BS173-BR173-BQ173</f>
        <v>115.87725321888416</v>
      </c>
      <c r="BU173" s="500">
        <f>190+164</f>
        <v>354</v>
      </c>
      <c r="BV173" s="494"/>
      <c r="BW173" s="495">
        <f>(BW171-BW183-BW189)-((BW171-BW183-BW189)*CA179)</f>
        <v>47.877326968973726</v>
      </c>
      <c r="BX173" s="495">
        <f>(BX171-BX183-BX189)-((BX171-BX183-BX189)*CA179)</f>
        <v>144.70787589498804</v>
      </c>
      <c r="BY173" s="495">
        <f>(BY171-BY183-BY189)-((BY171-BY183-BY189)*CA179)</f>
        <v>713.67700875099445</v>
      </c>
      <c r="BZ173" s="495">
        <f>CA173-BY173-BX173-BW173</f>
        <v>220.73778838504379</v>
      </c>
      <c r="CA173" s="502">
        <f>468+161+504-6</f>
        <v>1127</v>
      </c>
      <c r="CB173" s="494"/>
      <c r="CC173" s="495">
        <f>(CC171-CC183-CC189)-((CC171-CC183-CC189)*CG179)</f>
        <v>173.00114068441064</v>
      </c>
      <c r="CD173" s="495">
        <f>(CD171-CD183-CD189)-((CD171-CD183-CD189)*CG179)</f>
        <v>80.103422053231952</v>
      </c>
      <c r="CE173" s="495">
        <f>(CE171-CE183-CE189)-((CE171-CE183-CE189)*CG179)</f>
        <v>86.699239543726165</v>
      </c>
      <c r="CF173" s="495">
        <f>CG173-CE173-CD173-CC173</f>
        <v>287.1961977186312</v>
      </c>
      <c r="CG173" s="503">
        <f>573+59-5</f>
        <v>627</v>
      </c>
      <c r="CH173" s="494"/>
      <c r="CI173" s="495">
        <f>(CI171-CI183-CI189)-((CI171-CI183-CI189)*CM179)</f>
        <v>170.85</v>
      </c>
      <c r="CJ173" s="495">
        <f>(CJ171-CJ183-CJ189)-((CJ171-CJ183-CJ189)*CM179)</f>
        <v>522.32500000000005</v>
      </c>
      <c r="CK173" s="495">
        <f>(CK171-CK183-CK189)-((CK171-CK183-CK189)*CN179)</f>
        <v>241</v>
      </c>
      <c r="CL173" s="495">
        <f>(CL171-CL183-CL189)-((CL171-CL183-CL189)*CM179)</f>
        <v>341.27499999999998</v>
      </c>
      <c r="CM173" s="503">
        <f>SUM(CI173:CL173)</f>
        <v>1275.45</v>
      </c>
      <c r="CN173" s="494"/>
      <c r="CO173" s="518">
        <f>(CO171-CO183-CO189)-((CO171-CO183-CO189)*CS179)</f>
        <v>469.2</v>
      </c>
      <c r="CP173" s="518">
        <f>(CP171-CP183-CP189)-((CP171-CP183-CP189)*CS179)</f>
        <v>464.1</v>
      </c>
      <c r="CQ173" s="518">
        <f>(CQ171-CQ183-CQ189)-((CQ171-CQ183-CQ189)*CS179)</f>
        <v>540.6</v>
      </c>
      <c r="CR173" s="495">
        <f>(CR171-CR183-CR189)-((CR171-CR183-CR189)*CS179)</f>
        <v>367.2</v>
      </c>
      <c r="CS173" s="503">
        <f>SUM(CO173:CR173)</f>
        <v>1841.1000000000001</v>
      </c>
      <c r="CT173" s="494"/>
      <c r="CU173" s="518">
        <f>(CU171-CU183-CU189)*(1-CY179)</f>
        <v>482.77893558338582</v>
      </c>
      <c r="CV173" s="518">
        <f>(CV171-CV183-CV189)*(1-CY179)</f>
        <v>-399.83301510552315</v>
      </c>
      <c r="CW173" s="518">
        <f>(CW171-CW183-CW189)*(1-CY179)</f>
        <v>694.44605952213726</v>
      </c>
      <c r="CX173" s="518">
        <f>(CX171-CX183-CX189)*(1-CY179)</f>
        <v>223.3725</v>
      </c>
      <c r="CY173" s="503">
        <f>SUM(CU173:CX173)</f>
        <v>1000.7644799999998</v>
      </c>
      <c r="CZ173" s="494"/>
      <c r="DA173" s="518">
        <f>(DA171-DA183-DA189)*(1-DE179)</f>
        <v>328.38150000000002</v>
      </c>
      <c r="DB173" s="518">
        <f>(DB171-DB183-DB189)*(1-DE179)</f>
        <v>199.66499999999999</v>
      </c>
      <c r="DC173" s="518">
        <f>(DC171-DC183-DC189)*(1-DE179)</f>
        <v>410.07450000000034</v>
      </c>
      <c r="DD173" s="518">
        <f>(DD171-DD183-DD189)*(1-DE179)</f>
        <v>609.34800000000018</v>
      </c>
      <c r="DE173" s="503">
        <f>SUM(DA173:DD173)</f>
        <v>1547.4690000000005</v>
      </c>
      <c r="DF173" s="494"/>
      <c r="DG173" s="518">
        <f>(DG171-DG183-DG189)*(1-DK179)</f>
        <v>264.74099999999999</v>
      </c>
      <c r="DH173" s="518">
        <f>(DH171-DH183-DH189)*(1-DK179)</f>
        <v>632.66399999999999</v>
      </c>
      <c r="DI173" s="518">
        <f>(DI171-DI183-DI189)*(1-DK179)</f>
        <v>423.55950000000001</v>
      </c>
      <c r="DJ173" s="518">
        <f>(DJ171-DJ183-DJ189)*(1-DK179)</f>
        <v>478.41299999999995</v>
      </c>
      <c r="DK173" s="503">
        <f>SUM(DG173:DJ173)</f>
        <v>1799.3775000000001</v>
      </c>
      <c r="DL173" s="494"/>
      <c r="DM173" s="518">
        <f>(DM171-DM183-DM189)*(1-$DQ$179)</f>
        <v>285.9864</v>
      </c>
      <c r="DN173" s="518">
        <f>(DN171-DN183-DN189)*(1-$DQ$179)</f>
        <v>377.98020000000002</v>
      </c>
      <c r="DO173" s="518">
        <f>(DO171-DO183-DO189)*(1-$DQ$179)</f>
        <v>252.37029599999977</v>
      </c>
      <c r="DP173" s="518">
        <f>(DP171-DP183-DP189)*(1-DQ179)</f>
        <v>314.19206100000002</v>
      </c>
      <c r="DQ173" s="503">
        <f>SUM(DM173:DP173)</f>
        <v>1230.5289569999998</v>
      </c>
      <c r="DR173" s="494"/>
      <c r="DS173" s="518">
        <f>(DS171-DS183-DS189)*(1-$DW$179)</f>
        <v>675.13739999999996</v>
      </c>
      <c r="DT173" s="518">
        <f>(DT171-DT183-DT189)*(1-$DQ$179)</f>
        <v>387.60239999999999</v>
      </c>
      <c r="DU173" s="518">
        <f>(DU171-DU183-DU189)*(1-$DQ$179)</f>
        <v>794.57099999999991</v>
      </c>
      <c r="DV173" s="518">
        <f>(DV171-DV183-DV189)*(1-DW179)</f>
        <v>492.67081810852102</v>
      </c>
      <c r="DW173" s="503">
        <f>SUM(DS173:DV173)</f>
        <v>2349.9816181085207</v>
      </c>
      <c r="DX173" s="494"/>
      <c r="DY173" s="518">
        <f>(DY171-DY183-DY189)*(1-$EC$179)</f>
        <v>407.12520000000001</v>
      </c>
      <c r="DZ173" s="518">
        <f t="shared" ref="DZ173:EB173" si="149">(DZ171-DZ183-DZ189)*(1-$EC$179)</f>
        <v>633.98395485195101</v>
      </c>
      <c r="EA173" s="518">
        <f t="shared" si="149"/>
        <v>1015.7424</v>
      </c>
      <c r="EB173" s="518">
        <f t="shared" si="149"/>
        <v>821.28</v>
      </c>
      <c r="EC173" s="503">
        <f>SUM(DY173:EB173)</f>
        <v>2878.1315548519506</v>
      </c>
      <c r="ED173" s="494"/>
      <c r="EE173" s="518">
        <f>(EE171-EE183-EE189)*(1-$EI$179)</f>
        <v>743.95439999999985</v>
      </c>
      <c r="EF173" s="518">
        <f t="shared" ref="EF173:EH173" si="150">(EF171-EF183-EF189)*(1-$EI$179)</f>
        <v>503.76479999999998</v>
      </c>
      <c r="EG173" s="518">
        <f t="shared" si="150"/>
        <v>759.23159999999984</v>
      </c>
      <c r="EH173" s="518">
        <f t="shared" si="150"/>
        <v>613.21949999999993</v>
      </c>
      <c r="EI173" s="503">
        <f>SUM(EE173:EH173)</f>
        <v>2620.1702999999998</v>
      </c>
      <c r="EJ173" s="494"/>
      <c r="EK173" s="518">
        <f>(EK171-EK183-EK189)*(1-$EO$179)</f>
        <v>281.48850000000016</v>
      </c>
      <c r="EL173" s="518">
        <f t="shared" ref="EL173:EN173" si="151">(EL171-EL183-EL189)*(1-$EO$179)</f>
        <v>676.72949999999992</v>
      </c>
      <c r="EM173" s="518">
        <f t="shared" si="151"/>
        <v>389.15099999999995</v>
      </c>
      <c r="EN173" s="518">
        <f t="shared" si="151"/>
        <v>843.94349999999997</v>
      </c>
      <c r="EO173" s="503">
        <f>SUM(EK173:EN173)</f>
        <v>2191.3125</v>
      </c>
      <c r="EP173" s="494"/>
      <c r="EQ173" s="518">
        <f>(EQ171-EQ183-EQ189)*(1-$EU$179)</f>
        <v>551.44949999999994</v>
      </c>
      <c r="ER173" s="518">
        <f t="shared" ref="ER173:ET173" si="152">(ER171-ER183-ER189)*(1-$EU$179)</f>
        <v>623.63340000000107</v>
      </c>
      <c r="ES173" s="518">
        <f t="shared" si="152"/>
        <v>771.73349999999994</v>
      </c>
      <c r="ET173" s="518">
        <f t="shared" si="152"/>
        <v>1030.1496</v>
      </c>
      <c r="EU173" s="503">
        <f>SUM(EQ173:ET173)</f>
        <v>2976.9660000000013</v>
      </c>
      <c r="EV173" s="494"/>
      <c r="EW173" s="518">
        <f>(EW171-EW183-EW189)*(1-$FA$179)</f>
        <v>852.28679999999997</v>
      </c>
      <c r="EX173" s="518">
        <f>(EX171-EX183-EX189)*(1-$FA$179)</f>
        <v>525.82800000000009</v>
      </c>
      <c r="EY173" s="518">
        <f t="shared" ref="EY173" si="153">(EY171-EY183-EY189)*(1-$EU$179)</f>
        <v>-135.56339999999975</v>
      </c>
      <c r="EZ173" s="1093">
        <f>EZ174*EZ175</f>
        <v>-12.46324394782755</v>
      </c>
      <c r="FA173" s="503">
        <f>SUM(EW173:EZ173)</f>
        <v>1230.0881560521727</v>
      </c>
      <c r="FB173" s="494"/>
      <c r="FC173" s="1093">
        <f>FC174*FC175</f>
        <v>1402.287925508472</v>
      </c>
      <c r="FD173" s="1093">
        <f>FD174*FD175</f>
        <v>1402.287925508472</v>
      </c>
      <c r="FE173" s="1093">
        <f>FE174*FE175</f>
        <v>1402.2879255084722</v>
      </c>
      <c r="FF173" s="1093">
        <f>FF174*FF175</f>
        <v>1402.2879255084717</v>
      </c>
      <c r="FG173" s="503">
        <f>SUM(FC173:FF173)</f>
        <v>5609.1517020338879</v>
      </c>
      <c r="FH173" s="494"/>
      <c r="FI173" s="1093">
        <f>FI174*FI175</f>
        <v>1565.8622316149031</v>
      </c>
      <c r="FJ173" s="1093">
        <f>FJ174*FJ175</f>
        <v>1565.8622316149031</v>
      </c>
      <c r="FK173" s="1093">
        <f>FK174*FK175</f>
        <v>1565.8622316149033</v>
      </c>
      <c r="FL173" s="1093">
        <f>FL174*FL175</f>
        <v>1565.8622316149035</v>
      </c>
      <c r="FM173" s="503">
        <f>SUM(FI173:FL173)</f>
        <v>6263.4489264596123</v>
      </c>
      <c r="FN173" s="135"/>
      <c r="FO173" s="135"/>
      <c r="FP173" s="135"/>
      <c r="FQ173" s="135"/>
      <c r="FR173"/>
      <c r="FS173"/>
      <c r="FT173"/>
      <c r="FU173"/>
      <c r="FV173"/>
      <c r="FW173"/>
      <c r="FX173" s="135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</row>
    <row r="174" spans="1:274" s="24" customFormat="1" ht="14.25" hidden="1" customHeight="1" outlineLevel="1" x14ac:dyDescent="0.2">
      <c r="A174" s="493" t="s">
        <v>981</v>
      </c>
      <c r="B174" s="20"/>
      <c r="C174" s="494"/>
      <c r="D174" s="494"/>
      <c r="E174" s="494"/>
      <c r="F174" s="494"/>
      <c r="G174" s="494"/>
      <c r="H174" s="494"/>
      <c r="I174" s="302"/>
      <c r="J174" s="302"/>
      <c r="K174" s="302"/>
      <c r="L174" s="302"/>
      <c r="M174" s="494"/>
      <c r="N174" s="494"/>
      <c r="O174" s="302"/>
      <c r="P174" s="302"/>
      <c r="Q174" s="302"/>
      <c r="R174" s="302"/>
      <c r="S174" s="494"/>
      <c r="T174" s="494"/>
      <c r="U174" s="302"/>
      <c r="V174" s="302"/>
      <c r="W174" s="302"/>
      <c r="X174" s="302"/>
      <c r="Y174" s="494"/>
      <c r="Z174" s="494"/>
      <c r="AA174" s="302"/>
      <c r="AB174" s="302"/>
      <c r="AC174" s="302"/>
      <c r="AD174" s="302"/>
      <c r="AE174" s="494"/>
      <c r="AF174" s="494"/>
      <c r="AG174" s="302"/>
      <c r="AH174" s="302"/>
      <c r="AI174" s="302"/>
      <c r="AJ174" s="302"/>
      <c r="AK174" s="505"/>
      <c r="AL174" s="494"/>
      <c r="AM174" s="506"/>
      <c r="AN174" s="506"/>
      <c r="AO174" s="506"/>
      <c r="AP174" s="506"/>
      <c r="AQ174" s="505"/>
      <c r="AR174" s="494"/>
      <c r="AS174" s="506"/>
      <c r="AT174" s="506"/>
      <c r="AU174" s="506"/>
      <c r="AV174" s="506"/>
      <c r="AW174" s="505"/>
      <c r="AX174" s="496"/>
      <c r="AY174" s="497"/>
      <c r="AZ174" s="497"/>
      <c r="BA174" s="497"/>
      <c r="BB174" s="497"/>
      <c r="BC174" s="506">
        <f>109+10</f>
        <v>119</v>
      </c>
      <c r="BD174" s="494"/>
      <c r="BE174" s="497">
        <f>BE193-BE186</f>
        <v>8.656617000000189</v>
      </c>
      <c r="BF174" s="497">
        <f>BF193-BF186</f>
        <v>19.637291999999434</v>
      </c>
      <c r="BG174" s="497">
        <f>BG193-BG186</f>
        <v>7.0858260000002709</v>
      </c>
      <c r="BH174" s="497">
        <f>BH193-BH186</f>
        <v>13.359442000000115</v>
      </c>
      <c r="BI174" s="506">
        <f>SUM(BE174:BH174)</f>
        <v>48.739177000000012</v>
      </c>
      <c r="BJ174" s="507"/>
      <c r="BK174" s="497">
        <f>BK193-BK186</f>
        <v>6.9000000000000057</v>
      </c>
      <c r="BL174" s="497">
        <f>BL193-BL186</f>
        <v>20.799999999999983</v>
      </c>
      <c r="BM174" s="497">
        <f>BM193-BM186</f>
        <v>14.5</v>
      </c>
      <c r="BN174" s="497">
        <f>BN193-BN186</f>
        <v>29.800000000000011</v>
      </c>
      <c r="BO174" s="506">
        <f>48+24</f>
        <v>72</v>
      </c>
      <c r="BP174" s="507"/>
      <c r="BQ174" s="497">
        <f>BQ193-BQ186</f>
        <v>7.6999999999999993</v>
      </c>
      <c r="BR174" s="497">
        <f>BR193-BR186</f>
        <v>18.599999999999998</v>
      </c>
      <c r="BS174" s="497">
        <f>BS193-BS186</f>
        <v>14</v>
      </c>
      <c r="BT174" s="497">
        <f>BU174-BS174-BR174-BQ174</f>
        <v>15.700000000000003</v>
      </c>
      <c r="BU174" s="506">
        <f>38+18</f>
        <v>56</v>
      </c>
      <c r="BV174" s="507"/>
      <c r="BW174" s="497">
        <f>-BW186+BW193</f>
        <v>7.2999999999999972</v>
      </c>
      <c r="BX174" s="497">
        <f>BX193-BX186</f>
        <v>19.600000000000001</v>
      </c>
      <c r="BY174" s="497">
        <f>BY193-BY186</f>
        <v>32</v>
      </c>
      <c r="BZ174" s="497">
        <f>CA174-BY174-BX174-BW174</f>
        <v>30.1</v>
      </c>
      <c r="CA174" s="506">
        <f>71+17+1</f>
        <v>89</v>
      </c>
      <c r="CB174" s="507"/>
      <c r="CC174" s="497">
        <f>-CC186+CC193</f>
        <v>22.1</v>
      </c>
      <c r="CD174" s="497">
        <f>CD193-CD186</f>
        <v>11</v>
      </c>
      <c r="CE174" s="497">
        <f>CE193-CE190</f>
        <v>17</v>
      </c>
      <c r="CF174" s="497">
        <f>CG174-CE174-CD174-CC174</f>
        <v>42.9</v>
      </c>
      <c r="CG174" s="508">
        <f>87+6</f>
        <v>93</v>
      </c>
      <c r="CH174" s="507"/>
      <c r="CI174" s="497">
        <f>-CI186+CI193</f>
        <v>19.799999999999997</v>
      </c>
      <c r="CJ174" s="497">
        <f>-CJ186+CJ193</f>
        <v>47.5</v>
      </c>
      <c r="CK174" s="497">
        <f>-CK186+CK193</f>
        <v>24.799999999999997</v>
      </c>
      <c r="CL174" s="497">
        <f>-CL186+CL193</f>
        <v>25.5</v>
      </c>
      <c r="CM174" s="508">
        <f>SUM(CI174:CL174)</f>
        <v>117.6</v>
      </c>
      <c r="CN174" s="507"/>
      <c r="CO174" s="497">
        <f>-CO186+CO193</f>
        <v>35</v>
      </c>
      <c r="CP174" s="497">
        <f>-CP186+CP193</f>
        <v>34.254716981132077</v>
      </c>
      <c r="CQ174" s="497">
        <f>-CQ186+CQ193</f>
        <v>44.982558139534888</v>
      </c>
      <c r="CR174" s="497">
        <f>-CR186+CR193</f>
        <v>25.224806201550386</v>
      </c>
      <c r="CS174" s="508">
        <f>SUM(CO174:CR174)</f>
        <v>139.46208132221736</v>
      </c>
      <c r="CT174" s="497"/>
      <c r="CU174" s="497">
        <f>-CU186+CU193</f>
        <v>-27.3</v>
      </c>
      <c r="CV174" s="497">
        <f>-CV186+CV193</f>
        <v>54</v>
      </c>
      <c r="CW174" s="497">
        <f>-CW186+CW193</f>
        <v>8.4000000000000057</v>
      </c>
      <c r="CX174" s="497">
        <f>-CX186+CX193</f>
        <v>36</v>
      </c>
      <c r="CY174" s="508">
        <f>SUM(CU174:CX174)</f>
        <v>71.100000000000009</v>
      </c>
      <c r="CZ174" s="497"/>
      <c r="DA174" s="497">
        <f>-DA186+DA193</f>
        <v>18.399999999999999</v>
      </c>
      <c r="DB174" s="497">
        <f>-DB186+DB193</f>
        <v>8.6</v>
      </c>
      <c r="DC174" s="497">
        <f>-DC186+DC193</f>
        <v>16.3</v>
      </c>
      <c r="DD174" s="497">
        <f>-DD186+DD193</f>
        <v>21.024057738572573</v>
      </c>
      <c r="DE174" s="508">
        <f>SUM(DA174:DD174)</f>
        <v>64.324057738572577</v>
      </c>
      <c r="DF174" s="497"/>
      <c r="DG174" s="497">
        <f>-DG186+DG193</f>
        <v>9.8000000000000007</v>
      </c>
      <c r="DH174" s="497">
        <f>-DH186+DH193</f>
        <v>35.1</v>
      </c>
      <c r="DI174" s="497">
        <f>-DI186+DI193</f>
        <v>20.3</v>
      </c>
      <c r="DJ174" s="497">
        <f>-DJ186+DJ193</f>
        <v>24.3</v>
      </c>
      <c r="DK174" s="508">
        <f>SUM(DG174:DJ174)</f>
        <v>89.5</v>
      </c>
      <c r="DL174" s="497"/>
      <c r="DM174" s="497">
        <f>-DM186+DM193</f>
        <v>9.7379679144384994</v>
      </c>
      <c r="DN174" s="497">
        <f>-DN186+DN193</f>
        <v>14.024487094639312</v>
      </c>
      <c r="DO174" s="497">
        <f>-DO186+DO193</f>
        <v>5.9971550497866275</v>
      </c>
      <c r="DP174" s="497">
        <f>-DP186+DP193</f>
        <v>13.700000000000003</v>
      </c>
      <c r="DQ174" s="508">
        <f>SUM(DM174:DP174)</f>
        <v>43.459610058864442</v>
      </c>
      <c r="DR174" s="497"/>
      <c r="DS174" s="497">
        <f>-DS186+DS193</f>
        <v>30.271186440677965</v>
      </c>
      <c r="DT174" s="497">
        <f>-DT186+DT193</f>
        <v>13.025641025641022</v>
      </c>
      <c r="DU174" s="497">
        <f>-DU186+DU193</f>
        <v>32.440922190201725</v>
      </c>
      <c r="DV174" s="497">
        <f>-DV186+DV193</f>
        <v>1</v>
      </c>
      <c r="DW174" s="508">
        <f>SUM(DS174:DV174)</f>
        <v>76.73774965652072</v>
      </c>
      <c r="DX174" s="497"/>
      <c r="DY174" s="497">
        <f>-DY186+DY193</f>
        <v>32.200000000000003</v>
      </c>
      <c r="DZ174" s="497">
        <f>-DZ186+DZ193</f>
        <v>49.400000000000006</v>
      </c>
      <c r="EA174" s="497">
        <f>-EA186+EA193</f>
        <v>3.2845528455284594</v>
      </c>
      <c r="EB174" s="497">
        <f>-EB186+EB193</f>
        <v>30</v>
      </c>
      <c r="EC174" s="508">
        <f>SUM(DY174:EB174)</f>
        <v>114.88455284552848</v>
      </c>
      <c r="ED174" s="497"/>
      <c r="EE174" s="497">
        <f>-EE186+EE193</f>
        <v>23</v>
      </c>
      <c r="EF174" s="497">
        <f>-EF186+EF193</f>
        <v>12.799999999999997</v>
      </c>
      <c r="EG174" s="497">
        <f>-EG186+EG193</f>
        <v>21.1</v>
      </c>
      <c r="EH174" s="497">
        <f>-EH186+EH193</f>
        <v>16</v>
      </c>
      <c r="EI174" s="508">
        <f>SUM(EE174:EH174)</f>
        <v>72.900000000000006</v>
      </c>
      <c r="EJ174" s="497"/>
      <c r="EK174" s="497">
        <f>-EK186+EK193</f>
        <v>14</v>
      </c>
      <c r="EL174" s="497">
        <f>-EL186+EL193</f>
        <v>12</v>
      </c>
      <c r="EM174" s="497">
        <f>-EM186+EM193</f>
        <v>9</v>
      </c>
      <c r="EN174" s="497">
        <f>-EN186+EN193</f>
        <v>21</v>
      </c>
      <c r="EO174" s="508">
        <f>SUM(EK174:EN174)</f>
        <v>56</v>
      </c>
      <c r="EP174" s="497"/>
      <c r="EQ174" s="497">
        <f>-EQ186+EQ193</f>
        <v>24</v>
      </c>
      <c r="ER174" s="497">
        <f>-ER186+ER193</f>
        <v>10</v>
      </c>
      <c r="ES174" s="497">
        <f>-ES186+ES193</f>
        <v>25</v>
      </c>
      <c r="ET174" s="497">
        <f>-ET186+ET193</f>
        <v>33</v>
      </c>
      <c r="EU174" s="508">
        <f>SUM(EQ174:ET174)</f>
        <v>92</v>
      </c>
      <c r="EV174" s="497"/>
      <c r="EW174" s="497">
        <f>-EW186+EW193</f>
        <v>44.2</v>
      </c>
      <c r="EX174" s="497">
        <f>-EX186+EX193</f>
        <v>13</v>
      </c>
      <c r="EY174" s="497">
        <f>-EY186+EY193</f>
        <v>47.75</v>
      </c>
      <c r="EZ174" s="1090">
        <f>(FA174-EY174-EX174-EW174)</f>
        <v>-0.25965091557974063</v>
      </c>
      <c r="FA174" s="508">
        <f>Metrics!FA282*'Balance Sheet'!FA176/1000000</f>
        <v>104.69034908442026</v>
      </c>
      <c r="FB174" s="497"/>
      <c r="FC174" s="1090">
        <f>FG174/4</f>
        <v>27.303113814417291</v>
      </c>
      <c r="FD174" s="1090">
        <f>(FG174-FC174)/3</f>
        <v>27.303113814417291</v>
      </c>
      <c r="FE174" s="1090">
        <f>(FG174-FD174-FC174)/2</f>
        <v>27.303113814417294</v>
      </c>
      <c r="FF174" s="1090">
        <f>(FG174-FE174-FD174-FC174)</f>
        <v>27.303113814417284</v>
      </c>
      <c r="FG174" s="508">
        <f>Metrics!FG282*'Balance Sheet'!FG176/1000000</f>
        <v>109.21245525766916</v>
      </c>
      <c r="FH174" s="497"/>
      <c r="FI174" s="1090">
        <f>FM174/4</f>
        <v>28.493431588182791</v>
      </c>
      <c r="FJ174" s="1090">
        <f>(FM174-FI174)/3</f>
        <v>28.493431588182791</v>
      </c>
      <c r="FK174" s="1090">
        <f>(FM174-FJ174-FI174)/2</f>
        <v>28.493431588182794</v>
      </c>
      <c r="FL174" s="1090">
        <f>(FM174-FK174-FJ174-FI174)</f>
        <v>28.493431588182798</v>
      </c>
      <c r="FM174" s="508">
        <f>Metrics!FM282*'Balance Sheet'!FM176/1000000</f>
        <v>113.97372635273116</v>
      </c>
      <c r="FN174" s="135"/>
      <c r="FO174" s="135"/>
      <c r="FP174" s="135"/>
      <c r="FQ174" s="135"/>
      <c r="FR174"/>
      <c r="FS174"/>
      <c r="FT174"/>
      <c r="FU174"/>
      <c r="FV174"/>
      <c r="FW174"/>
      <c r="FX174" s="135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</row>
    <row r="175" spans="1:274" s="24" customFormat="1" ht="14.25" hidden="1" customHeight="1" outlineLevel="1" x14ac:dyDescent="0.2">
      <c r="A175" s="493" t="s">
        <v>982</v>
      </c>
      <c r="B175" s="20"/>
      <c r="C175" s="494"/>
      <c r="D175" s="494"/>
      <c r="E175" s="494"/>
      <c r="F175" s="494"/>
      <c r="G175" s="494"/>
      <c r="H175" s="494"/>
      <c r="I175" s="302"/>
      <c r="J175" s="302"/>
      <c r="K175" s="302"/>
      <c r="L175" s="302"/>
      <c r="M175" s="494"/>
      <c r="N175" s="494"/>
      <c r="O175" s="302"/>
      <c r="P175" s="302"/>
      <c r="Q175" s="302"/>
      <c r="R175" s="302"/>
      <c r="S175" s="494"/>
      <c r="T175" s="494"/>
      <c r="U175" s="302"/>
      <c r="V175" s="302"/>
      <c r="W175" s="302"/>
      <c r="X175" s="302"/>
      <c r="Y175" s="494"/>
      <c r="Z175" s="494"/>
      <c r="AA175" s="302"/>
      <c r="AB175" s="302"/>
      <c r="AC175" s="302"/>
      <c r="AD175" s="302"/>
      <c r="AE175" s="494"/>
      <c r="AF175" s="494"/>
      <c r="AG175" s="302"/>
      <c r="AH175" s="302"/>
      <c r="AI175" s="302"/>
      <c r="AJ175" s="302"/>
      <c r="AK175" s="509"/>
      <c r="AL175" s="494"/>
      <c r="AM175" s="509"/>
      <c r="AN175" s="509"/>
      <c r="AO175" s="509"/>
      <c r="AP175" s="509"/>
      <c r="AQ175" s="509"/>
      <c r="AR175" s="494"/>
      <c r="AS175" s="509"/>
      <c r="AT175" s="509"/>
      <c r="AU175" s="509"/>
      <c r="AV175" s="509"/>
      <c r="AW175" s="509"/>
      <c r="AX175" s="496"/>
      <c r="AY175" s="509"/>
      <c r="AZ175" s="509"/>
      <c r="BA175" s="509"/>
      <c r="BB175" s="509"/>
      <c r="BC175" s="372">
        <f>BC173/BC174</f>
        <v>4.4957983193277311</v>
      </c>
      <c r="BD175" s="494"/>
      <c r="BE175" s="509">
        <f>BE173/BE174</f>
        <v>4.8080981399991423</v>
      </c>
      <c r="BF175" s="509">
        <f>BF173/BF174</f>
        <v>7.7980190378323861</v>
      </c>
      <c r="BG175" s="509">
        <f>BG173/BG174</f>
        <v>4.4262935646592778</v>
      </c>
      <c r="BH175" s="509">
        <f>BH173/BH174</f>
        <v>7.4891516959198334</v>
      </c>
      <c r="BI175" s="372">
        <f>BI173/BI174</f>
        <v>6.8117686927704977</v>
      </c>
      <c r="BJ175" s="507"/>
      <c r="BK175" s="509">
        <f>BK173/BK174</f>
        <v>2.3582536542887342</v>
      </c>
      <c r="BL175" s="509">
        <f>BL173/BL174</f>
        <v>4.2935521624298438</v>
      </c>
      <c r="BM175" s="509">
        <f>BM173/BM174</f>
        <v>6.2064124315524589</v>
      </c>
      <c r="BN175" s="509">
        <f>BN173/BN174</f>
        <v>5.3835296828643067</v>
      </c>
      <c r="BO175" s="372">
        <f>BO173/BO174</f>
        <v>4.9444444444444446</v>
      </c>
      <c r="BP175" s="507"/>
      <c r="BQ175" s="509">
        <f>BQ173/BQ174</f>
        <v>5.9528454378239797</v>
      </c>
      <c r="BR175" s="509">
        <f>BR173/BR174</f>
        <v>6.136231482763395</v>
      </c>
      <c r="BS175" s="509">
        <f>BS173/BS174</f>
        <v>5.5822808093194336</v>
      </c>
      <c r="BT175" s="509">
        <f>BT173/BT174</f>
        <v>7.3807167655340216</v>
      </c>
      <c r="BU175" s="372">
        <f>BU173/BU174</f>
        <v>6.3214285714285712</v>
      </c>
      <c r="BV175" s="507"/>
      <c r="BW175" s="509">
        <f>BW173/BW174</f>
        <v>6.5585379409553077</v>
      </c>
      <c r="BX175" s="509">
        <f>BX173/BX174</f>
        <v>7.3830548926014297</v>
      </c>
      <c r="BY175" s="509">
        <f>BY173/BY174</f>
        <v>22.302406523468576</v>
      </c>
      <c r="BZ175" s="509">
        <f>BZ173/BZ174</f>
        <v>7.3334813416958067</v>
      </c>
      <c r="CA175" s="372">
        <f>CA173/CA174</f>
        <v>12.662921348314606</v>
      </c>
      <c r="CB175" s="507"/>
      <c r="CC175" s="509">
        <f>CC173/CC174</f>
        <v>7.8281059133217479</v>
      </c>
      <c r="CD175" s="509">
        <f>CD173/CD174</f>
        <v>7.2821292775665407</v>
      </c>
      <c r="CE175" s="509">
        <f>CE173/CE174</f>
        <v>5.09995526727801</v>
      </c>
      <c r="CF175" s="509">
        <f>CG175</f>
        <v>6.741935483870968</v>
      </c>
      <c r="CG175" s="511">
        <f>CG173/CG174</f>
        <v>6.741935483870968</v>
      </c>
      <c r="CH175" s="507"/>
      <c r="CI175" s="509">
        <f>CI173/CI174</f>
        <v>8.6287878787878789</v>
      </c>
      <c r="CJ175" s="509">
        <f>CJ173/CJ174</f>
        <v>10.996315789473686</v>
      </c>
      <c r="CK175" s="509">
        <f>CK173/CK174</f>
        <v>9.7177419354838719</v>
      </c>
      <c r="CL175" s="509">
        <f>CL173/CL174</f>
        <v>13.383333333333333</v>
      </c>
      <c r="CM175" s="511">
        <f>CM173/CM174</f>
        <v>10.845663265306124</v>
      </c>
      <c r="CN175" s="507"/>
      <c r="CO175" s="509">
        <f>CO173/CO174</f>
        <v>13.405714285714286</v>
      </c>
      <c r="CP175" s="509">
        <f>CP173/CP174</f>
        <v>13.548499036078216</v>
      </c>
      <c r="CQ175" s="509">
        <f>CQ173/CQ174</f>
        <v>12.017991469561846</v>
      </c>
      <c r="CR175" s="509">
        <f>CR173/CR174</f>
        <v>14.557098955132146</v>
      </c>
      <c r="CS175" s="511">
        <f>CS173/CS174</f>
        <v>13.201437857120945</v>
      </c>
      <c r="CT175" s="507"/>
      <c r="CU175" s="509">
        <f>CU173/CU174</f>
        <v>-17.684210094629517</v>
      </c>
      <c r="CV175" s="509">
        <f>CV173/CV174</f>
        <v>-7.4043150945467247</v>
      </c>
      <c r="CW175" s="509">
        <f>CW173/CW174</f>
        <v>82.672149943111521</v>
      </c>
      <c r="CX175" s="509">
        <f>CX173/CX174</f>
        <v>6.2047916666666669</v>
      </c>
      <c r="CY175" s="511">
        <f>CY173/CY174</f>
        <v>14.075449789029532</v>
      </c>
      <c r="CZ175" s="507"/>
      <c r="DA175" s="509">
        <f>DA173/DA174</f>
        <v>17.846820652173914</v>
      </c>
      <c r="DB175" s="509">
        <f>DB173/DB174</f>
        <v>23.21686046511628</v>
      </c>
      <c r="DC175" s="509">
        <f>DC173/DC174</f>
        <v>25.157944785276094</v>
      </c>
      <c r="DD175" s="509">
        <f>DD173/DD174</f>
        <v>28.983367891063061</v>
      </c>
      <c r="DE175" s="511">
        <f>DE173/DE174</f>
        <v>24.057390879929592</v>
      </c>
      <c r="DF175" s="507"/>
      <c r="DG175" s="509">
        <f>DG173/DG174</f>
        <v>27.014387755102039</v>
      </c>
      <c r="DH175" s="509">
        <f>DH173/DH174</f>
        <v>18.024615384615384</v>
      </c>
      <c r="DI175" s="509">
        <f>DI173/DI174</f>
        <v>20.864999999999998</v>
      </c>
      <c r="DJ175" s="509">
        <f>DJ173/DJ174</f>
        <v>19.687777777777775</v>
      </c>
      <c r="DK175" s="511">
        <f>DK173/DK174</f>
        <v>20.104776536312851</v>
      </c>
      <c r="DL175" s="507"/>
      <c r="DM175" s="509">
        <f>DM173/DM174</f>
        <v>29.368180560131805</v>
      </c>
      <c r="DN175" s="509">
        <f>DN173/DN174</f>
        <v>26.951445528762211</v>
      </c>
      <c r="DO175" s="509">
        <f>DO173/DO174</f>
        <v>42.081669375711542</v>
      </c>
      <c r="DP175" s="509">
        <f>DP173/DP174</f>
        <v>22.933727080291966</v>
      </c>
      <c r="DQ175" s="511">
        <f>DQ173/DQ174</f>
        <v>28.314311963068551</v>
      </c>
      <c r="DR175" s="507"/>
      <c r="DS175" s="509">
        <f>DS173/DS174</f>
        <v>22.302971220604704</v>
      </c>
      <c r="DT175" s="509">
        <f>DT173/DT174</f>
        <v>29.756877165354339</v>
      </c>
      <c r="DU175" s="509">
        <f>DU173/DU174</f>
        <v>24.492861064226705</v>
      </c>
      <c r="DV175" s="509">
        <f>DV173/DV174</f>
        <v>492.67081810852102</v>
      </c>
      <c r="DW175" s="511">
        <f>DW173/DW174</f>
        <v>30.623540938157198</v>
      </c>
      <c r="DX175" s="507"/>
      <c r="DY175" s="509">
        <f>DY173/DY174</f>
        <v>12.643639751552794</v>
      </c>
      <c r="DZ175" s="509">
        <f>DZ173/DZ174</f>
        <v>12.833683296598197</v>
      </c>
      <c r="EA175" s="509">
        <f>EA173/EA174</f>
        <v>309.24830495049463</v>
      </c>
      <c r="EB175" s="509">
        <f>EB173/EB174</f>
        <v>27.375999999999998</v>
      </c>
      <c r="EC175" s="511">
        <f>EC173/EC174</f>
        <v>25.052380703625403</v>
      </c>
      <c r="ED175" s="507"/>
      <c r="EE175" s="509">
        <f>EE173/EE174</f>
        <v>32.345843478260861</v>
      </c>
      <c r="EF175" s="509">
        <f>EF173/EF174</f>
        <v>39.356625000000008</v>
      </c>
      <c r="EG175" s="509">
        <f>EG173/EG174</f>
        <v>35.982540284360176</v>
      </c>
      <c r="EH175" s="509">
        <f>EH173/EH174</f>
        <v>38.326218749999995</v>
      </c>
      <c r="EI175" s="511">
        <f>EI173/EI174</f>
        <v>35.941979423868304</v>
      </c>
      <c r="EJ175" s="507"/>
      <c r="EK175" s="509">
        <f>EK173/EK174</f>
        <v>20.106321428571441</v>
      </c>
      <c r="EL175" s="509">
        <f>EL173/EL174</f>
        <v>56.394124999999995</v>
      </c>
      <c r="EM175" s="509">
        <f>EM173/EM174</f>
        <v>43.238999999999997</v>
      </c>
      <c r="EN175" s="509">
        <f>EN173/EN174</f>
        <v>40.18778571428571</v>
      </c>
      <c r="EO175" s="511">
        <f>EO173/EO174</f>
        <v>39.130580357142854</v>
      </c>
      <c r="EP175" s="507"/>
      <c r="EQ175" s="509">
        <f>EQ173/EQ174</f>
        <v>22.977062499999999</v>
      </c>
      <c r="ER175" s="509">
        <f>ER173/ER174</f>
        <v>62.363340000000107</v>
      </c>
      <c r="ES175" s="509">
        <f>ES173/ES174</f>
        <v>30.869339999999998</v>
      </c>
      <c r="ET175" s="509">
        <f>ET173/ET174</f>
        <v>31.216654545454546</v>
      </c>
      <c r="EU175" s="512">
        <f>EO175*1.07</f>
        <v>41.869720982142859</v>
      </c>
      <c r="EV175" s="507"/>
      <c r="EW175" s="495">
        <f>EW173/EW174</f>
        <v>19.282506787330316</v>
      </c>
      <c r="EX175" s="495">
        <f>EX173/EX174</f>
        <v>40.448307692307701</v>
      </c>
      <c r="EY175" s="509">
        <f>EY173/EY174</f>
        <v>-2.8390240837696283</v>
      </c>
      <c r="EZ175" s="1091">
        <f>FA175</f>
        <v>48</v>
      </c>
      <c r="FA175" s="512">
        <v>48</v>
      </c>
      <c r="FB175" s="507"/>
      <c r="FC175" s="1091">
        <f>FG175</f>
        <v>51.36</v>
      </c>
      <c r="FD175" s="1091">
        <f>FG175</f>
        <v>51.36</v>
      </c>
      <c r="FE175" s="1091">
        <f>FG175</f>
        <v>51.36</v>
      </c>
      <c r="FF175" s="1091">
        <f>FG175</f>
        <v>51.36</v>
      </c>
      <c r="FG175" s="512">
        <f>FA175*1.07</f>
        <v>51.36</v>
      </c>
      <c r="FH175" s="507"/>
      <c r="FI175" s="1091">
        <f>FM175</f>
        <v>54.955200000000005</v>
      </c>
      <c r="FJ175" s="1091">
        <f>FM175</f>
        <v>54.955200000000005</v>
      </c>
      <c r="FK175" s="1091">
        <f>FM175</f>
        <v>54.955200000000005</v>
      </c>
      <c r="FL175" s="1091">
        <f>FM175</f>
        <v>54.955200000000005</v>
      </c>
      <c r="FM175" s="512">
        <f>FG175*1.07</f>
        <v>54.955200000000005</v>
      </c>
      <c r="FN175" s="135"/>
      <c r="FO175" s="135"/>
      <c r="FP175" s="135"/>
      <c r="FQ175" s="135"/>
      <c r="FR175"/>
      <c r="FS175"/>
      <c r="FT175"/>
      <c r="FU175"/>
      <c r="FV175"/>
      <c r="FW175"/>
      <c r="FX175" s="13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</row>
    <row r="176" spans="1:274" s="24" customFormat="1" ht="11.25" hidden="1" customHeight="1" outlineLevel="1" x14ac:dyDescent="0.2">
      <c r="A176" s="513" t="s">
        <v>962</v>
      </c>
      <c r="B176" s="20"/>
      <c r="C176" s="494"/>
      <c r="D176" s="494"/>
      <c r="E176" s="494"/>
      <c r="F176" s="494"/>
      <c r="G176" s="494"/>
      <c r="H176" s="494"/>
      <c r="I176" s="302"/>
      <c r="J176" s="302"/>
      <c r="K176" s="302"/>
      <c r="L176" s="302"/>
      <c r="M176" s="494"/>
      <c r="N176" s="494"/>
      <c r="O176" s="302"/>
      <c r="P176" s="302"/>
      <c r="Q176" s="302"/>
      <c r="R176" s="302"/>
      <c r="S176" s="494"/>
      <c r="T176" s="494"/>
      <c r="U176" s="302"/>
      <c r="V176" s="302"/>
      <c r="W176" s="302"/>
      <c r="X176" s="302"/>
      <c r="Y176" s="494"/>
      <c r="Z176" s="494"/>
      <c r="AA176" s="302"/>
      <c r="AB176" s="302"/>
      <c r="AC176" s="302"/>
      <c r="AD176" s="302"/>
      <c r="AE176" s="494"/>
      <c r="AF176" s="494"/>
      <c r="AG176" s="302"/>
      <c r="AH176" s="302"/>
      <c r="AI176" s="302"/>
      <c r="AJ176" s="302"/>
      <c r="AK176" s="514"/>
      <c r="AL176" s="494"/>
      <c r="AM176" s="71"/>
      <c r="AN176" s="71"/>
      <c r="AO176" s="71"/>
      <c r="AP176" s="71"/>
      <c r="AQ176" s="497"/>
      <c r="AR176" s="494"/>
      <c r="AS176" s="71"/>
      <c r="AT176" s="71"/>
      <c r="AU176" s="71"/>
      <c r="AV176" s="71"/>
      <c r="AW176" s="514"/>
      <c r="AX176" s="496"/>
      <c r="AY176" s="302"/>
      <c r="AZ176" s="302"/>
      <c r="BA176" s="302"/>
      <c r="BB176" s="302"/>
      <c r="BC176" s="515">
        <f>BC174/Metrics!BC282*1000000</f>
        <v>2772.1480653201947</v>
      </c>
      <c r="BD176" s="494"/>
      <c r="BE176" s="516"/>
      <c r="BF176" s="516"/>
      <c r="BG176" s="516"/>
      <c r="BH176" s="516"/>
      <c r="BI176" s="515">
        <f>BI174/Metrics!BI282*1000000</f>
        <v>1160.290839403895</v>
      </c>
      <c r="BJ176" s="507"/>
      <c r="BK176" s="516"/>
      <c r="BL176" s="516"/>
      <c r="BM176" s="516"/>
      <c r="BN176" s="516"/>
      <c r="BO176" s="515">
        <f>BO174/Metrics!BO282*1000000</f>
        <v>1771.2177121771217</v>
      </c>
      <c r="BP176" s="507"/>
      <c r="BQ176" s="516"/>
      <c r="BR176" s="516"/>
      <c r="BS176" s="516"/>
      <c r="BT176" s="516"/>
      <c r="BU176" s="515">
        <f>BU174/Metrics!BU282*1000000</f>
        <v>1344.2796101589131</v>
      </c>
      <c r="BV176" s="507"/>
      <c r="BW176" s="516"/>
      <c r="BX176" s="516"/>
      <c r="BY176" s="516"/>
      <c r="BZ176" s="516"/>
      <c r="CA176" s="515">
        <f>CA174/Metrics!CA282*1000000</f>
        <v>1784.5684953480911</v>
      </c>
      <c r="CB176" s="507"/>
      <c r="CC176" s="516"/>
      <c r="CD176" s="516"/>
      <c r="CE176" s="516"/>
      <c r="CF176" s="516"/>
      <c r="CG176" s="988">
        <f>CG174/Metrics!CG282*1000000</f>
        <v>1656.7794345572124</v>
      </c>
      <c r="CH176" s="507"/>
      <c r="CI176" s="516"/>
      <c r="CJ176" s="516"/>
      <c r="CK176" s="516"/>
      <c r="CL176" s="516"/>
      <c r="CM176" s="988">
        <f>CM174/Metrics!CM282*1000000</f>
        <v>1574.8453276910302</v>
      </c>
      <c r="CN176" s="507"/>
      <c r="CO176" s="516"/>
      <c r="CP176" s="516"/>
      <c r="CQ176" s="516"/>
      <c r="CR176" s="516"/>
      <c r="CS176" s="988">
        <f>CS174/Metrics!CS282*1000000</f>
        <v>1655.6703586743599</v>
      </c>
      <c r="CT176" s="507"/>
      <c r="CU176" s="516"/>
      <c r="CV176" s="516"/>
      <c r="CW176" s="516"/>
      <c r="CX176" s="516"/>
      <c r="CY176" s="988">
        <f>CY174/Metrics!CY282*1000000</f>
        <v>830.97636801383806</v>
      </c>
      <c r="CZ176" s="507"/>
      <c r="DA176" s="516"/>
      <c r="DB176" s="516"/>
      <c r="DC176" s="516"/>
      <c r="DD176" s="504"/>
      <c r="DE176" s="988">
        <f>DE174/Metrics!DE282*1000000</f>
        <v>615.13505664750141</v>
      </c>
      <c r="DF176" s="507"/>
      <c r="DG176" s="516"/>
      <c r="DH176" s="516"/>
      <c r="DI176" s="516"/>
      <c r="DJ176" s="504"/>
      <c r="DK176" s="988">
        <f>DK174/Metrics!DK282*1000000</f>
        <v>828.7037037037037</v>
      </c>
      <c r="DL176" s="507"/>
      <c r="DM176" s="504"/>
      <c r="DN176" s="504"/>
      <c r="DO176" s="504"/>
      <c r="DP176" s="504"/>
      <c r="DQ176" s="988">
        <f>DQ174/Metrics!DQ282*1000000</f>
        <v>376.08093325319049</v>
      </c>
      <c r="DR176" s="507"/>
      <c r="DS176" s="504"/>
      <c r="DT176" s="504"/>
      <c r="DU176" s="504"/>
      <c r="DV176" s="504"/>
      <c r="DW176" s="988">
        <f>DW174/Metrics!DW282*1000000</f>
        <v>639.48124713767265</v>
      </c>
      <c r="DX176" s="507"/>
      <c r="DY176" s="504"/>
      <c r="DZ176" s="504"/>
      <c r="EA176" s="504"/>
      <c r="EB176" s="504"/>
      <c r="EC176" s="988">
        <f>EC174/Metrics!EC282*1000000</f>
        <v>941.6766626682662</v>
      </c>
      <c r="ED176" s="507"/>
      <c r="EE176" s="504"/>
      <c r="EF176" s="504"/>
      <c r="EG176" s="504"/>
      <c r="EH176" s="504"/>
      <c r="EI176" s="988">
        <f>EI174/Metrics!EI282*1000000</f>
        <v>552.27272727272737</v>
      </c>
      <c r="EJ176" s="507"/>
      <c r="EK176" s="504"/>
      <c r="EL176" s="504"/>
      <c r="EM176" s="504"/>
      <c r="EN176" s="504"/>
      <c r="EO176" s="988">
        <f>EO174/Metrics!EO282*1000000</f>
        <v>394.36619718309856</v>
      </c>
      <c r="EP176" s="507"/>
      <c r="EQ176" s="504"/>
      <c r="ER176" s="504"/>
      <c r="ES176" s="504"/>
      <c r="ET176" s="504"/>
      <c r="EU176" s="988">
        <f>EU174/Metrics!EU282*1000000</f>
        <v>666.66666666666663</v>
      </c>
      <c r="EV176" s="507"/>
      <c r="EW176" s="504"/>
      <c r="EX176" s="504"/>
      <c r="EY176" s="504"/>
      <c r="EZ176" s="504"/>
      <c r="FA176" s="1114">
        <v>800</v>
      </c>
      <c r="FB176" s="507"/>
      <c r="FC176" s="504"/>
      <c r="FD176" s="504"/>
      <c r="FE176" s="504"/>
      <c r="FF176" s="504"/>
      <c r="FG176" s="1114">
        <f>FA176</f>
        <v>800</v>
      </c>
      <c r="FH176" s="507"/>
      <c r="FI176" s="504"/>
      <c r="FJ176" s="504"/>
      <c r="FK176" s="504"/>
      <c r="FL176" s="504"/>
      <c r="FM176" s="1114">
        <f>FG176</f>
        <v>800</v>
      </c>
      <c r="FN176" s="135"/>
      <c r="FO176" s="135"/>
      <c r="FP176" s="135"/>
      <c r="FQ176" s="135"/>
      <c r="FR176"/>
      <c r="FS176"/>
      <c r="FT176"/>
      <c r="FU176"/>
      <c r="FV176"/>
      <c r="FW176"/>
      <c r="FX176" s="135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</row>
    <row r="177" spans="1:274" s="24" customFormat="1" ht="4.5" hidden="1" customHeight="1" outlineLevel="1" x14ac:dyDescent="0.2">
      <c r="A177" s="513"/>
      <c r="B177" s="20"/>
      <c r="C177" s="494"/>
      <c r="D177" s="494"/>
      <c r="E177" s="494"/>
      <c r="F177" s="494"/>
      <c r="G177" s="494"/>
      <c r="H177" s="494"/>
      <c r="I177" s="302"/>
      <c r="J177" s="302"/>
      <c r="K177" s="302"/>
      <c r="L177" s="302"/>
      <c r="M177" s="494"/>
      <c r="N177" s="494"/>
      <c r="O177" s="302"/>
      <c r="P177" s="302"/>
      <c r="Q177" s="302"/>
      <c r="R177" s="302"/>
      <c r="S177" s="494"/>
      <c r="T177" s="494"/>
      <c r="U177" s="302"/>
      <c r="V177" s="302"/>
      <c r="W177" s="302"/>
      <c r="X177" s="302"/>
      <c r="Y177" s="494"/>
      <c r="Z177" s="494"/>
      <c r="AA177" s="302"/>
      <c r="AB177" s="302"/>
      <c r="AC177" s="302"/>
      <c r="AD177" s="302"/>
      <c r="AE177" s="494"/>
      <c r="AF177" s="494"/>
      <c r="AG177" s="302"/>
      <c r="AH177" s="302"/>
      <c r="AI177" s="302"/>
      <c r="AJ177" s="302"/>
      <c r="AK177" s="514"/>
      <c r="AL177" s="494"/>
      <c r="AM177" s="71"/>
      <c r="AN177" s="71"/>
      <c r="AO177" s="71"/>
      <c r="AP177" s="71"/>
      <c r="AQ177" s="497"/>
      <c r="AR177" s="494"/>
      <c r="AS177" s="71"/>
      <c r="AT177" s="71"/>
      <c r="AU177" s="71"/>
      <c r="AV177" s="71"/>
      <c r="AW177" s="514"/>
      <c r="AX177" s="496"/>
      <c r="AY177" s="302"/>
      <c r="AZ177" s="302"/>
      <c r="BA177" s="302"/>
      <c r="BB177" s="302"/>
      <c r="BC177" s="514"/>
      <c r="BD177" s="494"/>
      <c r="BE177" s="516"/>
      <c r="BF177" s="516"/>
      <c r="BG177" s="516"/>
      <c r="BH177" s="516"/>
      <c r="BI177" s="514"/>
      <c r="BJ177" s="507"/>
      <c r="BK177" s="516"/>
      <c r="BL177" s="516"/>
      <c r="BM177" s="516"/>
      <c r="BN177" s="516"/>
      <c r="BO177" s="515"/>
      <c r="BP177" s="507"/>
      <c r="BQ177" s="516"/>
      <c r="BR177" s="516"/>
      <c r="BS177" s="516"/>
      <c r="BT177" s="497"/>
      <c r="BU177" s="514"/>
      <c r="BV177" s="507"/>
      <c r="BW177" s="516"/>
      <c r="BX177" s="516"/>
      <c r="BY177" s="516"/>
      <c r="BZ177" s="497"/>
      <c r="CA177" s="514"/>
      <c r="CB177" s="507"/>
      <c r="CC177" s="516"/>
      <c r="CD177" s="516"/>
      <c r="CE177" s="516"/>
      <c r="CF177" s="516"/>
      <c r="CG177" s="989"/>
      <c r="CH177" s="507"/>
      <c r="CI177" s="516"/>
      <c r="CJ177" s="516"/>
      <c r="CK177" s="516"/>
      <c r="CL177" s="516"/>
      <c r="CM177" s="989"/>
      <c r="CN177" s="507"/>
      <c r="CO177" s="516"/>
      <c r="CP177" s="516"/>
      <c r="CQ177" s="516"/>
      <c r="CR177" s="516"/>
      <c r="CS177" s="989"/>
      <c r="CT177" s="507"/>
      <c r="CU177" s="516"/>
      <c r="CV177" s="516"/>
      <c r="CW177" s="516"/>
      <c r="CX177" s="516"/>
      <c r="CY177" s="989"/>
      <c r="CZ177" s="507"/>
      <c r="DA177" s="516"/>
      <c r="DB177" s="516"/>
      <c r="DC177" s="516"/>
      <c r="DD177" s="504"/>
      <c r="DE177" s="989"/>
      <c r="DF177" s="507"/>
      <c r="DG177" s="516"/>
      <c r="DH177" s="516"/>
      <c r="DI177" s="516"/>
      <c r="DJ177" s="504"/>
      <c r="DK177" s="989"/>
      <c r="DL177" s="507"/>
      <c r="DM177" s="504"/>
      <c r="DN177" s="504"/>
      <c r="DO177" s="504"/>
      <c r="DP177" s="504"/>
      <c r="DQ177" s="989"/>
      <c r="DR177" s="507"/>
      <c r="DS177" s="504"/>
      <c r="DT177" s="504"/>
      <c r="DU177" s="504"/>
      <c r="DV177" s="504"/>
      <c r="DW177" s="989"/>
      <c r="DX177" s="507"/>
      <c r="DY177" s="504"/>
      <c r="DZ177" s="504"/>
      <c r="EA177" s="504"/>
      <c r="EB177" s="504"/>
      <c r="EC177" s="989"/>
      <c r="ED177" s="507"/>
      <c r="EE177" s="504"/>
      <c r="EF177" s="504"/>
      <c r="EG177" s="504"/>
      <c r="EH177" s="504"/>
      <c r="EI177" s="989"/>
      <c r="EJ177" s="507"/>
      <c r="EK177" s="504"/>
      <c r="EL177" s="504"/>
      <c r="EM177" s="504"/>
      <c r="EN177" s="504"/>
      <c r="EO177" s="989"/>
      <c r="EP177" s="507"/>
      <c r="EQ177" s="504"/>
      <c r="ER177" s="504"/>
      <c r="ES177" s="504"/>
      <c r="ET177" s="504"/>
      <c r="EU177" s="989"/>
      <c r="EV177" s="507"/>
      <c r="EW177" s="504"/>
      <c r="EX177" s="504"/>
      <c r="EY177" s="504"/>
      <c r="EZ177" s="504"/>
      <c r="FA177" s="989"/>
      <c r="FB177" s="507"/>
      <c r="FC177" s="504"/>
      <c r="FD177" s="504"/>
      <c r="FE177" s="504"/>
      <c r="FF177" s="504"/>
      <c r="FG177" s="989"/>
      <c r="FH177" s="507"/>
      <c r="FI177" s="504"/>
      <c r="FJ177" s="504"/>
      <c r="FK177" s="504"/>
      <c r="FL177" s="504"/>
      <c r="FM177" s="989"/>
      <c r="FN177" s="135"/>
      <c r="FO177" s="135"/>
      <c r="FP177" s="135"/>
      <c r="FQ177" s="135"/>
      <c r="FR177"/>
      <c r="FS177"/>
      <c r="FT177"/>
      <c r="FU177"/>
      <c r="FV177"/>
      <c r="FW177"/>
      <c r="FX177" s="135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</row>
    <row r="178" spans="1:274" s="24" customFormat="1" ht="11.25" hidden="1" customHeight="1" outlineLevel="1" x14ac:dyDescent="0.2">
      <c r="A178" s="1113" t="s">
        <v>963</v>
      </c>
      <c r="B178" s="20"/>
      <c r="C178" s="494"/>
      <c r="D178" s="494"/>
      <c r="E178" s="494"/>
      <c r="F178" s="494"/>
      <c r="G178" s="494"/>
      <c r="H178" s="494"/>
      <c r="I178" s="302"/>
      <c r="J178" s="302"/>
      <c r="K178" s="302"/>
      <c r="L178" s="302"/>
      <c r="M178" s="494"/>
      <c r="N178" s="494"/>
      <c r="O178" s="302"/>
      <c r="P178" s="302"/>
      <c r="Q178" s="302"/>
      <c r="R178" s="302"/>
      <c r="S178" s="494"/>
      <c r="T178" s="494"/>
      <c r="U178" s="302"/>
      <c r="V178" s="302"/>
      <c r="W178" s="302"/>
      <c r="X178" s="302"/>
      <c r="Y178" s="494"/>
      <c r="Z178" s="494"/>
      <c r="AA178" s="302"/>
      <c r="AB178" s="302"/>
      <c r="AC178" s="302"/>
      <c r="AD178" s="302"/>
      <c r="AE178" s="494"/>
      <c r="AF178" s="494"/>
      <c r="AG178" s="302"/>
      <c r="AH178" s="302"/>
      <c r="AI178" s="302"/>
      <c r="AJ178" s="302"/>
      <c r="AK178" s="514"/>
      <c r="AL178" s="494"/>
      <c r="AM178" s="71"/>
      <c r="AN178" s="71"/>
      <c r="AO178" s="71"/>
      <c r="AP178" s="71"/>
      <c r="AQ178" s="497"/>
      <c r="AR178" s="494"/>
      <c r="AS178" s="71"/>
      <c r="AT178" s="71"/>
      <c r="AU178" s="71"/>
      <c r="AV178" s="71"/>
      <c r="AW178" s="514"/>
      <c r="AX178" s="496"/>
      <c r="AY178" s="302"/>
      <c r="AZ178" s="302"/>
      <c r="BA178" s="302"/>
      <c r="BB178" s="302"/>
      <c r="BC178" s="500">
        <v>1149</v>
      </c>
      <c r="BD178" s="494"/>
      <c r="BE178" s="500">
        <f>((BE171-BE183-BE189)*$BI179)</f>
        <v>6.3588959036145081</v>
      </c>
      <c r="BF178" s="500">
        <f>((BF171-BF183-BF189)*$BI179)</f>
        <v>23.395163132530023</v>
      </c>
      <c r="BG178" s="500">
        <f>((BG171-BG183-BG189)*$BI179)</f>
        <v>4.7917139759036464</v>
      </c>
      <c r="BH178" s="500">
        <f>((BH171-BH183-BH189)*$BI179)</f>
        <v>15.285552289156648</v>
      </c>
      <c r="BI178" s="500">
        <v>44</v>
      </c>
      <c r="BJ178" s="507"/>
      <c r="BK178" s="500">
        <f>((BK171-BK183-BK189)*$BO179)</f>
        <v>5.0278497854077262</v>
      </c>
      <c r="BL178" s="500">
        <f>((BL171-BL183-BL189)*$BO179)</f>
        <v>27.594515021459198</v>
      </c>
      <c r="BM178" s="500">
        <f>((BM171-BM183-BM189)*$BO179)</f>
        <v>27.806819742489242</v>
      </c>
      <c r="BN178" s="500">
        <f>((BN171-BN183-BN189)*$BO179)</f>
        <v>49.570815450643828</v>
      </c>
      <c r="BO178" s="500">
        <v>110</v>
      </c>
      <c r="BP178" s="507"/>
      <c r="BQ178" s="500">
        <f>((BQ171-BQ183-BQ189)*$BO179)</f>
        <v>14.163090128755364</v>
      </c>
      <c r="BR178" s="500">
        <f>((BR171-BR183-BR189)*$BO179)</f>
        <v>35.266094420600858</v>
      </c>
      <c r="BS178" s="500">
        <f>((BS171-BS183-BS189)*$BO179)</f>
        <v>24.148068669527884</v>
      </c>
      <c r="BT178" s="500">
        <f>BU178-BS178-BR178-BQ178</f>
        <v>36.42274678111589</v>
      </c>
      <c r="BU178" s="500">
        <v>110</v>
      </c>
      <c r="BV178" s="507"/>
      <c r="BW178" s="500">
        <f>((BW171-BW183-BW189)*CA179)</f>
        <v>5.5226730310262502</v>
      </c>
      <c r="BX178" s="500">
        <f>((BX171-BX183-BX189)*CA179)</f>
        <v>16.692124105011931</v>
      </c>
      <c r="BY178" s="500">
        <f>((BY171-BY183-BY189)*CA179)</f>
        <v>82.322991249005568</v>
      </c>
      <c r="BZ178" s="500">
        <f>CA178-BY178-BX178-BW178</f>
        <v>25.462211614956249</v>
      </c>
      <c r="CA178" s="500">
        <v>130</v>
      </c>
      <c r="CB178" s="507"/>
      <c r="CC178" s="500">
        <f>((CC171-CC183-CC189)*CG179)</f>
        <v>44.698859315589353</v>
      </c>
      <c r="CD178" s="500">
        <f>((CD171-CD183-CD189)*CG179)</f>
        <v>20.696577946768063</v>
      </c>
      <c r="CE178" s="500">
        <f>((CE171-CE183-CE189)*CG179)</f>
        <v>22.400760456273748</v>
      </c>
      <c r="CF178" s="500">
        <f>CG178-CE178-CD178-CC178</f>
        <v>74.203802281368837</v>
      </c>
      <c r="CG178" s="519">
        <v>162</v>
      </c>
      <c r="CH178" s="507"/>
      <c r="CI178" s="500">
        <f>((CI171-CI183-CI189)*CM179)</f>
        <v>30.15</v>
      </c>
      <c r="CJ178" s="500">
        <f>((CJ171-CJ183-CJ189)*CM179)</f>
        <v>92.174999999999997</v>
      </c>
      <c r="CK178" s="500">
        <f>((CK171-CK183-CK189)*CM179)</f>
        <v>36.15</v>
      </c>
      <c r="CL178" s="500">
        <f>((CL171-CL183-CL189)*CM179)</f>
        <v>60.224999999999994</v>
      </c>
      <c r="CM178" s="519">
        <f>SUM(CI178:CL178)</f>
        <v>218.7</v>
      </c>
      <c r="CN178" s="507"/>
      <c r="CO178" s="500">
        <f>((CO171-CO183-CO189)*CS179)</f>
        <v>82.8</v>
      </c>
      <c r="CP178" s="500">
        <f>((CP171-CP183-CP189)*CS179)</f>
        <v>81.899999999999991</v>
      </c>
      <c r="CQ178" s="500">
        <f>((CQ171-CQ183-CQ189)*CS179)</f>
        <v>95.399999999999991</v>
      </c>
      <c r="CR178" s="500">
        <f>((CR171-CR183-CR189)*CS179)</f>
        <v>64.8</v>
      </c>
      <c r="CS178" s="519">
        <f>SUM(CO178:CR178)</f>
        <v>324.89999999999998</v>
      </c>
      <c r="CT178" s="507"/>
      <c r="CU178" s="500">
        <f>((CU171-CU183-CU189)*CY179)</f>
        <v>72.139381179126616</v>
      </c>
      <c r="CV178" s="500">
        <f>((CV171-CV183-CV189)*CY179)</f>
        <v>-59.74516317668737</v>
      </c>
      <c r="CW178" s="500">
        <f>((CW171-CW183-CW189)*CY179)</f>
        <v>103.76780199756074</v>
      </c>
      <c r="CX178" s="500">
        <f>((CX171-CX183-CX189)*CY179)</f>
        <v>33.377499999999998</v>
      </c>
      <c r="CY178" s="519">
        <f>SUM(CU178:CX178)</f>
        <v>149.53951999999998</v>
      </c>
      <c r="CZ178" s="507"/>
      <c r="DA178" s="500">
        <f>((DA171-DA183-DA189)*DE179)</f>
        <v>49.068500000000007</v>
      </c>
      <c r="DB178" s="500">
        <f>((DB171-DB183-DB189)*DE179)</f>
        <v>29.835000000000001</v>
      </c>
      <c r="DC178" s="500">
        <f>((DC171-DC183-DC189)*DE179)</f>
        <v>61.275500000000051</v>
      </c>
      <c r="DD178" s="500">
        <f>((DD171-DD183-DD189)*DE179)</f>
        <v>91.052000000000035</v>
      </c>
      <c r="DE178" s="519">
        <f>SUM(DA178:DD178)</f>
        <v>231.23100000000011</v>
      </c>
      <c r="DF178" s="507"/>
      <c r="DG178" s="500">
        <f>((DG171-DG183-DG189)*DK179)</f>
        <v>39.559000000000005</v>
      </c>
      <c r="DH178" s="500">
        <f>((DH171-DH183-DH189)*DK179)</f>
        <v>94.536000000000016</v>
      </c>
      <c r="DI178" s="500">
        <f>((DI171-DI183-DI189)*DK179)</f>
        <v>63.290500000000009</v>
      </c>
      <c r="DJ178" s="500">
        <f>((DJ171-DJ183-DJ189)*DK179)</f>
        <v>71.486999999999995</v>
      </c>
      <c r="DK178" s="519">
        <f>SUM(DG178:DJ178)</f>
        <v>268.87250000000006</v>
      </c>
      <c r="DL178" s="507"/>
      <c r="DM178" s="500">
        <f>((DM171-DM183-DM189)*DQ179)</f>
        <v>42.733600000000003</v>
      </c>
      <c r="DN178" s="500">
        <f>((DN171-DN183-DN189)*DQ179)</f>
        <v>56.479800000000004</v>
      </c>
      <c r="DO178" s="500">
        <f>((DO171-DO183-DO189)*DQ179)</f>
        <v>37.710503999999965</v>
      </c>
      <c r="DP178" s="500">
        <f>((DP171-DP183-DP189)*DQ179)</f>
        <v>46.948239000000008</v>
      </c>
      <c r="DQ178" s="519">
        <f>SUM(DM178:DP178)</f>
        <v>183.87214299999997</v>
      </c>
      <c r="DR178" s="507"/>
      <c r="DS178" s="500">
        <f>((DS171-DS183-DS189)*DW179)</f>
        <v>100.8826</v>
      </c>
      <c r="DT178" s="500">
        <f>((DT171-DT183-DT189)*DW179)</f>
        <v>57.9176</v>
      </c>
      <c r="DU178" s="500">
        <f>((DU171-DU183-DU189)*DW179)</f>
        <v>118.729</v>
      </c>
      <c r="DV178" s="500">
        <f>((DV171-DV183-DV189)*DW179)</f>
        <v>73.617478567939926</v>
      </c>
      <c r="DW178" s="519">
        <f>SUM(DS178:DV178)</f>
        <v>351.14667856793994</v>
      </c>
      <c r="DX178" s="507"/>
      <c r="DY178" s="500">
        <f>((DY171-DY183-DY189)*EC179)</f>
        <v>60.834800000000008</v>
      </c>
      <c r="DZ178" s="500">
        <f>((DZ171-DZ183-DZ189)*EC179)</f>
        <v>94.733234633050159</v>
      </c>
      <c r="EA178" s="500">
        <f>((EA171-EA183-EA189)*EC179)</f>
        <v>151.77760000000001</v>
      </c>
      <c r="EB178" s="500">
        <f>((EB171-EB183-EB189)*EC179)</f>
        <v>122.72</v>
      </c>
      <c r="EC178" s="519">
        <f>SUM(DY178:EB178)</f>
        <v>430.06563463305019</v>
      </c>
      <c r="ED178" s="507"/>
      <c r="EE178" s="500">
        <f>((EE171-EE183-EE189)*EI179)</f>
        <v>111.16559999999998</v>
      </c>
      <c r="EF178" s="500">
        <f>((EF171-EF183-EF189)*EI179)</f>
        <v>75.275199999999998</v>
      </c>
      <c r="EG178" s="500">
        <f>((EG171-EG183-EG189)*EI179)</f>
        <v>113.44839999999998</v>
      </c>
      <c r="EH178" s="500">
        <f>((EH171-EH183-EH189)*EI179)</f>
        <v>91.630499999999998</v>
      </c>
      <c r="EI178" s="519">
        <f>SUM(EE178:EH178)</f>
        <v>391.51969999999994</v>
      </c>
      <c r="EJ178" s="507"/>
      <c r="EK178" s="500">
        <f>((EK171-EK183-EK189)*EO179)</f>
        <v>42.061500000000024</v>
      </c>
      <c r="EL178" s="500">
        <f>((EL171-EL183-EL189)*EO179)</f>
        <v>101.12049999999999</v>
      </c>
      <c r="EM178" s="500">
        <f>((EM171-EM183-EM189)*EO179)</f>
        <v>58.148999999999994</v>
      </c>
      <c r="EN178" s="500">
        <f>((EN171-EN183-EN189)*EO179)</f>
        <v>126.1065</v>
      </c>
      <c r="EO178" s="519">
        <f>SUM(EK178:EN178)</f>
        <v>327.4375</v>
      </c>
      <c r="EP178" s="507"/>
      <c r="EQ178" s="500">
        <f>((EQ171-EQ183-EQ189)*EU179)</f>
        <v>82.400499999999994</v>
      </c>
      <c r="ER178" s="500">
        <f>((ER171-ER183-ER189)*EU179)</f>
        <v>93.186600000000155</v>
      </c>
      <c r="ES178" s="500">
        <f>((ES171-ES183-ES189)*EU179)</f>
        <v>115.3165</v>
      </c>
      <c r="ET178" s="500">
        <f>((ET171-ET183-ET189)*EU179)</f>
        <v>153.93039999999999</v>
      </c>
      <c r="EU178" s="519">
        <f>SUM(EQ178:ET178)</f>
        <v>444.83400000000017</v>
      </c>
      <c r="EV178" s="507"/>
      <c r="EW178" s="500">
        <f>((EW171-EW183-EW189)*FA179)</f>
        <v>127.3532</v>
      </c>
      <c r="EX178" s="500">
        <f>((EX171-EX183-EX189)*FA179)</f>
        <v>78.572000000000017</v>
      </c>
      <c r="EY178" s="500">
        <f>((EY171-EY183-EY189)*FA179)</f>
        <v>-20.256599999999963</v>
      </c>
      <c r="EZ178" s="1092">
        <f>EZ173*0.15</f>
        <v>-1.8694865921741324</v>
      </c>
      <c r="FA178" s="519">
        <f>SUM(EW178:EZ178)</f>
        <v>183.79911340782593</v>
      </c>
      <c r="FB178" s="507"/>
      <c r="FC178" s="1092">
        <f>FC173*0.15</f>
        <v>210.34318882627079</v>
      </c>
      <c r="FD178" s="1092">
        <f>FD173*0.15</f>
        <v>210.34318882627079</v>
      </c>
      <c r="FE178" s="1092">
        <f>FE173*0.15</f>
        <v>210.34318882627082</v>
      </c>
      <c r="FF178" s="1092">
        <f>FF173*0.15</f>
        <v>210.34318882627076</v>
      </c>
      <c r="FG178" s="519">
        <f>SUM(FC178:FF178)</f>
        <v>841.37275530508316</v>
      </c>
      <c r="FH178" s="507"/>
      <c r="FI178" s="1092">
        <f>FI173*0.15</f>
        <v>234.87933474223544</v>
      </c>
      <c r="FJ178" s="1092">
        <f>FJ173*0.15</f>
        <v>234.87933474223544</v>
      </c>
      <c r="FK178" s="1092">
        <f>FK173*0.15</f>
        <v>234.87933474223547</v>
      </c>
      <c r="FL178" s="1092">
        <f>FL173*0.15</f>
        <v>234.87933474223553</v>
      </c>
      <c r="FM178" s="519">
        <f>SUM(FI178:FL178)</f>
        <v>939.51733896894189</v>
      </c>
      <c r="FN178" s="135"/>
      <c r="FO178" s="135"/>
      <c r="FP178" s="135"/>
      <c r="FQ178" s="135"/>
      <c r="FR178"/>
      <c r="FS178"/>
      <c r="FT178"/>
      <c r="FU178"/>
      <c r="FV178"/>
      <c r="FW178"/>
      <c r="FX178" s="135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</row>
    <row r="179" spans="1:274" s="24" customFormat="1" ht="11.25" hidden="1" customHeight="1" outlineLevel="1" x14ac:dyDescent="0.2">
      <c r="A179" s="513"/>
      <c r="B179" s="20"/>
      <c r="C179" s="494"/>
      <c r="D179" s="494"/>
      <c r="E179" s="494"/>
      <c r="F179" s="494"/>
      <c r="G179" s="494"/>
      <c r="H179" s="494"/>
      <c r="I179" s="302"/>
      <c r="J179" s="302"/>
      <c r="K179" s="302"/>
      <c r="L179" s="302"/>
      <c r="M179" s="494"/>
      <c r="N179" s="494"/>
      <c r="O179" s="302"/>
      <c r="P179" s="302"/>
      <c r="Q179" s="302"/>
      <c r="R179" s="302"/>
      <c r="S179" s="494"/>
      <c r="T179" s="494"/>
      <c r="U179" s="302"/>
      <c r="V179" s="302"/>
      <c r="W179" s="302"/>
      <c r="X179" s="302"/>
      <c r="Y179" s="494"/>
      <c r="Z179" s="494"/>
      <c r="AA179" s="302"/>
      <c r="AB179" s="302"/>
      <c r="AC179" s="302"/>
      <c r="AD179" s="302"/>
      <c r="AE179" s="494"/>
      <c r="AF179" s="494"/>
      <c r="AG179" s="302"/>
      <c r="AH179" s="302"/>
      <c r="AI179" s="302"/>
      <c r="AJ179" s="302"/>
      <c r="AK179" s="514"/>
      <c r="AL179" s="494"/>
      <c r="AM179" s="71"/>
      <c r="AN179" s="71"/>
      <c r="AO179" s="71"/>
      <c r="AP179" s="71"/>
      <c r="AQ179" s="497"/>
      <c r="AR179" s="494"/>
      <c r="AS179" s="71"/>
      <c r="AT179" s="71"/>
      <c r="AU179" s="71"/>
      <c r="AV179" s="71"/>
      <c r="AW179" s="514"/>
      <c r="AX179" s="496"/>
      <c r="AY179" s="302"/>
      <c r="AZ179" s="302"/>
      <c r="BA179" s="302"/>
      <c r="BB179" s="302"/>
      <c r="BC179" s="516">
        <f>BC178/BC173</f>
        <v>2.1476635514018692</v>
      </c>
      <c r="BD179" s="494"/>
      <c r="BE179" s="516"/>
      <c r="BF179" s="516"/>
      <c r="BG179" s="516"/>
      <c r="BH179" s="516"/>
      <c r="BI179" s="516">
        <f>BI178/BI173</f>
        <v>0.13253012048192772</v>
      </c>
      <c r="BJ179" s="507"/>
      <c r="BK179" s="516"/>
      <c r="BL179" s="516"/>
      <c r="BM179" s="516"/>
      <c r="BN179" s="516"/>
      <c r="BO179" s="516">
        <f>BO178/(BO173+BO178)</f>
        <v>0.23605150214592274</v>
      </c>
      <c r="BP179" s="507"/>
      <c r="BQ179" s="516"/>
      <c r="BR179" s="516"/>
      <c r="BS179" s="516"/>
      <c r="BT179" s="516"/>
      <c r="BU179" s="516">
        <f>BU178/(BU173+BU178)</f>
        <v>0.23706896551724138</v>
      </c>
      <c r="BV179" s="507"/>
      <c r="BW179" s="516"/>
      <c r="BX179" s="516"/>
      <c r="BY179" s="516"/>
      <c r="BZ179" s="516"/>
      <c r="CA179" s="516">
        <f>CA178/(CA173+CA178)</f>
        <v>0.10342084327764518</v>
      </c>
      <c r="CB179" s="507"/>
      <c r="CC179" s="516"/>
      <c r="CD179" s="516"/>
      <c r="CE179" s="516"/>
      <c r="CF179" s="516"/>
      <c r="CG179" s="521">
        <f>CG178/(CG173+CG178)</f>
        <v>0.20532319391634982</v>
      </c>
      <c r="CH179" s="507"/>
      <c r="CI179" s="516"/>
      <c r="CJ179" s="516"/>
      <c r="CK179" s="516"/>
      <c r="CL179" s="516"/>
      <c r="CM179" s="521">
        <v>0.15</v>
      </c>
      <c r="CN179" s="507"/>
      <c r="CO179" s="516"/>
      <c r="CP179" s="516"/>
      <c r="CQ179" s="516"/>
      <c r="CR179" s="516"/>
      <c r="CS179" s="521">
        <v>0.15</v>
      </c>
      <c r="CT179" s="507"/>
      <c r="CU179" s="516"/>
      <c r="CV179" s="516"/>
      <c r="CW179" s="516"/>
      <c r="CX179" s="516"/>
      <c r="CY179" s="521">
        <v>0.13</v>
      </c>
      <c r="CZ179" s="507"/>
      <c r="DA179" s="516"/>
      <c r="DB179" s="516"/>
      <c r="DC179" s="516"/>
      <c r="DD179" s="516"/>
      <c r="DE179" s="521">
        <v>0.13</v>
      </c>
      <c r="DF179" s="507"/>
      <c r="DG179" s="516"/>
      <c r="DH179" s="516"/>
      <c r="DI179" s="516"/>
      <c r="DJ179" s="516"/>
      <c r="DK179" s="521">
        <v>0.13</v>
      </c>
      <c r="DL179" s="507"/>
      <c r="DM179" s="516"/>
      <c r="DN179" s="516"/>
      <c r="DO179" s="516"/>
      <c r="DP179" s="516"/>
      <c r="DQ179" s="521">
        <v>0.13</v>
      </c>
      <c r="DR179" s="507"/>
      <c r="DS179" s="516"/>
      <c r="DT179" s="516"/>
      <c r="DU179" s="516"/>
      <c r="DV179" s="516"/>
      <c r="DW179" s="521">
        <v>0.13</v>
      </c>
      <c r="DX179" s="507"/>
      <c r="DY179" s="516"/>
      <c r="DZ179" s="516"/>
      <c r="EA179" s="516"/>
      <c r="EB179" s="516"/>
      <c r="EC179" s="521">
        <v>0.13</v>
      </c>
      <c r="ED179" s="507"/>
      <c r="EE179" s="516"/>
      <c r="EF179" s="516"/>
      <c r="EG179" s="516"/>
      <c r="EH179" s="516"/>
      <c r="EI179" s="521">
        <v>0.13</v>
      </c>
      <c r="EJ179" s="507"/>
      <c r="EK179" s="516"/>
      <c r="EL179" s="516"/>
      <c r="EM179" s="516"/>
      <c r="EN179" s="516"/>
      <c r="EO179" s="521">
        <v>0.13</v>
      </c>
      <c r="EP179" s="507"/>
      <c r="EQ179" s="516"/>
      <c r="ER179" s="516"/>
      <c r="ES179" s="516"/>
      <c r="ET179" s="516"/>
      <c r="EU179" s="521">
        <v>0.13</v>
      </c>
      <c r="EV179" s="507"/>
      <c r="EW179" s="516"/>
      <c r="EX179" s="516"/>
      <c r="EY179" s="516"/>
      <c r="EZ179" s="516"/>
      <c r="FA179" s="521">
        <v>0.13</v>
      </c>
      <c r="FB179" s="507"/>
      <c r="FC179" s="516"/>
      <c r="FD179" s="516"/>
      <c r="FE179" s="516"/>
      <c r="FF179" s="516"/>
      <c r="FG179" s="521">
        <f>FG178/(FG173+FG178)</f>
        <v>0.13043478260869565</v>
      </c>
      <c r="FH179" s="507"/>
      <c r="FI179" s="516"/>
      <c r="FJ179" s="516"/>
      <c r="FK179" s="516"/>
      <c r="FL179" s="516"/>
      <c r="FM179" s="521">
        <f>FM178/(FM173+FM178)</f>
        <v>0.13043478260869565</v>
      </c>
      <c r="FN179" s="135"/>
      <c r="FO179" s="135"/>
      <c r="FP179" s="135"/>
      <c r="FQ179" s="135"/>
      <c r="FR179"/>
      <c r="FS179"/>
      <c r="FT179"/>
      <c r="FU179"/>
      <c r="FV179"/>
      <c r="FW179"/>
      <c r="FX179" s="135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</row>
    <row r="180" spans="1:274" s="24" customFormat="1" ht="11.25" hidden="1" customHeight="1" outlineLevel="1" x14ac:dyDescent="0.2">
      <c r="A180" s="1113" t="s">
        <v>964</v>
      </c>
      <c r="B180" s="20"/>
      <c r="C180" s="494"/>
      <c r="D180" s="494"/>
      <c r="E180" s="494"/>
      <c r="F180" s="494"/>
      <c r="G180" s="494"/>
      <c r="H180" s="494"/>
      <c r="I180" s="302"/>
      <c r="J180" s="302"/>
      <c r="K180" s="302"/>
      <c r="L180" s="302"/>
      <c r="M180" s="494"/>
      <c r="N180" s="494"/>
      <c r="O180" s="302"/>
      <c r="P180" s="302"/>
      <c r="Q180" s="302"/>
      <c r="R180" s="302"/>
      <c r="S180" s="494"/>
      <c r="T180" s="494"/>
      <c r="U180" s="302"/>
      <c r="V180" s="302"/>
      <c r="W180" s="302"/>
      <c r="X180" s="302"/>
      <c r="Y180" s="494"/>
      <c r="Z180" s="494"/>
      <c r="AA180" s="302"/>
      <c r="AB180" s="302"/>
      <c r="AC180" s="302"/>
      <c r="AD180" s="302"/>
      <c r="AE180" s="494"/>
      <c r="AF180" s="494"/>
      <c r="AG180" s="302"/>
      <c r="AH180" s="302"/>
      <c r="AI180" s="302"/>
      <c r="AJ180" s="302"/>
      <c r="AK180" s="514"/>
      <c r="AL180" s="494"/>
      <c r="AM180" s="71"/>
      <c r="AN180" s="71"/>
      <c r="AO180" s="71"/>
      <c r="AP180" s="71"/>
      <c r="AQ180" s="497"/>
      <c r="AR180" s="494"/>
      <c r="AS180" s="71"/>
      <c r="AT180" s="71"/>
      <c r="AU180" s="71"/>
      <c r="AV180" s="71"/>
      <c r="AW180" s="514"/>
      <c r="AX180" s="496"/>
      <c r="AY180" s="302"/>
      <c r="AZ180" s="302"/>
      <c r="BA180" s="302"/>
      <c r="BB180" s="302"/>
      <c r="BC180" s="516"/>
      <c r="BD180" s="494"/>
      <c r="BE180" s="522">
        <f>+'Cash Flow'!BE64</f>
        <v>0</v>
      </c>
      <c r="BF180" s="522">
        <f>+'Cash Flow'!BF64</f>
        <v>0</v>
      </c>
      <c r="BG180" s="522">
        <f>+'Cash Flow'!BG64</f>
        <v>0</v>
      </c>
      <c r="BH180" s="522">
        <f>+'Cash Flow'!BH64</f>
        <v>0</v>
      </c>
      <c r="BI180" s="516"/>
      <c r="BJ180" s="507"/>
      <c r="BK180" s="522">
        <f>+'Cash Flow'!BK64</f>
        <v>0</v>
      </c>
      <c r="BL180" s="522">
        <f>+'Cash Flow'!BL64</f>
        <v>0</v>
      </c>
      <c r="BM180" s="522">
        <f>+'Cash Flow'!BM64</f>
        <v>0</v>
      </c>
      <c r="BN180" s="522">
        <f>+'Cash Flow'!BN64</f>
        <v>0</v>
      </c>
      <c r="BO180" s="516"/>
      <c r="BP180" s="507"/>
      <c r="BQ180" s="522">
        <f>+'Cash Flow'!BQ64</f>
        <v>0</v>
      </c>
      <c r="BR180" s="522">
        <f>+'Cash Flow'!BR64</f>
        <v>0</v>
      </c>
      <c r="BS180" s="522">
        <f>+'Cash Flow'!BS64</f>
        <v>0</v>
      </c>
      <c r="BT180" s="522">
        <f>+'Cash Flow'!BT64</f>
        <v>0</v>
      </c>
      <c r="BU180" s="516"/>
      <c r="BV180" s="507"/>
      <c r="BW180" s="522">
        <f>+'Cash Flow'!BW64</f>
        <v>0</v>
      </c>
      <c r="BX180" s="522">
        <f>+'Cash Flow'!BX64</f>
        <v>0</v>
      </c>
      <c r="BY180" s="522">
        <f>+'Cash Flow'!BY64</f>
        <v>0</v>
      </c>
      <c r="BZ180" s="522">
        <f>+'Cash Flow'!BZ64</f>
        <v>0</v>
      </c>
      <c r="CA180" s="516"/>
      <c r="CB180" s="507"/>
      <c r="CC180" s="522">
        <f>+'Cash Flow'!CC64</f>
        <v>0</v>
      </c>
      <c r="CD180" s="522">
        <f>+'Cash Flow'!CD64</f>
        <v>0</v>
      </c>
      <c r="CE180" s="522"/>
      <c r="CF180" s="522"/>
      <c r="CG180" s="521"/>
      <c r="CH180" s="507"/>
      <c r="CI180" s="522"/>
      <c r="CJ180" s="522"/>
      <c r="CK180" s="522"/>
      <c r="CL180" s="522"/>
      <c r="CM180" s="519">
        <f>SUM(CI180:CL180)</f>
        <v>0</v>
      </c>
      <c r="CN180" s="507"/>
      <c r="CO180" s="522"/>
      <c r="CP180" s="522"/>
      <c r="CQ180" s="522"/>
      <c r="CR180" s="522"/>
      <c r="CS180" s="519">
        <f>SUM(CO180:CR180)</f>
        <v>0</v>
      </c>
      <c r="CT180" s="507"/>
      <c r="CU180" s="522"/>
      <c r="CV180" s="522"/>
      <c r="CW180" s="522"/>
      <c r="CX180" s="522"/>
      <c r="CY180" s="519">
        <f>SUM(CU180:CX180)</f>
        <v>0</v>
      </c>
      <c r="CZ180" s="507"/>
      <c r="DA180" s="522"/>
      <c r="DB180" s="522"/>
      <c r="DC180" s="522"/>
      <c r="DD180" s="522"/>
      <c r="DE180" s="519"/>
      <c r="DF180" s="507"/>
      <c r="DG180" s="522"/>
      <c r="DH180" s="522"/>
      <c r="DI180" s="522"/>
      <c r="DJ180" s="522">
        <f>+'Cash Flow'!DJ64</f>
        <v>127</v>
      </c>
      <c r="DK180" s="519"/>
      <c r="DL180" s="507"/>
      <c r="DM180" s="522"/>
      <c r="DN180" s="522"/>
      <c r="DO180" s="522"/>
      <c r="DP180" s="522"/>
      <c r="DQ180" s="519"/>
      <c r="DR180" s="507"/>
      <c r="DS180" s="522"/>
      <c r="DT180" s="522"/>
      <c r="DU180" s="522"/>
      <c r="DV180" s="522"/>
      <c r="DW180" s="519">
        <f>SUM(DS180:DV180)</f>
        <v>0</v>
      </c>
      <c r="DX180" s="507"/>
      <c r="DY180" s="522"/>
      <c r="DZ180" s="522"/>
      <c r="EA180" s="522"/>
      <c r="EB180" s="522"/>
      <c r="EC180" s="519">
        <f>SUM(DY180:EB180)</f>
        <v>0</v>
      </c>
      <c r="ED180" s="507"/>
      <c r="EE180" s="522"/>
      <c r="EF180" s="522"/>
      <c r="EG180" s="522"/>
      <c r="EH180" s="522"/>
      <c r="EI180" s="519">
        <f>SUM(EE180:EH180)</f>
        <v>0</v>
      </c>
      <c r="EJ180" s="507"/>
      <c r="EK180" s="522"/>
      <c r="EL180" s="522"/>
      <c r="EM180" s="522"/>
      <c r="EN180" s="522"/>
      <c r="EO180" s="519">
        <f>SUM(EK180:EN180)</f>
        <v>0</v>
      </c>
      <c r="EP180" s="507"/>
      <c r="EQ180" s="522"/>
      <c r="ER180" s="522"/>
      <c r="ES180" s="522"/>
      <c r="ET180" s="522"/>
      <c r="EU180" s="519">
        <f>SUM(EQ180:ET180)</f>
        <v>0</v>
      </c>
      <c r="EV180" s="507"/>
      <c r="EW180" s="522"/>
      <c r="EX180" s="522"/>
      <c r="EY180" s="522"/>
      <c r="EZ180" s="1093">
        <f>+'Cash Flow'!EZ64</f>
        <v>368.37485726736122</v>
      </c>
      <c r="FA180" s="519">
        <f>SUM(EW180:EZ180)</f>
        <v>368.37485726736122</v>
      </c>
      <c r="FB180" s="507"/>
      <c r="FC180" s="1093">
        <f>+'Cash Flow'!FC64</f>
        <v>402.96541119750179</v>
      </c>
      <c r="FD180" s="1093">
        <f>+'Cash Flow'!FD64</f>
        <v>402.96541119750179</v>
      </c>
      <c r="FE180" s="1093">
        <f>+'Cash Flow'!FE64</f>
        <v>402.96541119750168</v>
      </c>
      <c r="FF180" s="1093">
        <f>+'Cash Flow'!FF64</f>
        <v>402.96541119750191</v>
      </c>
      <c r="FG180" s="519">
        <f>SUM(FC180:FF180)</f>
        <v>1611.8616447900072</v>
      </c>
      <c r="FH180" s="507"/>
      <c r="FI180" s="1093">
        <f>+'Cash Flow'!FI64</f>
        <v>442.929379426048</v>
      </c>
      <c r="FJ180" s="1093">
        <f>+'Cash Flow'!FJ64</f>
        <v>442.929379426048</v>
      </c>
      <c r="FK180" s="1093">
        <f>+'Cash Flow'!FK64</f>
        <v>442.92937942604806</v>
      </c>
      <c r="FL180" s="1093">
        <f>+'Cash Flow'!FL64</f>
        <v>442.92937942604794</v>
      </c>
      <c r="FM180" s="519">
        <f>SUM(FI180:FL180)</f>
        <v>1771.717517704192</v>
      </c>
      <c r="FN180" s="135"/>
      <c r="FO180" s="135"/>
      <c r="FP180" s="135"/>
      <c r="FQ180" s="135"/>
      <c r="FR180"/>
      <c r="FS180"/>
      <c r="FT180"/>
      <c r="FU180"/>
      <c r="FV180"/>
      <c r="FW180"/>
      <c r="FX180" s="135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</row>
    <row r="181" spans="1:274" s="24" customFormat="1" ht="11.25" hidden="1" customHeight="1" outlineLevel="1" x14ac:dyDescent="0.2">
      <c r="A181" s="493"/>
      <c r="B181" s="20"/>
      <c r="C181" s="494"/>
      <c r="D181" s="494"/>
      <c r="E181" s="494"/>
      <c r="F181" s="494"/>
      <c r="G181" s="494"/>
      <c r="H181" s="494"/>
      <c r="I181" s="302"/>
      <c r="J181" s="302"/>
      <c r="K181" s="302"/>
      <c r="L181" s="302"/>
      <c r="M181" s="494"/>
      <c r="N181" s="494"/>
      <c r="O181" s="302"/>
      <c r="P181" s="302"/>
      <c r="Q181" s="302"/>
      <c r="R181" s="302"/>
      <c r="S181" s="494"/>
      <c r="T181" s="494"/>
      <c r="U181" s="302"/>
      <c r="V181" s="302"/>
      <c r="W181" s="302"/>
      <c r="X181" s="302"/>
      <c r="Y181" s="494"/>
      <c r="Z181" s="494"/>
      <c r="AA181" s="302"/>
      <c r="AB181" s="302"/>
      <c r="AC181" s="302"/>
      <c r="AD181" s="302"/>
      <c r="AE181" s="494"/>
      <c r="AF181" s="494"/>
      <c r="AG181" s="302"/>
      <c r="AH181" s="302"/>
      <c r="AI181" s="302"/>
      <c r="AJ181" s="302"/>
      <c r="AK181" s="514"/>
      <c r="AL181" s="494"/>
      <c r="AM181" s="71"/>
      <c r="AN181" s="71"/>
      <c r="AO181" s="71"/>
      <c r="AP181" s="71"/>
      <c r="AQ181" s="497"/>
      <c r="AR181" s="494"/>
      <c r="AS181" s="71"/>
      <c r="AT181" s="71"/>
      <c r="AU181" s="71"/>
      <c r="AV181" s="71"/>
      <c r="AW181" s="514"/>
      <c r="AX181" s="496"/>
      <c r="AY181" s="302"/>
      <c r="AZ181" s="302"/>
      <c r="BA181" s="302"/>
      <c r="BB181" s="302"/>
      <c r="BC181" s="516"/>
      <c r="BD181" s="494"/>
      <c r="BE181" s="516"/>
      <c r="BF181" s="516"/>
      <c r="BG181" s="516"/>
      <c r="BH181" s="516"/>
      <c r="BI181" s="516"/>
      <c r="BJ181" s="507"/>
      <c r="BK181" s="516"/>
      <c r="BL181" s="516"/>
      <c r="BM181" s="516"/>
      <c r="BN181" s="516"/>
      <c r="BO181" s="516"/>
      <c r="BP181" s="507"/>
      <c r="BQ181" s="516"/>
      <c r="BR181" s="516"/>
      <c r="BS181" s="516"/>
      <c r="BT181" s="516"/>
      <c r="BU181" s="516"/>
      <c r="BV181" s="507"/>
      <c r="BW181" s="516"/>
      <c r="BX181" s="516"/>
      <c r="BY181" s="516"/>
      <c r="BZ181" s="516"/>
      <c r="CA181" s="516"/>
      <c r="CB181" s="507"/>
      <c r="CC181" s="516"/>
      <c r="CD181" s="516"/>
      <c r="CE181" s="516"/>
      <c r="CF181" s="516"/>
      <c r="CG181" s="521"/>
      <c r="CH181" s="507"/>
      <c r="CI181" s="516"/>
      <c r="CJ181" s="516"/>
      <c r="CK181" s="516"/>
      <c r="CL181" s="516"/>
      <c r="CM181" s="521"/>
      <c r="CN181" s="507"/>
      <c r="CO181" s="516"/>
      <c r="CP181" s="516"/>
      <c r="CQ181" s="516"/>
      <c r="CR181" s="516"/>
      <c r="CS181" s="521"/>
      <c r="CT181" s="507"/>
      <c r="CU181" s="516"/>
      <c r="CV181" s="516"/>
      <c r="CW181" s="516"/>
      <c r="CX181" s="516"/>
      <c r="CY181" s="521"/>
      <c r="CZ181" s="507"/>
      <c r="DA181" s="516"/>
      <c r="DB181" s="516"/>
      <c r="DC181" s="516"/>
      <c r="DD181" s="516"/>
      <c r="DE181" s="521"/>
      <c r="DF181" s="507"/>
      <c r="DG181" s="516"/>
      <c r="DH181" s="516"/>
      <c r="DI181" s="516"/>
      <c r="DJ181" s="516"/>
      <c r="DK181" s="521"/>
      <c r="DL181" s="507"/>
      <c r="DM181" s="516"/>
      <c r="DN181" s="516"/>
      <c r="DO181" s="516"/>
      <c r="DP181" s="516"/>
      <c r="DQ181" s="521"/>
      <c r="DR181" s="507"/>
      <c r="DS181" s="516"/>
      <c r="DT181" s="516"/>
      <c r="DU181" s="516"/>
      <c r="DV181" s="516"/>
      <c r="DW181" s="521"/>
      <c r="DX181" s="507"/>
      <c r="DY181" s="516"/>
      <c r="DZ181" s="516"/>
      <c r="EA181" s="516"/>
      <c r="EB181" s="516"/>
      <c r="EC181" s="521"/>
      <c r="ED181" s="507"/>
      <c r="EE181" s="516"/>
      <c r="EF181" s="516"/>
      <c r="EG181" s="516"/>
      <c r="EH181" s="516"/>
      <c r="EI181" s="521"/>
      <c r="EJ181" s="507"/>
      <c r="EK181" s="516"/>
      <c r="EL181" s="516"/>
      <c r="EM181" s="516"/>
      <c r="EN181" s="516"/>
      <c r="EO181" s="521"/>
      <c r="EP181" s="507"/>
      <c r="EQ181" s="516"/>
      <c r="ER181" s="516"/>
      <c r="ES181" s="516"/>
      <c r="ET181" s="516"/>
      <c r="EU181" s="521"/>
      <c r="EV181" s="507"/>
      <c r="EW181" s="516"/>
      <c r="EX181" s="516"/>
      <c r="EY181" s="516"/>
      <c r="EZ181" s="516"/>
      <c r="FA181" s="521"/>
      <c r="FB181" s="507"/>
      <c r="FC181" s="516"/>
      <c r="FD181" s="516"/>
      <c r="FE181" s="516"/>
      <c r="FF181" s="516"/>
      <c r="FG181" s="521"/>
      <c r="FH181" s="507"/>
      <c r="FI181" s="516"/>
      <c r="FJ181" s="516"/>
      <c r="FK181" s="516"/>
      <c r="FL181" s="516"/>
      <c r="FM181" s="521"/>
      <c r="FN181" s="135"/>
      <c r="FO181" s="135"/>
      <c r="FP181" s="135"/>
      <c r="FQ181" s="135"/>
      <c r="FR181"/>
      <c r="FS181"/>
      <c r="FT181"/>
      <c r="FU181"/>
      <c r="FV181"/>
      <c r="FW181"/>
      <c r="FX181" s="135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</row>
    <row r="182" spans="1:274" s="24" customFormat="1" ht="12.75" hidden="1" customHeight="1" outlineLevel="1" x14ac:dyDescent="0.2">
      <c r="A182" s="493" t="s">
        <v>881</v>
      </c>
      <c r="B182" s="20"/>
      <c r="C182" s="494"/>
      <c r="D182" s="494"/>
      <c r="E182" s="494"/>
      <c r="F182" s="494"/>
      <c r="G182" s="494"/>
      <c r="H182" s="494"/>
      <c r="I182" s="302"/>
      <c r="J182" s="302"/>
      <c r="K182" s="302"/>
      <c r="L182" s="302"/>
      <c r="M182" s="494"/>
      <c r="N182" s="494"/>
      <c r="O182" s="302"/>
      <c r="P182" s="302"/>
      <c r="Q182" s="302"/>
      <c r="R182" s="302"/>
      <c r="S182" s="494"/>
      <c r="T182" s="494"/>
      <c r="U182" s="302"/>
      <c r="V182" s="302"/>
      <c r="W182" s="302"/>
      <c r="X182" s="302"/>
      <c r="Y182" s="494"/>
      <c r="Z182" s="494"/>
      <c r="AA182" s="302"/>
      <c r="AB182" s="302"/>
      <c r="AC182" s="302"/>
      <c r="AD182" s="302"/>
      <c r="AE182" s="494"/>
      <c r="AF182" s="494"/>
      <c r="AG182" s="302"/>
      <c r="AH182" s="302"/>
      <c r="AI182" s="302"/>
      <c r="AJ182" s="302"/>
      <c r="AK182" s="516"/>
      <c r="AL182" s="494"/>
      <c r="AM182" s="302"/>
      <c r="AN182" s="302"/>
      <c r="AO182" s="302"/>
      <c r="AP182" s="302"/>
      <c r="AQ182" s="516"/>
      <c r="AR182" s="494"/>
      <c r="AS182" s="302"/>
      <c r="AT182" s="302"/>
      <c r="AU182" s="302"/>
      <c r="AV182" s="302"/>
      <c r="AW182" s="516"/>
      <c r="AX182" s="496"/>
      <c r="AY182" s="302"/>
      <c r="AZ182" s="302"/>
      <c r="BA182" s="302"/>
      <c r="BB182" s="302"/>
      <c r="BC182" s="516"/>
      <c r="BD182" s="494"/>
      <c r="BE182" s="507"/>
      <c r="BF182" s="507"/>
      <c r="BG182" s="507"/>
      <c r="BH182" s="507"/>
      <c r="BI182" s="516"/>
      <c r="BJ182" s="507"/>
      <c r="BK182" s="507"/>
      <c r="BL182" s="507"/>
      <c r="BM182" s="507"/>
      <c r="BN182" s="495"/>
      <c r="BO182" s="70"/>
      <c r="BP182" s="507"/>
      <c r="BQ182" s="507"/>
      <c r="BR182" s="507"/>
      <c r="BS182" s="507"/>
      <c r="BT182" s="495"/>
      <c r="BU182" s="516"/>
      <c r="BV182" s="507"/>
      <c r="BW182" s="507"/>
      <c r="BX182" s="507"/>
      <c r="BY182" s="507"/>
      <c r="BZ182" s="495"/>
      <c r="CA182" s="516"/>
      <c r="CB182" s="507"/>
      <c r="CC182" s="507"/>
      <c r="CD182" s="507"/>
      <c r="CE182" s="507"/>
      <c r="CF182" s="495"/>
      <c r="CG182" s="521"/>
      <c r="CH182" s="507"/>
      <c r="CI182" s="507"/>
      <c r="CJ182" s="507"/>
      <c r="CK182" s="507"/>
      <c r="CL182" s="507"/>
      <c r="CM182" s="521"/>
      <c r="CN182" s="507"/>
      <c r="CO182" s="507"/>
      <c r="CP182" s="507"/>
      <c r="CQ182" s="507"/>
      <c r="CR182" s="495"/>
      <c r="CS182" s="521"/>
      <c r="CT182" s="507"/>
      <c r="CU182" s="507"/>
      <c r="CV182" s="507"/>
      <c r="CW182" s="507"/>
      <c r="CX182" s="507"/>
      <c r="CY182" s="521"/>
      <c r="CZ182" s="507"/>
      <c r="DA182" s="507"/>
      <c r="DB182" s="507"/>
      <c r="DC182" s="507"/>
      <c r="DD182" s="495"/>
      <c r="DE182" s="521"/>
      <c r="DF182" s="507"/>
      <c r="DG182" s="507"/>
      <c r="DH182" s="507"/>
      <c r="DI182" s="507"/>
      <c r="DJ182" s="495"/>
      <c r="DK182" s="521"/>
      <c r="DL182" s="507"/>
      <c r="DM182" s="507"/>
      <c r="DN182" s="507"/>
      <c r="DO182" s="507"/>
      <c r="DP182" s="495"/>
      <c r="DQ182" s="521"/>
      <c r="DR182" s="507"/>
      <c r="DS182" s="507"/>
      <c r="DT182" s="507"/>
      <c r="DU182" s="507"/>
      <c r="DV182" s="495"/>
      <c r="DW182" s="521"/>
      <c r="DX182" s="507"/>
      <c r="DY182" s="507"/>
      <c r="DZ182" s="507"/>
      <c r="EA182" s="507"/>
      <c r="EB182" s="495"/>
      <c r="EC182" s="521"/>
      <c r="ED182" s="507"/>
      <c r="EE182" s="507"/>
      <c r="EF182" s="507"/>
      <c r="EG182" s="507"/>
      <c r="EH182" s="507"/>
      <c r="EI182" s="521"/>
      <c r="EJ182" s="507"/>
      <c r="EK182" s="507"/>
      <c r="EL182" s="507"/>
      <c r="EM182" s="507"/>
      <c r="EN182" s="507"/>
      <c r="EO182" s="521"/>
      <c r="EP182" s="507"/>
      <c r="EQ182" s="507"/>
      <c r="ER182" s="507"/>
      <c r="ES182" s="507"/>
      <c r="ET182" s="507"/>
      <c r="EU182" s="521"/>
      <c r="EV182" s="507"/>
      <c r="EW182" s="507"/>
      <c r="EX182" s="507"/>
      <c r="EY182" s="507"/>
      <c r="EZ182" s="495"/>
      <c r="FA182" s="521"/>
      <c r="FB182" s="507"/>
      <c r="FC182" s="507"/>
      <c r="FD182" s="507"/>
      <c r="FE182" s="507"/>
      <c r="FF182" s="495"/>
      <c r="FG182" s="521"/>
      <c r="FH182" s="507"/>
      <c r="FI182" s="507"/>
      <c r="FJ182" s="507"/>
      <c r="FK182" s="507"/>
      <c r="FL182" s="495"/>
      <c r="FM182" s="521"/>
      <c r="FN182" s="135"/>
      <c r="FO182" s="135"/>
      <c r="FP182" s="135"/>
      <c r="FQ182" s="135"/>
      <c r="FR182"/>
      <c r="FS182"/>
      <c r="FT182"/>
      <c r="FU182"/>
      <c r="FV182"/>
      <c r="FW182"/>
      <c r="FX182" s="135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</row>
    <row r="183" spans="1:274" s="24" customFormat="1" ht="12.75" hidden="1" customHeight="1" outlineLevel="1" x14ac:dyDescent="0.2">
      <c r="A183" s="1113" t="s">
        <v>961</v>
      </c>
      <c r="B183" s="20"/>
      <c r="C183" s="494"/>
      <c r="D183" s="494"/>
      <c r="E183" s="494"/>
      <c r="F183" s="494"/>
      <c r="G183" s="494"/>
      <c r="H183" s="494"/>
      <c r="I183" s="302"/>
      <c r="J183" s="302"/>
      <c r="K183" s="302"/>
      <c r="L183" s="302"/>
      <c r="M183" s="494"/>
      <c r="N183" s="494"/>
      <c r="O183" s="302"/>
      <c r="P183" s="302"/>
      <c r="Q183" s="302"/>
      <c r="R183" s="302"/>
      <c r="S183" s="494"/>
      <c r="T183" s="494"/>
      <c r="U183" s="302"/>
      <c r="V183" s="302"/>
      <c r="W183" s="302"/>
      <c r="X183" s="302"/>
      <c r="Y183" s="494"/>
      <c r="Z183" s="494"/>
      <c r="AA183" s="302"/>
      <c r="AB183" s="302"/>
      <c r="AC183" s="302"/>
      <c r="AD183" s="302"/>
      <c r="AE183" s="494"/>
      <c r="AF183" s="494"/>
      <c r="AG183" s="302"/>
      <c r="AH183" s="302"/>
      <c r="AI183" s="302"/>
      <c r="AJ183" s="302"/>
      <c r="AK183" s="500"/>
      <c r="AL183" s="494"/>
      <c r="AM183" s="302"/>
      <c r="AN183" s="302"/>
      <c r="AO183" s="302"/>
      <c r="AP183" s="302"/>
      <c r="AQ183" s="500"/>
      <c r="AR183" s="494"/>
      <c r="AS183" s="302"/>
      <c r="AT183" s="302"/>
      <c r="AU183" s="302"/>
      <c r="AV183" s="302"/>
      <c r="AW183" s="500"/>
      <c r="AX183" s="496"/>
      <c r="AY183" s="302"/>
      <c r="AZ183" s="302"/>
      <c r="BA183" s="302"/>
      <c r="BB183" s="302"/>
      <c r="BC183" s="500">
        <v>-74</v>
      </c>
      <c r="BD183" s="494"/>
      <c r="BE183" s="497">
        <f>-753.796-BE184</f>
        <v>-34.081760000000031</v>
      </c>
      <c r="BF183" s="497">
        <f>-1104.069-BF184</f>
        <v>-64.54413999999997</v>
      </c>
      <c r="BG183" s="497">
        <f>-193.311-BG184</f>
        <v>-10.239660000000072</v>
      </c>
      <c r="BH183" s="498">
        <f>BI183-BG183-BF183-BE183</f>
        <v>-59.134439999999927</v>
      </c>
      <c r="BI183" s="500">
        <v>-168</v>
      </c>
      <c r="BJ183" s="507"/>
      <c r="BK183" s="495">
        <f>-768.3-BK184</f>
        <v>-68.299800000000005</v>
      </c>
      <c r="BL183" s="495">
        <f>-938.9-BL184</f>
        <v>-90.900399999999877</v>
      </c>
      <c r="BM183" s="495">
        <f>-492.8-BM184</f>
        <v>-38.799799999999891</v>
      </c>
      <c r="BN183" s="495">
        <f>BO183-BM183-BL183-BK183</f>
        <v>-30.000000000000227</v>
      </c>
      <c r="BO183" s="500">
        <v>-228</v>
      </c>
      <c r="BP183" s="507"/>
      <c r="BQ183" s="495">
        <f>BQ185-BQ184</f>
        <v>-15</v>
      </c>
      <c r="BR183" s="495">
        <f>BR185-BR184</f>
        <v>-15.400000000000006</v>
      </c>
      <c r="BS183" s="495">
        <f>BS185-BS184</f>
        <v>-53.299999999999955</v>
      </c>
      <c r="BT183" s="495">
        <f>BU183-BS183-BR183-BQ183</f>
        <v>-25.30000000000004</v>
      </c>
      <c r="BU183" s="500">
        <v>-109</v>
      </c>
      <c r="BV183" s="507"/>
      <c r="BW183" s="495">
        <f>BW185-BW184</f>
        <v>-49.399999999999977</v>
      </c>
      <c r="BX183" s="495">
        <f>BX185-BX184</f>
        <v>-43.399999999999977</v>
      </c>
      <c r="BY183" s="495">
        <f>BY185-BY184</f>
        <v>-2</v>
      </c>
      <c r="BZ183" s="495">
        <f>CA183-BY183-BX183-BW183</f>
        <v>-22.200000000000045</v>
      </c>
      <c r="CA183" s="500">
        <v>-117</v>
      </c>
      <c r="CB183" s="507"/>
      <c r="CC183" s="518">
        <f>CC185-CC184</f>
        <v>-21.699999999999989</v>
      </c>
      <c r="CD183" s="518">
        <f>CD185-CD184</f>
        <v>-5.8000000000000114</v>
      </c>
      <c r="CE183" s="518">
        <f>CE185-CE184</f>
        <v>-9.9999999999909051E-2</v>
      </c>
      <c r="CF183" s="518">
        <f>CG183-CE183-CD183-CC183</f>
        <v>-153.40000000000009</v>
      </c>
      <c r="CG183" s="503">
        <v>-181</v>
      </c>
      <c r="CH183" s="507"/>
      <c r="CI183" s="518">
        <f>CI185-CI184</f>
        <v>-85</v>
      </c>
      <c r="CJ183" s="518">
        <f>CJ185-CJ184</f>
        <v>-102.5</v>
      </c>
      <c r="CK183" s="518">
        <f>CK185-CK184</f>
        <v>-111</v>
      </c>
      <c r="CL183" s="518">
        <f>CL185-CL184</f>
        <v>-112.5</v>
      </c>
      <c r="CM183" s="519">
        <f>SUM(CI183:CL183)</f>
        <v>-411</v>
      </c>
      <c r="CN183" s="507"/>
      <c r="CO183" s="518">
        <f>CO185-CO184</f>
        <v>-86</v>
      </c>
      <c r="CP183" s="518">
        <f>CP185-CP184</f>
        <v>-49</v>
      </c>
      <c r="CQ183" s="518">
        <f>CQ185-CQ184</f>
        <v>-45</v>
      </c>
      <c r="CR183" s="518">
        <f>CR185*0.086</f>
        <v>-43</v>
      </c>
      <c r="CS183" s="519">
        <f>SUM(CO183:CR183)</f>
        <v>-223</v>
      </c>
      <c r="CT183" s="507"/>
      <c r="CU183" s="518">
        <f>CU185-CU184</f>
        <v>-41.600000000000364</v>
      </c>
      <c r="CV183" s="518">
        <f>CV185-CV184</f>
        <v>-158.58400000000074</v>
      </c>
      <c r="CW183" s="518">
        <f>CW185-CW184</f>
        <v>-171.36999999999875</v>
      </c>
      <c r="CX183" s="518">
        <f>CX185-CX184</f>
        <v>-34.75</v>
      </c>
      <c r="CY183" s="519">
        <f>SUM(CU183:CX183)</f>
        <v>-406.30399999999986</v>
      </c>
      <c r="CZ183" s="507"/>
      <c r="DA183" s="518">
        <f>DA185-DA184</f>
        <v>-38.450000000000017</v>
      </c>
      <c r="DB183" s="518">
        <f>DB185-DB184</f>
        <v>-19.5</v>
      </c>
      <c r="DC183" s="518">
        <f>DC185-DC184</f>
        <v>-27.350000000000364</v>
      </c>
      <c r="DD183" s="518">
        <f>DD185-DD184</f>
        <v>-25.400000000000205</v>
      </c>
      <c r="DE183" s="519">
        <f>SUM(DA183:DD183)</f>
        <v>-110.70000000000059</v>
      </c>
      <c r="DF183" s="507"/>
      <c r="DG183" s="518">
        <f>DG185-DG184</f>
        <v>-29.300000000000011</v>
      </c>
      <c r="DH183" s="518">
        <f>DH185-DH184</f>
        <v>12.799999999999955</v>
      </c>
      <c r="DI183" s="518">
        <f>DI185-DI184</f>
        <v>-18.850000000000023</v>
      </c>
      <c r="DJ183" s="518">
        <f>DJ185-DJ184</f>
        <v>-27.899999999999977</v>
      </c>
      <c r="DK183" s="519">
        <f>SUM(DG183:DJ183)</f>
        <v>-63.250000000000057</v>
      </c>
      <c r="DL183" s="507"/>
      <c r="DM183" s="518">
        <f>DM185-DM184</f>
        <v>-66.720000000000027</v>
      </c>
      <c r="DN183" s="518">
        <f>DN185-DN184</f>
        <v>-104.46000000000004</v>
      </c>
      <c r="DO183" s="518">
        <f>DO185-DO184</f>
        <v>-194.08079999999973</v>
      </c>
      <c r="DP183" s="518">
        <f>DP185-DP184</f>
        <v>-213.14030000000002</v>
      </c>
      <c r="DQ183" s="519">
        <f>SUM(DM183:DP183)</f>
        <v>-578.40109999999981</v>
      </c>
      <c r="DR183" s="507"/>
      <c r="DS183" s="518">
        <f>DS185-DS184</f>
        <v>-364.02</v>
      </c>
      <c r="DT183" s="518">
        <f>DT185-DT184</f>
        <v>-331.52</v>
      </c>
      <c r="DU183" s="518">
        <f>DU185-DU184</f>
        <v>-283.29999999999995</v>
      </c>
      <c r="DV183" s="518">
        <f>DV185-DV184</f>
        <v>-318.28829667646096</v>
      </c>
      <c r="DW183" s="519">
        <f>SUM(DS183:DV183)</f>
        <v>-1297.1282966764609</v>
      </c>
      <c r="DX183" s="507"/>
      <c r="DY183" s="518">
        <f>DY185-DY184</f>
        <v>-305.96000000000004</v>
      </c>
      <c r="DZ183" s="518">
        <f>DZ185-DZ184</f>
        <v>-380.7171894850012</v>
      </c>
      <c r="EA183" s="518">
        <f>EA185-EA184</f>
        <v>-234.51999999999998</v>
      </c>
      <c r="EB183" s="518">
        <f>EB185-EB184</f>
        <v>-203</v>
      </c>
      <c r="EC183" s="519">
        <f>SUM(DY183:EB183)</f>
        <v>-1124.1971894850012</v>
      </c>
      <c r="ED183" s="507"/>
      <c r="EE183" s="518">
        <f>EE185-EE184</f>
        <v>-223.11999999999989</v>
      </c>
      <c r="EF183" s="518">
        <f>EF185-EF184</f>
        <v>-249.03999999999996</v>
      </c>
      <c r="EG183" s="518">
        <f>EG185-EG184</f>
        <v>-217.67999999999984</v>
      </c>
      <c r="EH183" s="518">
        <f>EH185-EH184</f>
        <v>-242.84999999999991</v>
      </c>
      <c r="EI183" s="519">
        <f>SUM(EE183:EH183)</f>
        <v>-932.6899999999996</v>
      </c>
      <c r="EJ183" s="507"/>
      <c r="EK183" s="518">
        <f>EK185-EK184</f>
        <v>-207.55000000000018</v>
      </c>
      <c r="EL183" s="518">
        <f>EL185-EL184</f>
        <v>-623.84999999999991</v>
      </c>
      <c r="EM183" s="518">
        <f>EM185-EM184</f>
        <v>-347.29999999999995</v>
      </c>
      <c r="EN183" s="518">
        <f>EN185-EN184</f>
        <v>-279.04999999999995</v>
      </c>
      <c r="EO183" s="519">
        <f>SUM(EK183:EN183)</f>
        <v>-1457.75</v>
      </c>
      <c r="EP183" s="507"/>
      <c r="EQ183" s="518">
        <f>EQ185-EQ184</f>
        <v>-262.84999999999991</v>
      </c>
      <c r="ER183" s="518">
        <f>ER185-ER184</f>
        <v>-145.82000000000119</v>
      </c>
      <c r="ES183" s="518">
        <f>ES185-ES184</f>
        <v>-76.049999999999955</v>
      </c>
      <c r="ET183" s="518">
        <f>ET185-ET184</f>
        <v>-89.080000000000041</v>
      </c>
      <c r="EU183" s="519">
        <f>SUM(EQ183:ET183)</f>
        <v>-573.80000000000109</v>
      </c>
      <c r="EV183" s="507"/>
      <c r="EW183" s="518">
        <f>EW185-EW184</f>
        <v>44.360000000000014</v>
      </c>
      <c r="EX183" s="518">
        <f>EX185-EX184</f>
        <v>-219.40000000000009</v>
      </c>
      <c r="EY183" s="518">
        <f>EY185-EY184</f>
        <v>-9906.02</v>
      </c>
      <c r="EZ183" s="1093">
        <f>EZ185*0.086</f>
        <v>-258</v>
      </c>
      <c r="FA183" s="519">
        <f>SUM(EW183:EZ183)</f>
        <v>-10339.060000000001</v>
      </c>
      <c r="FB183" s="507"/>
      <c r="FC183" s="1093">
        <f>FC185*0.086</f>
        <v>-258</v>
      </c>
      <c r="FD183" s="1093">
        <f>FD185*0.086</f>
        <v>-258</v>
      </c>
      <c r="FE183" s="1093">
        <f>FE185*0.086</f>
        <v>-258</v>
      </c>
      <c r="FF183" s="1093">
        <f>FF185*0.086</f>
        <v>-258</v>
      </c>
      <c r="FG183" s="503">
        <f>SUM(FC183:FF183)</f>
        <v>-1032</v>
      </c>
      <c r="FH183" s="507"/>
      <c r="FI183" s="1093">
        <f>FI185*0.086</f>
        <v>-258</v>
      </c>
      <c r="FJ183" s="1093">
        <f>FJ185*0.086</f>
        <v>-258</v>
      </c>
      <c r="FK183" s="1093">
        <f>FK185*0.086</f>
        <v>-258</v>
      </c>
      <c r="FL183" s="1093">
        <f>FL185*0.086</f>
        <v>-258</v>
      </c>
      <c r="FM183" s="519">
        <f>SUM(FI183:FL183)</f>
        <v>-1032</v>
      </c>
      <c r="FN183" s="135"/>
      <c r="FO183" s="135"/>
      <c r="FP183" s="135"/>
      <c r="FQ183" s="135"/>
      <c r="FR183"/>
      <c r="FS183"/>
      <c r="FT183"/>
      <c r="FU183"/>
      <c r="FV183"/>
      <c r="FW183"/>
      <c r="FX183" s="135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</row>
    <row r="184" spans="1:274" s="24" customFormat="1" ht="12.75" hidden="1" customHeight="1" outlineLevel="1" x14ac:dyDescent="0.2">
      <c r="A184" s="493" t="s">
        <v>882</v>
      </c>
      <c r="B184" s="20"/>
      <c r="C184" s="494"/>
      <c r="D184" s="494"/>
      <c r="E184" s="494"/>
      <c r="F184" s="494"/>
      <c r="G184" s="494"/>
      <c r="H184" s="494"/>
      <c r="I184" s="302"/>
      <c r="J184" s="302"/>
      <c r="K184" s="302"/>
      <c r="L184" s="302"/>
      <c r="M184" s="494"/>
      <c r="N184" s="494"/>
      <c r="O184" s="302"/>
      <c r="P184" s="302"/>
      <c r="Q184" s="302"/>
      <c r="R184" s="302"/>
      <c r="S184" s="494"/>
      <c r="T184" s="494"/>
      <c r="U184" s="302"/>
      <c r="V184" s="302"/>
      <c r="W184" s="302"/>
      <c r="X184" s="302"/>
      <c r="Y184" s="494"/>
      <c r="Z184" s="494"/>
      <c r="AA184" s="302"/>
      <c r="AB184" s="302"/>
      <c r="AC184" s="302"/>
      <c r="AD184" s="302"/>
      <c r="AE184" s="494"/>
      <c r="AF184" s="494"/>
      <c r="AG184" s="302"/>
      <c r="AH184" s="302"/>
      <c r="AI184" s="302"/>
      <c r="AJ184" s="302"/>
      <c r="AK184" s="500"/>
      <c r="AL184" s="494"/>
      <c r="AM184" s="302"/>
      <c r="AN184" s="302"/>
      <c r="AO184" s="302"/>
      <c r="AP184" s="302"/>
      <c r="AQ184" s="500"/>
      <c r="AR184" s="494"/>
      <c r="AS184" s="302"/>
      <c r="AT184" s="302"/>
      <c r="AU184" s="302"/>
      <c r="AV184" s="302"/>
      <c r="AW184" s="500"/>
      <c r="AX184" s="496"/>
      <c r="AY184" s="302"/>
      <c r="AZ184" s="302"/>
      <c r="BA184" s="302"/>
      <c r="BB184" s="302"/>
      <c r="BC184" s="500">
        <v>-4267</v>
      </c>
      <c r="BD184" s="494"/>
      <c r="BE184" s="507">
        <f>(-753.796*0.94)-11.146</f>
        <v>-719.71424000000002</v>
      </c>
      <c r="BF184" s="497">
        <f>((-1857.865-BE184-BE183)*0.94)-1.7</f>
        <v>-1039.52486</v>
      </c>
      <c r="BG184" s="497">
        <f>((-2051.176-BF184-BE184-BF183-BE183)*0.94)-1.359</f>
        <v>-183.07133999999994</v>
      </c>
      <c r="BH184" s="495">
        <f>BI184-BG184-BF184-BE184</f>
        <v>-681.18956000000003</v>
      </c>
      <c r="BI184" s="502">
        <v>-2623.5</v>
      </c>
      <c r="BJ184" s="507"/>
      <c r="BK184" s="495">
        <f>(-768.3*0.914)+2.226</f>
        <v>-700.00019999999995</v>
      </c>
      <c r="BL184" s="495">
        <f>((-1707.2-BK184-BK183)*0.914)+10.155</f>
        <v>-847.9996000000001</v>
      </c>
      <c r="BM184" s="495">
        <f>((-2200-BL184-BK184-BK183-BL183)*0.914)-3.581</f>
        <v>-454.00020000000012</v>
      </c>
      <c r="BN184" s="495">
        <f>BO184-BM184-BL184-BK184</f>
        <v>-422.99999999999977</v>
      </c>
      <c r="BO184" s="500">
        <v>-2425</v>
      </c>
      <c r="BP184" s="507"/>
      <c r="BQ184" s="495">
        <f>BQ39-BN39-BQ207</f>
        <v>-185</v>
      </c>
      <c r="BR184" s="495">
        <f>BR39-BQ39-BR207</f>
        <v>-184</v>
      </c>
      <c r="BS184" s="495">
        <f>BS39-BR39-BS207</f>
        <v>-586</v>
      </c>
      <c r="BT184" s="518">
        <f>BU184-BS184-BR184-BQ184</f>
        <v>-435</v>
      </c>
      <c r="BU184" s="502">
        <v>-1390</v>
      </c>
      <c r="BV184" s="507"/>
      <c r="BW184" s="495">
        <f>BW39-BT39-BW207</f>
        <v>-494</v>
      </c>
      <c r="BX184" s="495">
        <f>BX39-BW39-BX207</f>
        <v>-508</v>
      </c>
      <c r="BY184" s="495">
        <f>BY39-BX39-BY207</f>
        <v>2</v>
      </c>
      <c r="BZ184" s="518">
        <f>CA184-BY184-BX184-BW184</f>
        <v>-226</v>
      </c>
      <c r="CA184" s="502">
        <v>-1226</v>
      </c>
      <c r="CB184" s="507"/>
      <c r="CC184" s="518">
        <f>CC39-BZ39-CC207</f>
        <v>-228</v>
      </c>
      <c r="CD184" s="518">
        <f>CD39-CC39-CD207</f>
        <v>-68.5</v>
      </c>
      <c r="CE184" s="518">
        <f>CE39-CD39-CE207</f>
        <v>9.9999999999909051E-2</v>
      </c>
      <c r="CF184" s="518">
        <f>CG184-CE184-CD184-CC184</f>
        <v>-1589.6</v>
      </c>
      <c r="CG184" s="503">
        <v>-1886</v>
      </c>
      <c r="CH184" s="507"/>
      <c r="CI184" s="518">
        <f>CI39-CF39-CI207</f>
        <v>-915</v>
      </c>
      <c r="CJ184" s="518">
        <f>CJ39-CI39-CJ207</f>
        <v>-897.5</v>
      </c>
      <c r="CK184" s="518">
        <f>CK39-CJ39-CK207</f>
        <v>-889</v>
      </c>
      <c r="CL184" s="518">
        <f>CL39-CK39-CL207</f>
        <v>-887.5</v>
      </c>
      <c r="CM184" s="503">
        <f>SUM(CI184:CL184)</f>
        <v>-3589</v>
      </c>
      <c r="CN184" s="507"/>
      <c r="CO184" s="518">
        <f>CO39-CL39-CO207</f>
        <v>-444</v>
      </c>
      <c r="CP184" s="518">
        <f>CP39-CO39-CP207</f>
        <v>-444</v>
      </c>
      <c r="CQ184" s="518">
        <f>CQ39-CP39-CQ207</f>
        <v>-450</v>
      </c>
      <c r="CR184" s="518">
        <f>CR39-CQ39-CR207</f>
        <v>-457</v>
      </c>
      <c r="CS184" s="503">
        <f>SUM(CO184:CR184)</f>
        <v>-1795</v>
      </c>
      <c r="CT184" s="507"/>
      <c r="CU184" s="518">
        <f>CU39-CR39-CU207</f>
        <v>-458.39999999999964</v>
      </c>
      <c r="CV184" s="518">
        <f>CV39-CU39-CV207</f>
        <v>-1685.4159999999993</v>
      </c>
      <c r="CW184" s="518">
        <f>CW39-CV39-CW207</f>
        <v>-1038.1840000000011</v>
      </c>
      <c r="CX184" s="518">
        <f>CX39-CW39-CX207-CX209</f>
        <v>-215.25</v>
      </c>
      <c r="CY184" s="503">
        <f>SUM(CU184:CX184)</f>
        <v>-3397.25</v>
      </c>
      <c r="CZ184" s="507"/>
      <c r="DA184" s="518">
        <f>DA39-CX39-DA207-DA209</f>
        <v>-204.54999999999998</v>
      </c>
      <c r="DB184" s="518">
        <f>DB39-DA39-DB207-DB209</f>
        <v>-229.5</v>
      </c>
      <c r="DC184" s="518">
        <f>DC39-DB39-DC207-DC209</f>
        <v>-222.64999999999964</v>
      </c>
      <c r="DD184" s="518">
        <f>DD39-DC39-DD207-DD209</f>
        <v>-224.5999999999998</v>
      </c>
      <c r="DE184" s="503">
        <f>SUM(DA184:DD184)</f>
        <v>-881.29999999999939</v>
      </c>
      <c r="DF184" s="507"/>
      <c r="DG184" s="518">
        <f>DG39-DD39-DG207-DG209</f>
        <v>-219.7</v>
      </c>
      <c r="DH184" s="518">
        <f>DH39-DG39-DH207-DH209</f>
        <v>-267.79999999999995</v>
      </c>
      <c r="DI184" s="518">
        <f>DI39-DH39-DI207-DI209</f>
        <v>-226.14999999999998</v>
      </c>
      <c r="DJ184" s="518">
        <f>DJ39-DI39-DJ207-DJ209</f>
        <v>-383.1</v>
      </c>
      <c r="DK184" s="503">
        <f>SUM(DG184:DJ184)</f>
        <v>-1096.75</v>
      </c>
      <c r="DL184" s="507"/>
      <c r="DM184" s="518">
        <f>DM39-DK39-DM207-DM209</f>
        <v>-733.28</v>
      </c>
      <c r="DN184" s="518">
        <f>DN39-DM39-DN207-DN209</f>
        <v>-893.54</v>
      </c>
      <c r="DO184" s="518">
        <f>DO39-DN39-DO207-DO209</f>
        <v>-1464.9192000000003</v>
      </c>
      <c r="DP184" s="518">
        <f>DP39-DO39-DP207-DP209</f>
        <v>-2185.8597</v>
      </c>
      <c r="DQ184" s="503">
        <f>SUM(DM184:DP184)</f>
        <v>-5277.5989</v>
      </c>
      <c r="DR184" s="507"/>
      <c r="DS184" s="518">
        <f>DS39-DQ39-DS207-DS209</f>
        <v>-2711.98</v>
      </c>
      <c r="DT184" s="518">
        <f>DT39-DS39-DT207-DT209</f>
        <v>-2664.48</v>
      </c>
      <c r="DU184" s="518">
        <f>DU39-DT39-DU207-DU209</f>
        <v>-1848.7</v>
      </c>
      <c r="DV184" s="518">
        <f>DV39-DU39-DV207-DV209</f>
        <v>-2498.711703323539</v>
      </c>
      <c r="DW184" s="503">
        <f>SUM(DS184:DV184)</f>
        <v>-9723.8717033235389</v>
      </c>
      <c r="DX184" s="507"/>
      <c r="DY184" s="518">
        <f>DY39-DW39-DY207-DY209</f>
        <v>-2662.04</v>
      </c>
      <c r="DZ184" s="518">
        <f>DZ39-DY39-DZ207-DZ209</f>
        <v>-2452.2828105149988</v>
      </c>
      <c r="EA184" s="518">
        <f>EA39-DZ39-EA207-EA209</f>
        <v>-1805.48</v>
      </c>
      <c r="EB184" s="518">
        <f>EB39-EA39-EB207-EB209</f>
        <v>-1769</v>
      </c>
      <c r="EC184" s="503">
        <f>SUM(DY184:EB184)</f>
        <v>-8688.8028105149988</v>
      </c>
      <c r="ED184" s="507"/>
      <c r="EE184" s="518">
        <f>EE39-EC39-EE207-EE209</f>
        <v>-1776.88</v>
      </c>
      <c r="EF184" s="518">
        <f>EF39-EE39-EF207-EF209</f>
        <v>-1837.96</v>
      </c>
      <c r="EG184" s="518">
        <f>EG39-EF39-EG207-EG209</f>
        <v>-1774.3200000000002</v>
      </c>
      <c r="EH184" s="518">
        <f>EH39-EG39-EH207-EH209</f>
        <v>-1765.15</v>
      </c>
      <c r="EI184" s="503">
        <f>SUM(EE184:EH184)</f>
        <v>-7154.3099999999995</v>
      </c>
      <c r="EJ184" s="507"/>
      <c r="EK184" s="518">
        <f>EK39-EI39-EK207-EK209</f>
        <v>-2638.45</v>
      </c>
      <c r="EL184" s="518">
        <f>EL39-EK39-EL207-EL209</f>
        <v>-2788.15</v>
      </c>
      <c r="EM184" s="518">
        <f>EM39-EL39-EM207-EM209</f>
        <v>-1861.7</v>
      </c>
      <c r="EN184" s="518">
        <f>EN39-EM39-EN207-EN209</f>
        <v>-1693.95</v>
      </c>
      <c r="EO184" s="503">
        <f>SUM(EK184:EN184)</f>
        <v>-8982.25</v>
      </c>
      <c r="EP184" s="507"/>
      <c r="EQ184" s="518">
        <f>EQ39-EO39-EQ207-EQ209</f>
        <v>-1739.15</v>
      </c>
      <c r="ER184" s="518">
        <f>ER39-EQ39-ER207-ER209</f>
        <v>-421.17999999999881</v>
      </c>
      <c r="ES184" s="518">
        <f>ES39-ER39-ES207-ES209</f>
        <v>-421.95000000000005</v>
      </c>
      <c r="ET184" s="518">
        <f>ET39-ES39-ET207-ET209</f>
        <v>-404.91999999999996</v>
      </c>
      <c r="EU184" s="503">
        <f>SUM(EQ184:ET184)</f>
        <v>-2987.1999999999989</v>
      </c>
      <c r="EV184" s="507"/>
      <c r="EW184" s="518">
        <f>EW39-EU39-EW207-EW209</f>
        <v>-546.36</v>
      </c>
      <c r="EX184" s="518">
        <f>EX39-EW39-EX207-EX209</f>
        <v>-1732.6</v>
      </c>
      <c r="EY184" s="518">
        <f>EY39-EX39-EY207-EY209</f>
        <v>5939.02</v>
      </c>
      <c r="EZ184" s="1093">
        <f>EZ185*0.914</f>
        <v>-2742</v>
      </c>
      <c r="FA184" s="503">
        <f>SUM(EW184:EZ184)</f>
        <v>918.0600000000004</v>
      </c>
      <c r="FB184" s="507"/>
      <c r="FC184" s="1093">
        <f>FC185*0.914</f>
        <v>-2742</v>
      </c>
      <c r="FD184" s="1093">
        <f>FD185*0.914</f>
        <v>-2742</v>
      </c>
      <c r="FE184" s="1093">
        <f>FE185*0.914</f>
        <v>-2742</v>
      </c>
      <c r="FF184" s="1093">
        <f>FF185*0.914</f>
        <v>-2742</v>
      </c>
      <c r="FG184" s="503">
        <f>SUM(FC184:FF184)</f>
        <v>-10968</v>
      </c>
      <c r="FH184" s="507"/>
      <c r="FI184" s="1093">
        <f>FI185*0.914</f>
        <v>-2742</v>
      </c>
      <c r="FJ184" s="1093">
        <f>FJ185*0.914</f>
        <v>-2742</v>
      </c>
      <c r="FK184" s="1093">
        <f>FK185*0.914</f>
        <v>-2742</v>
      </c>
      <c r="FL184" s="1093">
        <f>FL185*0.914</f>
        <v>-2742</v>
      </c>
      <c r="FM184" s="503">
        <f>SUM(FI184:FL184)</f>
        <v>-10968</v>
      </c>
      <c r="FN184" s="135"/>
      <c r="FO184" s="135"/>
      <c r="FP184" s="135"/>
      <c r="FQ184" s="135"/>
      <c r="FR184"/>
      <c r="FS184"/>
      <c r="FT184"/>
      <c r="FU184"/>
      <c r="FV184"/>
      <c r="FW184"/>
      <c r="FX184" s="135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</row>
    <row r="185" spans="1:274" s="24" customFormat="1" ht="12.75" hidden="1" customHeight="1" outlineLevel="1" x14ac:dyDescent="0.2">
      <c r="A185" s="523" t="s">
        <v>238</v>
      </c>
      <c r="B185" s="432"/>
      <c r="C185" s="524"/>
      <c r="D185" s="524"/>
      <c r="E185" s="524"/>
      <c r="F185" s="524"/>
      <c r="G185" s="524"/>
      <c r="H185" s="524"/>
      <c r="I185" s="525"/>
      <c r="J185" s="525"/>
      <c r="K185" s="525"/>
      <c r="L185" s="525"/>
      <c r="M185" s="524"/>
      <c r="N185" s="524"/>
      <c r="O185" s="525"/>
      <c r="P185" s="525"/>
      <c r="Q185" s="525"/>
      <c r="R185" s="525"/>
      <c r="S185" s="524"/>
      <c r="T185" s="524"/>
      <c r="U185" s="525"/>
      <c r="V185" s="525"/>
      <c r="W185" s="525"/>
      <c r="X185" s="525"/>
      <c r="Y185" s="524"/>
      <c r="Z185" s="524"/>
      <c r="AA185" s="525"/>
      <c r="AB185" s="525"/>
      <c r="AC185" s="525"/>
      <c r="AD185" s="525"/>
      <c r="AE185" s="524"/>
      <c r="AF185" s="524"/>
      <c r="AG185" s="525"/>
      <c r="AH185" s="525"/>
      <c r="AI185" s="525"/>
      <c r="AJ185" s="525"/>
      <c r="AK185" s="526"/>
      <c r="AL185" s="524"/>
      <c r="AM185" s="525"/>
      <c r="AN185" s="525"/>
      <c r="AO185" s="525"/>
      <c r="AP185" s="525"/>
      <c r="AQ185" s="526"/>
      <c r="AR185" s="524"/>
      <c r="AS185" s="525"/>
      <c r="AT185" s="525"/>
      <c r="AU185" s="525"/>
      <c r="AV185" s="525"/>
      <c r="AW185" s="526"/>
      <c r="AX185" s="527"/>
      <c r="AY185" s="525"/>
      <c r="AZ185" s="525"/>
      <c r="BA185" s="525"/>
      <c r="BB185" s="525"/>
      <c r="BC185" s="526">
        <f>BC183+BC184</f>
        <v>-4341</v>
      </c>
      <c r="BD185" s="524"/>
      <c r="BE185" s="526">
        <f>BE183+BE184</f>
        <v>-753.79600000000005</v>
      </c>
      <c r="BF185" s="526">
        <f>BF183+BF184</f>
        <v>-1104.069</v>
      </c>
      <c r="BG185" s="526">
        <f>BG183+BG184</f>
        <v>-193.31100000000001</v>
      </c>
      <c r="BH185" s="526">
        <f>BH183+BH184</f>
        <v>-740.32399999999996</v>
      </c>
      <c r="BI185" s="526">
        <f>BI183+BI184</f>
        <v>-2791.5</v>
      </c>
      <c r="BJ185" s="528"/>
      <c r="BK185" s="526">
        <f>BK183+BK184</f>
        <v>-768.3</v>
      </c>
      <c r="BL185" s="526">
        <f>BL183+BL184</f>
        <v>-938.9</v>
      </c>
      <c r="BM185" s="526">
        <f>BM183+BM184</f>
        <v>-492.8</v>
      </c>
      <c r="BN185" s="526">
        <f>BN183+BN184</f>
        <v>-453</v>
      </c>
      <c r="BO185" s="526">
        <f>BO183+BO184</f>
        <v>-2653</v>
      </c>
      <c r="BP185" s="528"/>
      <c r="BQ185" s="526">
        <v>-200</v>
      </c>
      <c r="BR185" s="526">
        <v>-199.4</v>
      </c>
      <c r="BS185" s="526">
        <v>-639.29999999999995</v>
      </c>
      <c r="BT185" s="526">
        <f>BU185-BS185-BR185-BQ185</f>
        <v>-460.30000000000007</v>
      </c>
      <c r="BU185" s="529">
        <f>BU183+BU184</f>
        <v>-1499</v>
      </c>
      <c r="BV185" s="528"/>
      <c r="BW185" s="990">
        <v>-543.4</v>
      </c>
      <c r="BX185" s="990">
        <v>-551.4</v>
      </c>
      <c r="BY185" s="526">
        <v>0</v>
      </c>
      <c r="BZ185" s="526">
        <f>CA185-BY185-BX185-BW185</f>
        <v>-248.20000000000005</v>
      </c>
      <c r="CA185" s="529">
        <f>CA183+CA184</f>
        <v>-1343</v>
      </c>
      <c r="CB185" s="528"/>
      <c r="CC185" s="530">
        <v>-249.7</v>
      </c>
      <c r="CD185" s="530">
        <f>-324-CC185</f>
        <v>-74.300000000000011</v>
      </c>
      <c r="CE185" s="530">
        <f>-324-CD185-CC185</f>
        <v>0</v>
      </c>
      <c r="CF185" s="530">
        <f>'Cash Flow'!CF90</f>
        <v>-1743</v>
      </c>
      <c r="CG185" s="531">
        <f>SUM(CC185:CF185)</f>
        <v>-2067</v>
      </c>
      <c r="CH185" s="528"/>
      <c r="CI185" s="530">
        <v>-1000</v>
      </c>
      <c r="CJ185" s="530">
        <v>-1000</v>
      </c>
      <c r="CK185" s="530">
        <v>-1000</v>
      </c>
      <c r="CL185" s="530">
        <v>-1000</v>
      </c>
      <c r="CM185" s="531">
        <f>SUM(CI185:CL185)</f>
        <v>-4000</v>
      </c>
      <c r="CN185" s="528"/>
      <c r="CO185" s="530">
        <v>-530</v>
      </c>
      <c r="CP185" s="530">
        <v>-493</v>
      </c>
      <c r="CQ185" s="530">
        <v>-495</v>
      </c>
      <c r="CR185" s="530">
        <v>-500</v>
      </c>
      <c r="CS185" s="531">
        <f>SUM(CO185:CR185)</f>
        <v>-2018</v>
      </c>
      <c r="CT185" s="528"/>
      <c r="CU185" s="530">
        <v>-500</v>
      </c>
      <c r="CV185" s="530">
        <v>-1844</v>
      </c>
      <c r="CW185" s="530">
        <f>-(34.4*16.64+25.1*17.31+11.9*17.03)</f>
        <v>-1209.5539999999999</v>
      </c>
      <c r="CX185" s="530">
        <v>-250</v>
      </c>
      <c r="CY185" s="531">
        <f>SUM(CU185:CX185)</f>
        <v>-3803.5540000000001</v>
      </c>
      <c r="CZ185" s="528"/>
      <c r="DA185" s="530">
        <v>-243</v>
      </c>
      <c r="DB185" s="530">
        <v>-249</v>
      </c>
      <c r="DC185" s="530">
        <v>-250</v>
      </c>
      <c r="DD185" s="530">
        <v>-250</v>
      </c>
      <c r="DE185" s="531">
        <f>SUM(DA185:DD185)</f>
        <v>-992</v>
      </c>
      <c r="DF185" s="528"/>
      <c r="DG185" s="530">
        <f>'Cash Flow'!DG90</f>
        <v>-249</v>
      </c>
      <c r="DH185" s="530">
        <f>'Cash Flow'!DH90</f>
        <v>-255</v>
      </c>
      <c r="DI185" s="530">
        <f>'Cash Flow'!DI90</f>
        <v>-245</v>
      </c>
      <c r="DJ185" s="1196">
        <f>'Cash Flow'!DJ90</f>
        <v>-411</v>
      </c>
      <c r="DK185" s="531">
        <f>SUM(DG185:DJ185)</f>
        <v>-1160</v>
      </c>
      <c r="DL185" s="528"/>
      <c r="DM185" s="1196">
        <f>'Cash Flow'!DM90</f>
        <v>-800</v>
      </c>
      <c r="DN185" s="1196">
        <f>'Cash Flow'!DN90</f>
        <v>-998</v>
      </c>
      <c r="DO185" s="1196">
        <f>'Cash Flow'!DO90</f>
        <v>-1659</v>
      </c>
      <c r="DP185" s="1196">
        <f>'Cash Flow'!DP90</f>
        <v>-2399</v>
      </c>
      <c r="DQ185" s="531">
        <f>SUM(DM185:DP185)</f>
        <v>-5856</v>
      </c>
      <c r="DR185" s="528"/>
      <c r="DS185" s="1196">
        <f>'Cash Flow'!DS90</f>
        <v>-3076</v>
      </c>
      <c r="DT185" s="1196">
        <f>'Cash Flow'!DT90</f>
        <v>-2996</v>
      </c>
      <c r="DU185" s="1196">
        <f>'Cash Flow'!DU90</f>
        <v>-2132</v>
      </c>
      <c r="DV185" s="1196">
        <f>'Cash Flow'!DV90</f>
        <v>-2817</v>
      </c>
      <c r="DW185" s="531">
        <f>SUM(DS185:DV185)</f>
        <v>-11021</v>
      </c>
      <c r="DX185" s="528"/>
      <c r="DY185" s="1196">
        <f>'Cash Flow'!DY90</f>
        <v>-2968</v>
      </c>
      <c r="DZ185" s="1196">
        <f>'Cash Flow'!DZ90</f>
        <v>-2833</v>
      </c>
      <c r="EA185" s="1196">
        <f>'Cash Flow'!EA90</f>
        <v>-2040</v>
      </c>
      <c r="EB185" s="1196">
        <f>'Cash Flow'!EB90</f>
        <v>-1972</v>
      </c>
      <c r="EC185" s="531">
        <f>SUM(DY185:EB185)</f>
        <v>-9813</v>
      </c>
      <c r="ED185" s="528"/>
      <c r="EE185" s="1196">
        <f>'Cash Flow'!EE90</f>
        <v>-2000</v>
      </c>
      <c r="EF185" s="1196">
        <f>'Cash Flow'!EF90</f>
        <v>-2087</v>
      </c>
      <c r="EG185" s="1196">
        <f>'Cash Flow'!EG90</f>
        <v>-1992</v>
      </c>
      <c r="EH185" s="1196">
        <f>'Cash Flow'!EH90</f>
        <v>-2008</v>
      </c>
      <c r="EI185" s="531">
        <f>SUM(EE185:EH185)</f>
        <v>-8087</v>
      </c>
      <c r="EJ185" s="528"/>
      <c r="EK185" s="1196">
        <f>'Cash Flow'!EK90</f>
        <v>-2846</v>
      </c>
      <c r="EL185" s="1196">
        <f>'Cash Flow'!EL90</f>
        <v>-3412</v>
      </c>
      <c r="EM185" s="1196">
        <f>'Cash Flow'!EM90</f>
        <v>-2209</v>
      </c>
      <c r="EN185" s="1196">
        <f>'Cash Flow'!EN90</f>
        <v>-1973</v>
      </c>
      <c r="EO185" s="531">
        <f>SUM(EK185:EN185)</f>
        <v>-10440</v>
      </c>
      <c r="EP185" s="528"/>
      <c r="EQ185" s="1196">
        <f>'Cash Flow'!EQ90</f>
        <v>-2002</v>
      </c>
      <c r="ER185" s="1196">
        <f>'Cash Flow'!ER90</f>
        <v>-567</v>
      </c>
      <c r="ES185" s="1196">
        <f>'Cash Flow'!ES90</f>
        <v>-498</v>
      </c>
      <c r="ET185" s="1196">
        <f>'Cash Flow'!ET90</f>
        <v>-494</v>
      </c>
      <c r="EU185" s="531">
        <f>SUM(EQ185:ET185)</f>
        <v>-3561</v>
      </c>
      <c r="EV185" s="528"/>
      <c r="EW185" s="1196">
        <f>'Cash Flow'!EW90</f>
        <v>-502</v>
      </c>
      <c r="EX185" s="1196">
        <f>'Cash Flow'!EX90</f>
        <v>-1952</v>
      </c>
      <c r="EY185" s="1196">
        <f>'Cash Flow'!EY90</f>
        <v>-3967</v>
      </c>
      <c r="EZ185" s="532">
        <v>-3000</v>
      </c>
      <c r="FA185" s="531">
        <f>SUM(EW185:EZ185)</f>
        <v>-9421</v>
      </c>
      <c r="FB185" s="528"/>
      <c r="FC185" s="532">
        <v>-3000</v>
      </c>
      <c r="FD185" s="532">
        <v>-3000</v>
      </c>
      <c r="FE185" s="532">
        <v>-3000</v>
      </c>
      <c r="FF185" s="532">
        <v>-3000</v>
      </c>
      <c r="FG185" s="531">
        <f>SUM(FC185:FF185)</f>
        <v>-12000</v>
      </c>
      <c r="FH185" s="528"/>
      <c r="FI185" s="532">
        <v>-3000</v>
      </c>
      <c r="FJ185" s="532">
        <v>-3000</v>
      </c>
      <c r="FK185" s="532">
        <v>-3000</v>
      </c>
      <c r="FL185" s="532">
        <v>-3000</v>
      </c>
      <c r="FM185" s="531">
        <f>SUM(FI185:FL185)</f>
        <v>-12000</v>
      </c>
      <c r="FN185" s="135"/>
      <c r="FO185" s="135"/>
      <c r="FP185" s="135"/>
      <c r="FQ185" s="135"/>
      <c r="FR185"/>
      <c r="FS185"/>
      <c r="FT185"/>
      <c r="FU185"/>
      <c r="FV185"/>
      <c r="FW185"/>
      <c r="FX185" s="13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</row>
    <row r="186" spans="1:274" s="24" customFormat="1" ht="12.75" hidden="1" customHeight="1" outlineLevel="1" x14ac:dyDescent="0.2">
      <c r="A186" s="493" t="s">
        <v>979</v>
      </c>
      <c r="B186" s="20"/>
      <c r="C186" s="494"/>
      <c r="D186" s="494"/>
      <c r="E186" s="494"/>
      <c r="F186" s="494"/>
      <c r="G186" s="494"/>
      <c r="H186" s="494"/>
      <c r="I186" s="302"/>
      <c r="J186" s="302"/>
      <c r="K186" s="302"/>
      <c r="L186" s="302"/>
      <c r="M186" s="494"/>
      <c r="N186" s="494"/>
      <c r="O186" s="302"/>
      <c r="P186" s="302"/>
      <c r="Q186" s="302"/>
      <c r="R186" s="302"/>
      <c r="S186" s="494"/>
      <c r="T186" s="494"/>
      <c r="U186" s="302"/>
      <c r="V186" s="302"/>
      <c r="W186" s="302"/>
      <c r="X186" s="302"/>
      <c r="Y186" s="494"/>
      <c r="Z186" s="494"/>
      <c r="AA186" s="302"/>
      <c r="AB186" s="302"/>
      <c r="AC186" s="302"/>
      <c r="AD186" s="302"/>
      <c r="AE186" s="494"/>
      <c r="AF186" s="494"/>
      <c r="AG186" s="302"/>
      <c r="AH186" s="302"/>
      <c r="AI186" s="302"/>
      <c r="AJ186" s="302"/>
      <c r="AK186" s="505"/>
      <c r="AL186" s="494"/>
      <c r="AM186" s="302"/>
      <c r="AN186" s="302"/>
      <c r="AO186" s="302"/>
      <c r="AP186" s="302"/>
      <c r="AQ186" s="505"/>
      <c r="AR186" s="494"/>
      <c r="AS186" s="302"/>
      <c r="AT186" s="302"/>
      <c r="AU186" s="302"/>
      <c r="AV186" s="302"/>
      <c r="AW186" s="505"/>
      <c r="AX186" s="496"/>
      <c r="AY186" s="302"/>
      <c r="AZ186" s="302"/>
      <c r="BA186" s="302"/>
      <c r="BB186" s="302"/>
      <c r="BC186" s="506">
        <v>-142</v>
      </c>
      <c r="BD186" s="494"/>
      <c r="BE186" s="507">
        <v>-42.1</v>
      </c>
      <c r="BF186" s="507">
        <v>-82.5</v>
      </c>
      <c r="BG186" s="507">
        <v>-12.8</v>
      </c>
      <c r="BH186" s="498">
        <f>BI186-BG186-BF186-BE186</f>
        <v>-72.699999999999989</v>
      </c>
      <c r="BI186" s="506">
        <v>-210.1</v>
      </c>
      <c r="BJ186" s="507"/>
      <c r="BK186" s="507">
        <v>-81.900000000000006</v>
      </c>
      <c r="BL186" s="507">
        <f>-189.7-BK186</f>
        <v>-107.79999999999998</v>
      </c>
      <c r="BM186" s="507">
        <f>-231.2-BL186-BK186</f>
        <v>-41.5</v>
      </c>
      <c r="BN186" s="507">
        <f>BO186-BM186-BL186-BK186</f>
        <v>-38.800000000000011</v>
      </c>
      <c r="BO186" s="506">
        <v>-270</v>
      </c>
      <c r="BP186" s="507"/>
      <c r="BQ186" s="507">
        <v>-16.7</v>
      </c>
      <c r="BR186" s="507">
        <f>-33.3-BQ186</f>
        <v>-16.599999999999998</v>
      </c>
      <c r="BS186" s="497">
        <f>-78.3-BR186-BQ186</f>
        <v>-45</v>
      </c>
      <c r="BT186" s="506">
        <f>BU186-BS186-BR186-BQ186</f>
        <v>-39.700000000000003</v>
      </c>
      <c r="BU186" s="506">
        <v>-118</v>
      </c>
      <c r="BV186" s="507"/>
      <c r="BW186" s="497">
        <v>-50.3</v>
      </c>
      <c r="BX186" s="497">
        <v>-43.6</v>
      </c>
      <c r="BY186" s="497">
        <v>0</v>
      </c>
      <c r="BZ186" s="506">
        <f>CA186-BY186-BX186-BW186</f>
        <v>-21.100000000000009</v>
      </c>
      <c r="CA186" s="506">
        <v>-115</v>
      </c>
      <c r="CB186" s="507"/>
      <c r="CC186" s="518">
        <v>-18.100000000000001</v>
      </c>
      <c r="CD186" s="518">
        <f>-24.1-CC186</f>
        <v>-6</v>
      </c>
      <c r="CE186" s="518">
        <f>-24.1-CD186-CC186</f>
        <v>0</v>
      </c>
      <c r="CF186" s="518">
        <f>CF185/CF187</f>
        <v>-123.18021201413427</v>
      </c>
      <c r="CG186" s="503">
        <f>SUM(CC186:CF186)</f>
        <v>-147.28021201413426</v>
      </c>
      <c r="CH186" s="507"/>
      <c r="CI186" s="518">
        <v>-66.8</v>
      </c>
      <c r="CJ186" s="518">
        <f>-121.3-CI186</f>
        <v>-54.5</v>
      </c>
      <c r="CK186" s="518">
        <f>-121.3-CJ186</f>
        <v>-66.8</v>
      </c>
      <c r="CL186" s="518">
        <v>-54.5</v>
      </c>
      <c r="CM186" s="508">
        <f>SUM(CI186:CL186)</f>
        <v>-242.6</v>
      </c>
      <c r="CN186" s="507"/>
      <c r="CO186" s="497">
        <v>-25</v>
      </c>
      <c r="CP186" s="497">
        <f>CP185/CP187</f>
        <v>-23.254716981132077</v>
      </c>
      <c r="CQ186" s="497">
        <f>CQ185/CQ187</f>
        <v>-23.982558139534884</v>
      </c>
      <c r="CR186" s="497">
        <f>CR185/CR187</f>
        <v>-24.224806201550386</v>
      </c>
      <c r="CS186" s="508">
        <f>SUM(CO186:CR186)</f>
        <v>-96.462081322217358</v>
      </c>
      <c r="CT186" s="507"/>
      <c r="CU186" s="497">
        <v>-22.7</v>
      </c>
      <c r="CV186" s="497">
        <v>-108</v>
      </c>
      <c r="CW186" s="497">
        <v>-71.400000000000006</v>
      </c>
      <c r="CX186" s="497">
        <v>-14</v>
      </c>
      <c r="CY186" s="508">
        <f>SUM(CU186:CX186)</f>
        <v>-216.1</v>
      </c>
      <c r="CZ186" s="507"/>
      <c r="DA186" s="497">
        <v>-11.4</v>
      </c>
      <c r="DB186" s="497">
        <v>-11.6</v>
      </c>
      <c r="DC186" s="497">
        <v>-10.3</v>
      </c>
      <c r="DD186" s="497">
        <f>DD185/DD187</f>
        <v>-10.024057738572573</v>
      </c>
      <c r="DE186" s="508">
        <f>SUM(DA186:DD186)</f>
        <v>-43.32405773857257</v>
      </c>
      <c r="DF186" s="507"/>
      <c r="DG186" s="497">
        <v>-10.8</v>
      </c>
      <c r="DH186" s="497">
        <v>-9.1</v>
      </c>
      <c r="DI186" s="497">
        <v>-10.3</v>
      </c>
      <c r="DJ186" s="497">
        <v>-17.3</v>
      </c>
      <c r="DK186" s="508">
        <f>SUM(DG186:DJ186)</f>
        <v>-47.5</v>
      </c>
      <c r="DL186" s="507"/>
      <c r="DM186" s="498">
        <f>DM185/DM187</f>
        <v>-26.737967914438499</v>
      </c>
      <c r="DN186" s="498">
        <f>DN185/DN187</f>
        <v>-33.024487094639312</v>
      </c>
      <c r="DO186" s="498">
        <f>DO185/DO187</f>
        <v>-58.997155049786628</v>
      </c>
      <c r="DP186" s="497">
        <v>-87.7</v>
      </c>
      <c r="DQ186" s="508">
        <f>SUM(DM186:DP186)</f>
        <v>-206.45961005886443</v>
      </c>
      <c r="DR186" s="507"/>
      <c r="DS186" s="498">
        <f>DS185/DS187</f>
        <v>-104.27118644067797</v>
      </c>
      <c r="DT186" s="498">
        <f>DT185/DT187</f>
        <v>-96.025641025641022</v>
      </c>
      <c r="DU186" s="498">
        <f>DU185/DU187</f>
        <v>-61.440922190201725</v>
      </c>
      <c r="DV186" s="497">
        <v>-85</v>
      </c>
      <c r="DW186" s="508">
        <f>SUM(DS186:DV186)</f>
        <v>-346.73774965652069</v>
      </c>
      <c r="DX186" s="507"/>
      <c r="DY186" s="498">
        <v>-98.2</v>
      </c>
      <c r="DZ186" s="498">
        <v>-83.4</v>
      </c>
      <c r="EA186" s="498">
        <f>EA185/EA187</f>
        <v>-55.284552845528459</v>
      </c>
      <c r="EB186" s="497">
        <v>-49</v>
      </c>
      <c r="EC186" s="508">
        <f>SUM(DY186:EB186)</f>
        <v>-285.88455284552845</v>
      </c>
      <c r="ED186" s="507"/>
      <c r="EE186" s="498">
        <v>-49</v>
      </c>
      <c r="EF186" s="498">
        <v>-52.8</v>
      </c>
      <c r="EG186" s="497">
        <v>-46.1</v>
      </c>
      <c r="EH186" s="497">
        <v>-46</v>
      </c>
      <c r="EI186" s="508">
        <f>SUM(EE186:EH186)</f>
        <v>-193.9</v>
      </c>
      <c r="EJ186" s="507"/>
      <c r="EK186" s="498">
        <v>-75</v>
      </c>
      <c r="EL186" s="498">
        <v>-86</v>
      </c>
      <c r="EM186" s="497">
        <v>-61</v>
      </c>
      <c r="EN186" s="497">
        <v>-46</v>
      </c>
      <c r="EO186" s="508">
        <f>SUM(EK186:EN186)</f>
        <v>-268</v>
      </c>
      <c r="EP186" s="507"/>
      <c r="EQ186" s="498">
        <v>-49</v>
      </c>
      <c r="ER186" s="497">
        <v>-13</v>
      </c>
      <c r="ES186" s="497">
        <v>-13</v>
      </c>
      <c r="ET186" s="497">
        <v>-11</v>
      </c>
      <c r="EU186" s="508">
        <f>SUM(EQ186:ET186)</f>
        <v>-86</v>
      </c>
      <c r="EV186" s="507"/>
      <c r="EW186" s="498">
        <v>-10.199999999999999</v>
      </c>
      <c r="EX186" s="498">
        <v>-41</v>
      </c>
      <c r="EY186" s="497">
        <v>-80.75</v>
      </c>
      <c r="EZ186" s="497">
        <f>EZ185/EZ187</f>
        <v>-60.163839359444488</v>
      </c>
      <c r="FA186" s="508">
        <f>SUM(EW186:EZ186)</f>
        <v>-192.11383935944448</v>
      </c>
      <c r="FB186" s="507"/>
      <c r="FC186" s="495">
        <f>FC185/FC187</f>
        <v>-59.274718580733492</v>
      </c>
      <c r="FD186" s="497">
        <f>FD185/FD187</f>
        <v>-58.398737517964037</v>
      </c>
      <c r="FE186" s="497">
        <f>FE185/FE187</f>
        <v>-57.535701988141916</v>
      </c>
      <c r="FF186" s="497">
        <f>FF185/FF187</f>
        <v>-56.685420677972338</v>
      </c>
      <c r="FG186" s="508">
        <f>SUM(FC186:FF186)</f>
        <v>-231.89457876481177</v>
      </c>
      <c r="FH186" s="507"/>
      <c r="FI186" s="495">
        <f>FI185/FI187</f>
        <v>-55.847705101450586</v>
      </c>
      <c r="FJ186" s="497">
        <f>FJ185/FJ187</f>
        <v>-55.022369558079397</v>
      </c>
      <c r="FK186" s="497">
        <f>FK185/FK187</f>
        <v>-54.209231091703849</v>
      </c>
      <c r="FL186" s="497">
        <f>FL185/FL187</f>
        <v>-53.408109449954537</v>
      </c>
      <c r="FM186" s="508">
        <f>SUM(FI186:FL186)</f>
        <v>-218.48741520118838</v>
      </c>
      <c r="FN186" s="135"/>
      <c r="FO186" s="135"/>
      <c r="FP186" s="135"/>
      <c r="FQ186" s="135"/>
      <c r="FR186"/>
      <c r="FS186"/>
      <c r="FT186"/>
      <c r="FU186"/>
      <c r="FV186"/>
      <c r="FW186"/>
      <c r="FX186" s="135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</row>
    <row r="187" spans="1:274" s="24" customFormat="1" ht="12.75" hidden="1" customHeight="1" outlineLevel="1" x14ac:dyDescent="0.2">
      <c r="A187" s="493" t="s">
        <v>980</v>
      </c>
      <c r="B187" s="20"/>
      <c r="C187" s="494"/>
      <c r="D187" s="494"/>
      <c r="E187" s="494"/>
      <c r="F187" s="494"/>
      <c r="G187" s="494"/>
      <c r="H187" s="494"/>
      <c r="I187" s="302"/>
      <c r="J187" s="302"/>
      <c r="K187" s="302"/>
      <c r="L187" s="302"/>
      <c r="M187" s="494"/>
      <c r="N187" s="494"/>
      <c r="O187" s="302"/>
      <c r="P187" s="302"/>
      <c r="Q187" s="302"/>
      <c r="R187" s="302"/>
      <c r="S187" s="494"/>
      <c r="T187" s="494"/>
      <c r="U187" s="302"/>
      <c r="V187" s="302"/>
      <c r="W187" s="302"/>
      <c r="X187" s="302"/>
      <c r="Y187" s="494"/>
      <c r="Z187" s="494"/>
      <c r="AA187" s="302"/>
      <c r="AB187" s="302"/>
      <c r="AC187" s="302"/>
      <c r="AD187" s="302"/>
      <c r="AE187" s="494"/>
      <c r="AF187" s="494"/>
      <c r="AG187" s="302"/>
      <c r="AH187" s="302"/>
      <c r="AI187" s="302"/>
      <c r="AJ187" s="302"/>
      <c r="AK187" s="509"/>
      <c r="AL187" s="494"/>
      <c r="AM187" s="302"/>
      <c r="AN187" s="302"/>
      <c r="AO187" s="302"/>
      <c r="AP187" s="302"/>
      <c r="AQ187" s="509"/>
      <c r="AR187" s="494"/>
      <c r="AS187" s="302"/>
      <c r="AT187" s="302"/>
      <c r="AU187" s="302"/>
      <c r="AV187" s="302"/>
      <c r="AW187" s="509"/>
      <c r="AX187" s="496"/>
      <c r="AY187" s="302"/>
      <c r="AZ187" s="302"/>
      <c r="BA187" s="302"/>
      <c r="BB187" s="302"/>
      <c r="BC187" s="509">
        <f>IF(ISERROR((BC183+BC184)/BC186),"-",(BC183+BC184)/BC186)</f>
        <v>30.570422535211268</v>
      </c>
      <c r="BD187" s="494"/>
      <c r="BE187" s="509">
        <f>IF(ISERROR((BE183+BE184)/BE186),"-",(BE183+BE184)/BE186)</f>
        <v>17.904893111638955</v>
      </c>
      <c r="BF187" s="509">
        <f>IF(ISERROR((BF183+BF184)/BF186),"-",(BF183+BF184)/BF186)</f>
        <v>13.382654545454544</v>
      </c>
      <c r="BG187" s="509">
        <f>IF(ISERROR((BG183+BG184)/BG186),"-",(BG183+BG184)/BG186)</f>
        <v>15.102421874999999</v>
      </c>
      <c r="BH187" s="509">
        <f>IF(ISERROR((BH183+BH184)/BH186),"-",(BH183+BH184)/BH186)</f>
        <v>10.183273727647869</v>
      </c>
      <c r="BI187" s="509">
        <f>IF(ISERROR((BI183+BI184)/BI186),"-",(BI183+BI184)/BI186)</f>
        <v>13.286530223702998</v>
      </c>
      <c r="BJ187" s="507"/>
      <c r="BK187" s="509">
        <f>IF(ISERROR((BK183+BK184)/BK186),"-",(BK183+BK184)/BK186)</f>
        <v>9.3809523809523796</v>
      </c>
      <c r="BL187" s="509">
        <f>IF(ISERROR((BL183+BL184)/BL186),"-",(BL183+BL184)/BL186)</f>
        <v>8.7096474953617822</v>
      </c>
      <c r="BM187" s="509">
        <f>IF(ISERROR((BM183+BM184)/BM186),"-",(BM183+BM184)/BM186)</f>
        <v>11.874698795180723</v>
      </c>
      <c r="BN187" s="509">
        <f>IF(ISERROR((BN183+BN184)/BN186),"-",(BN183+BN184)/BN186)</f>
        <v>11.675257731958759</v>
      </c>
      <c r="BO187" s="509">
        <f>IF(ISERROR((BO183+BO184)/BO186),"-",(BO183+BO184)/BO186)</f>
        <v>9.825925925925926</v>
      </c>
      <c r="BP187" s="507"/>
      <c r="BQ187" s="509">
        <f>IF(ISERROR((BQ183+BQ184)/BQ186),"-",(BQ183+BQ184)/BQ186)</f>
        <v>11.976047904191617</v>
      </c>
      <c r="BR187" s="509">
        <f>IF(ISERROR((BR183+BR184)/BR186),"-",(BR183+BR184)/BR186)</f>
        <v>12.012048192771086</v>
      </c>
      <c r="BS187" s="509">
        <f>IF(ISERROR((BS183+BS184)/BS186),"-",(BS183+BS184)/BS186)</f>
        <v>14.206666666666665</v>
      </c>
      <c r="BT187" s="372">
        <f>IF(ISERROR((BT183+BT184)/BT186),"-",(BT183+BT184)/BT186)</f>
        <v>11.594458438287155</v>
      </c>
      <c r="BU187" s="509">
        <f>IF(ISERROR((BU183+BU184)/BU186),"-",(BU183+BU184)/BU186)</f>
        <v>12.703389830508474</v>
      </c>
      <c r="BV187" s="507"/>
      <c r="BW187" s="509">
        <f>IF(ISERROR((BW183+BW184)/BW186),"-",(BW183+BW184)/BW186)</f>
        <v>10.803180914512923</v>
      </c>
      <c r="BX187" s="509">
        <f>IF(ISERROR((BX183+BX184)/BX186),"-",(BX183+BX184)/BX186)</f>
        <v>12.646788990825687</v>
      </c>
      <c r="BY187" s="509" t="str">
        <f>IF(ISERROR((BY183+BY184)/BY186),"-",(BY183+BY184)/BY186)</f>
        <v>-</v>
      </c>
      <c r="BZ187" s="372">
        <f>IF(ISERROR((BZ183+BZ184)/BZ186),"-",(BZ183+BZ184)/BZ186)</f>
        <v>11.763033175355448</v>
      </c>
      <c r="CA187" s="509">
        <f>IF(ISERROR((CA183+CA184)/CA186),"-",(CA183+CA184)/CA186)</f>
        <v>11.678260869565218</v>
      </c>
      <c r="CB187" s="507"/>
      <c r="CC187" s="509">
        <f>IF(ISERROR((CC183+CC184)/CC186),"-",(CC183+CC184)/CC186)</f>
        <v>13.795580110497236</v>
      </c>
      <c r="CD187" s="509">
        <f>IF(ISERROR((CD183+CD184)/CD186),"-",(CD183+CD184)/CD186)</f>
        <v>12.383333333333335</v>
      </c>
      <c r="CE187" s="509" t="str">
        <f>IF(ISERROR((CE183+CE184)/CE186),"-",(CE183+CE184)/CE186)</f>
        <v>-</v>
      </c>
      <c r="CF187" s="510">
        <v>14.15</v>
      </c>
      <c r="CG187" s="533">
        <f>IF(ISERROR((CG183+CG184)/CG186),"-",(CG183+CG184)/CG186)</f>
        <v>14.034471920787519</v>
      </c>
      <c r="CH187" s="507"/>
      <c r="CI187" s="509">
        <f>IF(ISERROR((CI183+CI184)/CI186),"-",(CI183+CI184)/CI186)</f>
        <v>14.970059880239521</v>
      </c>
      <c r="CJ187" s="509">
        <f>IF(ISERROR((CJ183+CJ184)/CJ186),"-",(CJ183+CJ184)/CJ186)</f>
        <v>18.348623853211009</v>
      </c>
      <c r="CK187" s="509">
        <f>IF(ISERROR((CK183+CK184)/CK186),"-",(CK183+CK184)/CK186)</f>
        <v>14.970059880239521</v>
      </c>
      <c r="CL187" s="509">
        <f>IF(ISERROR((CL183+CL184)/CL186),"-",(CL183+CL184)/CL186)</f>
        <v>18.348623853211009</v>
      </c>
      <c r="CM187" s="533">
        <f>IF(ISERROR((CM183+CM184)/CM186),"-",(CM183+CM184)/CM186)</f>
        <v>16.488046166529266</v>
      </c>
      <c r="CN187" s="507"/>
      <c r="CO187" s="495">
        <f>IF(ISERROR((CO183+CO184)/CO186),"-",(CO183+CO184)/CO186)</f>
        <v>21.2</v>
      </c>
      <c r="CP187" s="495">
        <f>CO187</f>
        <v>21.2</v>
      </c>
      <c r="CQ187" s="495">
        <v>20.64</v>
      </c>
      <c r="CR187" s="501">
        <f>CQ187</f>
        <v>20.64</v>
      </c>
      <c r="CS187" s="533">
        <f>IF(ISERROR((CS183+CS184)/CS186),"-",(CS183+CS184)/CS186)</f>
        <v>20.920137450270936</v>
      </c>
      <c r="CT187" s="507"/>
      <c r="CU187" s="495">
        <f>IF(ISERROR((CU183+CU184)/CU186),"-",(CU183+CU184)/CU186)</f>
        <v>22.026431718061676</v>
      </c>
      <c r="CV187" s="495">
        <f>IF(ISERROR((CV183+CV184)/CV186),"-",(CV183+CV184)/CV186)</f>
        <v>17.074074074074073</v>
      </c>
      <c r="CW187" s="495">
        <f>IF(ISERROR((CW183+CW184)/CW186),"-",(CW183+CW184)/CW186)</f>
        <v>16.940532212885152</v>
      </c>
      <c r="CX187" s="495">
        <f>IF(ISERROR((CX183+CX184)/CX186),"-",(CX183+CX184)/CX186)</f>
        <v>17.857142857142858</v>
      </c>
      <c r="CY187" s="499">
        <f>IF(ISERROR((CY183+CY184)/CY186),"-",(CY183+CY184)/CY186)</f>
        <v>17.600897732531237</v>
      </c>
      <c r="CZ187" s="507"/>
      <c r="DA187" s="495">
        <f>IF(ISERROR(DA185/DA186),"-",DA185/DA186)</f>
        <v>21.315789473684209</v>
      </c>
      <c r="DB187" s="495">
        <f>IF(ISERROR(DB185/DB186),"-",DB185/DB186)</f>
        <v>21.46551724137931</v>
      </c>
      <c r="DC187" s="495">
        <f>IF(ISERROR(DC185/DC186),"-",DC185/DC186)</f>
        <v>24.271844660194173</v>
      </c>
      <c r="DD187" s="495">
        <v>24.94</v>
      </c>
      <c r="DE187" s="499">
        <f>IF(ISERROR(DE185/DE186),"-",DE185/DE186)</f>
        <v>22.897208889941901</v>
      </c>
      <c r="DF187" s="507"/>
      <c r="DG187" s="495">
        <f>IF(ISERROR(DG185/DG186),"-",DG185/DG186)</f>
        <v>23.055555555555554</v>
      </c>
      <c r="DH187" s="495">
        <f>DG187</f>
        <v>23.055555555555554</v>
      </c>
      <c r="DI187" s="495">
        <f>IF(ISERROR(DI185/DI186),"-",DI185/DI186)</f>
        <v>23.78640776699029</v>
      </c>
      <c r="DJ187" s="495">
        <f>IF(ISERROR(DJ185/DJ186),"-",DJ185/DJ186)</f>
        <v>23.75722543352601</v>
      </c>
      <c r="DK187" s="499">
        <f>IF(ISERROR(DK185/DK186),"-",DK185/DK186)</f>
        <v>24.421052631578949</v>
      </c>
      <c r="DL187" s="507"/>
      <c r="DM187" s="495">
        <v>29.92</v>
      </c>
      <c r="DN187" s="495">
        <v>30.22</v>
      </c>
      <c r="DO187" s="495">
        <v>28.12</v>
      </c>
      <c r="DP187" s="495">
        <f>IF(ISERROR(DP185/DP186),"-",DP185/DP186)</f>
        <v>27.35461801596351</v>
      </c>
      <c r="DQ187" s="499">
        <f>IF(ISERROR(DQ185/DQ186),"-",DQ185/DQ186)</f>
        <v>28.363901289605145</v>
      </c>
      <c r="DR187" s="507"/>
      <c r="DS187" s="495">
        <v>29.5</v>
      </c>
      <c r="DT187" s="495">
        <v>31.2</v>
      </c>
      <c r="DU187" s="495">
        <v>34.700000000000003</v>
      </c>
      <c r="DV187" s="495">
        <f>IF(ISERROR(DV185/DV186),"-",DV185/DV186)</f>
        <v>33.141176470588235</v>
      </c>
      <c r="DW187" s="499">
        <f>IF(ISERROR(DW185/DW186),"-",DW185/DW186)</f>
        <v>31.784828767324672</v>
      </c>
      <c r="DX187" s="507"/>
      <c r="DY187" s="495">
        <f>DY185/DY186</f>
        <v>30.224032586558042</v>
      </c>
      <c r="DZ187" s="495">
        <f>DZ185/DZ186</f>
        <v>33.968824940047959</v>
      </c>
      <c r="EA187" s="495">
        <v>36.9</v>
      </c>
      <c r="EB187" s="495">
        <f>IF(ISERROR(EB185/EB186),"-",EB185/EB186)</f>
        <v>40.244897959183675</v>
      </c>
      <c r="EC187" s="499">
        <f>IF(ISERROR(EC185/EC186),"-",EC185/EC186)</f>
        <v>34.325044505997646</v>
      </c>
      <c r="ED187" s="507"/>
      <c r="EE187" s="495">
        <f>EE185/EE186</f>
        <v>40.816326530612244</v>
      </c>
      <c r="EF187" s="495">
        <f>EF185/EF186</f>
        <v>39.526515151515156</v>
      </c>
      <c r="EG187" s="495">
        <f>EG185/EG186</f>
        <v>43.210412147505423</v>
      </c>
      <c r="EH187" s="495">
        <f>EH185/EH186</f>
        <v>43.652173913043477</v>
      </c>
      <c r="EI187" s="499">
        <f>IF(ISERROR(EI185/EI186),"-",EI185/EI186)</f>
        <v>41.707065497679217</v>
      </c>
      <c r="EJ187" s="507"/>
      <c r="EK187" s="495">
        <f>EK185/EK186</f>
        <v>37.946666666666665</v>
      </c>
      <c r="EL187" s="495">
        <f>EL185/EL186</f>
        <v>39.674418604651166</v>
      </c>
      <c r="EM187" s="495">
        <f>EM185/EM186</f>
        <v>36.213114754098363</v>
      </c>
      <c r="EN187" s="495">
        <f>EN185/EN186</f>
        <v>42.891304347826086</v>
      </c>
      <c r="EO187" s="499">
        <f>IF(ISERROR(EO185/EO186),"-",EO185/EO186)</f>
        <v>38.955223880597018</v>
      </c>
      <c r="EP187" s="507"/>
      <c r="EQ187" s="495">
        <f>EQ185/EQ186</f>
        <v>40.857142857142854</v>
      </c>
      <c r="ER187" s="495">
        <f>ER185/ER186</f>
        <v>43.615384615384613</v>
      </c>
      <c r="ES187" s="495">
        <f>ES185/ES186</f>
        <v>38.307692307692307</v>
      </c>
      <c r="ET187" s="495">
        <f>ET185/ET186</f>
        <v>44.909090909090907</v>
      </c>
      <c r="EU187" s="499">
        <f>IF(ISERROR(EU185/EU186),"-",EU185/EU186)</f>
        <v>41.406976744186046</v>
      </c>
      <c r="EV187" s="507"/>
      <c r="EW187" s="495">
        <f>EW185/EW186</f>
        <v>49.215686274509807</v>
      </c>
      <c r="EX187" s="495">
        <f>EX185/EX186</f>
        <v>47.609756097560975</v>
      </c>
      <c r="EY187" s="495">
        <f>EY185/EY186</f>
        <v>49.126934984520126</v>
      </c>
      <c r="EZ187" s="1094">
        <f>EY187*1.015</f>
        <v>49.863839009287922</v>
      </c>
      <c r="FA187" s="499">
        <f>IF(ISERROR(FA185/FA186),"-",FA185/FA186)</f>
        <v>49.038632674314179</v>
      </c>
      <c r="FB187" s="507"/>
      <c r="FC187" s="1734">
        <f>EZ187*1.015</f>
        <v>50.611796594427233</v>
      </c>
      <c r="FD187" s="1094">
        <f>FC187*1.015</f>
        <v>51.370973543343638</v>
      </c>
      <c r="FE187" s="1094">
        <f>FD187*1.015</f>
        <v>52.141538146493787</v>
      </c>
      <c r="FF187" s="1094">
        <f>FE187*1.015</f>
        <v>52.923661218691187</v>
      </c>
      <c r="FG187" s="499">
        <f>IF(ISERROR(FG185/FG186),"-",FG185/FG186)</f>
        <v>51.747652161245384</v>
      </c>
      <c r="FH187" s="507"/>
      <c r="FI187" s="1734">
        <f>FF187*1.015</f>
        <v>53.717516136971547</v>
      </c>
      <c r="FJ187" s="1094">
        <f>FI187*1.015</f>
        <v>54.523278879026115</v>
      </c>
      <c r="FK187" s="1094">
        <f>FJ187*1.015</f>
        <v>55.341128062211503</v>
      </c>
      <c r="FL187" s="1094">
        <f>FK187*1.015</f>
        <v>56.171244983144668</v>
      </c>
      <c r="FM187" s="499">
        <f>IF(ISERROR(FM185/FM186),"-",FM185/FM186)</f>
        <v>54.923071834366823</v>
      </c>
      <c r="FN187" s="135"/>
      <c r="FO187" s="135"/>
      <c r="FP187" s="135"/>
      <c r="FQ187" s="135"/>
      <c r="FR187"/>
      <c r="FS187"/>
      <c r="FT187"/>
      <c r="FU187"/>
      <c r="FV187"/>
      <c r="FW187"/>
      <c r="FX187" s="135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</row>
    <row r="188" spans="1:274" s="24" customFormat="1" ht="5.25" hidden="1" customHeight="1" outlineLevel="1" x14ac:dyDescent="0.2">
      <c r="A188" s="493"/>
      <c r="B188" s="20"/>
      <c r="C188" s="494"/>
      <c r="D188" s="494"/>
      <c r="E188" s="494"/>
      <c r="F188" s="494"/>
      <c r="G188" s="494"/>
      <c r="H188" s="494"/>
      <c r="I188" s="302"/>
      <c r="J188" s="302"/>
      <c r="K188" s="302"/>
      <c r="L188" s="302"/>
      <c r="M188" s="494"/>
      <c r="N188" s="494"/>
      <c r="O188" s="302"/>
      <c r="P188" s="302"/>
      <c r="Q188" s="302"/>
      <c r="R188" s="302"/>
      <c r="S188" s="494"/>
      <c r="T188" s="494"/>
      <c r="U188" s="302"/>
      <c r="V188" s="302"/>
      <c r="W188" s="302"/>
      <c r="X188" s="302"/>
      <c r="Y188" s="494"/>
      <c r="Z188" s="494"/>
      <c r="AA188" s="302"/>
      <c r="AB188" s="302"/>
      <c r="AC188" s="302"/>
      <c r="AD188" s="302"/>
      <c r="AE188" s="494"/>
      <c r="AF188" s="494"/>
      <c r="AG188" s="302"/>
      <c r="AH188" s="302"/>
      <c r="AI188" s="302"/>
      <c r="AJ188" s="302"/>
      <c r="AK188" s="509"/>
      <c r="AL188" s="494"/>
      <c r="AM188" s="302"/>
      <c r="AN188" s="302"/>
      <c r="AO188" s="302"/>
      <c r="AP188" s="302"/>
      <c r="AQ188" s="509"/>
      <c r="AR188" s="494"/>
      <c r="AS188" s="302"/>
      <c r="AT188" s="302"/>
      <c r="AU188" s="302"/>
      <c r="AV188" s="302"/>
      <c r="AW188" s="509"/>
      <c r="AX188" s="496"/>
      <c r="AY188" s="302"/>
      <c r="AZ188" s="302"/>
      <c r="BA188" s="302"/>
      <c r="BB188" s="302"/>
      <c r="BC188" s="509"/>
      <c r="BD188" s="494"/>
      <c r="BE188" s="507"/>
      <c r="BF188" s="507"/>
      <c r="BG188" s="507"/>
      <c r="BH188" s="507"/>
      <c r="BI188" s="509"/>
      <c r="BJ188" s="507"/>
      <c r="BK188" s="507"/>
      <c r="BL188" s="507"/>
      <c r="BM188" s="507"/>
      <c r="BN188" s="372"/>
      <c r="BO188" s="509"/>
      <c r="BP188" s="507"/>
      <c r="BQ188" s="507"/>
      <c r="BR188" s="507"/>
      <c r="BS188" s="507"/>
      <c r="BT188" s="372"/>
      <c r="BU188" s="509"/>
      <c r="BV188" s="507"/>
      <c r="BW188" s="507"/>
      <c r="BX188" s="507"/>
      <c r="BY188" s="507"/>
      <c r="BZ188" s="372"/>
      <c r="CA188" s="509"/>
      <c r="CB188" s="507"/>
      <c r="CC188" s="507"/>
      <c r="CD188" s="507"/>
      <c r="CE188" s="507"/>
      <c r="CF188" s="372"/>
      <c r="CG188" s="533"/>
      <c r="CH188" s="507"/>
      <c r="CI188" s="507"/>
      <c r="CJ188" s="507"/>
      <c r="CK188" s="507"/>
      <c r="CL188" s="372"/>
      <c r="CM188" s="533"/>
      <c r="CN188" s="507"/>
      <c r="CO188" s="507"/>
      <c r="CP188" s="507"/>
      <c r="CQ188" s="507"/>
      <c r="CR188" s="372"/>
      <c r="CS188" s="533"/>
      <c r="CT188" s="507"/>
      <c r="CU188" s="507"/>
      <c r="CV188" s="507"/>
      <c r="CW188" s="507"/>
      <c r="CX188" s="372"/>
      <c r="CY188" s="533"/>
      <c r="CZ188" s="507"/>
      <c r="DA188" s="507"/>
      <c r="DB188" s="507"/>
      <c r="DC188" s="507"/>
      <c r="DD188" s="372"/>
      <c r="DE188" s="533"/>
      <c r="DF188" s="507"/>
      <c r="DG188" s="507"/>
      <c r="DH188" s="507"/>
      <c r="DI188" s="507"/>
      <c r="DJ188" s="372"/>
      <c r="DK188" s="533"/>
      <c r="DL188" s="507"/>
      <c r="DM188" s="507"/>
      <c r="DN188" s="507"/>
      <c r="DO188" s="507"/>
      <c r="DP188" s="372"/>
      <c r="DQ188" s="533"/>
      <c r="DR188" s="507"/>
      <c r="DS188" s="507"/>
      <c r="DT188" s="507"/>
      <c r="DU188" s="507"/>
      <c r="DV188" s="372"/>
      <c r="DW188" s="533"/>
      <c r="DX188" s="507"/>
      <c r="DY188" s="507"/>
      <c r="DZ188" s="507"/>
      <c r="EA188" s="507"/>
      <c r="EB188" s="372"/>
      <c r="EC188" s="533"/>
      <c r="ED188" s="507"/>
      <c r="EE188" s="507"/>
      <c r="EF188" s="507"/>
      <c r="EG188" s="507"/>
      <c r="EH188" s="507"/>
      <c r="EI188" s="533"/>
      <c r="EJ188" s="507"/>
      <c r="EK188" s="507"/>
      <c r="EL188" s="507"/>
      <c r="EM188" s="507"/>
      <c r="EN188" s="507"/>
      <c r="EO188" s="533"/>
      <c r="EP188" s="507"/>
      <c r="EQ188" s="507"/>
      <c r="ER188" s="507"/>
      <c r="ES188" s="507"/>
      <c r="ET188" s="507"/>
      <c r="EU188" s="533"/>
      <c r="EV188" s="507"/>
      <c r="EW188" s="507"/>
      <c r="EX188" s="507"/>
      <c r="EY188" s="507"/>
      <c r="EZ188" s="372"/>
      <c r="FA188" s="533"/>
      <c r="FB188" s="507"/>
      <c r="FC188" s="507"/>
      <c r="FD188" s="507"/>
      <c r="FE188" s="507"/>
      <c r="FF188" s="372"/>
      <c r="FG188" s="533"/>
      <c r="FH188" s="507"/>
      <c r="FI188" s="507"/>
      <c r="FJ188" s="507"/>
      <c r="FK188" s="507"/>
      <c r="FL188" s="372"/>
      <c r="FM188" s="533"/>
      <c r="FN188" s="135"/>
      <c r="FO188" s="135"/>
      <c r="FP188" s="135"/>
      <c r="FQ188" s="135"/>
      <c r="FR188"/>
      <c r="FS188"/>
      <c r="FT188"/>
      <c r="FU188"/>
      <c r="FV188"/>
      <c r="FW188"/>
      <c r="FX188" s="135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</row>
    <row r="189" spans="1:274" s="24" customFormat="1" ht="12.75" hidden="1" customHeight="1" outlineLevel="1" x14ac:dyDescent="0.2">
      <c r="A189" s="1113" t="s">
        <v>543</v>
      </c>
      <c r="B189" s="20"/>
      <c r="C189" s="494"/>
      <c r="D189" s="494"/>
      <c r="E189" s="494"/>
      <c r="F189" s="494"/>
      <c r="G189" s="494"/>
      <c r="H189" s="494"/>
      <c r="I189" s="302"/>
      <c r="J189" s="302"/>
      <c r="K189" s="302"/>
      <c r="L189" s="302"/>
      <c r="M189" s="494"/>
      <c r="N189" s="494"/>
      <c r="O189" s="302"/>
      <c r="P189" s="302"/>
      <c r="Q189" s="302"/>
      <c r="R189" s="302"/>
      <c r="S189" s="494"/>
      <c r="T189" s="494"/>
      <c r="U189" s="302"/>
      <c r="V189" s="302"/>
      <c r="W189" s="302"/>
      <c r="X189" s="302"/>
      <c r="Y189" s="494"/>
      <c r="Z189" s="494"/>
      <c r="AA189" s="302"/>
      <c r="AB189" s="302"/>
      <c r="AC189" s="302"/>
      <c r="AD189" s="302"/>
      <c r="AE189" s="494"/>
      <c r="AF189" s="494"/>
      <c r="AG189" s="302"/>
      <c r="AH189" s="302"/>
      <c r="AI189" s="302"/>
      <c r="AJ189" s="302"/>
      <c r="AK189" s="509"/>
      <c r="AL189" s="494"/>
      <c r="AM189" s="302"/>
      <c r="AN189" s="302"/>
      <c r="AO189" s="302"/>
      <c r="AP189" s="302"/>
      <c r="AQ189" s="509"/>
      <c r="AR189" s="494"/>
      <c r="AS189" s="302"/>
      <c r="AT189" s="302"/>
      <c r="AU189" s="302"/>
      <c r="AV189" s="302"/>
      <c r="AW189" s="509"/>
      <c r="AX189" s="496"/>
      <c r="AY189" s="302"/>
      <c r="AZ189" s="302"/>
      <c r="BA189" s="302"/>
      <c r="BB189" s="302"/>
      <c r="BC189" s="495">
        <v>98</v>
      </c>
      <c r="BD189" s="494"/>
      <c r="BE189" s="507"/>
      <c r="BF189" s="507"/>
      <c r="BG189" s="507"/>
      <c r="BH189" s="507"/>
      <c r="BI189" s="495">
        <v>0</v>
      </c>
      <c r="BJ189" s="507"/>
      <c r="BK189" s="495">
        <v>0</v>
      </c>
      <c r="BL189" s="495">
        <v>-166</v>
      </c>
      <c r="BM189" s="495">
        <v>0</v>
      </c>
      <c r="BN189" s="495">
        <v>0</v>
      </c>
      <c r="BO189" s="495">
        <v>-166</v>
      </c>
      <c r="BP189" s="507"/>
      <c r="BQ189" s="495">
        <v>0</v>
      </c>
      <c r="BR189" s="495">
        <v>0</v>
      </c>
      <c r="BS189" s="495">
        <v>0</v>
      </c>
      <c r="BT189" s="495">
        <v>0</v>
      </c>
      <c r="BU189" s="495">
        <f>SUM(BQ189:BT189)</f>
        <v>0</v>
      </c>
      <c r="BV189" s="507"/>
      <c r="BW189" s="495">
        <v>0</v>
      </c>
      <c r="BX189" s="495">
        <v>0</v>
      </c>
      <c r="BY189" s="495">
        <v>0</v>
      </c>
      <c r="BZ189" s="495">
        <v>0</v>
      </c>
      <c r="CA189" s="495">
        <f>SUM(BW189:BZ189)</f>
        <v>0</v>
      </c>
      <c r="CB189" s="507"/>
      <c r="CC189" s="518">
        <v>0</v>
      </c>
      <c r="CD189" s="518">
        <v>0</v>
      </c>
      <c r="CE189" s="518">
        <v>2042</v>
      </c>
      <c r="CF189" s="518">
        <v>0</v>
      </c>
      <c r="CG189" s="534">
        <v>2042</v>
      </c>
      <c r="CH189" s="507"/>
      <c r="CI189" s="495"/>
      <c r="CJ189" s="495"/>
      <c r="CK189" s="495"/>
      <c r="CL189" s="495"/>
      <c r="CM189" s="499">
        <f>SUM(CI189:CL189)</f>
        <v>0</v>
      </c>
      <c r="CN189" s="507"/>
      <c r="CO189" s="495"/>
      <c r="CP189" s="495"/>
      <c r="CQ189" s="495"/>
      <c r="CR189" s="495"/>
      <c r="CS189" s="499">
        <f>SUM(CO189:CR189)</f>
        <v>0</v>
      </c>
      <c r="CT189" s="507"/>
      <c r="CU189" s="495"/>
      <c r="CV189" s="495"/>
      <c r="CW189" s="495"/>
      <c r="CX189" s="495"/>
      <c r="CY189" s="499">
        <f>SUM(CU189:CX189)</f>
        <v>0</v>
      </c>
      <c r="CZ189" s="507"/>
      <c r="DA189" s="495"/>
      <c r="DB189" s="495"/>
      <c r="DC189" s="495"/>
      <c r="DD189" s="495"/>
      <c r="DE189" s="499">
        <f>SUM(DA189:DD189)</f>
        <v>0</v>
      </c>
      <c r="DF189" s="507"/>
      <c r="DG189" s="495"/>
      <c r="DH189" s="495"/>
      <c r="DI189" s="495"/>
      <c r="DJ189" s="495"/>
      <c r="DK189" s="499">
        <f>SUM(DG189:DJ189)</f>
        <v>0</v>
      </c>
      <c r="DL189" s="507"/>
      <c r="DM189" s="495"/>
      <c r="DN189" s="495"/>
      <c r="DO189" s="495"/>
      <c r="DP189" s="495"/>
      <c r="DQ189" s="499">
        <f>SUM(DM189:DP189)</f>
        <v>0</v>
      </c>
      <c r="DR189" s="507"/>
      <c r="DS189" s="495"/>
      <c r="DT189" s="495"/>
      <c r="DU189" s="495"/>
      <c r="DV189" s="495"/>
      <c r="DW189" s="499">
        <f>SUM(DS189:DV189)</f>
        <v>0</v>
      </c>
      <c r="DX189" s="507"/>
      <c r="DY189" s="495"/>
      <c r="DZ189" s="495"/>
      <c r="EA189" s="495"/>
      <c r="EB189" s="495"/>
      <c r="EC189" s="499">
        <f>SUM(DY189:EB189)</f>
        <v>0</v>
      </c>
      <c r="ED189" s="507"/>
      <c r="EE189" s="495"/>
      <c r="EF189" s="495"/>
      <c r="EG189" s="495"/>
      <c r="EH189" s="495"/>
      <c r="EI189" s="499">
        <f>SUM(EE189:EH189)</f>
        <v>0</v>
      </c>
      <c r="EJ189" s="507"/>
      <c r="EK189" s="495"/>
      <c r="EL189" s="495"/>
      <c r="EM189" s="495"/>
      <c r="EN189" s="495"/>
      <c r="EO189" s="499">
        <f>SUM(EK189:EN189)</f>
        <v>0</v>
      </c>
      <c r="EP189" s="507"/>
      <c r="EQ189" s="495"/>
      <c r="ER189" s="495"/>
      <c r="ES189" s="495"/>
      <c r="ET189" s="495"/>
      <c r="EU189" s="499">
        <f>SUM(EQ189:ET189)</f>
        <v>0</v>
      </c>
      <c r="EV189" s="507"/>
      <c r="EW189" s="495"/>
      <c r="EX189" s="495"/>
      <c r="EY189" s="495"/>
      <c r="EZ189" s="495"/>
      <c r="FA189" s="499">
        <f>SUM(EW189:EZ189)</f>
        <v>0</v>
      </c>
      <c r="FB189" s="507"/>
      <c r="FC189" s="495"/>
      <c r="FD189" s="495"/>
      <c r="FE189" s="495"/>
      <c r="FF189" s="495"/>
      <c r="FG189" s="499">
        <f>SUM(FC189:FF189)</f>
        <v>0</v>
      </c>
      <c r="FH189" s="507"/>
      <c r="FI189" s="495"/>
      <c r="FJ189" s="495"/>
      <c r="FK189" s="495"/>
      <c r="FL189" s="495"/>
      <c r="FM189" s="499">
        <f>SUM(FI189:FL189)</f>
        <v>0</v>
      </c>
      <c r="FN189" s="135"/>
      <c r="FO189" s="135"/>
      <c r="FP189" s="135"/>
      <c r="FQ189" s="135"/>
      <c r="FR189"/>
      <c r="FS189"/>
      <c r="FT189"/>
      <c r="FU189"/>
      <c r="FV189"/>
      <c r="FW189"/>
      <c r="FX189" s="135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</row>
    <row r="190" spans="1:274" s="24" customFormat="1" ht="12.75" hidden="1" customHeight="1" outlineLevel="1" x14ac:dyDescent="0.2">
      <c r="A190" s="493" t="s">
        <v>239</v>
      </c>
      <c r="B190" s="20"/>
      <c r="C190" s="494"/>
      <c r="D190" s="494"/>
      <c r="E190" s="494"/>
      <c r="F190" s="494"/>
      <c r="G190" s="494"/>
      <c r="H190" s="494"/>
      <c r="I190" s="302"/>
      <c r="J190" s="302"/>
      <c r="K190" s="302"/>
      <c r="L190" s="302"/>
      <c r="M190" s="494"/>
      <c r="N190" s="494"/>
      <c r="O190" s="302"/>
      <c r="P190" s="302"/>
      <c r="Q190" s="302"/>
      <c r="R190" s="302"/>
      <c r="S190" s="494"/>
      <c r="T190" s="494"/>
      <c r="U190" s="302"/>
      <c r="V190" s="302"/>
      <c r="W190" s="302"/>
      <c r="X190" s="302"/>
      <c r="Y190" s="494"/>
      <c r="Z190" s="494"/>
      <c r="AA190" s="302"/>
      <c r="AB190" s="302"/>
      <c r="AC190" s="302"/>
      <c r="AD190" s="302"/>
      <c r="AE190" s="494"/>
      <c r="AF190" s="494"/>
      <c r="AG190" s="302"/>
      <c r="AH190" s="302"/>
      <c r="AI190" s="302"/>
      <c r="AJ190" s="302"/>
      <c r="AK190" s="509"/>
      <c r="AL190" s="494"/>
      <c r="AM190" s="302"/>
      <c r="AN190" s="302"/>
      <c r="AO190" s="302"/>
      <c r="AP190" s="302"/>
      <c r="AQ190" s="509"/>
      <c r="AR190" s="494"/>
      <c r="AS190" s="302"/>
      <c r="AT190" s="302"/>
      <c r="AU190" s="302"/>
      <c r="AV190" s="302"/>
      <c r="AW190" s="509"/>
      <c r="AX190" s="496"/>
      <c r="AY190" s="302"/>
      <c r="AZ190" s="302"/>
      <c r="BA190" s="302"/>
      <c r="BB190" s="302"/>
      <c r="BC190" s="495"/>
      <c r="BD190" s="494"/>
      <c r="BE190" s="507"/>
      <c r="BF190" s="507"/>
      <c r="BG190" s="507"/>
      <c r="BH190" s="507"/>
      <c r="BI190" s="495"/>
      <c r="BJ190" s="507"/>
      <c r="BK190" s="495"/>
      <c r="BL190" s="495"/>
      <c r="BM190" s="495"/>
      <c r="BN190" s="495"/>
      <c r="BO190" s="495"/>
      <c r="BP190" s="507"/>
      <c r="BQ190" s="495"/>
      <c r="BR190" s="495"/>
      <c r="BS190" s="495"/>
      <c r="BT190" s="495"/>
      <c r="BU190" s="495"/>
      <c r="BV190" s="507"/>
      <c r="BW190" s="495"/>
      <c r="BX190" s="495"/>
      <c r="BY190" s="495"/>
      <c r="BZ190" s="495"/>
      <c r="CA190" s="495"/>
      <c r="CB190" s="507"/>
      <c r="CC190" s="495"/>
      <c r="CD190" s="495"/>
      <c r="CE190" s="498">
        <v>141</v>
      </c>
      <c r="CF190" s="495"/>
      <c r="CG190" s="499"/>
      <c r="CH190" s="507"/>
      <c r="CI190" s="495"/>
      <c r="CJ190" s="495"/>
      <c r="CK190" s="495"/>
      <c r="CL190" s="495"/>
      <c r="CM190" s="499"/>
      <c r="CN190" s="507"/>
      <c r="CO190" s="495"/>
      <c r="CP190" s="495"/>
      <c r="CQ190" s="495"/>
      <c r="CR190" s="495"/>
      <c r="CS190" s="499"/>
      <c r="CT190" s="507"/>
      <c r="CU190" s="495"/>
      <c r="CV190" s="495"/>
      <c r="CW190" s="495"/>
      <c r="CX190" s="495"/>
      <c r="CY190" s="499"/>
      <c r="CZ190" s="507"/>
      <c r="DA190" s="495"/>
      <c r="DB190" s="495"/>
      <c r="DC190" s="495"/>
      <c r="DD190" s="495"/>
      <c r="DE190" s="499"/>
      <c r="DF190" s="507"/>
      <c r="DG190" s="495"/>
      <c r="DH190" s="495"/>
      <c r="DI190" s="495"/>
      <c r="DJ190" s="495"/>
      <c r="DK190" s="499"/>
      <c r="DL190" s="507"/>
      <c r="DM190" s="495"/>
      <c r="DN190" s="495"/>
      <c r="DO190" s="495"/>
      <c r="DP190" s="495"/>
      <c r="DQ190" s="499"/>
      <c r="DR190" s="507"/>
      <c r="DS190" s="495"/>
      <c r="DT190" s="495"/>
      <c r="DU190" s="495"/>
      <c r="DV190" s="495"/>
      <c r="DW190" s="499"/>
      <c r="DX190" s="507"/>
      <c r="DY190" s="495"/>
      <c r="DZ190" s="495"/>
      <c r="EA190" s="495"/>
      <c r="EB190" s="495"/>
      <c r="EC190" s="499"/>
      <c r="ED190" s="507"/>
      <c r="EE190" s="495"/>
      <c r="EF190" s="495"/>
      <c r="EG190" s="495"/>
      <c r="EH190" s="495"/>
      <c r="EI190" s="499"/>
      <c r="EJ190" s="507"/>
      <c r="EK190" s="495"/>
      <c r="EL190" s="495"/>
      <c r="EM190" s="495"/>
      <c r="EN190" s="495"/>
      <c r="EO190" s="499"/>
      <c r="EP190" s="507"/>
      <c r="EQ190" s="495"/>
      <c r="ER190" s="495"/>
      <c r="ES190" s="495"/>
      <c r="ET190" s="495"/>
      <c r="EU190" s="499"/>
      <c r="EV190" s="507"/>
      <c r="EW190" s="495"/>
      <c r="EX190" s="495"/>
      <c r="EY190" s="495"/>
      <c r="EZ190" s="495"/>
      <c r="FA190" s="499"/>
      <c r="FB190" s="507"/>
      <c r="FC190" s="495"/>
      <c r="FD190" s="495"/>
      <c r="FE190" s="495"/>
      <c r="FF190" s="495"/>
      <c r="FG190" s="499"/>
      <c r="FH190" s="507"/>
      <c r="FI190" s="495"/>
      <c r="FJ190" s="495"/>
      <c r="FK190" s="495"/>
      <c r="FL190" s="495"/>
      <c r="FM190" s="499"/>
      <c r="FN190" s="135"/>
      <c r="FO190" s="135"/>
      <c r="FP190" s="135"/>
      <c r="FQ190" s="135"/>
      <c r="FR190"/>
      <c r="FS190"/>
      <c r="FT190"/>
      <c r="FU190"/>
      <c r="FV190"/>
      <c r="FW190"/>
      <c r="FX190" s="135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</row>
    <row r="191" spans="1:274" s="24" customFormat="1" ht="12.75" hidden="1" customHeight="1" outlineLevel="1" thickBot="1" x14ac:dyDescent="0.25">
      <c r="A191" s="535"/>
      <c r="B191" s="20"/>
      <c r="C191" s="536"/>
      <c r="D191" s="536"/>
      <c r="E191" s="536"/>
      <c r="F191" s="536"/>
      <c r="G191" s="536"/>
      <c r="H191" s="536"/>
      <c r="I191" s="537"/>
      <c r="J191" s="537"/>
      <c r="K191" s="537"/>
      <c r="L191" s="537"/>
      <c r="M191" s="536"/>
      <c r="N191" s="536"/>
      <c r="O191" s="537"/>
      <c r="P191" s="537"/>
      <c r="Q191" s="537"/>
      <c r="R191" s="537"/>
      <c r="S191" s="536"/>
      <c r="T191" s="536"/>
      <c r="U191" s="537"/>
      <c r="V191" s="537"/>
      <c r="W191" s="537"/>
      <c r="X191" s="537"/>
      <c r="Y191" s="536"/>
      <c r="Z191" s="536"/>
      <c r="AA191" s="537"/>
      <c r="AB191" s="537"/>
      <c r="AC191" s="537"/>
      <c r="AD191" s="537"/>
      <c r="AE191" s="536"/>
      <c r="AF191" s="536"/>
      <c r="AG191" s="537"/>
      <c r="AH191" s="537"/>
      <c r="AI191" s="537"/>
      <c r="AJ191" s="537"/>
      <c r="AK191" s="538"/>
      <c r="AL191" s="536"/>
      <c r="AM191" s="537"/>
      <c r="AN191" s="537"/>
      <c r="AO191" s="537"/>
      <c r="AP191" s="537"/>
      <c r="AQ191" s="538"/>
      <c r="AR191" s="536"/>
      <c r="AS191" s="537"/>
      <c r="AT191" s="537"/>
      <c r="AU191" s="537"/>
      <c r="AV191" s="537"/>
      <c r="AW191" s="538"/>
      <c r="AX191" s="539"/>
      <c r="AY191" s="537"/>
      <c r="AZ191" s="537"/>
      <c r="BA191" s="537"/>
      <c r="BB191" s="537"/>
      <c r="BC191" s="538"/>
      <c r="BD191" s="536"/>
      <c r="BE191" s="540"/>
      <c r="BF191" s="540"/>
      <c r="BG191" s="540"/>
      <c r="BH191" s="540"/>
      <c r="BI191" s="538"/>
      <c r="BJ191" s="540"/>
      <c r="BK191" s="540"/>
      <c r="BL191" s="540"/>
      <c r="BM191" s="540"/>
      <c r="BN191" s="541"/>
      <c r="BO191" s="538"/>
      <c r="BP191" s="540"/>
      <c r="BQ191" s="540"/>
      <c r="BR191" s="540"/>
      <c r="BS191" s="540"/>
      <c r="BT191" s="541"/>
      <c r="BU191" s="538"/>
      <c r="BV191" s="540"/>
      <c r="BW191" s="540"/>
      <c r="BX191" s="540"/>
      <c r="BY191" s="540"/>
      <c r="BZ191" s="541"/>
      <c r="CA191" s="538"/>
      <c r="CB191" s="540"/>
      <c r="CC191" s="540"/>
      <c r="CD191" s="540"/>
      <c r="CE191" s="540"/>
      <c r="CF191" s="541"/>
      <c r="CG191" s="542"/>
      <c r="CH191" s="540"/>
      <c r="CI191" s="540"/>
      <c r="CJ191" s="540"/>
      <c r="CK191" s="540"/>
      <c r="CL191" s="541"/>
      <c r="CM191" s="542"/>
      <c r="CN191" s="540"/>
      <c r="CO191" s="540"/>
      <c r="CP191" s="540"/>
      <c r="CQ191" s="540"/>
      <c r="CR191" s="541"/>
      <c r="CS191" s="542"/>
      <c r="CT191" s="540"/>
      <c r="CU191" s="540"/>
      <c r="CV191" s="540"/>
      <c r="CW191" s="540"/>
      <c r="CX191" s="541"/>
      <c r="CY191" s="542"/>
      <c r="CZ191" s="540"/>
      <c r="DA191" s="540"/>
      <c r="DB191" s="540"/>
      <c r="DC191" s="540"/>
      <c r="DD191" s="541"/>
      <c r="DE191" s="542"/>
      <c r="DF191" s="540"/>
      <c r="DG191" s="540"/>
      <c r="DH191" s="540"/>
      <c r="DI191" s="540"/>
      <c r="DJ191" s="541"/>
      <c r="DK191" s="542"/>
      <c r="DL191" s="540"/>
      <c r="DM191" s="540"/>
      <c r="DN191" s="540"/>
      <c r="DO191" s="540"/>
      <c r="DP191" s="541"/>
      <c r="DQ191" s="542"/>
      <c r="DR191" s="540"/>
      <c r="DS191" s="540"/>
      <c r="DT191" s="540"/>
      <c r="DU191" s="540"/>
      <c r="DV191" s="541"/>
      <c r="DW191" s="542"/>
      <c r="DX191" s="540"/>
      <c r="DY191" s="540"/>
      <c r="DZ191" s="540"/>
      <c r="EA191" s="540"/>
      <c r="EB191" s="541"/>
      <c r="EC191" s="542"/>
      <c r="ED191" s="540"/>
      <c r="EE191" s="540"/>
      <c r="EF191" s="540"/>
      <c r="EG191" s="540"/>
      <c r="EH191" s="540"/>
      <c r="EI191" s="542"/>
      <c r="EJ191" s="540"/>
      <c r="EK191" s="540"/>
      <c r="EL191" s="540"/>
      <c r="EM191" s="540"/>
      <c r="EN191" s="540"/>
      <c r="EO191" s="542"/>
      <c r="EP191" s="540"/>
      <c r="EQ191" s="540"/>
      <c r="ER191" s="540"/>
      <c r="ES191" s="540"/>
      <c r="ET191" s="540"/>
      <c r="EU191" s="542"/>
      <c r="EV191" s="540"/>
      <c r="EW191" s="540"/>
      <c r="EX191" s="540"/>
      <c r="EY191" s="540"/>
      <c r="EZ191" s="541"/>
      <c r="FA191" s="542"/>
      <c r="FB191" s="540"/>
      <c r="FC191" s="540"/>
      <c r="FD191" s="540"/>
      <c r="FE191" s="540"/>
      <c r="FF191" s="541"/>
      <c r="FG191" s="542"/>
      <c r="FH191" s="540"/>
      <c r="FI191" s="540"/>
      <c r="FJ191" s="540"/>
      <c r="FK191" s="540"/>
      <c r="FL191" s="541"/>
      <c r="FM191" s="542"/>
      <c r="FN191" s="135"/>
      <c r="FO191" s="135"/>
      <c r="FP191" s="135"/>
      <c r="FQ191" s="135"/>
      <c r="FR191"/>
      <c r="FS191"/>
      <c r="FT191"/>
      <c r="FU191"/>
      <c r="FV191"/>
      <c r="FW191"/>
      <c r="FX191" s="135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</row>
    <row r="192" spans="1:274" s="24" customFormat="1" ht="12.75" hidden="1" customHeight="1" outlineLevel="1" thickTop="1" x14ac:dyDescent="0.2">
      <c r="A192" s="493" t="s">
        <v>240</v>
      </c>
      <c r="B192" s="20"/>
      <c r="C192" s="494"/>
      <c r="D192" s="494"/>
      <c r="E192" s="494"/>
      <c r="F192" s="494"/>
      <c r="G192" s="494"/>
      <c r="H192" s="494"/>
      <c r="I192" s="302"/>
      <c r="J192" s="302"/>
      <c r="K192" s="302"/>
      <c r="L192" s="302"/>
      <c r="M192" s="494"/>
      <c r="N192" s="494"/>
      <c r="O192" s="302"/>
      <c r="P192" s="302"/>
      <c r="Q192" s="302"/>
      <c r="R192" s="302"/>
      <c r="S192" s="494"/>
      <c r="T192" s="494"/>
      <c r="U192" s="302"/>
      <c r="V192" s="302"/>
      <c r="W192" s="302"/>
      <c r="X192" s="302"/>
      <c r="Y192" s="494"/>
      <c r="Z192" s="494"/>
      <c r="AA192" s="302"/>
      <c r="AB192" s="302"/>
      <c r="AC192" s="302"/>
      <c r="AD192" s="302"/>
      <c r="AE192" s="494"/>
      <c r="AF192" s="494"/>
      <c r="AG192" s="302"/>
      <c r="AH192" s="302"/>
      <c r="AI192" s="302"/>
      <c r="AJ192" s="302"/>
      <c r="AK192" s="500"/>
      <c r="AL192" s="494"/>
      <c r="AM192" s="302"/>
      <c r="AN192" s="302"/>
      <c r="AO192" s="302"/>
      <c r="AP192" s="302"/>
      <c r="AQ192" s="500"/>
      <c r="AR192" s="494"/>
      <c r="AS192" s="302"/>
      <c r="AT192" s="302"/>
      <c r="AU192" s="302"/>
      <c r="AV192" s="302"/>
      <c r="AW192" s="500"/>
      <c r="AX192" s="496"/>
      <c r="AY192" s="302"/>
      <c r="AZ192" s="302"/>
      <c r="BA192" s="302"/>
      <c r="BB192" s="302"/>
      <c r="BC192" s="500">
        <f>SUM(BC173,BC178,BC183,BC189)</f>
        <v>1708</v>
      </c>
      <c r="BD192" s="494"/>
      <c r="BE192" s="495">
        <f>SUM(BE173,BE178,BE183,BE189)</f>
        <v>13.899000000000342</v>
      </c>
      <c r="BF192" s="495">
        <f>SUM(BF173,BF178,BF183,BF189)</f>
        <v>111.98299999999927</v>
      </c>
      <c r="BG192" s="495">
        <f>SUM(BG173,BG178,BG183,BG189)</f>
        <v>25.916000000000167</v>
      </c>
      <c r="BH192" s="495">
        <f>SUM(BH173,BH178,BH183,BH189)</f>
        <v>56.202000000000226</v>
      </c>
      <c r="BI192" s="500">
        <f>SUM(BI173,BI178,BI183,BI189)</f>
        <v>208</v>
      </c>
      <c r="BJ192" s="507"/>
      <c r="BK192" s="495">
        <f>SUM(BK173,BK178,BK183,BK189)</f>
        <v>-47</v>
      </c>
      <c r="BL192" s="495">
        <f>SUM(BL173,BL178,BL183,BL189)</f>
        <v>-140</v>
      </c>
      <c r="BM192" s="495">
        <f>SUM(BM173,BM178,BM183,BM189)</f>
        <v>79</v>
      </c>
      <c r="BN192" s="495">
        <f>SUM(BN173,BN178,BN183,BN189)</f>
        <v>180</v>
      </c>
      <c r="BO192" s="500">
        <f>SUM(BO173,BO178,BO183,BO189)</f>
        <v>72</v>
      </c>
      <c r="BP192" s="507"/>
      <c r="BQ192" s="495">
        <f>SUM(BQ173,BQ178,BQ183,BQ189)</f>
        <v>45</v>
      </c>
      <c r="BR192" s="495">
        <f>SUM(BR173,BR178,BR183,BR189)</f>
        <v>134</v>
      </c>
      <c r="BS192" s="495">
        <f>SUM(BS173,BS178,BS183,BS189)</f>
        <v>49</v>
      </c>
      <c r="BT192" s="500">
        <f>SUM(BT173,BT178,BT183,BT189)</f>
        <v>127.00000000000003</v>
      </c>
      <c r="BU192" s="500">
        <f>SUM(BU173,BU178,BU183,BU189)</f>
        <v>355</v>
      </c>
      <c r="BV192" s="507"/>
      <c r="BW192" s="495">
        <f>SUM(BW173,BW178,BW183,BW189)</f>
        <v>4</v>
      </c>
      <c r="BX192" s="495">
        <f>SUM(BX173,BX178,BX183,BX189)</f>
        <v>118</v>
      </c>
      <c r="BY192" s="495">
        <f>SUM(BY173,BY178,BY183,BY189)</f>
        <v>794</v>
      </c>
      <c r="BZ192" s="500">
        <f>SUM(BZ173,BZ178,BZ183,BZ189)</f>
        <v>224</v>
      </c>
      <c r="CA192" s="500">
        <f>SUM(CA173,CA178,CA183,CA189)</f>
        <v>1140</v>
      </c>
      <c r="CB192" s="507"/>
      <c r="CC192" s="518">
        <f>SUM(CC173,CC178,CC183,CC189)</f>
        <v>196</v>
      </c>
      <c r="CD192" s="518">
        <f>SUM(CD173,CD178,CD183,CD189)</f>
        <v>95</v>
      </c>
      <c r="CE192" s="518">
        <f>SUM(CE173,CE178,CE183,CE189)</f>
        <v>2151</v>
      </c>
      <c r="CF192" s="502">
        <f>SUM(CF173,CF178,CF183,CF189)</f>
        <v>207.99999999999994</v>
      </c>
      <c r="CG192" s="503">
        <f>SUM(CG173,CG178,CG183,CG189)</f>
        <v>2650</v>
      </c>
      <c r="CH192" s="507"/>
      <c r="CI192" s="518">
        <f>SUM(CI173,CI178,CI183,CI189,CI180)</f>
        <v>116</v>
      </c>
      <c r="CJ192" s="518">
        <f>SUM(CJ173,CJ178,CJ183,CJ189,CJ180)</f>
        <v>512</v>
      </c>
      <c r="CK192" s="518">
        <f>SUM(CK173,CK178,CK183,CK189,CK180)</f>
        <v>166.14999999999998</v>
      </c>
      <c r="CL192" s="518">
        <f>SUM(CL173,CL178,CL183,CL189,CL180)</f>
        <v>289</v>
      </c>
      <c r="CM192" s="534">
        <f>SUM(CM173,CM178,CM183,CM189,CM180)</f>
        <v>1083.1500000000001</v>
      </c>
      <c r="CN192" s="507"/>
      <c r="CO192" s="518">
        <f>SUM(CO173,CO178,CO183,CO189,CO180)</f>
        <v>466</v>
      </c>
      <c r="CP192" s="518">
        <f>SUM(CP173,CP178,CP183,CP189,CP180)</f>
        <v>497</v>
      </c>
      <c r="CQ192" s="518">
        <f>SUM(CQ173,CQ178,CQ183,CQ189,CQ180)</f>
        <v>591</v>
      </c>
      <c r="CR192" s="518">
        <f>SUM(CR173,CR178,CR183,CR189,CR180)</f>
        <v>389</v>
      </c>
      <c r="CS192" s="534">
        <f>SUM(CS173,CS178,CS183,CS189,CS180)</f>
        <v>1943</v>
      </c>
      <c r="CT192" s="518"/>
      <c r="CU192" s="518">
        <f>SUM(CU173,CU178,CU183,CU189,CU180)</f>
        <v>513.31831676251204</v>
      </c>
      <c r="CV192" s="518">
        <f>SUM(CV173,CV178,CV183,CV189,CV180)</f>
        <v>-618.16217828221124</v>
      </c>
      <c r="CW192" s="518">
        <f>SUM(CW173,CW178,CW183,CW189,CW180)</f>
        <v>626.8438615196992</v>
      </c>
      <c r="CX192" s="518">
        <f>SUM(CX173,CX178,CX183,CX189,CX180)</f>
        <v>222</v>
      </c>
      <c r="CY192" s="534">
        <f>SUM(CY173,CY178,CY183,CY189,CY180)</f>
        <v>744</v>
      </c>
      <c r="CZ192" s="518"/>
      <c r="DA192" s="518">
        <f>SUM(DA173,DA178,DA183,DA189,DA180)</f>
        <v>339</v>
      </c>
      <c r="DB192" s="518">
        <f>SUM(DB173,DB178,DB183,DB189,DB180)</f>
        <v>210</v>
      </c>
      <c r="DC192" s="518">
        <f>SUM(DC173,DC178,DC183,DC189,DC180)</f>
        <v>444</v>
      </c>
      <c r="DD192" s="518">
        <f>SUM(DD173,DD178,DD183,DD189,DD180)</f>
        <v>675</v>
      </c>
      <c r="DE192" s="534">
        <f>SUM(DE173,DE178,DE183,DE189,DE180)</f>
        <v>1668.0000000000002</v>
      </c>
      <c r="DF192" s="518"/>
      <c r="DG192" s="518">
        <f>SUM(DG173,DG178,DG183,DG189,DG180)</f>
        <v>275</v>
      </c>
      <c r="DH192" s="518">
        <f>SUM(DH173,DH178,DH183,DH189,DH180)</f>
        <v>740</v>
      </c>
      <c r="DI192" s="518">
        <f>SUM(DI173,DI178,DI183,DI189,DI180)</f>
        <v>468</v>
      </c>
      <c r="DJ192" s="518">
        <f>SUM(DJ173,DJ178,DJ183,DJ189,DJ180)</f>
        <v>649</v>
      </c>
      <c r="DK192" s="534">
        <f>SUM(DK173,DK178,DK183,DK189,DK180)</f>
        <v>2005</v>
      </c>
      <c r="DL192" s="518"/>
      <c r="DM192" s="518">
        <f>SUM(DM173,DM178,DM183,DM189,DM180)</f>
        <v>262</v>
      </c>
      <c r="DN192" s="518">
        <f>SUM(DN173,DN178,DN183,DN189,DN180)</f>
        <v>330</v>
      </c>
      <c r="DO192" s="518">
        <f>SUM(DO173,DO178,DO183,DO189,DO180)</f>
        <v>96</v>
      </c>
      <c r="DP192" s="518">
        <f>SUM(DP173,DP178,DP183,DP189,DP180)</f>
        <v>148</v>
      </c>
      <c r="DQ192" s="534">
        <f>SUM(DQ173,DQ178,DQ183,DQ189,DQ180)</f>
        <v>836</v>
      </c>
      <c r="DR192" s="518"/>
      <c r="DS192" s="518">
        <f>SUM(DS173,DS178,DS183,DS189,DS180)</f>
        <v>412</v>
      </c>
      <c r="DT192" s="518">
        <f>SUM(DT173,DT178,DT183,DT189,DT180)</f>
        <v>114</v>
      </c>
      <c r="DU192" s="518">
        <f>SUM(DU173,DU178,DU183,DU189,DU180)</f>
        <v>630</v>
      </c>
      <c r="DV192" s="518">
        <f>SUM(DV173,DV178,DV183,DV189,DV180)</f>
        <v>248</v>
      </c>
      <c r="DW192" s="534">
        <f>SUM(DW173,DW178,DW183,DW189,DW180)</f>
        <v>1403.9999999999998</v>
      </c>
      <c r="DX192" s="518"/>
      <c r="DY192" s="518">
        <f>SUM(DY173,DY178,DY183,DY189,DY180)</f>
        <v>162</v>
      </c>
      <c r="DZ192" s="518">
        <f>SUM(DZ173,DZ178,DZ183,DZ189,DZ180)</f>
        <v>348</v>
      </c>
      <c r="EA192" s="518">
        <f>SUM(EA173,EA178,EA183,EA189,EA180)</f>
        <v>933</v>
      </c>
      <c r="EB192" s="518">
        <f>SUM(EB173,EB178,EB183,EB189,EB180)</f>
        <v>741</v>
      </c>
      <c r="EC192" s="534">
        <f>SUM(EC173,EC178,EC183,EC189,EC180)</f>
        <v>2183.9999999999995</v>
      </c>
      <c r="ED192" s="518"/>
      <c r="EE192" s="518">
        <f>SUM(EE173,EE178,EE183,EE189,EE180)</f>
        <v>632</v>
      </c>
      <c r="EF192" s="518">
        <f>SUM(EF173,EF178,EF183,EF189,EF180)</f>
        <v>330</v>
      </c>
      <c r="EG192" s="518">
        <f>SUM(EG173,EG178,EG183,EG189,EG180)</f>
        <v>655</v>
      </c>
      <c r="EH192" s="518">
        <f>SUM(EH173,EH178,EH183,EH189,EH180)</f>
        <v>462</v>
      </c>
      <c r="EI192" s="534">
        <f>SUM(EI173,EI178,EI183,EI189,EI180)</f>
        <v>2079</v>
      </c>
      <c r="EJ192" s="518"/>
      <c r="EK192" s="518">
        <f>SUM(EK173,EK178,EK183,EK189,EK180)</f>
        <v>116</v>
      </c>
      <c r="EL192" s="518">
        <f>SUM(EL173,EL178,EL183,EL189,EL180)</f>
        <v>154</v>
      </c>
      <c r="EM192" s="518">
        <f>SUM(EM173,EM178,EM183,EM189,EM180)</f>
        <v>100</v>
      </c>
      <c r="EN192" s="518">
        <f>SUM(EN173,EN178,EN183,EN189,EN180)</f>
        <v>691</v>
      </c>
      <c r="EO192" s="534">
        <f>SUM(EO173,EO178,EO183,EO189,EO180)</f>
        <v>1061</v>
      </c>
      <c r="EP192" s="518"/>
      <c r="EQ192" s="518">
        <f>SUM(EQ173,EQ178,EQ183,EQ189,EQ180)</f>
        <v>371</v>
      </c>
      <c r="ER192" s="518">
        <f>SUM(ER173,ER178,ER183,ER189,ER180)</f>
        <v>571</v>
      </c>
      <c r="ES192" s="518">
        <f>SUM(ES173,ES178,ES183,ES189,ES180)</f>
        <v>811</v>
      </c>
      <c r="ET192" s="518">
        <f>SUM(ET173,ET178,ET183,ET189,ET180)</f>
        <v>1095</v>
      </c>
      <c r="EU192" s="534">
        <f>SUM(EU173,EU178,EU183,EU189,EU180)</f>
        <v>2848.0000000000005</v>
      </c>
      <c r="EV192" s="518"/>
      <c r="EW192" s="518">
        <f>SUM(EW173,EW178,EW183,EW189,EW180)</f>
        <v>1024</v>
      </c>
      <c r="EX192" s="518">
        <f>SUM(EX173,EX178,EX183,EX189,EX180)</f>
        <v>385</v>
      </c>
      <c r="EY192" s="518">
        <f>SUM(EY173,EY178,EY183,EY189,EY180)</f>
        <v>-10061.84</v>
      </c>
      <c r="EZ192" s="518">
        <f>SUM(EZ173,EZ178,EZ183,EZ189,EZ180)</f>
        <v>96.042126727359516</v>
      </c>
      <c r="FA192" s="534">
        <f>SUM(FA173,FA178,FA183,FA189,FA180)</f>
        <v>-8556.7978732726406</v>
      </c>
      <c r="FB192" s="518"/>
      <c r="FC192" s="518">
        <f>SUM(FC173,FC178,FC183,FC189,FC180)</f>
        <v>1757.5965255322444</v>
      </c>
      <c r="FD192" s="518">
        <f>SUM(FD173,FD178,FD183,FD189,FD180)</f>
        <v>1757.5965255322444</v>
      </c>
      <c r="FE192" s="518">
        <f>SUM(FE173,FE178,FE183,FE189,FE180)</f>
        <v>1757.5965255322446</v>
      </c>
      <c r="FF192" s="518">
        <f>SUM(FF173,FF178,FF183,FF189,FF180)</f>
        <v>1757.5965255322444</v>
      </c>
      <c r="FG192" s="534">
        <f>SUM(FG173,FG178,FG183,FG189,FG180)</f>
        <v>7030.3861021289777</v>
      </c>
      <c r="FH192" s="518"/>
      <c r="FI192" s="518">
        <f>SUM(FI173,FI178,FI183,FI189,FI180)</f>
        <v>1985.6709457831864</v>
      </c>
      <c r="FJ192" s="518">
        <f>SUM(FJ173,FJ178,FJ183,FJ189,FJ180)</f>
        <v>1985.6709457831864</v>
      </c>
      <c r="FK192" s="518">
        <f>SUM(FK173,FK178,FK183,FK189,FK180)</f>
        <v>1985.6709457831867</v>
      </c>
      <c r="FL192" s="518">
        <f>SUM(FL173,FL178,FL183,FL189,FL180)</f>
        <v>1985.6709457831871</v>
      </c>
      <c r="FM192" s="534">
        <f>SUM(FM173,FM178,FM183,FM189,FM180)</f>
        <v>7942.6837831327457</v>
      </c>
      <c r="FN192" s="135"/>
      <c r="FO192" s="135"/>
      <c r="FP192" s="135"/>
      <c r="FQ192" s="135"/>
      <c r="FR192"/>
      <c r="FS192"/>
      <c r="FT192"/>
      <c r="FU192"/>
      <c r="FV192"/>
      <c r="FW192"/>
      <c r="FX192" s="135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</row>
    <row r="193" spans="1:274" s="24" customFormat="1" ht="12.75" hidden="1" customHeight="1" outlineLevel="1" x14ac:dyDescent="0.2">
      <c r="A193" s="493" t="s">
        <v>994</v>
      </c>
      <c r="B193" s="20"/>
      <c r="C193" s="494"/>
      <c r="D193" s="494"/>
      <c r="E193" s="494"/>
      <c r="F193" s="494"/>
      <c r="G193" s="494"/>
      <c r="H193" s="494"/>
      <c r="I193" s="302"/>
      <c r="J193" s="302"/>
      <c r="K193" s="302"/>
      <c r="L193" s="302"/>
      <c r="M193" s="494"/>
      <c r="N193" s="494"/>
      <c r="O193" s="302"/>
      <c r="P193" s="302"/>
      <c r="Q193" s="302"/>
      <c r="R193" s="302"/>
      <c r="S193" s="494"/>
      <c r="T193" s="494"/>
      <c r="U193" s="302"/>
      <c r="V193" s="302"/>
      <c r="W193" s="302"/>
      <c r="X193" s="302"/>
      <c r="Y193" s="494"/>
      <c r="Z193" s="494"/>
      <c r="AA193" s="302"/>
      <c r="AB193" s="302"/>
      <c r="AC193" s="302"/>
      <c r="AD193" s="302"/>
      <c r="AE193" s="494"/>
      <c r="AF193" s="494"/>
      <c r="AG193" s="302"/>
      <c r="AH193" s="302"/>
      <c r="AI193" s="302"/>
      <c r="AJ193" s="302"/>
      <c r="AK193" s="505"/>
      <c r="AL193" s="494"/>
      <c r="AM193" s="302"/>
      <c r="AN193" s="302"/>
      <c r="AO193" s="302"/>
      <c r="AP193" s="302"/>
      <c r="AQ193" s="505"/>
      <c r="AR193" s="494"/>
      <c r="AS193" s="302"/>
      <c r="AT193" s="302"/>
      <c r="AU193" s="302"/>
      <c r="AV193" s="302"/>
      <c r="AW193" s="505"/>
      <c r="AX193" s="496"/>
      <c r="AY193" s="302"/>
      <c r="AZ193" s="302"/>
      <c r="BA193" s="302"/>
      <c r="BB193" s="302"/>
      <c r="BC193" s="302">
        <f>BC174+BC186</f>
        <v>-23</v>
      </c>
      <c r="BD193" s="494"/>
      <c r="BE193" s="876">
        <f>Model!BE226-Model!BB226</f>
        <v>-33.443382999999812</v>
      </c>
      <c r="BF193" s="876">
        <f>Model!BF226-Model!BE226</f>
        <v>-62.862708000000566</v>
      </c>
      <c r="BG193" s="876">
        <f>Model!BG226-Model!BF226</f>
        <v>-5.7141739999997299</v>
      </c>
      <c r="BH193" s="876">
        <f>Model!BH226-Model!BG226</f>
        <v>-59.340557999999874</v>
      </c>
      <c r="BI193" s="876">
        <f>Model!BI226-Model!BC226</f>
        <v>-161.36082299999998</v>
      </c>
      <c r="BJ193" s="1107"/>
      <c r="BK193" s="876">
        <f>Model!BK226-Model!BH226</f>
        <v>-75</v>
      </c>
      <c r="BL193" s="876">
        <f>Model!BL226-Model!BK226</f>
        <v>-87</v>
      </c>
      <c r="BM193" s="876">
        <f>Model!BM226-Model!BL226</f>
        <v>-27</v>
      </c>
      <c r="BN193" s="876">
        <f>Model!BN226-Model!BM226</f>
        <v>-9</v>
      </c>
      <c r="BO193" s="876">
        <f>Model!BO226-Model!BI226</f>
        <v>-198</v>
      </c>
      <c r="BP193" s="1107"/>
      <c r="BQ193" s="876">
        <f>Model!BQ226-Model!BN226</f>
        <v>-9</v>
      </c>
      <c r="BR193" s="876">
        <f>Model!BR226-Model!BQ226</f>
        <v>2</v>
      </c>
      <c r="BS193" s="876">
        <f>Model!BS226-Model!BR226</f>
        <v>-31</v>
      </c>
      <c r="BT193" s="876">
        <f>Model!BT226-Model!BS226</f>
        <v>-24</v>
      </c>
      <c r="BU193" s="876">
        <f>Model!BU226-Model!BO226</f>
        <v>-62</v>
      </c>
      <c r="BV193" s="1107"/>
      <c r="BW193" s="876">
        <f>Model!BW226-Model!BT226</f>
        <v>-43</v>
      </c>
      <c r="BX193" s="876">
        <f>Model!BX226-Model!BW226</f>
        <v>-24</v>
      </c>
      <c r="BY193" s="876">
        <f>Model!BY226-Model!BX226</f>
        <v>32</v>
      </c>
      <c r="BZ193" s="876">
        <f>Model!BZ226-Model!BY226</f>
        <v>9</v>
      </c>
      <c r="CA193" s="876">
        <f>Model!CA226-Model!BU226</f>
        <v>-26</v>
      </c>
      <c r="CB193" s="1107"/>
      <c r="CC193" s="876">
        <f>Model!CC226-Model!BZ226</f>
        <v>4</v>
      </c>
      <c r="CD193" s="876">
        <f>Model!CD226-Model!CC226</f>
        <v>5</v>
      </c>
      <c r="CE193" s="876">
        <f>Model!CE226-Model!CD226</f>
        <v>158</v>
      </c>
      <c r="CF193" s="876">
        <f>Model!CF226-Model!CE226</f>
        <v>-80</v>
      </c>
      <c r="CG193" s="1108">
        <f>Model!CG226-Model!CA226</f>
        <v>87</v>
      </c>
      <c r="CH193" s="1107"/>
      <c r="CI193" s="876">
        <f>Model!CI226-Model!CF226</f>
        <v>-47</v>
      </c>
      <c r="CJ193" s="876">
        <f>Model!CJ226-Model!CI226</f>
        <v>-7</v>
      </c>
      <c r="CK193" s="876">
        <f>Model!CK226-Model!CJ226</f>
        <v>-42</v>
      </c>
      <c r="CL193" s="876">
        <f>Model!CL226-Model!CK226</f>
        <v>-29</v>
      </c>
      <c r="CM193" s="1108">
        <f>Model!CM226-Model!CG226</f>
        <v>-125</v>
      </c>
      <c r="CN193" s="1107"/>
      <c r="CO193" s="876">
        <f>Model!CO226-Model!CL226</f>
        <v>10</v>
      </c>
      <c r="CP193" s="876">
        <f>Model!CP226-Model!CO226</f>
        <v>11</v>
      </c>
      <c r="CQ193" s="876">
        <f>Model!CQ226-Model!CP226</f>
        <v>21</v>
      </c>
      <c r="CR193" s="876">
        <f>Model!CR226-Model!CQ226</f>
        <v>1</v>
      </c>
      <c r="CS193" s="1108">
        <f>Model!CS226-Model!CM226</f>
        <v>43</v>
      </c>
      <c r="CT193" s="1109"/>
      <c r="CU193" s="876">
        <f>Model!CU226-Model!CR226</f>
        <v>-50</v>
      </c>
      <c r="CV193" s="876">
        <f>Model!CV226-Model!CU226</f>
        <v>-54</v>
      </c>
      <c r="CW193" s="876">
        <f>Model!CW226-Model!CV226</f>
        <v>-63</v>
      </c>
      <c r="CX193" s="876">
        <f>Model!CX226-Model!CW226</f>
        <v>22</v>
      </c>
      <c r="CY193" s="1108">
        <f>Model!CY226-Model!CS226</f>
        <v>-145</v>
      </c>
      <c r="CZ193" s="1109"/>
      <c r="DA193" s="876">
        <f>Model!DA226-Model!CX226</f>
        <v>7</v>
      </c>
      <c r="DB193" s="876">
        <f>Model!DB226-Model!DA226</f>
        <v>-3</v>
      </c>
      <c r="DC193" s="876">
        <f>Model!DC226-Model!DB226</f>
        <v>6</v>
      </c>
      <c r="DD193" s="876">
        <f>Model!DD226-Model!DC226</f>
        <v>11</v>
      </c>
      <c r="DE193" s="1108">
        <f>Model!DE226-Model!CY226</f>
        <v>21</v>
      </c>
      <c r="DF193" s="543"/>
      <c r="DG193" s="876">
        <f>Model!DG226-Model!DD226</f>
        <v>-1</v>
      </c>
      <c r="DH193" s="876">
        <f>Model!DH226-Model!DG226</f>
        <v>26</v>
      </c>
      <c r="DI193" s="876">
        <f>Model!DI226-Model!DH226</f>
        <v>10</v>
      </c>
      <c r="DJ193" s="876">
        <f>Model!DJ226-Model!DI226</f>
        <v>7</v>
      </c>
      <c r="DK193" s="1108">
        <f>Model!DK226-Model!DE226</f>
        <v>42</v>
      </c>
      <c r="DL193" s="543"/>
      <c r="DM193" s="876">
        <f>Model!DM226-Model!DJ226</f>
        <v>-17</v>
      </c>
      <c r="DN193" s="876">
        <f>Model!DN226-Model!DM226</f>
        <v>-19</v>
      </c>
      <c r="DO193" s="876">
        <f>Model!DO226-Model!DN226</f>
        <v>-53</v>
      </c>
      <c r="DP193" s="876">
        <f>Model!DP226-Model!DO226</f>
        <v>-74</v>
      </c>
      <c r="DQ193" s="1108">
        <f>DQ174+DQ186</f>
        <v>-163</v>
      </c>
      <c r="DR193" s="543"/>
      <c r="DS193" s="876">
        <f>Model!DS226-Model!DP226</f>
        <v>-74</v>
      </c>
      <c r="DT193" s="876">
        <f>Model!DT226-Model!DS226</f>
        <v>-83</v>
      </c>
      <c r="DU193" s="876">
        <f>Model!DU226-Model!DT226</f>
        <v>-29</v>
      </c>
      <c r="DV193" s="876">
        <f>Model!DV226-Model!DU226</f>
        <v>-84</v>
      </c>
      <c r="DW193" s="1108">
        <f>DW174+DW186</f>
        <v>-270</v>
      </c>
      <c r="DX193" s="543"/>
      <c r="DY193" s="876">
        <f>Model!DY226-Model!DV226</f>
        <v>-66</v>
      </c>
      <c r="DZ193" s="876">
        <f>Model!DZ226-Model!DY226</f>
        <v>-34</v>
      </c>
      <c r="EA193" s="876">
        <f>Model!EA226-Model!DZ226</f>
        <v>-52</v>
      </c>
      <c r="EB193" s="876">
        <f>Model!EB226-Model!EA226</f>
        <v>-19</v>
      </c>
      <c r="EC193" s="1108">
        <f>EC174+EC186</f>
        <v>-170.99999999999997</v>
      </c>
      <c r="ED193" s="543"/>
      <c r="EE193" s="876">
        <f>Model!EE226-Model!EB226</f>
        <v>-26</v>
      </c>
      <c r="EF193" s="876">
        <f>Model!EF226-Model!EE226</f>
        <v>-40</v>
      </c>
      <c r="EG193" s="876">
        <f>Model!EG226-Model!EF226</f>
        <v>-25</v>
      </c>
      <c r="EH193" s="876">
        <f>Model!EH226-Model!EG226</f>
        <v>-30</v>
      </c>
      <c r="EI193" s="1108">
        <f>EI174+EI186</f>
        <v>-121</v>
      </c>
      <c r="EJ193" s="543"/>
      <c r="EK193" s="876">
        <f>Model!EK226-Model!EH226</f>
        <v>-61</v>
      </c>
      <c r="EL193" s="876">
        <f>Model!EL226-Model!EK226</f>
        <v>-74</v>
      </c>
      <c r="EM193" s="876">
        <f>Model!EM226-Model!EL226</f>
        <v>-52</v>
      </c>
      <c r="EN193" s="876">
        <f>Model!EN226-Model!EM226</f>
        <v>-25</v>
      </c>
      <c r="EO193" s="1108">
        <f>EO174+EO186</f>
        <v>-212</v>
      </c>
      <c r="EP193" s="543"/>
      <c r="EQ193" s="876">
        <f>Model!EQ226-Model!EN226</f>
        <v>-25</v>
      </c>
      <c r="ER193" s="876">
        <f>Model!ER226-Model!EQ226</f>
        <v>-3</v>
      </c>
      <c r="ES193" s="876">
        <f>Model!ES226-Model!ER226</f>
        <v>12</v>
      </c>
      <c r="ET193" s="876">
        <f>Model!ET226-Model!ES226</f>
        <v>22</v>
      </c>
      <c r="EU193" s="1111">
        <f>EU174+EU186</f>
        <v>6</v>
      </c>
      <c r="EV193" s="543"/>
      <c r="EW193" s="876">
        <f>Model!EW226-Model!ET226</f>
        <v>34</v>
      </c>
      <c r="EX193" s="876">
        <f>Model!EX226-Model!EW226</f>
        <v>-28</v>
      </c>
      <c r="EY193" s="876">
        <f>Model!EY226-Model!EX226</f>
        <v>-33</v>
      </c>
      <c r="EZ193" s="1110">
        <f>EZ174+EZ186</f>
        <v>-60.423490275024228</v>
      </c>
      <c r="FA193" s="1111">
        <f>FA174+FA186</f>
        <v>-87.423490275024221</v>
      </c>
      <c r="FB193" s="543"/>
      <c r="FC193" s="1112">
        <f>FC174+FC186</f>
        <v>-31.971604766316201</v>
      </c>
      <c r="FD193" s="1112">
        <f>FD174+FD186</f>
        <v>-31.095623703546746</v>
      </c>
      <c r="FE193" s="1112">
        <f>FE174+FE186</f>
        <v>-30.232588173724622</v>
      </c>
      <c r="FF193" s="1110">
        <f>FF174+FF186</f>
        <v>-29.382306863555055</v>
      </c>
      <c r="FG193" s="1111">
        <f>FG174+FG186</f>
        <v>-122.68212350714261</v>
      </c>
      <c r="FH193" s="1112"/>
      <c r="FI193" s="1112">
        <f>FI174+FI186</f>
        <v>-27.354273513267795</v>
      </c>
      <c r="FJ193" s="1112">
        <f>FJ174+FJ186</f>
        <v>-26.528937969896607</v>
      </c>
      <c r="FK193" s="1112">
        <f>FK174+FK186</f>
        <v>-25.715799503521055</v>
      </c>
      <c r="FL193" s="1110">
        <f>FL174+FL186</f>
        <v>-24.914677861771739</v>
      </c>
      <c r="FM193" s="1111">
        <f>FM174+FM186</f>
        <v>-104.51368884845722</v>
      </c>
      <c r="FN193" s="135"/>
      <c r="FO193" s="135"/>
      <c r="FP193" s="135"/>
      <c r="FQ193" s="135"/>
      <c r="FR193"/>
      <c r="FS193"/>
      <c r="FT193"/>
      <c r="FU193"/>
      <c r="FV193"/>
      <c r="FW193"/>
      <c r="FX193" s="135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</row>
    <row r="194" spans="1:274" s="24" customFormat="1" ht="12.75" hidden="1" customHeight="1" outlineLevel="1" x14ac:dyDescent="0.2">
      <c r="A194" s="493"/>
      <c r="B194" s="20"/>
      <c r="C194" s="494"/>
      <c r="D194" s="494"/>
      <c r="E194" s="494"/>
      <c r="F194" s="494"/>
      <c r="G194" s="494"/>
      <c r="H194" s="494"/>
      <c r="I194" s="302"/>
      <c r="J194" s="302"/>
      <c r="K194" s="302"/>
      <c r="L194" s="302"/>
      <c r="M194" s="494"/>
      <c r="N194" s="494"/>
      <c r="O194" s="302"/>
      <c r="P194" s="302"/>
      <c r="Q194" s="302"/>
      <c r="R194" s="302"/>
      <c r="S194" s="494"/>
      <c r="T194" s="494"/>
      <c r="U194" s="302"/>
      <c r="V194" s="302"/>
      <c r="W194" s="302"/>
      <c r="X194" s="302"/>
      <c r="Y194" s="494"/>
      <c r="Z194" s="494"/>
      <c r="AA194" s="302"/>
      <c r="AB194" s="302"/>
      <c r="AC194" s="302"/>
      <c r="AD194" s="302"/>
      <c r="AE194" s="494"/>
      <c r="AF194" s="494"/>
      <c r="AG194" s="302"/>
      <c r="AH194" s="302"/>
      <c r="AI194" s="302"/>
      <c r="AJ194" s="302"/>
      <c r="AK194" s="505"/>
      <c r="AL194" s="494"/>
      <c r="AM194" s="302"/>
      <c r="AN194" s="302"/>
      <c r="AO194" s="302"/>
      <c r="AP194" s="302"/>
      <c r="AQ194" s="505"/>
      <c r="AR194" s="494"/>
      <c r="AS194" s="302"/>
      <c r="AT194" s="302"/>
      <c r="AU194" s="302"/>
      <c r="AV194" s="302"/>
      <c r="AW194" s="505"/>
      <c r="AX194" s="496"/>
      <c r="AY194" s="302"/>
      <c r="AZ194" s="302"/>
      <c r="BA194" s="302"/>
      <c r="BB194" s="302"/>
      <c r="BC194" s="302"/>
      <c r="BD194" s="494"/>
      <c r="BE194" s="876"/>
      <c r="BF194" s="876"/>
      <c r="BG194" s="876"/>
      <c r="BH194" s="876"/>
      <c r="BI194" s="876"/>
      <c r="BJ194" s="1107"/>
      <c r="BK194" s="876"/>
      <c r="BL194" s="876"/>
      <c r="BM194" s="876"/>
      <c r="BN194" s="876"/>
      <c r="BO194" s="876"/>
      <c r="BP194" s="1107"/>
      <c r="BQ194" s="876"/>
      <c r="BR194" s="876"/>
      <c r="BS194" s="876"/>
      <c r="BT194" s="876"/>
      <c r="BU194" s="876"/>
      <c r="BV194" s="1107"/>
      <c r="BW194" s="876"/>
      <c r="BX194" s="876"/>
      <c r="BY194" s="876"/>
      <c r="BZ194" s="876"/>
      <c r="CA194" s="876"/>
      <c r="CB194" s="1107"/>
      <c r="CC194" s="876"/>
      <c r="CD194" s="876"/>
      <c r="CE194" s="876"/>
      <c r="CF194" s="876"/>
      <c r="CG194" s="1108"/>
      <c r="CH194" s="1107"/>
      <c r="CI194" s="876"/>
      <c r="CJ194" s="876"/>
      <c r="CK194" s="876"/>
      <c r="CL194" s="876"/>
      <c r="CM194" s="1108"/>
      <c r="CN194" s="1107"/>
      <c r="CO194" s="876"/>
      <c r="CP194" s="876"/>
      <c r="CQ194" s="876"/>
      <c r="CR194" s="876"/>
      <c r="CS194" s="1108"/>
      <c r="CT194" s="1109"/>
      <c r="CU194" s="876"/>
      <c r="CV194" s="876"/>
      <c r="CW194" s="876"/>
      <c r="CX194" s="876"/>
      <c r="CY194" s="1108"/>
      <c r="CZ194" s="1109"/>
      <c r="DA194" s="876"/>
      <c r="DB194" s="876"/>
      <c r="DC194" s="876"/>
      <c r="DD194" s="302"/>
      <c r="DE194" s="304"/>
      <c r="DF194" s="543"/>
      <c r="DG194" s="543"/>
      <c r="DH194" s="543"/>
      <c r="DI194" s="876"/>
      <c r="DJ194" s="302"/>
      <c r="DK194" s="304"/>
      <c r="DL194" s="543"/>
      <c r="DM194" s="543"/>
      <c r="DN194" s="543"/>
      <c r="DO194" s="543"/>
      <c r="DP194" s="302"/>
      <c r="DQ194" s="304"/>
      <c r="DR194" s="543"/>
      <c r="DS194" s="543"/>
      <c r="DT194" s="543"/>
      <c r="DU194" s="543"/>
      <c r="DV194" s="302"/>
      <c r="DW194" s="304"/>
      <c r="DX194" s="543"/>
      <c r="DY194" s="543"/>
      <c r="DZ194" s="543"/>
      <c r="EA194" s="543"/>
      <c r="EB194" s="302"/>
      <c r="EC194" s="304"/>
      <c r="ED194" s="543"/>
      <c r="EE194" s="543"/>
      <c r="EF194" s="543"/>
      <c r="EG194" s="543"/>
      <c r="EH194" s="543"/>
      <c r="EI194" s="304"/>
      <c r="EJ194" s="543"/>
      <c r="EK194" s="543"/>
      <c r="EL194" s="543"/>
      <c r="EM194" s="543"/>
      <c r="EN194" s="543"/>
      <c r="EO194" s="304"/>
      <c r="EP194" s="543"/>
      <c r="EQ194" s="543"/>
      <c r="ER194" s="543"/>
      <c r="ES194" s="543"/>
      <c r="ET194" s="543"/>
      <c r="EU194" s="304"/>
      <c r="EV194" s="543"/>
      <c r="EW194" s="543"/>
      <c r="EX194" s="543"/>
      <c r="EY194" s="543"/>
      <c r="EZ194" s="302"/>
      <c r="FA194" s="304"/>
      <c r="FB194" s="543"/>
      <c r="FC194" s="543"/>
      <c r="FD194" s="543"/>
      <c r="FE194" s="543"/>
      <c r="FF194" s="302"/>
      <c r="FG194" s="304"/>
      <c r="FH194" s="543"/>
      <c r="FI194" s="543"/>
      <c r="FJ194" s="543"/>
      <c r="FK194" s="543"/>
      <c r="FL194" s="302"/>
      <c r="FM194" s="304"/>
      <c r="FN194" s="135"/>
      <c r="FO194" s="135"/>
      <c r="FP194" s="135"/>
      <c r="FQ194" s="135"/>
      <c r="FR194"/>
      <c r="FS194"/>
      <c r="FT194"/>
      <c r="FU194"/>
      <c r="FV194"/>
      <c r="FW194"/>
      <c r="FX194" s="135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</row>
    <row r="195" spans="1:274" s="24" customFormat="1" ht="12" hidden="1" customHeight="1" outlineLevel="1" x14ac:dyDescent="0.2">
      <c r="A195" s="513" t="s">
        <v>781</v>
      </c>
      <c r="B195" s="20"/>
      <c r="C195" s="494"/>
      <c r="D195" s="494"/>
      <c r="E195" s="494"/>
      <c r="F195" s="494"/>
      <c r="G195" s="494"/>
      <c r="H195" s="494"/>
      <c r="I195" s="302"/>
      <c r="J195" s="302"/>
      <c r="K195" s="302"/>
      <c r="L195" s="302"/>
      <c r="M195" s="494"/>
      <c r="N195" s="494"/>
      <c r="O195" s="302"/>
      <c r="P195" s="302"/>
      <c r="Q195" s="302"/>
      <c r="R195" s="302"/>
      <c r="S195" s="494"/>
      <c r="T195" s="494"/>
      <c r="U195" s="302"/>
      <c r="V195" s="302"/>
      <c r="W195" s="302"/>
      <c r="X195" s="302"/>
      <c r="Y195" s="494"/>
      <c r="Z195" s="494"/>
      <c r="AA195" s="302"/>
      <c r="AB195" s="302"/>
      <c r="AC195" s="302"/>
      <c r="AD195" s="302"/>
      <c r="AE195" s="494"/>
      <c r="AF195" s="494"/>
      <c r="AG195" s="302"/>
      <c r="AH195" s="302"/>
      <c r="AI195" s="302"/>
      <c r="AJ195" s="302"/>
      <c r="AK195" s="502"/>
      <c r="AL195" s="494"/>
      <c r="AM195" s="302"/>
      <c r="AN195" s="302"/>
      <c r="AO195" s="302"/>
      <c r="AP195" s="302"/>
      <c r="AQ195" s="502"/>
      <c r="AR195" s="494"/>
      <c r="AS195" s="302"/>
      <c r="AT195" s="302"/>
      <c r="AU195" s="302"/>
      <c r="AV195" s="505"/>
      <c r="AW195" s="502"/>
      <c r="AX195" s="496"/>
      <c r="AY195" s="302"/>
      <c r="AZ195" s="302"/>
      <c r="BA195" s="302"/>
      <c r="BB195" s="302"/>
      <c r="BC195" s="502">
        <f>AW37</f>
        <v>3113</v>
      </c>
      <c r="BD195" s="494"/>
      <c r="BE195" s="502">
        <f>BB37</f>
        <v>4821</v>
      </c>
      <c r="BF195" s="502">
        <f>BE37</f>
        <v>4834.8990000000003</v>
      </c>
      <c r="BG195" s="502">
        <f>BF37</f>
        <v>4946.8819999999996</v>
      </c>
      <c r="BH195" s="502">
        <f>BG37</f>
        <v>4972.7979999999998</v>
      </c>
      <c r="BI195" s="502">
        <f>BC37</f>
        <v>4821</v>
      </c>
      <c r="BJ195" s="507"/>
      <c r="BK195" s="502">
        <f>BH37</f>
        <v>5029</v>
      </c>
      <c r="BL195" s="502">
        <f>BK37</f>
        <v>4982</v>
      </c>
      <c r="BM195" s="502">
        <f>BL37</f>
        <v>4842</v>
      </c>
      <c r="BN195" s="502">
        <f>BM37</f>
        <v>4921</v>
      </c>
      <c r="BO195" s="502">
        <f>BI37</f>
        <v>5029</v>
      </c>
      <c r="BP195" s="507"/>
      <c r="BQ195" s="502">
        <f>BN37</f>
        <v>5101</v>
      </c>
      <c r="BR195" s="502">
        <f>BQ37</f>
        <v>5146</v>
      </c>
      <c r="BS195" s="502">
        <f>BR37</f>
        <v>5280</v>
      </c>
      <c r="BT195" s="502">
        <f>BS37</f>
        <v>5329</v>
      </c>
      <c r="BU195" s="502">
        <f>BO37</f>
        <v>5101</v>
      </c>
      <c r="BV195" s="507"/>
      <c r="BW195" s="502">
        <f>BT37</f>
        <v>5456</v>
      </c>
      <c r="BX195" s="502">
        <f>BW37</f>
        <v>5460</v>
      </c>
      <c r="BY195" s="502">
        <f>BX37</f>
        <v>5578</v>
      </c>
      <c r="BZ195" s="502">
        <f>BY37</f>
        <v>6372</v>
      </c>
      <c r="CA195" s="502">
        <f>BU37</f>
        <v>5456</v>
      </c>
      <c r="CB195" s="507"/>
      <c r="CC195" s="502">
        <f>BZ37</f>
        <v>6596</v>
      </c>
      <c r="CD195" s="502">
        <f>CC37</f>
        <v>6792</v>
      </c>
      <c r="CE195" s="502">
        <f>CD37</f>
        <v>6887</v>
      </c>
      <c r="CF195" s="502">
        <f>CE37</f>
        <v>9038</v>
      </c>
      <c r="CG195" s="503">
        <f>CA37</f>
        <v>6596</v>
      </c>
      <c r="CH195" s="507"/>
      <c r="CI195" s="502">
        <f>CF37</f>
        <v>9246</v>
      </c>
      <c r="CJ195" s="502">
        <f>CI37</f>
        <v>9362</v>
      </c>
      <c r="CK195" s="502">
        <f>CJ37</f>
        <v>9874</v>
      </c>
      <c r="CL195" s="502">
        <f>CK37</f>
        <v>10004</v>
      </c>
      <c r="CM195" s="503">
        <f>CG37</f>
        <v>9246</v>
      </c>
      <c r="CN195" s="507"/>
      <c r="CO195" s="502">
        <f>CL37</f>
        <v>10293</v>
      </c>
      <c r="CP195" s="502">
        <f>CO37</f>
        <v>10759</v>
      </c>
      <c r="CQ195" s="502">
        <f>CP37</f>
        <v>11256</v>
      </c>
      <c r="CR195" s="502">
        <f>CQ37</f>
        <v>11847</v>
      </c>
      <c r="CS195" s="503">
        <f>CM37</f>
        <v>10293</v>
      </c>
      <c r="CT195" s="507"/>
      <c r="CU195" s="502">
        <f>CR37</f>
        <v>12236</v>
      </c>
      <c r="CV195" s="502">
        <f>CU37</f>
        <v>12749.318316762512</v>
      </c>
      <c r="CW195" s="502">
        <f>CV37</f>
        <v>12131.156138480301</v>
      </c>
      <c r="CX195" s="502">
        <f>CW37</f>
        <v>12758</v>
      </c>
      <c r="CY195" s="503">
        <f>CS37</f>
        <v>12236</v>
      </c>
      <c r="CZ195" s="507"/>
      <c r="DA195" s="502">
        <f>CX37</f>
        <v>12980</v>
      </c>
      <c r="DB195" s="502">
        <f>DA37</f>
        <v>13319</v>
      </c>
      <c r="DC195" s="502">
        <f>DB37</f>
        <v>13529</v>
      </c>
      <c r="DD195" s="502">
        <f>DC37</f>
        <v>13973</v>
      </c>
      <c r="DE195" s="503">
        <f>CY37</f>
        <v>12980</v>
      </c>
      <c r="DF195" s="507"/>
      <c r="DG195" s="502">
        <f>DD37</f>
        <v>14648</v>
      </c>
      <c r="DH195" s="502">
        <f>DG37</f>
        <v>14923</v>
      </c>
      <c r="DI195" s="502">
        <f>DH37</f>
        <v>15663</v>
      </c>
      <c r="DJ195" s="502">
        <f>DI37</f>
        <v>16131</v>
      </c>
      <c r="DK195" s="503">
        <f>DE37</f>
        <v>14648</v>
      </c>
      <c r="DL195" s="507"/>
      <c r="DM195" s="502">
        <f>DJ37</f>
        <v>16653</v>
      </c>
      <c r="DN195" s="502">
        <f>DK37</f>
        <v>16653</v>
      </c>
      <c r="DO195" s="502">
        <f>DN37</f>
        <v>17245</v>
      </c>
      <c r="DP195" s="502">
        <f>DO37</f>
        <v>17341</v>
      </c>
      <c r="DQ195" s="503">
        <f>DK37</f>
        <v>16653</v>
      </c>
      <c r="DR195" s="507"/>
      <c r="DS195" s="502">
        <f>DP37</f>
        <v>17489</v>
      </c>
      <c r="DT195" s="502">
        <f>DS37</f>
        <v>17901</v>
      </c>
      <c r="DU195" s="502">
        <f>DT37</f>
        <v>18015</v>
      </c>
      <c r="DV195" s="502">
        <f>DU37</f>
        <v>18645</v>
      </c>
      <c r="DW195" s="503">
        <f>DQ37</f>
        <v>17489</v>
      </c>
      <c r="DX195" s="507"/>
      <c r="DY195" s="502">
        <f>DV37</f>
        <v>18893</v>
      </c>
      <c r="DZ195" s="502">
        <f>DY37</f>
        <v>19055</v>
      </c>
      <c r="EA195" s="502">
        <f>DZ37</f>
        <v>19403</v>
      </c>
      <c r="EB195" s="502">
        <f>EA37</f>
        <v>20336</v>
      </c>
      <c r="EC195" s="503">
        <f>DW37</f>
        <v>18893</v>
      </c>
      <c r="ED195" s="507"/>
      <c r="EE195" s="502">
        <f>EB37</f>
        <v>21077</v>
      </c>
      <c r="EF195" s="502">
        <f>EE37</f>
        <v>21709</v>
      </c>
      <c r="EG195" s="502">
        <f>EF37</f>
        <v>22039</v>
      </c>
      <c r="EH195" s="502">
        <f>EG37</f>
        <v>22694</v>
      </c>
      <c r="EI195" s="503">
        <f>EC37</f>
        <v>21077</v>
      </c>
      <c r="EJ195" s="507"/>
      <c r="EK195" s="502">
        <f>EH37</f>
        <v>23156</v>
      </c>
      <c r="EL195" s="502">
        <f>EK37</f>
        <v>23272</v>
      </c>
      <c r="EM195" s="502">
        <f>EL37</f>
        <v>23426</v>
      </c>
      <c r="EN195" s="502">
        <f>EM37</f>
        <v>23526</v>
      </c>
      <c r="EO195" s="503">
        <f>EI37</f>
        <v>23156</v>
      </c>
      <c r="EP195" s="507"/>
      <c r="EQ195" s="502">
        <f>EN37</f>
        <v>24217</v>
      </c>
      <c r="ER195" s="502">
        <f>EQ37</f>
        <v>24588</v>
      </c>
      <c r="ES195" s="502">
        <f>ER37</f>
        <v>25159</v>
      </c>
      <c r="ET195" s="502">
        <f>ES37</f>
        <v>25970</v>
      </c>
      <c r="EU195" s="503">
        <f>EO37</f>
        <v>24217</v>
      </c>
      <c r="EV195" s="507"/>
      <c r="EW195" s="502">
        <f>ET37</f>
        <v>27065</v>
      </c>
      <c r="EX195" s="502">
        <f>EW37</f>
        <v>28089</v>
      </c>
      <c r="EY195" s="502">
        <f>EX37</f>
        <v>28474</v>
      </c>
      <c r="EZ195" s="502">
        <f>EY37</f>
        <v>18412.16</v>
      </c>
      <c r="FA195" s="503">
        <f>EU37</f>
        <v>27065</v>
      </c>
      <c r="FB195" s="507"/>
      <c r="FC195" s="502">
        <f>EZ37</f>
        <v>18508.202126727359</v>
      </c>
      <c r="FD195" s="502">
        <f>FC37</f>
        <v>20265.798652259604</v>
      </c>
      <c r="FE195" s="502">
        <f>FD37</f>
        <v>22023.395177791848</v>
      </c>
      <c r="FF195" s="502">
        <f>FE37</f>
        <v>23780.991703324093</v>
      </c>
      <c r="FG195" s="503">
        <f>FA37</f>
        <v>18508.202126727359</v>
      </c>
      <c r="FH195" s="507"/>
      <c r="FI195" s="502">
        <f>FF37</f>
        <v>25538.588228856337</v>
      </c>
      <c r="FJ195" s="502">
        <f>FI37</f>
        <v>27524.259174639523</v>
      </c>
      <c r="FK195" s="502">
        <f>FJ37</f>
        <v>29509.930120422709</v>
      </c>
      <c r="FL195" s="502">
        <f>FK37</f>
        <v>31495.601066205894</v>
      </c>
      <c r="FM195" s="503">
        <f>FG37</f>
        <v>25538.588228856337</v>
      </c>
      <c r="FN195" s="135"/>
      <c r="FO195" s="135"/>
      <c r="FP195" s="135"/>
      <c r="FQ195" s="135"/>
      <c r="FR195"/>
      <c r="FS195"/>
      <c r="FT195"/>
      <c r="FU195"/>
      <c r="FV195"/>
      <c r="FW195"/>
      <c r="FX195" s="13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</row>
    <row r="196" spans="1:274" s="24" customFormat="1" ht="12" hidden="1" customHeight="1" outlineLevel="1" x14ac:dyDescent="0.2">
      <c r="A196" s="513" t="s">
        <v>782</v>
      </c>
      <c r="B196" s="20"/>
      <c r="C196" s="494"/>
      <c r="D196" s="494"/>
      <c r="E196" s="494"/>
      <c r="F196" s="494"/>
      <c r="G196" s="494"/>
      <c r="H196" s="494"/>
      <c r="I196" s="302"/>
      <c r="J196" s="302"/>
      <c r="K196" s="302"/>
      <c r="L196" s="302"/>
      <c r="M196" s="494"/>
      <c r="N196" s="494"/>
      <c r="O196" s="302"/>
      <c r="P196" s="302"/>
      <c r="Q196" s="302"/>
      <c r="R196" s="302"/>
      <c r="S196" s="494"/>
      <c r="T196" s="494"/>
      <c r="U196" s="302"/>
      <c r="V196" s="302"/>
      <c r="W196" s="302"/>
      <c r="X196" s="302"/>
      <c r="Y196" s="494"/>
      <c r="Z196" s="494"/>
      <c r="AA196" s="302"/>
      <c r="AB196" s="302"/>
      <c r="AC196" s="302"/>
      <c r="AD196" s="302"/>
      <c r="AE196" s="494"/>
      <c r="AF196" s="494"/>
      <c r="AG196" s="302"/>
      <c r="AH196" s="302"/>
      <c r="AI196" s="302"/>
      <c r="AJ196" s="302"/>
      <c r="AK196" s="502"/>
      <c r="AL196" s="494"/>
      <c r="AM196" s="302"/>
      <c r="AN196" s="302"/>
      <c r="AO196" s="302"/>
      <c r="AP196" s="302"/>
      <c r="AQ196" s="502"/>
      <c r="AR196" s="494"/>
      <c r="AS196" s="302"/>
      <c r="AT196" s="302"/>
      <c r="AU196" s="302"/>
      <c r="AV196" s="505"/>
      <c r="AW196" s="500"/>
      <c r="AX196" s="496"/>
      <c r="AY196" s="302"/>
      <c r="AZ196" s="302"/>
      <c r="BA196" s="302"/>
      <c r="BB196" s="302"/>
      <c r="BC196" s="502">
        <f>BC195+BC192</f>
        <v>4821</v>
      </c>
      <c r="BD196" s="494"/>
      <c r="BE196" s="502">
        <f>BE195+BE192</f>
        <v>4834.8990000000003</v>
      </c>
      <c r="BF196" s="502">
        <f>BF195+BF192</f>
        <v>4946.8819999999996</v>
      </c>
      <c r="BG196" s="502">
        <f>BG195+BG192</f>
        <v>4972.7979999999998</v>
      </c>
      <c r="BH196" s="502">
        <f>BH195+BH192</f>
        <v>5029</v>
      </c>
      <c r="BI196" s="502">
        <f>BI195+BI192</f>
        <v>5029</v>
      </c>
      <c r="BJ196" s="507"/>
      <c r="BK196" s="502">
        <f>BK195+BK192</f>
        <v>4982</v>
      </c>
      <c r="BL196" s="502">
        <f>BL195+BL192</f>
        <v>4842</v>
      </c>
      <c r="BM196" s="502">
        <f>BM195+BM192</f>
        <v>4921</v>
      </c>
      <c r="BN196" s="502">
        <f>BN195+BN192</f>
        <v>5101</v>
      </c>
      <c r="BO196" s="502">
        <f>BO195+BO192</f>
        <v>5101</v>
      </c>
      <c r="BP196" s="507"/>
      <c r="BQ196" s="502">
        <f>BQ195+BQ192</f>
        <v>5146</v>
      </c>
      <c r="BR196" s="502">
        <f>BR195+BR192</f>
        <v>5280</v>
      </c>
      <c r="BS196" s="502">
        <f>BS195+BS192</f>
        <v>5329</v>
      </c>
      <c r="BT196" s="502">
        <f>BT195+BT192</f>
        <v>5456</v>
      </c>
      <c r="BU196" s="502">
        <f>BU195+BU192</f>
        <v>5456</v>
      </c>
      <c r="BV196" s="507"/>
      <c r="BW196" s="502">
        <f>BW195+BW192</f>
        <v>5460</v>
      </c>
      <c r="BX196" s="502">
        <f>BX195+BX192</f>
        <v>5578</v>
      </c>
      <c r="BY196" s="502">
        <f>BY195+BY192</f>
        <v>6372</v>
      </c>
      <c r="BZ196" s="502">
        <f>BZ195+BZ192</f>
        <v>6596</v>
      </c>
      <c r="CA196" s="502">
        <f>CA195+CA192</f>
        <v>6596</v>
      </c>
      <c r="CB196" s="507"/>
      <c r="CC196" s="502">
        <f>CC195+CC192</f>
        <v>6792</v>
      </c>
      <c r="CD196" s="502">
        <f>CD195+CD192</f>
        <v>6887</v>
      </c>
      <c r="CE196" s="502">
        <f>CE195+CE192</f>
        <v>9038</v>
      </c>
      <c r="CF196" s="502">
        <f>CF195+CF192</f>
        <v>9246</v>
      </c>
      <c r="CG196" s="503">
        <f>CG195+CG192</f>
        <v>9246</v>
      </c>
      <c r="CH196" s="507"/>
      <c r="CI196" s="502">
        <f>CI195+CI192</f>
        <v>9362</v>
      </c>
      <c r="CJ196" s="502">
        <f>CJ195+CJ192</f>
        <v>9874</v>
      </c>
      <c r="CK196" s="502">
        <f>CK195+CK192</f>
        <v>10040.15</v>
      </c>
      <c r="CL196" s="502">
        <f>CL195+CL192</f>
        <v>10293</v>
      </c>
      <c r="CM196" s="503">
        <f>CM195+CM192</f>
        <v>10329.15</v>
      </c>
      <c r="CN196" s="507"/>
      <c r="CO196" s="502">
        <f>CO195+CO192</f>
        <v>10759</v>
      </c>
      <c r="CP196" s="502">
        <f>CP195+CP192</f>
        <v>11256</v>
      </c>
      <c r="CQ196" s="502">
        <f>CQ195+CQ192</f>
        <v>11847</v>
      </c>
      <c r="CR196" s="502">
        <f>CR195+CR192</f>
        <v>12236</v>
      </c>
      <c r="CS196" s="503">
        <f>CS195+CS192</f>
        <v>12236</v>
      </c>
      <c r="CT196" s="507"/>
      <c r="CU196" s="502">
        <f>CU195+CU192</f>
        <v>12749.318316762512</v>
      </c>
      <c r="CV196" s="502">
        <f>CV195+CV192</f>
        <v>12131.156138480301</v>
      </c>
      <c r="CW196" s="502">
        <f>CW195+CW192</f>
        <v>12758</v>
      </c>
      <c r="CX196" s="502">
        <f>CX195+CX192</f>
        <v>12980</v>
      </c>
      <c r="CY196" s="503">
        <f>CY195+CY192</f>
        <v>12980</v>
      </c>
      <c r="CZ196" s="507"/>
      <c r="DA196" s="502">
        <f>DA195+DA192</f>
        <v>13319</v>
      </c>
      <c r="DB196" s="502">
        <f>DB195+DB192</f>
        <v>13529</v>
      </c>
      <c r="DC196" s="502">
        <f>DC195+DC192</f>
        <v>13973</v>
      </c>
      <c r="DD196" s="502">
        <f>DD195+DD192</f>
        <v>14648</v>
      </c>
      <c r="DE196" s="503">
        <f>DE195+DE192</f>
        <v>14648</v>
      </c>
      <c r="DF196" s="507"/>
      <c r="DG196" s="502">
        <f>DG195+DG192</f>
        <v>14923</v>
      </c>
      <c r="DH196" s="502">
        <f>DH195+DH192</f>
        <v>15663</v>
      </c>
      <c r="DI196" s="502">
        <f>DI195+DI192</f>
        <v>16131</v>
      </c>
      <c r="DJ196" s="502">
        <f>DJ195+DJ192</f>
        <v>16780</v>
      </c>
      <c r="DK196" s="503">
        <f>DK195+DK192</f>
        <v>16653</v>
      </c>
      <c r="DL196" s="507"/>
      <c r="DM196" s="502">
        <f>DM195+DM192</f>
        <v>16915</v>
      </c>
      <c r="DN196" s="502">
        <f>DN195+DN192</f>
        <v>16983</v>
      </c>
      <c r="DO196" s="502">
        <f>DO195+DO192</f>
        <v>17341</v>
      </c>
      <c r="DP196" s="502">
        <f>DP195+DP192</f>
        <v>17489</v>
      </c>
      <c r="DQ196" s="503">
        <f>DQ195+DQ192</f>
        <v>17489</v>
      </c>
      <c r="DR196" s="507"/>
      <c r="DS196" s="502">
        <f>DS195+DS192</f>
        <v>17901</v>
      </c>
      <c r="DT196" s="502">
        <f>DT195+DT192</f>
        <v>18015</v>
      </c>
      <c r="DU196" s="502">
        <f>DU195+DU192</f>
        <v>18645</v>
      </c>
      <c r="DV196" s="502">
        <f>DV195+DV192</f>
        <v>18893</v>
      </c>
      <c r="DW196" s="503">
        <f>DW195+DW192</f>
        <v>18893</v>
      </c>
      <c r="DX196" s="507"/>
      <c r="DY196" s="502">
        <f>DY195+DY192</f>
        <v>19055</v>
      </c>
      <c r="DZ196" s="502">
        <f>DZ195+DZ192</f>
        <v>19403</v>
      </c>
      <c r="EA196" s="502">
        <f>EA195+EA192</f>
        <v>20336</v>
      </c>
      <c r="EB196" s="502">
        <f>EB195+EB192</f>
        <v>21077</v>
      </c>
      <c r="EC196" s="503">
        <f>EC195+EC192</f>
        <v>21077</v>
      </c>
      <c r="ED196" s="507"/>
      <c r="EE196" s="502">
        <f>EE195+EE192</f>
        <v>21709</v>
      </c>
      <c r="EF196" s="502">
        <f>EF195+EF192</f>
        <v>22039</v>
      </c>
      <c r="EG196" s="502">
        <f>EG195+EG192</f>
        <v>22694</v>
      </c>
      <c r="EH196" s="502">
        <f>EH195+EH192</f>
        <v>23156</v>
      </c>
      <c r="EI196" s="503">
        <f>EI195+EI192</f>
        <v>23156</v>
      </c>
      <c r="EJ196" s="507"/>
      <c r="EK196" s="502">
        <f>EK195+EK192</f>
        <v>23272</v>
      </c>
      <c r="EL196" s="502">
        <f>EL195+EL192</f>
        <v>23426</v>
      </c>
      <c r="EM196" s="502">
        <f>EM195+EM192</f>
        <v>23526</v>
      </c>
      <c r="EN196" s="502">
        <f>EN195+EN192</f>
        <v>24217</v>
      </c>
      <c r="EO196" s="503">
        <f>EO195+EO192</f>
        <v>24217</v>
      </c>
      <c r="EP196" s="507"/>
      <c r="EQ196" s="502">
        <f>EQ195+EQ192</f>
        <v>24588</v>
      </c>
      <c r="ER196" s="502">
        <f>ER195+ER192</f>
        <v>25159</v>
      </c>
      <c r="ES196" s="502">
        <f>ES195+ES192</f>
        <v>25970</v>
      </c>
      <c r="ET196" s="502">
        <f>ET195+ET192</f>
        <v>27065</v>
      </c>
      <c r="EU196" s="503">
        <f>EU195+EU192</f>
        <v>27065</v>
      </c>
      <c r="EV196" s="507"/>
      <c r="EW196" s="502">
        <f>EW195+EW192</f>
        <v>28089</v>
      </c>
      <c r="EX196" s="502">
        <f>EX195+EX192</f>
        <v>28474</v>
      </c>
      <c r="EY196" s="502">
        <f>EY195+EY192</f>
        <v>18412.16</v>
      </c>
      <c r="EZ196" s="502">
        <f>EZ195+EZ192</f>
        <v>18508.202126727359</v>
      </c>
      <c r="FA196" s="503">
        <f>FA195+FA192</f>
        <v>18508.202126727359</v>
      </c>
      <c r="FB196" s="507"/>
      <c r="FC196" s="502">
        <f>FC195+FC192</f>
        <v>20265.798652259604</v>
      </c>
      <c r="FD196" s="502">
        <f>FD195+FD192</f>
        <v>22023.395177791848</v>
      </c>
      <c r="FE196" s="502">
        <f>FE195+FE192</f>
        <v>23780.991703324093</v>
      </c>
      <c r="FF196" s="502">
        <f>FF195+FF192</f>
        <v>25538.588228856337</v>
      </c>
      <c r="FG196" s="503">
        <f>FG195+FG192</f>
        <v>25538.588228856337</v>
      </c>
      <c r="FH196" s="507"/>
      <c r="FI196" s="502">
        <f>FI195+FI192</f>
        <v>27524.259174639523</v>
      </c>
      <c r="FJ196" s="502">
        <f>FJ195+FJ192</f>
        <v>29509.930120422709</v>
      </c>
      <c r="FK196" s="502">
        <f>FK195+FK192</f>
        <v>31495.601066205894</v>
      </c>
      <c r="FL196" s="502">
        <f>FL195+FL192</f>
        <v>33481.27201198908</v>
      </c>
      <c r="FM196" s="503">
        <f>FM195+FM192</f>
        <v>33481.27201198908</v>
      </c>
      <c r="FN196" s="135"/>
      <c r="FO196" s="135"/>
      <c r="FP196" s="135"/>
      <c r="FQ196" s="135"/>
      <c r="FR196"/>
      <c r="FS196"/>
      <c r="FT196"/>
      <c r="FU196"/>
      <c r="FV196"/>
      <c r="FW196"/>
      <c r="FX196" s="135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</row>
    <row r="197" spans="1:274" s="24" customFormat="1" ht="12" hidden="1" customHeight="1" outlineLevel="1" x14ac:dyDescent="0.2">
      <c r="A197" s="513"/>
      <c r="B197" s="20"/>
      <c r="C197" s="494"/>
      <c r="D197" s="494"/>
      <c r="E197" s="494"/>
      <c r="F197" s="494"/>
      <c r="G197" s="494"/>
      <c r="H197" s="494"/>
      <c r="I197" s="302"/>
      <c r="J197" s="302"/>
      <c r="K197" s="302"/>
      <c r="L197" s="302"/>
      <c r="M197" s="494"/>
      <c r="N197" s="494"/>
      <c r="O197" s="302"/>
      <c r="P197" s="302"/>
      <c r="Q197" s="302"/>
      <c r="R197" s="302"/>
      <c r="S197" s="494"/>
      <c r="T197" s="494"/>
      <c r="U197" s="302"/>
      <c r="V197" s="302"/>
      <c r="W197" s="302"/>
      <c r="X197" s="302"/>
      <c r="Y197" s="494"/>
      <c r="Z197" s="494"/>
      <c r="AA197" s="302"/>
      <c r="AB197" s="302"/>
      <c r="AC197" s="302"/>
      <c r="AD197" s="302"/>
      <c r="AE197" s="494"/>
      <c r="AF197" s="494"/>
      <c r="AG197" s="302"/>
      <c r="AH197" s="302"/>
      <c r="AI197" s="302"/>
      <c r="AJ197" s="302"/>
      <c r="AK197" s="516"/>
      <c r="AL197" s="494"/>
      <c r="AM197" s="302"/>
      <c r="AN197" s="302"/>
      <c r="AO197" s="302"/>
      <c r="AP197" s="302"/>
      <c r="AQ197" s="516"/>
      <c r="AR197" s="494"/>
      <c r="AS197" s="302"/>
      <c r="AT197" s="302"/>
      <c r="AU197" s="302"/>
      <c r="AV197" s="505"/>
      <c r="AW197" s="516"/>
      <c r="AX197" s="496"/>
      <c r="AY197" s="302"/>
      <c r="AZ197" s="302"/>
      <c r="BA197" s="302"/>
      <c r="BB197" s="302"/>
      <c r="BC197" s="516"/>
      <c r="BD197" s="494"/>
      <c r="BE197" s="563"/>
      <c r="BF197" s="563"/>
      <c r="BG197" s="563"/>
      <c r="BH197" s="563"/>
      <c r="BI197" s="563"/>
      <c r="BJ197" s="507"/>
      <c r="BK197" s="563"/>
      <c r="BL197" s="563"/>
      <c r="BM197" s="563"/>
      <c r="BN197" s="563"/>
      <c r="BO197" s="563"/>
      <c r="BP197" s="507"/>
      <c r="BQ197" s="516"/>
      <c r="BR197" s="516"/>
      <c r="BS197" s="516"/>
      <c r="BT197" s="516"/>
      <c r="BU197" s="516"/>
      <c r="BV197" s="507"/>
      <c r="BW197" s="516"/>
      <c r="BX197" s="516"/>
      <c r="BY197" s="516"/>
      <c r="BZ197" s="516"/>
      <c r="CA197" s="516"/>
      <c r="CB197" s="507"/>
      <c r="CC197" s="516"/>
      <c r="CD197" s="516"/>
      <c r="CE197" s="516"/>
      <c r="CF197" s="516"/>
      <c r="CG197" s="521"/>
      <c r="CH197" s="507"/>
      <c r="CI197" s="516"/>
      <c r="CJ197" s="516"/>
      <c r="CK197" s="516"/>
      <c r="CL197" s="516"/>
      <c r="CM197" s="521"/>
      <c r="CN197" s="507"/>
      <c r="CO197" s="516"/>
      <c r="CP197" s="516"/>
      <c r="CQ197" s="516"/>
      <c r="CR197" s="516"/>
      <c r="CS197" s="521"/>
      <c r="CT197" s="507"/>
      <c r="CU197" s="516"/>
      <c r="CV197" s="516"/>
      <c r="CW197" s="516"/>
      <c r="CX197" s="516"/>
      <c r="CY197" s="521"/>
      <c r="CZ197" s="507"/>
      <c r="DA197" s="516"/>
      <c r="DB197" s="516"/>
      <c r="DC197" s="516"/>
      <c r="DD197" s="516"/>
      <c r="DE197" s="521"/>
      <c r="DF197" s="507"/>
      <c r="DG197" s="516"/>
      <c r="DH197" s="516"/>
      <c r="DI197" s="516"/>
      <c r="DJ197" s="516"/>
      <c r="DK197" s="521"/>
      <c r="DL197" s="507"/>
      <c r="DM197" s="516"/>
      <c r="DN197" s="516"/>
      <c r="DO197" s="516"/>
      <c r="DP197" s="516"/>
      <c r="DQ197" s="521"/>
      <c r="DR197" s="507"/>
      <c r="DS197" s="516"/>
      <c r="DT197" s="516"/>
      <c r="DU197" s="516"/>
      <c r="DV197" s="516"/>
      <c r="DW197" s="521"/>
      <c r="DX197" s="507"/>
      <c r="DY197" s="516"/>
      <c r="DZ197" s="516"/>
      <c r="EA197" s="516"/>
      <c r="EB197" s="516"/>
      <c r="EC197" s="521"/>
      <c r="ED197" s="507"/>
      <c r="EE197" s="516"/>
      <c r="EF197" s="516"/>
      <c r="EG197" s="516"/>
      <c r="EH197" s="516"/>
      <c r="EI197" s="521"/>
      <c r="EJ197" s="507"/>
      <c r="EK197" s="516"/>
      <c r="EL197" s="516"/>
      <c r="EM197" s="516"/>
      <c r="EN197" s="516"/>
      <c r="EO197" s="521"/>
      <c r="EP197" s="507"/>
      <c r="EQ197" s="516"/>
      <c r="ER197" s="516"/>
      <c r="ES197" s="516"/>
      <c r="ET197" s="516"/>
      <c r="EU197" s="521"/>
      <c r="EV197" s="507"/>
      <c r="EW197" s="516"/>
      <c r="EX197" s="516"/>
      <c r="EY197" s="516"/>
      <c r="EZ197" s="516"/>
      <c r="FA197" s="521"/>
      <c r="FB197" s="507"/>
      <c r="FC197" s="516"/>
      <c r="FD197" s="516"/>
      <c r="FE197" s="516"/>
      <c r="FF197" s="516"/>
      <c r="FG197" s="521"/>
      <c r="FH197" s="507"/>
      <c r="FI197" s="516"/>
      <c r="FJ197" s="516"/>
      <c r="FK197" s="516"/>
      <c r="FL197" s="516"/>
      <c r="FM197" s="521"/>
      <c r="FN197" s="135"/>
      <c r="FO197" s="135"/>
      <c r="FP197" s="135"/>
      <c r="FQ197" s="135"/>
      <c r="FR197"/>
      <c r="FS197"/>
      <c r="FT197"/>
      <c r="FU197"/>
      <c r="FV197"/>
      <c r="FW197"/>
      <c r="FX197" s="135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</row>
    <row r="198" spans="1:274" s="979" customFormat="1" ht="12" hidden="1" customHeight="1" outlineLevel="1" x14ac:dyDescent="0.2">
      <c r="A198" s="493" t="s">
        <v>418</v>
      </c>
      <c r="B198" s="1007"/>
      <c r="C198" s="546"/>
      <c r="D198" s="546"/>
      <c r="E198" s="546"/>
      <c r="F198" s="546"/>
      <c r="G198" s="546"/>
      <c r="H198" s="546"/>
      <c r="I198" s="547"/>
      <c r="J198" s="547"/>
      <c r="K198" s="547"/>
      <c r="L198" s="547"/>
      <c r="M198" s="546"/>
      <c r="N198" s="546"/>
      <c r="O198" s="547"/>
      <c r="P198" s="547"/>
      <c r="Q198" s="547"/>
      <c r="R198" s="547"/>
      <c r="S198" s="546"/>
      <c r="T198" s="546"/>
      <c r="U198" s="547"/>
      <c r="V198" s="547"/>
      <c r="W198" s="547"/>
      <c r="X198" s="547"/>
      <c r="Y198" s="546"/>
      <c r="Z198" s="546"/>
      <c r="AA198" s="547"/>
      <c r="AB198" s="547"/>
      <c r="AC198" s="547"/>
      <c r="AD198" s="547"/>
      <c r="AE198" s="546"/>
      <c r="AF198" s="546"/>
      <c r="AG198" s="547"/>
      <c r="AH198" s="547"/>
      <c r="AI198" s="547"/>
      <c r="AJ198" s="547"/>
      <c r="AK198" s="545"/>
      <c r="AL198" s="546"/>
      <c r="AM198" s="547"/>
      <c r="AN198" s="547"/>
      <c r="AO198" s="547"/>
      <c r="AP198" s="547"/>
      <c r="AQ198" s="545"/>
      <c r="AR198" s="546"/>
      <c r="AS198" s="547"/>
      <c r="AT198" s="547"/>
      <c r="AU198" s="547"/>
      <c r="AV198" s="548"/>
      <c r="AW198" s="545"/>
      <c r="AX198" s="549"/>
      <c r="AY198" s="547"/>
      <c r="AZ198" s="547"/>
      <c r="BA198" s="547"/>
      <c r="BB198" s="547"/>
      <c r="BC198" s="545"/>
      <c r="BD198" s="546"/>
      <c r="BE198" s="552"/>
      <c r="BF198" s="552"/>
      <c r="BG198" s="552"/>
      <c r="BH198" s="552"/>
      <c r="BI198" s="545"/>
      <c r="BJ198" s="550"/>
      <c r="BK198" s="552"/>
      <c r="BL198" s="552"/>
      <c r="BM198" s="552"/>
      <c r="BN198" s="553"/>
      <c r="BO198" s="545"/>
      <c r="BP198" s="550"/>
      <c r="BQ198" s="555">
        <f>BQ185</f>
        <v>-200</v>
      </c>
      <c r="BR198" s="555">
        <f>BR185</f>
        <v>-199.4</v>
      </c>
      <c r="BS198" s="555">
        <f>BS185</f>
        <v>-639.29999999999995</v>
      </c>
      <c r="BT198" s="555">
        <f>BT185</f>
        <v>-460.30000000000007</v>
      </c>
      <c r="BU198" s="555"/>
      <c r="BV198" s="555"/>
      <c r="BW198" s="555">
        <f>BW185</f>
        <v>-543.4</v>
      </c>
      <c r="BX198" s="555">
        <f>BX185</f>
        <v>-551.4</v>
      </c>
      <c r="BY198" s="555">
        <f>BY185</f>
        <v>0</v>
      </c>
      <c r="BZ198" s="555">
        <f>BZ185</f>
        <v>-248.20000000000005</v>
      </c>
      <c r="CA198" s="555"/>
      <c r="CB198" s="555"/>
      <c r="CC198" s="555">
        <f>CC185</f>
        <v>-249.7</v>
      </c>
      <c r="CD198" s="555">
        <f>CD185</f>
        <v>-74.300000000000011</v>
      </c>
      <c r="CE198" s="555">
        <f>CE185</f>
        <v>0</v>
      </c>
      <c r="CF198" s="555">
        <f>CF185</f>
        <v>-1743</v>
      </c>
      <c r="CG198" s="556"/>
      <c r="CH198" s="550"/>
      <c r="CI198" s="555">
        <f>CI185</f>
        <v>-1000</v>
      </c>
      <c r="CJ198" s="555">
        <f>CJ185</f>
        <v>-1000</v>
      </c>
      <c r="CK198" s="555">
        <f>CK185</f>
        <v>-1000</v>
      </c>
      <c r="CL198" s="555">
        <f>CL185</f>
        <v>-1000</v>
      </c>
      <c r="CM198" s="551"/>
      <c r="CN198" s="550"/>
      <c r="CO198" s="555">
        <f>CO185</f>
        <v>-530</v>
      </c>
      <c r="CP198" s="555">
        <f>CP185</f>
        <v>-493</v>
      </c>
      <c r="CQ198" s="555">
        <f>CQ185</f>
        <v>-495</v>
      </c>
      <c r="CR198" s="555">
        <f>CR185</f>
        <v>-500</v>
      </c>
      <c r="CS198" s="556"/>
      <c r="CT198" s="550"/>
      <c r="CU198" s="555">
        <f>CU185</f>
        <v>-500</v>
      </c>
      <c r="CV198" s="555">
        <f>CV185</f>
        <v>-1844</v>
      </c>
      <c r="CW198" s="555">
        <f>CW185</f>
        <v>-1209.5539999999999</v>
      </c>
      <c r="CX198" s="555">
        <f>CX185</f>
        <v>-250</v>
      </c>
      <c r="CY198" s="551"/>
      <c r="CZ198" s="550"/>
      <c r="DA198" s="555">
        <f>DA185</f>
        <v>-243</v>
      </c>
      <c r="DB198" s="555">
        <f>DB185</f>
        <v>-249</v>
      </c>
      <c r="DC198" s="555">
        <f>DC185</f>
        <v>-250</v>
      </c>
      <c r="DD198" s="555">
        <f>DD185</f>
        <v>-250</v>
      </c>
      <c r="DE198" s="551"/>
      <c r="DF198" s="550"/>
      <c r="DG198" s="555">
        <f>DG185</f>
        <v>-249</v>
      </c>
      <c r="DH198" s="555">
        <f>DH185</f>
        <v>-255</v>
      </c>
      <c r="DI198" s="555">
        <f>DI185</f>
        <v>-245</v>
      </c>
      <c r="DJ198" s="555">
        <f>DJ185</f>
        <v>-411</v>
      </c>
      <c r="DK198" s="551"/>
      <c r="DL198" s="550"/>
      <c r="DM198" s="555">
        <f>DM185</f>
        <v>-800</v>
      </c>
      <c r="DN198" s="555">
        <f>DN185</f>
        <v>-998</v>
      </c>
      <c r="DO198" s="555">
        <f>DO185</f>
        <v>-1659</v>
      </c>
      <c r="DP198" s="555">
        <f>DP185</f>
        <v>-2399</v>
      </c>
      <c r="DQ198" s="551"/>
      <c r="DR198" s="550"/>
      <c r="DS198" s="555">
        <f>DS185</f>
        <v>-3076</v>
      </c>
      <c r="DT198" s="555">
        <f>DT185</f>
        <v>-2996</v>
      </c>
      <c r="DU198" s="555">
        <f>DU185</f>
        <v>-2132</v>
      </c>
      <c r="DV198" s="555">
        <f>DV185</f>
        <v>-2817</v>
      </c>
      <c r="DW198" s="551"/>
      <c r="DX198" s="550"/>
      <c r="DY198" s="555">
        <f>DY185</f>
        <v>-2968</v>
      </c>
      <c r="DZ198" s="555">
        <f>DZ185</f>
        <v>-2833</v>
      </c>
      <c r="EA198" s="555">
        <f>EA185</f>
        <v>-2040</v>
      </c>
      <c r="EB198" s="555">
        <f>EB185</f>
        <v>-1972</v>
      </c>
      <c r="EC198" s="551"/>
      <c r="ED198" s="550"/>
      <c r="EE198" s="555">
        <f>EE185</f>
        <v>-2000</v>
      </c>
      <c r="EF198" s="555">
        <f>EF185</f>
        <v>-2087</v>
      </c>
      <c r="EG198" s="555">
        <f>EG185</f>
        <v>-1992</v>
      </c>
      <c r="EH198" s="555">
        <f>EH185</f>
        <v>-2008</v>
      </c>
      <c r="EI198" s="551"/>
      <c r="EJ198" s="550"/>
      <c r="EK198" s="555">
        <f>EK185</f>
        <v>-2846</v>
      </c>
      <c r="EL198" s="555">
        <f>EL185</f>
        <v>-3412</v>
      </c>
      <c r="EM198" s="555">
        <f>EM185</f>
        <v>-2209</v>
      </c>
      <c r="EN198" s="555">
        <f>EN185</f>
        <v>-1973</v>
      </c>
      <c r="EO198" s="551"/>
      <c r="EP198" s="550"/>
      <c r="EQ198" s="555">
        <f>EQ185</f>
        <v>-2002</v>
      </c>
      <c r="ER198" s="555">
        <f>ER185</f>
        <v>-567</v>
      </c>
      <c r="ES198" s="555">
        <f>ES185</f>
        <v>-498</v>
      </c>
      <c r="ET198" s="555">
        <f>ET185</f>
        <v>-494</v>
      </c>
      <c r="EU198" s="551"/>
      <c r="EV198" s="550"/>
      <c r="EW198" s="555">
        <f>EW185</f>
        <v>-502</v>
      </c>
      <c r="EX198" s="555">
        <f>EX185</f>
        <v>-1952</v>
      </c>
      <c r="EY198" s="555">
        <f>EY185</f>
        <v>-3967</v>
      </c>
      <c r="EZ198" s="555">
        <f>EZ185</f>
        <v>-3000</v>
      </c>
      <c r="FA198" s="551"/>
      <c r="FB198" s="550"/>
      <c r="FC198" s="555">
        <f>FC185</f>
        <v>-3000</v>
      </c>
      <c r="FD198" s="555">
        <f>FD185</f>
        <v>-3000</v>
      </c>
      <c r="FE198" s="555">
        <f>FE185</f>
        <v>-3000</v>
      </c>
      <c r="FF198" s="555">
        <f>FF185</f>
        <v>-3000</v>
      </c>
      <c r="FG198" s="551"/>
      <c r="FH198" s="550"/>
      <c r="FI198" s="555">
        <f>FI185</f>
        <v>-3000</v>
      </c>
      <c r="FJ198" s="555">
        <f>FJ185</f>
        <v>-3000</v>
      </c>
      <c r="FK198" s="555">
        <f>FK185</f>
        <v>-3000</v>
      </c>
      <c r="FL198" s="555">
        <f>FL185</f>
        <v>-3000</v>
      </c>
      <c r="FM198" s="551"/>
      <c r="FN198" s="1008"/>
      <c r="FO198" s="1008"/>
      <c r="FP198" s="1008"/>
      <c r="FQ198" s="1008"/>
      <c r="FR198"/>
      <c r="FS198"/>
      <c r="FT198"/>
      <c r="FU198"/>
      <c r="FV198"/>
      <c r="FW198"/>
      <c r="FX198" s="100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</row>
    <row r="199" spans="1:274" s="979" customFormat="1" ht="12" hidden="1" customHeight="1" outlineLevel="1" x14ac:dyDescent="0.2">
      <c r="A199" s="493" t="s">
        <v>613</v>
      </c>
      <c r="B199" s="1007"/>
      <c r="C199" s="546"/>
      <c r="D199" s="546"/>
      <c r="E199" s="546"/>
      <c r="F199" s="546"/>
      <c r="G199" s="546"/>
      <c r="H199" s="546"/>
      <c r="I199" s="547"/>
      <c r="J199" s="547"/>
      <c r="K199" s="547"/>
      <c r="L199" s="547"/>
      <c r="M199" s="546"/>
      <c r="N199" s="546"/>
      <c r="O199" s="547"/>
      <c r="P199" s="547"/>
      <c r="Q199" s="547"/>
      <c r="R199" s="547"/>
      <c r="S199" s="546"/>
      <c r="T199" s="546"/>
      <c r="U199" s="547"/>
      <c r="V199" s="547"/>
      <c r="W199" s="547"/>
      <c r="X199" s="547"/>
      <c r="Y199" s="546"/>
      <c r="Z199" s="546"/>
      <c r="AA199" s="547"/>
      <c r="AB199" s="547"/>
      <c r="AC199" s="547"/>
      <c r="AD199" s="547"/>
      <c r="AE199" s="546"/>
      <c r="AF199" s="546"/>
      <c r="AG199" s="547"/>
      <c r="AH199" s="547"/>
      <c r="AI199" s="547"/>
      <c r="AJ199" s="547"/>
      <c r="AK199" s="545"/>
      <c r="AL199" s="546"/>
      <c r="AM199" s="547"/>
      <c r="AN199" s="547"/>
      <c r="AO199" s="547"/>
      <c r="AP199" s="547"/>
      <c r="AQ199" s="545"/>
      <c r="AR199" s="546"/>
      <c r="AS199" s="547"/>
      <c r="AT199" s="547"/>
      <c r="AU199" s="547"/>
      <c r="AV199" s="548"/>
      <c r="AW199" s="545"/>
      <c r="AX199" s="549"/>
      <c r="AY199" s="547"/>
      <c r="AZ199" s="547"/>
      <c r="BA199" s="547"/>
      <c r="BB199" s="547"/>
      <c r="BC199" s="545"/>
      <c r="BD199" s="546"/>
      <c r="BE199" s="552"/>
      <c r="BF199" s="552"/>
      <c r="BG199" s="552"/>
      <c r="BH199" s="552"/>
      <c r="BI199" s="545"/>
      <c r="BJ199" s="550"/>
      <c r="BK199" s="552"/>
      <c r="BL199" s="552"/>
      <c r="BM199" s="552"/>
      <c r="BN199" s="553"/>
      <c r="BO199" s="545"/>
      <c r="BP199" s="550"/>
      <c r="BQ199" s="555">
        <f>BQ173+BQ178+BQ189</f>
        <v>60</v>
      </c>
      <c r="BR199" s="555">
        <f>BR173+BR178+BR189</f>
        <v>149.4</v>
      </c>
      <c r="BS199" s="555">
        <f>BS173+BS178+BS189</f>
        <v>102.29999999999995</v>
      </c>
      <c r="BT199" s="555">
        <f>BT173+BT178+BT189</f>
        <v>152.30000000000007</v>
      </c>
      <c r="BU199" s="555"/>
      <c r="BV199" s="555"/>
      <c r="BW199" s="555">
        <f>BW173+BW178+BW189</f>
        <v>53.399999999999977</v>
      </c>
      <c r="BX199" s="555">
        <f>BX173+BX178+BX189</f>
        <v>161.39999999999998</v>
      </c>
      <c r="BY199" s="555">
        <f>BY173+BY178+BY189</f>
        <v>796</v>
      </c>
      <c r="BZ199" s="555">
        <f>BZ173+BZ178+BZ189</f>
        <v>246.20000000000005</v>
      </c>
      <c r="CA199" s="555"/>
      <c r="CB199" s="555"/>
      <c r="CC199" s="555">
        <f>CC173+CC178+CC189</f>
        <v>217.7</v>
      </c>
      <c r="CD199" s="555">
        <f>CD173+CD178+CD189</f>
        <v>100.80000000000001</v>
      </c>
      <c r="CE199" s="555">
        <f>CE173+CE178+CE189</f>
        <v>2151.1</v>
      </c>
      <c r="CF199" s="555">
        <f>CF173+CF178+CF189</f>
        <v>361.40000000000003</v>
      </c>
      <c r="CG199" s="556"/>
      <c r="CH199" s="550"/>
      <c r="CI199" s="555">
        <f>CI173+CI178+CI189</f>
        <v>201</v>
      </c>
      <c r="CJ199" s="555">
        <f>CJ173+CJ178+CJ189</f>
        <v>614.5</v>
      </c>
      <c r="CK199" s="555">
        <f>CK173+CK178+CK189</f>
        <v>277.14999999999998</v>
      </c>
      <c r="CL199" s="555">
        <f>CL173+CL178+CL189</f>
        <v>401.5</v>
      </c>
      <c r="CM199" s="551"/>
      <c r="CN199" s="550"/>
      <c r="CO199" s="554">
        <f>CO173+CO178+CO189</f>
        <v>552</v>
      </c>
      <c r="CP199" s="554">
        <f>CP173+CP178+CP189</f>
        <v>546</v>
      </c>
      <c r="CQ199" s="554">
        <f>CQ173+CQ178+CQ189</f>
        <v>636</v>
      </c>
      <c r="CR199" s="554">
        <f>CR173+CR178+CR189</f>
        <v>432</v>
      </c>
      <c r="CS199" s="551"/>
      <c r="CT199" s="550"/>
      <c r="CU199" s="554">
        <f>CU173+CU178+CU189</f>
        <v>554.9183167625124</v>
      </c>
      <c r="CV199" s="554">
        <f>CV173+CV178+CV189</f>
        <v>-459.5781782822105</v>
      </c>
      <c r="CW199" s="554">
        <f>CW173+CW178+CW189</f>
        <v>798.21386151969796</v>
      </c>
      <c r="CX199" s="554">
        <f>CX173+CX178+CX189</f>
        <v>256.75</v>
      </c>
      <c r="CY199" s="551"/>
      <c r="CZ199" s="550"/>
      <c r="DA199" s="554">
        <f>DA173+DA178+DA189</f>
        <v>377.45000000000005</v>
      </c>
      <c r="DB199" s="554">
        <f>DB173+DB178+DB189</f>
        <v>229.5</v>
      </c>
      <c r="DC199" s="554">
        <f>DC173+DC178+DC189</f>
        <v>471.35000000000036</v>
      </c>
      <c r="DD199" s="554">
        <f>DD173+DD178+DD189</f>
        <v>700.4000000000002</v>
      </c>
      <c r="DE199" s="551"/>
      <c r="DF199" s="550"/>
      <c r="DG199" s="554">
        <f>DG173+DG178+DG189</f>
        <v>304.3</v>
      </c>
      <c r="DH199" s="554">
        <f>DH173+DH178+DH189</f>
        <v>727.2</v>
      </c>
      <c r="DI199" s="554">
        <f>DI173+DI178+DI189</f>
        <v>486.85</v>
      </c>
      <c r="DJ199" s="554">
        <f>DJ173+DJ178+DJ189</f>
        <v>549.9</v>
      </c>
      <c r="DK199" s="551"/>
      <c r="DL199" s="550"/>
      <c r="DM199" s="554">
        <f>DM173+DM178+DM189</f>
        <v>328.72</v>
      </c>
      <c r="DN199" s="554">
        <f>DN173+DN178+DN189</f>
        <v>434.46000000000004</v>
      </c>
      <c r="DO199" s="554">
        <f>DO173+DO178+DO189</f>
        <v>290.08079999999973</v>
      </c>
      <c r="DP199" s="554">
        <f>DP173+DP178+DP189</f>
        <v>361.14030000000002</v>
      </c>
      <c r="DQ199" s="551"/>
      <c r="DR199" s="550"/>
      <c r="DS199" s="554">
        <f>DS173+DS178+DS189</f>
        <v>776.02</v>
      </c>
      <c r="DT199" s="554">
        <f>DT173+DT178+DT189</f>
        <v>445.52</v>
      </c>
      <c r="DU199" s="554">
        <f>DU173+DU178+DU189</f>
        <v>913.3</v>
      </c>
      <c r="DV199" s="554">
        <f>DV173+DV178+DV189</f>
        <v>566.28829667646096</v>
      </c>
      <c r="DW199" s="551"/>
      <c r="DX199" s="550"/>
      <c r="DY199" s="554">
        <f>DY173+DY178+DY189</f>
        <v>467.96000000000004</v>
      </c>
      <c r="DZ199" s="554">
        <f>DZ173+DZ178+DZ189</f>
        <v>728.7171894850012</v>
      </c>
      <c r="EA199" s="554">
        <f>EA173+EA178+EA189</f>
        <v>1167.52</v>
      </c>
      <c r="EB199" s="554">
        <f>EB173+EB178+EB189</f>
        <v>944</v>
      </c>
      <c r="EC199" s="551"/>
      <c r="ED199" s="550"/>
      <c r="EE199" s="554">
        <f>EE173+EE178+EE189</f>
        <v>855.11999999999989</v>
      </c>
      <c r="EF199" s="554">
        <f>EF173+EF178+EF189</f>
        <v>579.04</v>
      </c>
      <c r="EG199" s="554">
        <f>EG173+EG178+EG189</f>
        <v>872.67999999999984</v>
      </c>
      <c r="EH199" s="554">
        <f>EH173+EH178+EH189</f>
        <v>704.84999999999991</v>
      </c>
      <c r="EI199" s="551"/>
      <c r="EJ199" s="550"/>
      <c r="EK199" s="554">
        <f>EK173+EK178+EK189</f>
        <v>323.55000000000018</v>
      </c>
      <c r="EL199" s="554">
        <f>EL173+EL178+EL189</f>
        <v>777.84999999999991</v>
      </c>
      <c r="EM199" s="554">
        <f>EM173+EM178+EM189</f>
        <v>447.29999999999995</v>
      </c>
      <c r="EN199" s="554">
        <f>EN173+EN178+EN189</f>
        <v>970.05</v>
      </c>
      <c r="EO199" s="551"/>
      <c r="EP199" s="550"/>
      <c r="EQ199" s="554">
        <f>EQ173+EQ178+EQ189</f>
        <v>633.84999999999991</v>
      </c>
      <c r="ER199" s="554">
        <f>ER173+ER178+ER189</f>
        <v>716.82000000000119</v>
      </c>
      <c r="ES199" s="554">
        <f>ES173+ES178+ES189</f>
        <v>887.05</v>
      </c>
      <c r="ET199" s="554">
        <f>ET173+ET178+ET189</f>
        <v>1184.08</v>
      </c>
      <c r="EU199" s="551"/>
      <c r="EV199" s="550"/>
      <c r="EW199" s="554">
        <f>EW173+EW178+EW189</f>
        <v>979.64</v>
      </c>
      <c r="EX199" s="554">
        <f>EX173+EX178+EX189</f>
        <v>604.40000000000009</v>
      </c>
      <c r="EY199" s="554">
        <f>EY173+EY178+EY189</f>
        <v>-155.81999999999971</v>
      </c>
      <c r="EZ199" s="554">
        <f>EZ173+EZ178+EZ189</f>
        <v>-14.332730540001682</v>
      </c>
      <c r="FA199" s="551"/>
      <c r="FB199" s="550"/>
      <c r="FC199" s="554">
        <f>FC173+FC178+FC189</f>
        <v>1612.6311143347427</v>
      </c>
      <c r="FD199" s="554">
        <f>FD173+FD178+FD189</f>
        <v>1612.6311143347427</v>
      </c>
      <c r="FE199" s="554">
        <f>FE173+FE178+FE189</f>
        <v>1612.631114334743</v>
      </c>
      <c r="FF199" s="554">
        <f>FF173+FF178+FF189</f>
        <v>1612.6311143347425</v>
      </c>
      <c r="FG199" s="551"/>
      <c r="FH199" s="550"/>
      <c r="FI199" s="554">
        <f>FI173+FI178+FI189</f>
        <v>1800.7415663571385</v>
      </c>
      <c r="FJ199" s="554">
        <f>FJ173+FJ178+FJ189</f>
        <v>1800.7415663571385</v>
      </c>
      <c r="FK199" s="554">
        <f>FK173+FK178+FK189</f>
        <v>1800.7415663571387</v>
      </c>
      <c r="FL199" s="554">
        <f>FL173+FL178+FL189</f>
        <v>1800.7415663571392</v>
      </c>
      <c r="FM199" s="551"/>
      <c r="FN199" s="1008"/>
      <c r="FO199" s="1008"/>
      <c r="FP199" s="1008"/>
      <c r="FQ199" s="1008"/>
      <c r="FR199"/>
      <c r="FS199"/>
      <c r="FT199"/>
      <c r="FU199"/>
      <c r="FV199"/>
      <c r="FW199"/>
      <c r="FX199" s="1008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</row>
    <row r="200" spans="1:274" s="24" customFormat="1" ht="12" hidden="1" customHeight="1" outlineLevel="1" x14ac:dyDescent="0.2">
      <c r="A200" s="493"/>
      <c r="B200" s="20"/>
      <c r="C200" s="494"/>
      <c r="D200" s="494"/>
      <c r="E200" s="494"/>
      <c r="F200" s="494"/>
      <c r="G200" s="494"/>
      <c r="H200" s="494"/>
      <c r="I200" s="302"/>
      <c r="J200" s="302"/>
      <c r="K200" s="302"/>
      <c r="L200" s="302"/>
      <c r="M200" s="494"/>
      <c r="N200" s="494"/>
      <c r="O200" s="302"/>
      <c r="P200" s="302"/>
      <c r="Q200" s="302"/>
      <c r="R200" s="302"/>
      <c r="S200" s="494"/>
      <c r="T200" s="494"/>
      <c r="U200" s="302"/>
      <c r="V200" s="302"/>
      <c r="W200" s="302"/>
      <c r="X200" s="302"/>
      <c r="Y200" s="494"/>
      <c r="Z200" s="494"/>
      <c r="AA200" s="302"/>
      <c r="AB200" s="302"/>
      <c r="AC200" s="302"/>
      <c r="AD200" s="302"/>
      <c r="AE200" s="494"/>
      <c r="AF200" s="494"/>
      <c r="AG200" s="302"/>
      <c r="AH200" s="302"/>
      <c r="AI200" s="302"/>
      <c r="AJ200" s="302"/>
      <c r="AK200" s="516"/>
      <c r="AL200" s="494"/>
      <c r="AM200" s="302"/>
      <c r="AN200" s="302"/>
      <c r="AO200" s="302"/>
      <c r="AP200" s="302"/>
      <c r="AQ200" s="516"/>
      <c r="AR200" s="494"/>
      <c r="AS200" s="302"/>
      <c r="AT200" s="302"/>
      <c r="AU200" s="302"/>
      <c r="AV200" s="505"/>
      <c r="AW200" s="516"/>
      <c r="AX200" s="496"/>
      <c r="AY200" s="302"/>
      <c r="AZ200" s="302"/>
      <c r="BA200" s="302"/>
      <c r="BB200" s="302"/>
      <c r="BC200" s="516"/>
      <c r="BD200" s="494"/>
      <c r="BE200" s="543"/>
      <c r="BF200" s="543"/>
      <c r="BG200" s="543"/>
      <c r="BH200" s="543"/>
      <c r="BI200" s="516"/>
      <c r="BJ200" s="507"/>
      <c r="BK200" s="543"/>
      <c r="BL200" s="543"/>
      <c r="BM200" s="543"/>
      <c r="BN200" s="854"/>
      <c r="BO200" s="516"/>
      <c r="BP200" s="507"/>
      <c r="BQ200" s="495"/>
      <c r="BR200" s="495"/>
      <c r="BS200" s="495"/>
      <c r="BT200" s="495"/>
      <c r="BU200" s="516"/>
      <c r="BV200" s="507"/>
      <c r="BW200" s="495"/>
      <c r="BX200" s="495"/>
      <c r="BY200" s="495"/>
      <c r="BZ200" s="495"/>
      <c r="CA200" s="516"/>
      <c r="CB200" s="507"/>
      <c r="CC200" s="518"/>
      <c r="CD200" s="518"/>
      <c r="CE200" s="518"/>
      <c r="CF200" s="518"/>
      <c r="CG200" s="521"/>
      <c r="CH200" s="507"/>
      <c r="CI200" s="518"/>
      <c r="CJ200" s="518"/>
      <c r="CK200" s="518"/>
      <c r="CL200" s="518"/>
      <c r="CM200" s="521"/>
      <c r="CN200" s="507"/>
      <c r="CO200" s="495"/>
      <c r="CP200" s="495"/>
      <c r="CQ200" s="495"/>
      <c r="CR200" s="495"/>
      <c r="CS200" s="521"/>
      <c r="CT200" s="507"/>
      <c r="CU200" s="495"/>
      <c r="CV200" s="495"/>
      <c r="CW200" s="495"/>
      <c r="CX200" s="495"/>
      <c r="CY200" s="521"/>
      <c r="CZ200" s="507"/>
      <c r="DA200" s="495"/>
      <c r="DB200" s="495"/>
      <c r="DC200" s="495"/>
      <c r="DD200" s="495"/>
      <c r="DE200" s="521"/>
      <c r="DF200" s="507"/>
      <c r="DG200" s="495"/>
      <c r="DH200" s="495"/>
      <c r="DI200" s="495"/>
      <c r="DJ200" s="495"/>
      <c r="DK200" s="521"/>
      <c r="DL200" s="507"/>
      <c r="DM200" s="495"/>
      <c r="DN200" s="495"/>
      <c r="DO200" s="495"/>
      <c r="DP200" s="495"/>
      <c r="DQ200" s="521"/>
      <c r="DR200" s="507"/>
      <c r="DS200" s="495"/>
      <c r="DT200" s="495"/>
      <c r="DU200" s="495"/>
      <c r="DV200" s="495"/>
      <c r="DW200" s="521"/>
      <c r="DX200" s="507"/>
      <c r="DY200" s="495"/>
      <c r="DZ200" s="495"/>
      <c r="EA200" s="495"/>
      <c r="EB200" s="495"/>
      <c r="EC200" s="521"/>
      <c r="ED200" s="507"/>
      <c r="EE200" s="495"/>
      <c r="EF200" s="495"/>
      <c r="EG200" s="495"/>
      <c r="EH200" s="495"/>
      <c r="EI200" s="521"/>
      <c r="EJ200" s="507"/>
      <c r="EK200" s="495"/>
      <c r="EL200" s="495"/>
      <c r="EM200" s="495"/>
      <c r="EN200" s="495"/>
      <c r="EO200" s="521"/>
      <c r="EP200" s="507"/>
      <c r="EQ200" s="495"/>
      <c r="ER200" s="495"/>
      <c r="ES200" s="495"/>
      <c r="ET200" s="495"/>
      <c r="EU200" s="521"/>
      <c r="EV200" s="507"/>
      <c r="EW200" s="495"/>
      <c r="EX200" s="495"/>
      <c r="EY200" s="495"/>
      <c r="EZ200" s="495"/>
      <c r="FA200" s="521"/>
      <c r="FB200" s="507"/>
      <c r="FC200" s="495"/>
      <c r="FD200" s="495"/>
      <c r="FE200" s="495"/>
      <c r="FF200" s="495"/>
      <c r="FG200" s="521"/>
      <c r="FH200" s="507"/>
      <c r="FI200" s="495"/>
      <c r="FJ200" s="495"/>
      <c r="FK200" s="495"/>
      <c r="FL200" s="495"/>
      <c r="FM200" s="521"/>
      <c r="FN200" s="135"/>
      <c r="FO200" s="135"/>
      <c r="FP200" s="135"/>
      <c r="FQ200" s="135"/>
      <c r="FR200"/>
      <c r="FS200"/>
      <c r="FT200"/>
      <c r="FU200"/>
      <c r="FV200"/>
      <c r="FW200"/>
      <c r="FX200" s="135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</row>
    <row r="201" spans="1:274" s="24" customFormat="1" ht="12" hidden="1" customHeight="1" outlineLevel="1" x14ac:dyDescent="0.2">
      <c r="A201" s="493" t="s">
        <v>783</v>
      </c>
      <c r="B201" s="20"/>
      <c r="C201" s="494"/>
      <c r="D201" s="494"/>
      <c r="E201" s="494"/>
      <c r="F201" s="494"/>
      <c r="G201" s="494"/>
      <c r="H201" s="494"/>
      <c r="I201" s="302"/>
      <c r="J201" s="302"/>
      <c r="K201" s="302"/>
      <c r="L201" s="302"/>
      <c r="M201" s="494"/>
      <c r="N201" s="494"/>
      <c r="O201" s="302"/>
      <c r="P201" s="302"/>
      <c r="Q201" s="302"/>
      <c r="R201" s="302"/>
      <c r="S201" s="494"/>
      <c r="T201" s="494"/>
      <c r="U201" s="302"/>
      <c r="V201" s="302"/>
      <c r="W201" s="302"/>
      <c r="X201" s="302"/>
      <c r="Y201" s="494"/>
      <c r="Z201" s="494"/>
      <c r="AA201" s="302"/>
      <c r="AB201" s="302"/>
      <c r="AC201" s="302"/>
      <c r="AD201" s="302"/>
      <c r="AE201" s="494"/>
      <c r="AF201" s="494"/>
      <c r="AG201" s="302"/>
      <c r="AH201" s="302"/>
      <c r="AI201" s="302"/>
      <c r="AJ201" s="302"/>
      <c r="AK201" s="516"/>
      <c r="AL201" s="494"/>
      <c r="AM201" s="302"/>
      <c r="AN201" s="302"/>
      <c r="AO201" s="302"/>
      <c r="AP201" s="302"/>
      <c r="AQ201" s="516"/>
      <c r="AR201" s="494"/>
      <c r="AS201" s="302"/>
      <c r="AT201" s="302"/>
      <c r="AU201" s="302"/>
      <c r="AV201" s="505"/>
      <c r="AW201" s="516"/>
      <c r="AX201" s="496"/>
      <c r="AY201" s="302"/>
      <c r="AZ201" s="302"/>
      <c r="BA201" s="302"/>
      <c r="BB201" s="302"/>
      <c r="BC201" s="516"/>
      <c r="BD201" s="494"/>
      <c r="BE201" s="543"/>
      <c r="BF201" s="543"/>
      <c r="BG201" s="543"/>
      <c r="BH201" s="543"/>
      <c r="BI201" s="516"/>
      <c r="BJ201" s="507"/>
      <c r="BK201" s="543"/>
      <c r="BL201" s="543"/>
      <c r="BM201" s="543"/>
      <c r="BN201" s="854"/>
      <c r="BO201" s="516"/>
      <c r="BP201" s="507"/>
      <c r="BQ201" s="495"/>
      <c r="BR201" s="495"/>
      <c r="BS201" s="495"/>
      <c r="BT201" s="495"/>
      <c r="BU201" s="516"/>
      <c r="BV201" s="507"/>
      <c r="BW201" s="495"/>
      <c r="BX201" s="495"/>
      <c r="BY201" s="495"/>
      <c r="BZ201" s="495"/>
      <c r="CA201" s="516"/>
      <c r="CB201" s="507"/>
      <c r="CC201" s="518"/>
      <c r="CD201" s="518"/>
      <c r="CE201" s="518"/>
      <c r="CF201" s="518"/>
      <c r="CG201" s="521"/>
      <c r="CH201" s="507"/>
      <c r="CI201" s="518"/>
      <c r="CJ201" s="518"/>
      <c r="CK201" s="518"/>
      <c r="CL201" s="518"/>
      <c r="CM201" s="521"/>
      <c r="CN201" s="507"/>
      <c r="CO201" s="495"/>
      <c r="CP201" s="495"/>
      <c r="CQ201" s="495"/>
      <c r="CR201" s="495"/>
      <c r="CS201" s="521"/>
      <c r="CT201" s="507"/>
      <c r="CU201" s="520">
        <v>1700</v>
      </c>
      <c r="CV201" s="520">
        <f>CU201+8000+CV185</f>
        <v>7856</v>
      </c>
      <c r="CW201" s="520">
        <f>CV201+CW185</f>
        <v>6646.4459999999999</v>
      </c>
      <c r="CX201" s="520">
        <f>CW201+CX185</f>
        <v>6396.4459999999999</v>
      </c>
      <c r="CY201" s="521"/>
      <c r="CZ201" s="507"/>
      <c r="DA201" s="520">
        <v>6000</v>
      </c>
      <c r="DB201" s="520">
        <f>DA201+DB185</f>
        <v>5751</v>
      </c>
      <c r="DC201" s="520">
        <f>DB201+DC185</f>
        <v>5501</v>
      </c>
      <c r="DD201" s="520">
        <f>DC201+DD185</f>
        <v>5251</v>
      </c>
      <c r="DE201" s="521"/>
      <c r="DF201" s="507"/>
      <c r="DG201" s="520">
        <f>DD201+DG185</f>
        <v>5002</v>
      </c>
      <c r="DH201" s="520">
        <f>DG201+DH185</f>
        <v>4747</v>
      </c>
      <c r="DI201" s="520">
        <f>DH201+DI185</f>
        <v>4502</v>
      </c>
      <c r="DJ201" s="520">
        <f>DI201+DJ185</f>
        <v>4091</v>
      </c>
      <c r="DK201" s="521"/>
      <c r="DL201" s="507"/>
      <c r="DM201" s="520">
        <v>3300</v>
      </c>
      <c r="DN201" s="520">
        <v>7300</v>
      </c>
      <c r="DO201" s="520">
        <f>DN201+DO185</f>
        <v>5641</v>
      </c>
      <c r="DP201" s="520">
        <f>DO201+DP185+10000</f>
        <v>13242</v>
      </c>
      <c r="DQ201" s="521"/>
      <c r="DR201" s="507"/>
      <c r="DS201" s="520">
        <f>DP201+DS185</f>
        <v>10166</v>
      </c>
      <c r="DT201" s="520">
        <f>DS201+DT185</f>
        <v>7170</v>
      </c>
      <c r="DU201" s="520">
        <f>DT201+DU185</f>
        <v>5038</v>
      </c>
      <c r="DV201" s="520">
        <f>DU201+DV185+12000</f>
        <v>14221</v>
      </c>
      <c r="DW201" s="521"/>
      <c r="DX201" s="507"/>
      <c r="DY201" s="520">
        <f>DV201+DY185</f>
        <v>11253</v>
      </c>
      <c r="DZ201" s="520">
        <f>DY201+DZ185</f>
        <v>8420</v>
      </c>
      <c r="EA201" s="520">
        <f>DZ201+EA185</f>
        <v>6380</v>
      </c>
      <c r="EB201" s="520">
        <f>EA201+EB185</f>
        <v>4408</v>
      </c>
      <c r="EC201" s="521"/>
      <c r="ED201" s="507"/>
      <c r="EE201" s="520">
        <f>EB201+EE185+13000</f>
        <v>15408</v>
      </c>
      <c r="EF201" s="520">
        <f>EE201+EF185</f>
        <v>13321</v>
      </c>
      <c r="EG201" s="520">
        <f>EF201+EG185</f>
        <v>11329</v>
      </c>
      <c r="EH201" s="520">
        <f>EG201+EH185</f>
        <v>9321</v>
      </c>
      <c r="EI201" s="521"/>
      <c r="EJ201" s="507"/>
      <c r="EK201" s="520">
        <f>EH201+EK185</f>
        <v>6475</v>
      </c>
      <c r="EL201" s="520">
        <f>EK201+EL185</f>
        <v>3063</v>
      </c>
      <c r="EM201" s="520">
        <f>EL201+EM185</f>
        <v>854</v>
      </c>
      <c r="EN201" s="520">
        <f>EM201+EN185+10000</f>
        <v>8881</v>
      </c>
      <c r="EO201" s="521"/>
      <c r="EP201" s="507"/>
      <c r="EQ201" s="520">
        <f>EN201+EQ185</f>
        <v>6879</v>
      </c>
      <c r="ER201" s="520">
        <f>EQ201+ER185</f>
        <v>6312</v>
      </c>
      <c r="ES201" s="520">
        <f>ER201+ES185</f>
        <v>5814</v>
      </c>
      <c r="ET201" s="520">
        <f>ES201+ET185+10000</f>
        <v>15320</v>
      </c>
      <c r="EU201" s="521"/>
      <c r="EV201" s="507"/>
      <c r="EW201" s="520">
        <f>ET201+EW185</f>
        <v>14818</v>
      </c>
      <c r="EX201" s="520">
        <f>EW201+EX185+12000</f>
        <v>24866</v>
      </c>
      <c r="EY201" s="520">
        <f>EX201+EY185+12000</f>
        <v>32899</v>
      </c>
      <c r="EZ201" s="520">
        <f>EY201+EZ185</f>
        <v>29899</v>
      </c>
      <c r="FA201" s="521"/>
      <c r="FB201" s="507"/>
      <c r="FC201" s="520">
        <f>EZ201+FC185</f>
        <v>26899</v>
      </c>
      <c r="FD201" s="520">
        <f>FC201+FD185</f>
        <v>23899</v>
      </c>
      <c r="FE201" s="520">
        <f>FD201+FE185</f>
        <v>20899</v>
      </c>
      <c r="FF201" s="520">
        <f>FE201+FF185+10000</f>
        <v>27899</v>
      </c>
      <c r="FG201" s="521"/>
      <c r="FH201" s="507"/>
      <c r="FI201" s="520">
        <f>FF201+FI185</f>
        <v>24899</v>
      </c>
      <c r="FJ201" s="520">
        <f>FI201+FJ185</f>
        <v>21899</v>
      </c>
      <c r="FK201" s="520">
        <f>FJ201+FK185</f>
        <v>18899</v>
      </c>
      <c r="FL201" s="520">
        <f>FK201+FL185+10000</f>
        <v>25899</v>
      </c>
      <c r="FM201" s="521"/>
      <c r="FN201" s="135"/>
      <c r="FO201" s="135"/>
      <c r="FP201" s="135"/>
      <c r="FQ201" s="135"/>
      <c r="FR201"/>
      <c r="FS201"/>
      <c r="FT201"/>
      <c r="FU201"/>
      <c r="FV201"/>
      <c r="FW201"/>
      <c r="FX201" s="135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</row>
    <row r="202" spans="1:274" s="24" customFormat="1" ht="12" hidden="1" customHeight="1" outlineLevel="1" x14ac:dyDescent="0.2">
      <c r="A202" s="493"/>
      <c r="B202" s="20"/>
      <c r="C202" s="494"/>
      <c r="D202" s="494"/>
      <c r="E202" s="494"/>
      <c r="F202" s="494"/>
      <c r="G202" s="494"/>
      <c r="H202" s="494"/>
      <c r="I202" s="302"/>
      <c r="J202" s="302"/>
      <c r="K202" s="302"/>
      <c r="L202" s="302"/>
      <c r="M202" s="494"/>
      <c r="N202" s="494"/>
      <c r="O202" s="302"/>
      <c r="P202" s="302"/>
      <c r="Q202" s="302"/>
      <c r="R202" s="302"/>
      <c r="S202" s="494"/>
      <c r="T202" s="494"/>
      <c r="U202" s="302"/>
      <c r="V202" s="302"/>
      <c r="W202" s="302"/>
      <c r="X202" s="302"/>
      <c r="Y202" s="494"/>
      <c r="Z202" s="494"/>
      <c r="AA202" s="302"/>
      <c r="AB202" s="302"/>
      <c r="AC202" s="302"/>
      <c r="AD202" s="302"/>
      <c r="AE202" s="494"/>
      <c r="AF202" s="494"/>
      <c r="AG202" s="302"/>
      <c r="AH202" s="302"/>
      <c r="AI202" s="302"/>
      <c r="AJ202" s="302"/>
      <c r="AK202" s="516"/>
      <c r="AL202" s="494"/>
      <c r="AM202" s="302"/>
      <c r="AN202" s="302"/>
      <c r="AO202" s="302"/>
      <c r="AP202" s="302"/>
      <c r="AQ202" s="516"/>
      <c r="AR202" s="494"/>
      <c r="AS202" s="302"/>
      <c r="AT202" s="302"/>
      <c r="AU202" s="302"/>
      <c r="AV202" s="505"/>
      <c r="AW202" s="516"/>
      <c r="AX202" s="496"/>
      <c r="AY202" s="302"/>
      <c r="AZ202" s="302"/>
      <c r="BA202" s="302"/>
      <c r="BB202" s="302"/>
      <c r="BC202" s="516"/>
      <c r="BD202" s="494"/>
      <c r="BE202" s="543"/>
      <c r="BF202" s="543"/>
      <c r="BG202" s="543"/>
      <c r="BH202" s="543"/>
      <c r="BI202" s="516"/>
      <c r="BJ202" s="507"/>
      <c r="BK202" s="543"/>
      <c r="BL202" s="543"/>
      <c r="BM202" s="543"/>
      <c r="BN202" s="854"/>
      <c r="BO202" s="516"/>
      <c r="BP202" s="507"/>
      <c r="BQ202" s="495"/>
      <c r="BR202" s="495"/>
      <c r="BS202" s="495"/>
      <c r="BT202" s="495"/>
      <c r="BU202" s="516"/>
      <c r="BV202" s="507"/>
      <c r="BW202" s="495"/>
      <c r="BX202" s="495"/>
      <c r="BY202" s="495"/>
      <c r="BZ202" s="495"/>
      <c r="CA202" s="516"/>
      <c r="CB202" s="507"/>
      <c r="CC202" s="518"/>
      <c r="CD202" s="518"/>
      <c r="CE202" s="518"/>
      <c r="CF202" s="518"/>
      <c r="CG202" s="521"/>
      <c r="CH202" s="507"/>
      <c r="CI202" s="518"/>
      <c r="CJ202" s="518"/>
      <c r="CK202" s="518"/>
      <c r="CL202" s="518"/>
      <c r="CM202" s="521"/>
      <c r="CN202" s="507"/>
      <c r="CO202" s="495"/>
      <c r="CP202" s="495"/>
      <c r="CQ202" s="495"/>
      <c r="CR202" s="495"/>
      <c r="CS202" s="521"/>
      <c r="CT202" s="507"/>
      <c r="CU202" s="495"/>
      <c r="CV202" s="495"/>
      <c r="CW202" s="495"/>
      <c r="CX202" s="495"/>
      <c r="CY202" s="521"/>
      <c r="CZ202" s="507"/>
      <c r="DA202" s="495"/>
      <c r="DB202" s="495"/>
      <c r="DC202" s="495"/>
      <c r="DD202" s="495"/>
      <c r="DE202" s="521"/>
      <c r="DF202" s="507"/>
      <c r="DG202" s="495"/>
      <c r="DH202" s="495"/>
      <c r="DI202" s="495"/>
      <c r="DJ202" s="495"/>
      <c r="DK202" s="521"/>
      <c r="DL202" s="507"/>
      <c r="DM202" s="495"/>
      <c r="DN202" s="495"/>
      <c r="DO202" s="495"/>
      <c r="DP202" s="495"/>
      <c r="DQ202" s="521"/>
      <c r="DR202" s="507"/>
      <c r="DS202" s="495"/>
      <c r="DT202" s="495"/>
      <c r="DU202" s="495"/>
      <c r="DV202" s="495"/>
      <c r="DW202" s="521"/>
      <c r="DX202" s="507"/>
      <c r="DY202" s="495"/>
      <c r="DZ202" s="495"/>
      <c r="EA202" s="495"/>
      <c r="EB202" s="495"/>
      <c r="EC202" s="521"/>
      <c r="ED202" s="507"/>
      <c r="EE202" s="495"/>
      <c r="EF202" s="495"/>
      <c r="EG202" s="495"/>
      <c r="EH202" s="495"/>
      <c r="EI202" s="521"/>
      <c r="EJ202" s="507"/>
      <c r="EK202" s="495"/>
      <c r="EL202" s="495"/>
      <c r="EM202" s="495"/>
      <c r="EN202" s="495"/>
      <c r="EO202" s="521"/>
      <c r="EP202" s="507"/>
      <c r="EQ202" s="495"/>
      <c r="ER202" s="495"/>
      <c r="ES202" s="495"/>
      <c r="ET202" s="495"/>
      <c r="EU202" s="521"/>
      <c r="EV202" s="507"/>
      <c r="EW202" s="495"/>
      <c r="EX202" s="495"/>
      <c r="EY202" s="495"/>
      <c r="EZ202" s="495"/>
      <c r="FA202" s="521"/>
      <c r="FB202" s="507"/>
      <c r="FC202" s="495"/>
      <c r="FD202" s="495"/>
      <c r="FE202" s="495"/>
      <c r="FF202" s="495"/>
      <c r="FG202" s="521"/>
      <c r="FH202" s="507"/>
      <c r="FI202" s="495"/>
      <c r="FJ202" s="495"/>
      <c r="FK202" s="495"/>
      <c r="FL202" s="495"/>
      <c r="FM202" s="521"/>
      <c r="FN202" s="135"/>
      <c r="FO202" s="135"/>
      <c r="FP202" s="135"/>
      <c r="FQ202" s="135"/>
      <c r="FR202"/>
      <c r="FS202"/>
      <c r="FT202"/>
      <c r="FU202"/>
      <c r="FV202"/>
      <c r="FW202"/>
      <c r="FX202" s="135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</row>
    <row r="203" spans="1:274" s="24" customFormat="1" ht="10.5" customHeight="1" collapsed="1" x14ac:dyDescent="0.2">
      <c r="A203" s="242"/>
      <c r="B203" s="595"/>
      <c r="C203" s="272"/>
      <c r="D203" s="272"/>
      <c r="E203" s="272"/>
      <c r="F203" s="272"/>
      <c r="G203" s="272"/>
      <c r="H203" s="272"/>
      <c r="I203" s="272"/>
      <c r="J203" s="272"/>
      <c r="K203" s="272"/>
      <c r="L203" s="272"/>
      <c r="M203" s="272"/>
      <c r="N203" s="261"/>
      <c r="O203" s="42"/>
      <c r="P203" s="42"/>
      <c r="Q203" s="42"/>
      <c r="R203" s="42"/>
      <c r="S203" s="259"/>
      <c r="T203" s="261"/>
      <c r="U203" s="272"/>
      <c r="V203" s="272"/>
      <c r="W203" s="272"/>
      <c r="X203" s="272"/>
      <c r="Y203" s="272"/>
      <c r="Z203" s="261"/>
      <c r="AA203" s="272"/>
      <c r="AB203" s="272"/>
      <c r="AC203" s="272"/>
      <c r="AD203" s="272"/>
      <c r="AE203" s="272"/>
      <c r="AF203" s="261"/>
      <c r="AG203" s="272"/>
      <c r="AH203" s="272"/>
      <c r="AI203" s="272"/>
      <c r="AJ203" s="272"/>
      <c r="AK203" s="272"/>
      <c r="AL203" s="261"/>
      <c r="AM203" s="272"/>
      <c r="AN203" s="272"/>
      <c r="AO203" s="272"/>
      <c r="AP203" s="272"/>
      <c r="AQ203" s="272"/>
      <c r="AR203" s="261"/>
      <c r="AS203" s="272"/>
      <c r="AT203" s="272"/>
      <c r="AU203" s="272"/>
      <c r="AV203" s="272"/>
      <c r="AW203" s="272"/>
      <c r="AX203" s="272"/>
      <c r="AY203" s="272"/>
      <c r="AZ203" s="272"/>
      <c r="BA203" s="272"/>
      <c r="BB203" s="272"/>
      <c r="BC203" s="272"/>
      <c r="BD203" s="261"/>
      <c r="CG203" s="985"/>
      <c r="CM203" s="985"/>
      <c r="CS203" s="985"/>
      <c r="CY203" s="985"/>
      <c r="DD203" s="272"/>
      <c r="DE203" s="557"/>
      <c r="DF203" s="488"/>
      <c r="DG203" s="272"/>
      <c r="DH203" s="272"/>
      <c r="DI203" s="272"/>
      <c r="DJ203" s="272"/>
      <c r="DK203" s="557"/>
      <c r="DL203" s="488"/>
      <c r="DM203" s="272"/>
      <c r="DN203" s="272"/>
      <c r="DO203" s="272"/>
      <c r="DP203" s="272"/>
      <c r="DQ203" s="557"/>
      <c r="DR203" s="488"/>
      <c r="DS203" s="272"/>
      <c r="DT203" s="272"/>
      <c r="DU203" s="272"/>
      <c r="DV203" s="272"/>
      <c r="DW203" s="557"/>
      <c r="DX203" s="488"/>
      <c r="DY203" s="272"/>
      <c r="DZ203" s="272"/>
      <c r="EA203" s="272"/>
      <c r="EB203" s="272"/>
      <c r="EC203" s="557"/>
      <c r="ED203" s="488"/>
      <c r="EE203" s="272"/>
      <c r="EF203" s="272"/>
      <c r="EG203" s="272"/>
      <c r="EH203" s="272"/>
      <c r="EI203" s="557"/>
      <c r="EJ203" s="488"/>
      <c r="EK203" s="272"/>
      <c r="EL203" s="272"/>
      <c r="EM203" s="272"/>
      <c r="EN203" s="272"/>
      <c r="EO203" s="557"/>
      <c r="EP203" s="488"/>
      <c r="EQ203" s="272"/>
      <c r="ER203" s="272"/>
      <c r="ES203" s="272"/>
      <c r="ET203" s="272"/>
      <c r="EU203" s="557"/>
      <c r="EV203" s="488"/>
      <c r="EW203" s="272"/>
      <c r="EX203" s="272"/>
      <c r="EY203" s="272"/>
      <c r="EZ203" s="272"/>
      <c r="FA203" s="557"/>
      <c r="FB203" s="488"/>
      <c r="FC203" s="272"/>
      <c r="FD203" s="272"/>
      <c r="FE203" s="272"/>
      <c r="FF203" s="272"/>
      <c r="FG203" s="557"/>
      <c r="FH203" s="488"/>
      <c r="FI203" s="272"/>
      <c r="FJ203" s="272"/>
      <c r="FK203" s="272"/>
      <c r="FL203" s="272"/>
      <c r="FM203" s="557"/>
      <c r="FN203" s="242"/>
      <c r="FO203" s="242"/>
      <c r="FP203" s="242"/>
      <c r="FQ203" s="242"/>
      <c r="FR203"/>
      <c r="FS203"/>
      <c r="FT203"/>
      <c r="FU203"/>
      <c r="FV203"/>
      <c r="FW203"/>
      <c r="FX203" s="242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</row>
    <row r="204" spans="1:274" s="24" customFormat="1" ht="12.75" customHeight="1" x14ac:dyDescent="0.2">
      <c r="A204" s="341"/>
      <c r="B204" s="20"/>
      <c r="C204" s="135"/>
      <c r="D204" s="135"/>
      <c r="E204" s="135"/>
      <c r="F204" s="135"/>
      <c r="G204" s="135"/>
      <c r="H204" s="135"/>
      <c r="I204" s="135"/>
      <c r="J204" s="135"/>
      <c r="K204" s="135"/>
      <c r="L204" s="135"/>
      <c r="M204" s="135"/>
      <c r="N204" s="135"/>
      <c r="O204" s="135"/>
      <c r="P204" s="135"/>
      <c r="Q204" s="135"/>
      <c r="R204" s="135"/>
      <c r="S204" s="135"/>
      <c r="T204" s="135"/>
      <c r="U204" s="135"/>
      <c r="V204" s="135"/>
      <c r="W204" s="135"/>
      <c r="X204" s="135"/>
      <c r="Y204" s="135"/>
      <c r="Z204" s="135"/>
      <c r="AA204" s="135"/>
      <c r="AB204" s="135"/>
      <c r="AC204" s="135"/>
      <c r="AD204" s="135"/>
      <c r="AE204" s="135"/>
      <c r="AF204" s="135"/>
      <c r="AG204" s="135"/>
      <c r="AH204" s="135"/>
      <c r="AI204" s="135"/>
      <c r="AJ204" s="135"/>
      <c r="AK204" s="135"/>
      <c r="AL204" s="135"/>
      <c r="AM204" s="135"/>
      <c r="AN204" s="135"/>
      <c r="AO204" s="135"/>
      <c r="AP204" s="135"/>
      <c r="AQ204" s="135"/>
      <c r="AR204" s="135"/>
      <c r="AS204" s="135"/>
      <c r="AT204" s="135"/>
      <c r="AU204" s="135"/>
      <c r="AV204" s="135"/>
      <c r="AW204" s="135"/>
      <c r="AX204" s="135"/>
      <c r="AY204" s="135"/>
      <c r="AZ204" s="135"/>
      <c r="BA204" s="135"/>
      <c r="BB204" s="135"/>
      <c r="BC204" s="135"/>
      <c r="BD204" s="135"/>
      <c r="BE204" s="236"/>
      <c r="BF204" s="236"/>
      <c r="BG204" s="236"/>
      <c r="BH204" s="236"/>
      <c r="BI204" s="135"/>
      <c r="BJ204" s="135"/>
      <c r="BK204" s="236"/>
      <c r="BL204" s="236"/>
      <c r="BM204" s="236"/>
      <c r="BN204" s="236"/>
      <c r="BO204" s="135"/>
      <c r="BP204" s="135"/>
      <c r="BQ204" s="214"/>
      <c r="BR204" s="214"/>
      <c r="BS204" s="214"/>
      <c r="BT204" s="214"/>
      <c r="BU204" s="214"/>
      <c r="BV204" s="135"/>
      <c r="BW204" s="214"/>
      <c r="BX204" s="214"/>
      <c r="BY204" s="214"/>
      <c r="BZ204" s="214"/>
      <c r="CA204" s="214"/>
      <c r="CB204" s="135"/>
      <c r="CC204" s="135"/>
      <c r="CD204" s="135"/>
      <c r="CE204" s="135"/>
      <c r="CF204" s="135"/>
      <c r="CG204" s="985"/>
      <c r="CH204" s="135"/>
      <c r="CI204" s="135"/>
      <c r="CJ204" s="135"/>
      <c r="CK204" s="135"/>
      <c r="CL204" s="135"/>
      <c r="CM204" s="985"/>
      <c r="CN204" s="135"/>
      <c r="CO204" s="135"/>
      <c r="CP204" s="135"/>
      <c r="CQ204" s="135"/>
      <c r="CR204" s="135"/>
      <c r="CS204" s="985"/>
      <c r="CT204" s="135"/>
      <c r="CU204" s="135"/>
      <c r="CV204" s="135"/>
      <c r="CW204" s="135"/>
      <c r="CX204" s="135"/>
      <c r="CY204" s="985"/>
      <c r="CZ204" s="135"/>
      <c r="DA204" s="135"/>
      <c r="DB204" s="135"/>
      <c r="DC204" s="135"/>
      <c r="DD204" s="135"/>
      <c r="DE204" s="985"/>
      <c r="DF204" s="135"/>
      <c r="DG204" s="135"/>
      <c r="DH204" s="135"/>
      <c r="DI204" s="135"/>
      <c r="DJ204" s="135"/>
      <c r="DK204" s="985"/>
      <c r="DL204" s="135"/>
      <c r="DM204" s="135"/>
      <c r="DN204" s="135"/>
      <c r="DO204" s="135"/>
      <c r="DP204" s="135"/>
      <c r="DQ204" s="985"/>
      <c r="DR204" s="135"/>
      <c r="DS204" s="135"/>
      <c r="DT204" s="135"/>
      <c r="DU204" s="135"/>
      <c r="DV204" s="135"/>
      <c r="DW204" s="985"/>
      <c r="DX204" s="135"/>
      <c r="DY204" s="135"/>
      <c r="DZ204" s="135"/>
      <c r="EA204" s="135"/>
      <c r="EB204" s="1643"/>
      <c r="EC204" s="985"/>
      <c r="ED204" s="135"/>
      <c r="EE204" s="135"/>
      <c r="EF204" s="135"/>
      <c r="EG204" s="135"/>
      <c r="EH204" s="135"/>
      <c r="EI204" s="985"/>
      <c r="EJ204" s="135"/>
      <c r="EK204" s="135"/>
      <c r="EL204" s="135"/>
      <c r="EM204" s="135"/>
      <c r="EN204" s="135"/>
      <c r="EO204" s="985"/>
      <c r="EP204" s="135"/>
      <c r="EQ204" s="135"/>
      <c r="ER204" s="135"/>
      <c r="ES204" s="135"/>
      <c r="ET204" s="135"/>
      <c r="EU204" s="985"/>
      <c r="EV204" s="135"/>
      <c r="EW204" s="135"/>
      <c r="EX204" s="135"/>
      <c r="EY204" s="135"/>
      <c r="EZ204" s="135"/>
      <c r="FA204" s="985"/>
      <c r="FB204" s="135"/>
      <c r="FC204" s="135"/>
      <c r="FD204" s="135"/>
      <c r="FE204" s="135"/>
      <c r="FF204" s="135"/>
      <c r="FG204" s="985"/>
      <c r="FH204" s="135"/>
      <c r="FI204" s="135"/>
      <c r="FJ204" s="135"/>
      <c r="FK204" s="135"/>
      <c r="FL204" s="135"/>
      <c r="FM204" s="985"/>
      <c r="FN204" s="135"/>
      <c r="FO204" s="135"/>
      <c r="FP204" s="135"/>
      <c r="FQ204" s="135"/>
      <c r="FR204"/>
      <c r="FS204"/>
      <c r="FT204"/>
      <c r="FU204"/>
      <c r="FV204"/>
      <c r="FW204"/>
      <c r="FX204" s="135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</row>
    <row r="205" spans="1:274" s="24" customFormat="1" ht="12.75" hidden="1" customHeight="1" outlineLevel="1" x14ac:dyDescent="0.2">
      <c r="A205" s="341" t="s">
        <v>569</v>
      </c>
      <c r="B205" s="20"/>
      <c r="C205" s="135"/>
      <c r="D205" s="135"/>
      <c r="E205" s="135"/>
      <c r="F205" s="135"/>
      <c r="G205" s="135"/>
      <c r="H205" s="135"/>
      <c r="I205" s="135"/>
      <c r="J205" s="135"/>
      <c r="K205" s="135"/>
      <c r="L205" s="135"/>
      <c r="M205" s="135"/>
      <c r="N205" s="135"/>
      <c r="O205" s="135"/>
      <c r="P205" s="135"/>
      <c r="Q205" s="135"/>
      <c r="R205" s="135"/>
      <c r="S205" s="135"/>
      <c r="T205" s="135"/>
      <c r="U205" s="135"/>
      <c r="V205" s="135"/>
      <c r="W205" s="135"/>
      <c r="X205" s="135"/>
      <c r="Y205" s="135"/>
      <c r="Z205" s="135"/>
      <c r="AA205" s="135"/>
      <c r="AB205" s="135"/>
      <c r="AC205" s="135"/>
      <c r="AD205" s="135"/>
      <c r="AE205" s="135"/>
      <c r="AF205" s="135"/>
      <c r="AG205" s="135"/>
      <c r="AH205" s="135"/>
      <c r="AI205" s="135"/>
      <c r="AJ205" s="135"/>
      <c r="AK205" s="135"/>
      <c r="AL205" s="135"/>
      <c r="AM205" s="135"/>
      <c r="AN205" s="135"/>
      <c r="AO205" s="135"/>
      <c r="AP205" s="135"/>
      <c r="AQ205" s="135"/>
      <c r="AR205" s="135"/>
      <c r="AS205" s="135"/>
      <c r="AT205" s="135"/>
      <c r="AU205" s="135"/>
      <c r="AV205" s="135"/>
      <c r="AW205" s="135"/>
      <c r="AX205" s="135"/>
      <c r="AY205" s="135"/>
      <c r="AZ205" s="135"/>
      <c r="BA205" s="135"/>
      <c r="BB205" s="135"/>
      <c r="BC205" s="135"/>
      <c r="BD205" s="135"/>
      <c r="BE205" s="135"/>
      <c r="BF205" s="135"/>
      <c r="BG205" s="135"/>
      <c r="BH205" s="135"/>
      <c r="BI205" s="135"/>
      <c r="BJ205" s="135"/>
      <c r="BK205" s="135"/>
      <c r="BL205" s="135"/>
      <c r="BM205" s="135"/>
      <c r="BN205" s="135"/>
      <c r="BO205" s="135"/>
      <c r="BP205" s="135"/>
      <c r="BQ205" s="135"/>
      <c r="BR205" s="42"/>
      <c r="BS205" s="42"/>
      <c r="BT205" s="135"/>
      <c r="BU205" s="135"/>
      <c r="BV205" s="135"/>
      <c r="BW205" s="135"/>
      <c r="BX205" s="135"/>
      <c r="BY205" s="135"/>
      <c r="BZ205" s="135"/>
      <c r="CA205" s="135"/>
      <c r="CB205" s="135"/>
      <c r="CC205" s="135"/>
      <c r="CD205" s="135"/>
      <c r="CE205" s="135"/>
      <c r="CF205" s="135"/>
      <c r="CG205" s="985"/>
      <c r="CH205" s="135"/>
      <c r="CI205" s="135"/>
      <c r="CJ205" s="135"/>
      <c r="CK205" s="135"/>
      <c r="CL205" s="135"/>
      <c r="CM205" s="985"/>
      <c r="CN205" s="135"/>
      <c r="CO205" s="135"/>
      <c r="CP205" s="135"/>
      <c r="CQ205" s="135"/>
      <c r="CR205" s="135"/>
      <c r="CS205" s="985"/>
      <c r="CT205" s="135"/>
      <c r="CU205" s="135"/>
      <c r="CV205" s="135"/>
      <c r="CW205" s="135"/>
      <c r="CX205" s="135"/>
      <c r="CY205" s="985"/>
      <c r="CZ205" s="135"/>
      <c r="DA205" s="135"/>
      <c r="DB205" s="135"/>
      <c r="DC205" s="135"/>
      <c r="DD205" s="135"/>
      <c r="DE205" s="985"/>
      <c r="DF205" s="135"/>
      <c r="DG205" s="135"/>
      <c r="DH205" s="135"/>
      <c r="DI205" s="135"/>
      <c r="DJ205" s="135"/>
      <c r="DK205" s="985"/>
      <c r="DL205" s="135"/>
      <c r="DM205" s="135"/>
      <c r="DN205" s="135"/>
      <c r="DO205" s="135"/>
      <c r="DP205" s="135"/>
      <c r="DQ205" s="985"/>
      <c r="DR205" s="135"/>
      <c r="DS205" s="135"/>
      <c r="DT205" s="135"/>
      <c r="DU205" s="135"/>
      <c r="DV205" s="135"/>
      <c r="DW205" s="985"/>
      <c r="DX205" s="135"/>
      <c r="DY205" s="135"/>
      <c r="DZ205" s="135"/>
      <c r="EA205" s="135"/>
      <c r="EB205" s="135"/>
      <c r="EC205" s="985"/>
      <c r="ED205" s="135"/>
      <c r="EE205" s="135"/>
      <c r="EF205" s="135"/>
      <c r="EG205" s="135"/>
      <c r="EH205" s="135"/>
      <c r="EI205" s="985"/>
      <c r="EJ205" s="135"/>
      <c r="EK205" s="135"/>
      <c r="EL205" s="135"/>
      <c r="EM205" s="135"/>
      <c r="EN205" s="135"/>
      <c r="EO205" s="985"/>
      <c r="EP205" s="135"/>
      <c r="EQ205" s="135"/>
      <c r="ER205" s="135"/>
      <c r="ES205" s="135"/>
      <c r="ET205" s="135"/>
      <c r="EU205" s="985"/>
      <c r="EV205" s="135"/>
      <c r="EW205" s="135"/>
      <c r="EX205" s="135"/>
      <c r="EY205" s="135"/>
      <c r="EZ205" s="135"/>
      <c r="FA205" s="985"/>
      <c r="FB205" s="135"/>
      <c r="FC205" s="135"/>
      <c r="FD205" s="135"/>
      <c r="FE205" s="135"/>
      <c r="FF205" s="135"/>
      <c r="FG205" s="985"/>
      <c r="FH205" s="135"/>
      <c r="FI205" s="135"/>
      <c r="FJ205" s="135"/>
      <c r="FK205" s="135"/>
      <c r="FL205" s="135"/>
      <c r="FM205" s="985"/>
      <c r="FN205" s="135"/>
      <c r="FO205" s="135"/>
      <c r="FP205" s="135"/>
      <c r="FQ205" s="135"/>
      <c r="FR205"/>
      <c r="FS205"/>
      <c r="FT205"/>
      <c r="FU205"/>
      <c r="FV205"/>
      <c r="FW205"/>
      <c r="FX205" s="13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</row>
    <row r="206" spans="1:274" s="24" customFormat="1" ht="12.75" hidden="1" customHeight="1" outlineLevel="1" x14ac:dyDescent="0.2">
      <c r="A206" s="493" t="s">
        <v>784</v>
      </c>
      <c r="B206" s="20"/>
      <c r="C206" s="494"/>
      <c r="D206" s="494"/>
      <c r="E206" s="494"/>
      <c r="F206" s="494"/>
      <c r="G206" s="494"/>
      <c r="H206" s="494"/>
      <c r="I206" s="494"/>
      <c r="J206" s="494"/>
      <c r="K206" s="494"/>
      <c r="L206" s="494"/>
      <c r="M206" s="494"/>
      <c r="N206" s="494"/>
      <c r="O206" s="494"/>
      <c r="P206" s="494"/>
      <c r="Q206" s="494"/>
      <c r="R206" s="494"/>
      <c r="S206" s="494"/>
      <c r="T206" s="494"/>
      <c r="U206" s="494"/>
      <c r="V206" s="494"/>
      <c r="W206" s="494"/>
      <c r="X206" s="494"/>
      <c r="Y206" s="494"/>
      <c r="Z206" s="494"/>
      <c r="AA206" s="494"/>
      <c r="AB206" s="494"/>
      <c r="AC206" s="494"/>
      <c r="AD206" s="494"/>
      <c r="AE206" s="494"/>
      <c r="AF206" s="494"/>
      <c r="AG206" s="494"/>
      <c r="AH206" s="494"/>
      <c r="AI206" s="494"/>
      <c r="AJ206" s="494"/>
      <c r="AK206" s="494"/>
      <c r="AL206" s="494"/>
      <c r="AM206" s="494"/>
      <c r="AN206" s="494"/>
      <c r="AO206" s="494"/>
      <c r="AP206" s="494"/>
      <c r="AQ206" s="494"/>
      <c r="AR206" s="494"/>
      <c r="AS206" s="494"/>
      <c r="AT206" s="494"/>
      <c r="AU206" s="494"/>
      <c r="AV206" s="494"/>
      <c r="AW206" s="494"/>
      <c r="AX206" s="494"/>
      <c r="AY206" s="494"/>
      <c r="AZ206" s="507"/>
      <c r="BA206" s="507"/>
      <c r="BB206" s="507"/>
      <c r="BC206" s="518">
        <f>AW39</f>
        <v>3344</v>
      </c>
      <c r="BD206" s="495"/>
      <c r="BE206" s="518">
        <f>BB39</f>
        <v>1609.55</v>
      </c>
      <c r="BF206" s="518">
        <f>BE39</f>
        <v>1400.4829999999999</v>
      </c>
      <c r="BG206" s="518">
        <f>BF39</f>
        <v>910.42</v>
      </c>
      <c r="BH206" s="518">
        <f>BG39</f>
        <v>1235.3240000000001</v>
      </c>
      <c r="BI206" s="518">
        <f>BC39</f>
        <v>1609.55</v>
      </c>
      <c r="BJ206" s="495"/>
      <c r="BK206" s="518">
        <f>BH39</f>
        <v>1210</v>
      </c>
      <c r="BL206" s="518">
        <f>BK39</f>
        <v>853</v>
      </c>
      <c r="BM206" s="518">
        <f>BL39</f>
        <v>540</v>
      </c>
      <c r="BN206" s="518">
        <f>BM39</f>
        <v>657</v>
      </c>
      <c r="BO206" s="518">
        <f>BI39</f>
        <v>1210</v>
      </c>
      <c r="BP206" s="495"/>
      <c r="BQ206" s="518">
        <f>BN39</f>
        <v>1092</v>
      </c>
      <c r="BR206" s="518">
        <f>BQ39</f>
        <v>1347</v>
      </c>
      <c r="BS206" s="518">
        <f>BR39</f>
        <v>1780</v>
      </c>
      <c r="BT206" s="518">
        <f>BS39</f>
        <v>1828</v>
      </c>
      <c r="BU206" s="518">
        <f>BO39</f>
        <v>1092</v>
      </c>
      <c r="BV206" s="495"/>
      <c r="BW206" s="518">
        <f>BT39</f>
        <v>2383</v>
      </c>
      <c r="BX206" s="518">
        <f>BW39</f>
        <v>2398</v>
      </c>
      <c r="BY206" s="518">
        <f>BX39</f>
        <v>2705</v>
      </c>
      <c r="BZ206" s="518">
        <f>BY39</f>
        <v>3245</v>
      </c>
      <c r="CA206" s="518">
        <f>BU39</f>
        <v>2383</v>
      </c>
      <c r="CB206" s="495"/>
      <c r="CC206" s="518">
        <f>BZ39</f>
        <v>4043</v>
      </c>
      <c r="CD206" s="518">
        <f>CC39</f>
        <v>4334</v>
      </c>
      <c r="CE206" s="518">
        <f>CD39</f>
        <v>5063</v>
      </c>
      <c r="CF206" s="518">
        <f>CE39</f>
        <v>5828</v>
      </c>
      <c r="CG206" s="534">
        <f>CA39</f>
        <v>4043</v>
      </c>
      <c r="CH206" s="495"/>
      <c r="CI206" s="518">
        <f>CF210</f>
        <v>5537.85</v>
      </c>
      <c r="CJ206" s="518">
        <f>CI210</f>
        <v>5294.85</v>
      </c>
      <c r="CK206" s="518">
        <f>CJ210</f>
        <v>5366.85</v>
      </c>
      <c r="CL206" s="518">
        <f>CK39</f>
        <v>5511</v>
      </c>
      <c r="CM206" s="534">
        <f>CG39</f>
        <v>5538</v>
      </c>
      <c r="CN206" s="495"/>
      <c r="CO206" s="518">
        <f>CL39</f>
        <v>6223</v>
      </c>
      <c r="CP206" s="518">
        <f>CO39</f>
        <v>6619</v>
      </c>
      <c r="CQ206" s="518">
        <f>CP39</f>
        <v>7478</v>
      </c>
      <c r="CR206" s="518">
        <f>CQ39</f>
        <v>8368</v>
      </c>
      <c r="CS206" s="534">
        <f>CM39</f>
        <v>6223</v>
      </c>
      <c r="CT206" s="495"/>
      <c r="CU206" s="518">
        <f>CR39</f>
        <v>9948</v>
      </c>
      <c r="CV206" s="518">
        <f>CU39</f>
        <v>10566.6</v>
      </c>
      <c r="CW206" s="518">
        <f>CV39</f>
        <v>10177.184000000001</v>
      </c>
      <c r="CX206" s="518">
        <f>CW39</f>
        <v>10468</v>
      </c>
      <c r="CY206" s="534">
        <f>CS39</f>
        <v>9948</v>
      </c>
      <c r="CZ206" s="495"/>
      <c r="DA206" s="518">
        <f>CX39</f>
        <v>11894</v>
      </c>
      <c r="DB206" s="518">
        <f>DA39</f>
        <v>12563</v>
      </c>
      <c r="DC206" s="518">
        <f>DB39</f>
        <v>13541</v>
      </c>
      <c r="DD206" s="518">
        <f>DC39</f>
        <v>14257</v>
      </c>
      <c r="DE206" s="534">
        <f>CY39</f>
        <v>11894</v>
      </c>
      <c r="DF206" s="495"/>
      <c r="DG206" s="518">
        <f>DD39</f>
        <v>16146</v>
      </c>
      <c r="DH206" s="518">
        <f>DG39</f>
        <v>17027</v>
      </c>
      <c r="DI206" s="518">
        <f>DH39</f>
        <v>18422</v>
      </c>
      <c r="DJ206" s="518">
        <f>DI39</f>
        <v>20059</v>
      </c>
      <c r="DK206" s="534">
        <f>DE39</f>
        <v>16146</v>
      </c>
      <c r="DL206" s="495"/>
      <c r="DM206" s="518">
        <f>DJ39</f>
        <v>22581</v>
      </c>
      <c r="DN206" s="518">
        <f>DM39</f>
        <v>23385</v>
      </c>
      <c r="DO206" s="518">
        <f>DN39</f>
        <v>24383</v>
      </c>
      <c r="DP206" s="518">
        <f>DO39</f>
        <v>25116</v>
      </c>
      <c r="DQ206" s="534">
        <f>DK39</f>
        <v>22581</v>
      </c>
      <c r="DR206" s="495"/>
      <c r="DS206" s="518">
        <f>DP39</f>
        <v>26087</v>
      </c>
      <c r="DT206" s="518">
        <f>DS39</f>
        <v>25117</v>
      </c>
      <c r="DU206" s="518">
        <f>DT39</f>
        <v>24746</v>
      </c>
      <c r="DV206" s="518">
        <f>DU39</f>
        <v>24549</v>
      </c>
      <c r="DW206" s="534">
        <f>DQ39</f>
        <v>26087</v>
      </c>
      <c r="DX206" s="495"/>
      <c r="DY206" s="518">
        <f>DV39</f>
        <v>25854</v>
      </c>
      <c r="DZ206" s="518">
        <f>DY39</f>
        <v>24830</v>
      </c>
      <c r="EA206" s="518">
        <f>DZ39</f>
        <v>24386</v>
      </c>
      <c r="EB206" s="518">
        <f>EA39</f>
        <v>24606</v>
      </c>
      <c r="EC206" s="534">
        <f>DW39</f>
        <v>25854</v>
      </c>
      <c r="ED206" s="495"/>
      <c r="EE206" s="518">
        <f>EB39</f>
        <v>25965</v>
      </c>
      <c r="EF206" s="518">
        <f>EE39</f>
        <v>25838</v>
      </c>
      <c r="EG206" s="518">
        <f>EF39</f>
        <v>25972</v>
      </c>
      <c r="EH206" s="518">
        <f>EG39</f>
        <v>26165</v>
      </c>
      <c r="EI206" s="534">
        <f>EC39</f>
        <v>25965</v>
      </c>
      <c r="EJ206" s="495"/>
      <c r="EK206" s="518">
        <f>EH39</f>
        <v>26503</v>
      </c>
      <c r="EL206" s="518">
        <f>EK39</f>
        <v>24964</v>
      </c>
      <c r="EM206" s="518">
        <f>EL39</f>
        <v>23737</v>
      </c>
      <c r="EN206" s="518">
        <f>EM39</f>
        <v>23390</v>
      </c>
      <c r="EO206" s="534">
        <f>EI39</f>
        <v>26503</v>
      </c>
      <c r="EP206" s="495"/>
      <c r="EQ206" s="518">
        <f>EN39</f>
        <v>23888</v>
      </c>
      <c r="ER206" s="518">
        <f>EQ39</f>
        <v>23380</v>
      </c>
      <c r="ES206" s="518">
        <f>ER39</f>
        <v>24375</v>
      </c>
      <c r="ET206" s="518">
        <f>ES39</f>
        <v>25576</v>
      </c>
      <c r="EU206" s="534">
        <f>EO39</f>
        <v>23888</v>
      </c>
      <c r="EV206" s="495"/>
      <c r="EW206" s="518">
        <f>ET39</f>
        <v>27598</v>
      </c>
      <c r="EX206" s="518">
        <f>EW39</f>
        <v>28586</v>
      </c>
      <c r="EY206" s="518">
        <f>EX39</f>
        <v>28296</v>
      </c>
      <c r="EZ206" s="518">
        <f>EY39</f>
        <v>29427.84</v>
      </c>
      <c r="FA206" s="534">
        <f>EU39</f>
        <v>27598</v>
      </c>
      <c r="FB206" s="495"/>
      <c r="FC206" s="518">
        <f>EZ39</f>
        <v>29121.151916543567</v>
      </c>
      <c r="FD206" s="518">
        <f>FC39</f>
        <v>27995.179804340263</v>
      </c>
      <c r="FE206" s="518">
        <f>FD39</f>
        <v>27203.213915064356</v>
      </c>
      <c r="FF206" s="518">
        <f>FE39</f>
        <v>26482.922235252343</v>
      </c>
      <c r="FG206" s="534">
        <f>FA39</f>
        <v>29121.151916543567</v>
      </c>
      <c r="FH206" s="495"/>
      <c r="FI206" s="518">
        <f>FF39</f>
        <v>26416.67422936868</v>
      </c>
      <c r="FJ206" s="518">
        <f>FI39</f>
        <v>25522.957147806112</v>
      </c>
      <c r="FK206" s="518">
        <f>FJ39</f>
        <v>24952.006617312436</v>
      </c>
      <c r="FL206" s="518">
        <f>FK39</f>
        <v>24427.939459186662</v>
      </c>
      <c r="FM206" s="534">
        <f>FG39</f>
        <v>26416.67422936868</v>
      </c>
      <c r="FN206" s="135"/>
      <c r="FO206" s="135"/>
      <c r="FP206" s="135"/>
      <c r="FQ206" s="135"/>
      <c r="FR206"/>
      <c r="FS206"/>
      <c r="FT206"/>
      <c r="FU206"/>
      <c r="FV206"/>
      <c r="FW206"/>
      <c r="FX206" s="135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</row>
    <row r="207" spans="1:274" s="24" customFormat="1" ht="12.75" hidden="1" customHeight="1" outlineLevel="1" x14ac:dyDescent="0.2">
      <c r="A207" s="493" t="s">
        <v>45</v>
      </c>
      <c r="B207" s="20"/>
      <c r="C207" s="494"/>
      <c r="D207" s="494"/>
      <c r="E207" s="494"/>
      <c r="F207" s="494"/>
      <c r="G207" s="494"/>
      <c r="H207" s="494"/>
      <c r="I207" s="494"/>
      <c r="J207" s="494"/>
      <c r="K207" s="494"/>
      <c r="L207" s="494"/>
      <c r="M207" s="494"/>
      <c r="N207" s="494"/>
      <c r="O207" s="494"/>
      <c r="P207" s="494"/>
      <c r="Q207" s="494"/>
      <c r="R207" s="494"/>
      <c r="S207" s="494"/>
      <c r="T207" s="494"/>
      <c r="U207" s="494"/>
      <c r="V207" s="494"/>
      <c r="W207" s="494"/>
      <c r="X207" s="494"/>
      <c r="Y207" s="494"/>
      <c r="Z207" s="494"/>
      <c r="AA207" s="494"/>
      <c r="AB207" s="494"/>
      <c r="AC207" s="494"/>
      <c r="AD207" s="494"/>
      <c r="AE207" s="494"/>
      <c r="AF207" s="494"/>
      <c r="AG207" s="494"/>
      <c r="AH207" s="494"/>
      <c r="AI207" s="494"/>
      <c r="AJ207" s="494"/>
      <c r="AK207" s="494"/>
      <c r="AL207" s="494"/>
      <c r="AM207" s="494"/>
      <c r="AN207" s="494"/>
      <c r="AO207" s="494"/>
      <c r="AP207" s="494"/>
      <c r="AQ207" s="494"/>
      <c r="AR207" s="494"/>
      <c r="AS207" s="494"/>
      <c r="AT207" s="494"/>
      <c r="AU207" s="494"/>
      <c r="AV207" s="494"/>
      <c r="AW207" s="494"/>
      <c r="AX207" s="494"/>
      <c r="AY207" s="494"/>
      <c r="AZ207" s="507"/>
      <c r="BA207" s="507"/>
      <c r="BB207" s="507"/>
      <c r="BC207" s="518">
        <f>Model!BC218</f>
        <v>2561.096</v>
      </c>
      <c r="BD207" s="495"/>
      <c r="BE207" s="518">
        <f>Model!BE218</f>
        <v>510.64699999999976</v>
      </c>
      <c r="BF207" s="518">
        <f>Model!BF218</f>
        <v>549.46199999999999</v>
      </c>
      <c r="BG207" s="518">
        <f>Model!BG218</f>
        <v>507.97499999999968</v>
      </c>
      <c r="BH207" s="518">
        <f>Model!BH218</f>
        <v>656.12099999999998</v>
      </c>
      <c r="BI207" s="518">
        <f>Model!BI218</f>
        <v>2224.2049999999995</v>
      </c>
      <c r="BJ207" s="495"/>
      <c r="BK207" s="518">
        <f>Model!BK218</f>
        <v>343</v>
      </c>
      <c r="BL207" s="518">
        <f>Model!BL218</f>
        <v>535</v>
      </c>
      <c r="BM207" s="518">
        <f>Model!BM218</f>
        <v>571</v>
      </c>
      <c r="BN207" s="518">
        <f>Model!BN218</f>
        <v>858.40000000000009</v>
      </c>
      <c r="BO207" s="518">
        <f>Model!BO218</f>
        <v>2307.4</v>
      </c>
      <c r="BP207" s="495"/>
      <c r="BQ207" s="518">
        <f>Model!BQ218</f>
        <v>440</v>
      </c>
      <c r="BR207" s="518">
        <f>Model!BR218</f>
        <v>617</v>
      </c>
      <c r="BS207" s="518">
        <f>Model!BS218</f>
        <v>634</v>
      </c>
      <c r="BT207" s="518">
        <f>Model!BT218</f>
        <v>990</v>
      </c>
      <c r="BU207" s="518">
        <f>Model!BU218</f>
        <v>2681</v>
      </c>
      <c r="BV207" s="495"/>
      <c r="BW207" s="518">
        <f>Model!BW218</f>
        <v>509</v>
      </c>
      <c r="BX207" s="518">
        <f>Model!BX218</f>
        <v>815</v>
      </c>
      <c r="BY207" s="518">
        <f>Model!BY218</f>
        <v>538</v>
      </c>
      <c r="BZ207" s="518">
        <f>Model!BZ218</f>
        <v>1023.992</v>
      </c>
      <c r="CA207" s="518">
        <f>Model!CA218</f>
        <v>2885.9920000000002</v>
      </c>
      <c r="CB207" s="495"/>
      <c r="CC207" s="518">
        <f>Model!CC218</f>
        <v>519</v>
      </c>
      <c r="CD207" s="518">
        <f>Model!CD218</f>
        <v>797.5</v>
      </c>
      <c r="CE207" s="518">
        <f>Model!CE218</f>
        <v>764.90000000000009</v>
      </c>
      <c r="CF207" s="518">
        <f>Model!CF218</f>
        <v>1300.4500000000003</v>
      </c>
      <c r="CG207" s="534">
        <f>Model!CG218</f>
        <v>3381.8500000000004</v>
      </c>
      <c r="CH207" s="495"/>
      <c r="CI207" s="518">
        <f>Model!CI218</f>
        <v>672</v>
      </c>
      <c r="CJ207" s="518">
        <f>Model!CJ218</f>
        <v>969.5</v>
      </c>
      <c r="CK207" s="518">
        <f>Model!CK218</f>
        <v>1033</v>
      </c>
      <c r="CL207" s="518">
        <f>Model!CL218</f>
        <v>1599.5</v>
      </c>
      <c r="CM207" s="534">
        <f>Model!CM218</f>
        <v>4274</v>
      </c>
      <c r="CN207" s="495"/>
      <c r="CO207" s="518">
        <f>Model!CO218</f>
        <v>840</v>
      </c>
      <c r="CP207" s="518">
        <f>Model!CP218</f>
        <v>1303</v>
      </c>
      <c r="CQ207" s="518">
        <f>Model!CQ218</f>
        <v>1340</v>
      </c>
      <c r="CR207" s="518">
        <f>Model!CR218</f>
        <v>2037</v>
      </c>
      <c r="CS207" s="534">
        <f>Model!CS218</f>
        <v>5520</v>
      </c>
      <c r="CT207" s="495"/>
      <c r="CU207" s="518">
        <f>Model!CU218</f>
        <v>1077</v>
      </c>
      <c r="CV207" s="518">
        <f>Model!CV218</f>
        <v>1296</v>
      </c>
      <c r="CW207" s="518">
        <f>Model!CW218</f>
        <v>1329</v>
      </c>
      <c r="CX207" s="518">
        <f>Model!CX218</f>
        <v>1891</v>
      </c>
      <c r="CY207" s="534">
        <f>Model!CY218</f>
        <v>5593</v>
      </c>
      <c r="CZ207" s="495"/>
      <c r="DA207" s="518">
        <f>Model!DA218</f>
        <v>1124</v>
      </c>
      <c r="DB207" s="518">
        <f>Model!DB218</f>
        <v>1458</v>
      </c>
      <c r="DC207" s="518">
        <f>Model!DC218</f>
        <v>1189.3999999999996</v>
      </c>
      <c r="DD207" s="518">
        <f>Model!DD218</f>
        <v>2364.6999999999998</v>
      </c>
      <c r="DE207" s="534">
        <f>Model!DE218</f>
        <v>6136.0999999999995</v>
      </c>
      <c r="DF207" s="495"/>
      <c r="DG207" s="518">
        <f>Model!DG218</f>
        <v>1352</v>
      </c>
      <c r="DH207" s="518">
        <f>Model!DH218</f>
        <v>1915</v>
      </c>
      <c r="DI207" s="518">
        <f>Model!DI218</f>
        <v>2116</v>
      </c>
      <c r="DJ207" s="518">
        <f>Model!DJ218</f>
        <v>3209</v>
      </c>
      <c r="DK207" s="534">
        <f>Model!DK218</f>
        <v>8592</v>
      </c>
      <c r="DL207" s="495"/>
      <c r="DM207" s="518">
        <f>Model!DM218</f>
        <v>1841</v>
      </c>
      <c r="DN207" s="518">
        <f>Model!DN218</f>
        <v>2194</v>
      </c>
      <c r="DO207" s="518">
        <f>Model!DO218</f>
        <v>2498.3392000000003</v>
      </c>
      <c r="DP207" s="518">
        <f>Model!DP218</f>
        <v>3451.1597000000002</v>
      </c>
      <c r="DQ207" s="534">
        <f>Model!DQ218</f>
        <v>9984.4989000000005</v>
      </c>
      <c r="DR207" s="495"/>
      <c r="DS207" s="518">
        <f>Model!DS218</f>
        <v>2034</v>
      </c>
      <c r="DT207" s="518">
        <f>Model!DT218</f>
        <v>2581</v>
      </c>
      <c r="DU207" s="518">
        <f>Model!DU218</f>
        <v>2504</v>
      </c>
      <c r="DV207" s="518">
        <f>Model!DV218</f>
        <v>3803.711703323539</v>
      </c>
      <c r="DW207" s="534">
        <f>Model!DW218</f>
        <v>10922.711703323539</v>
      </c>
      <c r="DX207" s="495"/>
      <c r="DY207" s="518">
        <f>Model!DY218</f>
        <v>2191</v>
      </c>
      <c r="DZ207" s="518">
        <f>Model!DZ218</f>
        <v>2553</v>
      </c>
      <c r="EA207" s="518">
        <f>Model!EA218</f>
        <v>2565</v>
      </c>
      <c r="EB207" s="518">
        <f>Model!EB218</f>
        <v>3665</v>
      </c>
      <c r="EC207" s="534">
        <f>Model!EC218</f>
        <v>10974</v>
      </c>
      <c r="ED207" s="495"/>
      <c r="EE207" s="518">
        <f>Model!EE218</f>
        <v>2184</v>
      </c>
      <c r="EF207" s="518">
        <f>Model!EF218</f>
        <v>2502</v>
      </c>
      <c r="EG207" s="518">
        <f>Model!EG218</f>
        <v>2494</v>
      </c>
      <c r="EH207" s="518">
        <f>Model!EH218</f>
        <v>2757</v>
      </c>
      <c r="EI207" s="534">
        <f>Model!EI218</f>
        <v>9937</v>
      </c>
      <c r="EJ207" s="495"/>
      <c r="EK207" s="518">
        <f>Model!EK218</f>
        <v>1747</v>
      </c>
      <c r="EL207" s="518">
        <f>Model!EL218</f>
        <v>2197</v>
      </c>
      <c r="EM207" s="518">
        <f>Model!EM218</f>
        <v>2142</v>
      </c>
      <c r="EN207" s="518">
        <f>Model!EN218</f>
        <v>2814</v>
      </c>
      <c r="EO207" s="534">
        <f>Model!EO218</f>
        <v>8900</v>
      </c>
      <c r="EP207" s="495"/>
      <c r="EQ207" s="518">
        <f>Model!EQ218</f>
        <v>1849</v>
      </c>
      <c r="ER207" s="518">
        <f>Model!ER218</f>
        <v>2031.7799999999988</v>
      </c>
      <c r="ES207" s="518">
        <f>Model!ES218</f>
        <v>2239</v>
      </c>
      <c r="ET207" s="518">
        <f>Model!ET218</f>
        <v>3212</v>
      </c>
      <c r="EU207" s="534">
        <f>Model!EU218</f>
        <v>9331.7799999999988</v>
      </c>
      <c r="EV207" s="495"/>
      <c r="EW207" s="518">
        <f>Model!EW218</f>
        <v>2324</v>
      </c>
      <c r="EX207" s="518">
        <f>Model!EX218</f>
        <v>2233</v>
      </c>
      <c r="EY207" s="518">
        <f>Model!EY218</f>
        <v>-4024</v>
      </c>
      <c r="EZ207" s="518">
        <f>Model!EZ218</f>
        <v>3210.4716849674414</v>
      </c>
      <c r="FA207" s="534">
        <f>Model!FA218</f>
        <v>3743.4716849674414</v>
      </c>
      <c r="FB207" s="495"/>
      <c r="FC207" s="518">
        <f>Model!FC218</f>
        <v>2382.410122191643</v>
      </c>
      <c r="FD207" s="518">
        <f>Model!FD218</f>
        <v>2710.4249584144036</v>
      </c>
      <c r="FE207" s="518">
        <f>Model!FE218</f>
        <v>2776.272987749956</v>
      </c>
      <c r="FF207" s="518">
        <f>Model!FF218</f>
        <v>3424.6532466497629</v>
      </c>
      <c r="FG207" s="534">
        <f>Model!FG218</f>
        <v>11293.761315005766</v>
      </c>
      <c r="FH207" s="495"/>
      <c r="FI207" s="518">
        <f>Model!FI218</f>
        <v>2591.7941958350602</v>
      </c>
      <c r="FJ207" s="518">
        <f>Model!FJ218</f>
        <v>2909.4418418130526</v>
      </c>
      <c r="FK207" s="518">
        <f>Model!FK218</f>
        <v>2951.361964120978</v>
      </c>
      <c r="FL207" s="518">
        <f>Model!FL218</f>
        <v>3501.591655922115</v>
      </c>
      <c r="FM207" s="534">
        <f>Model!FM218</f>
        <v>11954.189657691206</v>
      </c>
      <c r="FN207" s="135"/>
      <c r="FO207" s="135"/>
      <c r="FP207" s="135"/>
      <c r="FQ207" s="135"/>
      <c r="FR207"/>
      <c r="FS207"/>
      <c r="FT207"/>
      <c r="FU207"/>
      <c r="FV207"/>
      <c r="FW207"/>
      <c r="FX207" s="135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</row>
    <row r="208" spans="1:274" s="24" customFormat="1" ht="12.75" hidden="1" customHeight="1" outlineLevel="1" x14ac:dyDescent="0.2">
      <c r="A208" s="493" t="s">
        <v>881</v>
      </c>
      <c r="B208" s="20"/>
      <c r="C208" s="494"/>
      <c r="D208" s="494"/>
      <c r="E208" s="494"/>
      <c r="F208" s="494"/>
      <c r="G208" s="494"/>
      <c r="H208" s="494"/>
      <c r="I208" s="494"/>
      <c r="J208" s="494"/>
      <c r="K208" s="494"/>
      <c r="L208" s="494"/>
      <c r="M208" s="494"/>
      <c r="N208" s="494"/>
      <c r="O208" s="494"/>
      <c r="P208" s="494"/>
      <c r="Q208" s="494"/>
      <c r="R208" s="494"/>
      <c r="S208" s="494"/>
      <c r="T208" s="494"/>
      <c r="U208" s="494"/>
      <c r="V208" s="494"/>
      <c r="W208" s="494"/>
      <c r="X208" s="494"/>
      <c r="Y208" s="494"/>
      <c r="Z208" s="494"/>
      <c r="AA208" s="494"/>
      <c r="AB208" s="494"/>
      <c r="AC208" s="494"/>
      <c r="AD208" s="494"/>
      <c r="AE208" s="494"/>
      <c r="AF208" s="494"/>
      <c r="AG208" s="494"/>
      <c r="AH208" s="494"/>
      <c r="AI208" s="494"/>
      <c r="AJ208" s="494"/>
      <c r="AK208" s="494"/>
      <c r="AL208" s="494"/>
      <c r="AM208" s="494"/>
      <c r="AN208" s="494"/>
      <c r="AO208" s="494"/>
      <c r="AP208" s="494"/>
      <c r="AQ208" s="494"/>
      <c r="AR208" s="494"/>
      <c r="AS208" s="494"/>
      <c r="AT208" s="494"/>
      <c r="AU208" s="494"/>
      <c r="AV208" s="494"/>
      <c r="AW208" s="494"/>
      <c r="AX208" s="494"/>
      <c r="AY208" s="494"/>
      <c r="AZ208" s="507"/>
      <c r="BA208" s="507"/>
      <c r="BB208" s="507"/>
      <c r="BC208" s="518">
        <f>BC184</f>
        <v>-4267</v>
      </c>
      <c r="BD208" s="495"/>
      <c r="BE208" s="518">
        <f>BE184</f>
        <v>-719.71424000000002</v>
      </c>
      <c r="BF208" s="518">
        <f>BF184</f>
        <v>-1039.52486</v>
      </c>
      <c r="BG208" s="518">
        <f>BG184</f>
        <v>-183.07133999999994</v>
      </c>
      <c r="BH208" s="518">
        <f>BH184</f>
        <v>-681.18956000000003</v>
      </c>
      <c r="BI208" s="518">
        <f>BI184</f>
        <v>-2623.5</v>
      </c>
      <c r="BJ208" s="495"/>
      <c r="BK208" s="518">
        <f>BK184</f>
        <v>-700.00019999999995</v>
      </c>
      <c r="BL208" s="518">
        <f>BL184</f>
        <v>-847.9996000000001</v>
      </c>
      <c r="BM208" s="518">
        <f>BM184</f>
        <v>-454.00020000000012</v>
      </c>
      <c r="BN208" s="518">
        <f>BN184</f>
        <v>-422.99999999999977</v>
      </c>
      <c r="BO208" s="518">
        <f>BO184</f>
        <v>-2425</v>
      </c>
      <c r="BP208" s="495"/>
      <c r="BQ208" s="518">
        <f>BQ184</f>
        <v>-185</v>
      </c>
      <c r="BR208" s="518">
        <f>BR184</f>
        <v>-184</v>
      </c>
      <c r="BS208" s="518">
        <f>BS184</f>
        <v>-586</v>
      </c>
      <c r="BT208" s="518">
        <f>BT184</f>
        <v>-435</v>
      </c>
      <c r="BU208" s="518">
        <f>SUM(BQ208:BT208)</f>
        <v>-1390</v>
      </c>
      <c r="BV208" s="495"/>
      <c r="BW208" s="518">
        <f>BW184</f>
        <v>-494</v>
      </c>
      <c r="BX208" s="518">
        <f>BX184</f>
        <v>-508</v>
      </c>
      <c r="BY208" s="518">
        <f>BY184</f>
        <v>2</v>
      </c>
      <c r="BZ208" s="518">
        <f>BZ184</f>
        <v>-226</v>
      </c>
      <c r="CA208" s="518">
        <f>CA184</f>
        <v>-1226</v>
      </c>
      <c r="CB208" s="495"/>
      <c r="CC208" s="518">
        <f>CC184</f>
        <v>-228</v>
      </c>
      <c r="CD208" s="518">
        <f>CD184</f>
        <v>-68.5</v>
      </c>
      <c r="CE208" s="518">
        <f>CE184</f>
        <v>9.9999999999909051E-2</v>
      </c>
      <c r="CF208" s="518">
        <f>CF184</f>
        <v>-1589.6</v>
      </c>
      <c r="CG208" s="534">
        <f>CG184</f>
        <v>-1886</v>
      </c>
      <c r="CH208" s="495"/>
      <c r="CI208" s="518">
        <f>CI184</f>
        <v>-915</v>
      </c>
      <c r="CJ208" s="518">
        <f>CJ184</f>
        <v>-897.5</v>
      </c>
      <c r="CK208" s="518">
        <f>CK184</f>
        <v>-889</v>
      </c>
      <c r="CL208" s="518">
        <f>CL184</f>
        <v>-887.5</v>
      </c>
      <c r="CM208" s="534">
        <f>CM184</f>
        <v>-3589</v>
      </c>
      <c r="CN208" s="495"/>
      <c r="CO208" s="518">
        <f>CO184</f>
        <v>-444</v>
      </c>
      <c r="CP208" s="518">
        <f>CP184</f>
        <v>-444</v>
      </c>
      <c r="CQ208" s="518">
        <f>CQ184</f>
        <v>-450</v>
      </c>
      <c r="CR208" s="518">
        <f>CR184</f>
        <v>-457</v>
      </c>
      <c r="CS208" s="534">
        <f>CS184</f>
        <v>-1795</v>
      </c>
      <c r="CT208" s="495"/>
      <c r="CU208" s="518">
        <f>CU184</f>
        <v>-458.39999999999964</v>
      </c>
      <c r="CV208" s="518">
        <f>CV184</f>
        <v>-1685.4159999999993</v>
      </c>
      <c r="CW208" s="518">
        <f>CW184</f>
        <v>-1038.1840000000011</v>
      </c>
      <c r="CX208" s="518">
        <f>CX184</f>
        <v>-215.25</v>
      </c>
      <c r="CY208" s="534">
        <f>CY184</f>
        <v>-3397.25</v>
      </c>
      <c r="CZ208" s="495"/>
      <c r="DA208" s="518">
        <f>DA184</f>
        <v>-204.54999999999998</v>
      </c>
      <c r="DB208" s="518">
        <f>DB184</f>
        <v>-229.5</v>
      </c>
      <c r="DC208" s="518">
        <f>DC184</f>
        <v>-222.64999999999964</v>
      </c>
      <c r="DD208" s="518">
        <f>DD184</f>
        <v>-224.5999999999998</v>
      </c>
      <c r="DE208" s="534">
        <f>DE184</f>
        <v>-881.29999999999939</v>
      </c>
      <c r="DF208" s="495"/>
      <c r="DG208" s="518">
        <f>DG184</f>
        <v>-219.7</v>
      </c>
      <c r="DH208" s="518">
        <f>DH184</f>
        <v>-267.79999999999995</v>
      </c>
      <c r="DI208" s="518">
        <f>DI184</f>
        <v>-226.14999999999998</v>
      </c>
      <c r="DJ208" s="518">
        <f>DJ184</f>
        <v>-383.1</v>
      </c>
      <c r="DK208" s="534">
        <f>DK184</f>
        <v>-1096.75</v>
      </c>
      <c r="DL208" s="495"/>
      <c r="DM208" s="518">
        <f>DM184</f>
        <v>-733.28</v>
      </c>
      <c r="DN208" s="518">
        <f>DN184</f>
        <v>-893.54</v>
      </c>
      <c r="DO208" s="518">
        <f>DO184</f>
        <v>-1464.9192000000003</v>
      </c>
      <c r="DP208" s="518">
        <f>DP184</f>
        <v>-2185.8597</v>
      </c>
      <c r="DQ208" s="534">
        <f>DQ184</f>
        <v>-5277.5989</v>
      </c>
      <c r="DR208" s="495"/>
      <c r="DS208" s="518">
        <f>DS184</f>
        <v>-2711.98</v>
      </c>
      <c r="DT208" s="518">
        <f>DT184</f>
        <v>-2664.48</v>
      </c>
      <c r="DU208" s="518">
        <f>DU184</f>
        <v>-1848.7</v>
      </c>
      <c r="DV208" s="518">
        <f>DV184</f>
        <v>-2498.711703323539</v>
      </c>
      <c r="DW208" s="534">
        <f>DW184</f>
        <v>-9723.8717033235389</v>
      </c>
      <c r="DX208" s="495"/>
      <c r="DY208" s="518">
        <f>DY184</f>
        <v>-2662.04</v>
      </c>
      <c r="DZ208" s="518">
        <f>DZ184</f>
        <v>-2452.2828105149988</v>
      </c>
      <c r="EA208" s="518">
        <f>EA184</f>
        <v>-1805.48</v>
      </c>
      <c r="EB208" s="518">
        <f>EB184</f>
        <v>-1769</v>
      </c>
      <c r="EC208" s="534">
        <f>EC184</f>
        <v>-8688.8028105149988</v>
      </c>
      <c r="ED208" s="495"/>
      <c r="EE208" s="518">
        <f>EE184</f>
        <v>-1776.88</v>
      </c>
      <c r="EF208" s="518">
        <f>EF184</f>
        <v>-1837.96</v>
      </c>
      <c r="EG208" s="518">
        <f>EG184</f>
        <v>-1774.3200000000002</v>
      </c>
      <c r="EH208" s="518">
        <f>EH184</f>
        <v>-1765.15</v>
      </c>
      <c r="EI208" s="534">
        <f>EI184</f>
        <v>-7154.3099999999995</v>
      </c>
      <c r="EJ208" s="495"/>
      <c r="EK208" s="518">
        <f>EK184</f>
        <v>-2638.45</v>
      </c>
      <c r="EL208" s="518">
        <f>EL184</f>
        <v>-2788.15</v>
      </c>
      <c r="EM208" s="518">
        <f>EM184</f>
        <v>-1861.7</v>
      </c>
      <c r="EN208" s="518">
        <f>EN184</f>
        <v>-1693.95</v>
      </c>
      <c r="EO208" s="534">
        <f>EO184</f>
        <v>-8982.25</v>
      </c>
      <c r="EP208" s="495"/>
      <c r="EQ208" s="518">
        <f>EQ184</f>
        <v>-1739.15</v>
      </c>
      <c r="ER208" s="518">
        <f>ER184</f>
        <v>-421.17999999999881</v>
      </c>
      <c r="ES208" s="518">
        <f>ES184</f>
        <v>-421.95000000000005</v>
      </c>
      <c r="ET208" s="518">
        <f>ET184</f>
        <v>-404.91999999999996</v>
      </c>
      <c r="EU208" s="534">
        <f>EU184</f>
        <v>-2987.1999999999989</v>
      </c>
      <c r="EV208" s="495"/>
      <c r="EW208" s="518">
        <f>EW184</f>
        <v>-546.36</v>
      </c>
      <c r="EX208" s="518">
        <f>EX184</f>
        <v>-1732.6</v>
      </c>
      <c r="EY208" s="518">
        <f>EY184</f>
        <v>5939.02</v>
      </c>
      <c r="EZ208" s="518">
        <f>EZ184</f>
        <v>-2742</v>
      </c>
      <c r="FA208" s="534">
        <f>FA184</f>
        <v>918.0600000000004</v>
      </c>
      <c r="FB208" s="495"/>
      <c r="FC208" s="518">
        <f>FC184</f>
        <v>-2742</v>
      </c>
      <c r="FD208" s="518">
        <f>FD184</f>
        <v>-2742</v>
      </c>
      <c r="FE208" s="518">
        <f>FE184</f>
        <v>-2742</v>
      </c>
      <c r="FF208" s="518">
        <f>FF184</f>
        <v>-2742</v>
      </c>
      <c r="FG208" s="534">
        <f>FG184</f>
        <v>-10968</v>
      </c>
      <c r="FH208" s="495"/>
      <c r="FI208" s="518">
        <f>FI184</f>
        <v>-2742</v>
      </c>
      <c r="FJ208" s="518">
        <f>FJ184</f>
        <v>-2742</v>
      </c>
      <c r="FK208" s="518">
        <f>FK184</f>
        <v>-2742</v>
      </c>
      <c r="FL208" s="518">
        <f>FL184</f>
        <v>-2742</v>
      </c>
      <c r="FM208" s="534">
        <f>FM184</f>
        <v>-10968</v>
      </c>
      <c r="FN208" s="135"/>
      <c r="FO208" s="135"/>
      <c r="FP208" s="135"/>
      <c r="FQ208" s="135"/>
      <c r="FR208"/>
      <c r="FS208"/>
      <c r="FT208"/>
      <c r="FU208"/>
      <c r="FV208"/>
      <c r="FW208"/>
      <c r="FX208" s="135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</row>
    <row r="209" spans="1:274" s="24" customFormat="1" ht="12.75" hidden="1" customHeight="1" outlineLevel="1" x14ac:dyDescent="0.2">
      <c r="A209" s="493" t="s">
        <v>850</v>
      </c>
      <c r="B209" s="20"/>
      <c r="C209" s="494"/>
      <c r="D209" s="494"/>
      <c r="E209" s="494"/>
      <c r="F209" s="494"/>
      <c r="G209" s="494"/>
      <c r="H209" s="494"/>
      <c r="I209" s="494"/>
      <c r="J209" s="494"/>
      <c r="K209" s="494"/>
      <c r="L209" s="494"/>
      <c r="M209" s="494"/>
      <c r="N209" s="494"/>
      <c r="O209" s="494"/>
      <c r="P209" s="494"/>
      <c r="Q209" s="494"/>
      <c r="R209" s="494"/>
      <c r="S209" s="494"/>
      <c r="T209" s="494"/>
      <c r="U209" s="494"/>
      <c r="V209" s="494"/>
      <c r="W209" s="494"/>
      <c r="X209" s="494"/>
      <c r="Y209" s="494"/>
      <c r="Z209" s="494"/>
      <c r="AA209" s="494"/>
      <c r="AB209" s="494"/>
      <c r="AC209" s="494"/>
      <c r="AD209" s="494"/>
      <c r="AE209" s="494"/>
      <c r="AF209" s="494"/>
      <c r="AG209" s="494"/>
      <c r="AH209" s="494"/>
      <c r="AI209" s="494"/>
      <c r="AJ209" s="494"/>
      <c r="AK209" s="494"/>
      <c r="AL209" s="494"/>
      <c r="AM209" s="494"/>
      <c r="AN209" s="494"/>
      <c r="AO209" s="494"/>
      <c r="AP209" s="494"/>
      <c r="AQ209" s="494"/>
      <c r="AR209" s="494"/>
      <c r="AS209" s="494"/>
      <c r="AT209" s="494"/>
      <c r="AU209" s="494"/>
      <c r="AV209" s="494"/>
      <c r="AW209" s="494"/>
      <c r="AX209" s="494"/>
      <c r="AY209" s="494"/>
      <c r="AZ209" s="507"/>
      <c r="BA209" s="507"/>
      <c r="BB209" s="507"/>
      <c r="BC209" s="518">
        <v>-28</v>
      </c>
      <c r="BD209" s="495"/>
      <c r="BE209" s="504">
        <v>0</v>
      </c>
      <c r="BF209" s="504">
        <v>0</v>
      </c>
      <c r="BG209" s="504">
        <v>0</v>
      </c>
      <c r="BH209" s="504">
        <v>0</v>
      </c>
      <c r="BI209" s="518">
        <v>0</v>
      </c>
      <c r="BJ209" s="495"/>
      <c r="BK209" s="504">
        <v>0</v>
      </c>
      <c r="BL209" s="504">
        <v>0</v>
      </c>
      <c r="BM209" s="504">
        <v>0</v>
      </c>
      <c r="BN209" s="504">
        <v>0</v>
      </c>
      <c r="BO209" s="518">
        <v>0</v>
      </c>
      <c r="BP209" s="495"/>
      <c r="BQ209" s="504">
        <v>0</v>
      </c>
      <c r="BR209" s="504">
        <v>0</v>
      </c>
      <c r="BS209" s="504">
        <v>0</v>
      </c>
      <c r="BT209" s="504">
        <v>0</v>
      </c>
      <c r="BU209" s="518">
        <f>SUM(BQ209:BT209)</f>
        <v>0</v>
      </c>
      <c r="BV209" s="495"/>
      <c r="BW209" s="504">
        <v>0</v>
      </c>
      <c r="BX209" s="504">
        <v>0</v>
      </c>
      <c r="BY209" s="504">
        <v>0</v>
      </c>
      <c r="BZ209" s="504">
        <v>0</v>
      </c>
      <c r="CA209" s="518">
        <v>0</v>
      </c>
      <c r="CB209" s="495"/>
      <c r="CC209" s="504">
        <v>0</v>
      </c>
      <c r="CD209" s="504">
        <v>0</v>
      </c>
      <c r="CE209" s="504">
        <v>0</v>
      </c>
      <c r="CF209" s="504">
        <v>-1</v>
      </c>
      <c r="CG209" s="534">
        <v>0</v>
      </c>
      <c r="CH209" s="495"/>
      <c r="CI209" s="504">
        <v>0</v>
      </c>
      <c r="CJ209" s="504">
        <v>0</v>
      </c>
      <c r="CK209" s="504">
        <v>0</v>
      </c>
      <c r="CL209" s="504">
        <v>0</v>
      </c>
      <c r="CM209" s="534">
        <v>0</v>
      </c>
      <c r="CN209" s="495"/>
      <c r="CO209" s="504">
        <v>0</v>
      </c>
      <c r="CP209" s="504">
        <v>0</v>
      </c>
      <c r="CQ209" s="504">
        <v>0</v>
      </c>
      <c r="CR209" s="504">
        <v>0</v>
      </c>
      <c r="CS209" s="534">
        <v>0</v>
      </c>
      <c r="CT209" s="495"/>
      <c r="CU209" s="504">
        <v>0</v>
      </c>
      <c r="CV209" s="504">
        <v>0</v>
      </c>
      <c r="CW209" s="504">
        <v>0</v>
      </c>
      <c r="CX209" s="504">
        <f>-Model!CX229</f>
        <v>-249.75</v>
      </c>
      <c r="CY209" s="534">
        <f>SUM(CU209:CX209)</f>
        <v>-249.75</v>
      </c>
      <c r="CZ209" s="495"/>
      <c r="DA209" s="504">
        <f>-Model!DA229</f>
        <v>-250.45000000000002</v>
      </c>
      <c r="DB209" s="504">
        <f>-Model!DB229</f>
        <v>-250.5</v>
      </c>
      <c r="DC209" s="504">
        <f>-Model!DC229</f>
        <v>-250.75</v>
      </c>
      <c r="DD209" s="504">
        <f>-Model!DD229</f>
        <v>-251.10000000000002</v>
      </c>
      <c r="DE209" s="534">
        <f>SUM(DA209:DD209)</f>
        <v>-1002.8000000000001</v>
      </c>
      <c r="DF209" s="495"/>
      <c r="DG209" s="504">
        <f>-Model!DG229</f>
        <v>-251.3</v>
      </c>
      <c r="DH209" s="504">
        <f>-Model!DH229</f>
        <v>-252.20000000000002</v>
      </c>
      <c r="DI209" s="504">
        <f>-Model!DI229</f>
        <v>-252.85000000000002</v>
      </c>
      <c r="DJ209" s="504">
        <f>-Model!DJ229</f>
        <v>-303.89999999999998</v>
      </c>
      <c r="DK209" s="534">
        <f>SUM(DG209:DJ209)</f>
        <v>-1060.25</v>
      </c>
      <c r="DL209" s="495"/>
      <c r="DM209" s="504">
        <f>-Model!DM229</f>
        <v>-303.71999999999997</v>
      </c>
      <c r="DN209" s="504">
        <f>-Model!DN229</f>
        <v>-302.45999999999998</v>
      </c>
      <c r="DO209" s="504">
        <f>-Model!DO229</f>
        <v>-300.42</v>
      </c>
      <c r="DP209" s="504">
        <f>-Model!DP229</f>
        <v>-294.3</v>
      </c>
      <c r="DQ209" s="534">
        <f>SUM(DM209:DP209)</f>
        <v>-1200.8999999999999</v>
      </c>
      <c r="DR209" s="495"/>
      <c r="DS209" s="504">
        <f>-Model!DS229</f>
        <v>-292.02</v>
      </c>
      <c r="DT209" s="504">
        <f>-Model!DT229</f>
        <v>-287.52</v>
      </c>
      <c r="DU209" s="504">
        <f>-Model!DU229</f>
        <v>-852.3</v>
      </c>
      <c r="DV209" s="504">
        <f>-Model!DV229</f>
        <v>0</v>
      </c>
      <c r="DW209" s="534">
        <f>SUM(DS209:DV209)</f>
        <v>-1431.84</v>
      </c>
      <c r="DX209" s="495"/>
      <c r="DY209" s="504">
        <f>-Model!DY229</f>
        <v>-552.96</v>
      </c>
      <c r="DZ209" s="504">
        <f>-Model!DZ229</f>
        <v>-544.71718948500109</v>
      </c>
      <c r="EA209" s="504">
        <f>-Model!EA229</f>
        <v>-539.52</v>
      </c>
      <c r="EB209" s="504">
        <f>-Model!EB229</f>
        <v>-537</v>
      </c>
      <c r="EC209" s="534">
        <f>SUM(DY209:EB209)</f>
        <v>-2174.1971894850012</v>
      </c>
      <c r="ED209" s="495"/>
      <c r="EE209" s="504">
        <f>-Model!EE229</f>
        <v>-534.12</v>
      </c>
      <c r="EF209" s="504">
        <f>-Model!EF229</f>
        <v>-530.04</v>
      </c>
      <c r="EG209" s="504">
        <f>-Model!EG229</f>
        <v>-526.67999999999995</v>
      </c>
      <c r="EH209" s="504">
        <f>-Model!EH229</f>
        <v>-653.85</v>
      </c>
      <c r="EI209" s="534">
        <f>SUM(EE209:EH209)</f>
        <v>-2244.6899999999996</v>
      </c>
      <c r="EJ209" s="495"/>
      <c r="EK209" s="504">
        <f>-Model!EK229</f>
        <v>-647.54999999999995</v>
      </c>
      <c r="EL209" s="504">
        <f>-Model!EL229</f>
        <v>-635.85</v>
      </c>
      <c r="EM209" s="504">
        <f>-Model!EM229</f>
        <v>-627.29999999999995</v>
      </c>
      <c r="EN209" s="504">
        <f>-Model!EN229</f>
        <v>-622.04999999999995</v>
      </c>
      <c r="EO209" s="534">
        <f>SUM(EK209:EN209)</f>
        <v>-2532.75</v>
      </c>
      <c r="EP209" s="495"/>
      <c r="EQ209" s="504">
        <f>-Model!EQ229</f>
        <v>-617.85</v>
      </c>
      <c r="ER209" s="504">
        <f>-Model!ER229</f>
        <v>-615.6</v>
      </c>
      <c r="ES209" s="504">
        <f>-Model!ES229</f>
        <v>-616.04999999999995</v>
      </c>
      <c r="ET209" s="504">
        <f>-Model!ET229</f>
        <v>-785.08</v>
      </c>
      <c r="EU209" s="534">
        <f>SUM(EQ209:ET209)</f>
        <v>-2634.58</v>
      </c>
      <c r="EV209" s="495"/>
      <c r="EW209" s="504">
        <f>-Model!EW229</f>
        <v>-789.64</v>
      </c>
      <c r="EX209" s="504">
        <f>-Model!EX229</f>
        <v>-790.4</v>
      </c>
      <c r="EY209" s="504">
        <f>-Model!EY229</f>
        <v>-783.18000000000006</v>
      </c>
      <c r="EZ209" s="504">
        <f>-Model!EZ229</f>
        <v>-775.15976842387272</v>
      </c>
      <c r="FA209" s="534">
        <f>SUM(EW209:EZ209)</f>
        <v>-3138.379768423873</v>
      </c>
      <c r="FB209" s="495"/>
      <c r="FC209" s="504">
        <f>-Model!FC229</f>
        <v>-766.38223439494539</v>
      </c>
      <c r="FD209" s="504">
        <f>-Model!FD229</f>
        <v>-760.39084769030853</v>
      </c>
      <c r="FE209" s="504">
        <f>-Model!FE229</f>
        <v>-754.56466756196778</v>
      </c>
      <c r="FF209" s="504">
        <f>-Model!FF229</f>
        <v>-748.90125253342603</v>
      </c>
      <c r="FG209" s="534">
        <f>SUM(FC209:FF209)</f>
        <v>-3030.2390021806477</v>
      </c>
      <c r="FH209" s="495"/>
      <c r="FI209" s="504">
        <f>-Model!FI229</f>
        <v>-743.51127739762796</v>
      </c>
      <c r="FJ209" s="504">
        <f>-Model!FJ229</f>
        <v>-738.39237230672734</v>
      </c>
      <c r="FK209" s="504">
        <f>-Model!FK229</f>
        <v>-733.42912224675263</v>
      </c>
      <c r="FL209" s="504">
        <f>-Model!FL229</f>
        <v>-728.61922689704988</v>
      </c>
      <c r="FM209" s="534">
        <f>SUM(FI209:FL209)</f>
        <v>-2943.9519988481579</v>
      </c>
      <c r="FN209" s="135"/>
      <c r="FO209" s="135"/>
      <c r="FP209" s="135"/>
      <c r="FQ209" s="135"/>
      <c r="FR209"/>
      <c r="FS209"/>
      <c r="FT209"/>
      <c r="FU209"/>
      <c r="FV209"/>
      <c r="FW209"/>
      <c r="FX209" s="135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</row>
    <row r="210" spans="1:274" s="24" customFormat="1" ht="12.75" hidden="1" customHeight="1" outlineLevel="1" x14ac:dyDescent="0.2">
      <c r="A210" s="493" t="s">
        <v>863</v>
      </c>
      <c r="B210" s="20"/>
      <c r="C210" s="494"/>
      <c r="D210" s="494"/>
      <c r="E210" s="494"/>
      <c r="F210" s="494"/>
      <c r="G210" s="494"/>
      <c r="H210" s="494"/>
      <c r="I210" s="494"/>
      <c r="J210" s="494"/>
      <c r="K210" s="494"/>
      <c r="L210" s="494"/>
      <c r="M210" s="494"/>
      <c r="N210" s="494"/>
      <c r="O210" s="494"/>
      <c r="P210" s="494"/>
      <c r="Q210" s="494"/>
      <c r="R210" s="494"/>
      <c r="S210" s="494"/>
      <c r="T210" s="494"/>
      <c r="U210" s="494"/>
      <c r="V210" s="494"/>
      <c r="W210" s="494"/>
      <c r="X210" s="494"/>
      <c r="Y210" s="494"/>
      <c r="Z210" s="494"/>
      <c r="AA210" s="494"/>
      <c r="AB210" s="494"/>
      <c r="AC210" s="494"/>
      <c r="AD210" s="494"/>
      <c r="AE210" s="494"/>
      <c r="AF210" s="494"/>
      <c r="AG210" s="494"/>
      <c r="AH210" s="494"/>
      <c r="AI210" s="494"/>
      <c r="AJ210" s="494"/>
      <c r="AK210" s="494"/>
      <c r="AL210" s="494"/>
      <c r="AM210" s="494"/>
      <c r="AN210" s="494"/>
      <c r="AO210" s="494"/>
      <c r="AP210" s="494"/>
      <c r="AQ210" s="494"/>
      <c r="AR210" s="494"/>
      <c r="AS210" s="494"/>
      <c r="AT210" s="494"/>
      <c r="AU210" s="494"/>
      <c r="AV210" s="494"/>
      <c r="AW210" s="494"/>
      <c r="AX210" s="494"/>
      <c r="AY210" s="494"/>
      <c r="AZ210" s="507"/>
      <c r="BA210" s="507"/>
      <c r="BB210" s="507"/>
      <c r="BC210" s="518">
        <f>BC206+BC207+BC208+BC209</f>
        <v>1610.0959999999995</v>
      </c>
      <c r="BD210" s="495"/>
      <c r="BE210" s="518">
        <f>BE206+BE207+BE208+BE209</f>
        <v>1400.4827599999996</v>
      </c>
      <c r="BF210" s="518">
        <f>BF206+BF207+BF208+BF209</f>
        <v>910.42013999999995</v>
      </c>
      <c r="BG210" s="518">
        <f>BG206+BG207+BG208+BG209</f>
        <v>1235.3236599999996</v>
      </c>
      <c r="BH210" s="518">
        <f>BH206+BH207+BH208+BH209</f>
        <v>1210.2554400000001</v>
      </c>
      <c r="BI210" s="518">
        <f>BI206+BI207+BI208+BI209</f>
        <v>1210.2549999999992</v>
      </c>
      <c r="BJ210" s="495"/>
      <c r="BK210" s="518">
        <f>BK206+BK207+BK208+BK209</f>
        <v>852.99980000000005</v>
      </c>
      <c r="BL210" s="518">
        <f>BL206+BL207+BL208+BL209</f>
        <v>540.0003999999999</v>
      </c>
      <c r="BM210" s="518">
        <f>BM206+BM207+BM208+BM209</f>
        <v>656.99979999999982</v>
      </c>
      <c r="BN210" s="518">
        <f>BN206+BN207+BN208+BN209</f>
        <v>1092.4000000000003</v>
      </c>
      <c r="BO210" s="518">
        <f>BO206+BO207+BO208+BO209</f>
        <v>1092.4000000000001</v>
      </c>
      <c r="BP210" s="495"/>
      <c r="BQ210" s="518">
        <f>BQ206+BQ207+BQ208+BQ209</f>
        <v>1347</v>
      </c>
      <c r="BR210" s="518">
        <f>BR206+BR207+BR208+BR209</f>
        <v>1780</v>
      </c>
      <c r="BS210" s="518">
        <f>BS206+BS207+BS208+BS209</f>
        <v>1828</v>
      </c>
      <c r="BT210" s="518">
        <f>BT206+BT207+BT208+BT209</f>
        <v>2383</v>
      </c>
      <c r="BU210" s="518">
        <f>BU206+BU207+BU208+BU209</f>
        <v>2383</v>
      </c>
      <c r="BV210" s="495"/>
      <c r="BW210" s="518">
        <f>BW206+BW207+BW208+BW209</f>
        <v>2398</v>
      </c>
      <c r="BX210" s="518">
        <f>BX206+BX207+BX208+BX209</f>
        <v>2705</v>
      </c>
      <c r="BY210" s="518">
        <f>BY206+BY207+BY208+BY209</f>
        <v>3245</v>
      </c>
      <c r="BZ210" s="518">
        <f>BZ206+BZ207+BZ208+BZ209</f>
        <v>4042.9920000000002</v>
      </c>
      <c r="CA210" s="518">
        <f>CA206+CA207+CA208+CA209</f>
        <v>4042.9920000000002</v>
      </c>
      <c r="CB210" s="495"/>
      <c r="CC210" s="518">
        <f>CC206+CC207+CC208+CC209</f>
        <v>4334</v>
      </c>
      <c r="CD210" s="518">
        <f>CD206+CD207+CD208+CD209</f>
        <v>5063</v>
      </c>
      <c r="CE210" s="518">
        <f>CE206+CE207+CE208+CE209</f>
        <v>5828</v>
      </c>
      <c r="CF210" s="518">
        <f>CF206+CF207+CF208+CF209</f>
        <v>5537.85</v>
      </c>
      <c r="CG210" s="534">
        <f>CG206+CG207+CG208+CG209</f>
        <v>5538.85</v>
      </c>
      <c r="CH210" s="495"/>
      <c r="CI210" s="518">
        <f>CI206+CI207+CI208+CI209</f>
        <v>5294.85</v>
      </c>
      <c r="CJ210" s="518">
        <f>CJ206+CJ207+CJ208+CJ209</f>
        <v>5366.85</v>
      </c>
      <c r="CK210" s="518">
        <f>CK206+CK207+CK208+CK209</f>
        <v>5510.85</v>
      </c>
      <c r="CL210" s="518">
        <f>CL206+CL207+CL208+CL209</f>
        <v>6223</v>
      </c>
      <c r="CM210" s="534">
        <f>CM206+CM207+CM208+CM209</f>
        <v>6223</v>
      </c>
      <c r="CN210" s="495"/>
      <c r="CO210" s="518">
        <f>CO206+CO207+CO208+CO209</f>
        <v>6619</v>
      </c>
      <c r="CP210" s="518">
        <f>CP206+CP207+CP208+CP209</f>
        <v>7478</v>
      </c>
      <c r="CQ210" s="518">
        <f>CQ206+CQ207+CQ208+CQ209</f>
        <v>8368</v>
      </c>
      <c r="CR210" s="518">
        <f>CR206+CR207+CR208+CR209</f>
        <v>9948</v>
      </c>
      <c r="CS210" s="534">
        <f>CS206+CS207+CS208+CS209</f>
        <v>9948</v>
      </c>
      <c r="CT210" s="495"/>
      <c r="CU210" s="518">
        <f>CU206+CU207+CU208+CU209</f>
        <v>10566.6</v>
      </c>
      <c r="CV210" s="518">
        <f>CV206+CV207+CV208+CV209</f>
        <v>10177.184000000001</v>
      </c>
      <c r="CW210" s="518">
        <f>CW206+CW207+CW208+CW209</f>
        <v>10468</v>
      </c>
      <c r="CX210" s="518">
        <f>CX206+CX207+CX208+CX209</f>
        <v>11894</v>
      </c>
      <c r="CY210" s="534">
        <f>CY206+CY207+CY208+CY209</f>
        <v>11894</v>
      </c>
      <c r="CZ210" s="495"/>
      <c r="DA210" s="518">
        <f>DA206+DA207+DA208+DA209</f>
        <v>12563</v>
      </c>
      <c r="DB210" s="518">
        <f>DB206+DB207+DB208+DB209</f>
        <v>13541</v>
      </c>
      <c r="DC210" s="518">
        <f>DC206+DC207+DC208+DC209</f>
        <v>14257</v>
      </c>
      <c r="DD210" s="518">
        <f>DD206+DD207+DD208+DD209</f>
        <v>16146.000000000002</v>
      </c>
      <c r="DE210" s="534">
        <f>DE206+DE207+DE208+DE209</f>
        <v>16146</v>
      </c>
      <c r="DF210" s="495"/>
      <c r="DG210" s="518">
        <f>DG206+DG207+DG208+DG209</f>
        <v>17027</v>
      </c>
      <c r="DH210" s="518">
        <f>DH206+DH207+DH208+DH209</f>
        <v>18422</v>
      </c>
      <c r="DI210" s="518">
        <f>DI206+DI207+DI208+DI209</f>
        <v>20059</v>
      </c>
      <c r="DJ210" s="518">
        <f>DJ206+DJ207+DJ208+DJ209</f>
        <v>22581</v>
      </c>
      <c r="DK210" s="534">
        <f>DK206+DK207+DK208+DK209</f>
        <v>22581</v>
      </c>
      <c r="DL210" s="495"/>
      <c r="DM210" s="518">
        <f>DM206+DM207+DM208+DM209</f>
        <v>23385</v>
      </c>
      <c r="DN210" s="518">
        <f>DN206+DN207+DN208+DN209</f>
        <v>24383</v>
      </c>
      <c r="DO210" s="518">
        <f>DO206+DO207+DO208+DO209</f>
        <v>25116.000000000004</v>
      </c>
      <c r="DP210" s="518">
        <f>DP206+DP207+DP208+DP209</f>
        <v>26087</v>
      </c>
      <c r="DQ210" s="534">
        <f>DQ206+DQ207+DQ208+DQ209</f>
        <v>26086.999999999996</v>
      </c>
      <c r="DR210" s="495"/>
      <c r="DS210" s="518">
        <f>DS206+DS207+DS208+DS209</f>
        <v>25117</v>
      </c>
      <c r="DT210" s="518">
        <f>DT206+DT207+DT208+DT209</f>
        <v>24746</v>
      </c>
      <c r="DU210" s="518">
        <f>DU206+DU207+DU208+DU209</f>
        <v>24549</v>
      </c>
      <c r="DV210" s="518">
        <f>DV206+DV207+DV208+DV209</f>
        <v>25854</v>
      </c>
      <c r="DW210" s="534">
        <f>DW206+DW207+DW208+DW209</f>
        <v>25854.000000000004</v>
      </c>
      <c r="DX210" s="495"/>
      <c r="DY210" s="518">
        <f>DY206+DY207+DY208+DY209</f>
        <v>24830</v>
      </c>
      <c r="DZ210" s="518">
        <f>DZ206+DZ207+DZ208+DZ209</f>
        <v>24386</v>
      </c>
      <c r="EA210" s="518">
        <f>EA206+EA207+EA208+EA209</f>
        <v>24606</v>
      </c>
      <c r="EB210" s="518">
        <f>EB206+EB207+EB208+EB209</f>
        <v>25965</v>
      </c>
      <c r="EC210" s="534">
        <f>EC206+EC207+EC208+EC209</f>
        <v>25965</v>
      </c>
      <c r="ED210" s="495"/>
      <c r="EE210" s="518">
        <f>EE206+EE207+EE208+EE209</f>
        <v>25838</v>
      </c>
      <c r="EF210" s="518">
        <f>EF206+EF207+EF208+EF209</f>
        <v>25972</v>
      </c>
      <c r="EG210" s="518">
        <f>EG206+EG207+EG208+EG209</f>
        <v>26165</v>
      </c>
      <c r="EH210" s="518">
        <f>EH206+EH207+EH208+EH209</f>
        <v>26503</v>
      </c>
      <c r="EI210" s="534">
        <f>EI206+EI207+EI208+EI209</f>
        <v>26503.000000000004</v>
      </c>
      <c r="EJ210" s="495"/>
      <c r="EK210" s="518">
        <f>EK206+EK207+EK208+EK209</f>
        <v>24964</v>
      </c>
      <c r="EL210" s="518">
        <f>EL206+EL207+EL208+EL209</f>
        <v>23737</v>
      </c>
      <c r="EM210" s="518">
        <f>EM206+EM207+EM208+EM209</f>
        <v>23390</v>
      </c>
      <c r="EN210" s="518">
        <f>EN206+EN207+EN208+EN209</f>
        <v>23888</v>
      </c>
      <c r="EO210" s="534">
        <f>EO206+EO207+EO208+EO209</f>
        <v>23888</v>
      </c>
      <c r="EP210" s="495"/>
      <c r="EQ210" s="518">
        <f>EQ206+EQ207+EQ208+EQ209</f>
        <v>23380</v>
      </c>
      <c r="ER210" s="518">
        <f>ER206+ER207+ER208+ER209</f>
        <v>24375</v>
      </c>
      <c r="ES210" s="518">
        <f>ES206+ES207+ES208+ES209</f>
        <v>25576</v>
      </c>
      <c r="ET210" s="518">
        <f>ET206+ET207+ET208+ET209</f>
        <v>27598</v>
      </c>
      <c r="EU210" s="534">
        <f>EU206+EU207+EU208+EU209</f>
        <v>27598</v>
      </c>
      <c r="EV210" s="495"/>
      <c r="EW210" s="518">
        <f>EW206+EW207+EW208+EW209</f>
        <v>28586</v>
      </c>
      <c r="EX210" s="518">
        <f>EX206+EX207+EX208+EX209</f>
        <v>28296</v>
      </c>
      <c r="EY210" s="518">
        <f>EY206+EY207+EY208+EY209</f>
        <v>29427.84</v>
      </c>
      <c r="EZ210" s="518">
        <f>EZ206+EZ207+EZ208+EZ209</f>
        <v>29121.151916543567</v>
      </c>
      <c r="FA210" s="534">
        <f>FA206+FA207+FA208+FA209</f>
        <v>29121.151916543567</v>
      </c>
      <c r="FB210" s="495"/>
      <c r="FC210" s="518">
        <f>FC206+FC207+FC208+FC209</f>
        <v>27995.179804340263</v>
      </c>
      <c r="FD210" s="518">
        <f>FD206+FD207+FD208+FD209</f>
        <v>27203.213915064356</v>
      </c>
      <c r="FE210" s="518">
        <f>FE206+FE207+FE208+FE209</f>
        <v>26482.922235252343</v>
      </c>
      <c r="FF210" s="518">
        <f>FF206+FF207+FF208+FF209</f>
        <v>26416.67422936868</v>
      </c>
      <c r="FG210" s="534">
        <f>FG206+FG207+FG208+FG209</f>
        <v>26416.674229368684</v>
      </c>
      <c r="FH210" s="495"/>
      <c r="FI210" s="518">
        <f>FI206+FI207+FI208+FI209</f>
        <v>25522.957147806112</v>
      </c>
      <c r="FJ210" s="518">
        <f>FJ206+FJ207+FJ208+FJ209</f>
        <v>24952.006617312436</v>
      </c>
      <c r="FK210" s="518">
        <f>FK206+FK207+FK208+FK209</f>
        <v>24427.939459186662</v>
      </c>
      <c r="FL210" s="518">
        <f>FL206+FL207+FL208+FL209</f>
        <v>24458.911888211725</v>
      </c>
      <c r="FM210" s="534">
        <f>FM206+FM207+FM208+FM209</f>
        <v>24458.911888211729</v>
      </c>
      <c r="FN210" s="135"/>
      <c r="FO210" s="135"/>
      <c r="FP210" s="135"/>
      <c r="FQ210" s="135"/>
      <c r="FR210"/>
      <c r="FS210"/>
      <c r="FT210"/>
      <c r="FU210"/>
      <c r="FV210"/>
      <c r="FW210"/>
      <c r="FX210" s="135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</row>
    <row r="211" spans="1:274" s="979" customFormat="1" ht="11.25" hidden="1" customHeight="1" outlineLevel="1" x14ac:dyDescent="0.2">
      <c r="A211" s="1006"/>
      <c r="B211" s="1007"/>
      <c r="C211" s="546"/>
      <c r="D211" s="546"/>
      <c r="E211" s="546"/>
      <c r="F211" s="546"/>
      <c r="G211" s="546"/>
      <c r="H211" s="546"/>
      <c r="I211" s="546"/>
      <c r="J211" s="546"/>
      <c r="K211" s="546"/>
      <c r="L211" s="546"/>
      <c r="M211" s="546"/>
      <c r="N211" s="546"/>
      <c r="O211" s="546"/>
      <c r="P211" s="546"/>
      <c r="Q211" s="546"/>
      <c r="R211" s="546"/>
      <c r="S211" s="546"/>
      <c r="T211" s="546"/>
      <c r="U211" s="546"/>
      <c r="V211" s="546"/>
      <c r="W211" s="546"/>
      <c r="X211" s="546"/>
      <c r="Y211" s="546"/>
      <c r="Z211" s="546"/>
      <c r="AA211" s="546"/>
      <c r="AB211" s="546"/>
      <c r="AC211" s="546"/>
      <c r="AD211" s="546"/>
      <c r="AE211" s="546"/>
      <c r="AF211" s="546"/>
      <c r="AG211" s="546"/>
      <c r="AH211" s="546"/>
      <c r="AI211" s="546"/>
      <c r="AJ211" s="546"/>
      <c r="AK211" s="546"/>
      <c r="AL211" s="546"/>
      <c r="AM211" s="546"/>
      <c r="AN211" s="546"/>
      <c r="AO211" s="546"/>
      <c r="AP211" s="546"/>
      <c r="AQ211" s="546"/>
      <c r="AR211" s="546"/>
      <c r="AS211" s="546"/>
      <c r="AT211" s="546"/>
      <c r="AU211" s="546"/>
      <c r="AV211" s="546"/>
      <c r="AW211" s="546"/>
      <c r="AX211" s="546"/>
      <c r="AY211" s="546"/>
      <c r="AZ211" s="550"/>
      <c r="BA211" s="550"/>
      <c r="BB211" s="550"/>
      <c r="BC211" s="545" t="str">
        <f>IF(ROUND(BC210,2)=ROUND(BC39,2),"cool","problem")</f>
        <v>problem</v>
      </c>
      <c r="BD211" s="554"/>
      <c r="BE211" s="545" t="str">
        <f>IF(ROUND(BE210,0)=ROUND(BE39,0),"cool","problem")</f>
        <v>cool</v>
      </c>
      <c r="BF211" s="545" t="str">
        <f>IF(ROUND(BF210,0)=ROUND(BF39,0),"cool","problem")</f>
        <v>cool</v>
      </c>
      <c r="BG211" s="545" t="str">
        <f>IF(ROUND(BG210,0)=ROUND(BG39,0),"cool","problem")</f>
        <v>cool</v>
      </c>
      <c r="BH211" s="545" t="str">
        <f>IF(ROUND(BH210,0)=ROUND(BH39,0),"cool","problem")</f>
        <v>cool</v>
      </c>
      <c r="BI211" s="545" t="str">
        <f>IF(ROUND(BI210,0)=ROUND(BI39,0),"cool","problem")</f>
        <v>cool</v>
      </c>
      <c r="BJ211" s="554"/>
      <c r="BK211" s="545" t="str">
        <f>IF(ROUND(BK210,0)=ROUND(BK39,0),"cool","problem")</f>
        <v>cool</v>
      </c>
      <c r="BL211" s="545" t="str">
        <f>IF(ROUND(BL210,0)=ROUND(BL39,0),"cool","problem")</f>
        <v>cool</v>
      </c>
      <c r="BM211" s="545" t="str">
        <f>IF(ROUND(BM210,0)=ROUND(BM39,0),"cool","problem")</f>
        <v>cool</v>
      </c>
      <c r="BN211" s="545" t="str">
        <f>IF(ROUND(BN210,0)=ROUND(BN39,0),"cool","problem")</f>
        <v>cool</v>
      </c>
      <c r="BO211" s="545" t="str">
        <f>IF(ROUND(BO210,0)=ROUND(BO39,0),"cool","problem")</f>
        <v>cool</v>
      </c>
      <c r="BP211" s="554"/>
      <c r="BQ211" s="545" t="str">
        <f>IF(ROUND(BQ210,0)=ROUND(BQ39,0),"cool","problem")</f>
        <v>cool</v>
      </c>
      <c r="BR211" s="545" t="str">
        <f>IF(ROUND(BR210,0)=ROUND(BR39,0),"cool","problem")</f>
        <v>cool</v>
      </c>
      <c r="BS211" s="545" t="str">
        <f>IF(ROUND(BS210,0)=ROUND(BS39,0),"cool","problem")</f>
        <v>cool</v>
      </c>
      <c r="BT211" s="545" t="str">
        <f>IF(ROUND(BT210,0)=ROUND(BT39,0),"cool","problem")</f>
        <v>cool</v>
      </c>
      <c r="BU211" s="545" t="str">
        <f>IF(ROUND(BU210,0)=ROUND(BU39,0),"cool","problem")</f>
        <v>cool</v>
      </c>
      <c r="BV211" s="554"/>
      <c r="BW211" s="545" t="str">
        <f>IF(ROUND(BW210,0)=ROUND(BW39,0),"cool","problem")</f>
        <v>cool</v>
      </c>
      <c r="BX211" s="545" t="str">
        <f>IF(ROUND(BX210,0)=ROUND(BX39,0),"cool","problem")</f>
        <v>cool</v>
      </c>
      <c r="BY211" s="545" t="str">
        <f>IF(ROUND(BY210,0)=ROUND(BY39,0),"cool","problem")</f>
        <v>cool</v>
      </c>
      <c r="BZ211" s="545" t="str">
        <f>IF(ROUND(BZ210,0)=ROUND(BZ39,0),"cool","problem")</f>
        <v>cool</v>
      </c>
      <c r="CA211" s="545"/>
      <c r="CB211" s="554"/>
      <c r="CC211" s="545" t="str">
        <f>IF(ROUND(CC210,0)=ROUND(CC39,0),"cool","problem")</f>
        <v>cool</v>
      </c>
      <c r="CD211" s="545" t="str">
        <f>IF(ROUND(CD210,0)=ROUND(CD39,0),"cool","problem")</f>
        <v>cool</v>
      </c>
      <c r="CE211" s="545" t="str">
        <f>IF(ROUND(CE210,0)=ROUND(CE39,0),"cool","problem")</f>
        <v>cool</v>
      </c>
      <c r="CF211" s="545" t="str">
        <f>IF(ROUND(CF210,0)=ROUND(CF39,0),"cool","problem")</f>
        <v>cool</v>
      </c>
      <c r="CG211" s="551"/>
      <c r="CH211" s="554"/>
      <c r="CI211" s="545" t="str">
        <f>IF(ROUND(CI210,0)=ROUND(CI39,0),"cool","problem")</f>
        <v>cool</v>
      </c>
      <c r="CJ211" s="545" t="str">
        <f>IF(ROUND(CJ210,0)=ROUND(CJ39,0),"cool","problem")</f>
        <v>cool</v>
      </c>
      <c r="CK211" s="545" t="str">
        <f>IF(ROUND(CK210,0)=ROUND(CK39,0),"cool","problem")</f>
        <v>cool</v>
      </c>
      <c r="CL211" s="545" t="str">
        <f>IF(ROUND(CL210,0)=ROUND(CL39,0),"cool","problem")</f>
        <v>cool</v>
      </c>
      <c r="CM211" s="551"/>
      <c r="CN211" s="554"/>
      <c r="CO211" s="545" t="str">
        <f>IF(ROUND(CO210,0)=ROUND(CO39,0),"cool","problem")</f>
        <v>cool</v>
      </c>
      <c r="CP211" s="545" t="str">
        <f>IF(ROUND(CP210,0)=ROUND(CP39,0),"cool","problem")</f>
        <v>cool</v>
      </c>
      <c r="CQ211" s="545" t="str">
        <f>IF(ROUND(CQ210,0)=ROUND(CQ39,0),"cool","problem")</f>
        <v>cool</v>
      </c>
      <c r="CR211" s="545" t="str">
        <f>IF(ROUND(CR210,0)=ROUND(CR39,0),"cool","problem")</f>
        <v>cool</v>
      </c>
      <c r="CS211" s="551"/>
      <c r="CT211" s="554"/>
      <c r="CU211" s="545" t="str">
        <f>IF(ROUND(CU210,0)=ROUND(CU39,0),"cool","problem")</f>
        <v>cool</v>
      </c>
      <c r="CV211" s="545" t="str">
        <f>IF(ROUND(CV210,0)=ROUND(CV39,0),"cool","problem")</f>
        <v>cool</v>
      </c>
      <c r="CW211" s="545" t="str">
        <f>IF(ROUND(CW210,0)=ROUND(CW39,0),"cool","problem")</f>
        <v>cool</v>
      </c>
      <c r="CX211" s="545" t="str">
        <f>IF(ROUND(CX210,0)=ROUND(CX39,0),"cool","problem")</f>
        <v>cool</v>
      </c>
      <c r="CY211" s="551"/>
      <c r="CZ211" s="554"/>
      <c r="DA211" s="545" t="str">
        <f>IF(ROUND(DA210,0)=ROUND(DA39,0),"cool","problem")</f>
        <v>cool</v>
      </c>
      <c r="DB211" s="545" t="str">
        <f>IF(ROUND(DB210,0)=ROUND(DB39,0),"cool","problem")</f>
        <v>cool</v>
      </c>
      <c r="DC211" s="545" t="str">
        <f>IF(ROUND(DC210,0)=ROUND(DC39,0),"cool","problem")</f>
        <v>cool</v>
      </c>
      <c r="DD211" s="545" t="str">
        <f>IF(ROUND(DD210,0)=ROUND(DD39,0),"cool","problem")</f>
        <v>cool</v>
      </c>
      <c r="DE211" s="551"/>
      <c r="DF211" s="554"/>
      <c r="DG211" s="545" t="str">
        <f>IF(ROUND(DG210,0)=ROUND(DG39,0),"cool","problem")</f>
        <v>cool</v>
      </c>
      <c r="DH211" s="545" t="str">
        <f>IF(ROUND(DH210,0)=ROUND(DH39,0),"cool","problem")</f>
        <v>cool</v>
      </c>
      <c r="DI211" s="545" t="str">
        <f>IF(ROUND(DI210,0)=ROUND(DI39,0),"cool","problem")</f>
        <v>cool</v>
      </c>
      <c r="DJ211" s="545" t="str">
        <f>IF(ROUND(DJ210,0)=ROUND(DJ39,0),"cool","problem")</f>
        <v>cool</v>
      </c>
      <c r="DK211" s="551"/>
      <c r="DL211" s="554"/>
      <c r="DM211" s="545" t="str">
        <f>IF(ROUND(DM210,0)=ROUND(DM39,0),"cool","problem")</f>
        <v>cool</v>
      </c>
      <c r="DN211" s="545" t="str">
        <f>IF(ROUND(DN210,0)=ROUND(DN39,0),"cool","problem")</f>
        <v>cool</v>
      </c>
      <c r="DO211" s="545" t="str">
        <f>IF(ROUND(DO210,0)=ROUND(DO39,0),"cool","problem")</f>
        <v>cool</v>
      </c>
      <c r="DP211" s="545" t="str">
        <f>IF(ROUND(DP210,0)=ROUND(DP39,0),"cool","problem")</f>
        <v>cool</v>
      </c>
      <c r="DQ211" s="551"/>
      <c r="DR211" s="554"/>
      <c r="DS211" s="545" t="str">
        <f>IF(ROUND(DS210,0)=ROUND(DS39,0),"cool","problem")</f>
        <v>cool</v>
      </c>
      <c r="DT211" s="545" t="str">
        <f>IF(ROUND(DT210,0)=ROUND(DT39,0),"cool","problem")</f>
        <v>cool</v>
      </c>
      <c r="DU211" s="545" t="str">
        <f>IF(ROUND(DU210,0)=ROUND(DU39,0),"cool","problem")</f>
        <v>cool</v>
      </c>
      <c r="DV211" s="545" t="str">
        <f>IF(ROUND(DV210,0)=ROUND(DV39,0),"cool","problem")</f>
        <v>cool</v>
      </c>
      <c r="DW211" s="551"/>
      <c r="DX211" s="554"/>
      <c r="DY211" s="545" t="str">
        <f>IF(ROUND(DY210,0)=ROUND(DY39,0),"cool","problem")</f>
        <v>cool</v>
      </c>
      <c r="DZ211" s="545" t="str">
        <f>IF(ROUND(DZ210,0)=ROUND(DZ39,0),"cool","problem")</f>
        <v>cool</v>
      </c>
      <c r="EA211" s="545" t="str">
        <f>IF(ROUND(EA210,0)=ROUND(EA39,0),"cool","problem")</f>
        <v>cool</v>
      </c>
      <c r="EB211" s="545" t="str">
        <f>IF(ROUND(EB210,0)=ROUND(EB39,0),"cool","problem")</f>
        <v>cool</v>
      </c>
      <c r="EC211" s="551"/>
      <c r="ED211" s="554"/>
      <c r="EE211" s="545" t="str">
        <f>IF(ROUND(EE210,0)=ROUND(EE39,0),"cool","problem")</f>
        <v>cool</v>
      </c>
      <c r="EF211" s="545" t="str">
        <f>IF(ROUND(EF210,0)=ROUND(EF39,0),"cool","problem")</f>
        <v>cool</v>
      </c>
      <c r="EG211" s="545" t="str">
        <f>IF(ROUND(EG210,0)=ROUND(EG39,0),"cool","problem")</f>
        <v>cool</v>
      </c>
      <c r="EH211" s="545" t="str">
        <f>IF(ROUND(EH210,0)=ROUND(EH39,0),"cool","problem")</f>
        <v>cool</v>
      </c>
      <c r="EI211" s="551"/>
      <c r="EJ211" s="554"/>
      <c r="EK211" s="545" t="str">
        <f>IF(ROUND(EK210,0)=ROUND(EK39,0),"cool","problem")</f>
        <v>cool</v>
      </c>
      <c r="EL211" s="545" t="str">
        <f>IF(ROUND(EL210,0)=ROUND(EL39,0),"cool","problem")</f>
        <v>cool</v>
      </c>
      <c r="EM211" s="545" t="str">
        <f>IF(ROUND(EM210,0)=ROUND(EM39,0),"cool","problem")</f>
        <v>cool</v>
      </c>
      <c r="EN211" s="545" t="str">
        <f>IF(ROUND(EN210,0)=ROUND(EN39,0),"cool","problem")</f>
        <v>cool</v>
      </c>
      <c r="EO211" s="551"/>
      <c r="EP211" s="554"/>
      <c r="EQ211" s="545" t="str">
        <f>IF(ROUND(EQ210,0)=ROUND(EQ39,0),"cool","problem")</f>
        <v>cool</v>
      </c>
      <c r="ER211" s="545" t="str">
        <f>IF(ROUND(ER210,0)=ROUND(ER39,0),"cool","problem")</f>
        <v>cool</v>
      </c>
      <c r="ES211" s="545" t="str">
        <f>IF(ROUND(ES210,0)=ROUND(ES39,0),"cool","problem")</f>
        <v>cool</v>
      </c>
      <c r="ET211" s="545" t="str">
        <f>IF(ROUND(ET210,0)=ROUND(ET39,0),"cool","problem")</f>
        <v>cool</v>
      </c>
      <c r="EU211" s="551"/>
      <c r="EV211" s="554"/>
      <c r="EW211" s="545" t="str">
        <f>IF(ROUND(EW210,0)=ROUND(EW39,0),"cool","problem")</f>
        <v>cool</v>
      </c>
      <c r="EX211" s="545" t="str">
        <f>IF(ROUND(EX210,0)=ROUND(EX39,0),"cool","problem")</f>
        <v>cool</v>
      </c>
      <c r="EY211" s="545" t="str">
        <f>IF(ROUND(EY210,0)=ROUND(EY39,0),"cool","problem")</f>
        <v>cool</v>
      </c>
      <c r="EZ211" s="545" t="str">
        <f>IF(ROUND(EZ210,0)=ROUND(EZ39,0),"cool","problem")</f>
        <v>cool</v>
      </c>
      <c r="FA211" s="551"/>
      <c r="FB211" s="554"/>
      <c r="FC211" s="545" t="str">
        <f>IF(ROUND(FC210,0)=ROUND(FC39,0),"cool","problem")</f>
        <v>cool</v>
      </c>
      <c r="FD211" s="545" t="str">
        <f>IF(ROUND(FD210,0)=ROUND(FD39,0),"cool","problem")</f>
        <v>cool</v>
      </c>
      <c r="FE211" s="545" t="str">
        <f>IF(ROUND(FE210,0)=ROUND(FE39,0),"cool","problem")</f>
        <v>cool</v>
      </c>
      <c r="FF211" s="545" t="str">
        <f>IF(ROUND(FF210,0)=ROUND(FF39,0),"cool","problem")</f>
        <v>cool</v>
      </c>
      <c r="FG211" s="551"/>
      <c r="FH211" s="554"/>
      <c r="FI211" s="545" t="str">
        <f>IF(ROUND(FI210,0)=ROUND(FI39,0),"cool","problem")</f>
        <v>cool</v>
      </c>
      <c r="FJ211" s="545" t="str">
        <f>IF(ROUND(FJ210,0)=ROUND(FJ39,0),"cool","problem")</f>
        <v>cool</v>
      </c>
      <c r="FK211" s="545" t="str">
        <f>IF(ROUND(FK210,0)=ROUND(FK39,0),"cool","problem")</f>
        <v>cool</v>
      </c>
      <c r="FL211" s="545" t="str">
        <f>IF(ROUND(FL210,0)=ROUND(FL39,0),"cool","problem")</f>
        <v>cool</v>
      </c>
      <c r="FM211" s="551"/>
      <c r="FN211" s="1008"/>
      <c r="FO211" s="1008"/>
      <c r="FP211" s="1008"/>
      <c r="FQ211" s="1008"/>
      <c r="FR211"/>
      <c r="FS211"/>
      <c r="FT211"/>
      <c r="FU211"/>
      <c r="FV211"/>
      <c r="FW211"/>
      <c r="FX211" s="1008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</row>
    <row r="212" spans="1:274" s="24" customFormat="1" ht="12.75" collapsed="1" x14ac:dyDescent="0.2">
      <c r="A212" s="901"/>
      <c r="B212" s="20"/>
      <c r="C212" s="135"/>
      <c r="D212" s="135"/>
      <c r="E212" s="135"/>
      <c r="F212" s="135"/>
      <c r="G212" s="135"/>
      <c r="H212" s="135"/>
      <c r="I212" s="135"/>
      <c r="J212" s="135"/>
      <c r="K212" s="135"/>
      <c r="L212" s="135"/>
      <c r="M212" s="135"/>
      <c r="N212" s="135"/>
      <c r="O212" s="135"/>
      <c r="P212" s="135"/>
      <c r="Q212" s="135"/>
      <c r="R212" s="135"/>
      <c r="S212" s="135"/>
      <c r="T212" s="135"/>
      <c r="U212" s="135"/>
      <c r="V212" s="135"/>
      <c r="W212" s="135"/>
      <c r="X212" s="135"/>
      <c r="Y212" s="135"/>
      <c r="Z212" s="135"/>
      <c r="AA212" s="135"/>
      <c r="AB212" s="135"/>
      <c r="AC212" s="135"/>
      <c r="AD212" s="135"/>
      <c r="AE212" s="135"/>
      <c r="AF212" s="135"/>
      <c r="AG212" s="135"/>
      <c r="AH212" s="135"/>
      <c r="AI212" s="135"/>
      <c r="AJ212" s="135"/>
      <c r="AK212" s="135"/>
      <c r="AL212" s="135"/>
      <c r="AM212" s="135"/>
      <c r="AN212" s="135"/>
      <c r="AO212" s="135"/>
      <c r="AP212" s="135"/>
      <c r="AQ212" s="135"/>
      <c r="AR212" s="135"/>
      <c r="AS212" s="135"/>
      <c r="AT212" s="135"/>
      <c r="AU212" s="135"/>
      <c r="AV212" s="135"/>
      <c r="AW212" s="135"/>
      <c r="AX212" s="135"/>
      <c r="AY212" s="135"/>
      <c r="AZ212" s="135"/>
      <c r="BA212" s="135"/>
      <c r="BB212" s="135"/>
      <c r="BC212" s="135"/>
      <c r="BD212" s="135"/>
      <c r="BE212" s="991"/>
      <c r="BF212" s="991"/>
      <c r="BG212" s="991"/>
      <c r="BH212" s="991"/>
      <c r="BI212" s="991"/>
      <c r="BJ212" s="135"/>
      <c r="BK212" s="992"/>
      <c r="BL212" s="992"/>
      <c r="BM212" s="992"/>
      <c r="BN212" s="992"/>
      <c r="BO212" s="992"/>
      <c r="BP212" s="135"/>
      <c r="BQ212" s="37"/>
      <c r="BR212" s="37"/>
      <c r="BS212" s="37"/>
      <c r="BT212" s="135"/>
      <c r="BU212" s="135"/>
      <c r="BV212" s="135"/>
      <c r="BW212" s="993"/>
      <c r="BX212" s="993"/>
      <c r="BY212" s="993"/>
      <c r="BZ212" s="993"/>
      <c r="CA212" s="993"/>
      <c r="CB212" s="135"/>
      <c r="CC212" s="135"/>
      <c r="CD212" s="135"/>
      <c r="CE212" s="135"/>
      <c r="CF212" s="135"/>
      <c r="CG212" s="985"/>
      <c r="CH212" s="135"/>
      <c r="CI212" s="135"/>
      <c r="CJ212" s="135"/>
      <c r="CK212" s="135"/>
      <c r="CL212" s="135"/>
      <c r="CM212" s="985"/>
      <c r="CN212" s="135"/>
      <c r="CO212" s="135"/>
      <c r="CP212" s="135"/>
      <c r="CQ212" s="135"/>
      <c r="CR212" s="135"/>
      <c r="CS212" s="985"/>
      <c r="CT212" s="135"/>
      <c r="CU212" s="135"/>
      <c r="CV212" s="135"/>
      <c r="CW212" s="135"/>
      <c r="CX212" s="135"/>
      <c r="CY212" s="985"/>
      <c r="CZ212" s="135"/>
      <c r="DA212" s="135"/>
      <c r="DB212" s="135"/>
      <c r="DC212" s="135"/>
      <c r="DD212" s="135"/>
      <c r="DE212" s="985"/>
      <c r="DF212" s="135"/>
      <c r="DG212" s="135"/>
      <c r="DH212" s="135"/>
      <c r="DI212" s="135"/>
      <c r="DJ212" s="135"/>
      <c r="DK212" s="985"/>
      <c r="DL212" s="135"/>
      <c r="DM212" s="135"/>
      <c r="DN212" s="135"/>
      <c r="DO212" s="135"/>
      <c r="DP212" s="135"/>
      <c r="DQ212" s="985"/>
      <c r="DR212" s="135"/>
      <c r="DS212" s="135"/>
      <c r="DT212" s="135"/>
      <c r="DU212" s="135"/>
      <c r="DV212" s="135"/>
      <c r="DW212" s="985"/>
      <c r="DX212" s="135"/>
      <c r="DY212" s="135"/>
      <c r="DZ212" s="135"/>
      <c r="EA212" s="135"/>
      <c r="EB212" s="135"/>
      <c r="EC212" s="985"/>
      <c r="ED212" s="135"/>
      <c r="EE212" s="135"/>
      <c r="EF212" s="135"/>
      <c r="EG212" s="135"/>
      <c r="EH212" s="135"/>
      <c r="EI212" s="985"/>
      <c r="EJ212" s="135"/>
      <c r="EK212" s="135"/>
      <c r="EL212" s="135"/>
      <c r="EM212" s="135"/>
      <c r="EN212" s="135"/>
      <c r="EO212" s="985"/>
      <c r="EP212" s="135"/>
      <c r="EQ212" s="135"/>
      <c r="ER212" s="135"/>
      <c r="ES212" s="135"/>
      <c r="ET212" s="135"/>
      <c r="EU212" s="985"/>
      <c r="EV212" s="135"/>
      <c r="EW212" s="135"/>
      <c r="EX212" s="135"/>
      <c r="EY212" s="135"/>
      <c r="EZ212" s="135"/>
      <c r="FA212" s="985"/>
      <c r="FB212" s="135"/>
      <c r="FC212" s="135"/>
      <c r="FD212" s="135"/>
      <c r="FE212" s="135"/>
      <c r="FF212" s="135"/>
      <c r="FG212" s="985"/>
      <c r="FH212" s="135"/>
      <c r="FI212" s="135"/>
      <c r="FJ212" s="135"/>
      <c r="FK212" s="135"/>
      <c r="FL212" s="135"/>
      <c r="FM212" s="985"/>
      <c r="FN212" s="135"/>
      <c r="FO212" s="135"/>
      <c r="FP212" s="135"/>
      <c r="FQ212" s="135"/>
      <c r="FR212"/>
      <c r="FS212"/>
      <c r="FT212"/>
      <c r="FU212"/>
      <c r="FV212"/>
      <c r="FW212"/>
      <c r="FX212" s="135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</row>
    <row r="213" spans="1:274" s="24" customFormat="1" ht="12.75" hidden="1" customHeight="1" outlineLevel="1" x14ac:dyDescent="0.2">
      <c r="A213" s="513" t="s">
        <v>311</v>
      </c>
      <c r="B213" s="20"/>
      <c r="C213" s="494"/>
      <c r="D213" s="494"/>
      <c r="E213" s="494"/>
      <c r="F213" s="494"/>
      <c r="G213" s="494"/>
      <c r="H213" s="494"/>
      <c r="I213" s="494"/>
      <c r="J213" s="494"/>
      <c r="K213" s="494"/>
      <c r="L213" s="494"/>
      <c r="M213" s="494"/>
      <c r="N213" s="494"/>
      <c r="O213" s="494"/>
      <c r="P213" s="494"/>
      <c r="Q213" s="494"/>
      <c r="R213" s="494"/>
      <c r="S213" s="494"/>
      <c r="T213" s="494"/>
      <c r="U213" s="494"/>
      <c r="V213" s="494"/>
      <c r="W213" s="494"/>
      <c r="X213" s="494"/>
      <c r="Y213" s="494"/>
      <c r="Z213" s="494"/>
      <c r="AA213" s="494"/>
      <c r="AB213" s="494"/>
      <c r="AC213" s="494"/>
      <c r="AD213" s="494"/>
      <c r="AE213" s="494"/>
      <c r="AF213" s="494"/>
      <c r="AG213" s="494"/>
      <c r="AH213" s="494"/>
      <c r="AI213" s="494"/>
      <c r="AJ213" s="494"/>
      <c r="AK213" s="559"/>
      <c r="AL213" s="494"/>
      <c r="AM213" s="494"/>
      <c r="AN213" s="494"/>
      <c r="AO213" s="494"/>
      <c r="AP213" s="494"/>
      <c r="AQ213" s="559"/>
      <c r="AR213" s="494"/>
      <c r="AS213" s="494"/>
      <c r="AT213" s="494"/>
      <c r="AU213" s="494"/>
      <c r="AV213" s="494"/>
      <c r="AW213" s="559"/>
      <c r="AX213" s="496"/>
      <c r="AY213" s="494"/>
      <c r="AZ213" s="543">
        <f>AZ38</f>
        <v>-85.391999999999996</v>
      </c>
      <c r="BA213" s="543">
        <f>BA38</f>
        <v>-112.679</v>
      </c>
      <c r="BB213" s="543">
        <f>BB38</f>
        <v>-154</v>
      </c>
      <c r="BC213" s="559">
        <f>BC38</f>
        <v>-154</v>
      </c>
      <c r="BD213" s="494"/>
      <c r="BE213" s="506">
        <f t="shared" ref="BE213:CB213" si="154">BE38</f>
        <v>-16.059000000000001</v>
      </c>
      <c r="BF213" s="506">
        <f t="shared" si="154"/>
        <v>-152.16999999999999</v>
      </c>
      <c r="BG213" s="506">
        <f t="shared" si="154"/>
        <v>-218.42099999999999</v>
      </c>
      <c r="BH213" s="506">
        <f t="shared" si="154"/>
        <v>-122</v>
      </c>
      <c r="BI213" s="559">
        <f t="shared" si="154"/>
        <v>-122</v>
      </c>
      <c r="BJ213" s="494">
        <f t="shared" si="154"/>
        <v>0</v>
      </c>
      <c r="BK213" s="506">
        <f t="shared" si="154"/>
        <v>-100</v>
      </c>
      <c r="BL213" s="506">
        <f t="shared" si="154"/>
        <v>-84</v>
      </c>
      <c r="BM213" s="506">
        <f t="shared" si="154"/>
        <v>6</v>
      </c>
      <c r="BN213" s="506">
        <f t="shared" si="154"/>
        <v>127</v>
      </c>
      <c r="BO213" s="559">
        <f t="shared" si="154"/>
        <v>127</v>
      </c>
      <c r="BP213" s="494">
        <f t="shared" si="154"/>
        <v>0</v>
      </c>
      <c r="BQ213" s="506">
        <f t="shared" si="154"/>
        <v>9</v>
      </c>
      <c r="BR213" s="506">
        <f t="shared" si="154"/>
        <v>139</v>
      </c>
      <c r="BS213" s="506">
        <f t="shared" si="154"/>
        <v>249</v>
      </c>
      <c r="BT213" s="506">
        <f t="shared" si="154"/>
        <v>156</v>
      </c>
      <c r="BU213" s="559">
        <f t="shared" si="154"/>
        <v>156</v>
      </c>
      <c r="BV213" s="494">
        <f t="shared" si="154"/>
        <v>0</v>
      </c>
      <c r="BW213" s="506">
        <f t="shared" si="154"/>
        <v>158</v>
      </c>
      <c r="BX213" s="506">
        <f t="shared" si="154"/>
        <v>316</v>
      </c>
      <c r="BY213" s="506">
        <f t="shared" si="154"/>
        <v>253</v>
      </c>
      <c r="BZ213" s="506">
        <f t="shared" si="154"/>
        <v>198</v>
      </c>
      <c r="CA213" s="559">
        <f t="shared" si="154"/>
        <v>198</v>
      </c>
      <c r="CB213" s="494">
        <f t="shared" si="154"/>
        <v>0</v>
      </c>
      <c r="CC213" s="506">
        <f>BZ213+CC215+CC216+CC217</f>
        <v>205</v>
      </c>
      <c r="CD213" s="506">
        <f>CC213+CD215+CD216+CD217</f>
        <v>165.12799999999999</v>
      </c>
      <c r="CE213" s="506">
        <f>CD213+CE215+CE216+CE217</f>
        <v>177</v>
      </c>
      <c r="CF213" s="506">
        <f>CE213+CF215+CF216+CF217</f>
        <v>228</v>
      </c>
      <c r="CG213" s="560">
        <f>CF213</f>
        <v>228</v>
      </c>
      <c r="CH213" s="494">
        <f>CH38</f>
        <v>0</v>
      </c>
      <c r="CI213" s="506">
        <f>CF213+CI215+CI216+CI217</f>
        <v>242</v>
      </c>
      <c r="CJ213" s="506">
        <f>CI213+CJ215+CJ216+CJ217</f>
        <v>273</v>
      </c>
      <c r="CK213" s="506">
        <f>CJ213+CK215+CK216+CK217</f>
        <v>276</v>
      </c>
      <c r="CL213" s="506">
        <f>CK213+CL215+CL216+CL217</f>
        <v>403</v>
      </c>
      <c r="CM213" s="560">
        <f>CL213</f>
        <v>403</v>
      </c>
      <c r="CN213" s="494">
        <f>CN38</f>
        <v>0</v>
      </c>
      <c r="CO213" s="302">
        <f>CL213+CO215+CO216+CO217</f>
        <v>407</v>
      </c>
      <c r="CP213" s="302">
        <f>CO213+CP215+CP216+CP217</f>
        <v>561</v>
      </c>
      <c r="CQ213" s="302">
        <f>CP213+CQ215+CQ216+CQ217</f>
        <v>600</v>
      </c>
      <c r="CR213" s="302">
        <f>CQ213+CR215+CR216+CR217</f>
        <v>841</v>
      </c>
      <c r="CS213" s="561">
        <f>CR213</f>
        <v>841</v>
      </c>
      <c r="CT213" s="496"/>
      <c r="CU213" s="302">
        <f>CR213+CU215+CU216+CU217</f>
        <v>500.0816832374876</v>
      </c>
      <c r="CV213" s="302">
        <f>CU213+CV215+CV216+CV217</f>
        <v>512.6598615196981</v>
      </c>
      <c r="CW213" s="302">
        <f>CV213+CW215+CW216+CW217</f>
        <v>-149</v>
      </c>
      <c r="CX213" s="302">
        <f>CW213+CX215+CX216+CX217</f>
        <v>216</v>
      </c>
      <c r="CY213" s="561">
        <f>CX213</f>
        <v>216</v>
      </c>
      <c r="CZ213" s="496"/>
      <c r="DA213" s="302">
        <f>CX213+DA215+DA216+DA217</f>
        <v>605</v>
      </c>
      <c r="DB213" s="302">
        <f>DA213+DB215+DB216+DB217</f>
        <v>845</v>
      </c>
      <c r="DC213" s="302">
        <f>DB213+DC215+DC216+DC217</f>
        <v>621</v>
      </c>
      <c r="DD213" s="302">
        <f>DC213+DD215+DD216+DD217</f>
        <v>4</v>
      </c>
      <c r="DE213" s="561">
        <f>DD213</f>
        <v>4</v>
      </c>
      <c r="DF213" s="496"/>
      <c r="DG213" s="302">
        <f>DD213+DG215+DG216+DG217</f>
        <v>156</v>
      </c>
      <c r="DH213" s="302">
        <f>DG213+DH215+DH216+DH217</f>
        <v>327</v>
      </c>
      <c r="DI213" s="302">
        <f>DH213+DI215+DI216+DI217</f>
        <v>427</v>
      </c>
      <c r="DJ213" s="302">
        <f>DI213+DJ215+DJ216+DJ217</f>
        <v>542</v>
      </c>
      <c r="DK213" s="561">
        <f>DJ213</f>
        <v>542</v>
      </c>
      <c r="DL213" s="496"/>
      <c r="DM213" s="302">
        <f>DJ213+DM215+DM216+DM217</f>
        <v>592</v>
      </c>
      <c r="DN213" s="302">
        <f>DM213+DN215+DN216+DN217</f>
        <v>292</v>
      </c>
      <c r="DO213" s="302">
        <f>DN213+DO215+DO216+DO217</f>
        <v>416</v>
      </c>
      <c r="DP213" s="302">
        <f>DO213+DP215+DP216+DP217</f>
        <v>112</v>
      </c>
      <c r="DQ213" s="561">
        <f>DP213</f>
        <v>112</v>
      </c>
      <c r="DR213" s="496"/>
      <c r="DS213" s="302">
        <f>DP213+DS215+DS216+DS217</f>
        <v>311</v>
      </c>
      <c r="DT213" s="302">
        <f>DS213+DT215+DT216+DT217</f>
        <v>222</v>
      </c>
      <c r="DU213" s="302">
        <f>DT213+DU215+DU216+DU217</f>
        <v>154</v>
      </c>
      <c r="DV213" s="302">
        <f>DU213+DV215+DV216+DV217</f>
        <v>-99</v>
      </c>
      <c r="DW213" s="561">
        <f>DV213</f>
        <v>-99</v>
      </c>
      <c r="DX213" s="496"/>
      <c r="DY213" s="302">
        <f>DV213+DY215+DY216+DY217</f>
        <v>-344</v>
      </c>
      <c r="DZ213" s="302">
        <f>DY213+DZ215+DZ216+DZ217</f>
        <v>-226</v>
      </c>
      <c r="EA213" s="302">
        <f>DZ213+EA215+EA216+EA217</f>
        <v>-235</v>
      </c>
      <c r="EB213" s="302">
        <f>EA213+EB215+EB216+EB217</f>
        <v>-164</v>
      </c>
      <c r="EC213" s="561">
        <f>EB213</f>
        <v>-164</v>
      </c>
      <c r="ED213" s="496"/>
      <c r="EE213" s="302">
        <f>EB213+EE215+EE216+EE217</f>
        <v>-193</v>
      </c>
      <c r="EF213" s="302">
        <f>EE213+EF215+EF216+EF217</f>
        <v>-468</v>
      </c>
      <c r="EG213" s="302">
        <f>EF213+EG215+EG216+EG217</f>
        <v>-764</v>
      </c>
      <c r="EH213" s="302">
        <f>EG213+EH215+EH216+EH217</f>
        <v>-996</v>
      </c>
      <c r="EI213" s="561">
        <f>EH213</f>
        <v>-996</v>
      </c>
      <c r="EJ213" s="496"/>
      <c r="EK213" s="302">
        <f>EH213+EK215+EK216+EK217</f>
        <v>-1139</v>
      </c>
      <c r="EL213" s="302">
        <f>EK213+EL215+EL216+EL217</f>
        <v>-1239</v>
      </c>
      <c r="EM213" s="302">
        <f>EL213+EM215+EM216+EM217</f>
        <v>-1046</v>
      </c>
      <c r="EN213" s="302">
        <f>EM213+EN215+EN216+EN217</f>
        <v>-816</v>
      </c>
      <c r="EO213" s="561">
        <f>EN213</f>
        <v>-816</v>
      </c>
      <c r="EP213" s="496"/>
      <c r="EQ213" s="302">
        <f>EN213+EQ215+EQ216+EQ217</f>
        <v>-533</v>
      </c>
      <c r="ER213" s="302">
        <f>EQ213+ER215+ER216+ER217</f>
        <v>-1072</v>
      </c>
      <c r="ES213" s="302">
        <f>ER213+ES215+ES216+ES217</f>
        <v>-931</v>
      </c>
      <c r="ET213" s="302">
        <f>ES213+ET215+ET216+ET217</f>
        <v>-803</v>
      </c>
      <c r="EU213" s="561">
        <f>ET213</f>
        <v>-803</v>
      </c>
      <c r="EV213" s="496"/>
      <c r="EW213" s="302">
        <f>ET213+EW215+EW216+EW217</f>
        <v>-716</v>
      </c>
      <c r="EX213" s="302">
        <f>EW213+EX215+EX216+EX217</f>
        <v>-902</v>
      </c>
      <c r="EY213" s="302">
        <f>EX213+EY215+EY216+EY217</f>
        <v>0</v>
      </c>
      <c r="EZ213" s="302">
        <f>EY213+EZ215+EZ216+EZ217</f>
        <v>0.12810000000172295</v>
      </c>
      <c r="FA213" s="561">
        <f>EZ213</f>
        <v>0.12810000000172295</v>
      </c>
      <c r="FB213" s="496"/>
      <c r="FC213" s="302">
        <f>EZ213+FC215+FC216+FC217</f>
        <v>0.12810000000536093</v>
      </c>
      <c r="FD213" s="302">
        <f>FC213+FD215+FD216+FD217</f>
        <v>0.12810000001627486</v>
      </c>
      <c r="FE213" s="302">
        <f>FD213+FE215+FE216+FE217</f>
        <v>0.1281000000089989</v>
      </c>
      <c r="FF213" s="302">
        <f>FE213+FF215+FF216+FF217</f>
        <v>0.12809999999808497</v>
      </c>
      <c r="FG213" s="561">
        <f>FF213</f>
        <v>0.12809999999808497</v>
      </c>
      <c r="FH213" s="496"/>
      <c r="FI213" s="302">
        <f>FF213+FI215+FI216+FI217</f>
        <v>0.12809999999808497</v>
      </c>
      <c r="FJ213" s="302">
        <f>FI213+FJ215+FJ216+FJ217</f>
        <v>0.12809999998717103</v>
      </c>
      <c r="FK213" s="302">
        <f>FJ213+FK215+FK216+FK217</f>
        <v>0.12809999998717103</v>
      </c>
      <c r="FL213" s="302">
        <f>FK213+FL215+FL216+FL217</f>
        <v>0.12810000001627486</v>
      </c>
      <c r="FM213" s="561">
        <f>FL213</f>
        <v>0.12810000001627486</v>
      </c>
      <c r="FN213" s="135"/>
      <c r="FO213" s="135"/>
      <c r="FP213" s="135"/>
      <c r="FQ213" s="135"/>
      <c r="FR213"/>
      <c r="FS213"/>
      <c r="FT213"/>
      <c r="FU213"/>
      <c r="FV213"/>
      <c r="FW213"/>
      <c r="FX213" s="135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</row>
    <row r="214" spans="1:274" s="979" customFormat="1" ht="12.75" hidden="1" customHeight="1" outlineLevel="1" x14ac:dyDescent="0.2">
      <c r="A214" s="513" t="s">
        <v>312</v>
      </c>
      <c r="B214" s="1007"/>
      <c r="C214" s="546"/>
      <c r="D214" s="546"/>
      <c r="E214" s="546"/>
      <c r="F214" s="546"/>
      <c r="G214" s="546"/>
      <c r="H214" s="546"/>
      <c r="I214" s="546"/>
      <c r="J214" s="546"/>
      <c r="K214" s="546"/>
      <c r="L214" s="546"/>
      <c r="M214" s="546"/>
      <c r="N214" s="546"/>
      <c r="O214" s="546"/>
      <c r="P214" s="546"/>
      <c r="Q214" s="546"/>
      <c r="R214" s="546"/>
      <c r="S214" s="546"/>
      <c r="T214" s="546"/>
      <c r="U214" s="546"/>
      <c r="V214" s="546"/>
      <c r="W214" s="546"/>
      <c r="X214" s="546"/>
      <c r="Y214" s="546"/>
      <c r="Z214" s="546"/>
      <c r="AA214" s="546"/>
      <c r="AB214" s="546"/>
      <c r="AC214" s="546"/>
      <c r="AD214" s="546"/>
      <c r="AE214" s="546"/>
      <c r="AF214" s="546"/>
      <c r="AG214" s="546"/>
      <c r="AH214" s="546"/>
      <c r="AI214" s="546"/>
      <c r="AJ214" s="546"/>
      <c r="AK214" s="546"/>
      <c r="AL214" s="546"/>
      <c r="AM214" s="546"/>
      <c r="AN214" s="546"/>
      <c r="AO214" s="546"/>
      <c r="AP214" s="546"/>
      <c r="AQ214" s="1009"/>
      <c r="AR214" s="546"/>
      <c r="AS214" s="546"/>
      <c r="AT214" s="546"/>
      <c r="AU214" s="546"/>
      <c r="AV214" s="546"/>
      <c r="AW214" s="1009"/>
      <c r="AX214" s="549"/>
      <c r="AY214" s="546"/>
      <c r="AZ214" s="546"/>
      <c r="BA214" s="546"/>
      <c r="BB214" s="546"/>
      <c r="BC214" s="1009"/>
      <c r="BD214" s="546"/>
      <c r="BE214" s="1009" t="str">
        <f>IF(ROUND((BE213-BE215-BE216-BB213),3)=0,"cool","problem")</f>
        <v>cool</v>
      </c>
      <c r="BF214" s="1009" t="str">
        <f>IF(ROUND((BF213-BF215-BF216-BE213),3)=0,"cool","problem")</f>
        <v>cool</v>
      </c>
      <c r="BG214" s="1009" t="str">
        <f>IF(ROUND((BG213-BG215-BG216-BF213),3)=0,"cool","problem")</f>
        <v>cool</v>
      </c>
      <c r="BH214" s="1009" t="str">
        <f>IF(ROUND((BH213-BH215-BH216-BG213),3)=0,"cool","problem")</f>
        <v>cool</v>
      </c>
      <c r="BI214" s="1009" t="str">
        <f>IF(ROUND((BI213-BI215-BI216-BC213),3)=0,"cool","problem")</f>
        <v>cool</v>
      </c>
      <c r="BJ214" s="546"/>
      <c r="BK214" s="1009" t="str">
        <f>IF(ROUND((BK213-BK215-BK216-BK217-BH213),3)=0,"cool","problem")</f>
        <v>cool</v>
      </c>
      <c r="BL214" s="1009" t="str">
        <f>IF(ROUND((BL213-BL215-BL216-BL217-BK213),3)=0,"cool","problem")</f>
        <v>cool</v>
      </c>
      <c r="BM214" s="1009" t="str">
        <f>IF(ROUND((BM213-BM215-BM216-BM217-BL213),3)=0,"cool","problem")</f>
        <v>cool</v>
      </c>
      <c r="BN214" s="1009" t="str">
        <f>IF(ROUND((BN213-BN215-BN216-BN217-BM213),3)=0,"cool","problem")</f>
        <v>cool</v>
      </c>
      <c r="BO214" s="1009" t="str">
        <f>IF(ROUND((BO213-BO215-BO216-BO217-BI213),3)=0,"cool","problem")</f>
        <v>cool</v>
      </c>
      <c r="BP214" s="546"/>
      <c r="BQ214" s="1009" t="str">
        <f>IF(ROUND((BQ213-BQ215-BQ216-BQ217-BN213),3)=0,"cool","problem")</f>
        <v>cool</v>
      </c>
      <c r="BR214" s="1009" t="str">
        <f>IF(ROUND((BR213-BR215-BR216-BR217-BQ213),3)=0,"cool","problem")</f>
        <v>cool</v>
      </c>
      <c r="BS214" s="1009" t="str">
        <f>IF(ROUND((BS213-BS215-BS216-BS217-BR213),3)=0,"cool","problem")</f>
        <v>cool</v>
      </c>
      <c r="BT214" s="1009" t="str">
        <f>IF(ROUND((BT213-BT215-BT216-BT217-BS213),3)=0,"cool","problem")</f>
        <v>cool</v>
      </c>
      <c r="BU214" s="1009" t="str">
        <f>IF(ROUND((BU213-BU215-BU216-BU217-BO213),3)=0,"cool","problem")</f>
        <v>cool</v>
      </c>
      <c r="BV214" s="546"/>
      <c r="BW214" s="1009" t="str">
        <f>IF(ROUND((BW213-BW215-BW216-BW217-BT213),3)=0,"cool","problem")</f>
        <v>cool</v>
      </c>
      <c r="BX214" s="1009" t="str">
        <f>IF(ROUND((BX213-BX215-BX216-BX217-BW213),3)=0,"cool","problem")</f>
        <v>cool</v>
      </c>
      <c r="BY214" s="1009" t="str">
        <f>IF(ROUND((BY213-BY215-BY216-BY217-BX213),3)=0,"cool","problem")</f>
        <v>cool</v>
      </c>
      <c r="BZ214" s="1009" t="str">
        <f>IF(ROUND((BZ213-BZ215-BZ216-BZ217-BY213),3)=0,"cool","problem")</f>
        <v>cool</v>
      </c>
      <c r="CA214" s="1009" t="str">
        <f>IF(ROUND((CA213-CA215-CA216-CA217-BU213),3)=0,"cool","problem")</f>
        <v>cool</v>
      </c>
      <c r="CB214" s="546"/>
      <c r="CC214" s="1009" t="str">
        <f>IF(ROUND((CC213-CC215-CC216-CC217-BZ213),3)=0,"cool","problem")</f>
        <v>cool</v>
      </c>
      <c r="CD214" s="1009" t="str">
        <f>IF(ROUND((CD213-CD215-CD216-CD217-CC213),3)=0,"cool","problem")</f>
        <v>cool</v>
      </c>
      <c r="CE214" s="1010"/>
      <c r="CF214" s="1010"/>
      <c r="CG214" s="1011" t="str">
        <f>IF(ROUND((CG213-CG215-CG216-CG217-CA213),3)=0,"cool","problem")</f>
        <v>cool</v>
      </c>
      <c r="CH214" s="546"/>
      <c r="CI214" s="1010"/>
      <c r="CJ214" s="1010"/>
      <c r="CK214" s="1010"/>
      <c r="CL214" s="1010"/>
      <c r="CM214" s="1011" t="str">
        <f>IF(ROUND((CM213-CM215-CM216-CG213),3)=0,"cool","problem")</f>
        <v>cool</v>
      </c>
      <c r="CN214" s="546"/>
      <c r="CO214" s="1010"/>
      <c r="CP214" s="1010"/>
      <c r="CQ214" s="1010"/>
      <c r="CR214" s="1010"/>
      <c r="CS214" s="1011" t="str">
        <f>IF(ROUND((CS213-CS215-CS216-CM213),3)=0,"cool","problem")</f>
        <v>cool</v>
      </c>
      <c r="CT214" s="546"/>
      <c r="CU214" s="1010"/>
      <c r="CV214" s="1010"/>
      <c r="CW214" s="1010"/>
      <c r="CX214" s="1010"/>
      <c r="CY214" s="1011" t="str">
        <f>IF(ROUND((CY213-CY215-CY216-CS213),3)=0,"cool","problem")</f>
        <v>cool</v>
      </c>
      <c r="CZ214" s="546"/>
      <c r="DA214" s="1010"/>
      <c r="DB214" s="1010"/>
      <c r="DC214" s="1010"/>
      <c r="DD214" s="1010"/>
      <c r="DE214" s="1011" t="str">
        <f>IF(ROUND((DE213-DE215-DE216-CY213),3)=0,"cool","problem")</f>
        <v>cool</v>
      </c>
      <c r="DF214" s="546"/>
      <c r="DG214" s="1010"/>
      <c r="DH214" s="1010"/>
      <c r="DI214" s="1010"/>
      <c r="DJ214" s="1010"/>
      <c r="DK214" s="1011" t="str">
        <f>IF(ROUND((DK213-DK215-DK216-DE213),3)=0,"cool","problem")</f>
        <v>cool</v>
      </c>
      <c r="DL214" s="546"/>
      <c r="DM214" s="1010"/>
      <c r="DN214" s="1010"/>
      <c r="DO214" s="1010"/>
      <c r="DP214" s="1010"/>
      <c r="DQ214" s="1011" t="str">
        <f>IF(ROUND((DQ213-DQ215-DQ216-DK213),3)=0,"cool","problem")</f>
        <v>cool</v>
      </c>
      <c r="DR214" s="546"/>
      <c r="DS214" s="1010"/>
      <c r="DT214" s="1010"/>
      <c r="DU214" s="1010"/>
      <c r="DV214" s="1010"/>
      <c r="DW214" s="1011" t="str">
        <f>IF(ROUND((DW213-DW215-DW216-DQ213),3)=0,"cool","problem")</f>
        <v>cool</v>
      </c>
      <c r="DX214" s="546"/>
      <c r="DY214" s="1010"/>
      <c r="DZ214" s="1010"/>
      <c r="EA214" s="1010"/>
      <c r="EB214" s="1010"/>
      <c r="EC214" s="1011" t="str">
        <f>IF(ROUND((EC213-EC215-EC216-DW213),3)=0,"cool","problem")</f>
        <v>cool</v>
      </c>
      <c r="ED214" s="546"/>
      <c r="EE214" s="1010"/>
      <c r="EF214" s="1010"/>
      <c r="EG214" s="1010"/>
      <c r="EH214" s="1010"/>
      <c r="EI214" s="1011" t="str">
        <f>IF(ROUND((EI213-EI215-EI216-EC213),3)=0,"cool","problem")</f>
        <v>cool</v>
      </c>
      <c r="EJ214" s="546"/>
      <c r="EK214" s="1010"/>
      <c r="EL214" s="1010"/>
      <c r="EM214" s="1010"/>
      <c r="EN214" s="1010"/>
      <c r="EO214" s="1011" t="str">
        <f>IF(ROUND((EO213-EO215-EO216-EI213),3)=0,"cool","problem")</f>
        <v>cool</v>
      </c>
      <c r="EP214" s="546"/>
      <c r="EQ214" s="1010"/>
      <c r="ER214" s="1010"/>
      <c r="ES214" s="1010"/>
      <c r="ET214" s="1010"/>
      <c r="EU214" s="1011" t="str">
        <f>IF(ROUND((EU213-EU215-EU216-EO213),3)=0,"cool","problem")</f>
        <v>cool</v>
      </c>
      <c r="EV214" s="546"/>
      <c r="EW214" s="1010"/>
      <c r="EX214" s="1010"/>
      <c r="EY214" s="1010"/>
      <c r="EZ214" s="1010"/>
      <c r="FA214" s="1011" t="str">
        <f>IF(ROUND((FA213-FA215-FA216-EU213),3)=0,"cool","problem")</f>
        <v>cool</v>
      </c>
      <c r="FB214" s="546"/>
      <c r="FC214" s="1010"/>
      <c r="FD214" s="1010"/>
      <c r="FE214" s="1010"/>
      <c r="FF214" s="1010"/>
      <c r="FG214" s="1011" t="str">
        <f>IF(ROUND((FG213-FG215-FG216-FA213),3)=0,"cool","problem")</f>
        <v>cool</v>
      </c>
      <c r="FH214" s="546"/>
      <c r="FI214" s="1010"/>
      <c r="FJ214" s="1010"/>
      <c r="FK214" s="1010"/>
      <c r="FL214" s="1010"/>
      <c r="FM214" s="1011" t="str">
        <f>IF(ROUND((FM213-FM215-FM216-FG213),3)=0,"cool","problem")</f>
        <v>cool</v>
      </c>
      <c r="FN214" s="1008"/>
      <c r="FO214" s="1008"/>
      <c r="FP214" s="1008"/>
      <c r="FQ214" s="1008"/>
      <c r="FR214"/>
      <c r="FS214"/>
      <c r="FT214"/>
      <c r="FU214"/>
      <c r="FV214"/>
      <c r="FW214"/>
      <c r="FX214" s="1008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</row>
    <row r="215" spans="1:274" s="24" customFormat="1" ht="12.75" hidden="1" customHeight="1" outlineLevel="1" x14ac:dyDescent="0.2">
      <c r="A215" s="493" t="s">
        <v>313</v>
      </c>
      <c r="B215" s="20"/>
      <c r="C215" s="494"/>
      <c r="D215" s="494"/>
      <c r="E215" s="494"/>
      <c r="F215" s="494"/>
      <c r="G215" s="494"/>
      <c r="H215" s="494"/>
      <c r="I215" s="494"/>
      <c r="J215" s="494"/>
      <c r="K215" s="494"/>
      <c r="L215" s="494"/>
      <c r="M215" s="494"/>
      <c r="N215" s="494"/>
      <c r="O215" s="494"/>
      <c r="P215" s="494"/>
      <c r="Q215" s="494"/>
      <c r="R215" s="494"/>
      <c r="S215" s="494"/>
      <c r="T215" s="494"/>
      <c r="U215" s="494"/>
      <c r="V215" s="494"/>
      <c r="W215" s="494"/>
      <c r="X215" s="494"/>
      <c r="Y215" s="494"/>
      <c r="Z215" s="494"/>
      <c r="AA215" s="494"/>
      <c r="AB215" s="494"/>
      <c r="AC215" s="494"/>
      <c r="AD215" s="494"/>
      <c r="AE215" s="494"/>
      <c r="AF215" s="494"/>
      <c r="AG215" s="494"/>
      <c r="AH215" s="494"/>
      <c r="AI215" s="494"/>
      <c r="AJ215" s="494"/>
      <c r="AK215" s="494"/>
      <c r="AL215" s="494"/>
      <c r="AM215" s="494"/>
      <c r="AN215" s="494"/>
      <c r="AO215" s="494"/>
      <c r="AP215" s="494"/>
      <c r="AQ215" s="562"/>
      <c r="AR215" s="494"/>
      <c r="AS215" s="494"/>
      <c r="AT215" s="494"/>
      <c r="AU215" s="494"/>
      <c r="AV215" s="494"/>
      <c r="AW215" s="562"/>
      <c r="AX215" s="496"/>
      <c r="AY215" s="494"/>
      <c r="AZ215" s="494"/>
      <c r="BA215" s="494"/>
      <c r="BB215" s="494"/>
      <c r="BC215" s="497"/>
      <c r="BD215" s="494"/>
      <c r="BE215" s="497">
        <v>137.941</v>
      </c>
      <c r="BF215" s="497">
        <v>-136.11099999999999</v>
      </c>
      <c r="BG215" s="497">
        <v>-66.251000000000005</v>
      </c>
      <c r="BH215" s="497">
        <v>96.420999999999992</v>
      </c>
      <c r="BI215" s="497">
        <f>SUM(BE215:BH215)</f>
        <v>32</v>
      </c>
      <c r="BJ215" s="494"/>
      <c r="BK215" s="497">
        <v>22</v>
      </c>
      <c r="BL215" s="497">
        <v>16</v>
      </c>
      <c r="BM215" s="497">
        <v>81</v>
      </c>
      <c r="BN215" s="497">
        <f>BO215-BM215-BL215-BK215</f>
        <v>104</v>
      </c>
      <c r="BO215" s="497">
        <v>223</v>
      </c>
      <c r="BP215" s="494"/>
      <c r="BQ215" s="497">
        <v>-93</v>
      </c>
      <c r="BR215" s="497">
        <v>156</v>
      </c>
      <c r="BS215" s="497">
        <v>114</v>
      </c>
      <c r="BT215" s="497">
        <f>75-BS215-BR215-BQ215</f>
        <v>-102</v>
      </c>
      <c r="BU215" s="497">
        <f>SUM(BQ215:BT215)</f>
        <v>75</v>
      </c>
      <c r="BV215" s="494"/>
      <c r="BW215" s="497">
        <v>10</v>
      </c>
      <c r="BX215" s="497">
        <v>185</v>
      </c>
      <c r="BY215" s="994">
        <v>-6</v>
      </c>
      <c r="BZ215" s="497">
        <f>111-BY215-BX215-BW215</f>
        <v>-78</v>
      </c>
      <c r="CA215" s="497">
        <f>SUM(BW215:BZ215)</f>
        <v>111</v>
      </c>
      <c r="CB215" s="494"/>
      <c r="CC215" s="497">
        <f>-94-CD215</f>
        <v>-12</v>
      </c>
      <c r="CD215" s="497">
        <v>-82</v>
      </c>
      <c r="CE215" s="563">
        <f>CE21-CE35-CE37-CE39-CD213</f>
        <v>11.872000000000014</v>
      </c>
      <c r="CF215" s="563">
        <f>CF21-CF35-CF37-CF39-CE213</f>
        <v>51</v>
      </c>
      <c r="CG215" s="560">
        <f>SUM(CC215:CF215)</f>
        <v>-31.127999999999986</v>
      </c>
      <c r="CH215" s="494"/>
      <c r="CI215" s="563">
        <f>CI21-CI35-CI37-CI39-CF213</f>
        <v>14</v>
      </c>
      <c r="CJ215" s="563">
        <f>CJ21-CJ35-CJ37-CJ39-CI213</f>
        <v>31</v>
      </c>
      <c r="CK215" s="563">
        <f>CK21-CK35-CK37-CK39-CJ213</f>
        <v>3</v>
      </c>
      <c r="CL215" s="497">
        <f>CL21-CL35-CL37-CL39-CK213</f>
        <v>127</v>
      </c>
      <c r="CM215" s="560">
        <f>SUM(CI215:CL215)</f>
        <v>175</v>
      </c>
      <c r="CN215" s="494"/>
      <c r="CO215" s="543">
        <f>CO21-CO35-CO37-CO39-CL213</f>
        <v>4</v>
      </c>
      <c r="CP215" s="543">
        <f>CP21-CP35-CP37-CP39-CO213</f>
        <v>154</v>
      </c>
      <c r="CQ215" s="543">
        <f>CQ21-CQ35-CQ37-CQ39-CP213</f>
        <v>39</v>
      </c>
      <c r="CR215" s="543">
        <f>CR21-CR35-CR37-CR39-CQ213</f>
        <v>241</v>
      </c>
      <c r="CS215" s="560">
        <f>SUM(CO215:CR215)</f>
        <v>438</v>
      </c>
      <c r="CT215" s="494"/>
      <c r="CU215" s="543">
        <f>CU21-CU35-CU37-CU39-CR213</f>
        <v>-340.9183167625124</v>
      </c>
      <c r="CV215" s="563">
        <f>CV21-CV35-CV37-CV39-CU213</f>
        <v>12.578178282210501</v>
      </c>
      <c r="CW215" s="543">
        <f>CW21-CW35-CW37-CW39-CV213</f>
        <v>-661.6598615196981</v>
      </c>
      <c r="CX215" s="563">
        <f>CX21-CX35-CX37-CX39-CW213</f>
        <v>365</v>
      </c>
      <c r="CY215" s="560">
        <f>SUM(CU215:CX215)</f>
        <v>-625</v>
      </c>
      <c r="CZ215" s="494"/>
      <c r="DA215" s="497">
        <f>DA21-DA35-DA37-DA39-CX213</f>
        <v>389</v>
      </c>
      <c r="DB215" s="497">
        <f>DB21-DB35-DB37-DB39-DA213</f>
        <v>240</v>
      </c>
      <c r="DC215" s="497">
        <f>DC21-DC35-DC37-DC39-DB213</f>
        <v>-224</v>
      </c>
      <c r="DD215" s="497">
        <f>DD21-DD35-DD37-DD39-DC213-DD41</f>
        <v>-617</v>
      </c>
      <c r="DE215" s="560">
        <f>SUM(DA215:DD215)</f>
        <v>-212</v>
      </c>
      <c r="DF215" s="494"/>
      <c r="DG215" s="497">
        <f>DG21-DG35-DG37-DG39-DD213-DG41</f>
        <v>152</v>
      </c>
      <c r="DH215" s="497">
        <f>DH21-DH35-DH37-DH39-DG213-DH41</f>
        <v>171</v>
      </c>
      <c r="DI215" s="497">
        <f>DI21-DI35-DI37-DI39-DH213-DI41</f>
        <v>100</v>
      </c>
      <c r="DJ215" s="497">
        <f>DJ21-DJ35-DJ37-DJ39-DI213-DJ41</f>
        <v>115</v>
      </c>
      <c r="DK215" s="560">
        <f>SUM(DG215:DJ215)</f>
        <v>538</v>
      </c>
      <c r="DL215" s="494"/>
      <c r="DM215" s="497">
        <f>DM21-DM35-DM37-DM39-DJ213-DM41</f>
        <v>50</v>
      </c>
      <c r="DN215" s="497">
        <f>DN21-DN35-DN37-DN39-DM213-DN41</f>
        <v>-300</v>
      </c>
      <c r="DO215" s="497">
        <f>DO21-DO35-DO37-DO39-DN213-DO41</f>
        <v>124</v>
      </c>
      <c r="DP215" s="497">
        <f>DP21-DP35-DP37-DP39-DO213-DP41</f>
        <v>-304</v>
      </c>
      <c r="DQ215" s="560">
        <f>SUM(DM215:DP215)</f>
        <v>-430</v>
      </c>
      <c r="DR215" s="494"/>
      <c r="DS215" s="497">
        <f>DS21-DS35-DS37-DS39-DP213-DS41</f>
        <v>199</v>
      </c>
      <c r="DT215" s="497">
        <f>DT21-DT35-DT37-DT39-DS213-DT41</f>
        <v>-89</v>
      </c>
      <c r="DU215" s="497">
        <f>DU21-DU35-DU37-DU39-DT213-DU41</f>
        <v>-68</v>
      </c>
      <c r="DV215" s="497">
        <f>DV21-DV35-DV37-DV39-DU213-DV41</f>
        <v>-253</v>
      </c>
      <c r="DW215" s="560">
        <f>SUM(DS215:DV215)</f>
        <v>-211</v>
      </c>
      <c r="DX215" s="494"/>
      <c r="DY215" s="497">
        <f>DY21-DY35-DY37-DY39-DV213-DY41</f>
        <v>-245</v>
      </c>
      <c r="DZ215" s="497">
        <f>DZ21-DZ35-DZ37-DZ39-DY213-DZ41</f>
        <v>118</v>
      </c>
      <c r="EA215" s="497">
        <f>EA21-EA35-EA37-EA39-DZ213-EA41</f>
        <v>-9</v>
      </c>
      <c r="EB215" s="497">
        <f>EB21-EB35-EB37-EB39-EA213-EB41</f>
        <v>71</v>
      </c>
      <c r="EC215" s="560">
        <f>SUM(DY215:EB215)</f>
        <v>-65</v>
      </c>
      <c r="ED215" s="494"/>
      <c r="EE215" s="497">
        <f>EE21-EE35-EE37-EE39-EB213-EE41</f>
        <v>-29</v>
      </c>
      <c r="EF215" s="497">
        <f>EF21-EF35-EF37-EF39-EE213-EF41</f>
        <v>-275</v>
      </c>
      <c r="EG215" s="497">
        <f>EG21-EG35-EG37-EG39-EF213-EG41</f>
        <v>-296</v>
      </c>
      <c r="EH215" s="497">
        <f>EH21-EH35-EH37-EH39-EG213-EH41</f>
        <v>-232</v>
      </c>
      <c r="EI215" s="560">
        <f>SUM(EE215:EH215)</f>
        <v>-832</v>
      </c>
      <c r="EJ215" s="494"/>
      <c r="EK215" s="497">
        <f>EK21-EK35-EK37-EK39-EH213-EK41</f>
        <v>-143</v>
      </c>
      <c r="EL215" s="497">
        <f>EL21-EL35-EL37-EL39-EK213-EL41</f>
        <v>-100</v>
      </c>
      <c r="EM215" s="497">
        <f>EM21-EM35-EM37-EM39-EL213-EM41</f>
        <v>193</v>
      </c>
      <c r="EN215" s="497">
        <f>EN21-EN35-EN37-EN39-EM213-EN41</f>
        <v>230</v>
      </c>
      <c r="EO215" s="560">
        <f>SUM(EK215:EN215)</f>
        <v>180</v>
      </c>
      <c r="EP215" s="494"/>
      <c r="EQ215" s="497">
        <f>EQ21-EQ35-EQ37-EQ39-EN213-EQ41</f>
        <v>283</v>
      </c>
      <c r="ER215" s="497">
        <f>ER21-ER35-ER37-ER39-EQ213-ER41</f>
        <v>-539</v>
      </c>
      <c r="ES215" s="497">
        <f>ES21-ES35-ES37-ES39-ER213-ES41</f>
        <v>141</v>
      </c>
      <c r="ET215" s="497">
        <f>ET21-ET35-ET37-ET39-ES213-ET41</f>
        <v>128</v>
      </c>
      <c r="EU215" s="560">
        <f>SUM(EQ215:ET215)</f>
        <v>13</v>
      </c>
      <c r="EV215" s="494"/>
      <c r="EW215" s="497">
        <f>EW21-EW35-EW37-EW39-ET213-EW41</f>
        <v>87</v>
      </c>
      <c r="EX215" s="497">
        <f>EX21-EX35-EX37-EX39-EW213-EX41</f>
        <v>-186</v>
      </c>
      <c r="EY215" s="497">
        <f>EY21-EY35-EY37-EY39-EX213-EY41</f>
        <v>902</v>
      </c>
      <c r="EZ215" s="497">
        <f>EZ21-EZ35-EZ37-EZ39-EY213-EZ41</f>
        <v>0.12810000000172295</v>
      </c>
      <c r="FA215" s="560">
        <f>SUM(EW215:EZ215)</f>
        <v>803.12810000000172</v>
      </c>
      <c r="FB215" s="494"/>
      <c r="FC215" s="497">
        <f>FC21-FC35-FC37-FC39-EZ213-FC41</f>
        <v>3.637978807091713E-12</v>
      </c>
      <c r="FD215" s="497">
        <f>FD21-FD35-FD37-FD39-FC213-FD41</f>
        <v>1.0913936421275139E-11</v>
      </c>
      <c r="FE215" s="497">
        <f>FE21-FE35-FE37-FE39-FD213-FE41</f>
        <v>-7.2759576141834259E-12</v>
      </c>
      <c r="FF215" s="497">
        <f>FF21-FF35-FF37-FF39-FE213-FF41</f>
        <v>-1.0913936421275139E-11</v>
      </c>
      <c r="FG215" s="560">
        <f>SUM(FC215:FF215)</f>
        <v>-3.637978807091713E-12</v>
      </c>
      <c r="FH215" s="494"/>
      <c r="FI215" s="497">
        <f>FI21-FI35-FI37-FI39-FF213-FI41</f>
        <v>0</v>
      </c>
      <c r="FJ215" s="497">
        <f>FJ21-FJ35-FJ37-FJ39-FI213-FJ41</f>
        <v>-1.0913936421275139E-11</v>
      </c>
      <c r="FK215" s="497">
        <f>FK21-FK35-FK37-FK39-FJ213-FK41</f>
        <v>0</v>
      </c>
      <c r="FL215" s="497">
        <f>FL21-FL35-FL37-FL39-FK213-FL41</f>
        <v>2.9103830456733704E-11</v>
      </c>
      <c r="FM215" s="560">
        <f>SUM(FI215:FL215)</f>
        <v>1.8189894035458565E-11</v>
      </c>
      <c r="FN215" s="135"/>
      <c r="FO215" s="135"/>
      <c r="FP215" s="135"/>
      <c r="FQ215" s="135"/>
      <c r="FR215"/>
      <c r="FS215"/>
      <c r="FT215"/>
      <c r="FU215"/>
      <c r="FV215"/>
      <c r="FW215"/>
      <c r="FX215" s="13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</row>
    <row r="216" spans="1:274" s="24" customFormat="1" ht="12.75" hidden="1" customHeight="1" outlineLevel="1" x14ac:dyDescent="0.2">
      <c r="A216" s="493" t="s">
        <v>314</v>
      </c>
      <c r="B216" s="20"/>
      <c r="C216" s="494"/>
      <c r="D216" s="494"/>
      <c r="E216" s="494"/>
      <c r="F216" s="494"/>
      <c r="G216" s="494"/>
      <c r="H216" s="494"/>
      <c r="I216" s="494"/>
      <c r="J216" s="494"/>
      <c r="K216" s="494"/>
      <c r="L216" s="494"/>
      <c r="M216" s="494"/>
      <c r="N216" s="494"/>
      <c r="O216" s="494"/>
      <c r="P216" s="494"/>
      <c r="Q216" s="494"/>
      <c r="R216" s="494"/>
      <c r="S216" s="494"/>
      <c r="T216" s="494"/>
      <c r="U216" s="494"/>
      <c r="V216" s="494"/>
      <c r="W216" s="494"/>
      <c r="X216" s="494"/>
      <c r="Y216" s="494"/>
      <c r="Z216" s="494"/>
      <c r="AA216" s="494"/>
      <c r="AB216" s="494"/>
      <c r="AC216" s="494"/>
      <c r="AD216" s="494"/>
      <c r="AE216" s="494"/>
      <c r="AF216" s="494"/>
      <c r="AG216" s="494"/>
      <c r="AH216" s="494"/>
      <c r="AI216" s="494"/>
      <c r="AJ216" s="494"/>
      <c r="AK216" s="494"/>
      <c r="AL216" s="494"/>
      <c r="AM216" s="494"/>
      <c r="AN216" s="494"/>
      <c r="AO216" s="494"/>
      <c r="AP216" s="494"/>
      <c r="AQ216" s="562"/>
      <c r="AR216" s="494"/>
      <c r="AS216" s="494"/>
      <c r="AT216" s="494"/>
      <c r="AU216" s="494"/>
      <c r="AV216" s="494"/>
      <c r="AW216" s="562"/>
      <c r="AX216" s="496"/>
      <c r="AY216" s="494"/>
      <c r="AZ216" s="494"/>
      <c r="BA216" s="494"/>
      <c r="BB216" s="494"/>
      <c r="BC216" s="497"/>
      <c r="BD216" s="494"/>
      <c r="BE216" s="497"/>
      <c r="BF216" s="497"/>
      <c r="BG216" s="497"/>
      <c r="BH216" s="497"/>
      <c r="BI216" s="497"/>
      <c r="BJ216" s="494"/>
      <c r="BK216" s="497">
        <v>0</v>
      </c>
      <c r="BL216" s="497">
        <v>0</v>
      </c>
      <c r="BM216" s="497">
        <v>9</v>
      </c>
      <c r="BN216" s="497">
        <f>BO216-BM216-BL216-BK216</f>
        <v>17</v>
      </c>
      <c r="BO216" s="497">
        <v>26</v>
      </c>
      <c r="BP216" s="494"/>
      <c r="BQ216" s="497">
        <v>-25</v>
      </c>
      <c r="BR216" s="497">
        <v>-26</v>
      </c>
      <c r="BS216" s="497">
        <v>-4</v>
      </c>
      <c r="BT216" s="497">
        <f>-23-25+2-BS216-BR216-BQ216</f>
        <v>9</v>
      </c>
      <c r="BU216" s="497">
        <f>SUM(BQ216:BT216)</f>
        <v>-46</v>
      </c>
      <c r="BV216" s="494"/>
      <c r="BW216" s="497">
        <v>-8</v>
      </c>
      <c r="BX216" s="497">
        <v>-27</v>
      </c>
      <c r="BY216" s="497">
        <v>12</v>
      </c>
      <c r="BZ216" s="497">
        <f>-16-14+6-BY216-BX216-BW216</f>
        <v>-1</v>
      </c>
      <c r="CA216" s="497">
        <f>SUM(BW216:BZ216)</f>
        <v>-24</v>
      </c>
      <c r="CB216" s="494"/>
      <c r="CC216" s="497">
        <f>46-CD216</f>
        <v>12</v>
      </c>
      <c r="CD216" s="497">
        <v>34</v>
      </c>
      <c r="CE216" s="497"/>
      <c r="CF216" s="497"/>
      <c r="CG216" s="560">
        <f>SUM(CC216:CF216)</f>
        <v>46</v>
      </c>
      <c r="CH216" s="494"/>
      <c r="CI216" s="497"/>
      <c r="CJ216" s="497"/>
      <c r="CK216" s="497"/>
      <c r="CL216" s="497"/>
      <c r="CM216" s="560">
        <f>SUM(CI216:CL216)</f>
        <v>0</v>
      </c>
      <c r="CN216" s="494"/>
      <c r="CO216" s="497"/>
      <c r="CP216" s="497"/>
      <c r="CQ216" s="497"/>
      <c r="CR216" s="497"/>
      <c r="CS216" s="560">
        <f>SUM(CO216:CR216)</f>
        <v>0</v>
      </c>
      <c r="CT216" s="494"/>
      <c r="CU216" s="497"/>
      <c r="CV216" s="497"/>
      <c r="CW216" s="497"/>
      <c r="CX216" s="497"/>
      <c r="CY216" s="560">
        <f>SUM(CU216:CX216)</f>
        <v>0</v>
      </c>
      <c r="CZ216" s="494"/>
      <c r="DA216" s="497"/>
      <c r="DB216" s="497"/>
      <c r="DC216" s="497"/>
      <c r="DD216" s="497"/>
      <c r="DE216" s="560">
        <f>SUM(DA216:DD216)</f>
        <v>0</v>
      </c>
      <c r="DF216" s="494"/>
      <c r="DG216" s="497"/>
      <c r="DH216" s="497"/>
      <c r="DI216" s="497"/>
      <c r="DJ216" s="497"/>
      <c r="DK216" s="560">
        <f>SUM(DG216:DJ216)</f>
        <v>0</v>
      </c>
      <c r="DL216" s="494"/>
      <c r="DM216" s="497"/>
      <c r="DN216" s="497"/>
      <c r="DO216" s="497"/>
      <c r="DP216" s="497"/>
      <c r="DQ216" s="560">
        <f>SUM(DM216:DP216)</f>
        <v>0</v>
      </c>
      <c r="DR216" s="494"/>
      <c r="DS216" s="497"/>
      <c r="DT216" s="497"/>
      <c r="DU216" s="497"/>
      <c r="DV216" s="497"/>
      <c r="DW216" s="560">
        <f>SUM(DS216:DV216)</f>
        <v>0</v>
      </c>
      <c r="DX216" s="494"/>
      <c r="DY216" s="497"/>
      <c r="DZ216" s="497"/>
      <c r="EA216" s="497"/>
      <c r="EB216" s="497"/>
      <c r="EC216" s="560">
        <f>SUM(DY216:EB216)</f>
        <v>0</v>
      </c>
      <c r="ED216" s="494"/>
      <c r="EE216" s="497"/>
      <c r="EF216" s="497"/>
      <c r="EG216" s="497"/>
      <c r="EH216" s="497"/>
      <c r="EI216" s="560">
        <f>SUM(EE216:EH216)</f>
        <v>0</v>
      </c>
      <c r="EJ216" s="494"/>
      <c r="EK216" s="497"/>
      <c r="EL216" s="497"/>
      <c r="EM216" s="497"/>
      <c r="EN216" s="497"/>
      <c r="EO216" s="560">
        <f>SUM(EK216:EN216)</f>
        <v>0</v>
      </c>
      <c r="EP216" s="494"/>
      <c r="EQ216" s="497"/>
      <c r="ER216" s="497"/>
      <c r="ES216" s="497"/>
      <c r="ET216" s="497"/>
      <c r="EU216" s="560">
        <f>SUM(EQ216:ET216)</f>
        <v>0</v>
      </c>
      <c r="EV216" s="494"/>
      <c r="EW216" s="497"/>
      <c r="EX216" s="497"/>
      <c r="EY216" s="497"/>
      <c r="EZ216" s="497"/>
      <c r="FA216" s="560">
        <f>SUM(EW216:EZ216)</f>
        <v>0</v>
      </c>
      <c r="FB216" s="494"/>
      <c r="FC216" s="497"/>
      <c r="FD216" s="497"/>
      <c r="FE216" s="497"/>
      <c r="FF216" s="497"/>
      <c r="FG216" s="560">
        <f>SUM(FC216:FF216)</f>
        <v>0</v>
      </c>
      <c r="FH216" s="494"/>
      <c r="FI216" s="497"/>
      <c r="FJ216" s="497"/>
      <c r="FK216" s="497"/>
      <c r="FL216" s="497"/>
      <c r="FM216" s="560">
        <f>SUM(FI216:FL216)</f>
        <v>0</v>
      </c>
      <c r="FN216" s="135"/>
      <c r="FO216" s="135"/>
      <c r="FP216" s="135"/>
      <c r="FQ216" s="135"/>
      <c r="FR216"/>
      <c r="FS216"/>
      <c r="FT216"/>
      <c r="FU216"/>
      <c r="FV216"/>
      <c r="FW216"/>
      <c r="FX216" s="135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</row>
    <row r="217" spans="1:274" s="24" customFormat="1" ht="12.75" hidden="1" customHeight="1" outlineLevel="1" x14ac:dyDescent="0.2">
      <c r="A217" s="493" t="s">
        <v>395</v>
      </c>
      <c r="B217" s="20"/>
      <c r="C217" s="494"/>
      <c r="D217" s="494"/>
      <c r="E217" s="494"/>
      <c r="F217" s="494"/>
      <c r="G217" s="494"/>
      <c r="H217" s="494"/>
      <c r="I217" s="494"/>
      <c r="J217" s="494"/>
      <c r="K217" s="494"/>
      <c r="L217" s="494"/>
      <c r="M217" s="494"/>
      <c r="N217" s="494"/>
      <c r="O217" s="494"/>
      <c r="P217" s="494"/>
      <c r="Q217" s="494"/>
      <c r="R217" s="494"/>
      <c r="S217" s="494"/>
      <c r="T217" s="494"/>
      <c r="U217" s="494"/>
      <c r="V217" s="494"/>
      <c r="W217" s="494"/>
      <c r="X217" s="494"/>
      <c r="Y217" s="494"/>
      <c r="Z217" s="494"/>
      <c r="AA217" s="494"/>
      <c r="AB217" s="494"/>
      <c r="AC217" s="494"/>
      <c r="AD217" s="494"/>
      <c r="AE217" s="494"/>
      <c r="AF217" s="494"/>
      <c r="AG217" s="494"/>
      <c r="AH217" s="494"/>
      <c r="AI217" s="494"/>
      <c r="AJ217" s="494"/>
      <c r="AK217" s="494"/>
      <c r="AL217" s="494"/>
      <c r="AM217" s="494"/>
      <c r="AN217" s="494"/>
      <c r="AO217" s="494"/>
      <c r="AP217" s="494"/>
      <c r="AQ217" s="562"/>
      <c r="AR217" s="494"/>
      <c r="AS217" s="494"/>
      <c r="AT217" s="494"/>
      <c r="AU217" s="494"/>
      <c r="AV217" s="494"/>
      <c r="AW217" s="562"/>
      <c r="AX217" s="496"/>
      <c r="AY217" s="494"/>
      <c r="AZ217" s="494"/>
      <c r="BA217" s="494"/>
      <c r="BB217" s="494"/>
      <c r="BC217" s="497"/>
      <c r="BD217" s="494"/>
      <c r="BE217" s="497"/>
      <c r="BF217" s="497"/>
      <c r="BG217" s="497"/>
      <c r="BH217" s="497"/>
      <c r="BI217" s="497"/>
      <c r="BJ217" s="494"/>
      <c r="BK217" s="497">
        <v>0</v>
      </c>
      <c r="BL217" s="497">
        <v>0</v>
      </c>
      <c r="BM217" s="497">
        <v>0</v>
      </c>
      <c r="BN217" s="497">
        <f>0-BM217-BL217-BK217</f>
        <v>0</v>
      </c>
      <c r="BO217" s="497">
        <f>SUM(BK217:BN217)</f>
        <v>0</v>
      </c>
      <c r="BP217" s="494"/>
      <c r="BQ217" s="497">
        <v>0</v>
      </c>
      <c r="BR217" s="497">
        <v>0</v>
      </c>
      <c r="BS217" s="497">
        <v>0</v>
      </c>
      <c r="BT217" s="497">
        <f>0-BS217-BR217-BQ217</f>
        <v>0</v>
      </c>
      <c r="BU217" s="497">
        <f>SUM(BQ217:BT217)</f>
        <v>0</v>
      </c>
      <c r="BV217" s="494"/>
      <c r="BW217" s="497">
        <v>0</v>
      </c>
      <c r="BX217" s="497">
        <v>0</v>
      </c>
      <c r="BY217" s="497">
        <v>-69</v>
      </c>
      <c r="BZ217" s="497">
        <f>-123+78-BY217-BX217-BW217</f>
        <v>24</v>
      </c>
      <c r="CA217" s="497">
        <f>SUM(BW217:BZ217)</f>
        <v>-45</v>
      </c>
      <c r="CB217" s="494"/>
      <c r="CC217" s="497">
        <v>7</v>
      </c>
      <c r="CD217" s="497">
        <v>8.1280000000000001</v>
      </c>
      <c r="CE217" s="497"/>
      <c r="CF217" s="497"/>
      <c r="CG217" s="560">
        <f>SUM(CC217:CF217)</f>
        <v>15.128</v>
      </c>
      <c r="CH217" s="494"/>
      <c r="CI217" s="497"/>
      <c r="CJ217" s="497"/>
      <c r="CK217" s="497"/>
      <c r="CL217" s="497"/>
      <c r="CM217" s="560">
        <f>SUM(CI217:CL217)</f>
        <v>0</v>
      </c>
      <c r="CN217" s="494"/>
      <c r="CO217" s="497"/>
      <c r="CP217" s="497"/>
      <c r="CQ217" s="497"/>
      <c r="CR217" s="497"/>
      <c r="CS217" s="560">
        <f>SUM(CO217:CR217)</f>
        <v>0</v>
      </c>
      <c r="CT217" s="494"/>
      <c r="CU217" s="497"/>
      <c r="CV217" s="497"/>
      <c r="CW217" s="497"/>
      <c r="CX217" s="497"/>
      <c r="CY217" s="560">
        <f>SUM(CU217:CX217)</f>
        <v>0</v>
      </c>
      <c r="CZ217" s="494"/>
      <c r="DA217" s="497"/>
      <c r="DB217" s="497"/>
      <c r="DC217" s="497"/>
      <c r="DD217" s="497"/>
      <c r="DE217" s="560">
        <f>SUM(DA217:DD217)</f>
        <v>0</v>
      </c>
      <c r="DF217" s="494"/>
      <c r="DG217" s="497"/>
      <c r="DH217" s="497"/>
      <c r="DI217" s="497"/>
      <c r="DJ217" s="497"/>
      <c r="DK217" s="560">
        <f>SUM(DG217:DJ217)</f>
        <v>0</v>
      </c>
      <c r="DL217" s="494"/>
      <c r="DM217" s="497"/>
      <c r="DN217" s="497"/>
      <c r="DO217" s="497"/>
      <c r="DP217" s="497"/>
      <c r="DQ217" s="560">
        <f>SUM(DM217:DP217)</f>
        <v>0</v>
      </c>
      <c r="DR217" s="494"/>
      <c r="DS217" s="497"/>
      <c r="DT217" s="497"/>
      <c r="DU217" s="497"/>
      <c r="DV217" s="497"/>
      <c r="DW217" s="560">
        <f>SUM(DS217:DV217)</f>
        <v>0</v>
      </c>
      <c r="DX217" s="494"/>
      <c r="DY217" s="497"/>
      <c r="DZ217" s="497"/>
      <c r="EA217" s="497"/>
      <c r="EB217" s="497"/>
      <c r="EC217" s="560">
        <f>SUM(DY217:EB217)</f>
        <v>0</v>
      </c>
      <c r="ED217" s="494"/>
      <c r="EE217" s="497"/>
      <c r="EF217" s="497"/>
      <c r="EG217" s="497"/>
      <c r="EH217" s="497"/>
      <c r="EI217" s="560">
        <f>SUM(EE217:EH217)</f>
        <v>0</v>
      </c>
      <c r="EJ217" s="494"/>
      <c r="EK217" s="497"/>
      <c r="EL217" s="497"/>
      <c r="EM217" s="497"/>
      <c r="EN217" s="497"/>
      <c r="EO217" s="560">
        <f>SUM(EK217:EN217)</f>
        <v>0</v>
      </c>
      <c r="EP217" s="494"/>
      <c r="EQ217" s="497"/>
      <c r="ER217" s="497"/>
      <c r="ES217" s="497"/>
      <c r="ET217" s="497"/>
      <c r="EU217" s="560">
        <f>SUM(EQ217:ET217)</f>
        <v>0</v>
      </c>
      <c r="EV217" s="494"/>
      <c r="EW217" s="497"/>
      <c r="EX217" s="497"/>
      <c r="EY217" s="497"/>
      <c r="EZ217" s="497"/>
      <c r="FA217" s="560">
        <f>SUM(EW217:EZ217)</f>
        <v>0</v>
      </c>
      <c r="FB217" s="494"/>
      <c r="FC217" s="497"/>
      <c r="FD217" s="497"/>
      <c r="FE217" s="497"/>
      <c r="FF217" s="497"/>
      <c r="FG217" s="560">
        <f>SUM(FC217:FF217)</f>
        <v>0</v>
      </c>
      <c r="FH217" s="494"/>
      <c r="FI217" s="497"/>
      <c r="FJ217" s="497"/>
      <c r="FK217" s="497"/>
      <c r="FL217" s="497"/>
      <c r="FM217" s="560">
        <f>SUM(FI217:FL217)</f>
        <v>0</v>
      </c>
      <c r="FN217" s="135"/>
      <c r="FO217" s="135"/>
      <c r="FP217" s="135"/>
      <c r="FQ217" s="135"/>
      <c r="FR217"/>
      <c r="FS217"/>
      <c r="FT217"/>
      <c r="FU217"/>
      <c r="FV217"/>
      <c r="FW217"/>
      <c r="FX217" s="135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</row>
    <row r="218" spans="1:274" s="24" customFormat="1" ht="12.75" customHeight="1" collapsed="1" x14ac:dyDescent="0.2">
      <c r="A218" s="18"/>
      <c r="B218" s="20"/>
      <c r="C218" s="135"/>
      <c r="D218" s="135"/>
      <c r="E218" s="135"/>
      <c r="F218" s="135"/>
      <c r="G218" s="135"/>
      <c r="H218" s="135"/>
      <c r="I218" s="135"/>
      <c r="J218" s="135"/>
      <c r="K218" s="135"/>
      <c r="L218" s="135"/>
      <c r="M218" s="135"/>
      <c r="N218" s="135"/>
      <c r="O218" s="135"/>
      <c r="P218" s="135"/>
      <c r="Q218" s="135"/>
      <c r="R218" s="135"/>
      <c r="S218" s="135"/>
      <c r="T218" s="135"/>
      <c r="U218" s="135"/>
      <c r="V218" s="135"/>
      <c r="W218" s="135"/>
      <c r="X218" s="135"/>
      <c r="Y218" s="135"/>
      <c r="Z218" s="135"/>
      <c r="AA218" s="135"/>
      <c r="AB218" s="135"/>
      <c r="AC218" s="135"/>
      <c r="AD218" s="135"/>
      <c r="AE218" s="135"/>
      <c r="AF218" s="135"/>
      <c r="AG218" s="135"/>
      <c r="AH218" s="135"/>
      <c r="AI218" s="135"/>
      <c r="AJ218" s="135"/>
      <c r="AK218" s="135"/>
      <c r="AL218" s="135"/>
      <c r="AM218" s="135"/>
      <c r="AN218" s="135"/>
      <c r="AO218" s="135"/>
      <c r="AP218" s="135"/>
      <c r="AQ218" s="564"/>
      <c r="AR218" s="135"/>
      <c r="AS218" s="135"/>
      <c r="AT218" s="135"/>
      <c r="AU218" s="135"/>
      <c r="AV218" s="135"/>
      <c r="AW218" s="564"/>
      <c r="AX218" s="133"/>
      <c r="AY218" s="135"/>
      <c r="AZ218" s="135"/>
      <c r="BA218" s="135"/>
      <c r="BB218" s="135"/>
      <c r="BC218" s="564"/>
      <c r="BD218" s="135"/>
      <c r="BE218" s="565"/>
      <c r="BF218" s="565"/>
      <c r="BG218" s="565"/>
      <c r="BH218" s="565"/>
      <c r="BI218" s="188"/>
      <c r="BJ218" s="135"/>
      <c r="BK218" s="188"/>
      <c r="BL218" s="188"/>
      <c r="BM218" s="188"/>
      <c r="BN218" s="188"/>
      <c r="BO218" s="188"/>
      <c r="BP218" s="135"/>
      <c r="BQ218" s="188"/>
      <c r="BR218" s="188"/>
      <c r="BS218" s="188"/>
      <c r="BT218" s="188"/>
      <c r="BU218" s="855">
        <f>BU213-BO213</f>
        <v>29</v>
      </c>
      <c r="BV218" s="135"/>
      <c r="BW218" s="855"/>
      <c r="BX218" s="855"/>
      <c r="BY218" s="855"/>
      <c r="BZ218" s="855"/>
      <c r="CA218" s="855">
        <f>CA213-BU213</f>
        <v>42</v>
      </c>
      <c r="CB218" s="135"/>
      <c r="CC218" s="188"/>
      <c r="CD218" s="188"/>
      <c r="CE218" s="188"/>
      <c r="CF218" s="188"/>
      <c r="CG218" s="274"/>
      <c r="CH218" s="135"/>
      <c r="CI218" s="188"/>
      <c r="CJ218" s="188"/>
      <c r="CK218" s="188"/>
      <c r="CL218" s="188"/>
      <c r="CM218" s="274"/>
      <c r="CN218" s="135"/>
      <c r="CO218" s="188"/>
      <c r="CP218" s="188"/>
      <c r="CQ218" s="188"/>
      <c r="CR218" s="188"/>
      <c r="CS218" s="274"/>
      <c r="CT218" s="135"/>
      <c r="CU218" s="188"/>
      <c r="CV218" s="188"/>
      <c r="CW218" s="188"/>
      <c r="CX218" s="188"/>
      <c r="CY218" s="274"/>
      <c r="CZ218" s="135"/>
      <c r="DA218" s="188"/>
      <c r="DB218" s="188"/>
      <c r="DC218" s="188"/>
      <c r="DD218" s="188"/>
      <c r="DE218" s="274"/>
      <c r="DF218" s="135"/>
      <c r="DG218" s="188"/>
      <c r="DH218" s="188"/>
      <c r="DI218" s="188"/>
      <c r="DJ218" s="188"/>
      <c r="DK218" s="274"/>
      <c r="DL218" s="135"/>
      <c r="DM218" s="188"/>
      <c r="DN218" s="188"/>
      <c r="DO218" s="188"/>
      <c r="DP218" s="188"/>
      <c r="DQ218" s="274"/>
      <c r="DR218" s="135"/>
      <c r="DS218" s="188"/>
      <c r="DT218" s="188"/>
      <c r="DU218" s="188"/>
      <c r="DV218" s="188"/>
      <c r="DW218" s="274"/>
      <c r="DX218" s="135"/>
      <c r="DY218" s="188"/>
      <c r="DZ218" s="188"/>
      <c r="EA218" s="188"/>
      <c r="EB218" s="188"/>
      <c r="EC218" s="274"/>
      <c r="ED218" s="135"/>
      <c r="EE218" s="188"/>
      <c r="EF218" s="188"/>
      <c r="EG218" s="188"/>
      <c r="EH218" s="188"/>
      <c r="EI218" s="274"/>
      <c r="EJ218" s="135"/>
      <c r="EK218" s="188"/>
      <c r="EL218" s="188"/>
      <c r="EM218" s="188"/>
      <c r="EN218" s="188"/>
      <c r="EO218" s="274"/>
      <c r="EP218" s="135"/>
      <c r="EQ218" s="188"/>
      <c r="ER218" s="188"/>
      <c r="ES218" s="188"/>
      <c r="ET218" s="188"/>
      <c r="EU218" s="274"/>
      <c r="EV218" s="135"/>
      <c r="EW218" s="188"/>
      <c r="EX218" s="188"/>
      <c r="EY218" s="188"/>
      <c r="EZ218" s="188"/>
      <c r="FA218" s="274"/>
      <c r="FB218" s="135"/>
      <c r="FC218" s="188"/>
      <c r="FD218" s="188"/>
      <c r="FE218" s="188"/>
      <c r="FF218" s="188"/>
      <c r="FG218" s="274"/>
      <c r="FH218" s="135"/>
      <c r="FI218" s="188"/>
      <c r="FJ218" s="188"/>
      <c r="FK218" s="188"/>
      <c r="FL218" s="188"/>
      <c r="FM218" s="274"/>
      <c r="FN218" s="135"/>
      <c r="FO218" s="135"/>
      <c r="FP218" s="135"/>
      <c r="FQ218" s="135"/>
      <c r="FR218"/>
      <c r="FS218"/>
      <c r="FT218"/>
      <c r="FU218"/>
      <c r="FV218"/>
      <c r="FW218"/>
      <c r="FX218" s="135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</row>
    <row r="219" spans="1:274" s="24" customFormat="1" ht="10.5" customHeight="1" thickBot="1" x14ac:dyDescent="0.25">
      <c r="A219" s="56" t="s">
        <v>396</v>
      </c>
      <c r="B219" s="20"/>
      <c r="C219" s="259"/>
      <c r="D219" s="259"/>
      <c r="E219" s="259"/>
      <c r="F219" s="259"/>
      <c r="G219" s="259"/>
      <c r="H219" s="34"/>
      <c r="I219" s="259"/>
      <c r="J219" s="259"/>
      <c r="K219" s="259"/>
      <c r="L219" s="259"/>
      <c r="M219" s="259"/>
      <c r="N219" s="34"/>
      <c r="O219" s="259"/>
      <c r="P219" s="259"/>
      <c r="Q219" s="259"/>
      <c r="R219" s="259"/>
      <c r="S219" s="259"/>
      <c r="T219" s="34"/>
      <c r="U219" s="259"/>
      <c r="V219" s="259"/>
      <c r="W219" s="259"/>
      <c r="X219" s="259"/>
      <c r="Y219" s="259"/>
      <c r="Z219" s="34"/>
      <c r="AA219" s="259"/>
      <c r="AB219" s="259"/>
      <c r="AC219" s="259"/>
      <c r="AD219" s="259"/>
      <c r="AE219" s="259"/>
      <c r="AF219" s="34"/>
      <c r="AG219" s="259"/>
      <c r="AH219" s="259"/>
      <c r="AI219" s="259"/>
      <c r="AJ219" s="259"/>
      <c r="AK219" s="259"/>
      <c r="AL219" s="34"/>
      <c r="AM219" s="259"/>
      <c r="AN219" s="259"/>
      <c r="AO219" s="259"/>
      <c r="AP219" s="259"/>
      <c r="AQ219" s="259"/>
      <c r="AR219" s="34"/>
      <c r="AS219" s="259"/>
      <c r="AT219" s="259"/>
      <c r="AU219" s="34"/>
      <c r="AV219" s="34"/>
      <c r="AW219" s="259"/>
      <c r="AX219" s="34"/>
      <c r="AY219" s="34"/>
      <c r="AZ219" s="34"/>
      <c r="BA219" s="34"/>
      <c r="BB219" s="34"/>
      <c r="BC219" s="259"/>
      <c r="BD219" s="34"/>
      <c r="BE219" s="34"/>
      <c r="BF219" s="34"/>
      <c r="BG219" s="34"/>
      <c r="BH219" s="34"/>
      <c r="BI219" s="259"/>
      <c r="BJ219" s="33"/>
      <c r="BK219" s="33"/>
      <c r="BL219" s="33"/>
      <c r="BM219" s="33"/>
      <c r="BN219" s="33"/>
      <c r="BO219" s="33"/>
      <c r="BP219" s="34"/>
      <c r="BQ219" s="33"/>
      <c r="BR219" s="33"/>
      <c r="BS219" s="33"/>
      <c r="BT219" s="33"/>
      <c r="BU219" s="33"/>
      <c r="BV219" s="34"/>
      <c r="BW219" s="33"/>
      <c r="BX219" s="33"/>
      <c r="BY219" s="33"/>
      <c r="BZ219" s="33"/>
      <c r="CA219" s="33"/>
      <c r="CB219" s="34"/>
      <c r="CC219" s="33"/>
      <c r="CD219" s="33"/>
      <c r="CE219" s="33"/>
      <c r="CF219" s="33"/>
      <c r="CG219" s="226"/>
      <c r="CH219" s="34"/>
      <c r="CI219" s="33"/>
      <c r="CJ219" s="33"/>
      <c r="CK219" s="33"/>
      <c r="CL219" s="33"/>
      <c r="CM219" s="226"/>
      <c r="CN219" s="34"/>
      <c r="CO219" s="33"/>
      <c r="CP219" s="33"/>
      <c r="CQ219" s="33"/>
      <c r="CR219" s="33"/>
      <c r="CS219" s="226"/>
      <c r="CT219" s="91"/>
      <c r="CU219" s="33"/>
      <c r="CV219" s="33"/>
      <c r="CW219" s="33"/>
      <c r="CX219" s="33"/>
      <c r="CY219" s="226"/>
      <c r="CZ219" s="91"/>
      <c r="DA219" s="33"/>
      <c r="DB219" s="33"/>
      <c r="DC219" s="33"/>
      <c r="DD219" s="33"/>
      <c r="DE219" s="226"/>
      <c r="DF219" s="91"/>
      <c r="DG219" s="33"/>
      <c r="DH219" s="33"/>
      <c r="DI219" s="33"/>
      <c r="DJ219" s="33"/>
      <c r="DK219" s="226"/>
      <c r="DL219" s="91"/>
      <c r="DM219" s="33"/>
      <c r="DN219" s="33"/>
      <c r="DO219" s="33"/>
      <c r="DP219" s="33"/>
      <c r="DQ219" s="226"/>
      <c r="DR219" s="91"/>
      <c r="DS219" s="33"/>
      <c r="DT219" s="33"/>
      <c r="DU219" s="33"/>
      <c r="DV219" s="33"/>
      <c r="DW219" s="226"/>
      <c r="DX219" s="91"/>
      <c r="DY219" s="33"/>
      <c r="DZ219" s="33"/>
      <c r="EA219" s="33"/>
      <c r="EB219" s="33"/>
      <c r="EC219" s="226"/>
      <c r="ED219" s="91"/>
      <c r="EE219" s="33"/>
      <c r="EF219" s="33"/>
      <c r="EG219" s="33"/>
      <c r="EH219" s="33"/>
      <c r="EI219" s="226"/>
      <c r="EJ219" s="91"/>
      <c r="EK219" s="33"/>
      <c r="EL219" s="33"/>
      <c r="EM219" s="33"/>
      <c r="EN219" s="33"/>
      <c r="EO219" s="226"/>
      <c r="EP219" s="91"/>
      <c r="EQ219" s="33"/>
      <c r="ER219" s="33"/>
      <c r="ES219" s="33"/>
      <c r="ET219" s="33"/>
      <c r="EU219" s="226"/>
      <c r="EV219" s="91"/>
      <c r="EW219" s="33"/>
      <c r="EX219" s="33"/>
      <c r="EY219" s="33"/>
      <c r="EZ219" s="33"/>
      <c r="FA219" s="226"/>
      <c r="FB219" s="91"/>
      <c r="FC219" s="33"/>
      <c r="FD219" s="33"/>
      <c r="FE219" s="33"/>
      <c r="FF219" s="33"/>
      <c r="FG219" s="226"/>
      <c r="FH219" s="91"/>
      <c r="FI219" s="33"/>
      <c r="FJ219" s="33"/>
      <c r="FK219" s="33"/>
      <c r="FL219" s="33"/>
      <c r="FM219" s="226"/>
      <c r="FN219" s="33"/>
      <c r="FO219" s="33"/>
      <c r="FP219" s="33"/>
      <c r="FQ219" s="33"/>
      <c r="FR219"/>
      <c r="FS219"/>
      <c r="FT219"/>
      <c r="FU219"/>
      <c r="FV219"/>
      <c r="FW219"/>
      <c r="FX219" s="33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</row>
    <row r="220" spans="1:274" s="24" customFormat="1" ht="12.75" x14ac:dyDescent="0.2">
      <c r="A220" s="566" t="s">
        <v>397</v>
      </c>
      <c r="B220" s="89"/>
      <c r="C220" s="567" t="s">
        <v>945</v>
      </c>
      <c r="D220" s="567">
        <v>0</v>
      </c>
      <c r="E220" s="567">
        <v>0</v>
      </c>
      <c r="F220" s="567">
        <v>0</v>
      </c>
      <c r="G220" s="567">
        <v>0</v>
      </c>
      <c r="H220" s="567">
        <v>0</v>
      </c>
      <c r="I220" s="567">
        <f>H220</f>
        <v>0</v>
      </c>
      <c r="J220" s="567">
        <f>I220</f>
        <v>0</v>
      </c>
      <c r="K220" s="567">
        <f>J220</f>
        <v>0</v>
      </c>
      <c r="L220" s="567">
        <f>K220</f>
        <v>0</v>
      </c>
      <c r="M220" s="567">
        <f>L220</f>
        <v>0</v>
      </c>
      <c r="N220" s="568"/>
      <c r="O220" s="567" t="s">
        <v>945</v>
      </c>
      <c r="P220" s="567" t="s">
        <v>945</v>
      </c>
      <c r="Q220" s="567" t="s">
        <v>945</v>
      </c>
      <c r="R220" s="567" t="s">
        <v>945</v>
      </c>
      <c r="S220" s="567">
        <f>S147</f>
        <v>0</v>
      </c>
      <c r="T220" s="568"/>
      <c r="U220" s="567" t="s">
        <v>945</v>
      </c>
      <c r="V220" s="567" t="s">
        <v>945</v>
      </c>
      <c r="W220" s="567" t="s">
        <v>945</v>
      </c>
      <c r="X220" s="567" t="s">
        <v>945</v>
      </c>
      <c r="Y220" s="567">
        <f>Y147+S220</f>
        <v>50.930999999999997</v>
      </c>
      <c r="Z220" s="569"/>
      <c r="AA220" s="567" t="s">
        <v>945</v>
      </c>
      <c r="AB220" s="567" t="s">
        <v>945</v>
      </c>
      <c r="AC220" s="567" t="s">
        <v>945</v>
      </c>
      <c r="AD220" s="567" t="s">
        <v>945</v>
      </c>
      <c r="AE220" s="567">
        <f>AE147+Y220</f>
        <v>87.730999999999995</v>
      </c>
      <c r="AF220" s="569"/>
      <c r="AG220" s="567" t="s">
        <v>945</v>
      </c>
      <c r="AH220" s="567" t="s">
        <v>945</v>
      </c>
      <c r="AI220" s="567" t="s">
        <v>945</v>
      </c>
      <c r="AJ220" s="567" t="s">
        <v>945</v>
      </c>
      <c r="AK220" s="567">
        <f>AK147+AE220</f>
        <v>254.785</v>
      </c>
      <c r="AL220" s="569"/>
      <c r="AM220" s="567" t="s">
        <v>945</v>
      </c>
      <c r="AN220" s="567" t="s">
        <v>945</v>
      </c>
      <c r="AO220" s="567" t="s">
        <v>945</v>
      </c>
      <c r="AP220" s="567" t="s">
        <v>945</v>
      </c>
      <c r="AQ220" s="567">
        <f>AQ147+AK220</f>
        <v>310.346</v>
      </c>
      <c r="AR220" s="569"/>
      <c r="AS220" s="567" t="s">
        <v>945</v>
      </c>
      <c r="AT220" s="567" t="s">
        <v>945</v>
      </c>
      <c r="AU220" s="567" t="s">
        <v>945</v>
      </c>
      <c r="AV220" s="567" t="s">
        <v>945</v>
      </c>
      <c r="AW220" s="567">
        <f>AW147+AQ220</f>
        <v>386.95600000000002</v>
      </c>
      <c r="AX220" s="569"/>
      <c r="AY220" s="567" t="s">
        <v>945</v>
      </c>
      <c r="AZ220" s="567" t="s">
        <v>945</v>
      </c>
      <c r="BA220" s="567" t="s">
        <v>945</v>
      </c>
      <c r="BB220" s="567" t="s">
        <v>945</v>
      </c>
      <c r="BC220" s="567">
        <f>BC147+AW220</f>
        <v>457.95600000000002</v>
      </c>
      <c r="BD220" s="568"/>
      <c r="BE220" s="567" t="s">
        <v>945</v>
      </c>
      <c r="BF220" s="567" t="s">
        <v>945</v>
      </c>
      <c r="BG220" s="567" t="s">
        <v>945</v>
      </c>
      <c r="BH220" s="567" t="s">
        <v>945</v>
      </c>
      <c r="BI220" s="567">
        <f>BI147+BC220</f>
        <v>547.95600000000002</v>
      </c>
      <c r="BJ220" s="570"/>
      <c r="BK220" s="567" t="s">
        <v>945</v>
      </c>
      <c r="BL220" s="567" t="s">
        <v>945</v>
      </c>
      <c r="BM220" s="567" t="s">
        <v>945</v>
      </c>
      <c r="BN220" s="567" t="s">
        <v>945</v>
      </c>
      <c r="BO220" s="567">
        <f>BO147+BI220</f>
        <v>631.95600000000002</v>
      </c>
      <c r="BP220" s="569"/>
      <c r="BQ220" s="567" t="s">
        <v>945</v>
      </c>
      <c r="BR220" s="567" t="s">
        <v>945</v>
      </c>
      <c r="BS220" s="567" t="s">
        <v>945</v>
      </c>
      <c r="BT220" s="567" t="s">
        <v>945</v>
      </c>
      <c r="BU220" s="567">
        <f>BU147+BO220</f>
        <v>667.95600000000002</v>
      </c>
      <c r="BV220" s="569"/>
      <c r="BW220" s="567" t="s">
        <v>945</v>
      </c>
      <c r="BX220" s="567" t="s">
        <v>945</v>
      </c>
      <c r="BY220" s="567" t="s">
        <v>945</v>
      </c>
      <c r="BZ220" s="567" t="s">
        <v>945</v>
      </c>
      <c r="CA220" s="567">
        <f>CA147+BU220</f>
        <v>886.95600000000002</v>
      </c>
      <c r="CB220" s="569"/>
      <c r="CC220" s="567" t="s">
        <v>945</v>
      </c>
      <c r="CD220" s="567" t="s">
        <v>945</v>
      </c>
      <c r="CE220" s="567" t="s">
        <v>945</v>
      </c>
      <c r="CF220" s="567" t="s">
        <v>945</v>
      </c>
      <c r="CG220" s="571">
        <f>CG147+CA220</f>
        <v>1547.9560000000001</v>
      </c>
      <c r="CH220" s="569"/>
      <c r="CI220" s="567" t="s">
        <v>945</v>
      </c>
      <c r="CJ220" s="567" t="s">
        <v>945</v>
      </c>
      <c r="CK220" s="567" t="s">
        <v>945</v>
      </c>
      <c r="CL220" s="567" t="s">
        <v>945</v>
      </c>
      <c r="CM220" s="572">
        <f>CM147+CG220</f>
        <v>2425.9560000000001</v>
      </c>
      <c r="CN220" s="569"/>
      <c r="CO220" s="567" t="s">
        <v>945</v>
      </c>
      <c r="CP220" s="567" t="s">
        <v>945</v>
      </c>
      <c r="CQ220" s="567" t="s">
        <v>945</v>
      </c>
      <c r="CR220" s="567" t="s">
        <v>945</v>
      </c>
      <c r="CS220" s="572">
        <f>CS147+CM220</f>
        <v>3637.9560000000001</v>
      </c>
      <c r="CT220" s="573"/>
      <c r="CU220" s="574" t="s">
        <v>945</v>
      </c>
      <c r="CV220" s="574" t="s">
        <v>945</v>
      </c>
      <c r="CW220" s="574" t="s">
        <v>945</v>
      </c>
      <c r="CX220" s="574" t="s">
        <v>945</v>
      </c>
      <c r="CY220" s="572">
        <f>CY147+CS220</f>
        <v>5350.9560000000001</v>
      </c>
      <c r="CZ220" s="573"/>
      <c r="DA220" s="574" t="s">
        <v>945</v>
      </c>
      <c r="DB220" s="574" t="s">
        <v>945</v>
      </c>
      <c r="DC220" s="574" t="s">
        <v>945</v>
      </c>
      <c r="DD220" s="574" t="s">
        <v>945</v>
      </c>
      <c r="DE220" s="572">
        <f>DE147+CY220</f>
        <v>7323.9560000000001</v>
      </c>
      <c r="DF220" s="573"/>
      <c r="DG220" s="574" t="s">
        <v>945</v>
      </c>
      <c r="DH220" s="574" t="s">
        <v>945</v>
      </c>
      <c r="DI220" s="574" t="s">
        <v>945</v>
      </c>
      <c r="DJ220" s="574" t="s">
        <v>945</v>
      </c>
      <c r="DK220" s="572">
        <f>DK147+DE220</f>
        <v>9751.9560000000001</v>
      </c>
      <c r="DL220" s="573"/>
      <c r="DM220" s="574" t="s">
        <v>945</v>
      </c>
      <c r="DN220" s="574" t="s">
        <v>945</v>
      </c>
      <c r="DO220" s="574" t="s">
        <v>945</v>
      </c>
      <c r="DP220" s="574" t="s">
        <v>945</v>
      </c>
      <c r="DQ220" s="572">
        <f>DQ147+DK220</f>
        <v>12181.956</v>
      </c>
      <c r="DR220" s="573"/>
      <c r="DS220" s="574" t="s">
        <v>945</v>
      </c>
      <c r="DT220" s="574" t="s">
        <v>945</v>
      </c>
      <c r="DU220" s="574" t="s">
        <v>945</v>
      </c>
      <c r="DV220" s="574" t="s">
        <v>945</v>
      </c>
      <c r="DW220" s="572">
        <f>DW147+DQ220</f>
        <v>14566.956</v>
      </c>
      <c r="DX220" s="573"/>
      <c r="DY220" s="574" t="s">
        <v>945</v>
      </c>
      <c r="DZ220" s="574" t="s">
        <v>945</v>
      </c>
      <c r="EA220" s="574" t="s">
        <v>945</v>
      </c>
      <c r="EB220" s="574" t="s">
        <v>945</v>
      </c>
      <c r="EC220" s="572">
        <f>EC147+DW220</f>
        <v>16866.955999999998</v>
      </c>
      <c r="ED220" s="573"/>
      <c r="EE220" s="574" t="s">
        <v>945</v>
      </c>
      <c r="EF220" s="574" t="s">
        <v>945</v>
      </c>
      <c r="EG220" s="574" t="s">
        <v>945</v>
      </c>
      <c r="EH220" s="574" t="s">
        <v>945</v>
      </c>
      <c r="EI220" s="572">
        <f>EI147+EC220</f>
        <v>19015.955999999998</v>
      </c>
      <c r="EJ220" s="573"/>
      <c r="EK220" s="574" t="s">
        <v>945</v>
      </c>
      <c r="EL220" s="574" t="s">
        <v>945</v>
      </c>
      <c r="EM220" s="574" t="s">
        <v>945</v>
      </c>
      <c r="EN220" s="574" t="s">
        <v>945</v>
      </c>
      <c r="EO220" s="572">
        <f>EO147+EI220</f>
        <v>20653.955999999998</v>
      </c>
      <c r="EP220" s="573"/>
      <c r="EQ220" s="574" t="s">
        <v>945</v>
      </c>
      <c r="ER220" s="574" t="s">
        <v>945</v>
      </c>
      <c r="ES220" s="574" t="s">
        <v>945</v>
      </c>
      <c r="ET220" s="574" t="s">
        <v>945</v>
      </c>
      <c r="EU220" s="572">
        <f>EU147+EO220</f>
        <v>22104.955999999998</v>
      </c>
      <c r="EV220" s="573"/>
      <c r="EW220" s="574" t="s">
        <v>945</v>
      </c>
      <c r="EX220" s="574" t="s">
        <v>945</v>
      </c>
      <c r="EY220" s="574" t="s">
        <v>945</v>
      </c>
      <c r="EZ220" s="574" t="s">
        <v>945</v>
      </c>
      <c r="FA220" s="572">
        <f>FA147+EU220</f>
        <v>23700.844098396235</v>
      </c>
      <c r="FB220" s="573"/>
      <c r="FC220" s="574" t="s">
        <v>945</v>
      </c>
      <c r="FD220" s="574" t="s">
        <v>945</v>
      </c>
      <c r="FE220" s="574" t="s">
        <v>945</v>
      </c>
      <c r="FF220" s="574" t="s">
        <v>945</v>
      </c>
      <c r="FG220" s="572">
        <f>FG147+FA220</f>
        <v>24769.418306378473</v>
      </c>
      <c r="FH220" s="573"/>
      <c r="FI220" s="574" t="s">
        <v>945</v>
      </c>
      <c r="FJ220" s="574" t="s">
        <v>945</v>
      </c>
      <c r="FK220" s="574" t="s">
        <v>945</v>
      </c>
      <c r="FL220" s="574" t="s">
        <v>945</v>
      </c>
      <c r="FM220" s="572">
        <f>FM147+FG220</f>
        <v>25814.677117845527</v>
      </c>
      <c r="FN220" s="27"/>
      <c r="FO220" s="27"/>
      <c r="FP220" s="27"/>
      <c r="FQ220" s="27"/>
      <c r="FR220"/>
      <c r="FS220"/>
      <c r="FT220"/>
      <c r="FU220"/>
      <c r="FV220"/>
      <c r="FW220"/>
      <c r="FX220" s="27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</row>
    <row r="221" spans="1:274" s="24" customFormat="1" ht="6.75" customHeight="1" x14ac:dyDescent="0.2">
      <c r="A221" s="575"/>
      <c r="B221" s="576"/>
      <c r="C221" s="31"/>
      <c r="D221" s="31"/>
      <c r="E221" s="31"/>
      <c r="F221" s="31"/>
      <c r="G221" s="31"/>
      <c r="H221" s="31"/>
      <c r="I221" s="31"/>
      <c r="J221" s="31"/>
      <c r="K221" s="31"/>
      <c r="L221" s="31"/>
      <c r="M221" s="31"/>
      <c r="N221" s="51"/>
      <c r="O221" s="31"/>
      <c r="P221" s="31"/>
      <c r="Q221" s="31"/>
      <c r="R221" s="31"/>
      <c r="S221" s="31"/>
      <c r="T221" s="51"/>
      <c r="U221" s="31"/>
      <c r="V221" s="31"/>
      <c r="W221" s="31"/>
      <c r="X221" s="31"/>
      <c r="Y221" s="31"/>
      <c r="Z221" s="475"/>
      <c r="AA221" s="31"/>
      <c r="AB221" s="31"/>
      <c r="AC221" s="31"/>
      <c r="AD221" s="31"/>
      <c r="AE221" s="31"/>
      <c r="AF221" s="475"/>
      <c r="AG221" s="31"/>
      <c r="AH221" s="31"/>
      <c r="AI221" s="31"/>
      <c r="AJ221" s="31"/>
      <c r="AK221" s="31"/>
      <c r="AL221" s="475"/>
      <c r="AM221" s="31"/>
      <c r="AN221" s="31"/>
      <c r="AO221" s="31"/>
      <c r="AP221" s="31"/>
      <c r="AQ221" s="31"/>
      <c r="AR221" s="475"/>
      <c r="AS221" s="31"/>
      <c r="AT221" s="31"/>
      <c r="AU221" s="31"/>
      <c r="AV221" s="31"/>
      <c r="AW221" s="31"/>
      <c r="AX221" s="475"/>
      <c r="AY221" s="31"/>
      <c r="AZ221" s="31"/>
      <c r="BA221" s="31"/>
      <c r="BB221" s="31"/>
      <c r="BC221" s="31"/>
      <c r="BD221" s="51"/>
      <c r="BE221" s="31"/>
      <c r="BF221" s="31"/>
      <c r="BG221" s="31"/>
      <c r="BH221" s="31"/>
      <c r="BI221" s="31"/>
      <c r="BJ221" s="345"/>
      <c r="BK221" s="31"/>
      <c r="BL221" s="31"/>
      <c r="BM221" s="31"/>
      <c r="BN221" s="31"/>
      <c r="BO221" s="31"/>
      <c r="BP221" s="475"/>
      <c r="BQ221" s="31"/>
      <c r="BR221" s="31"/>
      <c r="BS221" s="31"/>
      <c r="BT221" s="31"/>
      <c r="BU221" s="31"/>
      <c r="BV221" s="475"/>
      <c r="BW221" s="31"/>
      <c r="BX221" s="31"/>
      <c r="BY221" s="31"/>
      <c r="BZ221" s="31"/>
      <c r="CA221" s="31"/>
      <c r="CB221" s="475"/>
      <c r="CC221" s="31"/>
      <c r="CD221" s="31"/>
      <c r="CE221" s="31"/>
      <c r="CF221" s="31"/>
      <c r="CG221" s="557"/>
      <c r="CH221" s="475"/>
      <c r="CI221" s="31"/>
      <c r="CJ221" s="31"/>
      <c r="CK221" s="31"/>
      <c r="CL221" s="31"/>
      <c r="CM221" s="436"/>
      <c r="CN221" s="475"/>
      <c r="CO221" s="31"/>
      <c r="CP221" s="31"/>
      <c r="CQ221" s="31"/>
      <c r="CR221" s="31"/>
      <c r="CS221" s="436"/>
      <c r="CT221" s="131"/>
      <c r="CU221" s="167"/>
      <c r="CV221" s="167"/>
      <c r="CW221" s="167"/>
      <c r="CX221" s="167"/>
      <c r="CY221" s="436"/>
      <c r="CZ221" s="131"/>
      <c r="DA221" s="167"/>
      <c r="DB221" s="167"/>
      <c r="DC221" s="167"/>
      <c r="DD221" s="167"/>
      <c r="DE221" s="436"/>
      <c r="DF221" s="131"/>
      <c r="DG221" s="167"/>
      <c r="DH221" s="167"/>
      <c r="DI221" s="167"/>
      <c r="DJ221" s="167"/>
      <c r="DK221" s="436"/>
      <c r="DL221" s="131"/>
      <c r="DM221" s="167"/>
      <c r="DN221" s="167"/>
      <c r="DO221" s="167"/>
      <c r="DP221" s="167"/>
      <c r="DQ221" s="436"/>
      <c r="DR221" s="131"/>
      <c r="DS221" s="167"/>
      <c r="DT221" s="167"/>
      <c r="DU221" s="167"/>
      <c r="DV221" s="167"/>
      <c r="DW221" s="436"/>
      <c r="DX221" s="131"/>
      <c r="DY221" s="167"/>
      <c r="DZ221" s="167"/>
      <c r="EA221" s="167"/>
      <c r="EB221" s="167"/>
      <c r="EC221" s="436"/>
      <c r="ED221" s="131"/>
      <c r="EE221" s="167"/>
      <c r="EF221" s="167"/>
      <c r="EG221" s="167"/>
      <c r="EH221" s="167"/>
      <c r="EI221" s="436"/>
      <c r="EJ221" s="131"/>
      <c r="EK221" s="167"/>
      <c r="EL221" s="167"/>
      <c r="EM221" s="167"/>
      <c r="EN221" s="167"/>
      <c r="EO221" s="436"/>
      <c r="EP221" s="131"/>
      <c r="EQ221" s="167"/>
      <c r="ER221" s="167"/>
      <c r="ES221" s="167"/>
      <c r="ET221" s="167"/>
      <c r="EU221" s="436"/>
      <c r="EV221" s="131"/>
      <c r="EW221" s="167"/>
      <c r="EX221" s="167"/>
      <c r="EY221" s="167"/>
      <c r="EZ221" s="167"/>
      <c r="FA221" s="436"/>
      <c r="FB221" s="131"/>
      <c r="FC221" s="167"/>
      <c r="FD221" s="167"/>
      <c r="FE221" s="167"/>
      <c r="FF221" s="167"/>
      <c r="FG221" s="436"/>
      <c r="FH221" s="131"/>
      <c r="FI221" s="167"/>
      <c r="FJ221" s="167"/>
      <c r="FK221" s="167"/>
      <c r="FL221" s="167"/>
      <c r="FM221" s="436"/>
      <c r="FN221" s="27"/>
      <c r="FO221" s="27"/>
      <c r="FP221" s="27"/>
      <c r="FQ221" s="27"/>
      <c r="FR221"/>
      <c r="FS221"/>
      <c r="FT221"/>
      <c r="FU221"/>
      <c r="FV221"/>
      <c r="FW221"/>
      <c r="FX221" s="27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</row>
    <row r="222" spans="1:274" s="24" customFormat="1" ht="12.75" x14ac:dyDescent="0.2">
      <c r="A222" s="90" t="s">
        <v>1046</v>
      </c>
      <c r="B222" s="576"/>
      <c r="C222" s="31" t="s">
        <v>945</v>
      </c>
      <c r="D222" s="31">
        <f t="shared" ref="D222:M222" si="155">D40</f>
        <v>7.367</v>
      </c>
      <c r="E222" s="31">
        <f t="shared" si="155"/>
        <v>28.651</v>
      </c>
      <c r="F222" s="31">
        <f t="shared" si="155"/>
        <v>82.655999999999992</v>
      </c>
      <c r="G222" s="31">
        <f t="shared" si="155"/>
        <v>134.643</v>
      </c>
      <c r="H222" s="31">
        <f t="shared" si="155"/>
        <v>230.55399999999997</v>
      </c>
      <c r="I222" s="31">
        <f t="shared" si="155"/>
        <v>387.58500000000004</v>
      </c>
      <c r="J222" s="31">
        <f t="shared" si="155"/>
        <v>344.685</v>
      </c>
      <c r="K222" s="31">
        <f t="shared" si="155"/>
        <v>435.03399999999999</v>
      </c>
      <c r="L222" s="31">
        <f t="shared" si="155"/>
        <v>528.03899999999999</v>
      </c>
      <c r="M222" s="31">
        <f t="shared" si="155"/>
        <v>740.55300000000011</v>
      </c>
      <c r="N222" s="51"/>
      <c r="O222" s="31"/>
      <c r="P222" s="31"/>
      <c r="Q222" s="31"/>
      <c r="R222" s="31"/>
      <c r="S222" s="31">
        <f>S40</f>
        <v>1211.3579999999999</v>
      </c>
      <c r="T222" s="51"/>
      <c r="U222" s="31"/>
      <c r="V222" s="31"/>
      <c r="W222" s="31"/>
      <c r="X222" s="31"/>
      <c r="Y222" s="31">
        <f>Y40</f>
        <v>1870.4490000000001</v>
      </c>
      <c r="Z222" s="475"/>
      <c r="AA222" s="31"/>
      <c r="AB222" s="31"/>
      <c r="AC222" s="31"/>
      <c r="AD222" s="31"/>
      <c r="AE222" s="31">
        <f>AE40</f>
        <v>2368.8220000000001</v>
      </c>
      <c r="AF222" s="475"/>
      <c r="AG222" s="31"/>
      <c r="AH222" s="31"/>
      <c r="AI222" s="31"/>
      <c r="AJ222" s="31"/>
      <c r="AK222" s="31">
        <f>AK40</f>
        <v>2957.558</v>
      </c>
      <c r="AL222" s="475"/>
      <c r="AM222" s="31"/>
      <c r="AN222" s="31"/>
      <c r="AO222" s="31"/>
      <c r="AP222" s="31"/>
      <c r="AQ222" s="31">
        <f>AQ40</f>
        <v>3695.2669999999998</v>
      </c>
      <c r="AR222" s="475"/>
      <c r="AS222" s="31"/>
      <c r="AT222" s="31"/>
      <c r="AU222" s="31"/>
      <c r="AV222" s="31"/>
      <c r="AW222" s="31">
        <f>AW40</f>
        <v>6457</v>
      </c>
      <c r="AX222" s="475"/>
      <c r="AY222" s="31"/>
      <c r="AZ222" s="31"/>
      <c r="BA222" s="31"/>
      <c r="BB222" s="31"/>
      <c r="BC222" s="31">
        <f>BC40</f>
        <v>6276.55</v>
      </c>
      <c r="BD222" s="51"/>
      <c r="BE222" s="31"/>
      <c r="BF222" s="31"/>
      <c r="BG222" s="31"/>
      <c r="BH222" s="31"/>
      <c r="BI222" s="31">
        <f>BI40</f>
        <v>6117</v>
      </c>
      <c r="BJ222" s="345"/>
      <c r="BK222" s="31"/>
      <c r="BL222" s="31"/>
      <c r="BM222" s="31"/>
      <c r="BN222" s="31"/>
      <c r="BO222" s="31">
        <f>BO40</f>
        <v>6320</v>
      </c>
      <c r="BP222" s="475"/>
      <c r="BQ222" s="31"/>
      <c r="BR222" s="31"/>
      <c r="BS222" s="31"/>
      <c r="BT222" s="31"/>
      <c r="BU222" s="31">
        <f>BU40</f>
        <v>7995</v>
      </c>
      <c r="BV222" s="475"/>
      <c r="BW222" s="31"/>
      <c r="BX222" s="31"/>
      <c r="BY222" s="31"/>
      <c r="BZ222" s="31"/>
      <c r="CA222" s="31">
        <f>CA40</f>
        <v>10837</v>
      </c>
      <c r="CB222" s="475"/>
      <c r="CC222" s="31"/>
      <c r="CD222" s="31"/>
      <c r="CE222" s="31"/>
      <c r="CF222" s="31"/>
      <c r="CG222" s="557">
        <f>CG40</f>
        <v>15012</v>
      </c>
      <c r="CH222" s="475"/>
      <c r="CI222" s="31"/>
      <c r="CJ222" s="31"/>
      <c r="CK222" s="31"/>
      <c r="CL222" s="31"/>
      <c r="CM222" s="436">
        <f>CM40</f>
        <v>16919</v>
      </c>
      <c r="CN222" s="475"/>
      <c r="CO222" s="31"/>
      <c r="CP222" s="31"/>
      <c r="CQ222" s="31"/>
      <c r="CR222" s="31"/>
      <c r="CS222" s="436">
        <f>CS40</f>
        <v>23025</v>
      </c>
      <c r="CT222" s="131"/>
      <c r="CU222" s="167"/>
      <c r="CV222" s="167"/>
      <c r="CW222" s="167"/>
      <c r="CX222" s="167"/>
      <c r="CY222" s="436">
        <f>CY40</f>
        <v>25090</v>
      </c>
      <c r="CZ222" s="131"/>
      <c r="DA222" s="167"/>
      <c r="DB222" s="167"/>
      <c r="DC222" s="167"/>
      <c r="DD222" s="167"/>
      <c r="DE222" s="436">
        <f>DE40</f>
        <v>30798</v>
      </c>
      <c r="DF222" s="131"/>
      <c r="DG222" s="167"/>
      <c r="DH222" s="167"/>
      <c r="DI222" s="167"/>
      <c r="DJ222" s="167"/>
      <c r="DK222" s="436">
        <f>DK40</f>
        <v>39776</v>
      </c>
      <c r="DL222" s="131"/>
      <c r="DM222" s="167"/>
      <c r="DN222" s="167"/>
      <c r="DO222" s="167"/>
      <c r="DP222" s="167"/>
      <c r="DQ222" s="436">
        <f>DQ40</f>
        <v>43694</v>
      </c>
      <c r="DR222" s="131"/>
      <c r="DS222" s="167"/>
      <c r="DT222" s="167"/>
      <c r="DU222" s="167"/>
      <c r="DV222" s="167"/>
      <c r="DW222" s="436">
        <f>DW40</f>
        <v>44648</v>
      </c>
      <c r="DX222" s="131"/>
      <c r="DY222" s="167"/>
      <c r="DZ222" s="167"/>
      <c r="EA222" s="167"/>
      <c r="EB222" s="167"/>
      <c r="EC222" s="436">
        <f>EC40</f>
        <v>46878</v>
      </c>
      <c r="ED222" s="131"/>
      <c r="EE222" s="167"/>
      <c r="EF222" s="167"/>
      <c r="EG222" s="167"/>
      <c r="EH222" s="167"/>
      <c r="EI222" s="436">
        <f>EI40</f>
        <v>48663</v>
      </c>
      <c r="EJ222" s="131"/>
      <c r="EK222" s="167"/>
      <c r="EL222" s="167"/>
      <c r="EM222" s="167"/>
      <c r="EN222" s="167"/>
      <c r="EO222" s="436">
        <f>EO40</f>
        <v>47289</v>
      </c>
      <c r="EP222" s="131"/>
      <c r="EQ222" s="167"/>
      <c r="ER222" s="167"/>
      <c r="ES222" s="167"/>
      <c r="ET222" s="167"/>
      <c r="EU222" s="436">
        <f>EU40</f>
        <v>53860</v>
      </c>
      <c r="EV222" s="131"/>
      <c r="EW222" s="167"/>
      <c r="EX222" s="167"/>
      <c r="EY222" s="167"/>
      <c r="EZ222" s="167"/>
      <c r="FA222" s="436">
        <f>FA40</f>
        <v>47629.482143270929</v>
      </c>
      <c r="FB222" s="131"/>
      <c r="FC222" s="167"/>
      <c r="FD222" s="167"/>
      <c r="FE222" s="167"/>
      <c r="FF222" s="167"/>
      <c r="FG222" s="436">
        <f>FG40</f>
        <v>51955.390558225015</v>
      </c>
      <c r="FH222" s="131"/>
      <c r="FI222" s="167"/>
      <c r="FJ222" s="167"/>
      <c r="FK222" s="167"/>
      <c r="FL222" s="167"/>
      <c r="FM222" s="436">
        <f>FM40</f>
        <v>57940.312000200822</v>
      </c>
      <c r="FN222" s="27"/>
      <c r="FO222" s="27"/>
      <c r="FP222" s="27"/>
      <c r="FQ222" s="27"/>
      <c r="FR222"/>
      <c r="FS222"/>
      <c r="FT222"/>
      <c r="FU222"/>
      <c r="FV222"/>
      <c r="FW222"/>
      <c r="FX222" s="27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</row>
    <row r="223" spans="1:274" s="24" customFormat="1" ht="12.75" x14ac:dyDescent="0.2">
      <c r="A223" s="577" t="s">
        <v>93</v>
      </c>
      <c r="B223" s="576"/>
      <c r="C223" s="31"/>
      <c r="D223" s="995">
        <f>Model!D187/'Balance Sheet'!D222</f>
        <v>0.21054934165874858</v>
      </c>
      <c r="E223" s="995">
        <f>Model!E187/'Balance Sheet'!E222</f>
        <v>0.20475969425150975</v>
      </c>
      <c r="F223" s="995">
        <f>Model!F187/'Balance Sheet'!F222</f>
        <v>0.18280740321331793</v>
      </c>
      <c r="G223" s="995">
        <f>Model!G187/'Balance Sheet'!G222</f>
        <v>0.31850151883127975</v>
      </c>
      <c r="H223" s="995">
        <f>Model!H187/'Balance Sheet'!H222</f>
        <v>0.35520095075340263</v>
      </c>
      <c r="I223" s="995">
        <f>Model!I187/'Balance Sheet'!I222</f>
        <v>0.20866390598191348</v>
      </c>
      <c r="J223" s="995">
        <f>Model!J187/'Balance Sheet'!J222</f>
        <v>-3.5977776810711244E-2</v>
      </c>
      <c r="K223" s="995">
        <f>Model!K187/'Balance Sheet'!K222</f>
        <v>0.14254977771852323</v>
      </c>
      <c r="L223" s="995">
        <f>Model!L187/'Balance Sheet'!L222</f>
        <v>0.44180070032705931</v>
      </c>
      <c r="M223" s="995">
        <f>Model!M187/'Balance Sheet'!M222</f>
        <v>0.38275315878809474</v>
      </c>
      <c r="N223" s="51"/>
      <c r="O223" s="31"/>
      <c r="P223" s="31"/>
      <c r="Q223" s="31"/>
      <c r="R223" s="31"/>
      <c r="S223" s="995">
        <f>Model!S187/'Balance Sheet'!S222</f>
        <v>0.36406908610006306</v>
      </c>
      <c r="T223" s="51"/>
      <c r="U223" s="31"/>
      <c r="V223" s="31"/>
      <c r="W223" s="31"/>
      <c r="X223" s="31"/>
      <c r="Y223" s="995">
        <f>Model!Y187/'Balance Sheet'!Y222</f>
        <v>0.3404046287891766</v>
      </c>
      <c r="Z223" s="475"/>
      <c r="AA223" s="31"/>
      <c r="AB223" s="31"/>
      <c r="AC223" s="31"/>
      <c r="AD223" s="31"/>
      <c r="AE223" s="995">
        <f>Model!AE187/'Balance Sheet'!AE222</f>
        <v>0.35672124053821991</v>
      </c>
      <c r="AF223" s="475"/>
      <c r="AG223" s="31"/>
      <c r="AH223" s="31"/>
      <c r="AI223" s="31"/>
      <c r="AJ223" s="31"/>
      <c r="AK223" s="995">
        <f>Model!AK187/'Balance Sheet'!AK222</f>
        <v>0.32765711441669093</v>
      </c>
      <c r="AL223" s="475"/>
      <c r="AM223" s="31"/>
      <c r="AN223" s="31"/>
      <c r="AO223" s="31"/>
      <c r="AP223" s="31"/>
      <c r="AQ223" s="995">
        <f>Model!AQ187/'Balance Sheet'!AQ222</f>
        <v>0.34902971828557999</v>
      </c>
      <c r="AR223" s="475"/>
      <c r="AS223" s="31"/>
      <c r="AT223" s="31"/>
      <c r="AU223" s="31"/>
      <c r="AV223" s="31"/>
      <c r="AW223" s="995">
        <f>Model!AW187/'Balance Sheet'!AW222</f>
        <v>0.97519037478705295</v>
      </c>
      <c r="AX223" s="475"/>
      <c r="AY223" s="31"/>
      <c r="AZ223" s="31"/>
      <c r="BA223" s="31"/>
      <c r="BB223" s="31"/>
      <c r="BC223" s="995">
        <f>Model!BC187/'Balance Sheet'!BC222</f>
        <v>0.40809733850602636</v>
      </c>
      <c r="BD223" s="51"/>
      <c r="BE223" s="31"/>
      <c r="BF223" s="31"/>
      <c r="BG223" s="31"/>
      <c r="BH223" s="31"/>
      <c r="BI223" s="995">
        <f>Model!BI187/'Balance Sheet'!BI222</f>
        <v>0.36361043812326299</v>
      </c>
      <c r="BJ223" s="345"/>
      <c r="BK223" s="31"/>
      <c r="BL223" s="31"/>
      <c r="BM223" s="31"/>
      <c r="BN223" s="31"/>
      <c r="BO223" s="995">
        <f>Model!BO187/'Balance Sheet'!BO222</f>
        <v>0.36509493670886078</v>
      </c>
      <c r="BP223" s="475"/>
      <c r="BQ223" s="31"/>
      <c r="BR223" s="31"/>
      <c r="BS223" s="31"/>
      <c r="BT223" s="31"/>
      <c r="BU223" s="995">
        <f>Model!BU187/'Balance Sheet'!BU222</f>
        <v>0.33533458411507194</v>
      </c>
      <c r="BV223" s="475"/>
      <c r="BW223" s="31"/>
      <c r="BX223" s="31"/>
      <c r="BY223" s="31"/>
      <c r="BZ223" s="31"/>
      <c r="CA223" s="995">
        <f>Model!CA187/'Balance Sheet'!CA222</f>
        <v>0.32676126941792238</v>
      </c>
      <c r="CB223" s="475"/>
      <c r="CC223" s="31"/>
      <c r="CD223" s="31"/>
      <c r="CE223" s="31"/>
      <c r="CF223" s="31"/>
      <c r="CG223" s="996">
        <f>Model!CG187/'Balance Sheet'!CG222</f>
        <v>0.28291295064885102</v>
      </c>
      <c r="CH223" s="475"/>
      <c r="CI223" s="31"/>
      <c r="CJ223" s="31"/>
      <c r="CK223" s="31"/>
      <c r="CL223" s="31"/>
      <c r="CM223" s="996">
        <f>Model!CM187/'Balance Sheet'!CM222</f>
        <v>0.31367102074590697</v>
      </c>
      <c r="CN223" s="475"/>
      <c r="CO223" s="31"/>
      <c r="CP223" s="31"/>
      <c r="CQ223" s="31"/>
      <c r="CR223" s="31"/>
      <c r="CS223" s="996">
        <f>Model!CS187/'Balance Sheet'!CS222</f>
        <v>0.29524429967426707</v>
      </c>
      <c r="CT223" s="475"/>
      <c r="CU223" s="31"/>
      <c r="CV223" s="31"/>
      <c r="CW223" s="31"/>
      <c r="CX223" s="31"/>
      <c r="CY223" s="996">
        <f>Model!CY187/'Balance Sheet'!CY222</f>
        <v>0.29465922678357914</v>
      </c>
      <c r="CZ223" s="475"/>
      <c r="DA223" s="31"/>
      <c r="DB223" s="31"/>
      <c r="DC223" s="31"/>
      <c r="DD223" s="31"/>
      <c r="DE223" s="996">
        <f>Model!DE187/'Balance Sheet'!DE222</f>
        <v>0.27580037664783424</v>
      </c>
      <c r="DF223" s="475"/>
      <c r="DG223" s="31"/>
      <c r="DH223" s="31"/>
      <c r="DI223" s="31"/>
      <c r="DJ223" s="31"/>
      <c r="DK223" s="996">
        <f>Model!DK187/'Balance Sheet'!DK222</f>
        <v>0.2876357602574417</v>
      </c>
      <c r="DL223" s="475"/>
      <c r="DM223" s="31"/>
      <c r="DN223" s="31"/>
      <c r="DO223" s="31"/>
      <c r="DP223" s="31"/>
      <c r="DQ223" s="996">
        <f>Model!DQ187/'Balance Sheet'!DQ222</f>
        <v>0.28654961550785008</v>
      </c>
      <c r="DR223" s="475"/>
      <c r="DS223" s="31"/>
      <c r="DT223" s="31"/>
      <c r="DU223" s="31"/>
      <c r="DV223" s="31"/>
      <c r="DW223" s="996">
        <f>Model!DW187/'Balance Sheet'!DW222</f>
        <v>0.29022576599175776</v>
      </c>
      <c r="DX223" s="475"/>
      <c r="DY223" s="31"/>
      <c r="DZ223" s="31"/>
      <c r="EA223" s="31"/>
      <c r="EB223" s="31"/>
      <c r="EC223" s="996">
        <f>Model!EC187/'Balance Sheet'!EC222</f>
        <v>0.28188062630658306</v>
      </c>
      <c r="ED223" s="475"/>
      <c r="EE223" s="31"/>
      <c r="EF223" s="31"/>
      <c r="EG223" s="31"/>
      <c r="EH223" s="31"/>
      <c r="EI223" s="996">
        <f>Model!EI187/'Balance Sheet'!EI222</f>
        <v>0.25666317325277932</v>
      </c>
      <c r="EJ223" s="475"/>
      <c r="EK223" s="31"/>
      <c r="EL223" s="31"/>
      <c r="EM223" s="31"/>
      <c r="EN223" s="31"/>
      <c r="EO223" s="996">
        <f>Model!EO187/'Balance Sheet'!EO222</f>
        <v>0.23762397174818667</v>
      </c>
      <c r="EP223" s="475"/>
      <c r="EQ223" s="31"/>
      <c r="ER223" s="31"/>
      <c r="ES223" s="31"/>
      <c r="ET223" s="31"/>
      <c r="EU223" s="996">
        <f>Model!EU187/'Balance Sheet'!EU222</f>
        <v>0.21458930560712958</v>
      </c>
      <c r="EV223" s="475"/>
      <c r="EW223" s="31"/>
      <c r="EX223" s="31"/>
      <c r="EY223" s="31"/>
      <c r="EZ223" s="31"/>
      <c r="FA223" s="996">
        <f>Model!FA187/'Balance Sheet'!FA222</f>
        <v>0.2741058761108322</v>
      </c>
      <c r="FB223" s="475"/>
      <c r="FC223" s="31"/>
      <c r="FD223" s="31"/>
      <c r="FE223" s="31"/>
      <c r="FF223" s="31"/>
      <c r="FG223" s="996">
        <f>Model!FG187/'Balance Sheet'!FG222</f>
        <v>0.26402401242842627</v>
      </c>
      <c r="FH223" s="475"/>
      <c r="FI223" s="31"/>
      <c r="FJ223" s="31"/>
      <c r="FK223" s="31"/>
      <c r="FL223" s="31"/>
      <c r="FM223" s="996">
        <f>Model!FM187/'Balance Sheet'!FM222</f>
        <v>0.25026364868838658</v>
      </c>
      <c r="FN223" s="27"/>
      <c r="FO223" s="27"/>
      <c r="FP223" s="27"/>
      <c r="FQ223" s="27"/>
      <c r="FR223"/>
      <c r="FS223"/>
      <c r="FT223"/>
      <c r="FU223"/>
      <c r="FV223"/>
      <c r="FW223"/>
      <c r="FX223" s="27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</row>
    <row r="224" spans="1:274" s="24" customFormat="1" ht="10.5" customHeight="1" x14ac:dyDescent="0.2">
      <c r="A224" s="90" t="s">
        <v>398</v>
      </c>
      <c r="B224" s="576"/>
      <c r="C224" s="31" t="s">
        <v>945</v>
      </c>
      <c r="D224" s="31">
        <f t="shared" ref="D224:M224" si="156">D40+D220</f>
        <v>7.367</v>
      </c>
      <c r="E224" s="31">
        <f t="shared" si="156"/>
        <v>28.651</v>
      </c>
      <c r="F224" s="31">
        <f t="shared" si="156"/>
        <v>82.655999999999992</v>
      </c>
      <c r="G224" s="31">
        <f t="shared" si="156"/>
        <v>134.643</v>
      </c>
      <c r="H224" s="31">
        <f t="shared" si="156"/>
        <v>230.55399999999997</v>
      </c>
      <c r="I224" s="31">
        <f t="shared" si="156"/>
        <v>387.58500000000004</v>
      </c>
      <c r="J224" s="31">
        <f t="shared" si="156"/>
        <v>344.685</v>
      </c>
      <c r="K224" s="31">
        <f t="shared" si="156"/>
        <v>435.03399999999999</v>
      </c>
      <c r="L224" s="31">
        <f t="shared" si="156"/>
        <v>528.03899999999999</v>
      </c>
      <c r="M224" s="31">
        <f t="shared" si="156"/>
        <v>740.55300000000011</v>
      </c>
      <c r="N224" s="475"/>
      <c r="O224" s="31" t="s">
        <v>945</v>
      </c>
      <c r="P224" s="31" t="s">
        <v>945</v>
      </c>
      <c r="Q224" s="31" t="s">
        <v>945</v>
      </c>
      <c r="R224" s="31" t="s">
        <v>945</v>
      </c>
      <c r="S224" s="31">
        <f>S40+S220</f>
        <v>1211.3579999999999</v>
      </c>
      <c r="T224" s="475"/>
      <c r="U224" s="31" t="s">
        <v>945</v>
      </c>
      <c r="V224" s="31" t="s">
        <v>945</v>
      </c>
      <c r="W224" s="31" t="s">
        <v>945</v>
      </c>
      <c r="X224" s="31" t="s">
        <v>945</v>
      </c>
      <c r="Y224" s="31">
        <f>Y40+Y220</f>
        <v>1921.38</v>
      </c>
      <c r="Z224" s="91"/>
      <c r="AA224" s="31" t="s">
        <v>945</v>
      </c>
      <c r="AB224" s="31" t="s">
        <v>945</v>
      </c>
      <c r="AC224" s="31" t="s">
        <v>945</v>
      </c>
      <c r="AD224" s="31" t="s">
        <v>945</v>
      </c>
      <c r="AE224" s="31">
        <f>AE40+AE220</f>
        <v>2456.5529999999999</v>
      </c>
      <c r="AF224" s="91"/>
      <c r="AG224" s="31" t="s">
        <v>945</v>
      </c>
      <c r="AH224" s="31" t="s">
        <v>945</v>
      </c>
      <c r="AI224" s="31" t="s">
        <v>945</v>
      </c>
      <c r="AJ224" s="31" t="s">
        <v>945</v>
      </c>
      <c r="AK224" s="31">
        <f>AK40+AK220</f>
        <v>3212.3429999999998</v>
      </c>
      <c r="AL224" s="91"/>
      <c r="AM224" s="31" t="s">
        <v>945</v>
      </c>
      <c r="AN224" s="31" t="s">
        <v>945</v>
      </c>
      <c r="AO224" s="31" t="s">
        <v>945</v>
      </c>
      <c r="AP224" s="31" t="s">
        <v>945</v>
      </c>
      <c r="AQ224" s="31">
        <f>AQ40+AQ220</f>
        <v>4005.6129999999998</v>
      </c>
      <c r="AR224" s="91"/>
      <c r="AS224" s="31" t="s">
        <v>945</v>
      </c>
      <c r="AT224" s="31" t="s">
        <v>945</v>
      </c>
      <c r="AU224" s="31" t="s">
        <v>945</v>
      </c>
      <c r="AV224" s="31" t="s">
        <v>945</v>
      </c>
      <c r="AW224" s="31">
        <f>AW40+AW220</f>
        <v>6843.9560000000001</v>
      </c>
      <c r="AX224" s="91"/>
      <c r="AY224" s="31" t="s">
        <v>945</v>
      </c>
      <c r="AZ224" s="31" t="s">
        <v>945</v>
      </c>
      <c r="BA224" s="31" t="s">
        <v>945</v>
      </c>
      <c r="BB224" s="31" t="s">
        <v>945</v>
      </c>
      <c r="BC224" s="31">
        <f>BC40+BC220</f>
        <v>6734.5060000000003</v>
      </c>
      <c r="BD224" s="91"/>
      <c r="BE224" s="31" t="s">
        <v>945</v>
      </c>
      <c r="BF224" s="31" t="s">
        <v>945</v>
      </c>
      <c r="BG224" s="31" t="s">
        <v>945</v>
      </c>
      <c r="BH224" s="31" t="s">
        <v>945</v>
      </c>
      <c r="BI224" s="31">
        <f>BI40+BI220</f>
        <v>6664.9560000000001</v>
      </c>
      <c r="BJ224" s="33"/>
      <c r="BK224" s="31" t="s">
        <v>945</v>
      </c>
      <c r="BL224" s="31" t="s">
        <v>945</v>
      </c>
      <c r="BM224" s="31" t="s">
        <v>945</v>
      </c>
      <c r="BN224" s="31" t="s">
        <v>945</v>
      </c>
      <c r="BO224" s="31">
        <f>BO40+BO220</f>
        <v>6951.9560000000001</v>
      </c>
      <c r="BP224" s="475"/>
      <c r="BQ224" s="31" t="s">
        <v>945</v>
      </c>
      <c r="BR224" s="31" t="s">
        <v>945</v>
      </c>
      <c r="BS224" s="31" t="s">
        <v>945</v>
      </c>
      <c r="BT224" s="31" t="s">
        <v>945</v>
      </c>
      <c r="BU224" s="31">
        <f>BU40+BU220</f>
        <v>8662.9560000000001</v>
      </c>
      <c r="BV224" s="475"/>
      <c r="BW224" s="31" t="s">
        <v>945</v>
      </c>
      <c r="BX224" s="31" t="s">
        <v>945</v>
      </c>
      <c r="BY224" s="31" t="s">
        <v>945</v>
      </c>
      <c r="BZ224" s="31" t="s">
        <v>945</v>
      </c>
      <c r="CA224" s="31">
        <f>CA40+CA220</f>
        <v>11723.956</v>
      </c>
      <c r="CB224" s="475"/>
      <c r="CC224" s="31" t="s">
        <v>945</v>
      </c>
      <c r="CD224" s="31" t="s">
        <v>945</v>
      </c>
      <c r="CE224" s="31" t="s">
        <v>945</v>
      </c>
      <c r="CF224" s="31" t="s">
        <v>945</v>
      </c>
      <c r="CG224" s="557">
        <f>CG40+CG220</f>
        <v>16559.955999999998</v>
      </c>
      <c r="CH224" s="475"/>
      <c r="CI224" s="31" t="s">
        <v>945</v>
      </c>
      <c r="CJ224" s="31" t="s">
        <v>945</v>
      </c>
      <c r="CK224" s="31" t="s">
        <v>945</v>
      </c>
      <c r="CL224" s="31" t="s">
        <v>945</v>
      </c>
      <c r="CM224" s="436">
        <f>CM40+CM220</f>
        <v>19344.955999999998</v>
      </c>
      <c r="CN224" s="475"/>
      <c r="CO224" s="31" t="s">
        <v>945</v>
      </c>
      <c r="CP224" s="31" t="s">
        <v>945</v>
      </c>
      <c r="CQ224" s="31" t="s">
        <v>945</v>
      </c>
      <c r="CR224" s="31" t="s">
        <v>945</v>
      </c>
      <c r="CS224" s="436">
        <f>CS40+CS220</f>
        <v>26662.955999999998</v>
      </c>
      <c r="CT224" s="131"/>
      <c r="CU224" s="167" t="s">
        <v>945</v>
      </c>
      <c r="CV224" s="167" t="s">
        <v>945</v>
      </c>
      <c r="CW224" s="167" t="s">
        <v>945</v>
      </c>
      <c r="CX224" s="167" t="s">
        <v>945</v>
      </c>
      <c r="CY224" s="436">
        <f>CY40+CY220</f>
        <v>30440.955999999998</v>
      </c>
      <c r="CZ224" s="131"/>
      <c r="DA224" s="167" t="s">
        <v>945</v>
      </c>
      <c r="DB224" s="167" t="s">
        <v>945</v>
      </c>
      <c r="DC224" s="167" t="s">
        <v>945</v>
      </c>
      <c r="DD224" s="167" t="s">
        <v>945</v>
      </c>
      <c r="DE224" s="436">
        <f>DE40+DE220</f>
        <v>38121.955999999998</v>
      </c>
      <c r="DF224" s="131"/>
      <c r="DG224" s="167" t="s">
        <v>945</v>
      </c>
      <c r="DH224" s="167" t="s">
        <v>945</v>
      </c>
      <c r="DI224" s="167" t="s">
        <v>945</v>
      </c>
      <c r="DJ224" s="167" t="s">
        <v>945</v>
      </c>
      <c r="DK224" s="436">
        <f>DK40+DK220</f>
        <v>49527.955999999998</v>
      </c>
      <c r="DL224" s="131"/>
      <c r="DM224" s="167" t="s">
        <v>945</v>
      </c>
      <c r="DN224" s="167" t="s">
        <v>945</v>
      </c>
      <c r="DO224" s="167" t="s">
        <v>945</v>
      </c>
      <c r="DP224" s="167" t="s">
        <v>945</v>
      </c>
      <c r="DQ224" s="436">
        <f>DQ40+DQ220</f>
        <v>55875.955999999998</v>
      </c>
      <c r="DR224" s="131"/>
      <c r="DS224" s="167" t="s">
        <v>945</v>
      </c>
      <c r="DT224" s="167" t="s">
        <v>945</v>
      </c>
      <c r="DU224" s="167" t="s">
        <v>945</v>
      </c>
      <c r="DV224" s="167" t="s">
        <v>945</v>
      </c>
      <c r="DW224" s="436">
        <f>DW40+DW220</f>
        <v>59214.955999999998</v>
      </c>
      <c r="DX224" s="131"/>
      <c r="DY224" s="167" t="s">
        <v>945</v>
      </c>
      <c r="DZ224" s="167" t="s">
        <v>945</v>
      </c>
      <c r="EA224" s="167" t="s">
        <v>945</v>
      </c>
      <c r="EB224" s="167" t="s">
        <v>945</v>
      </c>
      <c r="EC224" s="436">
        <f>EC40+EC220</f>
        <v>63744.955999999998</v>
      </c>
      <c r="ED224" s="131"/>
      <c r="EE224" s="167" t="s">
        <v>945</v>
      </c>
      <c r="EF224" s="167" t="s">
        <v>945</v>
      </c>
      <c r="EG224" s="167" t="s">
        <v>945</v>
      </c>
      <c r="EH224" s="167" t="s">
        <v>945</v>
      </c>
      <c r="EI224" s="436">
        <f>EI40+EI220</f>
        <v>67678.956000000006</v>
      </c>
      <c r="EJ224" s="131"/>
      <c r="EK224" s="167" t="s">
        <v>945</v>
      </c>
      <c r="EL224" s="167" t="s">
        <v>945</v>
      </c>
      <c r="EM224" s="167" t="s">
        <v>945</v>
      </c>
      <c r="EN224" s="167" t="s">
        <v>945</v>
      </c>
      <c r="EO224" s="436">
        <f>EO40+EO220</f>
        <v>67942.956000000006</v>
      </c>
      <c r="EP224" s="131"/>
      <c r="EQ224" s="167" t="s">
        <v>945</v>
      </c>
      <c r="ER224" s="167" t="s">
        <v>945</v>
      </c>
      <c r="ES224" s="167" t="s">
        <v>945</v>
      </c>
      <c r="ET224" s="167" t="s">
        <v>945</v>
      </c>
      <c r="EU224" s="436">
        <f>EU40+EU220</f>
        <v>75964.956000000006</v>
      </c>
      <c r="EV224" s="131"/>
      <c r="EW224" s="167" t="s">
        <v>945</v>
      </c>
      <c r="EX224" s="167" t="s">
        <v>945</v>
      </c>
      <c r="EY224" s="167" t="s">
        <v>945</v>
      </c>
      <c r="EZ224" s="167" t="s">
        <v>945</v>
      </c>
      <c r="FA224" s="436">
        <f>FA40+FA220</f>
        <v>71330.326241667164</v>
      </c>
      <c r="FB224" s="131"/>
      <c r="FC224" s="167" t="s">
        <v>945</v>
      </c>
      <c r="FD224" s="167" t="s">
        <v>945</v>
      </c>
      <c r="FE224" s="167" t="s">
        <v>945</v>
      </c>
      <c r="FF224" s="167" t="s">
        <v>945</v>
      </c>
      <c r="FG224" s="436">
        <f>FG40+FG220</f>
        <v>76724.808864603488</v>
      </c>
      <c r="FH224" s="131"/>
      <c r="FI224" s="167" t="s">
        <v>945</v>
      </c>
      <c r="FJ224" s="167" t="s">
        <v>945</v>
      </c>
      <c r="FK224" s="167" t="s">
        <v>945</v>
      </c>
      <c r="FL224" s="167" t="s">
        <v>945</v>
      </c>
      <c r="FM224" s="436">
        <f>FM40+FM220</f>
        <v>83754.989118046346</v>
      </c>
      <c r="FN224" s="33"/>
      <c r="FO224" s="33"/>
      <c r="FP224" s="33"/>
      <c r="FQ224" s="33"/>
      <c r="FR224"/>
      <c r="FS224"/>
      <c r="FT224"/>
      <c r="FU224"/>
      <c r="FV224"/>
      <c r="FW224"/>
      <c r="FX224" s="33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</row>
    <row r="225" spans="1:274" s="24" customFormat="1" ht="10.5" customHeight="1" thickBot="1" x14ac:dyDescent="0.25">
      <c r="A225" s="578" t="s">
        <v>824</v>
      </c>
      <c r="B225" s="92"/>
      <c r="C225" s="579"/>
      <c r="D225" s="997">
        <f>Model!D187/'Balance Sheet'!D224</f>
        <v>0.21054934165874858</v>
      </c>
      <c r="E225" s="997">
        <f>Model!E187/'Balance Sheet'!E224</f>
        <v>0.20475969425150975</v>
      </c>
      <c r="F225" s="997">
        <f>Model!F187/'Balance Sheet'!F224</f>
        <v>0.18280740321331793</v>
      </c>
      <c r="G225" s="997">
        <f>Model!G187/'Balance Sheet'!G224</f>
        <v>0.31850151883127975</v>
      </c>
      <c r="H225" s="997">
        <f>Model!H187/'Balance Sheet'!H224</f>
        <v>0.35520095075340263</v>
      </c>
      <c r="I225" s="997">
        <f>Model!I187/'Balance Sheet'!I224</f>
        <v>0.20866390598191348</v>
      </c>
      <c r="J225" s="997">
        <f>Model!J187/'Balance Sheet'!J224</f>
        <v>-3.5977776810711244E-2</v>
      </c>
      <c r="K225" s="997">
        <f>Model!K187/'Balance Sheet'!K224</f>
        <v>0.14254977771852323</v>
      </c>
      <c r="L225" s="997">
        <f>Model!L187/'Balance Sheet'!L224</f>
        <v>0.44180070032705931</v>
      </c>
      <c r="M225" s="997">
        <f>Model!M187/'Balance Sheet'!M224</f>
        <v>0.38275315878809474</v>
      </c>
      <c r="N225" s="579"/>
      <c r="O225" s="579"/>
      <c r="P225" s="579"/>
      <c r="Q225" s="579"/>
      <c r="R225" s="579"/>
      <c r="S225" s="997">
        <f>Model!S187/'Balance Sheet'!S224</f>
        <v>0.36406908610006306</v>
      </c>
      <c r="T225" s="579"/>
      <c r="U225" s="579"/>
      <c r="V225" s="579"/>
      <c r="W225" s="579"/>
      <c r="X225" s="579"/>
      <c r="Y225" s="997">
        <f>Model!Y187/'Balance Sheet'!Y224</f>
        <v>0.33138134961022109</v>
      </c>
      <c r="Z225" s="579"/>
      <c r="AA225" s="579"/>
      <c r="AB225" s="579"/>
      <c r="AC225" s="579"/>
      <c r="AD225" s="579"/>
      <c r="AE225" s="997">
        <f>Model!AE187/'Balance Sheet'!AE224</f>
        <v>0.34398163705575546</v>
      </c>
      <c r="AF225" s="579"/>
      <c r="AG225" s="579"/>
      <c r="AH225" s="579"/>
      <c r="AI225" s="579"/>
      <c r="AJ225" s="579"/>
      <c r="AK225" s="997">
        <f>Model!AK187/'Balance Sheet'!AK224</f>
        <v>0.30166919286016458</v>
      </c>
      <c r="AL225" s="579"/>
      <c r="AM225" s="579"/>
      <c r="AN225" s="579"/>
      <c r="AO225" s="579"/>
      <c r="AP225" s="579"/>
      <c r="AQ225" s="997">
        <f>Model!AQ187/'Balance Sheet'!AQ224</f>
        <v>0.32198767080094864</v>
      </c>
      <c r="AR225" s="579"/>
      <c r="AS225" s="579"/>
      <c r="AT225" s="579"/>
      <c r="AU225" s="579"/>
      <c r="AV225" s="579"/>
      <c r="AW225" s="997">
        <f>Model!AW187/'Balance Sheet'!AW224</f>
        <v>0.92005329227715682</v>
      </c>
      <c r="AX225" s="579"/>
      <c r="AY225" s="579"/>
      <c r="AZ225" s="579"/>
      <c r="BA225" s="579"/>
      <c r="BB225" s="579"/>
      <c r="BC225" s="997">
        <f>Model!BC187/'Balance Sheet'!BC224</f>
        <v>0.38034613823196534</v>
      </c>
      <c r="BD225" s="579"/>
      <c r="BE225" s="579"/>
      <c r="BF225" s="579"/>
      <c r="BG225" s="579"/>
      <c r="BH225" s="579"/>
      <c r="BI225" s="997">
        <f>Model!BI187/'Balance Sheet'!BI224</f>
        <v>0.33371638912544954</v>
      </c>
      <c r="BJ225" s="579"/>
      <c r="BK225" s="579"/>
      <c r="BL225" s="579"/>
      <c r="BM225" s="579"/>
      <c r="BN225" s="579"/>
      <c r="BO225" s="997">
        <f>Model!BO187/'Balance Sheet'!BO224</f>
        <v>0.33190658859175748</v>
      </c>
      <c r="BP225" s="579"/>
      <c r="BQ225" s="579"/>
      <c r="BR225" s="579"/>
      <c r="BS225" s="579"/>
      <c r="BT225" s="579"/>
      <c r="BU225" s="997">
        <f>Model!BU187/'Balance Sheet'!BU224</f>
        <v>0.30947865832401777</v>
      </c>
      <c r="BV225" s="579"/>
      <c r="BW225" s="579"/>
      <c r="BX225" s="579"/>
      <c r="BY225" s="579"/>
      <c r="BZ225" s="579"/>
      <c r="CA225" s="997">
        <f>Model!CA187/'Balance Sheet'!CA224</f>
        <v>0.30204069997209348</v>
      </c>
      <c r="CB225" s="579"/>
      <c r="CC225" s="579"/>
      <c r="CD225" s="579"/>
      <c r="CE225" s="579"/>
      <c r="CF225" s="579"/>
      <c r="CG225" s="998">
        <f>Model!CG187/'Balance Sheet'!CG224</f>
        <v>0.25646742147989715</v>
      </c>
      <c r="CH225" s="579"/>
      <c r="CI225" s="579"/>
      <c r="CJ225" s="579"/>
      <c r="CK225" s="579"/>
      <c r="CL225" s="579"/>
      <c r="CM225" s="998">
        <f>Model!CM187/'Balance Sheet'!CM224</f>
        <v>0.27433507731937984</v>
      </c>
      <c r="CN225" s="579"/>
      <c r="CO225" s="579"/>
      <c r="CP225" s="579"/>
      <c r="CQ225" s="579"/>
      <c r="CR225" s="579"/>
      <c r="CS225" s="998">
        <f>Model!CS187/'Balance Sheet'!CS224</f>
        <v>0.25496047775047898</v>
      </c>
      <c r="CT225" s="579"/>
      <c r="CU225" s="579"/>
      <c r="CV225" s="579"/>
      <c r="CW225" s="579"/>
      <c r="CX225" s="579"/>
      <c r="CY225" s="998">
        <f>Model!CY187/'Balance Sheet'!CY224</f>
        <v>0.24286359469130997</v>
      </c>
      <c r="CZ225" s="579"/>
      <c r="DA225" s="579"/>
      <c r="DB225" s="579"/>
      <c r="DC225" s="579"/>
      <c r="DD225" s="579"/>
      <c r="DE225" s="998">
        <f>Model!DE187/'Balance Sheet'!DE224</f>
        <v>0.22281385561643266</v>
      </c>
      <c r="DF225" s="579"/>
      <c r="DG225" s="579"/>
      <c r="DH225" s="579"/>
      <c r="DI225" s="579"/>
      <c r="DJ225" s="579"/>
      <c r="DK225" s="998">
        <f>Model!DK187/'Balance Sheet'!DK224</f>
        <v>0.23100085131718337</v>
      </c>
      <c r="DL225" s="579"/>
      <c r="DM225" s="579"/>
      <c r="DN225" s="579"/>
      <c r="DO225" s="579"/>
      <c r="DP225" s="579"/>
      <c r="DQ225" s="998">
        <f>Model!DQ187/'Balance Sheet'!DQ224</f>
        <v>0.22407668335911785</v>
      </c>
      <c r="DR225" s="579"/>
      <c r="DS225" s="579"/>
      <c r="DT225" s="579"/>
      <c r="DU225" s="579"/>
      <c r="DV225" s="579"/>
      <c r="DW225" s="998">
        <f>Model!DW187/'Balance Sheet'!DW224</f>
        <v>0.21882985102614955</v>
      </c>
      <c r="DX225" s="579"/>
      <c r="DY225" s="579"/>
      <c r="DZ225" s="579"/>
      <c r="EA225" s="579"/>
      <c r="EB225" s="579"/>
      <c r="EC225" s="998">
        <f>Model!EC187/'Balance Sheet'!EC224</f>
        <v>0.20729483286489367</v>
      </c>
      <c r="ED225" s="579"/>
      <c r="EE225" s="579"/>
      <c r="EF225" s="579"/>
      <c r="EG225" s="579"/>
      <c r="EH225" s="579"/>
      <c r="EI225" s="998">
        <f>Model!EI187/'Balance Sheet'!EI224</f>
        <v>0.1845477640051067</v>
      </c>
      <c r="EJ225" s="579"/>
      <c r="EK225" s="579"/>
      <c r="EL225" s="579"/>
      <c r="EM225" s="579"/>
      <c r="EN225" s="579"/>
      <c r="EO225" s="998">
        <f>Model!EO187/'Balance Sheet'!EO224</f>
        <v>0.16538874169678455</v>
      </c>
      <c r="EP225" s="579"/>
      <c r="EQ225" s="579"/>
      <c r="ER225" s="579"/>
      <c r="ES225" s="579"/>
      <c r="ET225" s="579"/>
      <c r="EU225" s="998">
        <f>Model!EU187/'Balance Sheet'!EU224</f>
        <v>0.15214620804887977</v>
      </c>
      <c r="EV225" s="579"/>
      <c r="EW225" s="579"/>
      <c r="EX225" s="579"/>
      <c r="EY225" s="579"/>
      <c r="EZ225" s="579"/>
      <c r="FA225" s="998">
        <f>Model!FA187/'Balance Sheet'!FA224</f>
        <v>0.18302903714970276</v>
      </c>
      <c r="FB225" s="579"/>
      <c r="FC225" s="579"/>
      <c r="FD225" s="579"/>
      <c r="FE225" s="579"/>
      <c r="FF225" s="579"/>
      <c r="FG225" s="998">
        <f>Model!FG187/'Balance Sheet'!FG224</f>
        <v>0.17878794206807094</v>
      </c>
      <c r="FH225" s="579"/>
      <c r="FI225" s="579"/>
      <c r="FJ225" s="579"/>
      <c r="FK225" s="579"/>
      <c r="FL225" s="579"/>
      <c r="FM225" s="998">
        <f>Model!FM187/'Balance Sheet'!FM224</f>
        <v>0.17312824035922936</v>
      </c>
      <c r="FN225" s="27"/>
      <c r="FO225" s="27"/>
      <c r="FP225" s="27"/>
      <c r="FQ225" s="27"/>
      <c r="FR225"/>
      <c r="FS225"/>
      <c r="FT225"/>
      <c r="FU225"/>
      <c r="FV225"/>
      <c r="FW225"/>
      <c r="FX225" s="27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</row>
    <row r="226" spans="1:274" s="24" customFormat="1" ht="10.5" customHeight="1" x14ac:dyDescent="0.2">
      <c r="A226" s="27"/>
      <c r="B226" s="20"/>
      <c r="C226" s="27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342"/>
      <c r="O226" s="342"/>
      <c r="P226" s="342"/>
      <c r="Q226" s="342"/>
      <c r="R226" s="342"/>
      <c r="S226" s="342"/>
      <c r="T226" s="342"/>
      <c r="U226" s="342"/>
      <c r="V226" s="342"/>
      <c r="W226" s="342"/>
      <c r="X226" s="342"/>
      <c r="Y226" s="342"/>
      <c r="Z226" s="342"/>
      <c r="AA226" s="342"/>
      <c r="AB226" s="342"/>
      <c r="AC226" s="342"/>
      <c r="AD226" s="342"/>
      <c r="AE226" s="342"/>
      <c r="AF226" s="342"/>
      <c r="AG226" s="342"/>
      <c r="AH226" s="342"/>
      <c r="AI226" s="342"/>
      <c r="AJ226" s="342"/>
      <c r="AK226" s="342"/>
      <c r="AL226" s="342"/>
      <c r="AM226" s="342"/>
      <c r="AN226" s="342"/>
      <c r="AO226" s="342"/>
      <c r="AP226" s="342"/>
      <c r="AQ226" s="342"/>
      <c r="AR226" s="342"/>
      <c r="AS226" s="342"/>
      <c r="AT226" s="342"/>
      <c r="AU226" s="342"/>
      <c r="AV226" s="342"/>
      <c r="AW226" s="342"/>
      <c r="AX226" s="342"/>
      <c r="AY226" s="342"/>
      <c r="AZ226" s="342"/>
      <c r="BA226" s="342"/>
      <c r="BB226" s="342"/>
      <c r="BC226" s="342"/>
      <c r="BD226" s="342"/>
      <c r="BE226" s="342"/>
      <c r="BF226" s="342"/>
      <c r="BG226" s="342"/>
      <c r="BH226" s="342"/>
      <c r="BI226" s="342"/>
      <c r="BJ226" s="342"/>
      <c r="BK226" s="342"/>
      <c r="BL226" s="342"/>
      <c r="BM226" s="342"/>
      <c r="BN226" s="342"/>
      <c r="BO226" s="342"/>
      <c r="BP226" s="342"/>
      <c r="BQ226" s="342"/>
      <c r="BR226" s="342"/>
      <c r="BS226" s="342"/>
      <c r="BT226" s="342"/>
      <c r="BU226" s="342"/>
      <c r="BV226" s="342"/>
      <c r="BW226" s="342"/>
      <c r="BX226" s="342"/>
      <c r="BY226" s="342"/>
      <c r="BZ226" s="342"/>
      <c r="CA226" s="342"/>
      <c r="CB226" s="342"/>
      <c r="CC226" s="342"/>
      <c r="CD226" s="342"/>
      <c r="CE226" s="342"/>
      <c r="CF226" s="342"/>
      <c r="CG226" s="155"/>
      <c r="CH226" s="342"/>
      <c r="CI226" s="342"/>
      <c r="CJ226" s="342"/>
      <c r="CK226" s="342"/>
      <c r="CL226" s="342"/>
      <c r="CM226" s="155"/>
      <c r="CN226" s="342"/>
      <c r="CO226" s="342"/>
      <c r="CP226" s="342"/>
      <c r="CQ226" s="342"/>
      <c r="CR226" s="342"/>
      <c r="CS226" s="155"/>
      <c r="CT226" s="475"/>
      <c r="CU226" s="342"/>
      <c r="CV226" s="342"/>
      <c r="CW226" s="342"/>
      <c r="CX226" s="342"/>
      <c r="CY226" s="155"/>
      <c r="CZ226" s="475"/>
      <c r="DA226" s="342"/>
      <c r="DB226" s="342"/>
      <c r="DC226" s="342"/>
      <c r="DD226" s="342"/>
      <c r="DE226" s="155"/>
      <c r="DF226" s="475"/>
      <c r="DG226" s="342"/>
      <c r="DH226" s="342"/>
      <c r="DI226" s="342"/>
      <c r="DJ226" s="342"/>
      <c r="DK226" s="155"/>
      <c r="DL226" s="475"/>
      <c r="DM226" s="342"/>
      <c r="DN226" s="342"/>
      <c r="DO226" s="342"/>
      <c r="DP226" s="342"/>
      <c r="DQ226" s="155"/>
      <c r="DR226" s="475"/>
      <c r="DS226" s="342"/>
      <c r="DT226" s="342"/>
      <c r="DU226" s="342"/>
      <c r="DV226" s="342"/>
      <c r="DW226" s="155"/>
      <c r="DX226" s="475"/>
      <c r="DY226" s="342"/>
      <c r="DZ226" s="342"/>
      <c r="EA226" s="342"/>
      <c r="EB226" s="342"/>
      <c r="EC226" s="155"/>
      <c r="ED226" s="475"/>
      <c r="EE226" s="342"/>
      <c r="EF226" s="342"/>
      <c r="EG226" s="342"/>
      <c r="EH226" s="342"/>
      <c r="EI226" s="155"/>
      <c r="EJ226" s="475"/>
      <c r="EK226" s="342"/>
      <c r="EL226" s="342"/>
      <c r="EM226" s="342"/>
      <c r="EN226" s="342"/>
      <c r="EO226" s="155"/>
      <c r="EP226" s="475"/>
      <c r="EQ226" s="342"/>
      <c r="ER226" s="342"/>
      <c r="ES226" s="342"/>
      <c r="ET226" s="342"/>
      <c r="EU226" s="155"/>
      <c r="EV226" s="475"/>
      <c r="EW226" s="342"/>
      <c r="EX226" s="342"/>
      <c r="EY226" s="342"/>
      <c r="EZ226" s="342"/>
      <c r="FA226" s="155"/>
      <c r="FB226" s="475"/>
      <c r="FC226" s="342"/>
      <c r="FD226" s="342"/>
      <c r="FE226" s="342"/>
      <c r="FF226" s="342"/>
      <c r="FG226" s="155"/>
      <c r="FH226" s="475"/>
      <c r="FI226" s="342"/>
      <c r="FJ226" s="342"/>
      <c r="FK226" s="342"/>
      <c r="FL226" s="342"/>
      <c r="FM226" s="155"/>
      <c r="FN226" s="27"/>
      <c r="FO226" s="27"/>
      <c r="FP226" s="27"/>
      <c r="FQ226" s="27"/>
      <c r="FR226"/>
      <c r="FS226"/>
      <c r="FT226"/>
      <c r="FU226"/>
      <c r="FV226"/>
      <c r="FW226"/>
      <c r="FX226" s="27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</row>
    <row r="227" spans="1:274" s="24" customFormat="1" ht="20.25" x14ac:dyDescent="0.2">
      <c r="A227" s="999" t="s">
        <v>819</v>
      </c>
      <c r="B227" s="20"/>
      <c r="C227" s="999"/>
      <c r="D227" s="999"/>
      <c r="E227" s="999"/>
      <c r="F227" s="999"/>
      <c r="G227" s="999"/>
      <c r="H227" s="999"/>
      <c r="I227" s="999"/>
      <c r="J227" s="999"/>
      <c r="K227" s="999"/>
      <c r="L227" s="999"/>
      <c r="M227" s="999"/>
      <c r="N227" s="999"/>
      <c r="O227" s="999"/>
      <c r="P227" s="999"/>
      <c r="Q227" s="999"/>
      <c r="R227" s="999"/>
      <c r="S227" s="999"/>
      <c r="T227" s="999"/>
      <c r="U227" s="999"/>
      <c r="V227" s="999"/>
      <c r="W227" s="999"/>
      <c r="X227" s="999"/>
      <c r="Y227" s="999"/>
      <c r="Z227" s="999"/>
      <c r="AA227" s="999"/>
      <c r="AB227" s="999"/>
      <c r="AC227" s="999"/>
      <c r="AD227" s="999"/>
      <c r="AE227" s="999"/>
      <c r="AF227" s="999"/>
      <c r="AG227" s="999"/>
      <c r="AH227" s="999"/>
      <c r="AI227" s="999"/>
      <c r="AJ227" s="999"/>
      <c r="AK227" s="999"/>
      <c r="AL227" s="999"/>
      <c r="AM227" s="999"/>
      <c r="AN227" s="999"/>
      <c r="AO227" s="999"/>
      <c r="AP227" s="999"/>
      <c r="AQ227" s="999"/>
      <c r="AR227" s="999"/>
      <c r="AS227" s="999"/>
      <c r="AT227" s="999"/>
      <c r="AU227" s="999"/>
      <c r="AV227" s="999"/>
      <c r="AW227" s="999"/>
      <c r="AX227" s="999"/>
      <c r="AY227" s="999"/>
      <c r="AZ227" s="999"/>
      <c r="BA227" s="999"/>
      <c r="BB227" s="999"/>
      <c r="BC227" s="999"/>
      <c r="BD227" s="999"/>
      <c r="BE227" s="999"/>
      <c r="BF227" s="999"/>
      <c r="BG227" s="999"/>
      <c r="BH227" s="999"/>
      <c r="BI227" s="999"/>
      <c r="BJ227" s="999"/>
      <c r="BK227" s="999"/>
      <c r="BL227" s="999"/>
      <c r="BM227" s="999"/>
      <c r="BN227" s="999"/>
      <c r="BO227" s="999"/>
      <c r="BP227" s="999"/>
      <c r="BQ227" s="999"/>
      <c r="BR227" s="999"/>
      <c r="BS227" s="999"/>
      <c r="BT227" s="999"/>
      <c r="BU227" s="999"/>
      <c r="BV227" s="999"/>
      <c r="BW227" s="999"/>
      <c r="BX227" s="999"/>
      <c r="BY227" s="999"/>
      <c r="BZ227" s="999"/>
      <c r="CA227" s="999"/>
      <c r="CB227" s="999"/>
      <c r="CC227" s="999"/>
      <c r="CD227" s="999"/>
      <c r="CE227" s="999"/>
      <c r="CF227" s="999"/>
      <c r="CG227" s="999"/>
      <c r="CH227" s="999"/>
      <c r="CI227" s="999"/>
      <c r="CJ227" s="999"/>
      <c r="CK227" s="999"/>
      <c r="CL227" s="999"/>
      <c r="CM227" s="999"/>
      <c r="CN227" s="999"/>
      <c r="CO227" s="999"/>
      <c r="CP227" s="999"/>
      <c r="CQ227" s="999"/>
      <c r="CR227" s="999"/>
      <c r="CS227" s="999"/>
      <c r="CT227" s="1000"/>
      <c r="CU227" s="999"/>
      <c r="CV227" s="999"/>
      <c r="CW227" s="999"/>
      <c r="CX227" s="999"/>
      <c r="CY227" s="999"/>
      <c r="CZ227" s="1000"/>
      <c r="DA227" s="999"/>
      <c r="DB227" s="999"/>
      <c r="DC227" s="999"/>
      <c r="DD227" s="999"/>
      <c r="DE227" s="1000"/>
      <c r="DF227" s="1000"/>
      <c r="DG227" s="999"/>
      <c r="DH227" s="999"/>
      <c r="DI227" s="999"/>
      <c r="DJ227" s="999"/>
      <c r="DK227" s="1000"/>
      <c r="DL227" s="1000"/>
      <c r="DM227" s="999"/>
      <c r="DN227" s="999"/>
      <c r="DO227" s="999"/>
      <c r="DP227" s="999"/>
      <c r="DQ227" s="1000"/>
      <c r="DR227" s="1000"/>
      <c r="DS227" s="999"/>
      <c r="DT227" s="999"/>
      <c r="DU227" s="999"/>
      <c r="DV227" s="999"/>
      <c r="DW227" s="1000"/>
      <c r="DX227" s="1000"/>
      <c r="DY227" s="999"/>
      <c r="DZ227" s="999"/>
      <c r="EA227" s="999"/>
      <c r="EB227" s="999"/>
      <c r="EC227" s="1000"/>
      <c r="ED227" s="1000"/>
      <c r="EE227" s="999"/>
      <c r="EF227" s="999"/>
      <c r="EG227" s="999"/>
      <c r="EH227" s="999"/>
      <c r="EI227" s="1000"/>
      <c r="EJ227" s="1000"/>
      <c r="EK227" s="999"/>
      <c r="EL227" s="999"/>
      <c r="EM227" s="999"/>
      <c r="EN227" s="999"/>
      <c r="EO227" s="1000"/>
      <c r="EP227" s="1000"/>
      <c r="EQ227" s="999"/>
      <c r="ER227" s="999"/>
      <c r="ES227" s="999"/>
      <c r="ET227" s="999"/>
      <c r="EU227" s="1000"/>
      <c r="EV227" s="1000"/>
      <c r="EW227" s="999"/>
      <c r="EX227" s="999"/>
      <c r="EY227" s="999"/>
      <c r="EZ227" s="999"/>
      <c r="FA227" s="1000"/>
      <c r="FB227" s="1000"/>
      <c r="FC227" s="999"/>
      <c r="FD227" s="999"/>
      <c r="FE227" s="999"/>
      <c r="FF227" s="999"/>
      <c r="FG227" s="1000"/>
      <c r="FH227" s="1000"/>
      <c r="FI227" s="999"/>
      <c r="FJ227" s="999"/>
      <c r="FK227" s="999"/>
      <c r="FL227" s="999"/>
      <c r="FM227" s="1000"/>
      <c r="FN227" s="27"/>
      <c r="FO227" s="27"/>
      <c r="FP227" s="27"/>
      <c r="FQ227" s="27"/>
      <c r="FR227"/>
      <c r="FS227"/>
      <c r="FT227"/>
      <c r="FU227"/>
      <c r="FV227"/>
      <c r="FW227"/>
      <c r="FX227" s="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</row>
    <row r="228" spans="1:274" s="24" customFormat="1" ht="10.5" hidden="1" customHeight="1" outlineLevel="1" x14ac:dyDescent="0.2">
      <c r="A228" s="27"/>
      <c r="B228" s="20"/>
      <c r="C228" s="27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342"/>
      <c r="O228" s="342"/>
      <c r="P228" s="342"/>
      <c r="Q228" s="342"/>
      <c r="R228" s="342"/>
      <c r="S228" s="342"/>
      <c r="T228" s="342"/>
      <c r="U228" s="342"/>
      <c r="V228" s="342"/>
      <c r="W228" s="342"/>
      <c r="X228" s="342"/>
      <c r="Y228" s="342"/>
      <c r="Z228" s="342"/>
      <c r="AA228" s="342"/>
      <c r="AB228" s="342"/>
      <c r="AC228" s="342"/>
      <c r="AD228" s="342"/>
      <c r="AE228" s="342"/>
      <c r="AF228" s="342"/>
      <c r="AG228" s="342"/>
      <c r="AH228" s="342"/>
      <c r="AI228" s="342"/>
      <c r="AJ228" s="342"/>
      <c r="AK228" s="342"/>
      <c r="AL228" s="342"/>
      <c r="AM228" s="342"/>
      <c r="AN228" s="342"/>
      <c r="AO228" s="342"/>
      <c r="AP228" s="342"/>
      <c r="AQ228" s="342"/>
      <c r="AR228" s="342"/>
      <c r="AS228" s="342"/>
      <c r="AT228" s="342"/>
      <c r="AU228" s="342"/>
      <c r="AV228" s="342"/>
      <c r="AW228" s="342"/>
      <c r="AX228" s="342"/>
      <c r="AY228" s="342"/>
      <c r="AZ228" s="342"/>
      <c r="BA228" s="342"/>
      <c r="BB228" s="342"/>
      <c r="BC228" s="342"/>
      <c r="BD228" s="342"/>
      <c r="BE228" s="342"/>
      <c r="BF228" s="342"/>
      <c r="BG228" s="342"/>
      <c r="BH228" s="342"/>
      <c r="BI228" s="342"/>
      <c r="BJ228" s="342"/>
      <c r="BK228" s="342"/>
      <c r="BL228" s="342"/>
      <c r="BM228" s="342"/>
      <c r="BN228" s="342"/>
      <c r="BO228" s="342"/>
      <c r="BP228" s="342"/>
      <c r="BQ228" s="342"/>
      <c r="BR228" s="342"/>
      <c r="BS228" s="342"/>
      <c r="BT228" s="342"/>
      <c r="BU228" s="342"/>
      <c r="BV228" s="342"/>
      <c r="BW228" s="342"/>
      <c r="BX228" s="342"/>
      <c r="BY228" s="342"/>
      <c r="BZ228" s="342"/>
      <c r="CA228" s="342"/>
      <c r="CB228" s="342"/>
      <c r="CC228" s="342"/>
      <c r="CD228" s="342"/>
      <c r="CE228" s="342"/>
      <c r="CF228" s="342"/>
      <c r="CG228" s="342"/>
      <c r="CH228" s="342"/>
      <c r="CI228" s="342"/>
      <c r="CJ228" s="342"/>
      <c r="CK228" s="342"/>
      <c r="CL228" s="342"/>
      <c r="CM228" s="342"/>
      <c r="CN228" s="342"/>
      <c r="CO228" s="342"/>
      <c r="CP228" s="342"/>
      <c r="CQ228" s="342"/>
      <c r="CR228" s="342"/>
      <c r="CS228" s="342"/>
      <c r="CT228" s="475"/>
      <c r="CU228" s="342"/>
      <c r="CV228" s="342"/>
      <c r="CW228" s="342"/>
      <c r="CX228" s="342"/>
      <c r="CY228" s="342"/>
      <c r="CZ228" s="475"/>
      <c r="DA228" s="342"/>
      <c r="DB228" s="342"/>
      <c r="DC228" s="342"/>
      <c r="DD228" s="342"/>
      <c r="DE228" s="475"/>
      <c r="DF228" s="475"/>
      <c r="DG228" s="342"/>
      <c r="DH228" s="342"/>
      <c r="DI228" s="342"/>
      <c r="DJ228" s="342"/>
      <c r="DK228" s="475"/>
      <c r="DL228" s="475"/>
      <c r="DM228" s="342"/>
      <c r="DN228" s="342"/>
      <c r="DO228" s="342"/>
      <c r="DP228" s="342"/>
      <c r="DQ228" s="475"/>
      <c r="DR228" s="475"/>
      <c r="DS228" s="342"/>
      <c r="DT228" s="342"/>
      <c r="DU228" s="342"/>
      <c r="DV228" s="342"/>
      <c r="DW228" s="475"/>
      <c r="DX228" s="475"/>
      <c r="DY228" s="342"/>
      <c r="DZ228" s="342"/>
      <c r="EA228" s="342"/>
      <c r="EB228" s="342"/>
      <c r="EC228" s="475"/>
      <c r="ED228" s="475"/>
      <c r="EE228" s="342"/>
      <c r="EF228" s="342"/>
      <c r="EG228" s="342"/>
      <c r="EH228" s="342"/>
      <c r="EI228" s="475"/>
      <c r="EJ228" s="475"/>
      <c r="EK228" s="342"/>
      <c r="EL228" s="342"/>
      <c r="EM228" s="342"/>
      <c r="EN228" s="342"/>
      <c r="EO228" s="475"/>
      <c r="EP228" s="475"/>
      <c r="EQ228" s="342"/>
      <c r="ER228" s="342"/>
      <c r="ES228" s="342"/>
      <c r="ET228" s="342"/>
      <c r="EU228" s="475"/>
      <c r="EV228" s="475"/>
      <c r="EW228" s="342"/>
      <c r="EX228" s="342"/>
      <c r="EY228" s="342"/>
      <c r="EZ228" s="342"/>
      <c r="FA228" s="475"/>
      <c r="FB228" s="475"/>
      <c r="FC228" s="342"/>
      <c r="FD228" s="342"/>
      <c r="FE228" s="342"/>
      <c r="FF228" s="342"/>
      <c r="FG228" s="475"/>
      <c r="FH228" s="475"/>
      <c r="FI228" s="342"/>
      <c r="FJ228" s="342"/>
      <c r="FK228" s="342"/>
      <c r="FL228" s="342"/>
      <c r="FM228" s="475"/>
      <c r="FN228" s="27"/>
      <c r="FO228" s="27"/>
      <c r="FP228" s="27"/>
      <c r="FQ228" s="27"/>
      <c r="FR228"/>
      <c r="FS228"/>
      <c r="FT228"/>
      <c r="FU228"/>
      <c r="FV228"/>
      <c r="FW228"/>
      <c r="FX228" s="27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</row>
    <row r="229" spans="1:274" s="24" customFormat="1" ht="10.5" hidden="1" customHeight="1" outlineLevel="1" x14ac:dyDescent="0.2">
      <c r="A229" s="27" t="s">
        <v>820</v>
      </c>
      <c r="B229" s="20"/>
      <c r="C229" s="27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342"/>
      <c r="O229" s="342"/>
      <c r="P229" s="342"/>
      <c r="Q229" s="342"/>
      <c r="R229" s="342"/>
      <c r="S229" s="342"/>
      <c r="T229" s="342"/>
      <c r="U229" s="342"/>
      <c r="V229" s="342"/>
      <c r="W229" s="342"/>
      <c r="X229" s="342"/>
      <c r="Y229" s="342"/>
      <c r="Z229" s="342"/>
      <c r="AA229" s="342"/>
      <c r="AB229" s="342"/>
      <c r="AC229" s="342"/>
      <c r="AD229" s="342"/>
      <c r="AE229" s="342"/>
      <c r="AF229" s="342"/>
      <c r="AG229" s="342"/>
      <c r="AH229" s="342"/>
      <c r="AI229" s="342"/>
      <c r="AJ229" s="342"/>
      <c r="AK229" s="342"/>
      <c r="AL229" s="342"/>
      <c r="AM229" s="342"/>
      <c r="AN229" s="342"/>
      <c r="AO229" s="342"/>
      <c r="AP229" s="342"/>
      <c r="AQ229" s="342"/>
      <c r="AR229" s="342"/>
      <c r="AS229" s="342"/>
      <c r="AT229" s="342"/>
      <c r="AU229" s="342"/>
      <c r="AV229" s="342"/>
      <c r="AW229" s="342"/>
      <c r="AX229" s="342"/>
      <c r="AY229" s="342"/>
      <c r="AZ229" s="342"/>
      <c r="BA229" s="342"/>
      <c r="BB229" s="342"/>
      <c r="BC229" s="34">
        <f>Model!BC187</f>
        <v>2561.44335</v>
      </c>
      <c r="BD229" s="342"/>
      <c r="BE229" s="342"/>
      <c r="BF229" s="342"/>
      <c r="BG229" s="342"/>
      <c r="BH229" s="342"/>
      <c r="BI229" s="34">
        <f>Model!BI187</f>
        <v>2224.2050499999996</v>
      </c>
      <c r="BJ229" s="342"/>
      <c r="BK229" s="34">
        <f>Model!BK187</f>
        <v>343</v>
      </c>
      <c r="BL229" s="34">
        <f>Model!BL187</f>
        <v>535</v>
      </c>
      <c r="BM229" s="34">
        <f>Model!BM187</f>
        <v>571</v>
      </c>
      <c r="BN229" s="34">
        <f>Model!BN187</f>
        <v>858.40000000000009</v>
      </c>
      <c r="BO229" s="34">
        <f>Model!BO187</f>
        <v>2307.4</v>
      </c>
      <c r="BP229" s="342"/>
      <c r="BQ229" s="34">
        <f>Model!BQ187</f>
        <v>440</v>
      </c>
      <c r="BR229" s="34">
        <f>Model!BR187</f>
        <v>617</v>
      </c>
      <c r="BS229" s="34">
        <f>Model!BS187</f>
        <v>634</v>
      </c>
      <c r="BT229" s="34">
        <f>Model!BT187</f>
        <v>990</v>
      </c>
      <c r="BU229" s="34">
        <f>Model!BU187</f>
        <v>2681</v>
      </c>
      <c r="BV229" s="342"/>
      <c r="BW229" s="34">
        <f>Model!BW187</f>
        <v>528.65650406504062</v>
      </c>
      <c r="BX229" s="34">
        <f>Model!BX187</f>
        <v>831.45537261698428</v>
      </c>
      <c r="BY229" s="34">
        <f>Model!BY187</f>
        <v>825</v>
      </c>
      <c r="BZ229" s="34">
        <f>Model!BZ187</f>
        <v>1356</v>
      </c>
      <c r="CA229" s="34">
        <f>Model!CA187</f>
        <v>3541.111876682025</v>
      </c>
      <c r="CB229" s="342"/>
      <c r="CC229" s="34">
        <f>Model!CC187</f>
        <v>738</v>
      </c>
      <c r="CD229" s="34">
        <f>Model!CD187</f>
        <v>971.5</v>
      </c>
      <c r="CE229" s="34">
        <f>Model!CE187</f>
        <v>1000.1392151405512</v>
      </c>
      <c r="CF229" s="34">
        <f>Model!CF187</f>
        <v>1537.4500000000003</v>
      </c>
      <c r="CG229" s="34">
        <f>Model!CG187</f>
        <v>4247.0892151405515</v>
      </c>
      <c r="CH229" s="342"/>
      <c r="CI229" s="34">
        <f>Model!CI187</f>
        <v>931</v>
      </c>
      <c r="CJ229" s="34">
        <f>Model!CJ187</f>
        <v>1165.5</v>
      </c>
      <c r="CK229" s="34">
        <f>Model!CK187</f>
        <v>1301</v>
      </c>
      <c r="CL229" s="342"/>
      <c r="CM229" s="342"/>
      <c r="CN229" s="342"/>
      <c r="CO229" s="342"/>
      <c r="CP229" s="342"/>
      <c r="CQ229" s="342"/>
      <c r="CR229" s="342"/>
      <c r="CS229" s="342"/>
      <c r="CT229" s="475"/>
      <c r="CU229" s="342"/>
      <c r="CV229" s="342"/>
      <c r="CW229" s="342"/>
      <c r="CX229" s="342"/>
      <c r="CY229" s="342"/>
      <c r="CZ229" s="475"/>
      <c r="DA229" s="342"/>
      <c r="DB229" s="342"/>
      <c r="DC229" s="342"/>
      <c r="DD229" s="342"/>
      <c r="DE229" s="475"/>
      <c r="DF229" s="475"/>
      <c r="DG229" s="342"/>
      <c r="DH229" s="342"/>
      <c r="DI229" s="342"/>
      <c r="DJ229" s="342"/>
      <c r="DK229" s="475"/>
      <c r="DL229" s="475"/>
      <c r="DM229" s="342"/>
      <c r="DN229" s="342"/>
      <c r="DO229" s="342"/>
      <c r="DP229" s="342"/>
      <c r="DQ229" s="475"/>
      <c r="DR229" s="475"/>
      <c r="DS229" s="342"/>
      <c r="DT229" s="342"/>
      <c r="DU229" s="342"/>
      <c r="DV229" s="342"/>
      <c r="DW229" s="475"/>
      <c r="DX229" s="475"/>
      <c r="DY229" s="342"/>
      <c r="DZ229" s="342"/>
      <c r="EA229" s="342"/>
      <c r="EB229" s="342"/>
      <c r="EC229" s="475"/>
      <c r="ED229" s="475"/>
      <c r="EE229" s="342"/>
      <c r="EF229" s="342"/>
      <c r="EG229" s="342"/>
      <c r="EH229" s="342"/>
      <c r="EI229" s="475"/>
      <c r="EJ229" s="475"/>
      <c r="EK229" s="342"/>
      <c r="EL229" s="342"/>
      <c r="EM229" s="342"/>
      <c r="EN229" s="342"/>
      <c r="EO229" s="475"/>
      <c r="EP229" s="475"/>
      <c r="EQ229" s="342"/>
      <c r="ER229" s="342"/>
      <c r="ES229" s="342"/>
      <c r="ET229" s="342"/>
      <c r="EU229" s="475"/>
      <c r="EV229" s="475"/>
      <c r="EW229" s="342"/>
      <c r="EX229" s="342"/>
      <c r="EY229" s="342"/>
      <c r="EZ229" s="342"/>
      <c r="FA229" s="475"/>
      <c r="FB229" s="475"/>
      <c r="FC229" s="342"/>
      <c r="FD229" s="342"/>
      <c r="FE229" s="342"/>
      <c r="FF229" s="342"/>
      <c r="FG229" s="475"/>
      <c r="FH229" s="475"/>
      <c r="FI229" s="342"/>
      <c r="FJ229" s="342"/>
      <c r="FK229" s="342"/>
      <c r="FL229" s="342"/>
      <c r="FM229" s="475"/>
      <c r="FN229" s="27"/>
      <c r="FO229" s="27"/>
      <c r="FP229" s="27"/>
      <c r="FQ229" s="27"/>
      <c r="FR229"/>
      <c r="FS229"/>
      <c r="FT229"/>
      <c r="FU229"/>
      <c r="FV229"/>
      <c r="FW229"/>
      <c r="FX229" s="27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</row>
    <row r="230" spans="1:274" s="24" customFormat="1" ht="10.5" hidden="1" customHeight="1" outlineLevel="1" x14ac:dyDescent="0.2">
      <c r="A230" s="27" t="s">
        <v>1038</v>
      </c>
      <c r="B230" s="20"/>
      <c r="C230" s="27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342"/>
      <c r="O230" s="342"/>
      <c r="P230" s="342"/>
      <c r="Q230" s="342"/>
      <c r="R230" s="342"/>
      <c r="S230" s="342"/>
      <c r="T230" s="342"/>
      <c r="U230" s="342"/>
      <c r="V230" s="342"/>
      <c r="W230" s="342"/>
      <c r="X230" s="342"/>
      <c r="Y230" s="342"/>
      <c r="Z230" s="342"/>
      <c r="AA230" s="342"/>
      <c r="AB230" s="342"/>
      <c r="AC230" s="342"/>
      <c r="AD230" s="342"/>
      <c r="AE230" s="342"/>
      <c r="AF230" s="342"/>
      <c r="AG230" s="342"/>
      <c r="AH230" s="342"/>
      <c r="AI230" s="342"/>
      <c r="AJ230" s="342"/>
      <c r="AK230" s="342"/>
      <c r="AL230" s="342"/>
      <c r="AM230" s="342"/>
      <c r="AN230" s="342"/>
      <c r="AO230" s="342"/>
      <c r="AP230" s="342"/>
      <c r="AQ230" s="342"/>
      <c r="AR230" s="342"/>
      <c r="AS230" s="342"/>
      <c r="AT230" s="342"/>
      <c r="AU230" s="342"/>
      <c r="AV230" s="342"/>
      <c r="AW230" s="34"/>
      <c r="AX230" s="342"/>
      <c r="AY230" s="342"/>
      <c r="AZ230" s="342"/>
      <c r="BA230" s="342"/>
      <c r="BB230" s="342"/>
      <c r="BC230" s="34">
        <f>Model!BC218</f>
        <v>2561.096</v>
      </c>
      <c r="BD230" s="342"/>
      <c r="BE230" s="34"/>
      <c r="BF230" s="34"/>
      <c r="BG230" s="34"/>
      <c r="BH230" s="34"/>
      <c r="BI230" s="34">
        <f>Model!BI218</f>
        <v>2224.2049999999995</v>
      </c>
      <c r="BJ230" s="342"/>
      <c r="BK230" s="34">
        <f>Model!BK218</f>
        <v>343</v>
      </c>
      <c r="BL230" s="34">
        <f>Model!BL218</f>
        <v>535</v>
      </c>
      <c r="BM230" s="34">
        <f>Model!BM218</f>
        <v>571</v>
      </c>
      <c r="BN230" s="34">
        <f>Model!BN218</f>
        <v>858.40000000000009</v>
      </c>
      <c r="BO230" s="34">
        <f>Model!BO218</f>
        <v>2307.4</v>
      </c>
      <c r="BP230" s="342"/>
      <c r="BQ230" s="34">
        <f>Model!BQ218</f>
        <v>440</v>
      </c>
      <c r="BR230" s="34">
        <f>Model!BR218</f>
        <v>617</v>
      </c>
      <c r="BS230" s="34">
        <f>Model!BS218</f>
        <v>634</v>
      </c>
      <c r="BT230" s="34">
        <f>Model!BT218</f>
        <v>990</v>
      </c>
      <c r="BU230" s="34">
        <f>Model!BU218</f>
        <v>2681</v>
      </c>
      <c r="BV230" s="342"/>
      <c r="BW230" s="34">
        <f>Model!BW218</f>
        <v>509</v>
      </c>
      <c r="BX230" s="34">
        <f>Model!BX218</f>
        <v>815</v>
      </c>
      <c r="BY230" s="34">
        <f>Model!BY218</f>
        <v>538</v>
      </c>
      <c r="BZ230" s="34">
        <f>Model!BZ218</f>
        <v>1023.992</v>
      </c>
      <c r="CA230" s="34">
        <f>Model!CA218</f>
        <v>2885.9920000000002</v>
      </c>
      <c r="CB230" s="342"/>
      <c r="CC230" s="34">
        <f>Model!CC218</f>
        <v>519</v>
      </c>
      <c r="CD230" s="34">
        <f>Model!CD218</f>
        <v>797.5</v>
      </c>
      <c r="CE230" s="34">
        <f>Model!CE218</f>
        <v>764.90000000000009</v>
      </c>
      <c r="CF230" s="34">
        <f>Model!CF218</f>
        <v>1300.4500000000003</v>
      </c>
      <c r="CG230" s="34">
        <f>Model!CG218</f>
        <v>3381.8500000000004</v>
      </c>
      <c r="CH230" s="342"/>
      <c r="CI230" s="34">
        <f>Model!CI218</f>
        <v>672</v>
      </c>
      <c r="CJ230" s="34">
        <f>Model!CJ218</f>
        <v>969.5</v>
      </c>
      <c r="CK230" s="34">
        <f>Model!CK218</f>
        <v>1033</v>
      </c>
      <c r="CL230" s="342"/>
      <c r="CM230" s="342"/>
      <c r="CN230" s="342"/>
      <c r="CO230" s="342"/>
      <c r="CP230" s="342"/>
      <c r="CQ230" s="342"/>
      <c r="CR230" s="342"/>
      <c r="CS230" s="342"/>
      <c r="CT230" s="475"/>
      <c r="CU230" s="342"/>
      <c r="CV230" s="342"/>
      <c r="CW230" s="342"/>
      <c r="CX230" s="342"/>
      <c r="CY230" s="342"/>
      <c r="CZ230" s="475"/>
      <c r="DA230" s="342"/>
      <c r="DB230" s="342"/>
      <c r="DC230" s="342"/>
      <c r="DD230" s="342"/>
      <c r="DE230" s="475"/>
      <c r="DF230" s="475"/>
      <c r="DG230" s="342"/>
      <c r="DH230" s="342"/>
      <c r="DI230" s="342"/>
      <c r="DJ230" s="342"/>
      <c r="DK230" s="475"/>
      <c r="DL230" s="475"/>
      <c r="DM230" s="342"/>
      <c r="DN230" s="342"/>
      <c r="DO230" s="342"/>
      <c r="DP230" s="342"/>
      <c r="DQ230" s="475"/>
      <c r="DR230" s="475"/>
      <c r="DS230" s="342"/>
      <c r="DT230" s="342"/>
      <c r="DU230" s="342"/>
      <c r="DV230" s="342"/>
      <c r="DW230" s="475"/>
      <c r="DX230" s="475"/>
      <c r="DY230" s="342"/>
      <c r="DZ230" s="342"/>
      <c r="EA230" s="342"/>
      <c r="EB230" s="342"/>
      <c r="EC230" s="475"/>
      <c r="ED230" s="475"/>
      <c r="EE230" s="342"/>
      <c r="EF230" s="342"/>
      <c r="EG230" s="342"/>
      <c r="EH230" s="342"/>
      <c r="EI230" s="475"/>
      <c r="EJ230" s="475"/>
      <c r="EK230" s="342"/>
      <c r="EL230" s="342"/>
      <c r="EM230" s="342"/>
      <c r="EN230" s="342"/>
      <c r="EO230" s="475"/>
      <c r="EP230" s="475"/>
      <c r="EQ230" s="342"/>
      <c r="ER230" s="342"/>
      <c r="ES230" s="342"/>
      <c r="ET230" s="342"/>
      <c r="EU230" s="475"/>
      <c r="EV230" s="475"/>
      <c r="EW230" s="342"/>
      <c r="EX230" s="342"/>
      <c r="EY230" s="342"/>
      <c r="EZ230" s="342"/>
      <c r="FA230" s="475"/>
      <c r="FB230" s="475"/>
      <c r="FC230" s="342"/>
      <c r="FD230" s="342"/>
      <c r="FE230" s="342"/>
      <c r="FF230" s="342"/>
      <c r="FG230" s="475"/>
      <c r="FH230" s="475"/>
      <c r="FI230" s="342"/>
      <c r="FJ230" s="342"/>
      <c r="FK230" s="342"/>
      <c r="FL230" s="342"/>
      <c r="FM230" s="475"/>
      <c r="FN230" s="27"/>
      <c r="FO230" s="27"/>
      <c r="FP230" s="27"/>
      <c r="FQ230" s="27"/>
      <c r="FR230"/>
      <c r="FS230"/>
      <c r="FT230"/>
      <c r="FU230"/>
      <c r="FV230"/>
      <c r="FW230"/>
      <c r="FX230" s="27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</row>
    <row r="231" spans="1:274" s="24" customFormat="1" ht="10.5" hidden="1" customHeight="1" outlineLevel="1" x14ac:dyDescent="0.2">
      <c r="A231" s="27" t="s">
        <v>172</v>
      </c>
      <c r="B231" s="20"/>
      <c r="C231" s="27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342"/>
      <c r="O231" s="342"/>
      <c r="P231" s="342"/>
      <c r="Q231" s="342"/>
      <c r="R231" s="342"/>
      <c r="S231" s="342"/>
      <c r="T231" s="342"/>
      <c r="U231" s="342"/>
      <c r="V231" s="342"/>
      <c r="W231" s="342"/>
      <c r="X231" s="342"/>
      <c r="Y231" s="342"/>
      <c r="Z231" s="342"/>
      <c r="AA231" s="342"/>
      <c r="AB231" s="342"/>
      <c r="AC231" s="342"/>
      <c r="AD231" s="342"/>
      <c r="AE231" s="342"/>
      <c r="AF231" s="342"/>
      <c r="AG231" s="342"/>
      <c r="AH231" s="342"/>
      <c r="AI231" s="342"/>
      <c r="AJ231" s="342"/>
      <c r="AK231" s="342"/>
      <c r="AL231" s="342"/>
      <c r="AM231" s="342"/>
      <c r="AN231" s="342"/>
      <c r="AO231" s="342"/>
      <c r="AP231" s="342"/>
      <c r="AQ231" s="342"/>
      <c r="AR231" s="342"/>
      <c r="AS231" s="342"/>
      <c r="AT231" s="342"/>
      <c r="AU231" s="342"/>
      <c r="AV231" s="342"/>
      <c r="AW231" s="34"/>
      <c r="AX231" s="342"/>
      <c r="AY231" s="342"/>
      <c r="AZ231" s="342"/>
      <c r="BA231" s="342"/>
      <c r="BB231" s="342"/>
      <c r="BC231" s="34">
        <f>Model!BC234</f>
        <v>1979.096</v>
      </c>
      <c r="BD231" s="342"/>
      <c r="BE231" s="34"/>
      <c r="BF231" s="34"/>
      <c r="BG231" s="34"/>
      <c r="BH231" s="34"/>
      <c r="BI231" s="34">
        <f>Model!BI234</f>
        <v>1764.2049999999995</v>
      </c>
      <c r="BJ231" s="342"/>
      <c r="BK231" s="34">
        <f>Model!BK234</f>
        <v>259</v>
      </c>
      <c r="BL231" s="34">
        <f>Model!BL234</f>
        <v>441</v>
      </c>
      <c r="BM231" s="34">
        <f>Model!BM234</f>
        <v>488</v>
      </c>
      <c r="BN231" s="34">
        <f>Model!BN234</f>
        <v>789.40000000000009</v>
      </c>
      <c r="BO231" s="34">
        <f>Model!BO234</f>
        <v>1977.4</v>
      </c>
      <c r="BP231" s="342"/>
      <c r="BQ231" s="34">
        <f>Model!BQ234</f>
        <v>414</v>
      </c>
      <c r="BR231" s="34">
        <f>Model!BR234</f>
        <v>560</v>
      </c>
      <c r="BS231" s="34">
        <f>Model!BS234</f>
        <v>576</v>
      </c>
      <c r="BT231" s="34">
        <f>Model!BT234</f>
        <v>975</v>
      </c>
      <c r="BU231" s="34">
        <f>Model!BU234</f>
        <v>2478</v>
      </c>
      <c r="BV231" s="342"/>
      <c r="BW231" s="34">
        <f>Model!BW234</f>
        <v>472</v>
      </c>
      <c r="BX231" s="34">
        <f>Model!BX234</f>
        <v>774</v>
      </c>
      <c r="BY231" s="34">
        <f>Model!BY234</f>
        <v>526</v>
      </c>
      <c r="BZ231" s="34">
        <f>Model!BZ234</f>
        <v>978.99199999999996</v>
      </c>
      <c r="CA231" s="34">
        <f>Model!CA234</f>
        <v>2750.9920000000002</v>
      </c>
      <c r="CB231" s="342"/>
      <c r="CC231" s="34">
        <f>Model!CC234</f>
        <v>493</v>
      </c>
      <c r="CD231" s="34">
        <f>Model!CD234</f>
        <v>763.5</v>
      </c>
      <c r="CE231" s="34">
        <f>Model!CE234</f>
        <v>733.90000000000009</v>
      </c>
      <c r="CF231" s="34">
        <f>Model!CF234</f>
        <v>1272.4500000000003</v>
      </c>
      <c r="CG231" s="34">
        <f>Model!CG234</f>
        <v>3262.8500000000004</v>
      </c>
      <c r="CH231" s="342"/>
      <c r="CI231" s="342"/>
      <c r="CJ231" s="342"/>
      <c r="CK231" s="342"/>
      <c r="CL231" s="342"/>
      <c r="CM231" s="342"/>
      <c r="CN231" s="342"/>
      <c r="CO231" s="342"/>
      <c r="CP231" s="342"/>
      <c r="CQ231" s="342"/>
      <c r="CR231" s="342"/>
      <c r="CS231" s="342"/>
      <c r="CT231" s="475"/>
      <c r="CU231" s="342"/>
      <c r="CV231" s="342"/>
      <c r="CW231" s="342"/>
      <c r="CX231" s="342"/>
      <c r="CY231" s="342"/>
      <c r="CZ231" s="475"/>
      <c r="DA231" s="342"/>
      <c r="DB231" s="342"/>
      <c r="DC231" s="342"/>
      <c r="DD231" s="342"/>
      <c r="DE231" s="475"/>
      <c r="DF231" s="475"/>
      <c r="DG231" s="342"/>
      <c r="DH231" s="342"/>
      <c r="DI231" s="342"/>
      <c r="DJ231" s="342"/>
      <c r="DK231" s="475"/>
      <c r="DL231" s="475"/>
      <c r="DM231" s="342"/>
      <c r="DN231" s="342"/>
      <c r="DO231" s="342"/>
      <c r="DP231" s="342"/>
      <c r="DQ231" s="475"/>
      <c r="DR231" s="475"/>
      <c r="DS231" s="342"/>
      <c r="DT231" s="342"/>
      <c r="DU231" s="342"/>
      <c r="DV231" s="342"/>
      <c r="DW231" s="475"/>
      <c r="DX231" s="475"/>
      <c r="DY231" s="342"/>
      <c r="DZ231" s="342"/>
      <c r="EA231" s="342"/>
      <c r="EB231" s="342"/>
      <c r="EC231" s="475"/>
      <c r="ED231" s="475"/>
      <c r="EE231" s="342"/>
      <c r="EF231" s="342"/>
      <c r="EG231" s="342"/>
      <c r="EH231" s="342"/>
      <c r="EI231" s="475"/>
      <c r="EJ231" s="475"/>
      <c r="EK231" s="342"/>
      <c r="EL231" s="342"/>
      <c r="EM231" s="342"/>
      <c r="EN231" s="342"/>
      <c r="EO231" s="475"/>
      <c r="EP231" s="475"/>
      <c r="EQ231" s="342"/>
      <c r="ER231" s="342"/>
      <c r="ES231" s="342"/>
      <c r="ET231" s="342"/>
      <c r="EU231" s="475"/>
      <c r="EV231" s="475"/>
      <c r="EW231" s="342"/>
      <c r="EX231" s="342"/>
      <c r="EY231" s="342"/>
      <c r="EZ231" s="342"/>
      <c r="FA231" s="475"/>
      <c r="FB231" s="475"/>
      <c r="FC231" s="342"/>
      <c r="FD231" s="342"/>
      <c r="FE231" s="342"/>
      <c r="FF231" s="342"/>
      <c r="FG231" s="475"/>
      <c r="FH231" s="475"/>
      <c r="FI231" s="342"/>
      <c r="FJ231" s="342"/>
      <c r="FK231" s="342"/>
      <c r="FL231" s="342"/>
      <c r="FM231" s="475"/>
      <c r="FN231" s="27"/>
      <c r="FO231" s="27"/>
      <c r="FP231" s="27"/>
      <c r="FQ231" s="27"/>
      <c r="FR231"/>
      <c r="FS231"/>
      <c r="FT231"/>
      <c r="FU231"/>
      <c r="FV231"/>
      <c r="FW231"/>
      <c r="FX231" s="27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</row>
    <row r="232" spans="1:274" s="24" customFormat="1" ht="10.5" hidden="1" customHeight="1" outlineLevel="1" x14ac:dyDescent="0.2">
      <c r="A232" s="27" t="s">
        <v>358</v>
      </c>
      <c r="B232" s="20"/>
      <c r="C232" s="27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342"/>
      <c r="O232" s="342"/>
      <c r="P232" s="342"/>
      <c r="Q232" s="342"/>
      <c r="R232" s="342"/>
      <c r="S232" s="342"/>
      <c r="T232" s="342"/>
      <c r="U232" s="342"/>
      <c r="V232" s="342"/>
      <c r="W232" s="342"/>
      <c r="X232" s="342"/>
      <c r="Y232" s="342"/>
      <c r="Z232" s="342"/>
      <c r="AA232" s="342"/>
      <c r="AB232" s="342"/>
      <c r="AC232" s="342"/>
      <c r="AD232" s="342"/>
      <c r="AE232" s="342"/>
      <c r="AF232" s="342"/>
      <c r="AG232" s="342"/>
      <c r="AH232" s="342"/>
      <c r="AI232" s="342"/>
      <c r="AJ232" s="342"/>
      <c r="AK232" s="342"/>
      <c r="AL232" s="342"/>
      <c r="AM232" s="342"/>
      <c r="AN232" s="342"/>
      <c r="AO232" s="342"/>
      <c r="AP232" s="342"/>
      <c r="AQ232" s="342"/>
      <c r="AR232" s="342"/>
      <c r="AS232" s="342"/>
      <c r="AT232" s="342"/>
      <c r="AU232" s="342"/>
      <c r="AV232" s="342"/>
      <c r="AW232" s="34"/>
      <c r="AX232" s="342"/>
      <c r="AY232" s="342"/>
      <c r="AZ232" s="342"/>
      <c r="BA232" s="342"/>
      <c r="BB232" s="342"/>
      <c r="BC232" s="34">
        <f>BC230-BC231</f>
        <v>582</v>
      </c>
      <c r="BD232" s="342"/>
      <c r="BE232" s="34"/>
      <c r="BF232" s="34"/>
      <c r="BG232" s="34"/>
      <c r="BH232" s="34"/>
      <c r="BI232" s="34">
        <f>BI230-BI231</f>
        <v>460</v>
      </c>
      <c r="BJ232" s="342"/>
      <c r="BK232" s="34">
        <f>BK230-BK231</f>
        <v>84</v>
      </c>
      <c r="BL232" s="34">
        <f>BL230-BL231</f>
        <v>94</v>
      </c>
      <c r="BM232" s="34">
        <f>BM230-BM231</f>
        <v>83</v>
      </c>
      <c r="BN232" s="34">
        <f>BN230-BN231</f>
        <v>69</v>
      </c>
      <c r="BO232" s="34">
        <f>BO230-BO231</f>
        <v>330</v>
      </c>
      <c r="BP232" s="342"/>
      <c r="BQ232" s="34">
        <f>BQ230-BQ231</f>
        <v>26</v>
      </c>
      <c r="BR232" s="34">
        <f>BR230-BR231</f>
        <v>57</v>
      </c>
      <c r="BS232" s="34">
        <f>BS230-BS231</f>
        <v>58</v>
      </c>
      <c r="BT232" s="34">
        <f>BT230-BT231</f>
        <v>15</v>
      </c>
      <c r="BU232" s="34">
        <f>BU230-BU231</f>
        <v>203</v>
      </c>
      <c r="BV232" s="342"/>
      <c r="BW232" s="34">
        <f>BW230-BW231</f>
        <v>37</v>
      </c>
      <c r="BX232" s="34">
        <f>BX230-BX231</f>
        <v>41</v>
      </c>
      <c r="BY232" s="34">
        <f>-Model!BY233</f>
        <v>42</v>
      </c>
      <c r="BZ232" s="34">
        <f>BZ230-BZ231</f>
        <v>45</v>
      </c>
      <c r="CA232" s="34">
        <f>CA230-CA231</f>
        <v>135</v>
      </c>
      <c r="CB232" s="342"/>
      <c r="CC232" s="34">
        <f>CC230-CC231</f>
        <v>26</v>
      </c>
      <c r="CD232" s="34">
        <f>CD230-CD231</f>
        <v>34</v>
      </c>
      <c r="CE232" s="34">
        <f>CE230-CE231</f>
        <v>31</v>
      </c>
      <c r="CF232" s="34">
        <f>CF230-CF231</f>
        <v>28</v>
      </c>
      <c r="CG232" s="34">
        <f>CG230-CG231</f>
        <v>119</v>
      </c>
      <c r="CH232" s="342"/>
      <c r="CI232" s="342"/>
      <c r="CJ232" s="342"/>
      <c r="CK232" s="342"/>
      <c r="CL232" s="342"/>
      <c r="CM232" s="342"/>
      <c r="CN232" s="342"/>
      <c r="CO232" s="342"/>
      <c r="CP232" s="342"/>
      <c r="CQ232" s="342"/>
      <c r="CR232" s="342"/>
      <c r="CS232" s="342"/>
      <c r="CT232" s="475"/>
      <c r="CU232" s="342"/>
      <c r="CV232" s="342"/>
      <c r="CW232" s="342"/>
      <c r="CX232" s="342"/>
      <c r="CY232" s="342"/>
      <c r="CZ232" s="475"/>
      <c r="DA232" s="342"/>
      <c r="DB232" s="342"/>
      <c r="DC232" s="342"/>
      <c r="DD232" s="342"/>
      <c r="DE232" s="475"/>
      <c r="DF232" s="475"/>
      <c r="DG232" s="342"/>
      <c r="DH232" s="342"/>
      <c r="DI232" s="342"/>
      <c r="DJ232" s="342"/>
      <c r="DK232" s="475"/>
      <c r="DL232" s="475"/>
      <c r="DM232" s="342"/>
      <c r="DN232" s="342"/>
      <c r="DO232" s="342"/>
      <c r="DP232" s="342"/>
      <c r="DQ232" s="475"/>
      <c r="DR232" s="475"/>
      <c r="DS232" s="342"/>
      <c r="DT232" s="342"/>
      <c r="DU232" s="342"/>
      <c r="DV232" s="342"/>
      <c r="DW232" s="475"/>
      <c r="DX232" s="475"/>
      <c r="DY232" s="342"/>
      <c r="DZ232" s="342"/>
      <c r="EA232" s="342"/>
      <c r="EB232" s="342"/>
      <c r="EC232" s="475"/>
      <c r="ED232" s="475"/>
      <c r="EE232" s="342"/>
      <c r="EF232" s="342"/>
      <c r="EG232" s="342"/>
      <c r="EH232" s="342"/>
      <c r="EI232" s="475"/>
      <c r="EJ232" s="475"/>
      <c r="EK232" s="342"/>
      <c r="EL232" s="342"/>
      <c r="EM232" s="342"/>
      <c r="EN232" s="342"/>
      <c r="EO232" s="475"/>
      <c r="EP232" s="475"/>
      <c r="EQ232" s="342"/>
      <c r="ER232" s="342"/>
      <c r="ES232" s="342"/>
      <c r="ET232" s="342"/>
      <c r="EU232" s="475"/>
      <c r="EV232" s="475"/>
      <c r="EW232" s="342"/>
      <c r="EX232" s="342"/>
      <c r="EY232" s="342"/>
      <c r="EZ232" s="342"/>
      <c r="FA232" s="475"/>
      <c r="FB232" s="475"/>
      <c r="FC232" s="342"/>
      <c r="FD232" s="342"/>
      <c r="FE232" s="342"/>
      <c r="FF232" s="342"/>
      <c r="FG232" s="475"/>
      <c r="FH232" s="475"/>
      <c r="FI232" s="342"/>
      <c r="FJ232" s="342"/>
      <c r="FK232" s="342"/>
      <c r="FL232" s="342"/>
      <c r="FM232" s="475"/>
      <c r="FN232" s="27"/>
      <c r="FO232" s="27"/>
      <c r="FP232" s="27"/>
      <c r="FQ232" s="27"/>
      <c r="FR232"/>
      <c r="FS232"/>
      <c r="FT232"/>
      <c r="FU232"/>
      <c r="FV232"/>
      <c r="FW232"/>
      <c r="FX232" s="27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</row>
    <row r="233" spans="1:274" s="24" customFormat="1" ht="10.5" hidden="1" customHeight="1" outlineLevel="1" x14ac:dyDescent="0.2">
      <c r="A233" s="27" t="s">
        <v>359</v>
      </c>
      <c r="B233" s="20"/>
      <c r="C233" s="27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342"/>
      <c r="O233" s="342"/>
      <c r="P233" s="342"/>
      <c r="Q233" s="342"/>
      <c r="R233" s="342"/>
      <c r="S233" s="342"/>
      <c r="T233" s="342"/>
      <c r="U233" s="342"/>
      <c r="V233" s="342"/>
      <c r="W233" s="342"/>
      <c r="X233" s="342"/>
      <c r="Y233" s="342"/>
      <c r="Z233" s="342"/>
      <c r="AA233" s="342"/>
      <c r="AB233" s="342"/>
      <c r="AC233" s="342"/>
      <c r="AD233" s="342"/>
      <c r="AE233" s="342"/>
      <c r="AF233" s="342"/>
      <c r="AG233" s="342"/>
      <c r="AH233" s="342"/>
      <c r="AI233" s="342"/>
      <c r="AJ233" s="342"/>
      <c r="AK233" s="342"/>
      <c r="AL233" s="342"/>
      <c r="AM233" s="342"/>
      <c r="AN233" s="342"/>
      <c r="AO233" s="342"/>
      <c r="AP233" s="342"/>
      <c r="AQ233" s="342"/>
      <c r="AR233" s="342"/>
      <c r="AS233" s="342"/>
      <c r="AT233" s="342"/>
      <c r="AU233" s="342"/>
      <c r="AV233" s="342"/>
      <c r="AW233" s="34"/>
      <c r="AX233" s="342"/>
      <c r="AY233" s="342"/>
      <c r="AZ233" s="342"/>
      <c r="BA233" s="342"/>
      <c r="BB233" s="342"/>
      <c r="BC233" s="34">
        <f>BC229-BC232</f>
        <v>1979.44335</v>
      </c>
      <c r="BD233" s="342"/>
      <c r="BE233" s="34"/>
      <c r="BF233" s="34"/>
      <c r="BG233" s="34"/>
      <c r="BH233" s="34"/>
      <c r="BI233" s="34">
        <f>BI229-BI232</f>
        <v>1764.2050499999996</v>
      </c>
      <c r="BJ233" s="342"/>
      <c r="BK233" s="34">
        <f>BK229-BK232</f>
        <v>259</v>
      </c>
      <c r="BL233" s="34">
        <f>BL229-BL232</f>
        <v>441</v>
      </c>
      <c r="BM233" s="34">
        <f>BM229-BM232</f>
        <v>488</v>
      </c>
      <c r="BN233" s="34">
        <f>BN229-BN232</f>
        <v>789.40000000000009</v>
      </c>
      <c r="BO233" s="34">
        <f>BO229-BO232</f>
        <v>1977.4</v>
      </c>
      <c r="BP233" s="342"/>
      <c r="BQ233" s="34">
        <f>BQ229-BQ232</f>
        <v>414</v>
      </c>
      <c r="BR233" s="34">
        <f>BR229-BR232</f>
        <v>560</v>
      </c>
      <c r="BS233" s="34">
        <f>BS229-BS232</f>
        <v>576</v>
      </c>
      <c r="BT233" s="34">
        <f>BT229-BT232</f>
        <v>975</v>
      </c>
      <c r="BU233" s="34">
        <f>BU229-BU232</f>
        <v>2478</v>
      </c>
      <c r="BV233" s="342"/>
      <c r="BW233" s="34">
        <f>BW229-BW232</f>
        <v>491.65650406504062</v>
      </c>
      <c r="BX233" s="34">
        <f>BX229-BX232</f>
        <v>790.45537261698428</v>
      </c>
      <c r="BY233" s="34">
        <f>BY229-BY232</f>
        <v>783</v>
      </c>
      <c r="BZ233" s="34">
        <f>BZ229-BZ232</f>
        <v>1311</v>
      </c>
      <c r="CA233" s="34">
        <f>CA229-CA232</f>
        <v>3406.111876682025</v>
      </c>
      <c r="CB233" s="342"/>
      <c r="CC233" s="34">
        <f>CC229-CC232</f>
        <v>712</v>
      </c>
      <c r="CD233" s="34">
        <f>CD229-CD232</f>
        <v>937.5</v>
      </c>
      <c r="CE233" s="34">
        <f>CE229-CE232</f>
        <v>969.13921514055119</v>
      </c>
      <c r="CF233" s="34">
        <f>CF229-CF232</f>
        <v>1509.4500000000003</v>
      </c>
      <c r="CG233" s="34">
        <f>CG229-CG232</f>
        <v>4128.0892151405515</v>
      </c>
      <c r="CH233" s="342"/>
      <c r="CI233" s="342"/>
      <c r="CJ233" s="342"/>
      <c r="CK233" s="342"/>
      <c r="CL233" s="342"/>
      <c r="CM233" s="342"/>
      <c r="CN233" s="342"/>
      <c r="CO233" s="342"/>
      <c r="CP233" s="342"/>
      <c r="CQ233" s="342"/>
      <c r="CR233" s="342"/>
      <c r="CS233" s="342"/>
      <c r="CT233" s="475"/>
      <c r="CU233" s="342"/>
      <c r="CV233" s="342"/>
      <c r="CW233" s="342"/>
      <c r="CX233" s="342"/>
      <c r="CY233" s="342"/>
      <c r="CZ233" s="475"/>
      <c r="DA233" s="342"/>
      <c r="DB233" s="342"/>
      <c r="DC233" s="342"/>
      <c r="DD233" s="342"/>
      <c r="DE233" s="475"/>
      <c r="DF233" s="475"/>
      <c r="DG233" s="342"/>
      <c r="DH233" s="342"/>
      <c r="DI233" s="342"/>
      <c r="DJ233" s="342"/>
      <c r="DK233" s="475"/>
      <c r="DL233" s="475"/>
      <c r="DM233" s="342"/>
      <c r="DN233" s="342"/>
      <c r="DO233" s="342"/>
      <c r="DP233" s="342"/>
      <c r="DQ233" s="475"/>
      <c r="DR233" s="475"/>
      <c r="DS233" s="342"/>
      <c r="DT233" s="342"/>
      <c r="DU233" s="342"/>
      <c r="DV233" s="342"/>
      <c r="DW233" s="475"/>
      <c r="DX233" s="475"/>
      <c r="DY233" s="342"/>
      <c r="DZ233" s="342"/>
      <c r="EA233" s="342"/>
      <c r="EB233" s="342"/>
      <c r="EC233" s="475"/>
      <c r="ED233" s="475"/>
      <c r="EE233" s="342"/>
      <c r="EF233" s="342"/>
      <c r="EG233" s="342"/>
      <c r="EH233" s="342"/>
      <c r="EI233" s="475"/>
      <c r="EJ233" s="475"/>
      <c r="EK233" s="342"/>
      <c r="EL233" s="342"/>
      <c r="EM233" s="342"/>
      <c r="EN233" s="342"/>
      <c r="EO233" s="475"/>
      <c r="EP233" s="475"/>
      <c r="EQ233" s="342"/>
      <c r="ER233" s="342"/>
      <c r="ES233" s="342"/>
      <c r="ET233" s="342"/>
      <c r="EU233" s="475"/>
      <c r="EV233" s="475"/>
      <c r="EW233" s="342"/>
      <c r="EX233" s="342"/>
      <c r="EY233" s="342"/>
      <c r="EZ233" s="342"/>
      <c r="FA233" s="475"/>
      <c r="FB233" s="475"/>
      <c r="FC233" s="342"/>
      <c r="FD233" s="342"/>
      <c r="FE233" s="342"/>
      <c r="FF233" s="342"/>
      <c r="FG233" s="475"/>
      <c r="FH233" s="475"/>
      <c r="FI233" s="342"/>
      <c r="FJ233" s="342"/>
      <c r="FK233" s="342"/>
      <c r="FL233" s="342"/>
      <c r="FM233" s="475"/>
      <c r="FN233" s="27"/>
      <c r="FO233" s="27"/>
      <c r="FP233" s="27"/>
      <c r="FQ233" s="27"/>
      <c r="FR233"/>
      <c r="FS233"/>
      <c r="FT233"/>
      <c r="FU233"/>
      <c r="FV233"/>
      <c r="FW233"/>
      <c r="FX233" s="27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</row>
    <row r="234" spans="1:274" s="24" customFormat="1" ht="10.5" hidden="1" customHeight="1" outlineLevel="1" x14ac:dyDescent="0.2">
      <c r="A234" s="32" t="s">
        <v>836</v>
      </c>
      <c r="B234" s="21"/>
      <c r="C234" s="32"/>
      <c r="D234" s="32"/>
      <c r="E234" s="32"/>
      <c r="F234" s="32"/>
      <c r="G234" s="32"/>
      <c r="H234" s="32"/>
      <c r="I234" s="32"/>
      <c r="J234" s="32"/>
      <c r="K234" s="32"/>
      <c r="L234" s="32"/>
      <c r="M234" s="32"/>
      <c r="N234" s="19"/>
      <c r="O234" s="19"/>
      <c r="P234" s="19"/>
      <c r="Q234" s="19"/>
      <c r="R234" s="19"/>
      <c r="S234" s="19"/>
      <c r="T234" s="19"/>
      <c r="U234" s="19"/>
      <c r="V234" s="19"/>
      <c r="W234" s="19"/>
      <c r="X234" s="19"/>
      <c r="Y234" s="19"/>
      <c r="Z234" s="19"/>
      <c r="AA234" s="19"/>
      <c r="AB234" s="19"/>
      <c r="AC234" s="19"/>
      <c r="AD234" s="19"/>
      <c r="AE234" s="19"/>
      <c r="AF234" s="19"/>
      <c r="AG234" s="19"/>
      <c r="AH234" s="19"/>
      <c r="AI234" s="19"/>
      <c r="AJ234" s="19"/>
      <c r="AK234" s="19"/>
      <c r="AL234" s="19"/>
      <c r="AM234" s="19"/>
      <c r="AN234" s="19"/>
      <c r="AO234" s="19"/>
      <c r="AP234" s="19"/>
      <c r="AQ234" s="19"/>
      <c r="AR234" s="19"/>
      <c r="AS234" s="19"/>
      <c r="AT234" s="19"/>
      <c r="AU234" s="19"/>
      <c r="AV234" s="19"/>
      <c r="AW234" s="22"/>
      <c r="AX234" s="19"/>
      <c r="AY234" s="19"/>
      <c r="AZ234" s="19"/>
      <c r="BA234" s="19"/>
      <c r="BB234" s="19"/>
      <c r="BC234" s="22">
        <f>BC232/BC229</f>
        <v>0.22721564386735316</v>
      </c>
      <c r="BD234" s="19"/>
      <c r="BE234" s="22"/>
      <c r="BF234" s="22"/>
      <c r="BG234" s="22"/>
      <c r="BH234" s="22"/>
      <c r="BI234" s="22">
        <f>BI232/BI229</f>
        <v>0.20681546424867622</v>
      </c>
      <c r="BJ234" s="19"/>
      <c r="BK234" s="22">
        <f>BK232/BK229</f>
        <v>0.24489795918367346</v>
      </c>
      <c r="BL234" s="22">
        <f>BL232/BL229</f>
        <v>0.17570093457943925</v>
      </c>
      <c r="BM234" s="22">
        <f>BM232/BM229</f>
        <v>0.14535901926444833</v>
      </c>
      <c r="BN234" s="22">
        <f>BN232/BN229</f>
        <v>8.0382106244175203E-2</v>
      </c>
      <c r="BO234" s="22">
        <f>BO232/BO229</f>
        <v>0.14301811562797953</v>
      </c>
      <c r="BP234" s="19"/>
      <c r="BQ234" s="22">
        <f>BQ232/BQ229</f>
        <v>5.909090909090909E-2</v>
      </c>
      <c r="BR234" s="22">
        <f>BR232/BR229</f>
        <v>9.2382495948136148E-2</v>
      </c>
      <c r="BS234" s="22">
        <f>BS232/BS229</f>
        <v>9.1482649842271294E-2</v>
      </c>
      <c r="BT234" s="22">
        <f>BT232/BT229</f>
        <v>1.5151515151515152E-2</v>
      </c>
      <c r="BU234" s="22">
        <f>BU232/BU229</f>
        <v>7.5718015665796348E-2</v>
      </c>
      <c r="BV234" s="19"/>
      <c r="BW234" s="22">
        <f>BW232/BW229</f>
        <v>6.998873505857385E-2</v>
      </c>
      <c r="BX234" s="22">
        <f>BX232/BX229</f>
        <v>4.9311125227266932E-2</v>
      </c>
      <c r="BY234" s="22">
        <f>BY232/BY229</f>
        <v>5.0909090909090911E-2</v>
      </c>
      <c r="BZ234" s="22">
        <f>BZ232/BZ229</f>
        <v>3.3185840707964605E-2</v>
      </c>
      <c r="CA234" s="22">
        <f>CA232/CA229</f>
        <v>3.8123618993504721E-2</v>
      </c>
      <c r="CB234" s="19"/>
      <c r="CC234" s="22">
        <f>CC232/CC229</f>
        <v>3.5230352303523033E-2</v>
      </c>
      <c r="CD234" s="22">
        <f>CD232/CD229</f>
        <v>3.4997426659804425E-2</v>
      </c>
      <c r="CE234" s="22">
        <f>CE232/CE229</f>
        <v>3.0995684931365799E-2</v>
      </c>
      <c r="CF234" s="22">
        <f>CF232/CF229</f>
        <v>1.8211974373150343E-2</v>
      </c>
      <c r="CG234" s="22">
        <f>CG232/CG229</f>
        <v>2.8019190078648223E-2</v>
      </c>
      <c r="CH234" s="19"/>
      <c r="CI234" s="19"/>
      <c r="CJ234" s="19"/>
      <c r="CK234" s="19"/>
      <c r="CL234" s="19"/>
      <c r="CM234" s="19"/>
      <c r="CN234" s="19"/>
      <c r="CO234" s="19"/>
      <c r="CP234" s="19"/>
      <c r="CQ234" s="19"/>
      <c r="CR234" s="19"/>
      <c r="CS234" s="19"/>
      <c r="CT234" s="104"/>
      <c r="CU234" s="19"/>
      <c r="CV234" s="19"/>
      <c r="CW234" s="19"/>
      <c r="CX234" s="19"/>
      <c r="CY234" s="19"/>
      <c r="CZ234" s="104"/>
      <c r="DA234" s="19"/>
      <c r="DB234" s="19"/>
      <c r="DC234" s="19"/>
      <c r="DD234" s="19"/>
      <c r="DE234" s="104"/>
      <c r="DF234" s="104"/>
      <c r="DG234" s="19"/>
      <c r="DH234" s="19"/>
      <c r="DI234" s="19"/>
      <c r="DJ234" s="19"/>
      <c r="DK234" s="104"/>
      <c r="DL234" s="104"/>
      <c r="DM234" s="19"/>
      <c r="DN234" s="19"/>
      <c r="DO234" s="19"/>
      <c r="DP234" s="19"/>
      <c r="DQ234" s="104"/>
      <c r="DR234" s="104"/>
      <c r="DS234" s="19"/>
      <c r="DT234" s="19"/>
      <c r="DU234" s="19"/>
      <c r="DV234" s="19"/>
      <c r="DW234" s="104"/>
      <c r="DX234" s="104"/>
      <c r="DY234" s="19"/>
      <c r="DZ234" s="19"/>
      <c r="EA234" s="19"/>
      <c r="EB234" s="19"/>
      <c r="EC234" s="104"/>
      <c r="ED234" s="104"/>
      <c r="EE234" s="19"/>
      <c r="EF234" s="19"/>
      <c r="EG234" s="19"/>
      <c r="EH234" s="19"/>
      <c r="EI234" s="104"/>
      <c r="EJ234" s="104"/>
      <c r="EK234" s="19"/>
      <c r="EL234" s="19"/>
      <c r="EM234" s="19"/>
      <c r="EN234" s="19"/>
      <c r="EO234" s="104"/>
      <c r="EP234" s="104"/>
      <c r="EQ234" s="19"/>
      <c r="ER234" s="19"/>
      <c r="ES234" s="19"/>
      <c r="ET234" s="19"/>
      <c r="EU234" s="104"/>
      <c r="EV234" s="104"/>
      <c r="EW234" s="19"/>
      <c r="EX234" s="19"/>
      <c r="EY234" s="19"/>
      <c r="EZ234" s="19"/>
      <c r="FA234" s="104"/>
      <c r="FB234" s="104"/>
      <c r="FC234" s="19"/>
      <c r="FD234" s="19"/>
      <c r="FE234" s="19"/>
      <c r="FF234" s="19"/>
      <c r="FG234" s="104"/>
      <c r="FH234" s="104"/>
      <c r="FI234" s="19"/>
      <c r="FJ234" s="19"/>
      <c r="FK234" s="19"/>
      <c r="FL234" s="19"/>
      <c r="FM234" s="104"/>
      <c r="FN234" s="32"/>
      <c r="FO234" s="32"/>
      <c r="FP234" s="32"/>
      <c r="FQ234" s="32"/>
      <c r="FR234"/>
      <c r="FS234"/>
      <c r="FT234"/>
      <c r="FU234"/>
      <c r="FV234"/>
      <c r="FW234"/>
      <c r="FX234" s="32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</row>
    <row r="235" spans="1:274" s="24" customFormat="1" ht="10.5" hidden="1" customHeight="1" outlineLevel="1" x14ac:dyDescent="0.2">
      <c r="A235" s="32"/>
      <c r="B235" s="21"/>
      <c r="C235" s="32"/>
      <c r="D235" s="32"/>
      <c r="E235" s="32"/>
      <c r="F235" s="32"/>
      <c r="G235" s="32"/>
      <c r="H235" s="32"/>
      <c r="I235" s="32"/>
      <c r="J235" s="32"/>
      <c r="K235" s="32"/>
      <c r="L235" s="32"/>
      <c r="M235" s="32"/>
      <c r="N235" s="19"/>
      <c r="O235" s="19"/>
      <c r="P235" s="19"/>
      <c r="Q235" s="19"/>
      <c r="R235" s="19"/>
      <c r="S235" s="19"/>
      <c r="T235" s="19"/>
      <c r="U235" s="19"/>
      <c r="V235" s="19"/>
      <c r="W235" s="19"/>
      <c r="X235" s="19"/>
      <c r="Y235" s="19"/>
      <c r="Z235" s="19"/>
      <c r="AA235" s="19"/>
      <c r="AB235" s="19"/>
      <c r="AC235" s="19"/>
      <c r="AD235" s="19"/>
      <c r="AE235" s="19"/>
      <c r="AF235" s="19"/>
      <c r="AG235" s="19"/>
      <c r="AH235" s="19"/>
      <c r="AI235" s="19"/>
      <c r="AJ235" s="19"/>
      <c r="AK235" s="19"/>
      <c r="AL235" s="19"/>
      <c r="AM235" s="19"/>
      <c r="AN235" s="19"/>
      <c r="AO235" s="19"/>
      <c r="AP235" s="19"/>
      <c r="AQ235" s="19"/>
      <c r="AR235" s="19"/>
      <c r="AS235" s="19"/>
      <c r="AT235" s="19"/>
      <c r="AU235" s="19"/>
      <c r="AV235" s="19"/>
      <c r="AW235" s="22"/>
      <c r="AX235" s="19"/>
      <c r="AY235" s="19"/>
      <c r="AZ235" s="19"/>
      <c r="BA235" s="19"/>
      <c r="BB235" s="19"/>
      <c r="BC235" s="22"/>
      <c r="BD235" s="19"/>
      <c r="BE235" s="22"/>
      <c r="BF235" s="22"/>
      <c r="BG235" s="22"/>
      <c r="BH235" s="22"/>
      <c r="BI235" s="22"/>
      <c r="BJ235" s="19"/>
      <c r="BK235" s="22"/>
      <c r="BL235" s="22"/>
      <c r="BM235" s="22"/>
      <c r="BN235" s="22"/>
      <c r="BO235" s="22"/>
      <c r="BP235" s="19"/>
      <c r="BQ235" s="22"/>
      <c r="BR235" s="22"/>
      <c r="BS235" s="22"/>
      <c r="BT235" s="22"/>
      <c r="BU235" s="22"/>
      <c r="BV235" s="19"/>
      <c r="BW235" s="22"/>
      <c r="BX235" s="22"/>
      <c r="BY235" s="22"/>
      <c r="BZ235" s="22"/>
      <c r="CA235" s="22"/>
      <c r="CB235" s="19"/>
      <c r="CC235" s="19"/>
      <c r="CD235" s="19"/>
      <c r="CE235" s="19"/>
      <c r="CF235" s="19"/>
      <c r="CG235" s="22"/>
      <c r="CH235" s="19"/>
      <c r="CI235" s="19"/>
      <c r="CJ235" s="19"/>
      <c r="CK235" s="19"/>
      <c r="CL235" s="19"/>
      <c r="CM235" s="19"/>
      <c r="CN235" s="19"/>
      <c r="CO235" s="19"/>
      <c r="CP235" s="19"/>
      <c r="CQ235" s="19"/>
      <c r="CR235" s="19"/>
      <c r="CS235" s="19"/>
      <c r="CT235" s="104"/>
      <c r="CU235" s="19"/>
      <c r="CV235" s="19"/>
      <c r="CW235" s="19"/>
      <c r="CX235" s="19"/>
      <c r="CY235" s="19"/>
      <c r="CZ235" s="104"/>
      <c r="DA235" s="19"/>
      <c r="DB235" s="19"/>
      <c r="DC235" s="19"/>
      <c r="DD235" s="19"/>
      <c r="DE235" s="104"/>
      <c r="DF235" s="104"/>
      <c r="DG235" s="19"/>
      <c r="DH235" s="19"/>
      <c r="DI235" s="19"/>
      <c r="DJ235" s="19"/>
      <c r="DK235" s="104"/>
      <c r="DL235" s="104"/>
      <c r="DM235" s="19"/>
      <c r="DN235" s="19"/>
      <c r="DO235" s="19"/>
      <c r="DP235" s="19"/>
      <c r="DQ235" s="104"/>
      <c r="DR235" s="104"/>
      <c r="DS235" s="19"/>
      <c r="DT235" s="19"/>
      <c r="DU235" s="19"/>
      <c r="DV235" s="19"/>
      <c r="DW235" s="104"/>
      <c r="DX235" s="104"/>
      <c r="DY235" s="19"/>
      <c r="DZ235" s="19"/>
      <c r="EA235" s="19"/>
      <c r="EB235" s="19"/>
      <c r="EC235" s="104"/>
      <c r="ED235" s="104"/>
      <c r="EE235" s="19"/>
      <c r="EF235" s="19"/>
      <c r="EG235" s="19"/>
      <c r="EH235" s="19"/>
      <c r="EI235" s="104"/>
      <c r="EJ235" s="104"/>
      <c r="EK235" s="19"/>
      <c r="EL235" s="19"/>
      <c r="EM235" s="19"/>
      <c r="EN235" s="19"/>
      <c r="EO235" s="104"/>
      <c r="EP235" s="104"/>
      <c r="EQ235" s="19"/>
      <c r="ER235" s="19"/>
      <c r="ES235" s="19"/>
      <c r="ET235" s="19"/>
      <c r="EU235" s="104"/>
      <c r="EV235" s="104"/>
      <c r="EW235" s="19"/>
      <c r="EX235" s="19"/>
      <c r="EY235" s="19"/>
      <c r="EZ235" s="19"/>
      <c r="FA235" s="104"/>
      <c r="FB235" s="104"/>
      <c r="FC235" s="19"/>
      <c r="FD235" s="19"/>
      <c r="FE235" s="19"/>
      <c r="FF235" s="19"/>
      <c r="FG235" s="104"/>
      <c r="FH235" s="104"/>
      <c r="FI235" s="19"/>
      <c r="FJ235" s="19"/>
      <c r="FK235" s="19"/>
      <c r="FL235" s="19"/>
      <c r="FM235" s="104"/>
      <c r="FN235" s="32"/>
      <c r="FO235" s="32"/>
      <c r="FP235" s="32"/>
      <c r="FQ235" s="32"/>
      <c r="FR235"/>
      <c r="FS235"/>
      <c r="FT235"/>
      <c r="FU235"/>
      <c r="FV235"/>
      <c r="FW235"/>
      <c r="FX235" s="32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</row>
    <row r="236" spans="1:274" s="24" customFormat="1" ht="10.5" hidden="1" customHeight="1" outlineLevel="1" x14ac:dyDescent="0.2">
      <c r="A236" s="581" t="s">
        <v>393</v>
      </c>
      <c r="B236" s="21"/>
      <c r="C236" s="32"/>
      <c r="D236" s="32"/>
      <c r="E236" s="32"/>
      <c r="F236" s="32"/>
      <c r="G236" s="32"/>
      <c r="H236" s="32"/>
      <c r="I236" s="32"/>
      <c r="J236" s="32"/>
      <c r="K236" s="32"/>
      <c r="L236" s="32"/>
      <c r="M236" s="32"/>
      <c r="N236" s="19"/>
      <c r="O236" s="19"/>
      <c r="P236" s="19"/>
      <c r="Q236" s="19"/>
      <c r="R236" s="19"/>
      <c r="S236" s="19"/>
      <c r="T236" s="19"/>
      <c r="U236" s="19"/>
      <c r="V236" s="19"/>
      <c r="W236" s="19"/>
      <c r="X236" s="19"/>
      <c r="Y236" s="19"/>
      <c r="Z236" s="19"/>
      <c r="AA236" s="19"/>
      <c r="AB236" s="19"/>
      <c r="AC236" s="19"/>
      <c r="AD236" s="19"/>
      <c r="AE236" s="19"/>
      <c r="AF236" s="19"/>
      <c r="AG236" s="19"/>
      <c r="AH236" s="19"/>
      <c r="AI236" s="19"/>
      <c r="AJ236" s="19"/>
      <c r="AK236" s="19"/>
      <c r="AL236" s="19"/>
      <c r="AM236" s="19"/>
      <c r="AN236" s="19"/>
      <c r="AO236" s="19"/>
      <c r="AP236" s="19"/>
      <c r="AQ236" s="19"/>
      <c r="AR236" s="19"/>
      <c r="AS236" s="19"/>
      <c r="AT236" s="19"/>
      <c r="AU236" s="19"/>
      <c r="AV236" s="19"/>
      <c r="AW236" s="22"/>
      <c r="AX236" s="19"/>
      <c r="AY236" s="19"/>
      <c r="AZ236" s="19"/>
      <c r="BA236" s="19"/>
      <c r="BB236" s="19"/>
      <c r="BC236" s="22"/>
      <c r="BD236" s="19"/>
      <c r="BE236" s="22"/>
      <c r="BF236" s="22"/>
      <c r="BG236" s="22"/>
      <c r="BH236" s="22"/>
      <c r="BI236" s="22"/>
      <c r="BJ236" s="19"/>
      <c r="BK236" s="22"/>
      <c r="BL236" s="22"/>
      <c r="BM236" s="22"/>
      <c r="BN236" s="22"/>
      <c r="BO236" s="22"/>
      <c r="BP236" s="19"/>
      <c r="BQ236" s="22"/>
      <c r="BR236" s="22"/>
      <c r="BS236" s="22"/>
      <c r="BT236" s="22"/>
      <c r="BU236" s="22"/>
      <c r="BV236" s="19"/>
      <c r="BW236" s="22"/>
      <c r="BX236" s="22"/>
      <c r="BY236" s="22"/>
      <c r="BZ236" s="22"/>
      <c r="CA236" s="22"/>
      <c r="CB236" s="19"/>
      <c r="CC236" s="19"/>
      <c r="CD236" s="19"/>
      <c r="CE236" s="19"/>
      <c r="CF236" s="19"/>
      <c r="CG236" s="22"/>
      <c r="CH236" s="19"/>
      <c r="CI236" s="19"/>
      <c r="CJ236" s="19"/>
      <c r="CK236" s="19"/>
      <c r="CL236" s="19"/>
      <c r="CM236" s="19"/>
      <c r="CN236" s="19"/>
      <c r="CO236" s="19"/>
      <c r="CP236" s="19"/>
      <c r="CQ236" s="19"/>
      <c r="CR236" s="19"/>
      <c r="CS236" s="19"/>
      <c r="CT236" s="104"/>
      <c r="CU236" s="19"/>
      <c r="CV236" s="19"/>
      <c r="CW236" s="19"/>
      <c r="CX236" s="19"/>
      <c r="CY236" s="19"/>
      <c r="CZ236" s="104"/>
      <c r="DA236" s="19"/>
      <c r="DB236" s="19"/>
      <c r="DC236" s="19"/>
      <c r="DD236" s="19"/>
      <c r="DE236" s="104"/>
      <c r="DF236" s="104"/>
      <c r="DG236" s="19"/>
      <c r="DH236" s="19"/>
      <c r="DI236" s="19"/>
      <c r="DJ236" s="19"/>
      <c r="DK236" s="104"/>
      <c r="DL236" s="104"/>
      <c r="DM236" s="19"/>
      <c r="DN236" s="19"/>
      <c r="DO236" s="19"/>
      <c r="DP236" s="19"/>
      <c r="DQ236" s="104"/>
      <c r="DR236" s="104"/>
      <c r="DS236" s="19"/>
      <c r="DT236" s="19"/>
      <c r="DU236" s="19"/>
      <c r="DV236" s="19"/>
      <c r="DW236" s="104"/>
      <c r="DX236" s="104"/>
      <c r="DY236" s="19"/>
      <c r="DZ236" s="19"/>
      <c r="EA236" s="19"/>
      <c r="EB236" s="19"/>
      <c r="EC236" s="104"/>
      <c r="ED236" s="104"/>
      <c r="EE236" s="19"/>
      <c r="EF236" s="19"/>
      <c r="EG236" s="19"/>
      <c r="EH236" s="19"/>
      <c r="EI236" s="104"/>
      <c r="EJ236" s="104"/>
      <c r="EK236" s="19"/>
      <c r="EL236" s="19"/>
      <c r="EM236" s="19"/>
      <c r="EN236" s="19"/>
      <c r="EO236" s="104"/>
      <c r="EP236" s="104"/>
      <c r="EQ236" s="19"/>
      <c r="ER236" s="19"/>
      <c r="ES236" s="19"/>
      <c r="ET236" s="19"/>
      <c r="EU236" s="104"/>
      <c r="EV236" s="104"/>
      <c r="EW236" s="19"/>
      <c r="EX236" s="19"/>
      <c r="EY236" s="19"/>
      <c r="EZ236" s="19"/>
      <c r="FA236" s="104"/>
      <c r="FB236" s="104"/>
      <c r="FC236" s="19"/>
      <c r="FD236" s="19"/>
      <c r="FE236" s="19"/>
      <c r="FF236" s="19"/>
      <c r="FG236" s="104"/>
      <c r="FH236" s="104"/>
      <c r="FI236" s="19"/>
      <c r="FJ236" s="19"/>
      <c r="FK236" s="19"/>
      <c r="FL236" s="19"/>
      <c r="FM236" s="104"/>
      <c r="FN236" s="32"/>
      <c r="FO236" s="32"/>
      <c r="FP236" s="32"/>
      <c r="FQ236" s="32"/>
      <c r="FR236"/>
      <c r="FS236"/>
      <c r="FT236"/>
      <c r="FU236"/>
      <c r="FV236"/>
      <c r="FW236"/>
      <c r="FX236" s="32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</row>
    <row r="237" spans="1:274" s="24" customFormat="1" ht="12.75" hidden="1" outlineLevel="1" x14ac:dyDescent="0.2">
      <c r="A237" s="27" t="s">
        <v>744</v>
      </c>
      <c r="B237" s="21"/>
      <c r="C237" s="32"/>
      <c r="D237" s="32"/>
      <c r="E237" s="32"/>
      <c r="F237" s="32"/>
      <c r="G237" s="32"/>
      <c r="H237" s="32"/>
      <c r="I237" s="32"/>
      <c r="J237" s="32"/>
      <c r="K237" s="32"/>
      <c r="L237" s="32"/>
      <c r="M237" s="32"/>
      <c r="N237" s="19"/>
      <c r="O237" s="19"/>
      <c r="P237" s="19"/>
      <c r="Q237" s="19"/>
      <c r="R237" s="19"/>
      <c r="S237" s="19"/>
      <c r="T237" s="19"/>
      <c r="U237" s="19"/>
      <c r="V237" s="19"/>
      <c r="W237" s="19"/>
      <c r="X237" s="19"/>
      <c r="Y237" s="19"/>
      <c r="Z237" s="19"/>
      <c r="AA237" s="19"/>
      <c r="AB237" s="19"/>
      <c r="AC237" s="19"/>
      <c r="AD237" s="19"/>
      <c r="AE237" s="19"/>
      <c r="AF237" s="19"/>
      <c r="AG237" s="19"/>
      <c r="AH237" s="19"/>
      <c r="AI237" s="19"/>
      <c r="AJ237" s="19"/>
      <c r="AK237" s="19"/>
      <c r="AL237" s="19"/>
      <c r="AM237" s="19"/>
      <c r="AN237" s="19"/>
      <c r="AO237" s="19"/>
      <c r="AP237" s="19"/>
      <c r="AQ237" s="19"/>
      <c r="AR237" s="19"/>
      <c r="AS237" s="19"/>
      <c r="AT237" s="19"/>
      <c r="AU237" s="19"/>
      <c r="AV237" s="19"/>
      <c r="AW237" s="22"/>
      <c r="AX237" s="19"/>
      <c r="AY237" s="19"/>
      <c r="AZ237" s="19"/>
      <c r="BA237" s="19"/>
      <c r="BB237" s="19"/>
      <c r="BC237" s="582">
        <f>Model!BC189</f>
        <v>0.44000000000000006</v>
      </c>
      <c r="BD237" s="19"/>
      <c r="BE237" s="22"/>
      <c r="BF237" s="22"/>
      <c r="BG237" s="22"/>
      <c r="BH237" s="22"/>
      <c r="BI237" s="582">
        <f>Model!BI189</f>
        <v>0.4</v>
      </c>
      <c r="BJ237" s="19"/>
      <c r="BK237" s="582">
        <f>Model!BK189</f>
        <v>0.06</v>
      </c>
      <c r="BL237" s="582">
        <f>Model!BL189</f>
        <v>0.1</v>
      </c>
      <c r="BM237" s="582">
        <f>Model!BM189</f>
        <v>0.11</v>
      </c>
      <c r="BN237" s="582">
        <f>Model!BN189</f>
        <v>0.16</v>
      </c>
      <c r="BO237" s="582">
        <f>Model!BO189</f>
        <v>0.43000000000000005</v>
      </c>
      <c r="BP237" s="19"/>
      <c r="BQ237" s="582">
        <f>Model!BQ189</f>
        <v>8.2290000000000002E-2</v>
      </c>
      <c r="BR237" s="582">
        <f>Model!BR189</f>
        <v>0.11561</v>
      </c>
      <c r="BS237" s="582">
        <f>Model!BS189</f>
        <v>0.11879000000000001</v>
      </c>
      <c r="BT237" s="582">
        <f>Model!BT189</f>
        <v>0.18739</v>
      </c>
      <c r="BU237" s="582">
        <f>Model!BU189</f>
        <v>0.50338000000000005</v>
      </c>
      <c r="BV237" s="19"/>
      <c r="BW237" s="582">
        <f>Model!BW189</f>
        <v>0.10087</v>
      </c>
      <c r="BX237" s="582">
        <f>Model!BX189</f>
        <v>0.15934000000000001</v>
      </c>
      <c r="BY237" s="582">
        <f>Model!BY189</f>
        <v>0.15773999999999999</v>
      </c>
      <c r="BZ237" s="582">
        <f>Model!BZ189</f>
        <v>0.25907999999999998</v>
      </c>
      <c r="CA237" s="582">
        <f>Model!CA189</f>
        <v>0.67698000000000003</v>
      </c>
      <c r="CB237" s="19"/>
      <c r="CC237" s="582">
        <f>Model!CC189</f>
        <v>0.14072999999999999</v>
      </c>
      <c r="CD237" s="582">
        <f>Model!CD189</f>
        <v>0.18547</v>
      </c>
      <c r="CE237" s="582">
        <f>Model!CE189</f>
        <v>0.18856000000000001</v>
      </c>
      <c r="CF237" s="582">
        <f>Model!CF189</f>
        <v>0.28614000000000001</v>
      </c>
      <c r="CG237" s="582">
        <f>Model!CG189</f>
        <v>0.80288999999999999</v>
      </c>
      <c r="CH237" s="19"/>
      <c r="CI237" s="19"/>
      <c r="CJ237" s="19"/>
      <c r="CK237" s="19"/>
      <c r="CL237" s="19"/>
      <c r="CM237" s="19"/>
      <c r="CN237" s="19"/>
      <c r="CO237" s="19"/>
      <c r="CP237" s="19"/>
      <c r="CQ237" s="19"/>
      <c r="CR237" s="19"/>
      <c r="CS237" s="19"/>
      <c r="CT237" s="104"/>
      <c r="CU237" s="19"/>
      <c r="CV237" s="19"/>
      <c r="CW237" s="19"/>
      <c r="CX237" s="19"/>
      <c r="CY237" s="19"/>
      <c r="CZ237" s="104"/>
      <c r="DA237" s="19"/>
      <c r="DB237" s="19"/>
      <c r="DC237" s="19"/>
      <c r="DD237" s="19"/>
      <c r="DE237" s="104"/>
      <c r="DF237" s="104"/>
      <c r="DG237" s="19"/>
      <c r="DH237" s="19"/>
      <c r="DI237" s="19"/>
      <c r="DJ237" s="19"/>
      <c r="DK237" s="104"/>
      <c r="DL237" s="104"/>
      <c r="DM237" s="19"/>
      <c r="DN237" s="19"/>
      <c r="DO237" s="19"/>
      <c r="DP237" s="19"/>
      <c r="DQ237" s="104"/>
      <c r="DR237" s="104"/>
      <c r="DS237" s="19"/>
      <c r="DT237" s="19"/>
      <c r="DU237" s="19"/>
      <c r="DV237" s="19"/>
      <c r="DW237" s="104"/>
      <c r="DX237" s="104"/>
      <c r="DY237" s="19"/>
      <c r="DZ237" s="19"/>
      <c r="EA237" s="19"/>
      <c r="EB237" s="19"/>
      <c r="EC237" s="104"/>
      <c r="ED237" s="104"/>
      <c r="EE237" s="19"/>
      <c r="EF237" s="19"/>
      <c r="EG237" s="19"/>
      <c r="EH237" s="19"/>
      <c r="EI237" s="104"/>
      <c r="EJ237" s="104"/>
      <c r="EK237" s="19"/>
      <c r="EL237" s="19"/>
      <c r="EM237" s="19"/>
      <c r="EN237" s="19"/>
      <c r="EO237" s="104"/>
      <c r="EP237" s="104"/>
      <c r="EQ237" s="19"/>
      <c r="ER237" s="19"/>
      <c r="ES237" s="19"/>
      <c r="ET237" s="19"/>
      <c r="EU237" s="104"/>
      <c r="EV237" s="104"/>
      <c r="EW237" s="19"/>
      <c r="EX237" s="19"/>
      <c r="EY237" s="19"/>
      <c r="EZ237" s="19"/>
      <c r="FA237" s="104"/>
      <c r="FB237" s="104"/>
      <c r="FC237" s="19"/>
      <c r="FD237" s="19"/>
      <c r="FE237" s="19"/>
      <c r="FF237" s="19"/>
      <c r="FG237" s="104"/>
      <c r="FH237" s="104"/>
      <c r="FI237" s="19"/>
      <c r="FJ237" s="19"/>
      <c r="FK237" s="19"/>
      <c r="FL237" s="19"/>
      <c r="FM237" s="104"/>
      <c r="FN237" s="32"/>
      <c r="FO237" s="32"/>
      <c r="FP237" s="32"/>
      <c r="FQ237" s="32"/>
      <c r="FR237"/>
      <c r="FS237"/>
      <c r="FT237"/>
      <c r="FU237"/>
      <c r="FV237"/>
      <c r="FW237"/>
      <c r="FX237" s="32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</row>
    <row r="238" spans="1:274" s="24" customFormat="1" ht="10.5" hidden="1" customHeight="1" outlineLevel="1" x14ac:dyDescent="0.2">
      <c r="A238" s="27" t="s">
        <v>745</v>
      </c>
      <c r="B238" s="20"/>
      <c r="C238" s="27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342"/>
      <c r="O238" s="342"/>
      <c r="P238" s="342"/>
      <c r="Q238" s="342"/>
      <c r="R238" s="342"/>
      <c r="S238" s="342"/>
      <c r="T238" s="342"/>
      <c r="U238" s="342"/>
      <c r="V238" s="342"/>
      <c r="W238" s="342"/>
      <c r="X238" s="342"/>
      <c r="Y238" s="342"/>
      <c r="Z238" s="342"/>
      <c r="AA238" s="342"/>
      <c r="AB238" s="342"/>
      <c r="AC238" s="342"/>
      <c r="AD238" s="342"/>
      <c r="AE238" s="342"/>
      <c r="AF238" s="342"/>
      <c r="AG238" s="342"/>
      <c r="AH238" s="342"/>
      <c r="AI238" s="342"/>
      <c r="AJ238" s="342"/>
      <c r="AK238" s="342"/>
      <c r="AL238" s="342"/>
      <c r="AM238" s="342"/>
      <c r="AN238" s="342"/>
      <c r="AO238" s="342"/>
      <c r="AP238" s="342"/>
      <c r="AQ238" s="342"/>
      <c r="AR238" s="342"/>
      <c r="AS238" s="342"/>
      <c r="AT238" s="342"/>
      <c r="AU238" s="342"/>
      <c r="AV238" s="342"/>
      <c r="AW238" s="40"/>
      <c r="AX238" s="342"/>
      <c r="AY238" s="342"/>
      <c r="AZ238" s="342"/>
      <c r="BA238" s="342"/>
      <c r="BB238" s="342"/>
      <c r="BC238" s="582">
        <f>Model!BC220</f>
        <v>0.43669999999999998</v>
      </c>
      <c r="BD238" s="342"/>
      <c r="BE238" s="40"/>
      <c r="BF238" s="40"/>
      <c r="BG238" s="40"/>
      <c r="BH238" s="40"/>
      <c r="BI238" s="582">
        <f>Model!BI220</f>
        <v>0.39100000000000001</v>
      </c>
      <c r="BJ238" s="342"/>
      <c r="BK238" s="582">
        <f>Model!BK220</f>
        <v>6.2199999999999998E-2</v>
      </c>
      <c r="BL238" s="582">
        <f>Model!BL220</f>
        <v>9.8699999999999996E-2</v>
      </c>
      <c r="BM238" s="582">
        <f>Model!BM220</f>
        <v>0.1061</v>
      </c>
      <c r="BN238" s="582">
        <f>Model!BN220</f>
        <v>0.1603</v>
      </c>
      <c r="BO238" s="582">
        <f>Model!BO220</f>
        <v>0.4259</v>
      </c>
      <c r="BP238" s="342"/>
      <c r="BQ238" s="582">
        <f>Model!BQ220</f>
        <v>8.2299999999999998E-2</v>
      </c>
      <c r="BR238" s="582">
        <f>Model!BR220</f>
        <v>0.11559999999999999</v>
      </c>
      <c r="BS238" s="582">
        <f>Model!BS220</f>
        <v>0.1188</v>
      </c>
      <c r="BT238" s="582">
        <f>Model!BT220</f>
        <v>0.18740000000000001</v>
      </c>
      <c r="BU238" s="582">
        <f>Model!BU220</f>
        <v>0.50339999999999996</v>
      </c>
      <c r="BV238" s="342"/>
      <c r="BW238" s="582">
        <f>Model!BW220</f>
        <v>9.7100000000000006E-2</v>
      </c>
      <c r="BX238" s="582">
        <f>Model!BX220</f>
        <v>0.15620000000000001</v>
      </c>
      <c r="BY238" s="582">
        <f>Model!BY220</f>
        <v>0.10290000000000001</v>
      </c>
      <c r="BZ238" s="582">
        <f>Model!BZ220</f>
        <v>0.1956</v>
      </c>
      <c r="CA238" s="582">
        <f>Model!CA220</f>
        <v>0.55169999999999997</v>
      </c>
      <c r="CB238" s="342"/>
      <c r="CC238" s="582">
        <f>Model!CC220</f>
        <v>9.9000000000000005E-2</v>
      </c>
      <c r="CD238" s="582">
        <f>Model!CD220</f>
        <v>0.15229999999999999</v>
      </c>
      <c r="CE238" s="582">
        <f>Model!CE220</f>
        <v>0.14419999999999999</v>
      </c>
      <c r="CF238" s="582">
        <f>Model!CF220</f>
        <v>0.24199999999999999</v>
      </c>
      <c r="CG238" s="582">
        <f>Model!CG220</f>
        <v>0.63929999999999998</v>
      </c>
      <c r="CH238" s="342"/>
      <c r="CI238" s="342"/>
      <c r="CJ238" s="342"/>
      <c r="CK238" s="342"/>
      <c r="CL238" s="342"/>
      <c r="CM238" s="342"/>
      <c r="CN238" s="342"/>
      <c r="CO238" s="342"/>
      <c r="CP238" s="342"/>
      <c r="CQ238" s="342"/>
      <c r="CR238" s="342"/>
      <c r="CS238" s="342"/>
      <c r="CT238" s="475"/>
      <c r="CU238" s="342"/>
      <c r="CV238" s="342"/>
      <c r="CW238" s="342"/>
      <c r="CX238" s="342"/>
      <c r="CY238" s="342"/>
      <c r="CZ238" s="475"/>
      <c r="DA238" s="342"/>
      <c r="DB238" s="342"/>
      <c r="DC238" s="342"/>
      <c r="DD238" s="342"/>
      <c r="DE238" s="475"/>
      <c r="DF238" s="475"/>
      <c r="DG238" s="342"/>
      <c r="DH238" s="342"/>
      <c r="DI238" s="342"/>
      <c r="DJ238" s="342"/>
      <c r="DK238" s="475"/>
      <c r="DL238" s="475"/>
      <c r="DM238" s="342"/>
      <c r="DN238" s="342"/>
      <c r="DO238" s="342"/>
      <c r="DP238" s="342"/>
      <c r="DQ238" s="475"/>
      <c r="DR238" s="475"/>
      <c r="DS238" s="342"/>
      <c r="DT238" s="342"/>
      <c r="DU238" s="342"/>
      <c r="DV238" s="342"/>
      <c r="DW238" s="475"/>
      <c r="DX238" s="475"/>
      <c r="DY238" s="342"/>
      <c r="DZ238" s="342"/>
      <c r="EA238" s="342"/>
      <c r="EB238" s="342"/>
      <c r="EC238" s="475"/>
      <c r="ED238" s="475"/>
      <c r="EE238" s="342"/>
      <c r="EF238" s="342"/>
      <c r="EG238" s="342"/>
      <c r="EH238" s="342"/>
      <c r="EI238" s="475"/>
      <c r="EJ238" s="475"/>
      <c r="EK238" s="342"/>
      <c r="EL238" s="342"/>
      <c r="EM238" s="342"/>
      <c r="EN238" s="342"/>
      <c r="EO238" s="475"/>
      <c r="EP238" s="475"/>
      <c r="EQ238" s="342"/>
      <c r="ER238" s="342"/>
      <c r="ES238" s="342"/>
      <c r="ET238" s="342"/>
      <c r="EU238" s="475"/>
      <c r="EV238" s="475"/>
      <c r="EW238" s="342"/>
      <c r="EX238" s="342"/>
      <c r="EY238" s="342"/>
      <c r="EZ238" s="342"/>
      <c r="FA238" s="475"/>
      <c r="FB238" s="475"/>
      <c r="FC238" s="342"/>
      <c r="FD238" s="342"/>
      <c r="FE238" s="342"/>
      <c r="FF238" s="342"/>
      <c r="FG238" s="475"/>
      <c r="FH238" s="475"/>
      <c r="FI238" s="342"/>
      <c r="FJ238" s="342"/>
      <c r="FK238" s="342"/>
      <c r="FL238" s="342"/>
      <c r="FM238" s="475"/>
      <c r="FN238" s="27"/>
      <c r="FO238" s="27"/>
      <c r="FP238" s="27"/>
      <c r="FQ238" s="27"/>
      <c r="FR238"/>
      <c r="FS238"/>
      <c r="FT238"/>
      <c r="FU238"/>
      <c r="FV238"/>
      <c r="FW238"/>
      <c r="FX238" s="27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</row>
    <row r="239" spans="1:274" s="24" customFormat="1" ht="10.5" hidden="1" customHeight="1" outlineLevel="1" x14ac:dyDescent="0.2">
      <c r="A239" s="27" t="s">
        <v>670</v>
      </c>
      <c r="B239" s="20"/>
      <c r="C239" s="27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342"/>
      <c r="O239" s="342"/>
      <c r="P239" s="342"/>
      <c r="Q239" s="342"/>
      <c r="R239" s="342"/>
      <c r="S239" s="342"/>
      <c r="T239" s="342"/>
      <c r="U239" s="342"/>
      <c r="V239" s="342"/>
      <c r="W239" s="342"/>
      <c r="X239" s="342"/>
      <c r="Y239" s="342"/>
      <c r="Z239" s="342"/>
      <c r="AA239" s="342"/>
      <c r="AB239" s="342"/>
      <c r="AC239" s="342"/>
      <c r="AD239" s="342"/>
      <c r="AE239" s="342"/>
      <c r="AF239" s="342"/>
      <c r="AG239" s="342"/>
      <c r="AH239" s="342"/>
      <c r="AI239" s="342"/>
      <c r="AJ239" s="342"/>
      <c r="AK239" s="342"/>
      <c r="AL239" s="342"/>
      <c r="AM239" s="342"/>
      <c r="AN239" s="342"/>
      <c r="AO239" s="342"/>
      <c r="AP239" s="342"/>
      <c r="AQ239" s="342"/>
      <c r="AR239" s="342"/>
      <c r="AS239" s="342"/>
      <c r="AT239" s="342"/>
      <c r="AU239" s="342"/>
      <c r="AV239" s="342"/>
      <c r="AW239" s="40"/>
      <c r="AX239" s="342"/>
      <c r="AY239" s="342"/>
      <c r="AZ239" s="342"/>
      <c r="BA239" s="342"/>
      <c r="BB239" s="342"/>
      <c r="BC239" s="582">
        <f>Model!BC236</f>
        <v>0.33745296412643183</v>
      </c>
      <c r="BD239" s="342"/>
      <c r="BE239" s="40"/>
      <c r="BF239" s="40"/>
      <c r="BG239" s="40"/>
      <c r="BH239" s="40"/>
      <c r="BI239" s="582">
        <f>Model!BI236</f>
        <v>0.31011028377770267</v>
      </c>
      <c r="BJ239" s="342"/>
      <c r="BK239" s="582">
        <f>Model!BK236</f>
        <v>4.6962828649138713E-2</v>
      </c>
      <c r="BL239" s="582">
        <f>Model!BL236</f>
        <v>8.1365313653136526E-2</v>
      </c>
      <c r="BM239" s="582">
        <f>Model!BM236</f>
        <v>9.0655768159019129E-2</v>
      </c>
      <c r="BN239" s="582">
        <f>Model!BN236</f>
        <v>0.14738610903659449</v>
      </c>
      <c r="BO239" s="582">
        <f>Model!BO236</f>
        <v>0.36496862310815803</v>
      </c>
      <c r="BP239" s="342"/>
      <c r="BQ239" s="582">
        <f>Model!BQ236</f>
        <v>7.7426594351973063E-2</v>
      </c>
      <c r="BR239" s="582">
        <f>Model!BR236</f>
        <v>0.10492786209480982</v>
      </c>
      <c r="BS239" s="582">
        <f>Model!BS236</f>
        <v>0.10792580101180438</v>
      </c>
      <c r="BT239" s="582">
        <f>Model!BT236</f>
        <v>0.1845542305508234</v>
      </c>
      <c r="BU239" s="582">
        <f>Model!BU236</f>
        <v>0.46526473901614718</v>
      </c>
      <c r="BV239" s="342"/>
      <c r="BW239" s="582">
        <f>Model!BW236</f>
        <v>9.0059149017363102E-2</v>
      </c>
      <c r="BX239" s="582">
        <f>Model!BX236</f>
        <v>0.1483326945189728</v>
      </c>
      <c r="BY239" s="582">
        <f>Model!BY236</f>
        <v>0.10057361376673041</v>
      </c>
      <c r="BZ239" s="582">
        <f>Model!BZ236</f>
        <v>0.18704470768055023</v>
      </c>
      <c r="CA239" s="582">
        <f>Model!CA236</f>
        <v>0.52592687473115718</v>
      </c>
      <c r="CB239" s="342"/>
      <c r="CC239" s="582">
        <f>Model!CC236</f>
        <v>9.401220442410374E-2</v>
      </c>
      <c r="CD239" s="582">
        <f>Model!CD236</f>
        <v>0.14576174112256587</v>
      </c>
      <c r="CE239" s="582">
        <f>Model!CE236</f>
        <v>0.13836726998491705</v>
      </c>
      <c r="CF239" s="582">
        <f>Model!CF236</f>
        <v>0.23682300390843108</v>
      </c>
      <c r="CG239" s="582">
        <f>Model!CG236</f>
        <v>0.61682499172928784</v>
      </c>
      <c r="CH239" s="342"/>
      <c r="CI239" s="342"/>
      <c r="CJ239" s="342"/>
      <c r="CK239" s="342"/>
      <c r="CL239" s="342"/>
      <c r="CM239" s="342"/>
      <c r="CN239" s="342"/>
      <c r="CO239" s="342"/>
      <c r="CP239" s="342"/>
      <c r="CQ239" s="342"/>
      <c r="CR239" s="342"/>
      <c r="CS239" s="342"/>
      <c r="CT239" s="475"/>
      <c r="CU239" s="342"/>
      <c r="CV239" s="342"/>
      <c r="CW239" s="342"/>
      <c r="CX239" s="342"/>
      <c r="CY239" s="342"/>
      <c r="CZ239" s="475"/>
      <c r="DA239" s="342"/>
      <c r="DB239" s="342"/>
      <c r="DC239" s="342"/>
      <c r="DD239" s="342"/>
      <c r="DE239" s="475"/>
      <c r="DF239" s="475"/>
      <c r="DG239" s="342"/>
      <c r="DH239" s="342"/>
      <c r="DI239" s="342"/>
      <c r="DJ239" s="342"/>
      <c r="DK239" s="475"/>
      <c r="DL239" s="475"/>
      <c r="DM239" s="342"/>
      <c r="DN239" s="342"/>
      <c r="DO239" s="342"/>
      <c r="DP239" s="342"/>
      <c r="DQ239" s="475"/>
      <c r="DR239" s="475"/>
      <c r="DS239" s="342"/>
      <c r="DT239" s="342"/>
      <c r="DU239" s="342"/>
      <c r="DV239" s="342"/>
      <c r="DW239" s="475"/>
      <c r="DX239" s="475"/>
      <c r="DY239" s="342"/>
      <c r="DZ239" s="342"/>
      <c r="EA239" s="342"/>
      <c r="EB239" s="342"/>
      <c r="EC239" s="475"/>
      <c r="ED239" s="475"/>
      <c r="EE239" s="342"/>
      <c r="EF239" s="342"/>
      <c r="EG239" s="342"/>
      <c r="EH239" s="342"/>
      <c r="EI239" s="475"/>
      <c r="EJ239" s="475"/>
      <c r="EK239" s="342"/>
      <c r="EL239" s="342"/>
      <c r="EM239" s="342"/>
      <c r="EN239" s="342"/>
      <c r="EO239" s="475"/>
      <c r="EP239" s="475"/>
      <c r="EQ239" s="342"/>
      <c r="ER239" s="342"/>
      <c r="ES239" s="342"/>
      <c r="ET239" s="342"/>
      <c r="EU239" s="475"/>
      <c r="EV239" s="475"/>
      <c r="EW239" s="342"/>
      <c r="EX239" s="342"/>
      <c r="EY239" s="342"/>
      <c r="EZ239" s="342"/>
      <c r="FA239" s="475"/>
      <c r="FB239" s="475"/>
      <c r="FC239" s="342"/>
      <c r="FD239" s="342"/>
      <c r="FE239" s="342"/>
      <c r="FF239" s="342"/>
      <c r="FG239" s="475"/>
      <c r="FH239" s="475"/>
      <c r="FI239" s="342"/>
      <c r="FJ239" s="342"/>
      <c r="FK239" s="342"/>
      <c r="FL239" s="342"/>
      <c r="FM239" s="475"/>
      <c r="FN239" s="27"/>
      <c r="FO239" s="27"/>
      <c r="FP239" s="27"/>
      <c r="FQ239" s="27"/>
      <c r="FR239"/>
      <c r="FS239"/>
      <c r="FT239"/>
      <c r="FU239"/>
      <c r="FV239"/>
      <c r="FW239"/>
      <c r="FX239" s="27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</row>
    <row r="240" spans="1:274" s="24" customFormat="1" ht="10.5" hidden="1" customHeight="1" outlineLevel="1" x14ac:dyDescent="0.2">
      <c r="A240" s="27" t="s">
        <v>671</v>
      </c>
      <c r="B240" s="20"/>
      <c r="C240" s="27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342"/>
      <c r="O240" s="342"/>
      <c r="P240" s="342"/>
      <c r="Q240" s="342"/>
      <c r="R240" s="342"/>
      <c r="S240" s="342"/>
      <c r="T240" s="342"/>
      <c r="U240" s="342"/>
      <c r="V240" s="342"/>
      <c r="W240" s="342"/>
      <c r="X240" s="342"/>
      <c r="Y240" s="342"/>
      <c r="Z240" s="342"/>
      <c r="AA240" s="342"/>
      <c r="AB240" s="342"/>
      <c r="AC240" s="342"/>
      <c r="AD240" s="342"/>
      <c r="AE240" s="342"/>
      <c r="AF240" s="342"/>
      <c r="AG240" s="342"/>
      <c r="AH240" s="342"/>
      <c r="AI240" s="342"/>
      <c r="AJ240" s="342"/>
      <c r="AK240" s="342"/>
      <c r="AL240" s="342"/>
      <c r="AM240" s="342"/>
      <c r="AN240" s="342"/>
      <c r="AO240" s="342"/>
      <c r="AP240" s="342"/>
      <c r="AQ240" s="342"/>
      <c r="AR240" s="342"/>
      <c r="AS240" s="342"/>
      <c r="AT240" s="342"/>
      <c r="AU240" s="342"/>
      <c r="AV240" s="342"/>
      <c r="AW240" s="40"/>
      <c r="AX240" s="342"/>
      <c r="AY240" s="342"/>
      <c r="AZ240" s="342"/>
      <c r="BA240" s="342"/>
      <c r="BB240" s="342"/>
      <c r="BC240" s="582">
        <f>BC237-(BC238-BC239)</f>
        <v>0.34075296412643191</v>
      </c>
      <c r="BD240" s="342"/>
      <c r="BE240" s="40"/>
      <c r="BF240" s="40"/>
      <c r="BG240" s="40"/>
      <c r="BH240" s="40"/>
      <c r="BI240" s="582">
        <f>BI237-(BI238-BI239)</f>
        <v>0.31911028377770267</v>
      </c>
      <c r="BJ240" s="342"/>
      <c r="BK240" s="582">
        <f>BK237-(BK238-BK239)</f>
        <v>4.4762828649138713E-2</v>
      </c>
      <c r="BL240" s="582">
        <f>BL237-(BL238-BL239)</f>
        <v>8.2665313653136535E-2</v>
      </c>
      <c r="BM240" s="582">
        <f>BM237-(BM238-BM239)</f>
        <v>9.455576815901913E-2</v>
      </c>
      <c r="BN240" s="582">
        <f>BN237-(BN238-BN239)</f>
        <v>0.1470861090365945</v>
      </c>
      <c r="BO240" s="582">
        <f>BO237-(BO238-BO239)</f>
        <v>0.36906862310815808</v>
      </c>
      <c r="BP240" s="342"/>
      <c r="BQ240" s="582">
        <f>BQ237-(BQ238-BQ239)</f>
        <v>7.7416594351973067E-2</v>
      </c>
      <c r="BR240" s="582">
        <f>BR237-(BR238-BR239)</f>
        <v>0.10493786209480983</v>
      </c>
      <c r="BS240" s="582">
        <f>BS237-(BS238-BS239)</f>
        <v>0.10791580101180438</v>
      </c>
      <c r="BT240" s="582">
        <f>BT237-(BT238-BT239)</f>
        <v>0.18454423055082339</v>
      </c>
      <c r="BU240" s="582">
        <f>BU237-(BU238-BU239)</f>
        <v>0.46524473901614727</v>
      </c>
      <c r="BV240" s="342"/>
      <c r="BW240" s="582">
        <f>BW237-(BW238-BW239)</f>
        <v>9.3829149017363098E-2</v>
      </c>
      <c r="BX240" s="582">
        <f>BX237-(BX238-BX239)</f>
        <v>0.1514726945189728</v>
      </c>
      <c r="BY240" s="582">
        <f>BY237-(BY238-BY239)</f>
        <v>0.15541361376673041</v>
      </c>
      <c r="BZ240" s="582">
        <f>BZ237-(BZ238-BZ239)</f>
        <v>0.25052470768055024</v>
      </c>
      <c r="CA240" s="582">
        <f>CA237-(CA238-CA239)</f>
        <v>0.65120687473115724</v>
      </c>
      <c r="CB240" s="342"/>
      <c r="CC240" s="582">
        <f>CC237-(CC238-CC239)</f>
        <v>0.13574220442410373</v>
      </c>
      <c r="CD240" s="582">
        <f>CD237-(CD238-CD239)</f>
        <v>0.17893174112256588</v>
      </c>
      <c r="CE240" s="582">
        <f>CE237-(CE238-CE239)</f>
        <v>0.18272726998491706</v>
      </c>
      <c r="CF240" s="582">
        <f>CF237-(CF238-CF239)</f>
        <v>0.2809630039084311</v>
      </c>
      <c r="CG240" s="582">
        <f>CG237-(CG238-CG239)</f>
        <v>0.78041499172928785</v>
      </c>
      <c r="CH240" s="342"/>
      <c r="CI240" s="342"/>
      <c r="CJ240" s="342"/>
      <c r="CK240" s="342"/>
      <c r="CL240" s="342"/>
      <c r="CM240" s="342"/>
      <c r="CN240" s="342"/>
      <c r="CO240" s="342"/>
      <c r="CP240" s="342"/>
      <c r="CQ240" s="342"/>
      <c r="CR240" s="342"/>
      <c r="CS240" s="342"/>
      <c r="CT240" s="475"/>
      <c r="CU240" s="342"/>
      <c r="CV240" s="342"/>
      <c r="CW240" s="342"/>
      <c r="CX240" s="342"/>
      <c r="CY240" s="342"/>
      <c r="CZ240" s="475"/>
      <c r="DA240" s="342"/>
      <c r="DB240" s="342"/>
      <c r="DC240" s="342"/>
      <c r="DD240" s="342"/>
      <c r="DE240" s="475"/>
      <c r="DF240" s="475"/>
      <c r="DG240" s="342"/>
      <c r="DH240" s="342"/>
      <c r="DI240" s="342"/>
      <c r="DJ240" s="342"/>
      <c r="DK240" s="475"/>
      <c r="DL240" s="475"/>
      <c r="DM240" s="342"/>
      <c r="DN240" s="342"/>
      <c r="DO240" s="342"/>
      <c r="DP240" s="342"/>
      <c r="DQ240" s="475"/>
      <c r="DR240" s="475"/>
      <c r="DS240" s="342"/>
      <c r="DT240" s="342"/>
      <c r="DU240" s="342"/>
      <c r="DV240" s="342"/>
      <c r="DW240" s="475"/>
      <c r="DX240" s="475"/>
      <c r="DY240" s="342"/>
      <c r="DZ240" s="342"/>
      <c r="EA240" s="342"/>
      <c r="EB240" s="342"/>
      <c r="EC240" s="475"/>
      <c r="ED240" s="475"/>
      <c r="EE240" s="342"/>
      <c r="EF240" s="342"/>
      <c r="EG240" s="342"/>
      <c r="EH240" s="342"/>
      <c r="EI240" s="475"/>
      <c r="EJ240" s="475"/>
      <c r="EK240" s="342"/>
      <c r="EL240" s="342"/>
      <c r="EM240" s="342"/>
      <c r="EN240" s="342"/>
      <c r="EO240" s="475"/>
      <c r="EP240" s="475"/>
      <c r="EQ240" s="342"/>
      <c r="ER240" s="342"/>
      <c r="ES240" s="342"/>
      <c r="ET240" s="342"/>
      <c r="EU240" s="475"/>
      <c r="EV240" s="475"/>
      <c r="EW240" s="342"/>
      <c r="EX240" s="342"/>
      <c r="EY240" s="342"/>
      <c r="EZ240" s="342"/>
      <c r="FA240" s="475"/>
      <c r="FB240" s="475"/>
      <c r="FC240" s="342"/>
      <c r="FD240" s="342"/>
      <c r="FE240" s="342"/>
      <c r="FF240" s="342"/>
      <c r="FG240" s="475"/>
      <c r="FH240" s="475"/>
      <c r="FI240" s="342"/>
      <c r="FJ240" s="342"/>
      <c r="FK240" s="342"/>
      <c r="FL240" s="342"/>
      <c r="FM240" s="475"/>
      <c r="FN240" s="27"/>
      <c r="FO240" s="27"/>
      <c r="FP240" s="27"/>
      <c r="FQ240" s="27"/>
      <c r="FR240"/>
      <c r="FS240"/>
      <c r="FT240"/>
      <c r="FU240"/>
      <c r="FV240"/>
      <c r="FW240"/>
      <c r="FX240" s="27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</row>
    <row r="241" spans="1:274" s="24" customFormat="1" ht="10.5" hidden="1" customHeight="1" outlineLevel="1" x14ac:dyDescent="0.2">
      <c r="A241" s="27"/>
      <c r="B241" s="20"/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342"/>
      <c r="O241" s="342"/>
      <c r="P241" s="342"/>
      <c r="Q241" s="342"/>
      <c r="R241" s="342"/>
      <c r="S241" s="342"/>
      <c r="T241" s="342"/>
      <c r="U241" s="342"/>
      <c r="V241" s="342"/>
      <c r="W241" s="342"/>
      <c r="X241" s="342"/>
      <c r="Y241" s="342"/>
      <c r="Z241" s="342"/>
      <c r="AA241" s="342"/>
      <c r="AB241" s="342"/>
      <c r="AC241" s="342"/>
      <c r="AD241" s="342"/>
      <c r="AE241" s="342"/>
      <c r="AF241" s="342"/>
      <c r="AG241" s="342"/>
      <c r="AH241" s="342"/>
      <c r="AI241" s="342"/>
      <c r="AJ241" s="342"/>
      <c r="AK241" s="342"/>
      <c r="AL241" s="342"/>
      <c r="AM241" s="342"/>
      <c r="AN241" s="342"/>
      <c r="AO241" s="342"/>
      <c r="AP241" s="342"/>
      <c r="AQ241" s="342"/>
      <c r="AR241" s="342"/>
      <c r="AS241" s="342"/>
      <c r="AT241" s="342"/>
      <c r="AU241" s="342"/>
      <c r="AV241" s="342"/>
      <c r="AW241" s="40"/>
      <c r="AX241" s="342"/>
      <c r="AY241" s="342"/>
      <c r="AZ241" s="342"/>
      <c r="BA241" s="342"/>
      <c r="BB241" s="342"/>
      <c r="BC241" s="40"/>
      <c r="BD241" s="342"/>
      <c r="BE241" s="40"/>
      <c r="BF241" s="40"/>
      <c r="BG241" s="40"/>
      <c r="BH241" s="40"/>
      <c r="BI241" s="40"/>
      <c r="BJ241" s="342"/>
      <c r="BK241" s="40"/>
      <c r="BL241" s="40"/>
      <c r="BM241" s="40"/>
      <c r="BN241" s="40"/>
      <c r="BO241" s="40"/>
      <c r="BP241" s="342"/>
      <c r="BQ241" s="40"/>
      <c r="BR241" s="40"/>
      <c r="BS241" s="40"/>
      <c r="BT241" s="40"/>
      <c r="BU241" s="40"/>
      <c r="BV241" s="342"/>
      <c r="BW241" s="40"/>
      <c r="BX241" s="40"/>
      <c r="BY241" s="40"/>
      <c r="BZ241" s="40"/>
      <c r="CA241" s="40"/>
      <c r="CB241" s="342"/>
      <c r="CC241" s="342"/>
      <c r="CD241" s="342"/>
      <c r="CE241" s="342"/>
      <c r="CF241" s="342"/>
      <c r="CG241" s="342"/>
      <c r="CH241" s="342"/>
      <c r="CI241" s="342"/>
      <c r="CJ241" s="342"/>
      <c r="CK241" s="342"/>
      <c r="CL241" s="342"/>
      <c r="CM241" s="342"/>
      <c r="CN241" s="342"/>
      <c r="CO241" s="342"/>
      <c r="CP241" s="342"/>
      <c r="CQ241" s="342"/>
      <c r="CR241" s="342"/>
      <c r="CS241" s="342"/>
      <c r="CT241" s="475"/>
      <c r="CU241" s="342"/>
      <c r="CV241" s="342"/>
      <c r="CW241" s="342"/>
      <c r="CX241" s="342"/>
      <c r="CY241" s="342"/>
      <c r="CZ241" s="475"/>
      <c r="DA241" s="342"/>
      <c r="DB241" s="342"/>
      <c r="DC241" s="342"/>
      <c r="DD241" s="342"/>
      <c r="DE241" s="475"/>
      <c r="DF241" s="475"/>
      <c r="DG241" s="342"/>
      <c r="DH241" s="342"/>
      <c r="DI241" s="342"/>
      <c r="DJ241" s="342"/>
      <c r="DK241" s="475"/>
      <c r="DL241" s="475"/>
      <c r="DM241" s="342"/>
      <c r="DN241" s="342"/>
      <c r="DO241" s="342"/>
      <c r="DP241" s="342"/>
      <c r="DQ241" s="475"/>
      <c r="DR241" s="475"/>
      <c r="DS241" s="342"/>
      <c r="DT241" s="342"/>
      <c r="DU241" s="342"/>
      <c r="DV241" s="342"/>
      <c r="DW241" s="475"/>
      <c r="DX241" s="475"/>
      <c r="DY241" s="342"/>
      <c r="DZ241" s="342"/>
      <c r="EA241" s="342"/>
      <c r="EB241" s="342"/>
      <c r="EC241" s="475"/>
      <c r="ED241" s="475"/>
      <c r="EE241" s="342"/>
      <c r="EF241" s="342"/>
      <c r="EG241" s="342"/>
      <c r="EH241" s="342"/>
      <c r="EI241" s="475"/>
      <c r="EJ241" s="475"/>
      <c r="EK241" s="342"/>
      <c r="EL241" s="342"/>
      <c r="EM241" s="342"/>
      <c r="EN241" s="342"/>
      <c r="EO241" s="475"/>
      <c r="EP241" s="475"/>
      <c r="EQ241" s="342"/>
      <c r="ER241" s="342"/>
      <c r="ES241" s="342"/>
      <c r="ET241" s="342"/>
      <c r="EU241" s="475"/>
      <c r="EV241" s="475"/>
      <c r="EW241" s="342"/>
      <c r="EX241" s="342"/>
      <c r="EY241" s="342"/>
      <c r="EZ241" s="342"/>
      <c r="FA241" s="475"/>
      <c r="FB241" s="475"/>
      <c r="FC241" s="342"/>
      <c r="FD241" s="342"/>
      <c r="FE241" s="342"/>
      <c r="FF241" s="342"/>
      <c r="FG241" s="475"/>
      <c r="FH241" s="475"/>
      <c r="FI241" s="342"/>
      <c r="FJ241" s="342"/>
      <c r="FK241" s="342"/>
      <c r="FL241" s="342"/>
      <c r="FM241" s="475"/>
      <c r="FN241" s="27"/>
      <c r="FO241" s="27"/>
      <c r="FP241" s="27"/>
      <c r="FQ241" s="27"/>
      <c r="FR241"/>
      <c r="FS241"/>
      <c r="FT241"/>
      <c r="FU241"/>
      <c r="FV241"/>
      <c r="FW241"/>
      <c r="FX241" s="27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</row>
    <row r="242" spans="1:274" s="24" customFormat="1" ht="10.5" hidden="1" customHeight="1" outlineLevel="1" x14ac:dyDescent="0.2">
      <c r="A242" s="32" t="s">
        <v>672</v>
      </c>
      <c r="B242" s="20"/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342"/>
      <c r="O242" s="342"/>
      <c r="P242" s="342"/>
      <c r="Q242" s="342"/>
      <c r="R242" s="342"/>
      <c r="S242" s="342"/>
      <c r="T242" s="342"/>
      <c r="U242" s="342"/>
      <c r="V242" s="342"/>
      <c r="W242" s="342"/>
      <c r="X242" s="342"/>
      <c r="Y242" s="342"/>
      <c r="Z242" s="342"/>
      <c r="AA242" s="342"/>
      <c r="AB242" s="342"/>
      <c r="AC242" s="342"/>
      <c r="AD242" s="342"/>
      <c r="AE242" s="342"/>
      <c r="AF242" s="342"/>
      <c r="AG242" s="342"/>
      <c r="AH242" s="342"/>
      <c r="AI242" s="342"/>
      <c r="AJ242" s="342"/>
      <c r="AK242" s="342"/>
      <c r="AL242" s="342"/>
      <c r="AM242" s="342"/>
      <c r="AN242" s="342"/>
      <c r="AO242" s="342"/>
      <c r="AP242" s="342"/>
      <c r="AQ242" s="342"/>
      <c r="AR242" s="342"/>
      <c r="AS242" s="342"/>
      <c r="AT242" s="342"/>
      <c r="AU242" s="342"/>
      <c r="AV242" s="342"/>
      <c r="AW242" s="342"/>
      <c r="AX242" s="342"/>
      <c r="AY242" s="342"/>
      <c r="AZ242" s="342"/>
      <c r="BA242" s="342"/>
      <c r="BB242" s="342"/>
      <c r="BC242" s="34">
        <f>Model!BC226</f>
        <v>5592.360823</v>
      </c>
      <c r="BD242" s="342"/>
      <c r="BE242" s="40"/>
      <c r="BF242" s="40"/>
      <c r="BG242" s="40"/>
      <c r="BH242" s="40"/>
      <c r="BI242" s="34">
        <f>Model!BI226</f>
        <v>5431</v>
      </c>
      <c r="BJ242" s="342"/>
      <c r="BK242" s="34"/>
      <c r="BL242" s="34"/>
      <c r="BM242" s="34"/>
      <c r="BN242" s="34"/>
      <c r="BO242" s="34">
        <f>Model!BO226</f>
        <v>5233</v>
      </c>
      <c r="BP242" s="342"/>
      <c r="BQ242" s="34"/>
      <c r="BR242" s="34"/>
      <c r="BS242" s="34"/>
      <c r="BT242" s="34"/>
      <c r="BU242" s="34">
        <f>Model!BU226</f>
        <v>5171</v>
      </c>
      <c r="BV242" s="342"/>
      <c r="BW242" s="34">
        <f>Model!BW226</f>
        <v>5128</v>
      </c>
      <c r="BX242" s="34">
        <f>Model!BX226</f>
        <v>5104</v>
      </c>
      <c r="BY242" s="34">
        <f>Model!BY226</f>
        <v>5136</v>
      </c>
      <c r="BZ242" s="34">
        <f>Model!BZ226</f>
        <v>5145</v>
      </c>
      <c r="CA242" s="34">
        <f>Model!CA226</f>
        <v>5145</v>
      </c>
      <c r="CB242" s="342"/>
      <c r="CC242" s="34">
        <f>Model!CC226</f>
        <v>5149</v>
      </c>
      <c r="CD242" s="34">
        <f>Model!CD226</f>
        <v>5154</v>
      </c>
      <c r="CE242" s="34">
        <f>Model!CE226</f>
        <v>5312</v>
      </c>
      <c r="CF242" s="34">
        <f>Model!CF226</f>
        <v>5232</v>
      </c>
      <c r="CG242" s="34">
        <f>Model!CG226</f>
        <v>5232</v>
      </c>
      <c r="CH242" s="342"/>
      <c r="CI242" s="34">
        <f>Model!CI226</f>
        <v>5185</v>
      </c>
      <c r="CJ242" s="34">
        <f>Model!CJ226</f>
        <v>5178</v>
      </c>
      <c r="CK242" s="34">
        <f>Model!CK226</f>
        <v>5136</v>
      </c>
      <c r="CL242" s="342"/>
      <c r="CM242" s="342"/>
      <c r="CN242" s="342"/>
      <c r="CO242" s="342"/>
      <c r="CP242" s="342"/>
      <c r="CQ242" s="342"/>
      <c r="CR242" s="342"/>
      <c r="CS242" s="342"/>
      <c r="CT242" s="475"/>
      <c r="CU242" s="342"/>
      <c r="CV242" s="342"/>
      <c r="CW242" s="342"/>
      <c r="CX242" s="342"/>
      <c r="CY242" s="342"/>
      <c r="CZ242" s="475"/>
      <c r="DA242" s="342"/>
      <c r="DB242" s="342"/>
      <c r="DC242" s="342"/>
      <c r="DD242" s="342"/>
      <c r="DE242" s="475"/>
      <c r="DF242" s="475"/>
      <c r="DG242" s="342"/>
      <c r="DH242" s="342"/>
      <c r="DI242" s="342"/>
      <c r="DJ242" s="342"/>
      <c r="DK242" s="475"/>
      <c r="DL242" s="475"/>
      <c r="DM242" s="342"/>
      <c r="DN242" s="342"/>
      <c r="DO242" s="342"/>
      <c r="DP242" s="342"/>
      <c r="DQ242" s="475"/>
      <c r="DR242" s="475"/>
      <c r="DS242" s="342"/>
      <c r="DT242" s="342"/>
      <c r="DU242" s="342"/>
      <c r="DV242" s="342"/>
      <c r="DW242" s="475"/>
      <c r="DX242" s="475"/>
      <c r="DY242" s="342"/>
      <c r="DZ242" s="342"/>
      <c r="EA242" s="342"/>
      <c r="EB242" s="342"/>
      <c r="EC242" s="475"/>
      <c r="ED242" s="475"/>
      <c r="EE242" s="342"/>
      <c r="EF242" s="342"/>
      <c r="EG242" s="342"/>
      <c r="EH242" s="342"/>
      <c r="EI242" s="475"/>
      <c r="EJ242" s="475"/>
      <c r="EK242" s="342"/>
      <c r="EL242" s="342"/>
      <c r="EM242" s="342"/>
      <c r="EN242" s="342"/>
      <c r="EO242" s="475"/>
      <c r="EP242" s="475"/>
      <c r="EQ242" s="342"/>
      <c r="ER242" s="342"/>
      <c r="ES242" s="342"/>
      <c r="ET242" s="342"/>
      <c r="EU242" s="475"/>
      <c r="EV242" s="475"/>
      <c r="EW242" s="342"/>
      <c r="EX242" s="342"/>
      <c r="EY242" s="342"/>
      <c r="EZ242" s="342"/>
      <c r="FA242" s="475"/>
      <c r="FB242" s="475"/>
      <c r="FC242" s="342"/>
      <c r="FD242" s="342"/>
      <c r="FE242" s="342"/>
      <c r="FF242" s="342"/>
      <c r="FG242" s="475"/>
      <c r="FH242" s="475"/>
      <c r="FI242" s="342"/>
      <c r="FJ242" s="342"/>
      <c r="FK242" s="342"/>
      <c r="FL242" s="342"/>
      <c r="FM242" s="475"/>
      <c r="FN242" s="27"/>
      <c r="FO242" s="27"/>
      <c r="FP242" s="27"/>
      <c r="FQ242" s="27"/>
      <c r="FR242"/>
      <c r="FS242"/>
      <c r="FT242"/>
      <c r="FU242"/>
      <c r="FV242"/>
      <c r="FW242"/>
      <c r="FX242" s="27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</row>
    <row r="243" spans="1:274" s="24" customFormat="1" ht="10.5" hidden="1" customHeight="1" outlineLevel="1" x14ac:dyDescent="0.2">
      <c r="A243" s="27" t="s">
        <v>673</v>
      </c>
      <c r="B243" s="20"/>
      <c r="C243" s="27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342"/>
      <c r="O243" s="342"/>
      <c r="P243" s="342"/>
      <c r="Q243" s="342"/>
      <c r="R243" s="342"/>
      <c r="S243" s="342"/>
      <c r="T243" s="342"/>
      <c r="U243" s="342"/>
      <c r="V243" s="342"/>
      <c r="W243" s="342"/>
      <c r="X243" s="342"/>
      <c r="Y243" s="342"/>
      <c r="Z243" s="342"/>
      <c r="AA243" s="342"/>
      <c r="AB243" s="342"/>
      <c r="AC243" s="342"/>
      <c r="AD243" s="342"/>
      <c r="AE243" s="342"/>
      <c r="AF243" s="342"/>
      <c r="AG243" s="342"/>
      <c r="AH243" s="342"/>
      <c r="AI243" s="342"/>
      <c r="AJ243" s="342"/>
      <c r="AK243" s="342"/>
      <c r="AL243" s="342"/>
      <c r="AM243" s="342"/>
      <c r="AN243" s="342"/>
      <c r="AO243" s="342"/>
      <c r="AP243" s="342"/>
      <c r="AQ243" s="342"/>
      <c r="AR243" s="342"/>
      <c r="AS243" s="342"/>
      <c r="AT243" s="342"/>
      <c r="AU243" s="342"/>
      <c r="AV243" s="342"/>
      <c r="AW243" s="342"/>
      <c r="AX243" s="342"/>
      <c r="AY243" s="342"/>
      <c r="AZ243" s="342"/>
      <c r="BA243" s="342"/>
      <c r="BB243" s="342"/>
      <c r="BC243" s="342">
        <f>BC267</f>
        <v>13</v>
      </c>
      <c r="BD243" s="342"/>
      <c r="BE243" s="342"/>
      <c r="BF243" s="342"/>
      <c r="BG243" s="342"/>
      <c r="BH243" s="342"/>
      <c r="BI243" s="342">
        <f>BI267</f>
        <v>65</v>
      </c>
      <c r="BJ243" s="342"/>
      <c r="BK243" s="342"/>
      <c r="BL243" s="342"/>
      <c r="BM243" s="342"/>
      <c r="BN243" s="342"/>
      <c r="BO243" s="342">
        <f>BO267</f>
        <v>66</v>
      </c>
      <c r="BP243" s="342"/>
      <c r="BQ243" s="342"/>
      <c r="BR243" s="342"/>
      <c r="BS243" s="342"/>
      <c r="BT243" s="342"/>
      <c r="BU243" s="342">
        <f>BU267</f>
        <v>44</v>
      </c>
      <c r="BV243" s="342"/>
      <c r="BW243" s="342">
        <f>BW267</f>
        <v>35</v>
      </c>
      <c r="BX243" s="342">
        <f>BX267</f>
        <v>3</v>
      </c>
      <c r="BY243" s="342">
        <f>BY267</f>
        <v>1</v>
      </c>
      <c r="BZ243" s="342">
        <f>BZ267</f>
        <v>3</v>
      </c>
      <c r="CA243" s="342">
        <f>CA267</f>
        <v>42</v>
      </c>
      <c r="CB243" s="342"/>
      <c r="CC243" s="342">
        <f>CC267</f>
        <v>61</v>
      </c>
      <c r="CD243" s="342">
        <f>CD267</f>
        <v>0</v>
      </c>
      <c r="CE243" s="342">
        <f>CE267</f>
        <v>3</v>
      </c>
      <c r="CF243" s="342">
        <f>CF267</f>
        <v>4</v>
      </c>
      <c r="CG243" s="342">
        <f>CG267</f>
        <v>68</v>
      </c>
      <c r="CH243" s="342"/>
      <c r="CI243" s="342">
        <f>CI267</f>
        <v>55</v>
      </c>
      <c r="CJ243" s="342">
        <f>CJ267</f>
        <v>2</v>
      </c>
      <c r="CK243" s="342">
        <f>CK267</f>
        <v>0</v>
      </c>
      <c r="CL243" s="342"/>
      <c r="CM243" s="342"/>
      <c r="CN243" s="342"/>
      <c r="CO243" s="342"/>
      <c r="CP243" s="342"/>
      <c r="CQ243" s="342"/>
      <c r="CR243" s="342"/>
      <c r="CS243" s="342"/>
      <c r="CT243" s="475"/>
      <c r="CU243" s="342"/>
      <c r="CV243" s="342"/>
      <c r="CW243" s="342"/>
      <c r="CX243" s="342"/>
      <c r="CY243" s="342"/>
      <c r="CZ243" s="475"/>
      <c r="DA243" s="342"/>
      <c r="DB243" s="342"/>
      <c r="DC243" s="342"/>
      <c r="DD243" s="342"/>
      <c r="DE243" s="475"/>
      <c r="DF243" s="475"/>
      <c r="DG243" s="342"/>
      <c r="DH243" s="342"/>
      <c r="DI243" s="342"/>
      <c r="DJ243" s="342"/>
      <c r="DK243" s="475"/>
      <c r="DL243" s="475"/>
      <c r="DM243" s="342"/>
      <c r="DN243" s="342"/>
      <c r="DO243" s="342"/>
      <c r="DP243" s="342"/>
      <c r="DQ243" s="475"/>
      <c r="DR243" s="475"/>
      <c r="DS243" s="342"/>
      <c r="DT243" s="342"/>
      <c r="DU243" s="342"/>
      <c r="DV243" s="342"/>
      <c r="DW243" s="475"/>
      <c r="DX243" s="475"/>
      <c r="DY243" s="342"/>
      <c r="DZ243" s="342"/>
      <c r="EA243" s="342"/>
      <c r="EB243" s="342"/>
      <c r="EC243" s="475"/>
      <c r="ED243" s="475"/>
      <c r="EE243" s="342"/>
      <c r="EF243" s="342"/>
      <c r="EG243" s="342"/>
      <c r="EH243" s="342"/>
      <c r="EI243" s="475"/>
      <c r="EJ243" s="475"/>
      <c r="EK243" s="342"/>
      <c r="EL243" s="342"/>
      <c r="EM243" s="342"/>
      <c r="EN243" s="342"/>
      <c r="EO243" s="475"/>
      <c r="EP243" s="475"/>
      <c r="EQ243" s="342"/>
      <c r="ER243" s="342"/>
      <c r="ES243" s="342"/>
      <c r="ET243" s="342"/>
      <c r="EU243" s="475"/>
      <c r="EV243" s="475"/>
      <c r="EW243" s="342"/>
      <c r="EX243" s="342"/>
      <c r="EY243" s="342"/>
      <c r="EZ243" s="342"/>
      <c r="FA243" s="475"/>
      <c r="FB243" s="475"/>
      <c r="FC243" s="342"/>
      <c r="FD243" s="342"/>
      <c r="FE243" s="342"/>
      <c r="FF243" s="342"/>
      <c r="FG243" s="475"/>
      <c r="FH243" s="475"/>
      <c r="FI243" s="342"/>
      <c r="FJ243" s="342"/>
      <c r="FK243" s="342"/>
      <c r="FL243" s="342"/>
      <c r="FM243" s="475"/>
      <c r="FN243" s="27"/>
      <c r="FO243" s="27"/>
      <c r="FP243" s="27"/>
      <c r="FQ243" s="27"/>
      <c r="FR243"/>
      <c r="FS243"/>
      <c r="FT243"/>
      <c r="FU243"/>
      <c r="FV243"/>
      <c r="FW243"/>
      <c r="FX243" s="27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</row>
    <row r="244" spans="1:274" s="24" customFormat="1" ht="10.5" hidden="1" customHeight="1" outlineLevel="1" x14ac:dyDescent="0.2">
      <c r="A244" s="27" t="s">
        <v>98</v>
      </c>
      <c r="B244" s="20"/>
      <c r="C244" s="27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342"/>
      <c r="O244" s="342"/>
      <c r="P244" s="342"/>
      <c r="Q244" s="342"/>
      <c r="R244" s="342"/>
      <c r="S244" s="342"/>
      <c r="T244" s="342"/>
      <c r="U244" s="342"/>
      <c r="V244" s="342"/>
      <c r="W244" s="342"/>
      <c r="X244" s="342"/>
      <c r="Y244" s="342"/>
      <c r="Z244" s="342"/>
      <c r="AA244" s="342"/>
      <c r="AB244" s="342"/>
      <c r="AC244" s="342"/>
      <c r="AD244" s="342"/>
      <c r="AE244" s="342"/>
      <c r="AF244" s="342"/>
      <c r="AG244" s="342"/>
      <c r="AH244" s="342"/>
      <c r="AI244" s="342"/>
      <c r="AJ244" s="342"/>
      <c r="AK244" s="342"/>
      <c r="AL244" s="342"/>
      <c r="AM244" s="342"/>
      <c r="AN244" s="342"/>
      <c r="AO244" s="342"/>
      <c r="AP244" s="342"/>
      <c r="AQ244" s="342"/>
      <c r="AR244" s="342"/>
      <c r="AS244" s="342"/>
      <c r="AT244" s="342"/>
      <c r="AU244" s="342"/>
      <c r="AV244" s="342"/>
      <c r="AW244" s="342"/>
      <c r="AX244" s="342"/>
      <c r="AY244" s="342"/>
      <c r="AZ244" s="342"/>
      <c r="BA244" s="342"/>
      <c r="BB244" s="342"/>
      <c r="BC244" s="342">
        <f>BC267+BC270</f>
        <v>-41</v>
      </c>
      <c r="BD244" s="342"/>
      <c r="BE244" s="342"/>
      <c r="BF244" s="342"/>
      <c r="BG244" s="342"/>
      <c r="BH244" s="342"/>
      <c r="BI244" s="342">
        <f>BI267+BI270</f>
        <v>41</v>
      </c>
      <c r="BJ244" s="342"/>
      <c r="BK244" s="342"/>
      <c r="BL244" s="342"/>
      <c r="BM244" s="342"/>
      <c r="BN244" s="342"/>
      <c r="BO244" s="342">
        <f>BO267+BO270</f>
        <v>49</v>
      </c>
      <c r="BP244" s="342"/>
      <c r="BQ244" s="342"/>
      <c r="BR244" s="342"/>
      <c r="BS244" s="342"/>
      <c r="BT244" s="342"/>
      <c r="BU244" s="342">
        <f>BU267+BU270</f>
        <v>23</v>
      </c>
      <c r="BV244" s="342"/>
      <c r="BW244" s="342">
        <f>BW267+BW270</f>
        <v>32</v>
      </c>
      <c r="BX244" s="342">
        <f>BX267+BX270</f>
        <v>-2</v>
      </c>
      <c r="BY244" s="342">
        <f>BY267+BY270</f>
        <v>-9</v>
      </c>
      <c r="BZ244" s="342">
        <f>BZ267+BZ270</f>
        <v>-18</v>
      </c>
      <c r="CA244" s="342">
        <f>CA267+CA270</f>
        <v>3</v>
      </c>
      <c r="CB244" s="342"/>
      <c r="CC244" s="342">
        <f>CC267+CC270</f>
        <v>51</v>
      </c>
      <c r="CD244" s="342">
        <f>CD267+CD270</f>
        <v>-12</v>
      </c>
      <c r="CE244" s="342">
        <f>CE267+CE270</f>
        <v>-6</v>
      </c>
      <c r="CF244" s="342">
        <f>CF267+CF270</f>
        <v>-24</v>
      </c>
      <c r="CG244" s="342">
        <f>CG267+CG270</f>
        <v>9</v>
      </c>
      <c r="CH244" s="342"/>
      <c r="CI244" s="342">
        <f>CI267+CI270</f>
        <v>52</v>
      </c>
      <c r="CJ244" s="342">
        <f>CJ267+CJ270</f>
        <v>-3</v>
      </c>
      <c r="CK244" s="342">
        <f>CK267+CK270</f>
        <v>-6</v>
      </c>
      <c r="CL244" s="342"/>
      <c r="CM244" s="342"/>
      <c r="CN244" s="342"/>
      <c r="CO244" s="342"/>
      <c r="CP244" s="342"/>
      <c r="CQ244" s="342"/>
      <c r="CR244" s="342"/>
      <c r="CS244" s="342"/>
      <c r="CT244" s="475"/>
      <c r="CU244" s="342"/>
      <c r="CV244" s="342"/>
      <c r="CW244" s="342"/>
      <c r="CX244" s="342"/>
      <c r="CY244" s="342"/>
      <c r="CZ244" s="475"/>
      <c r="DA244" s="342"/>
      <c r="DB244" s="342"/>
      <c r="DC244" s="342"/>
      <c r="DD244" s="342"/>
      <c r="DE244" s="475"/>
      <c r="DF244" s="475"/>
      <c r="DG244" s="342"/>
      <c r="DH244" s="342"/>
      <c r="DI244" s="342"/>
      <c r="DJ244" s="342"/>
      <c r="DK244" s="475"/>
      <c r="DL244" s="475"/>
      <c r="DM244" s="342"/>
      <c r="DN244" s="342"/>
      <c r="DO244" s="342"/>
      <c r="DP244" s="342"/>
      <c r="DQ244" s="475"/>
      <c r="DR244" s="475"/>
      <c r="DS244" s="342"/>
      <c r="DT244" s="342"/>
      <c r="DU244" s="342"/>
      <c r="DV244" s="342"/>
      <c r="DW244" s="475"/>
      <c r="DX244" s="475"/>
      <c r="DY244" s="342"/>
      <c r="DZ244" s="342"/>
      <c r="EA244" s="342"/>
      <c r="EB244" s="342"/>
      <c r="EC244" s="475"/>
      <c r="ED244" s="475"/>
      <c r="EE244" s="342"/>
      <c r="EF244" s="342"/>
      <c r="EG244" s="342"/>
      <c r="EH244" s="342"/>
      <c r="EI244" s="475"/>
      <c r="EJ244" s="475"/>
      <c r="EK244" s="342"/>
      <c r="EL244" s="342"/>
      <c r="EM244" s="342"/>
      <c r="EN244" s="342"/>
      <c r="EO244" s="475"/>
      <c r="EP244" s="475"/>
      <c r="EQ244" s="342"/>
      <c r="ER244" s="342"/>
      <c r="ES244" s="342"/>
      <c r="ET244" s="342"/>
      <c r="EU244" s="475"/>
      <c r="EV244" s="475"/>
      <c r="EW244" s="342"/>
      <c r="EX244" s="342"/>
      <c r="EY244" s="342"/>
      <c r="EZ244" s="342"/>
      <c r="FA244" s="475"/>
      <c r="FB244" s="475"/>
      <c r="FC244" s="342"/>
      <c r="FD244" s="342"/>
      <c r="FE244" s="342"/>
      <c r="FF244" s="342"/>
      <c r="FG244" s="475"/>
      <c r="FH244" s="475"/>
      <c r="FI244" s="342"/>
      <c r="FJ244" s="342"/>
      <c r="FK244" s="342"/>
      <c r="FL244" s="342"/>
      <c r="FM244" s="475"/>
      <c r="FN244" s="27"/>
      <c r="FO244" s="27"/>
      <c r="FP244" s="27"/>
      <c r="FQ244" s="27"/>
      <c r="FR244"/>
      <c r="FS244"/>
      <c r="FT244"/>
      <c r="FU244"/>
      <c r="FV244"/>
      <c r="FW244"/>
      <c r="FX244" s="27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</row>
    <row r="245" spans="1:274" s="24" customFormat="1" ht="10.5" hidden="1" customHeight="1" outlineLevel="1" x14ac:dyDescent="0.2">
      <c r="A245" s="27" t="s">
        <v>99</v>
      </c>
      <c r="B245" s="20"/>
      <c r="C245" s="27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342"/>
      <c r="O245" s="342"/>
      <c r="P245" s="342"/>
      <c r="Q245" s="342"/>
      <c r="R245" s="342"/>
      <c r="S245" s="342"/>
      <c r="T245" s="342"/>
      <c r="U245" s="342"/>
      <c r="V245" s="342"/>
      <c r="W245" s="342"/>
      <c r="X245" s="342"/>
      <c r="Y245" s="342"/>
      <c r="Z245" s="342"/>
      <c r="AA245" s="342"/>
      <c r="AB245" s="342"/>
      <c r="AC245" s="342"/>
      <c r="AD245" s="342"/>
      <c r="AE245" s="342"/>
      <c r="AF245" s="342"/>
      <c r="AG245" s="342"/>
      <c r="AH245" s="342"/>
      <c r="AI245" s="342"/>
      <c r="AJ245" s="342"/>
      <c r="AK245" s="342"/>
      <c r="AL245" s="342"/>
      <c r="AM245" s="342"/>
      <c r="AN245" s="342"/>
      <c r="AO245" s="342"/>
      <c r="AP245" s="342"/>
      <c r="AQ245" s="342"/>
      <c r="AR245" s="342"/>
      <c r="AS245" s="342"/>
      <c r="AT245" s="342"/>
      <c r="AU245" s="342"/>
      <c r="AV245" s="342"/>
      <c r="AW245" s="342"/>
      <c r="AX245" s="342"/>
      <c r="AY245" s="342"/>
      <c r="AZ245" s="342"/>
      <c r="BA245" s="342"/>
      <c r="BB245" s="342"/>
      <c r="BC245" s="342">
        <f>-BC269</f>
        <v>109</v>
      </c>
      <c r="BD245" s="342"/>
      <c r="BE245" s="342"/>
      <c r="BF245" s="342"/>
      <c r="BG245" s="342"/>
      <c r="BH245" s="342"/>
      <c r="BI245" s="342">
        <f>-BI269</f>
        <v>29</v>
      </c>
      <c r="BJ245" s="342"/>
      <c r="BK245" s="342"/>
      <c r="BL245" s="342"/>
      <c r="BM245" s="342"/>
      <c r="BN245" s="342"/>
      <c r="BO245" s="342">
        <f>-BO269</f>
        <v>48</v>
      </c>
      <c r="BP245" s="342"/>
      <c r="BQ245" s="342"/>
      <c r="BR245" s="342"/>
      <c r="BS245" s="342"/>
      <c r="BT245" s="342"/>
      <c r="BU245" s="342">
        <f>-BU269</f>
        <v>38</v>
      </c>
      <c r="BV245" s="342"/>
      <c r="BW245" s="342">
        <f>-BW269</f>
        <v>6</v>
      </c>
      <c r="BX245" s="342">
        <f>-BX269</f>
        <v>11</v>
      </c>
      <c r="BY245" s="342">
        <f>-BY269</f>
        <v>32</v>
      </c>
      <c r="BZ245" s="342">
        <f>-BZ269</f>
        <v>22</v>
      </c>
      <c r="CA245" s="342">
        <f>-CA269</f>
        <v>71</v>
      </c>
      <c r="CB245" s="342"/>
      <c r="CC245" s="342">
        <f>-CC269</f>
        <v>23</v>
      </c>
      <c r="CD245" s="342">
        <f>-CD269</f>
        <v>7</v>
      </c>
      <c r="CE245" s="342">
        <f>-CE269</f>
        <v>17</v>
      </c>
      <c r="CF245" s="342">
        <f>-CF269</f>
        <v>40</v>
      </c>
      <c r="CG245" s="342">
        <f>-CG269</f>
        <v>87</v>
      </c>
      <c r="CH245" s="342"/>
      <c r="CI245" s="342">
        <f>-CI269</f>
        <v>20</v>
      </c>
      <c r="CJ245" s="342">
        <f>-CJ269</f>
        <v>47</v>
      </c>
      <c r="CK245" s="342">
        <f>-CK269</f>
        <v>15</v>
      </c>
      <c r="CL245" s="342"/>
      <c r="CM245" s="342"/>
      <c r="CN245" s="342"/>
      <c r="CO245" s="342"/>
      <c r="CP245" s="342"/>
      <c r="CQ245" s="342"/>
      <c r="CR245" s="342"/>
      <c r="CS245" s="342"/>
      <c r="CT245" s="475"/>
      <c r="CU245" s="342"/>
      <c r="CV245" s="342"/>
      <c r="CW245" s="342"/>
      <c r="CX245" s="342"/>
      <c r="CY245" s="342"/>
      <c r="CZ245" s="475"/>
      <c r="DA245" s="342"/>
      <c r="DB245" s="342"/>
      <c r="DC245" s="342"/>
      <c r="DD245" s="342"/>
      <c r="DE245" s="475"/>
      <c r="DF245" s="475"/>
      <c r="DG245" s="342"/>
      <c r="DH245" s="342"/>
      <c r="DI245" s="342"/>
      <c r="DJ245" s="342"/>
      <c r="DK245" s="475"/>
      <c r="DL245" s="475"/>
      <c r="DM245" s="342"/>
      <c r="DN245" s="342"/>
      <c r="DO245" s="342"/>
      <c r="DP245" s="342"/>
      <c r="DQ245" s="475"/>
      <c r="DR245" s="475"/>
      <c r="DS245" s="342"/>
      <c r="DT245" s="342"/>
      <c r="DU245" s="342"/>
      <c r="DV245" s="342"/>
      <c r="DW245" s="475"/>
      <c r="DX245" s="475"/>
      <c r="DY245" s="342"/>
      <c r="DZ245" s="342"/>
      <c r="EA245" s="342"/>
      <c r="EB245" s="342"/>
      <c r="EC245" s="475"/>
      <c r="ED245" s="475"/>
      <c r="EE245" s="342"/>
      <c r="EF245" s="342"/>
      <c r="EG245" s="342"/>
      <c r="EH245" s="342"/>
      <c r="EI245" s="475"/>
      <c r="EJ245" s="475"/>
      <c r="EK245" s="342"/>
      <c r="EL245" s="342"/>
      <c r="EM245" s="342"/>
      <c r="EN245" s="342"/>
      <c r="EO245" s="475"/>
      <c r="EP245" s="475"/>
      <c r="EQ245" s="342"/>
      <c r="ER245" s="342"/>
      <c r="ES245" s="342"/>
      <c r="ET245" s="342"/>
      <c r="EU245" s="475"/>
      <c r="EV245" s="475"/>
      <c r="EW245" s="342"/>
      <c r="EX245" s="342"/>
      <c r="EY245" s="342"/>
      <c r="EZ245" s="342"/>
      <c r="FA245" s="475"/>
      <c r="FB245" s="475"/>
      <c r="FC245" s="342"/>
      <c r="FD245" s="342"/>
      <c r="FE245" s="342"/>
      <c r="FF245" s="342"/>
      <c r="FG245" s="475"/>
      <c r="FH245" s="475"/>
      <c r="FI245" s="342"/>
      <c r="FJ245" s="342"/>
      <c r="FK245" s="342"/>
      <c r="FL245" s="342"/>
      <c r="FM245" s="475"/>
      <c r="FN245" s="27"/>
      <c r="FO245" s="27"/>
      <c r="FP245" s="27"/>
      <c r="FQ245" s="27"/>
      <c r="FR245"/>
      <c r="FS245"/>
      <c r="FT245"/>
      <c r="FU245"/>
      <c r="FV245"/>
      <c r="FW245"/>
      <c r="FX245" s="27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</row>
    <row r="246" spans="1:274" s="24" customFormat="1" ht="10.5" hidden="1" customHeight="1" outlineLevel="1" x14ac:dyDescent="0.2">
      <c r="A246" s="27" t="s">
        <v>425</v>
      </c>
      <c r="B246" s="20"/>
      <c r="C246" s="27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342"/>
      <c r="O246" s="342"/>
      <c r="P246" s="342"/>
      <c r="Q246" s="342"/>
      <c r="R246" s="342"/>
      <c r="S246" s="342"/>
      <c r="T246" s="342"/>
      <c r="U246" s="342"/>
      <c r="V246" s="342"/>
      <c r="W246" s="342"/>
      <c r="X246" s="342"/>
      <c r="Y246" s="342"/>
      <c r="Z246" s="342"/>
      <c r="AA246" s="342"/>
      <c r="AB246" s="342"/>
      <c r="AC246" s="342"/>
      <c r="AD246" s="342"/>
      <c r="AE246" s="342"/>
      <c r="AF246" s="342"/>
      <c r="AG246" s="342"/>
      <c r="AH246" s="342"/>
      <c r="AI246" s="342"/>
      <c r="AJ246" s="342"/>
      <c r="AK246" s="342"/>
      <c r="AL246" s="342"/>
      <c r="AM246" s="342"/>
      <c r="AN246" s="342"/>
      <c r="AO246" s="342"/>
      <c r="AP246" s="342"/>
      <c r="AQ246" s="342"/>
      <c r="AR246" s="342"/>
      <c r="AS246" s="342"/>
      <c r="AT246" s="342"/>
      <c r="AU246" s="342"/>
      <c r="AV246" s="342"/>
      <c r="AW246" s="342"/>
      <c r="AX246" s="342"/>
      <c r="AY246" s="342"/>
      <c r="AZ246" s="342"/>
      <c r="BA246" s="342"/>
      <c r="BB246" s="342"/>
      <c r="BC246" s="342">
        <f>BC271</f>
        <v>442</v>
      </c>
      <c r="BD246" s="342"/>
      <c r="BE246" s="342"/>
      <c r="BF246" s="342"/>
      <c r="BG246" s="342"/>
      <c r="BH246" s="342"/>
      <c r="BI246" s="342">
        <f>BI271</f>
        <v>454</v>
      </c>
      <c r="BJ246" s="342"/>
      <c r="BK246" s="342"/>
      <c r="BL246" s="342"/>
      <c r="BM246" s="342"/>
      <c r="BN246" s="342"/>
      <c r="BO246" s="342">
        <f>BO271</f>
        <v>455</v>
      </c>
      <c r="BP246" s="342"/>
      <c r="BQ246" s="342"/>
      <c r="BR246" s="342"/>
      <c r="BS246" s="342"/>
      <c r="BT246" s="342"/>
      <c r="BU246" s="342">
        <f>BU271</f>
        <v>440</v>
      </c>
      <c r="BV246" s="342"/>
      <c r="BW246" s="342">
        <f>BW271</f>
        <v>466</v>
      </c>
      <c r="BX246" s="342">
        <f>BX271</f>
        <v>453</v>
      </c>
      <c r="BY246" s="342">
        <f>BY271</f>
        <v>509</v>
      </c>
      <c r="BZ246" s="342">
        <f>BZ271</f>
        <v>469</v>
      </c>
      <c r="CA246" s="342">
        <f>CA271</f>
        <v>469</v>
      </c>
      <c r="CB246" s="342"/>
      <c r="CC246" s="342">
        <f>CC271</f>
        <v>499</v>
      </c>
      <c r="CD246" s="342">
        <f>CD271</f>
        <v>481</v>
      </c>
      <c r="CE246" s="342">
        <f>CE271</f>
        <v>537</v>
      </c>
      <c r="CF246" s="342">
        <f>CF271</f>
        <v>473</v>
      </c>
      <c r="CG246" s="342">
        <f>CG271</f>
        <v>473</v>
      </c>
      <c r="CH246" s="342"/>
      <c r="CI246" s="342">
        <f>CI271</f>
        <v>508</v>
      </c>
      <c r="CJ246" s="342">
        <f>CJ271</f>
        <v>459</v>
      </c>
      <c r="CK246" s="342">
        <f>CK271</f>
        <v>443</v>
      </c>
      <c r="CL246" s="342"/>
      <c r="CM246" s="342"/>
      <c r="CN246" s="342"/>
      <c r="CO246" s="342"/>
      <c r="CP246" s="342"/>
      <c r="CQ246" s="342"/>
      <c r="CR246" s="342"/>
      <c r="CS246" s="342"/>
      <c r="CT246" s="475"/>
      <c r="CU246" s="342"/>
      <c r="CV246" s="342"/>
      <c r="CW246" s="342"/>
      <c r="CX246" s="342"/>
      <c r="CY246" s="342"/>
      <c r="CZ246" s="475"/>
      <c r="DA246" s="342"/>
      <c r="DB246" s="342"/>
      <c r="DC246" s="342"/>
      <c r="DD246" s="342"/>
      <c r="DE246" s="475"/>
      <c r="DF246" s="475"/>
      <c r="DG246" s="342"/>
      <c r="DH246" s="342"/>
      <c r="DI246" s="342"/>
      <c r="DJ246" s="342"/>
      <c r="DK246" s="475"/>
      <c r="DL246" s="475"/>
      <c r="DM246" s="342"/>
      <c r="DN246" s="342"/>
      <c r="DO246" s="342"/>
      <c r="DP246" s="342"/>
      <c r="DQ246" s="475"/>
      <c r="DR246" s="475"/>
      <c r="DS246" s="342"/>
      <c r="DT246" s="342"/>
      <c r="DU246" s="342"/>
      <c r="DV246" s="342"/>
      <c r="DW246" s="475"/>
      <c r="DX246" s="475"/>
      <c r="DY246" s="342"/>
      <c r="DZ246" s="342"/>
      <c r="EA246" s="342"/>
      <c r="EB246" s="342"/>
      <c r="EC246" s="475"/>
      <c r="ED246" s="475"/>
      <c r="EE246" s="342"/>
      <c r="EF246" s="342"/>
      <c r="EG246" s="342"/>
      <c r="EH246" s="342"/>
      <c r="EI246" s="475"/>
      <c r="EJ246" s="475"/>
      <c r="EK246" s="342"/>
      <c r="EL246" s="342"/>
      <c r="EM246" s="342"/>
      <c r="EN246" s="342"/>
      <c r="EO246" s="475"/>
      <c r="EP246" s="475"/>
      <c r="EQ246" s="342"/>
      <c r="ER246" s="342"/>
      <c r="ES246" s="342"/>
      <c r="ET246" s="342"/>
      <c r="EU246" s="475"/>
      <c r="EV246" s="475"/>
      <c r="EW246" s="342"/>
      <c r="EX246" s="342"/>
      <c r="EY246" s="342"/>
      <c r="EZ246" s="342"/>
      <c r="FA246" s="475"/>
      <c r="FB246" s="475"/>
      <c r="FC246" s="342"/>
      <c r="FD246" s="342"/>
      <c r="FE246" s="342"/>
      <c r="FF246" s="342"/>
      <c r="FG246" s="475"/>
      <c r="FH246" s="475"/>
      <c r="FI246" s="342"/>
      <c r="FJ246" s="342"/>
      <c r="FK246" s="342"/>
      <c r="FL246" s="342"/>
      <c r="FM246" s="475"/>
      <c r="FN246" s="27"/>
      <c r="FO246" s="27"/>
      <c r="FP246" s="27"/>
      <c r="FQ246" s="27"/>
      <c r="FR246"/>
      <c r="FS246"/>
      <c r="FT246"/>
      <c r="FU246"/>
      <c r="FV246"/>
      <c r="FW246"/>
      <c r="FX246" s="27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</row>
    <row r="247" spans="1:274" s="24" customFormat="1" ht="10.5" hidden="1" customHeight="1" outlineLevel="1" x14ac:dyDescent="0.2">
      <c r="A247" s="27" t="s">
        <v>757</v>
      </c>
      <c r="B247" s="20"/>
      <c r="C247" s="27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342"/>
      <c r="O247" s="342"/>
      <c r="P247" s="342"/>
      <c r="Q247" s="342"/>
      <c r="R247" s="342"/>
      <c r="S247" s="342"/>
      <c r="T247" s="342"/>
      <c r="U247" s="342"/>
      <c r="V247" s="342"/>
      <c r="W247" s="342"/>
      <c r="X247" s="342"/>
      <c r="Y247" s="342"/>
      <c r="Z247" s="342"/>
      <c r="AA247" s="342"/>
      <c r="AB247" s="342"/>
      <c r="AC247" s="342"/>
      <c r="AD247" s="342"/>
      <c r="AE247" s="342"/>
      <c r="AF247" s="342"/>
      <c r="AG247" s="342"/>
      <c r="AH247" s="342"/>
      <c r="AI247" s="342"/>
      <c r="AJ247" s="342"/>
      <c r="AK247" s="342"/>
      <c r="AL247" s="342"/>
      <c r="AM247" s="342"/>
      <c r="AN247" s="342"/>
      <c r="AO247" s="342"/>
      <c r="AP247" s="342"/>
      <c r="AQ247" s="342"/>
      <c r="AR247" s="342"/>
      <c r="AS247" s="342"/>
      <c r="AT247" s="342"/>
      <c r="AU247" s="342"/>
      <c r="AV247" s="342"/>
      <c r="AW247" s="342"/>
      <c r="AX247" s="342"/>
      <c r="AY247" s="342"/>
      <c r="AZ247" s="342"/>
      <c r="BA247" s="342"/>
      <c r="BB247" s="342"/>
      <c r="BC247" s="342">
        <f>BC283</f>
        <v>197</v>
      </c>
      <c r="BD247" s="342"/>
      <c r="BE247" s="342"/>
      <c r="BF247" s="342"/>
      <c r="BG247" s="342"/>
      <c r="BH247" s="342"/>
      <c r="BI247" s="342">
        <f>BI283</f>
        <v>258</v>
      </c>
      <c r="BJ247" s="342"/>
      <c r="BK247" s="342"/>
      <c r="BL247" s="342"/>
      <c r="BM247" s="342"/>
      <c r="BN247" s="342"/>
      <c r="BO247" s="342">
        <f>BO283</f>
        <v>294</v>
      </c>
      <c r="BP247" s="342"/>
      <c r="BQ247" s="342"/>
      <c r="BR247" s="342"/>
      <c r="BS247" s="342"/>
      <c r="BT247" s="342"/>
      <c r="BU247" s="342">
        <f>BU283</f>
        <v>326</v>
      </c>
      <c r="BV247" s="342"/>
      <c r="BW247" s="342"/>
      <c r="BX247" s="342"/>
      <c r="BY247" s="342"/>
      <c r="BZ247" s="342"/>
      <c r="CA247" s="342"/>
      <c r="CB247" s="342"/>
      <c r="CC247" s="342"/>
      <c r="CD247" s="342"/>
      <c r="CE247" s="342"/>
      <c r="CF247" s="342"/>
      <c r="CG247" s="342"/>
      <c r="CH247" s="342"/>
      <c r="CI247" s="342"/>
      <c r="CJ247" s="342"/>
      <c r="CK247" s="342"/>
      <c r="CL247" s="342"/>
      <c r="CM247" s="342"/>
      <c r="CN247" s="342"/>
      <c r="CO247" s="342"/>
      <c r="CP247" s="342"/>
      <c r="CQ247" s="342"/>
      <c r="CR247" s="342"/>
      <c r="CS247" s="342"/>
      <c r="CT247" s="475"/>
      <c r="CU247" s="342"/>
      <c r="CV247" s="342"/>
      <c r="CW247" s="342"/>
      <c r="CX247" s="342"/>
      <c r="CY247" s="342"/>
      <c r="CZ247" s="475"/>
      <c r="DA247" s="342"/>
      <c r="DB247" s="342"/>
      <c r="DC247" s="342"/>
      <c r="DD247" s="342"/>
      <c r="DE247" s="475"/>
      <c r="DF247" s="475"/>
      <c r="DG247" s="342"/>
      <c r="DH247" s="342"/>
      <c r="DI247" s="342"/>
      <c r="DJ247" s="342"/>
      <c r="DK247" s="475"/>
      <c r="DL247" s="475"/>
      <c r="DM247" s="342"/>
      <c r="DN247" s="342"/>
      <c r="DO247" s="342"/>
      <c r="DP247" s="342"/>
      <c r="DQ247" s="475"/>
      <c r="DR247" s="475"/>
      <c r="DS247" s="342"/>
      <c r="DT247" s="342"/>
      <c r="DU247" s="342"/>
      <c r="DV247" s="342"/>
      <c r="DW247" s="475"/>
      <c r="DX247" s="475"/>
      <c r="DY247" s="342"/>
      <c r="DZ247" s="342"/>
      <c r="EA247" s="342"/>
      <c r="EB247" s="342"/>
      <c r="EC247" s="475"/>
      <c r="ED247" s="475"/>
      <c r="EE247" s="342"/>
      <c r="EF247" s="342"/>
      <c r="EG247" s="342"/>
      <c r="EH247" s="342"/>
      <c r="EI247" s="475"/>
      <c r="EJ247" s="475"/>
      <c r="EK247" s="342"/>
      <c r="EL247" s="342"/>
      <c r="EM247" s="342"/>
      <c r="EN247" s="342"/>
      <c r="EO247" s="475"/>
      <c r="EP247" s="475"/>
      <c r="EQ247" s="342"/>
      <c r="ER247" s="342"/>
      <c r="ES247" s="342"/>
      <c r="ET247" s="342"/>
      <c r="EU247" s="475"/>
      <c r="EV247" s="475"/>
      <c r="EW247" s="342"/>
      <c r="EX247" s="342"/>
      <c r="EY247" s="342"/>
      <c r="EZ247" s="342"/>
      <c r="FA247" s="475"/>
      <c r="FB247" s="475"/>
      <c r="FC247" s="342"/>
      <c r="FD247" s="342"/>
      <c r="FE247" s="342"/>
      <c r="FF247" s="342"/>
      <c r="FG247" s="475"/>
      <c r="FH247" s="475"/>
      <c r="FI247" s="342"/>
      <c r="FJ247" s="342"/>
      <c r="FK247" s="342"/>
      <c r="FL247" s="342"/>
      <c r="FM247" s="475"/>
      <c r="FN247" s="27"/>
      <c r="FO247" s="27"/>
      <c r="FP247" s="27"/>
      <c r="FQ247" s="27"/>
      <c r="FR247"/>
      <c r="FS247"/>
      <c r="FT247"/>
      <c r="FU247"/>
      <c r="FV247"/>
      <c r="FW247"/>
      <c r="FX247" s="2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</row>
    <row r="248" spans="1:274" s="24" customFormat="1" ht="10.5" hidden="1" customHeight="1" outlineLevel="1" x14ac:dyDescent="0.2">
      <c r="A248" s="27"/>
      <c r="B248" s="20"/>
      <c r="C248" s="27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342"/>
      <c r="O248" s="342"/>
      <c r="P248" s="342"/>
      <c r="Q248" s="342"/>
      <c r="R248" s="342"/>
      <c r="S248" s="342"/>
      <c r="T248" s="342"/>
      <c r="U248" s="342"/>
      <c r="V248" s="342"/>
      <c r="W248" s="342"/>
      <c r="X248" s="342"/>
      <c r="Y248" s="342"/>
      <c r="Z248" s="342"/>
      <c r="AA248" s="342"/>
      <c r="AB248" s="342"/>
      <c r="AC248" s="342"/>
      <c r="AD248" s="342"/>
      <c r="AE248" s="342"/>
      <c r="AF248" s="342"/>
      <c r="AG248" s="342"/>
      <c r="AH248" s="342"/>
      <c r="AI248" s="342"/>
      <c r="AJ248" s="342"/>
      <c r="AK248" s="342"/>
      <c r="AL248" s="342"/>
      <c r="AM248" s="342"/>
      <c r="AN248" s="342"/>
      <c r="AO248" s="342"/>
      <c r="AP248" s="342"/>
      <c r="AQ248" s="342"/>
      <c r="AR248" s="342"/>
      <c r="AS248" s="342"/>
      <c r="AT248" s="342"/>
      <c r="AU248" s="342"/>
      <c r="AV248" s="342"/>
      <c r="AW248" s="342"/>
      <c r="AX248" s="342"/>
      <c r="AY248" s="342"/>
      <c r="AZ248" s="342"/>
      <c r="BA248" s="342"/>
      <c r="BB248" s="342"/>
      <c r="BC248" s="342"/>
      <c r="BD248" s="342"/>
      <c r="BE248" s="40"/>
      <c r="BF248" s="40"/>
      <c r="BG248" s="40"/>
      <c r="BH248" s="40"/>
      <c r="BI248" s="342"/>
      <c r="BJ248" s="342"/>
      <c r="BK248" s="342"/>
      <c r="BL248" s="342"/>
      <c r="BM248" s="342"/>
      <c r="BN248" s="342"/>
      <c r="BO248" s="342"/>
      <c r="BP248" s="342"/>
      <c r="BQ248" s="342"/>
      <c r="BR248" s="342"/>
      <c r="BS248" s="342"/>
      <c r="BT248" s="342"/>
      <c r="BU248" s="342"/>
      <c r="BV248" s="342"/>
      <c r="BW248" s="342"/>
      <c r="BX248" s="342"/>
      <c r="BY248" s="342"/>
      <c r="BZ248" s="342"/>
      <c r="CA248" s="342"/>
      <c r="CB248" s="342"/>
      <c r="CC248" s="342"/>
      <c r="CD248" s="342"/>
      <c r="CE248" s="342"/>
      <c r="CF248" s="342"/>
      <c r="CG248" s="342"/>
      <c r="CH248" s="342"/>
      <c r="CI248" s="342"/>
      <c r="CJ248" s="342"/>
      <c r="CK248" s="342"/>
      <c r="CL248" s="342"/>
      <c r="CM248" s="342"/>
      <c r="CN248" s="342"/>
      <c r="CO248" s="342"/>
      <c r="CP248" s="342"/>
      <c r="CQ248" s="342"/>
      <c r="CR248" s="342"/>
      <c r="CS248" s="342"/>
      <c r="CT248" s="475"/>
      <c r="CU248" s="342"/>
      <c r="CV248" s="342"/>
      <c r="CW248" s="342"/>
      <c r="CX248" s="342"/>
      <c r="CY248" s="342"/>
      <c r="CZ248" s="475"/>
      <c r="DA248" s="342"/>
      <c r="DB248" s="342"/>
      <c r="DC248" s="342"/>
      <c r="DD248" s="342"/>
      <c r="DE248" s="475"/>
      <c r="DF248" s="475"/>
      <c r="DG248" s="342"/>
      <c r="DH248" s="342"/>
      <c r="DI248" s="342"/>
      <c r="DJ248" s="342"/>
      <c r="DK248" s="475"/>
      <c r="DL248" s="475"/>
      <c r="DM248" s="342"/>
      <c r="DN248" s="342"/>
      <c r="DO248" s="342"/>
      <c r="DP248" s="342"/>
      <c r="DQ248" s="475"/>
      <c r="DR248" s="475"/>
      <c r="DS248" s="342"/>
      <c r="DT248" s="342"/>
      <c r="DU248" s="342"/>
      <c r="DV248" s="342"/>
      <c r="DW248" s="475"/>
      <c r="DX248" s="475"/>
      <c r="DY248" s="342"/>
      <c r="DZ248" s="342"/>
      <c r="EA248" s="342"/>
      <c r="EB248" s="342"/>
      <c r="EC248" s="475"/>
      <c r="ED248" s="475"/>
      <c r="EE248" s="342"/>
      <c r="EF248" s="342"/>
      <c r="EG248" s="342"/>
      <c r="EH248" s="342"/>
      <c r="EI248" s="475"/>
      <c r="EJ248" s="475"/>
      <c r="EK248" s="342"/>
      <c r="EL248" s="342"/>
      <c r="EM248" s="342"/>
      <c r="EN248" s="342"/>
      <c r="EO248" s="475"/>
      <c r="EP248" s="475"/>
      <c r="EQ248" s="342"/>
      <c r="ER248" s="342"/>
      <c r="ES248" s="342"/>
      <c r="ET248" s="342"/>
      <c r="EU248" s="475"/>
      <c r="EV248" s="475"/>
      <c r="EW248" s="342"/>
      <c r="EX248" s="342"/>
      <c r="EY248" s="342"/>
      <c r="EZ248" s="342"/>
      <c r="FA248" s="475"/>
      <c r="FB248" s="475"/>
      <c r="FC248" s="342"/>
      <c r="FD248" s="342"/>
      <c r="FE248" s="342"/>
      <c r="FF248" s="342"/>
      <c r="FG248" s="475"/>
      <c r="FH248" s="475"/>
      <c r="FI248" s="342"/>
      <c r="FJ248" s="342"/>
      <c r="FK248" s="342"/>
      <c r="FL248" s="342"/>
      <c r="FM248" s="475"/>
      <c r="FN248" s="27"/>
      <c r="FO248" s="27"/>
      <c r="FP248" s="27"/>
      <c r="FQ248" s="27"/>
      <c r="FR248"/>
      <c r="FS248"/>
      <c r="FT248"/>
      <c r="FU248"/>
      <c r="FV248"/>
      <c r="FW248"/>
      <c r="FX248" s="27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</row>
    <row r="249" spans="1:274" s="24" customFormat="1" ht="10.5" hidden="1" customHeight="1" outlineLevel="1" x14ac:dyDescent="0.2">
      <c r="A249" s="32" t="s">
        <v>758</v>
      </c>
      <c r="B249" s="20"/>
      <c r="C249" s="27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342"/>
      <c r="O249" s="342"/>
      <c r="P249" s="342"/>
      <c r="Q249" s="342"/>
      <c r="R249" s="342"/>
      <c r="S249" s="342"/>
      <c r="T249" s="342"/>
      <c r="U249" s="342"/>
      <c r="V249" s="342"/>
      <c r="W249" s="342"/>
      <c r="X249" s="342"/>
      <c r="Y249" s="342"/>
      <c r="Z249" s="342"/>
      <c r="AA249" s="342"/>
      <c r="AB249" s="342"/>
      <c r="AC249" s="342"/>
      <c r="AD249" s="342"/>
      <c r="AE249" s="342"/>
      <c r="AF249" s="342"/>
      <c r="AG249" s="342"/>
      <c r="AH249" s="342"/>
      <c r="AI249" s="342"/>
      <c r="AJ249" s="342"/>
      <c r="AK249" s="342"/>
      <c r="AL249" s="342"/>
      <c r="AM249" s="342"/>
      <c r="AN249" s="342"/>
      <c r="AO249" s="342"/>
      <c r="AP249" s="342"/>
      <c r="AQ249" s="342"/>
      <c r="AR249" s="342"/>
      <c r="AS249" s="342"/>
      <c r="AT249" s="342"/>
      <c r="AU249" s="342"/>
      <c r="AV249" s="342"/>
      <c r="AW249" s="342"/>
      <c r="AX249" s="342"/>
      <c r="AY249" s="342"/>
      <c r="AZ249" s="342"/>
      <c r="BA249" s="342"/>
      <c r="BB249" s="342"/>
      <c r="BC249" s="342"/>
      <c r="BD249" s="342"/>
      <c r="BE249" s="40"/>
      <c r="BF249" s="40"/>
      <c r="BG249" s="40"/>
      <c r="BH249" s="40"/>
      <c r="BI249" s="342"/>
      <c r="BJ249" s="342"/>
      <c r="BK249" s="342"/>
      <c r="BL249" s="342"/>
      <c r="BM249" s="342"/>
      <c r="BN249" s="342"/>
      <c r="BO249" s="342"/>
      <c r="BP249" s="342"/>
      <c r="BQ249" s="342"/>
      <c r="BR249" s="342"/>
      <c r="BS249" s="342"/>
      <c r="BT249" s="342"/>
      <c r="BU249" s="342"/>
      <c r="BV249" s="342"/>
      <c r="BW249" s="342"/>
      <c r="BX249" s="342"/>
      <c r="BY249" s="342"/>
      <c r="BZ249" s="342"/>
      <c r="CA249" s="342"/>
      <c r="CB249" s="342"/>
      <c r="CC249" s="342"/>
      <c r="CD249" s="342"/>
      <c r="CE249" s="342"/>
      <c r="CF249" s="342"/>
      <c r="CG249" s="342"/>
      <c r="CH249" s="342"/>
      <c r="CI249" s="342"/>
      <c r="CJ249" s="342"/>
      <c r="CK249" s="342"/>
      <c r="CL249" s="342"/>
      <c r="CM249" s="342"/>
      <c r="CN249" s="342"/>
      <c r="CO249" s="342"/>
      <c r="CP249" s="342"/>
      <c r="CQ249" s="342"/>
      <c r="CR249" s="342"/>
      <c r="CS249" s="342"/>
      <c r="CT249" s="475"/>
      <c r="CU249" s="342"/>
      <c r="CV249" s="342"/>
      <c r="CW249" s="342"/>
      <c r="CX249" s="342"/>
      <c r="CY249" s="342"/>
      <c r="CZ249" s="475"/>
      <c r="DA249" s="342"/>
      <c r="DB249" s="342"/>
      <c r="DC249" s="342"/>
      <c r="DD249" s="342"/>
      <c r="DE249" s="475"/>
      <c r="DF249" s="475"/>
      <c r="DG249" s="342"/>
      <c r="DH249" s="342"/>
      <c r="DI249" s="342"/>
      <c r="DJ249" s="342"/>
      <c r="DK249" s="475"/>
      <c r="DL249" s="475"/>
      <c r="DM249" s="342"/>
      <c r="DN249" s="342"/>
      <c r="DO249" s="342"/>
      <c r="DP249" s="342"/>
      <c r="DQ249" s="475"/>
      <c r="DR249" s="475"/>
      <c r="DS249" s="342"/>
      <c r="DT249" s="342"/>
      <c r="DU249" s="342"/>
      <c r="DV249" s="342"/>
      <c r="DW249" s="475"/>
      <c r="DX249" s="475"/>
      <c r="DY249" s="342"/>
      <c r="DZ249" s="342"/>
      <c r="EA249" s="342"/>
      <c r="EB249" s="342"/>
      <c r="EC249" s="475"/>
      <c r="ED249" s="475"/>
      <c r="EE249" s="342"/>
      <c r="EF249" s="342"/>
      <c r="EG249" s="342"/>
      <c r="EH249" s="342"/>
      <c r="EI249" s="475"/>
      <c r="EJ249" s="475"/>
      <c r="EK249" s="342"/>
      <c r="EL249" s="342"/>
      <c r="EM249" s="342"/>
      <c r="EN249" s="342"/>
      <c r="EO249" s="475"/>
      <c r="EP249" s="475"/>
      <c r="EQ249" s="342"/>
      <c r="ER249" s="342"/>
      <c r="ES249" s="342"/>
      <c r="ET249" s="342"/>
      <c r="EU249" s="475"/>
      <c r="EV249" s="475"/>
      <c r="EW249" s="342"/>
      <c r="EX249" s="342"/>
      <c r="EY249" s="342"/>
      <c r="EZ249" s="342"/>
      <c r="FA249" s="475"/>
      <c r="FB249" s="475"/>
      <c r="FC249" s="342"/>
      <c r="FD249" s="342"/>
      <c r="FE249" s="342"/>
      <c r="FF249" s="342"/>
      <c r="FG249" s="475"/>
      <c r="FH249" s="475"/>
      <c r="FI249" s="342"/>
      <c r="FJ249" s="342"/>
      <c r="FK249" s="342"/>
      <c r="FL249" s="342"/>
      <c r="FM249" s="475"/>
      <c r="FN249" s="27"/>
      <c r="FO249" s="27"/>
      <c r="FP249" s="27"/>
      <c r="FQ249" s="27"/>
      <c r="FR249"/>
      <c r="FS249"/>
      <c r="FT249"/>
      <c r="FU249"/>
      <c r="FV249"/>
      <c r="FW249"/>
      <c r="FX249" s="27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</row>
    <row r="250" spans="1:274" s="24" customFormat="1" ht="10.5" hidden="1" customHeight="1" outlineLevel="1" x14ac:dyDescent="0.2">
      <c r="A250" s="27" t="s">
        <v>673</v>
      </c>
      <c r="B250" s="20"/>
      <c r="C250" s="27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342"/>
      <c r="O250" s="342"/>
      <c r="P250" s="342"/>
      <c r="Q250" s="342"/>
      <c r="R250" s="342"/>
      <c r="S250" s="342"/>
      <c r="T250" s="342"/>
      <c r="U250" s="342"/>
      <c r="V250" s="342"/>
      <c r="W250" s="342"/>
      <c r="X250" s="342"/>
      <c r="Y250" s="342"/>
      <c r="Z250" s="342"/>
      <c r="AA250" s="342"/>
      <c r="AB250" s="342"/>
      <c r="AC250" s="342"/>
      <c r="AD250" s="342"/>
      <c r="AE250" s="342"/>
      <c r="AF250" s="342"/>
      <c r="AG250" s="342"/>
      <c r="AH250" s="342"/>
      <c r="AI250" s="342"/>
      <c r="AJ250" s="342"/>
      <c r="AK250" s="342"/>
      <c r="AL250" s="342"/>
      <c r="AM250" s="342"/>
      <c r="AN250" s="342"/>
      <c r="AO250" s="342"/>
      <c r="AP250" s="342"/>
      <c r="AQ250" s="342"/>
      <c r="AR250" s="342"/>
      <c r="AS250" s="342"/>
      <c r="AT250" s="342"/>
      <c r="AU250" s="342"/>
      <c r="AV250" s="342"/>
      <c r="AW250" s="342"/>
      <c r="AX250" s="342"/>
      <c r="AY250" s="342"/>
      <c r="AZ250" s="342"/>
      <c r="BA250" s="342"/>
      <c r="BB250" s="342"/>
      <c r="BC250" s="82">
        <f>BC243/BC$242</f>
        <v>2.3245996478864898E-3</v>
      </c>
      <c r="BD250" s="342"/>
      <c r="BE250" s="40"/>
      <c r="BF250" s="40"/>
      <c r="BG250" s="40"/>
      <c r="BH250" s="40"/>
      <c r="BI250" s="82">
        <f>BI243/Model!BI$226</f>
        <v>1.1968329957650525E-2</v>
      </c>
      <c r="BJ250" s="342"/>
      <c r="BK250" s="342"/>
      <c r="BL250" s="342"/>
      <c r="BM250" s="342"/>
      <c r="BN250" s="342"/>
      <c r="BO250" s="82">
        <f>BO243/Model!BO$226</f>
        <v>1.2612268297343779E-2</v>
      </c>
      <c r="BP250" s="342"/>
      <c r="BQ250" s="342"/>
      <c r="BR250" s="342"/>
      <c r="BS250" s="342"/>
      <c r="BT250" s="342"/>
      <c r="BU250" s="82">
        <f>BU243/Model!BU$226</f>
        <v>8.508992457938503E-3</v>
      </c>
      <c r="BV250" s="342"/>
      <c r="BW250" s="82">
        <f>BW243/Model!BW$226</f>
        <v>6.8252730109204371E-3</v>
      </c>
      <c r="BX250" s="82">
        <f>BX243/Model!BX$226</f>
        <v>5.8777429467084643E-4</v>
      </c>
      <c r="BY250" s="82">
        <f>BY243/Model!BY$226</f>
        <v>1.9470404984423675E-4</v>
      </c>
      <c r="BZ250" s="82">
        <f>BZ243/Model!BZ$226</f>
        <v>5.8309037900874635E-4</v>
      </c>
      <c r="CA250" s="82">
        <f>CA243/Model!CA$226</f>
        <v>8.1632653061224497E-3</v>
      </c>
      <c r="CB250" s="342"/>
      <c r="CC250" s="82">
        <f>CC243/Model!CC$226</f>
        <v>1.1846960574868906E-2</v>
      </c>
      <c r="CD250" s="82">
        <f>CD243/Model!CD$226</f>
        <v>0</v>
      </c>
      <c r="CE250" s="82">
        <f>CE243/Model!CE$226</f>
        <v>5.6475903614457829E-4</v>
      </c>
      <c r="CF250" s="82">
        <f>CF243/Model!CF$226</f>
        <v>7.6452599388379206E-4</v>
      </c>
      <c r="CG250" s="82">
        <f>CG243/Model!CG$226</f>
        <v>1.2996941896024464E-2</v>
      </c>
      <c r="CH250" s="342"/>
      <c r="CI250" s="82">
        <f>CI243/Model!CI$226</f>
        <v>1.0607521697203472E-2</v>
      </c>
      <c r="CJ250" s="82">
        <f>CJ243/Model!CJ$226</f>
        <v>3.8624951718810351E-4</v>
      </c>
      <c r="CK250" s="82">
        <f>CK243/Model!CK$226</f>
        <v>0</v>
      </c>
      <c r="CL250" s="342"/>
      <c r="CM250" s="342"/>
      <c r="CN250" s="342"/>
      <c r="CO250" s="342"/>
      <c r="CP250" s="342"/>
      <c r="CQ250" s="342"/>
      <c r="CR250" s="342"/>
      <c r="CS250" s="342"/>
      <c r="CT250" s="475"/>
      <c r="CU250" s="342"/>
      <c r="CV250" s="342"/>
      <c r="CW250" s="342"/>
      <c r="CX250" s="342"/>
      <c r="CY250" s="342"/>
      <c r="CZ250" s="475"/>
      <c r="DA250" s="342"/>
      <c r="DB250" s="342"/>
      <c r="DC250" s="342"/>
      <c r="DD250" s="342"/>
      <c r="DE250" s="475"/>
      <c r="DF250" s="475"/>
      <c r="DG250" s="342"/>
      <c r="DH250" s="342"/>
      <c r="DI250" s="342"/>
      <c r="DJ250" s="342"/>
      <c r="DK250" s="475"/>
      <c r="DL250" s="475"/>
      <c r="DM250" s="342"/>
      <c r="DN250" s="342"/>
      <c r="DO250" s="342"/>
      <c r="DP250" s="342"/>
      <c r="DQ250" s="475"/>
      <c r="DR250" s="475"/>
      <c r="DS250" s="342"/>
      <c r="DT250" s="342"/>
      <c r="DU250" s="342"/>
      <c r="DV250" s="342"/>
      <c r="DW250" s="475"/>
      <c r="DX250" s="475"/>
      <c r="DY250" s="342"/>
      <c r="DZ250" s="342"/>
      <c r="EA250" s="342"/>
      <c r="EB250" s="342"/>
      <c r="EC250" s="475"/>
      <c r="ED250" s="475"/>
      <c r="EE250" s="342"/>
      <c r="EF250" s="342"/>
      <c r="EG250" s="342"/>
      <c r="EH250" s="342"/>
      <c r="EI250" s="475"/>
      <c r="EJ250" s="475"/>
      <c r="EK250" s="342"/>
      <c r="EL250" s="342"/>
      <c r="EM250" s="342"/>
      <c r="EN250" s="342"/>
      <c r="EO250" s="475"/>
      <c r="EP250" s="475"/>
      <c r="EQ250" s="342"/>
      <c r="ER250" s="342"/>
      <c r="ES250" s="342"/>
      <c r="ET250" s="342"/>
      <c r="EU250" s="475"/>
      <c r="EV250" s="475"/>
      <c r="EW250" s="342"/>
      <c r="EX250" s="342"/>
      <c r="EY250" s="342"/>
      <c r="EZ250" s="342"/>
      <c r="FA250" s="475"/>
      <c r="FB250" s="475"/>
      <c r="FC250" s="342"/>
      <c r="FD250" s="342"/>
      <c r="FE250" s="342"/>
      <c r="FF250" s="342"/>
      <c r="FG250" s="475"/>
      <c r="FH250" s="475"/>
      <c r="FI250" s="342"/>
      <c r="FJ250" s="342"/>
      <c r="FK250" s="342"/>
      <c r="FL250" s="342"/>
      <c r="FM250" s="475"/>
      <c r="FN250" s="27"/>
      <c r="FO250" s="27"/>
      <c r="FP250" s="27"/>
      <c r="FQ250" s="27"/>
      <c r="FR250"/>
      <c r="FS250"/>
      <c r="FT250"/>
      <c r="FU250"/>
      <c r="FV250"/>
      <c r="FW250"/>
      <c r="FX250" s="27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</row>
    <row r="251" spans="1:274" s="24" customFormat="1" ht="10.5" hidden="1" customHeight="1" outlineLevel="1" x14ac:dyDescent="0.2">
      <c r="A251" s="27" t="s">
        <v>98</v>
      </c>
      <c r="B251" s="20"/>
      <c r="C251" s="27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342"/>
      <c r="O251" s="342"/>
      <c r="P251" s="342"/>
      <c r="Q251" s="342"/>
      <c r="R251" s="342"/>
      <c r="S251" s="342"/>
      <c r="T251" s="342"/>
      <c r="U251" s="342"/>
      <c r="V251" s="342"/>
      <c r="W251" s="342"/>
      <c r="X251" s="342"/>
      <c r="Y251" s="342"/>
      <c r="Z251" s="342"/>
      <c r="AA251" s="342"/>
      <c r="AB251" s="342"/>
      <c r="AC251" s="342"/>
      <c r="AD251" s="342"/>
      <c r="AE251" s="342"/>
      <c r="AF251" s="342"/>
      <c r="AG251" s="342"/>
      <c r="AH251" s="342"/>
      <c r="AI251" s="342"/>
      <c r="AJ251" s="342"/>
      <c r="AK251" s="342"/>
      <c r="AL251" s="342"/>
      <c r="AM251" s="342"/>
      <c r="AN251" s="342"/>
      <c r="AO251" s="342"/>
      <c r="AP251" s="342"/>
      <c r="AQ251" s="342"/>
      <c r="AR251" s="342"/>
      <c r="AS251" s="342"/>
      <c r="AT251" s="342"/>
      <c r="AU251" s="342"/>
      <c r="AV251" s="342"/>
      <c r="AW251" s="342"/>
      <c r="AX251" s="342"/>
      <c r="AY251" s="342"/>
      <c r="AZ251" s="342"/>
      <c r="BA251" s="342"/>
      <c r="BB251" s="342"/>
      <c r="BC251" s="82">
        <f>BC244/BC$242</f>
        <v>-7.3314296587189296E-3</v>
      </c>
      <c r="BD251" s="342"/>
      <c r="BE251" s="40"/>
      <c r="BF251" s="40"/>
      <c r="BG251" s="40"/>
      <c r="BH251" s="40"/>
      <c r="BI251" s="82">
        <f>BI244/Model!BI$226</f>
        <v>7.5492542809795617E-3</v>
      </c>
      <c r="BJ251" s="342"/>
      <c r="BK251" s="342"/>
      <c r="BL251" s="342"/>
      <c r="BM251" s="342"/>
      <c r="BN251" s="342"/>
      <c r="BO251" s="82">
        <f>BO244/Model!BO$226</f>
        <v>9.3636537359067448E-3</v>
      </c>
      <c r="BP251" s="342"/>
      <c r="BQ251" s="342"/>
      <c r="BR251" s="342"/>
      <c r="BS251" s="342"/>
      <c r="BT251" s="342"/>
      <c r="BU251" s="82">
        <f>BU244/Model!BU$226</f>
        <v>4.4478824211951267E-3</v>
      </c>
      <c r="BV251" s="342"/>
      <c r="BW251" s="82">
        <f>BW244/Model!BW$226</f>
        <v>6.2402496099843996E-3</v>
      </c>
      <c r="BX251" s="82">
        <f>BX244/Model!BX$226</f>
        <v>-3.9184952978056425E-4</v>
      </c>
      <c r="BY251" s="82">
        <f>BY244/Model!BY$226</f>
        <v>-1.7523364485981308E-3</v>
      </c>
      <c r="BZ251" s="82">
        <f>BZ244/Model!BZ$226</f>
        <v>-3.4985422740524781E-3</v>
      </c>
      <c r="CA251" s="82">
        <f>CA244/Model!CA$226</f>
        <v>5.8309037900874635E-4</v>
      </c>
      <c r="CB251" s="342"/>
      <c r="CC251" s="82">
        <f>CC244/Model!CC$226</f>
        <v>9.9048358904641684E-3</v>
      </c>
      <c r="CD251" s="82">
        <f>CD244/Model!CD$226</f>
        <v>-2.3282887077997671E-3</v>
      </c>
      <c r="CE251" s="82">
        <f>CE244/Model!CE$226</f>
        <v>-1.1295180722891566E-3</v>
      </c>
      <c r="CF251" s="82">
        <f>CF244/Model!CF$226</f>
        <v>-4.5871559633027525E-3</v>
      </c>
      <c r="CG251" s="82">
        <f>CG244/Model!CG$226</f>
        <v>1.7201834862385322E-3</v>
      </c>
      <c r="CH251" s="342"/>
      <c r="CI251" s="82">
        <f>CI244/Model!CI$226</f>
        <v>1.0028929604628737E-2</v>
      </c>
      <c r="CJ251" s="82">
        <f>CJ244/Model!CJ$226</f>
        <v>-5.7937427578215526E-4</v>
      </c>
      <c r="CK251" s="82">
        <f>CK244/Model!CK$226</f>
        <v>-1.1682242990654205E-3</v>
      </c>
      <c r="CL251" s="342"/>
      <c r="CM251" s="342"/>
      <c r="CN251" s="342"/>
      <c r="CO251" s="342"/>
      <c r="CP251" s="342"/>
      <c r="CQ251" s="342"/>
      <c r="CR251" s="342"/>
      <c r="CS251" s="342"/>
      <c r="CT251" s="475"/>
      <c r="CU251" s="342"/>
      <c r="CV251" s="342"/>
      <c r="CW251" s="342"/>
      <c r="CX251" s="342"/>
      <c r="CY251" s="342"/>
      <c r="CZ251" s="475"/>
      <c r="DA251" s="342"/>
      <c r="DB251" s="342"/>
      <c r="DC251" s="342"/>
      <c r="DD251" s="342"/>
      <c r="DE251" s="475"/>
      <c r="DF251" s="475"/>
      <c r="DG251" s="342"/>
      <c r="DH251" s="342"/>
      <c r="DI251" s="342"/>
      <c r="DJ251" s="342"/>
      <c r="DK251" s="475"/>
      <c r="DL251" s="475"/>
      <c r="DM251" s="342"/>
      <c r="DN251" s="342"/>
      <c r="DO251" s="342"/>
      <c r="DP251" s="342"/>
      <c r="DQ251" s="475"/>
      <c r="DR251" s="475"/>
      <c r="DS251" s="342"/>
      <c r="DT251" s="342"/>
      <c r="DU251" s="342"/>
      <c r="DV251" s="342"/>
      <c r="DW251" s="475"/>
      <c r="DX251" s="475"/>
      <c r="DY251" s="342"/>
      <c r="DZ251" s="342"/>
      <c r="EA251" s="342"/>
      <c r="EB251" s="342"/>
      <c r="EC251" s="475"/>
      <c r="ED251" s="475"/>
      <c r="EE251" s="342"/>
      <c r="EF251" s="342"/>
      <c r="EG251" s="342"/>
      <c r="EH251" s="342"/>
      <c r="EI251" s="475"/>
      <c r="EJ251" s="475"/>
      <c r="EK251" s="342"/>
      <c r="EL251" s="342"/>
      <c r="EM251" s="342"/>
      <c r="EN251" s="342"/>
      <c r="EO251" s="475"/>
      <c r="EP251" s="475"/>
      <c r="EQ251" s="342"/>
      <c r="ER251" s="342"/>
      <c r="ES251" s="342"/>
      <c r="ET251" s="342"/>
      <c r="EU251" s="475"/>
      <c r="EV251" s="475"/>
      <c r="EW251" s="342"/>
      <c r="EX251" s="342"/>
      <c r="EY251" s="342"/>
      <c r="EZ251" s="342"/>
      <c r="FA251" s="475"/>
      <c r="FB251" s="475"/>
      <c r="FC251" s="342"/>
      <c r="FD251" s="342"/>
      <c r="FE251" s="342"/>
      <c r="FF251" s="342"/>
      <c r="FG251" s="475"/>
      <c r="FH251" s="475"/>
      <c r="FI251" s="342"/>
      <c r="FJ251" s="342"/>
      <c r="FK251" s="342"/>
      <c r="FL251" s="342"/>
      <c r="FM251" s="475"/>
      <c r="FN251" s="27"/>
      <c r="FO251" s="27"/>
      <c r="FP251" s="27"/>
      <c r="FQ251" s="27"/>
      <c r="FR251"/>
      <c r="FS251"/>
      <c r="FT251"/>
      <c r="FU251"/>
      <c r="FV251"/>
      <c r="FW251"/>
      <c r="FX251" s="27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</row>
    <row r="252" spans="1:274" s="24" customFormat="1" ht="10.5" hidden="1" customHeight="1" outlineLevel="1" x14ac:dyDescent="0.2">
      <c r="A252" s="27" t="s">
        <v>99</v>
      </c>
      <c r="B252" s="20"/>
      <c r="C252" s="27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342"/>
      <c r="O252" s="342"/>
      <c r="P252" s="342"/>
      <c r="Q252" s="342"/>
      <c r="R252" s="342"/>
      <c r="S252" s="342"/>
      <c r="T252" s="342"/>
      <c r="U252" s="342"/>
      <c r="V252" s="342"/>
      <c r="W252" s="342"/>
      <c r="X252" s="342"/>
      <c r="Y252" s="342"/>
      <c r="Z252" s="342"/>
      <c r="AA252" s="342"/>
      <c r="AB252" s="342"/>
      <c r="AC252" s="342"/>
      <c r="AD252" s="342"/>
      <c r="AE252" s="342"/>
      <c r="AF252" s="342"/>
      <c r="AG252" s="342"/>
      <c r="AH252" s="342"/>
      <c r="AI252" s="342"/>
      <c r="AJ252" s="342"/>
      <c r="AK252" s="342"/>
      <c r="AL252" s="342"/>
      <c r="AM252" s="342"/>
      <c r="AN252" s="342"/>
      <c r="AO252" s="342"/>
      <c r="AP252" s="342"/>
      <c r="AQ252" s="342"/>
      <c r="AR252" s="342"/>
      <c r="AS252" s="342"/>
      <c r="AT252" s="342"/>
      <c r="AU252" s="342"/>
      <c r="AV252" s="342"/>
      <c r="AW252" s="342"/>
      <c r="AX252" s="342"/>
      <c r="AY252" s="342"/>
      <c r="AZ252" s="342"/>
      <c r="BA252" s="342"/>
      <c r="BB252" s="342"/>
      <c r="BC252" s="82">
        <f>BC245/BC$242</f>
        <v>1.9490873970740567E-2</v>
      </c>
      <c r="BD252" s="342"/>
      <c r="BE252" s="40"/>
      <c r="BF252" s="40"/>
      <c r="BG252" s="40"/>
      <c r="BH252" s="40"/>
      <c r="BI252" s="82">
        <f>BI245/Model!BI$226</f>
        <v>5.3397164426440807E-3</v>
      </c>
      <c r="BJ252" s="342"/>
      <c r="BK252" s="342"/>
      <c r="BL252" s="342"/>
      <c r="BM252" s="342"/>
      <c r="BN252" s="342"/>
      <c r="BO252" s="82">
        <f>BO245/Model!BO$226</f>
        <v>9.1725587617045665E-3</v>
      </c>
      <c r="BP252" s="342"/>
      <c r="BQ252" s="342"/>
      <c r="BR252" s="342"/>
      <c r="BS252" s="342"/>
      <c r="BT252" s="342"/>
      <c r="BU252" s="82">
        <f>BU245/Model!BU$226</f>
        <v>7.3486753045832525E-3</v>
      </c>
      <c r="BV252" s="342"/>
      <c r="BW252" s="82">
        <f>BW245/Model!BW$226</f>
        <v>1.1700468018720749E-3</v>
      </c>
      <c r="BX252" s="82">
        <f>BX245/Model!BX$226</f>
        <v>2.1551724137931034E-3</v>
      </c>
      <c r="BY252" s="82">
        <f>BY245/Model!BY$226</f>
        <v>6.2305295950155761E-3</v>
      </c>
      <c r="BZ252" s="82">
        <f>BZ245/Model!BZ$226</f>
        <v>4.2759961127308063E-3</v>
      </c>
      <c r="CA252" s="82">
        <f>CA245/Model!CA$226</f>
        <v>1.3799805636540331E-2</v>
      </c>
      <c r="CB252" s="342"/>
      <c r="CC252" s="82">
        <f>CC245/Model!CC$226</f>
        <v>4.4668867741308989E-3</v>
      </c>
      <c r="CD252" s="82">
        <f>CD245/Model!CD$226</f>
        <v>1.3581684128831976E-3</v>
      </c>
      <c r="CE252" s="82">
        <f>CE245/Model!CE$226</f>
        <v>3.200301204819277E-3</v>
      </c>
      <c r="CF252" s="82">
        <f>CF245/Model!CF$226</f>
        <v>7.6452599388379203E-3</v>
      </c>
      <c r="CG252" s="82">
        <f>CG245/Model!CG$226</f>
        <v>1.6628440366972478E-2</v>
      </c>
      <c r="CH252" s="342"/>
      <c r="CI252" s="82">
        <f>CI245/Model!CI$226</f>
        <v>3.8572806171648989E-3</v>
      </c>
      <c r="CJ252" s="82">
        <f>CJ245/Model!CJ$226</f>
        <v>9.0768636539204327E-3</v>
      </c>
      <c r="CK252" s="82">
        <f>CK245/Model!CK$226</f>
        <v>2.9205607476635513E-3</v>
      </c>
      <c r="CL252" s="342"/>
      <c r="CM252" s="342"/>
      <c r="CN252" s="342"/>
      <c r="CO252" s="342"/>
      <c r="CP252" s="342"/>
      <c r="CQ252" s="342"/>
      <c r="CR252" s="342"/>
      <c r="CS252" s="342"/>
      <c r="CT252" s="475"/>
      <c r="CU252" s="342"/>
      <c r="CV252" s="342"/>
      <c r="CW252" s="342"/>
      <c r="CX252" s="342"/>
      <c r="CY252" s="342"/>
      <c r="CZ252" s="475"/>
      <c r="DA252" s="342"/>
      <c r="DB252" s="342"/>
      <c r="DC252" s="342"/>
      <c r="DD252" s="342"/>
      <c r="DE252" s="475"/>
      <c r="DF252" s="475"/>
      <c r="DG252" s="342"/>
      <c r="DH252" s="342"/>
      <c r="DI252" s="342"/>
      <c r="DJ252" s="342"/>
      <c r="DK252" s="475"/>
      <c r="DL252" s="475"/>
      <c r="DM252" s="342"/>
      <c r="DN252" s="342"/>
      <c r="DO252" s="342"/>
      <c r="DP252" s="342"/>
      <c r="DQ252" s="475"/>
      <c r="DR252" s="475"/>
      <c r="DS252" s="342"/>
      <c r="DT252" s="342"/>
      <c r="DU252" s="342"/>
      <c r="DV252" s="342"/>
      <c r="DW252" s="475"/>
      <c r="DX252" s="475"/>
      <c r="DY252" s="342"/>
      <c r="DZ252" s="342"/>
      <c r="EA252" s="342"/>
      <c r="EB252" s="342"/>
      <c r="EC252" s="475"/>
      <c r="ED252" s="475"/>
      <c r="EE252" s="342"/>
      <c r="EF252" s="342"/>
      <c r="EG252" s="342"/>
      <c r="EH252" s="342"/>
      <c r="EI252" s="475"/>
      <c r="EJ252" s="475"/>
      <c r="EK252" s="342"/>
      <c r="EL252" s="342"/>
      <c r="EM252" s="342"/>
      <c r="EN252" s="342"/>
      <c r="EO252" s="475"/>
      <c r="EP252" s="475"/>
      <c r="EQ252" s="342"/>
      <c r="ER252" s="342"/>
      <c r="ES252" s="342"/>
      <c r="ET252" s="342"/>
      <c r="EU252" s="475"/>
      <c r="EV252" s="475"/>
      <c r="EW252" s="342"/>
      <c r="EX252" s="342"/>
      <c r="EY252" s="342"/>
      <c r="EZ252" s="342"/>
      <c r="FA252" s="475"/>
      <c r="FB252" s="475"/>
      <c r="FC252" s="342"/>
      <c r="FD252" s="342"/>
      <c r="FE252" s="342"/>
      <c r="FF252" s="342"/>
      <c r="FG252" s="475"/>
      <c r="FH252" s="475"/>
      <c r="FI252" s="342"/>
      <c r="FJ252" s="342"/>
      <c r="FK252" s="342"/>
      <c r="FL252" s="342"/>
      <c r="FM252" s="475"/>
      <c r="FN252" s="27"/>
      <c r="FO252" s="27"/>
      <c r="FP252" s="27"/>
      <c r="FQ252" s="27"/>
      <c r="FR252"/>
      <c r="FS252"/>
      <c r="FT252"/>
      <c r="FU252"/>
      <c r="FV252"/>
      <c r="FW252"/>
      <c r="FX252" s="27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</row>
    <row r="253" spans="1:274" s="24" customFormat="1" ht="10.5" hidden="1" customHeight="1" outlineLevel="1" x14ac:dyDescent="0.2">
      <c r="A253" s="27" t="s">
        <v>425</v>
      </c>
      <c r="B253" s="20"/>
      <c r="C253" s="27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342"/>
      <c r="O253" s="342"/>
      <c r="P253" s="342"/>
      <c r="Q253" s="342"/>
      <c r="R253" s="342"/>
      <c r="S253" s="342"/>
      <c r="T253" s="342"/>
      <c r="U253" s="342"/>
      <c r="V253" s="342"/>
      <c r="W253" s="342"/>
      <c r="X253" s="342"/>
      <c r="Y253" s="342"/>
      <c r="Z253" s="342"/>
      <c r="AA253" s="342"/>
      <c r="AB253" s="342"/>
      <c r="AC253" s="342"/>
      <c r="AD253" s="342"/>
      <c r="AE253" s="342"/>
      <c r="AF253" s="342"/>
      <c r="AG253" s="342"/>
      <c r="AH253" s="342"/>
      <c r="AI253" s="342"/>
      <c r="AJ253" s="342"/>
      <c r="AK253" s="342"/>
      <c r="AL253" s="342"/>
      <c r="AM253" s="342"/>
      <c r="AN253" s="342"/>
      <c r="AO253" s="342"/>
      <c r="AP253" s="342"/>
      <c r="AQ253" s="342"/>
      <c r="AR253" s="342"/>
      <c r="AS253" s="342"/>
      <c r="AT253" s="342"/>
      <c r="AU253" s="342"/>
      <c r="AV253" s="342"/>
      <c r="AW253" s="342"/>
      <c r="AX253" s="342"/>
      <c r="AY253" s="342"/>
      <c r="AZ253" s="342"/>
      <c r="BA253" s="342"/>
      <c r="BB253" s="342"/>
      <c r="BC253" s="82">
        <f>BC246/BC$242</f>
        <v>7.9036388028140656E-2</v>
      </c>
      <c r="BD253" s="342"/>
      <c r="BE253" s="40"/>
      <c r="BF253" s="40"/>
      <c r="BG253" s="40"/>
      <c r="BH253" s="40"/>
      <c r="BI253" s="82">
        <f>BI246/Model!BI$226</f>
        <v>8.3594181550359054E-2</v>
      </c>
      <c r="BJ253" s="342"/>
      <c r="BK253" s="342"/>
      <c r="BL253" s="342"/>
      <c r="BM253" s="342"/>
      <c r="BN253" s="342"/>
      <c r="BO253" s="82">
        <f>BO246/Model!BO$226</f>
        <v>8.6948213261991203E-2</v>
      </c>
      <c r="BP253" s="342"/>
      <c r="BQ253" s="342"/>
      <c r="BR253" s="342"/>
      <c r="BS253" s="342"/>
      <c r="BT253" s="342"/>
      <c r="BU253" s="82">
        <f>BU246/Model!BU$226</f>
        <v>8.5089924579385037E-2</v>
      </c>
      <c r="BV253" s="342"/>
      <c r="BW253" s="82">
        <f>BW246/Model!BW$226</f>
        <v>9.087363494539781E-2</v>
      </c>
      <c r="BX253" s="82">
        <f>BX246/Model!BX$226</f>
        <v>8.8753918495297804E-2</v>
      </c>
      <c r="BY253" s="82">
        <f>BY246/Model!BY$226</f>
        <v>9.9104361370716515E-2</v>
      </c>
      <c r="BZ253" s="82">
        <f>BZ246/Model!BZ$226</f>
        <v>9.1156462585034015E-2</v>
      </c>
      <c r="CA253" s="82">
        <f>CA246/Model!CA$226</f>
        <v>9.1156462585034015E-2</v>
      </c>
      <c r="CB253" s="342"/>
      <c r="CC253" s="82">
        <f>CC246/Model!CC$226</f>
        <v>9.6912021751796459E-2</v>
      </c>
      <c r="CD253" s="82">
        <f>CD246/Model!CD$226</f>
        <v>9.3325572370973997E-2</v>
      </c>
      <c r="CE253" s="82">
        <f>CE246/Model!CE$226</f>
        <v>0.10109186746987951</v>
      </c>
      <c r="CF253" s="82">
        <f>CF246/Model!CF$226</f>
        <v>9.0405198776758414E-2</v>
      </c>
      <c r="CG253" s="82">
        <f>CG246/Model!CG$226</f>
        <v>9.0405198776758414E-2</v>
      </c>
      <c r="CH253" s="342"/>
      <c r="CI253" s="82">
        <f>CI246/Model!CI$226</f>
        <v>9.7974927675988421E-2</v>
      </c>
      <c r="CJ253" s="82">
        <f>CJ246/Model!CJ$226</f>
        <v>8.8644264194669753E-2</v>
      </c>
      <c r="CK253" s="82">
        <f>CK246/Model!CK$226</f>
        <v>8.6253894080996887E-2</v>
      </c>
      <c r="CL253" s="342"/>
      <c r="CM253" s="342"/>
      <c r="CN253" s="342"/>
      <c r="CO253" s="342"/>
      <c r="CP253" s="342"/>
      <c r="CQ253" s="342"/>
      <c r="CR253" s="342"/>
      <c r="CS253" s="342"/>
      <c r="CT253" s="475"/>
      <c r="CU253" s="342"/>
      <c r="CV253" s="342"/>
      <c r="CW253" s="342"/>
      <c r="CX253" s="342"/>
      <c r="CY253" s="342"/>
      <c r="CZ253" s="475"/>
      <c r="DA253" s="342"/>
      <c r="DB253" s="342"/>
      <c r="DC253" s="342"/>
      <c r="DD253" s="342"/>
      <c r="DE253" s="475"/>
      <c r="DF253" s="475"/>
      <c r="DG253" s="342"/>
      <c r="DH253" s="342"/>
      <c r="DI253" s="342"/>
      <c r="DJ253" s="342"/>
      <c r="DK253" s="475"/>
      <c r="DL253" s="475"/>
      <c r="DM253" s="342"/>
      <c r="DN253" s="342"/>
      <c r="DO253" s="342"/>
      <c r="DP253" s="342"/>
      <c r="DQ253" s="475"/>
      <c r="DR253" s="475"/>
      <c r="DS253" s="342"/>
      <c r="DT253" s="342"/>
      <c r="DU253" s="342"/>
      <c r="DV253" s="342"/>
      <c r="DW253" s="475"/>
      <c r="DX253" s="475"/>
      <c r="DY253" s="342"/>
      <c r="DZ253" s="342"/>
      <c r="EA253" s="342"/>
      <c r="EB253" s="342"/>
      <c r="EC253" s="475"/>
      <c r="ED253" s="475"/>
      <c r="EE253" s="342"/>
      <c r="EF253" s="342"/>
      <c r="EG253" s="342"/>
      <c r="EH253" s="342"/>
      <c r="EI253" s="475"/>
      <c r="EJ253" s="475"/>
      <c r="EK253" s="342"/>
      <c r="EL253" s="342"/>
      <c r="EM253" s="342"/>
      <c r="EN253" s="342"/>
      <c r="EO253" s="475"/>
      <c r="EP253" s="475"/>
      <c r="EQ253" s="342"/>
      <c r="ER253" s="342"/>
      <c r="ES253" s="342"/>
      <c r="ET253" s="342"/>
      <c r="EU253" s="475"/>
      <c r="EV253" s="475"/>
      <c r="EW253" s="342"/>
      <c r="EX253" s="342"/>
      <c r="EY253" s="342"/>
      <c r="EZ253" s="342"/>
      <c r="FA253" s="475"/>
      <c r="FB253" s="475"/>
      <c r="FC253" s="342"/>
      <c r="FD253" s="342"/>
      <c r="FE253" s="342"/>
      <c r="FF253" s="342"/>
      <c r="FG253" s="475"/>
      <c r="FH253" s="475"/>
      <c r="FI253" s="342"/>
      <c r="FJ253" s="342"/>
      <c r="FK253" s="342"/>
      <c r="FL253" s="342"/>
      <c r="FM253" s="475"/>
      <c r="FN253" s="27"/>
      <c r="FO253" s="27"/>
      <c r="FP253" s="27"/>
      <c r="FQ253" s="27"/>
      <c r="FR253"/>
      <c r="FS253"/>
      <c r="FT253"/>
      <c r="FU253"/>
      <c r="FV253"/>
      <c r="FW253"/>
      <c r="FX253" s="27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</row>
    <row r="254" spans="1:274" s="24" customFormat="1" ht="10.5" hidden="1" customHeight="1" outlineLevel="1" x14ac:dyDescent="0.2">
      <c r="A254" s="27" t="s">
        <v>757</v>
      </c>
      <c r="B254" s="20"/>
      <c r="C254" s="27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342"/>
      <c r="O254" s="342"/>
      <c r="P254" s="342"/>
      <c r="Q254" s="342"/>
      <c r="R254" s="342"/>
      <c r="S254" s="342"/>
      <c r="T254" s="342"/>
      <c r="U254" s="342"/>
      <c r="V254" s="342"/>
      <c r="W254" s="342"/>
      <c r="X254" s="342"/>
      <c r="Y254" s="342"/>
      <c r="Z254" s="342"/>
      <c r="AA254" s="342"/>
      <c r="AB254" s="342"/>
      <c r="AC254" s="342"/>
      <c r="AD254" s="342"/>
      <c r="AE254" s="342"/>
      <c r="AF254" s="342"/>
      <c r="AG254" s="342"/>
      <c r="AH254" s="342"/>
      <c r="AI254" s="342"/>
      <c r="AJ254" s="342"/>
      <c r="AK254" s="342"/>
      <c r="AL254" s="342"/>
      <c r="AM254" s="342"/>
      <c r="AN254" s="342"/>
      <c r="AO254" s="342"/>
      <c r="AP254" s="342"/>
      <c r="AQ254" s="342"/>
      <c r="AR254" s="342"/>
      <c r="AS254" s="342"/>
      <c r="AT254" s="342"/>
      <c r="AU254" s="342"/>
      <c r="AV254" s="342"/>
      <c r="AW254" s="342"/>
      <c r="AX254" s="342"/>
      <c r="AY254" s="342"/>
      <c r="AZ254" s="342"/>
      <c r="BA254" s="342"/>
      <c r="BB254" s="342"/>
      <c r="BC254" s="82">
        <f>BC247/BC$242</f>
        <v>3.5226625433356806E-2</v>
      </c>
      <c r="BD254" s="342"/>
      <c r="BE254" s="40"/>
      <c r="BF254" s="40"/>
      <c r="BG254" s="40"/>
      <c r="BH254" s="40"/>
      <c r="BI254" s="82">
        <f>BI247/BI$242</f>
        <v>4.7505063524212854E-2</v>
      </c>
      <c r="BJ254" s="342"/>
      <c r="BK254" s="342"/>
      <c r="BL254" s="342"/>
      <c r="BM254" s="342"/>
      <c r="BN254" s="342"/>
      <c r="BO254" s="82">
        <f>BO247/BO$242</f>
        <v>5.6181922415440476E-2</v>
      </c>
      <c r="BP254" s="342"/>
      <c r="BQ254" s="342"/>
      <c r="BR254" s="342"/>
      <c r="BS254" s="342"/>
      <c r="BT254" s="342"/>
      <c r="BU254" s="82">
        <f>BU247/BU$242</f>
        <v>6.304389866563527E-2</v>
      </c>
      <c r="BV254" s="342"/>
      <c r="BW254" s="82">
        <f>BW247/BW$242</f>
        <v>0</v>
      </c>
      <c r="BX254" s="82">
        <f>BX247/BX$242</f>
        <v>0</v>
      </c>
      <c r="BY254" s="82">
        <f>BY247/BY$242</f>
        <v>0</v>
      </c>
      <c r="BZ254" s="82">
        <f>BZ247/BZ$242</f>
        <v>0</v>
      </c>
      <c r="CA254" s="82">
        <f>CA247/CA$242</f>
        <v>0</v>
      </c>
      <c r="CB254" s="342"/>
      <c r="CC254" s="82">
        <f>CC247/CC$242</f>
        <v>0</v>
      </c>
      <c r="CD254" s="82">
        <f>CD247/CD$242</f>
        <v>0</v>
      </c>
      <c r="CE254" s="82">
        <f>CE247/CE$242</f>
        <v>0</v>
      </c>
      <c r="CF254" s="82">
        <f>CF247/CF$242</f>
        <v>0</v>
      </c>
      <c r="CG254" s="82">
        <f>CG247/CG$242</f>
        <v>0</v>
      </c>
      <c r="CH254" s="342"/>
      <c r="CI254" s="82">
        <f>CI247/CI$242</f>
        <v>0</v>
      </c>
      <c r="CJ254" s="82">
        <f>CJ247/CJ$242</f>
        <v>0</v>
      </c>
      <c r="CK254" s="82">
        <f>CK247/CK$242</f>
        <v>0</v>
      </c>
      <c r="CL254" s="342"/>
      <c r="CM254" s="342"/>
      <c r="CN254" s="342"/>
      <c r="CO254" s="342"/>
      <c r="CP254" s="342"/>
      <c r="CQ254" s="342"/>
      <c r="CR254" s="342"/>
      <c r="CS254" s="342"/>
      <c r="CT254" s="475"/>
      <c r="CU254" s="342"/>
      <c r="CV254" s="342"/>
      <c r="CW254" s="342"/>
      <c r="CX254" s="342"/>
      <c r="CY254" s="342"/>
      <c r="CZ254" s="475"/>
      <c r="DA254" s="342"/>
      <c r="DB254" s="342"/>
      <c r="DC254" s="342"/>
      <c r="DD254" s="342"/>
      <c r="DE254" s="475"/>
      <c r="DF254" s="475"/>
      <c r="DG254" s="342"/>
      <c r="DH254" s="342"/>
      <c r="DI254" s="342"/>
      <c r="DJ254" s="342"/>
      <c r="DK254" s="475"/>
      <c r="DL254" s="475"/>
      <c r="DM254" s="342"/>
      <c r="DN254" s="342"/>
      <c r="DO254" s="342"/>
      <c r="DP254" s="342"/>
      <c r="DQ254" s="475"/>
      <c r="DR254" s="475"/>
      <c r="DS254" s="342"/>
      <c r="DT254" s="342"/>
      <c r="DU254" s="342"/>
      <c r="DV254" s="342"/>
      <c r="DW254" s="475"/>
      <c r="DX254" s="475"/>
      <c r="DY254" s="342"/>
      <c r="DZ254" s="342"/>
      <c r="EA254" s="342"/>
      <c r="EB254" s="342"/>
      <c r="EC254" s="475"/>
      <c r="ED254" s="475"/>
      <c r="EE254" s="342"/>
      <c r="EF254" s="342"/>
      <c r="EG254" s="342"/>
      <c r="EH254" s="342"/>
      <c r="EI254" s="475"/>
      <c r="EJ254" s="475"/>
      <c r="EK254" s="342"/>
      <c r="EL254" s="342"/>
      <c r="EM254" s="342"/>
      <c r="EN254" s="342"/>
      <c r="EO254" s="475"/>
      <c r="EP254" s="475"/>
      <c r="EQ254" s="342"/>
      <c r="ER254" s="342"/>
      <c r="ES254" s="342"/>
      <c r="ET254" s="342"/>
      <c r="EU254" s="475"/>
      <c r="EV254" s="475"/>
      <c r="EW254" s="342"/>
      <c r="EX254" s="342"/>
      <c r="EY254" s="342"/>
      <c r="EZ254" s="342"/>
      <c r="FA254" s="475"/>
      <c r="FB254" s="475"/>
      <c r="FC254" s="342"/>
      <c r="FD254" s="342"/>
      <c r="FE254" s="342"/>
      <c r="FF254" s="342"/>
      <c r="FG254" s="475"/>
      <c r="FH254" s="475"/>
      <c r="FI254" s="342"/>
      <c r="FJ254" s="342"/>
      <c r="FK254" s="342"/>
      <c r="FL254" s="342"/>
      <c r="FM254" s="475"/>
      <c r="FN254" s="27"/>
      <c r="FO254" s="27"/>
      <c r="FP254" s="27"/>
      <c r="FQ254" s="27"/>
      <c r="FR254"/>
      <c r="FS254"/>
      <c r="FT254"/>
      <c r="FU254"/>
      <c r="FV254"/>
      <c r="FW254"/>
      <c r="FX254" s="27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</row>
    <row r="255" spans="1:274" s="24" customFormat="1" ht="10.5" hidden="1" customHeight="1" outlineLevel="1" x14ac:dyDescent="0.2">
      <c r="A255" s="27"/>
      <c r="B255" s="20"/>
      <c r="C255" s="27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342"/>
      <c r="O255" s="342"/>
      <c r="P255" s="342"/>
      <c r="Q255" s="342"/>
      <c r="R255" s="342"/>
      <c r="S255" s="342"/>
      <c r="T255" s="342"/>
      <c r="U255" s="342"/>
      <c r="V255" s="342"/>
      <c r="W255" s="342"/>
      <c r="X255" s="342"/>
      <c r="Y255" s="342"/>
      <c r="Z255" s="342"/>
      <c r="AA255" s="342"/>
      <c r="AB255" s="342"/>
      <c r="AC255" s="342"/>
      <c r="AD255" s="342"/>
      <c r="AE255" s="342"/>
      <c r="AF255" s="342"/>
      <c r="AG255" s="342"/>
      <c r="AH255" s="342"/>
      <c r="AI255" s="342"/>
      <c r="AJ255" s="342"/>
      <c r="AK255" s="342"/>
      <c r="AL255" s="342"/>
      <c r="AM255" s="342"/>
      <c r="AN255" s="342"/>
      <c r="AO255" s="342"/>
      <c r="AP255" s="342"/>
      <c r="AQ255" s="342"/>
      <c r="AR255" s="342"/>
      <c r="AS255" s="342"/>
      <c r="AT255" s="342"/>
      <c r="AU255" s="342"/>
      <c r="AV255" s="342"/>
      <c r="AW255" s="342"/>
      <c r="AX255" s="342"/>
      <c r="AY255" s="342"/>
      <c r="AZ255" s="342"/>
      <c r="BA255" s="342"/>
      <c r="BB255" s="342"/>
      <c r="BC255" s="342"/>
      <c r="BD255" s="342"/>
      <c r="BE255" s="342"/>
      <c r="BF255" s="342"/>
      <c r="BG255" s="342"/>
      <c r="BH255" s="342"/>
      <c r="BI255" s="342"/>
      <c r="BJ255" s="342"/>
      <c r="BK255" s="342"/>
      <c r="BL255" s="342"/>
      <c r="BM255" s="342"/>
      <c r="BN255" s="342"/>
      <c r="BO255" s="342"/>
      <c r="BP255" s="342"/>
      <c r="BQ255" s="342"/>
      <c r="BR255" s="342"/>
      <c r="BS255" s="342"/>
      <c r="BT255" s="342"/>
      <c r="BU255" s="342"/>
      <c r="BV255" s="342"/>
      <c r="BW255" s="342"/>
      <c r="BX255" s="342"/>
      <c r="BY255" s="342"/>
      <c r="BZ255" s="342"/>
      <c r="CA255" s="342"/>
      <c r="CB255" s="342"/>
      <c r="CC255" s="342"/>
      <c r="CD255" s="342"/>
      <c r="CE255" s="342"/>
      <c r="CF255" s="342"/>
      <c r="CG255" s="342"/>
      <c r="CH255" s="342"/>
      <c r="CI255" s="342"/>
      <c r="CJ255" s="342"/>
      <c r="CK255" s="342"/>
      <c r="CL255" s="342"/>
      <c r="CM255" s="342"/>
      <c r="CN255" s="342"/>
      <c r="CO255" s="342"/>
      <c r="CP255" s="342"/>
      <c r="CQ255" s="342"/>
      <c r="CR255" s="342"/>
      <c r="CS255" s="342"/>
      <c r="CT255" s="475"/>
      <c r="CU255" s="342"/>
      <c r="CV255" s="342"/>
      <c r="CW255" s="342"/>
      <c r="CX255" s="342"/>
      <c r="CY255" s="342"/>
      <c r="CZ255" s="475"/>
      <c r="DA255" s="342"/>
      <c r="DB255" s="342"/>
      <c r="DC255" s="342"/>
      <c r="DD255" s="342"/>
      <c r="DE255" s="475"/>
      <c r="DF255" s="475"/>
      <c r="DG255" s="342"/>
      <c r="DH255" s="342"/>
      <c r="DI255" s="342"/>
      <c r="DJ255" s="342"/>
      <c r="DK255" s="475"/>
      <c r="DL255" s="475"/>
      <c r="DM255" s="342"/>
      <c r="DN255" s="342"/>
      <c r="DO255" s="342"/>
      <c r="DP255" s="342"/>
      <c r="DQ255" s="475"/>
      <c r="DR255" s="475"/>
      <c r="DS255" s="342"/>
      <c r="DT255" s="342"/>
      <c r="DU255" s="342"/>
      <c r="DV255" s="342"/>
      <c r="DW255" s="475"/>
      <c r="DX255" s="475"/>
      <c r="DY255" s="342"/>
      <c r="DZ255" s="342"/>
      <c r="EA255" s="342"/>
      <c r="EB255" s="342"/>
      <c r="EC255" s="475"/>
      <c r="ED255" s="475"/>
      <c r="EE255" s="342"/>
      <c r="EF255" s="342"/>
      <c r="EG255" s="342"/>
      <c r="EH255" s="342"/>
      <c r="EI255" s="475"/>
      <c r="EJ255" s="475"/>
      <c r="EK255" s="342"/>
      <c r="EL255" s="342"/>
      <c r="EM255" s="342"/>
      <c r="EN255" s="342"/>
      <c r="EO255" s="475"/>
      <c r="EP255" s="475"/>
      <c r="EQ255" s="342"/>
      <c r="ER255" s="342"/>
      <c r="ES255" s="342"/>
      <c r="ET255" s="342"/>
      <c r="EU255" s="475"/>
      <c r="EV255" s="475"/>
      <c r="EW255" s="342"/>
      <c r="EX255" s="342"/>
      <c r="EY255" s="342"/>
      <c r="EZ255" s="342"/>
      <c r="FA255" s="475"/>
      <c r="FB255" s="475"/>
      <c r="FC255" s="342"/>
      <c r="FD255" s="342"/>
      <c r="FE255" s="342"/>
      <c r="FF255" s="342"/>
      <c r="FG255" s="475"/>
      <c r="FH255" s="475"/>
      <c r="FI255" s="342"/>
      <c r="FJ255" s="342"/>
      <c r="FK255" s="342"/>
      <c r="FL255" s="342"/>
      <c r="FM255" s="475"/>
      <c r="FN255" s="27"/>
      <c r="FO255" s="27"/>
      <c r="FP255" s="27"/>
      <c r="FQ255" s="27"/>
      <c r="FR255"/>
      <c r="FS255"/>
      <c r="FT255"/>
      <c r="FU255"/>
      <c r="FV255"/>
      <c r="FW255"/>
      <c r="FX255" s="27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</row>
    <row r="256" spans="1:274" s="24" customFormat="1" ht="10.5" hidden="1" customHeight="1" outlineLevel="1" x14ac:dyDescent="0.2">
      <c r="A256" s="906" t="s">
        <v>959</v>
      </c>
      <c r="B256" s="342"/>
      <c r="C256" s="27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342"/>
      <c r="O256" s="342"/>
      <c r="P256" s="342"/>
      <c r="Q256" s="342"/>
      <c r="R256" s="342"/>
      <c r="S256" s="342"/>
      <c r="T256" s="342"/>
      <c r="U256" s="342"/>
      <c r="V256" s="342"/>
      <c r="W256" s="342"/>
      <c r="X256" s="342"/>
      <c r="Y256" s="342"/>
      <c r="Z256" s="342"/>
      <c r="AA256" s="342"/>
      <c r="AB256" s="342"/>
      <c r="AC256" s="342"/>
      <c r="AD256" s="342"/>
      <c r="AE256" s="342"/>
      <c r="AF256" s="342"/>
      <c r="AG256" s="342"/>
      <c r="AH256" s="342"/>
      <c r="AI256" s="342"/>
      <c r="AJ256" s="342"/>
      <c r="AK256" s="342"/>
      <c r="AL256" s="342"/>
      <c r="AM256" s="342"/>
      <c r="AN256" s="342"/>
      <c r="AO256" s="342"/>
      <c r="AP256" s="342"/>
      <c r="AQ256" s="342"/>
      <c r="AR256" s="342"/>
      <c r="AS256" s="342"/>
      <c r="AT256" s="342"/>
      <c r="AU256" s="342"/>
      <c r="AV256" s="342"/>
      <c r="AW256" s="342"/>
      <c r="AX256" s="342"/>
      <c r="AY256" s="342"/>
      <c r="AZ256" s="342"/>
      <c r="BA256" s="342"/>
      <c r="BB256" s="342"/>
      <c r="BC256" s="342"/>
      <c r="BD256" s="342"/>
      <c r="BE256" s="342"/>
      <c r="BF256" s="342"/>
      <c r="BG256" s="342"/>
      <c r="BH256" s="342"/>
      <c r="BI256" s="27"/>
      <c r="BJ256" s="342"/>
      <c r="BK256" s="342"/>
      <c r="BL256" s="342"/>
      <c r="BM256" s="342"/>
      <c r="BN256" s="342"/>
      <c r="BO256" s="342"/>
      <c r="BP256" s="342"/>
      <c r="BQ256" s="342"/>
      <c r="BR256" s="342"/>
      <c r="BS256" s="342"/>
      <c r="BT256" s="342"/>
      <c r="BU256" s="342"/>
      <c r="BV256" s="342"/>
      <c r="BW256" s="342"/>
      <c r="BX256" s="342"/>
      <c r="BY256" s="342"/>
      <c r="BZ256" s="342"/>
      <c r="CA256" s="342"/>
      <c r="CB256" s="342"/>
      <c r="CC256" s="342"/>
      <c r="CD256" s="342"/>
      <c r="CE256" s="342"/>
      <c r="CF256" s="342"/>
      <c r="CG256" s="342"/>
      <c r="CH256" s="342"/>
      <c r="CI256" s="342"/>
      <c r="CJ256" s="342"/>
      <c r="CK256" s="342"/>
      <c r="CL256" s="342"/>
      <c r="CM256" s="342"/>
      <c r="CN256" s="342"/>
      <c r="CO256" s="342"/>
      <c r="CP256" s="342"/>
      <c r="CQ256" s="342"/>
      <c r="CR256" s="342"/>
      <c r="CS256" s="342"/>
      <c r="CT256" s="475"/>
      <c r="CU256" s="342"/>
      <c r="CV256" s="342"/>
      <c r="CW256" s="342"/>
      <c r="CX256" s="342"/>
      <c r="CY256" s="342"/>
      <c r="CZ256" s="475"/>
      <c r="DA256" s="342"/>
      <c r="DB256" s="342"/>
      <c r="DC256" s="342"/>
      <c r="DD256" s="342"/>
      <c r="DE256" s="475"/>
      <c r="DF256" s="475"/>
      <c r="DG256" s="342"/>
      <c r="DH256" s="342"/>
      <c r="DI256" s="342"/>
      <c r="DJ256" s="342"/>
      <c r="DK256" s="475"/>
      <c r="DL256" s="475"/>
      <c r="DM256" s="342"/>
      <c r="DN256" s="342"/>
      <c r="DO256" s="342"/>
      <c r="DP256" s="342"/>
      <c r="DQ256" s="475"/>
      <c r="DR256" s="475"/>
      <c r="DS256" s="342"/>
      <c r="DT256" s="342"/>
      <c r="DU256" s="342"/>
      <c r="DV256" s="342"/>
      <c r="DW256" s="475"/>
      <c r="DX256" s="475"/>
      <c r="DY256" s="342"/>
      <c r="DZ256" s="342"/>
      <c r="EA256" s="342"/>
      <c r="EB256" s="342"/>
      <c r="EC256" s="475"/>
      <c r="ED256" s="475"/>
      <c r="EE256" s="342"/>
      <c r="EF256" s="342"/>
      <c r="EG256" s="342"/>
      <c r="EH256" s="342"/>
      <c r="EI256" s="475"/>
      <c r="EJ256" s="475"/>
      <c r="EK256" s="342"/>
      <c r="EL256" s="342"/>
      <c r="EM256" s="342"/>
      <c r="EN256" s="342"/>
      <c r="EO256" s="475"/>
      <c r="EP256" s="475"/>
      <c r="EQ256" s="342"/>
      <c r="ER256" s="342"/>
      <c r="ES256" s="342"/>
      <c r="ET256" s="342"/>
      <c r="EU256" s="475"/>
      <c r="EV256" s="475"/>
      <c r="EW256" s="342"/>
      <c r="EX256" s="342"/>
      <c r="EY256" s="342"/>
      <c r="EZ256" s="342"/>
      <c r="FA256" s="475"/>
      <c r="FB256" s="475"/>
      <c r="FC256" s="342"/>
      <c r="FD256" s="342"/>
      <c r="FE256" s="342"/>
      <c r="FF256" s="342"/>
      <c r="FG256" s="475"/>
      <c r="FH256" s="475"/>
      <c r="FI256" s="342"/>
      <c r="FJ256" s="342"/>
      <c r="FK256" s="342"/>
      <c r="FL256" s="342"/>
      <c r="FM256" s="475"/>
      <c r="FN256" s="27"/>
      <c r="FO256" s="27"/>
      <c r="FP256" s="27"/>
      <c r="FQ256" s="27"/>
      <c r="FR256"/>
      <c r="FS256"/>
      <c r="FT256"/>
      <c r="FU256"/>
      <c r="FV256"/>
      <c r="FW256"/>
      <c r="FX256" s="27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</row>
    <row r="257" spans="1:274" s="24" customFormat="1" ht="10.5" hidden="1" customHeight="1" outlineLevel="1" x14ac:dyDescent="0.2">
      <c r="A257" s="583" t="s">
        <v>1065</v>
      </c>
      <c r="B257" s="342"/>
      <c r="C257" s="27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342"/>
      <c r="O257" s="342"/>
      <c r="P257" s="342"/>
      <c r="Q257" s="342"/>
      <c r="R257" s="342"/>
      <c r="S257" s="342"/>
      <c r="T257" s="342"/>
      <c r="U257" s="342"/>
      <c r="V257" s="342"/>
      <c r="W257" s="342"/>
      <c r="X257" s="342"/>
      <c r="Y257" s="342"/>
      <c r="Z257" s="342"/>
      <c r="AA257" s="342"/>
      <c r="AB257" s="342"/>
      <c r="AC257" s="342"/>
      <c r="AD257" s="342"/>
      <c r="AE257" s="342"/>
      <c r="AF257" s="342"/>
      <c r="AG257" s="342"/>
      <c r="AH257" s="342"/>
      <c r="AI257" s="342"/>
      <c r="AJ257" s="342"/>
      <c r="AK257" s="342"/>
      <c r="AL257" s="342"/>
      <c r="AM257" s="342"/>
      <c r="AN257" s="342"/>
      <c r="AO257" s="342"/>
      <c r="AP257" s="342"/>
      <c r="AQ257" s="342"/>
      <c r="AR257" s="342"/>
      <c r="AS257" s="342"/>
      <c r="AT257" s="342"/>
      <c r="AU257" s="342"/>
      <c r="AV257" s="342"/>
      <c r="AW257" s="342"/>
      <c r="AX257" s="342"/>
      <c r="AY257" s="342"/>
      <c r="AZ257" s="342"/>
      <c r="BA257" s="342"/>
      <c r="BB257" s="342"/>
      <c r="BC257" s="584">
        <f>+(0.21+0.78)/2</f>
        <v>0.495</v>
      </c>
      <c r="BD257" s="85"/>
      <c r="BE257" s="85"/>
      <c r="BF257" s="85"/>
      <c r="BG257" s="85"/>
      <c r="BH257" s="85"/>
      <c r="BI257" s="584">
        <f>+(1.26+2.51)/2</f>
        <v>1.8849999999999998</v>
      </c>
      <c r="BJ257" s="85"/>
      <c r="BK257" s="85"/>
      <c r="BL257" s="85"/>
      <c r="BM257" s="85"/>
      <c r="BN257" s="85"/>
      <c r="BO257" s="584">
        <f>+(1.25+2.84)/2</f>
        <v>2.0449999999999999</v>
      </c>
      <c r="BP257" s="85"/>
      <c r="BQ257" s="584"/>
      <c r="BR257" s="585"/>
      <c r="BS257" s="585"/>
      <c r="BT257" s="85"/>
      <c r="BU257" s="584">
        <f>+(1.26+3)/2</f>
        <v>2.13</v>
      </c>
      <c r="BV257" s="85"/>
      <c r="BW257" s="584">
        <f>+(1.28+2.54)/2</f>
        <v>1.9100000000000001</v>
      </c>
      <c r="BX257" s="584">
        <f>(2.31+5.31)/2</f>
        <v>3.8099999999999996</v>
      </c>
      <c r="BY257" s="585">
        <v>1.41</v>
      </c>
      <c r="BZ257" s="85">
        <f>+CA257</f>
        <v>3.92</v>
      </c>
      <c r="CA257" s="584">
        <f>+(1.28+6.56)/2</f>
        <v>3.92</v>
      </c>
      <c r="CB257" s="85"/>
      <c r="CC257" s="584">
        <f>+(3.5+7.5)/2</f>
        <v>5.5</v>
      </c>
      <c r="CD257" s="83">
        <f>(2.5+7.15)/2</f>
        <v>4.8250000000000002</v>
      </c>
      <c r="CE257" s="83">
        <f>(0.25+7.23)/2</f>
        <v>3.74</v>
      </c>
      <c r="CF257" s="85">
        <f>+CG257</f>
        <v>3.875</v>
      </c>
      <c r="CG257" s="40">
        <f>(0.25+7.5)/2</f>
        <v>3.875</v>
      </c>
      <c r="CH257" s="342"/>
      <c r="CI257" s="584">
        <v>5.0999999999999996</v>
      </c>
      <c r="CJ257" s="342">
        <v>4.4000000000000004</v>
      </c>
      <c r="CK257" s="342">
        <v>4.4000000000000004</v>
      </c>
      <c r="CL257" s="342"/>
      <c r="CM257" s="342"/>
      <c r="CN257" s="342"/>
      <c r="CO257" s="342"/>
      <c r="CP257" s="342"/>
      <c r="CQ257" s="342"/>
      <c r="CR257" s="342"/>
      <c r="CS257" s="342"/>
      <c r="CT257" s="475"/>
      <c r="CU257" s="342"/>
      <c r="CV257" s="342"/>
      <c r="CW257" s="342"/>
      <c r="CX257" s="342"/>
      <c r="CY257" s="342"/>
      <c r="CZ257" s="475"/>
      <c r="DA257" s="342"/>
      <c r="DB257" s="342"/>
      <c r="DC257" s="342"/>
      <c r="DD257" s="342"/>
      <c r="DE257" s="475"/>
      <c r="DF257" s="475"/>
      <c r="DG257" s="342"/>
      <c r="DH257" s="342"/>
      <c r="DI257" s="342"/>
      <c r="DJ257" s="342"/>
      <c r="DK257" s="475"/>
      <c r="DL257" s="475"/>
      <c r="DM257" s="342"/>
      <c r="DN257" s="342"/>
      <c r="DO257" s="342"/>
      <c r="DP257" s="342"/>
      <c r="DQ257" s="475"/>
      <c r="DR257" s="475"/>
      <c r="DS257" s="342"/>
      <c r="DT257" s="342"/>
      <c r="DU257" s="342"/>
      <c r="DV257" s="342"/>
      <c r="DW257" s="475"/>
      <c r="DX257" s="475"/>
      <c r="DY257" s="342"/>
      <c r="DZ257" s="342"/>
      <c r="EA257" s="342"/>
      <c r="EB257" s="342"/>
      <c r="EC257" s="475"/>
      <c r="ED257" s="475"/>
      <c r="EE257" s="342"/>
      <c r="EF257" s="342"/>
      <c r="EG257" s="342"/>
      <c r="EH257" s="342"/>
      <c r="EI257" s="475"/>
      <c r="EJ257" s="475"/>
      <c r="EK257" s="342"/>
      <c r="EL257" s="342"/>
      <c r="EM257" s="342"/>
      <c r="EN257" s="342"/>
      <c r="EO257" s="475"/>
      <c r="EP257" s="475"/>
      <c r="EQ257" s="342"/>
      <c r="ER257" s="342"/>
      <c r="ES257" s="342"/>
      <c r="ET257" s="342"/>
      <c r="EU257" s="475"/>
      <c r="EV257" s="475"/>
      <c r="EW257" s="342"/>
      <c r="EX257" s="342"/>
      <c r="EY257" s="342"/>
      <c r="EZ257" s="342"/>
      <c r="FA257" s="475"/>
      <c r="FB257" s="475"/>
      <c r="FC257" s="342"/>
      <c r="FD257" s="342"/>
      <c r="FE257" s="342"/>
      <c r="FF257" s="342"/>
      <c r="FG257" s="475"/>
      <c r="FH257" s="475"/>
      <c r="FI257" s="342"/>
      <c r="FJ257" s="342"/>
      <c r="FK257" s="342"/>
      <c r="FL257" s="342"/>
      <c r="FM257" s="475"/>
      <c r="FN257" s="27"/>
      <c r="FO257" s="27"/>
      <c r="FP257" s="27"/>
      <c r="FQ257" s="27"/>
      <c r="FR257"/>
      <c r="FS257"/>
      <c r="FT257"/>
      <c r="FU257"/>
      <c r="FV257"/>
      <c r="FW257"/>
      <c r="FX257" s="2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</row>
    <row r="258" spans="1:274" s="24" customFormat="1" ht="10.5" hidden="1" customHeight="1" outlineLevel="1" x14ac:dyDescent="0.2">
      <c r="A258" s="907" t="s">
        <v>652</v>
      </c>
      <c r="B258" s="342"/>
      <c r="C258" s="27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342"/>
      <c r="O258" s="342"/>
      <c r="P258" s="342"/>
      <c r="Q258" s="342"/>
      <c r="R258" s="342"/>
      <c r="S258" s="342"/>
      <c r="T258" s="342"/>
      <c r="U258" s="342"/>
      <c r="V258" s="342"/>
      <c r="W258" s="342"/>
      <c r="X258" s="342"/>
      <c r="Y258" s="342"/>
      <c r="Z258" s="342"/>
      <c r="AA258" s="342"/>
      <c r="AB258" s="342"/>
      <c r="AC258" s="342"/>
      <c r="AD258" s="342"/>
      <c r="AE258" s="342"/>
      <c r="AF258" s="342"/>
      <c r="AG258" s="342"/>
      <c r="AH258" s="342"/>
      <c r="AI258" s="342"/>
      <c r="AJ258" s="342"/>
      <c r="AK258" s="342"/>
      <c r="AL258" s="342"/>
      <c r="AM258" s="342"/>
      <c r="AN258" s="342"/>
      <c r="AO258" s="342"/>
      <c r="AP258" s="342"/>
      <c r="AQ258" s="342"/>
      <c r="AR258" s="342"/>
      <c r="AS258" s="342"/>
      <c r="AT258" s="342"/>
      <c r="AU258" s="342"/>
      <c r="AV258" s="342"/>
      <c r="AW258" s="342"/>
      <c r="AX258" s="342"/>
      <c r="AY258" s="342"/>
      <c r="AZ258" s="342"/>
      <c r="BA258" s="342"/>
      <c r="BB258" s="342"/>
      <c r="BC258" s="586">
        <f>+(4.09+6.56)%/2</f>
        <v>5.3249999999999992E-2</v>
      </c>
      <c r="BD258" s="82"/>
      <c r="BE258" s="82"/>
      <c r="BF258" s="82"/>
      <c r="BG258" s="82"/>
      <c r="BH258" s="82"/>
      <c r="BI258" s="586">
        <f>+(3.45+4.48)%/2</f>
        <v>3.9650000000000005E-2</v>
      </c>
      <c r="BJ258" s="82"/>
      <c r="BK258" s="82"/>
      <c r="BL258" s="82"/>
      <c r="BM258" s="82"/>
      <c r="BN258" s="82"/>
      <c r="BO258" s="586">
        <f>+(1.1+3.34)%/2</f>
        <v>2.2199999999999998E-2</v>
      </c>
      <c r="BP258" s="82"/>
      <c r="BQ258" s="586"/>
      <c r="BR258" s="268"/>
      <c r="BS258" s="268"/>
      <c r="BT258" s="82"/>
      <c r="BU258" s="586">
        <f>+(1.65+4.09)%/2</f>
        <v>2.87E-2</v>
      </c>
      <c r="BV258" s="82"/>
      <c r="BW258" s="586">
        <f>+(2.4+3.31)%/2</f>
        <v>2.8549999999999999E-2</v>
      </c>
      <c r="BX258" s="586">
        <f>+(3+3.69)%/2</f>
        <v>3.3450000000000001E-2</v>
      </c>
      <c r="BY258" s="268">
        <f>+(3.59+4.05)%/2</f>
        <v>3.8199999999999998E-2</v>
      </c>
      <c r="BZ258" s="82">
        <f>+CA258</f>
        <v>3.2249999999999994E-2</v>
      </c>
      <c r="CA258" s="586">
        <f>+(2.4+4.05)%/2</f>
        <v>3.2249999999999994E-2</v>
      </c>
      <c r="CB258" s="82"/>
      <c r="CC258" s="586">
        <f>+(3.78+4.02)%/2</f>
        <v>3.8999999999999993E-2</v>
      </c>
      <c r="CD258" s="82">
        <f>(0.0426+0.0441)/2</f>
        <v>4.335E-2</v>
      </c>
      <c r="CE258" s="82">
        <f>(0.0445+0.0461)/2</f>
        <v>4.53E-2</v>
      </c>
      <c r="CF258" s="82">
        <f>+CG258</f>
        <v>4.2450000000000002E-2</v>
      </c>
      <c r="CG258" s="82">
        <f>(3.38+5.11)/200</f>
        <v>4.2450000000000002E-2</v>
      </c>
      <c r="CH258" s="342"/>
      <c r="CI258" s="586">
        <v>5.1400000000000001E-2</v>
      </c>
      <c r="CJ258" s="407">
        <v>4.5600000000000002E-2</v>
      </c>
      <c r="CK258" s="407">
        <v>4.7E-2</v>
      </c>
      <c r="CL258" s="342"/>
      <c r="CM258" s="342"/>
      <c r="CN258" s="342"/>
      <c r="CO258" s="342"/>
      <c r="CP258" s="342"/>
      <c r="CQ258" s="342"/>
      <c r="CR258" s="342"/>
      <c r="CS258" s="342"/>
      <c r="CT258" s="475"/>
      <c r="CU258" s="342"/>
      <c r="CV258" s="342"/>
      <c r="CW258" s="342"/>
      <c r="CX258" s="342"/>
      <c r="CY258" s="342"/>
      <c r="CZ258" s="475"/>
      <c r="DA258" s="342"/>
      <c r="DB258" s="342"/>
      <c r="DC258" s="342"/>
      <c r="DD258" s="342"/>
      <c r="DE258" s="475"/>
      <c r="DF258" s="475"/>
      <c r="DG258" s="342"/>
      <c r="DH258" s="342"/>
      <c r="DI258" s="342"/>
      <c r="DJ258" s="342"/>
      <c r="DK258" s="475"/>
      <c r="DL258" s="475"/>
      <c r="DM258" s="342"/>
      <c r="DN258" s="342"/>
      <c r="DO258" s="342"/>
      <c r="DP258" s="342"/>
      <c r="DQ258" s="475"/>
      <c r="DR258" s="475"/>
      <c r="DS258" s="342"/>
      <c r="DT258" s="342"/>
      <c r="DU258" s="342"/>
      <c r="DV258" s="342"/>
      <c r="DW258" s="475"/>
      <c r="DX258" s="475"/>
      <c r="DY258" s="342"/>
      <c r="DZ258" s="342"/>
      <c r="EA258" s="342"/>
      <c r="EB258" s="342"/>
      <c r="EC258" s="475"/>
      <c r="ED258" s="475"/>
      <c r="EE258" s="342"/>
      <c r="EF258" s="342"/>
      <c r="EG258" s="342"/>
      <c r="EH258" s="342"/>
      <c r="EI258" s="475"/>
      <c r="EJ258" s="475"/>
      <c r="EK258" s="342"/>
      <c r="EL258" s="342"/>
      <c r="EM258" s="342"/>
      <c r="EN258" s="342"/>
      <c r="EO258" s="475"/>
      <c r="EP258" s="475"/>
      <c r="EQ258" s="342"/>
      <c r="ER258" s="342"/>
      <c r="ES258" s="342"/>
      <c r="ET258" s="342"/>
      <c r="EU258" s="475"/>
      <c r="EV258" s="475"/>
      <c r="EW258" s="342"/>
      <c r="EX258" s="342"/>
      <c r="EY258" s="342"/>
      <c r="EZ258" s="342"/>
      <c r="FA258" s="475"/>
      <c r="FB258" s="475"/>
      <c r="FC258" s="342"/>
      <c r="FD258" s="342"/>
      <c r="FE258" s="342"/>
      <c r="FF258" s="342"/>
      <c r="FG258" s="475"/>
      <c r="FH258" s="475"/>
      <c r="FI258" s="342"/>
      <c r="FJ258" s="342"/>
      <c r="FK258" s="342"/>
      <c r="FL258" s="342"/>
      <c r="FM258" s="475"/>
      <c r="FN258" s="27"/>
      <c r="FO258" s="27"/>
      <c r="FP258" s="27"/>
      <c r="FQ258" s="27"/>
      <c r="FR258"/>
      <c r="FS258"/>
      <c r="FT258"/>
      <c r="FU258"/>
      <c r="FV258"/>
      <c r="FW258"/>
      <c r="FX258" s="27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</row>
    <row r="259" spans="1:274" s="24" customFormat="1" ht="10.5" hidden="1" customHeight="1" outlineLevel="1" x14ac:dyDescent="0.2">
      <c r="A259" s="583" t="s">
        <v>653</v>
      </c>
      <c r="B259" s="342"/>
      <c r="C259" s="27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342"/>
      <c r="O259" s="342"/>
      <c r="P259" s="342"/>
      <c r="Q259" s="342"/>
      <c r="R259" s="342"/>
      <c r="S259" s="342"/>
      <c r="T259" s="342"/>
      <c r="U259" s="342"/>
      <c r="V259" s="342"/>
      <c r="W259" s="342"/>
      <c r="X259" s="342"/>
      <c r="Y259" s="342"/>
      <c r="Z259" s="342"/>
      <c r="AA259" s="342"/>
      <c r="AB259" s="342"/>
      <c r="AC259" s="342"/>
      <c r="AD259" s="342"/>
      <c r="AE259" s="342"/>
      <c r="AF259" s="342"/>
      <c r="AG259" s="342"/>
      <c r="AH259" s="342"/>
      <c r="AI259" s="342"/>
      <c r="AJ259" s="342"/>
      <c r="AK259" s="342"/>
      <c r="AL259" s="342"/>
      <c r="AM259" s="342"/>
      <c r="AN259" s="342"/>
      <c r="AO259" s="342"/>
      <c r="AP259" s="342"/>
      <c r="AQ259" s="342"/>
      <c r="AR259" s="342"/>
      <c r="AS259" s="342"/>
      <c r="AT259" s="342"/>
      <c r="AU259" s="342"/>
      <c r="AV259" s="342"/>
      <c r="AW259" s="342"/>
      <c r="AX259" s="342"/>
      <c r="AY259" s="342"/>
      <c r="AZ259" s="342"/>
      <c r="BA259" s="342"/>
      <c r="BB259" s="342"/>
      <c r="BC259" s="94">
        <v>0.76</v>
      </c>
      <c r="BD259" s="342"/>
      <c r="BE259" s="342"/>
      <c r="BF259" s="342"/>
      <c r="BG259" s="342"/>
      <c r="BH259" s="342"/>
      <c r="BI259" s="94">
        <v>0.56999999999999995</v>
      </c>
      <c r="BJ259" s="342"/>
      <c r="BK259" s="342"/>
      <c r="BL259" s="342"/>
      <c r="BM259" s="342"/>
      <c r="BN259" s="342"/>
      <c r="BO259" s="586">
        <f>+(48+56)%/2</f>
        <v>0.52</v>
      </c>
      <c r="BP259" s="82"/>
      <c r="BQ259" s="586"/>
      <c r="BR259" s="268"/>
      <c r="BS259" s="268"/>
      <c r="BT259" s="82"/>
      <c r="BU259" s="586">
        <f>+(35+44)%/2</f>
        <v>0.39500000000000002</v>
      </c>
      <c r="BV259" s="82"/>
      <c r="BW259" s="586">
        <v>0.36</v>
      </c>
      <c r="BX259" s="586">
        <v>0.34</v>
      </c>
      <c r="BY259" s="268">
        <v>0.3</v>
      </c>
      <c r="BZ259" s="82">
        <f>+CA259</f>
        <v>0.315</v>
      </c>
      <c r="CA259" s="586">
        <f>+(27+36)%/2</f>
        <v>0.315</v>
      </c>
      <c r="CB259" s="82"/>
      <c r="CC259" s="94">
        <v>0.27</v>
      </c>
      <c r="CD259" s="43">
        <v>0.28000000000000003</v>
      </c>
      <c r="CE259" s="43">
        <f>(0.24+0.27)/2</f>
        <v>0.255</v>
      </c>
      <c r="CF259" s="82">
        <f>+CG259</f>
        <v>0.26</v>
      </c>
      <c r="CG259" s="43">
        <v>0.26</v>
      </c>
      <c r="CH259" s="342"/>
      <c r="CI259" s="94">
        <v>0.26</v>
      </c>
      <c r="CJ259" s="43">
        <v>0.27</v>
      </c>
      <c r="CK259" s="43">
        <v>0.28000000000000003</v>
      </c>
      <c r="CL259" s="342"/>
      <c r="CM259" s="342"/>
      <c r="CN259" s="342"/>
      <c r="CO259" s="342"/>
      <c r="CP259" s="342"/>
      <c r="CQ259" s="342"/>
      <c r="CR259" s="342"/>
      <c r="CS259" s="342"/>
      <c r="CT259" s="475"/>
      <c r="CU259" s="342"/>
      <c r="CV259" s="342"/>
      <c r="CW259" s="342"/>
      <c r="CX259" s="342"/>
      <c r="CY259" s="342"/>
      <c r="CZ259" s="475"/>
      <c r="DA259" s="342"/>
      <c r="DB259" s="342"/>
      <c r="DC259" s="342"/>
      <c r="DD259" s="342"/>
      <c r="DE259" s="475"/>
      <c r="DF259" s="475"/>
      <c r="DG259" s="342"/>
      <c r="DH259" s="342"/>
      <c r="DI259" s="342"/>
      <c r="DJ259" s="342"/>
      <c r="DK259" s="475"/>
      <c r="DL259" s="475"/>
      <c r="DM259" s="342"/>
      <c r="DN259" s="342"/>
      <c r="DO259" s="342"/>
      <c r="DP259" s="342"/>
      <c r="DQ259" s="475"/>
      <c r="DR259" s="475"/>
      <c r="DS259" s="342"/>
      <c r="DT259" s="342"/>
      <c r="DU259" s="342"/>
      <c r="DV259" s="342"/>
      <c r="DW259" s="475"/>
      <c r="DX259" s="475"/>
      <c r="DY259" s="342"/>
      <c r="DZ259" s="342"/>
      <c r="EA259" s="342"/>
      <c r="EB259" s="342"/>
      <c r="EC259" s="475"/>
      <c r="ED259" s="475"/>
      <c r="EE259" s="342"/>
      <c r="EF259" s="342"/>
      <c r="EG259" s="342"/>
      <c r="EH259" s="342"/>
      <c r="EI259" s="475"/>
      <c r="EJ259" s="475"/>
      <c r="EK259" s="342"/>
      <c r="EL259" s="342"/>
      <c r="EM259" s="342"/>
      <c r="EN259" s="342"/>
      <c r="EO259" s="475"/>
      <c r="EP259" s="475"/>
      <c r="EQ259" s="342"/>
      <c r="ER259" s="342"/>
      <c r="ES259" s="342"/>
      <c r="ET259" s="342"/>
      <c r="EU259" s="475"/>
      <c r="EV259" s="475"/>
      <c r="EW259" s="342"/>
      <c r="EX259" s="342"/>
      <c r="EY259" s="342"/>
      <c r="EZ259" s="342"/>
      <c r="FA259" s="475"/>
      <c r="FB259" s="475"/>
      <c r="FC259" s="342"/>
      <c r="FD259" s="342"/>
      <c r="FE259" s="342"/>
      <c r="FF259" s="342"/>
      <c r="FG259" s="475"/>
      <c r="FH259" s="475"/>
      <c r="FI259" s="342"/>
      <c r="FJ259" s="342"/>
      <c r="FK259" s="342"/>
      <c r="FL259" s="342"/>
      <c r="FM259" s="475"/>
      <c r="FN259" s="27"/>
      <c r="FO259" s="27"/>
      <c r="FP259" s="27"/>
      <c r="FQ259" s="27"/>
      <c r="FR259"/>
      <c r="FS259"/>
      <c r="FT259"/>
      <c r="FU259"/>
      <c r="FV259"/>
      <c r="FW259"/>
      <c r="FX259" s="27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</row>
    <row r="260" spans="1:274" s="24" customFormat="1" ht="10.5" hidden="1" customHeight="1" outlineLevel="1" x14ac:dyDescent="0.2">
      <c r="A260" s="907" t="s">
        <v>960</v>
      </c>
      <c r="B260" s="342"/>
      <c r="C260" s="27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342"/>
      <c r="O260" s="342"/>
      <c r="P260" s="342"/>
      <c r="Q260" s="342"/>
      <c r="R260" s="342"/>
      <c r="S260" s="342"/>
      <c r="T260" s="342"/>
      <c r="U260" s="342"/>
      <c r="V260" s="342"/>
      <c r="W260" s="342"/>
      <c r="X260" s="342"/>
      <c r="Y260" s="342"/>
      <c r="Z260" s="342"/>
      <c r="AA260" s="342"/>
      <c r="AB260" s="342"/>
      <c r="AC260" s="342"/>
      <c r="AD260" s="342"/>
      <c r="AE260" s="342"/>
      <c r="AF260" s="342"/>
      <c r="AG260" s="342"/>
      <c r="AH260" s="342"/>
      <c r="AI260" s="342"/>
      <c r="AJ260" s="342"/>
      <c r="AK260" s="342"/>
      <c r="AL260" s="342"/>
      <c r="AM260" s="342"/>
      <c r="AN260" s="342"/>
      <c r="AO260" s="342"/>
      <c r="AP260" s="342"/>
      <c r="AQ260" s="342"/>
      <c r="AR260" s="342"/>
      <c r="AS260" s="342"/>
      <c r="AT260" s="342"/>
      <c r="AU260" s="342"/>
      <c r="AV260" s="342"/>
      <c r="AW260" s="342"/>
      <c r="AX260" s="342"/>
      <c r="AY260" s="342"/>
      <c r="AZ260" s="342"/>
      <c r="BA260" s="342"/>
      <c r="BB260" s="342"/>
      <c r="BC260" s="406" t="s">
        <v>40</v>
      </c>
      <c r="BD260" s="342"/>
      <c r="BE260" s="342"/>
      <c r="BF260" s="342"/>
      <c r="BG260" s="342"/>
      <c r="BH260" s="342"/>
      <c r="BI260" s="406" t="s">
        <v>40</v>
      </c>
      <c r="BJ260" s="342"/>
      <c r="BK260" s="342"/>
      <c r="BL260" s="342"/>
      <c r="BM260" s="342"/>
      <c r="BN260" s="342"/>
      <c r="BO260" s="406" t="s">
        <v>40</v>
      </c>
      <c r="BP260" s="342"/>
      <c r="BQ260" s="406"/>
      <c r="BR260" s="27"/>
      <c r="BS260" s="27"/>
      <c r="BT260" s="342"/>
      <c r="BU260" s="406" t="s">
        <v>40</v>
      </c>
      <c r="BV260" s="342"/>
      <c r="BW260" s="406" t="s">
        <v>40</v>
      </c>
      <c r="BX260" s="406" t="s">
        <v>40</v>
      </c>
      <c r="BY260" s="406" t="s">
        <v>40</v>
      </c>
      <c r="BZ260" s="342"/>
      <c r="CA260" s="406" t="s">
        <v>40</v>
      </c>
      <c r="CB260" s="342"/>
      <c r="CC260" s="406" t="s">
        <v>40</v>
      </c>
      <c r="CD260" s="406" t="s">
        <v>40</v>
      </c>
      <c r="CE260" s="406" t="s">
        <v>40</v>
      </c>
      <c r="CF260" s="342"/>
      <c r="CG260" s="342"/>
      <c r="CH260" s="342"/>
      <c r="CI260" s="406"/>
      <c r="CJ260" s="342"/>
      <c r="CK260" s="342"/>
      <c r="CL260" s="342"/>
      <c r="CM260" s="342"/>
      <c r="CN260" s="342"/>
      <c r="CO260" s="342"/>
      <c r="CP260" s="342"/>
      <c r="CQ260" s="342"/>
      <c r="CR260" s="342"/>
      <c r="CS260" s="342"/>
      <c r="CT260" s="475"/>
      <c r="CU260" s="342"/>
      <c r="CV260" s="342"/>
      <c r="CW260" s="342"/>
      <c r="CX260" s="342"/>
      <c r="CY260" s="342"/>
      <c r="CZ260" s="475"/>
      <c r="DA260" s="342"/>
      <c r="DB260" s="342"/>
      <c r="DC260" s="342"/>
      <c r="DD260" s="342"/>
      <c r="DE260" s="475"/>
      <c r="DF260" s="475"/>
      <c r="DG260" s="342"/>
      <c r="DH260" s="342"/>
      <c r="DI260" s="342"/>
      <c r="DJ260" s="342"/>
      <c r="DK260" s="475"/>
      <c r="DL260" s="475"/>
      <c r="DM260" s="342"/>
      <c r="DN260" s="342"/>
      <c r="DO260" s="342"/>
      <c r="DP260" s="342"/>
      <c r="DQ260" s="475"/>
      <c r="DR260" s="475"/>
      <c r="DS260" s="342"/>
      <c r="DT260" s="342"/>
      <c r="DU260" s="342"/>
      <c r="DV260" s="342"/>
      <c r="DW260" s="475"/>
      <c r="DX260" s="475"/>
      <c r="DY260" s="342"/>
      <c r="DZ260" s="342"/>
      <c r="EA260" s="342"/>
      <c r="EB260" s="342"/>
      <c r="EC260" s="475"/>
      <c r="ED260" s="475"/>
      <c r="EE260" s="342"/>
      <c r="EF260" s="342"/>
      <c r="EG260" s="342"/>
      <c r="EH260" s="342"/>
      <c r="EI260" s="475"/>
      <c r="EJ260" s="475"/>
      <c r="EK260" s="342"/>
      <c r="EL260" s="342"/>
      <c r="EM260" s="342"/>
      <c r="EN260" s="342"/>
      <c r="EO260" s="475"/>
      <c r="EP260" s="475"/>
      <c r="EQ260" s="342"/>
      <c r="ER260" s="342"/>
      <c r="ES260" s="342"/>
      <c r="ET260" s="342"/>
      <c r="EU260" s="475"/>
      <c r="EV260" s="475"/>
      <c r="EW260" s="342"/>
      <c r="EX260" s="342"/>
      <c r="EY260" s="342"/>
      <c r="EZ260" s="342"/>
      <c r="FA260" s="475"/>
      <c r="FB260" s="475"/>
      <c r="FC260" s="342"/>
      <c r="FD260" s="342"/>
      <c r="FE260" s="342"/>
      <c r="FF260" s="342"/>
      <c r="FG260" s="475"/>
      <c r="FH260" s="475"/>
      <c r="FI260" s="342"/>
      <c r="FJ260" s="342"/>
      <c r="FK260" s="342"/>
      <c r="FL260" s="342"/>
      <c r="FM260" s="475"/>
      <c r="FN260" s="27"/>
      <c r="FO260" s="27"/>
      <c r="FP260" s="27"/>
      <c r="FQ260" s="27"/>
      <c r="FR260"/>
      <c r="FS260"/>
      <c r="FT260"/>
      <c r="FU260"/>
      <c r="FV260"/>
      <c r="FW260"/>
      <c r="FX260" s="27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</row>
    <row r="261" spans="1:274" s="24" customFormat="1" ht="10.5" hidden="1" customHeight="1" outlineLevel="1" x14ac:dyDescent="0.2">
      <c r="A261" s="583" t="s">
        <v>227</v>
      </c>
      <c r="B261" s="342"/>
      <c r="C261" s="27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342"/>
      <c r="O261" s="342"/>
      <c r="P261" s="342"/>
      <c r="Q261" s="342"/>
      <c r="R261" s="342"/>
      <c r="S261" s="342"/>
      <c r="T261" s="342"/>
      <c r="U261" s="342"/>
      <c r="V261" s="342"/>
      <c r="W261" s="342"/>
      <c r="X261" s="342"/>
      <c r="Y261" s="342"/>
      <c r="Z261" s="342"/>
      <c r="AA261" s="342"/>
      <c r="AB261" s="342"/>
      <c r="AC261" s="342"/>
      <c r="AD261" s="342"/>
      <c r="AE261" s="342"/>
      <c r="AF261" s="342"/>
      <c r="AG261" s="342"/>
      <c r="AH261" s="342"/>
      <c r="AI261" s="342"/>
      <c r="AJ261" s="342"/>
      <c r="AK261" s="342"/>
      <c r="AL261" s="342"/>
      <c r="AM261" s="342"/>
      <c r="AN261" s="342"/>
      <c r="AO261" s="342"/>
      <c r="AP261" s="342"/>
      <c r="AQ261" s="342"/>
      <c r="AR261" s="342"/>
      <c r="AS261" s="342"/>
      <c r="AT261" s="342"/>
      <c r="AU261" s="342"/>
      <c r="AV261" s="342"/>
      <c r="AW261" s="342"/>
      <c r="AX261" s="342"/>
      <c r="AY261" s="342"/>
      <c r="AZ261" s="342"/>
      <c r="BA261" s="342"/>
      <c r="BB261" s="342"/>
      <c r="BC261" s="406">
        <v>18.86</v>
      </c>
      <c r="BD261" s="342"/>
      <c r="BE261" s="342"/>
      <c r="BF261" s="342"/>
      <c r="BG261" s="342"/>
      <c r="BH261" s="342"/>
      <c r="BI261" s="406">
        <v>7.45</v>
      </c>
      <c r="BJ261" s="342"/>
      <c r="BK261" s="342"/>
      <c r="BL261" s="342"/>
      <c r="BM261" s="342"/>
      <c r="BN261" s="342"/>
      <c r="BO261" s="406">
        <v>3.88</v>
      </c>
      <c r="BP261" s="342"/>
      <c r="BQ261" s="406"/>
      <c r="BR261" s="27"/>
      <c r="BS261" s="27"/>
      <c r="BT261" s="342"/>
      <c r="BU261" s="406">
        <v>4.76</v>
      </c>
      <c r="BV261" s="342"/>
      <c r="BW261" s="406">
        <v>3.44</v>
      </c>
      <c r="BX261" s="406">
        <v>3.26</v>
      </c>
      <c r="BY261" s="27">
        <v>3.85</v>
      </c>
      <c r="BZ261" s="342">
        <f>+CA261</f>
        <v>3.44</v>
      </c>
      <c r="CA261" s="406">
        <v>3.44</v>
      </c>
      <c r="CB261" s="342"/>
      <c r="CC261" s="406">
        <v>4.5199999999999996</v>
      </c>
      <c r="CD261" s="342">
        <v>4.8499999999999996</v>
      </c>
      <c r="CE261" s="342">
        <v>3.18</v>
      </c>
      <c r="CF261" s="342">
        <f>+CG261</f>
        <v>3.89</v>
      </c>
      <c r="CG261" s="342">
        <v>3.89</v>
      </c>
      <c r="CH261" s="342"/>
      <c r="CI261" s="406">
        <v>4.88</v>
      </c>
      <c r="CJ261" s="342">
        <v>4.8899999999999997</v>
      </c>
      <c r="CK261" s="342">
        <v>5.7</v>
      </c>
      <c r="CL261" s="342"/>
      <c r="CM261" s="342"/>
      <c r="CN261" s="342"/>
      <c r="CO261" s="342"/>
      <c r="CP261" s="342"/>
      <c r="CQ261" s="342"/>
      <c r="CR261" s="342"/>
      <c r="CS261" s="342"/>
      <c r="CT261" s="475"/>
      <c r="CU261" s="342"/>
      <c r="CV261" s="342"/>
      <c r="CW261" s="342"/>
      <c r="CX261" s="342"/>
      <c r="CY261" s="342"/>
      <c r="CZ261" s="475"/>
      <c r="DA261" s="342"/>
      <c r="DB261" s="342"/>
      <c r="DC261" s="342"/>
      <c r="DD261" s="342"/>
      <c r="DE261" s="475"/>
      <c r="DF261" s="475"/>
      <c r="DG261" s="342"/>
      <c r="DH261" s="342"/>
      <c r="DI261" s="342"/>
      <c r="DJ261" s="342"/>
      <c r="DK261" s="475"/>
      <c r="DL261" s="475"/>
      <c r="DM261" s="342"/>
      <c r="DN261" s="342"/>
      <c r="DO261" s="342"/>
      <c r="DP261" s="342"/>
      <c r="DQ261" s="475"/>
      <c r="DR261" s="475"/>
      <c r="DS261" s="342"/>
      <c r="DT261" s="342"/>
      <c r="DU261" s="342"/>
      <c r="DV261" s="342"/>
      <c r="DW261" s="475"/>
      <c r="DX261" s="475"/>
      <c r="DY261" s="342"/>
      <c r="DZ261" s="342"/>
      <c r="EA261" s="342"/>
      <c r="EB261" s="342"/>
      <c r="EC261" s="475"/>
      <c r="ED261" s="475"/>
      <c r="EE261" s="342"/>
      <c r="EF261" s="342"/>
      <c r="EG261" s="342"/>
      <c r="EH261" s="342"/>
      <c r="EI261" s="475"/>
      <c r="EJ261" s="475"/>
      <c r="EK261" s="342"/>
      <c r="EL261" s="342"/>
      <c r="EM261" s="342"/>
      <c r="EN261" s="342"/>
      <c r="EO261" s="475"/>
      <c r="EP261" s="475"/>
      <c r="EQ261" s="342"/>
      <c r="ER261" s="342"/>
      <c r="ES261" s="342"/>
      <c r="ET261" s="342"/>
      <c r="EU261" s="475"/>
      <c r="EV261" s="475"/>
      <c r="EW261" s="342"/>
      <c r="EX261" s="342"/>
      <c r="EY261" s="342"/>
      <c r="EZ261" s="342"/>
      <c r="FA261" s="475"/>
      <c r="FB261" s="475"/>
      <c r="FC261" s="342"/>
      <c r="FD261" s="342"/>
      <c r="FE261" s="342"/>
      <c r="FF261" s="342"/>
      <c r="FG261" s="475"/>
      <c r="FH261" s="475"/>
      <c r="FI261" s="342"/>
      <c r="FJ261" s="342"/>
      <c r="FK261" s="342"/>
      <c r="FL261" s="342"/>
      <c r="FM261" s="475"/>
      <c r="FN261" s="27"/>
      <c r="FO261" s="27"/>
      <c r="FP261" s="27"/>
      <c r="FQ261" s="27"/>
      <c r="FR261"/>
      <c r="FS261"/>
      <c r="FT261"/>
      <c r="FU261"/>
      <c r="FV261"/>
      <c r="FW261"/>
      <c r="FX261" s="27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</row>
    <row r="262" spans="1:274" s="24" customFormat="1" ht="10.5" hidden="1" customHeight="1" outlineLevel="1" x14ac:dyDescent="0.2">
      <c r="A262" s="583" t="s">
        <v>165</v>
      </c>
      <c r="B262" s="342"/>
      <c r="C262" s="27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342"/>
      <c r="O262" s="342"/>
      <c r="P262" s="342"/>
      <c r="Q262" s="342"/>
      <c r="R262" s="342"/>
      <c r="S262" s="342"/>
      <c r="T262" s="342"/>
      <c r="U262" s="342"/>
      <c r="V262" s="342"/>
      <c r="W262" s="342"/>
      <c r="X262" s="342"/>
      <c r="Y262" s="342"/>
      <c r="Z262" s="342"/>
      <c r="AA262" s="342"/>
      <c r="AB262" s="342"/>
      <c r="AC262" s="342"/>
      <c r="AD262" s="342"/>
      <c r="AE262" s="342"/>
      <c r="AF262" s="342"/>
      <c r="AG262" s="342"/>
      <c r="AH262" s="342"/>
      <c r="AI262" s="342"/>
      <c r="AJ262" s="342"/>
      <c r="AK262" s="342"/>
      <c r="AL262" s="342"/>
      <c r="AM262" s="342"/>
      <c r="AN262" s="342"/>
      <c r="AO262" s="342"/>
      <c r="AP262" s="342"/>
      <c r="AQ262" s="342"/>
      <c r="AR262" s="342"/>
      <c r="AS262" s="342"/>
      <c r="AT262" s="342"/>
      <c r="AU262" s="342"/>
      <c r="AV262" s="342"/>
      <c r="AW262" s="342"/>
      <c r="AX262" s="342"/>
      <c r="AY262" s="342"/>
      <c r="AZ262" s="342"/>
      <c r="BA262" s="342"/>
      <c r="BB262" s="342"/>
      <c r="BC262" s="259">
        <f>BC261*BC267</f>
        <v>245.18</v>
      </c>
      <c r="BD262" s="342"/>
      <c r="BE262" s="342"/>
      <c r="BF262" s="342"/>
      <c r="BG262" s="342"/>
      <c r="BH262" s="342"/>
      <c r="BI262" s="259">
        <f>BI261*BI267</f>
        <v>484.25</v>
      </c>
      <c r="BJ262" s="342"/>
      <c r="BK262" s="342"/>
      <c r="BL262" s="342"/>
      <c r="BM262" s="342"/>
      <c r="BN262" s="342"/>
      <c r="BO262" s="259">
        <f>BO261*BO267</f>
        <v>256.08</v>
      </c>
      <c r="BP262" s="342"/>
      <c r="BQ262" s="406"/>
      <c r="BR262" s="27"/>
      <c r="BS262" s="27"/>
      <c r="BT262" s="342"/>
      <c r="BU262" s="259">
        <f>BU261*BU267</f>
        <v>209.44</v>
      </c>
      <c r="BV262" s="342"/>
      <c r="BW262" s="259">
        <f>BW261*BW267</f>
        <v>120.39999999999999</v>
      </c>
      <c r="BX262" s="259">
        <f>BX261*BX267</f>
        <v>9.7799999999999994</v>
      </c>
      <c r="BY262" s="259">
        <f>BY261*BY267</f>
        <v>3.85</v>
      </c>
      <c r="BZ262" s="34">
        <f>+CA262</f>
        <v>144.47999999999999</v>
      </c>
      <c r="CA262" s="259">
        <f>CA261*CA267</f>
        <v>144.47999999999999</v>
      </c>
      <c r="CB262" s="342"/>
      <c r="CC262" s="259">
        <f>CC261*CC267</f>
        <v>275.71999999999997</v>
      </c>
      <c r="CD262" s="259">
        <f>CD261*CD267</f>
        <v>0</v>
      </c>
      <c r="CE262" s="259">
        <f>CE261*CE267</f>
        <v>9.5400000000000009</v>
      </c>
      <c r="CF262" s="34">
        <f>+CG262</f>
        <v>264.52</v>
      </c>
      <c r="CG262" s="259">
        <f>CG261*CG267</f>
        <v>264.52</v>
      </c>
      <c r="CH262" s="342"/>
      <c r="CI262" s="259">
        <f>CI261*CI267</f>
        <v>268.39999999999998</v>
      </c>
      <c r="CJ262" s="259">
        <f>CJ261*CJ267</f>
        <v>9.7799999999999994</v>
      </c>
      <c r="CK262" s="259">
        <f>CK261*CK267</f>
        <v>0</v>
      </c>
      <c r="CL262" s="342"/>
      <c r="CM262" s="342"/>
      <c r="CN262" s="342"/>
      <c r="CO262" s="342"/>
      <c r="CP262" s="342"/>
      <c r="CQ262" s="342"/>
      <c r="CR262" s="342"/>
      <c r="CS262" s="342"/>
      <c r="CT262" s="475"/>
      <c r="CU262" s="342"/>
      <c r="CV262" s="342"/>
      <c r="CW262" s="342"/>
      <c r="CX262" s="342"/>
      <c r="CY262" s="342"/>
      <c r="CZ262" s="475"/>
      <c r="DA262" s="342"/>
      <c r="DB262" s="342"/>
      <c r="DC262" s="342"/>
      <c r="DD262" s="342"/>
      <c r="DE262" s="475"/>
      <c r="DF262" s="475"/>
      <c r="DG262" s="342"/>
      <c r="DH262" s="342"/>
      <c r="DI262" s="342"/>
      <c r="DJ262" s="342"/>
      <c r="DK262" s="475"/>
      <c r="DL262" s="475"/>
      <c r="DM262" s="342"/>
      <c r="DN262" s="342"/>
      <c r="DO262" s="342"/>
      <c r="DP262" s="342"/>
      <c r="DQ262" s="475"/>
      <c r="DR262" s="475"/>
      <c r="DS262" s="342"/>
      <c r="DT262" s="342"/>
      <c r="DU262" s="342"/>
      <c r="DV262" s="342"/>
      <c r="DW262" s="475"/>
      <c r="DX262" s="475"/>
      <c r="DY262" s="342"/>
      <c r="DZ262" s="342"/>
      <c r="EA262" s="342"/>
      <c r="EB262" s="342"/>
      <c r="EC262" s="475"/>
      <c r="ED262" s="475"/>
      <c r="EE262" s="342"/>
      <c r="EF262" s="342"/>
      <c r="EG262" s="342"/>
      <c r="EH262" s="342"/>
      <c r="EI262" s="475"/>
      <c r="EJ262" s="475"/>
      <c r="EK262" s="342"/>
      <c r="EL262" s="342"/>
      <c r="EM262" s="342"/>
      <c r="EN262" s="342"/>
      <c r="EO262" s="475"/>
      <c r="EP262" s="475"/>
      <c r="EQ262" s="342"/>
      <c r="ER262" s="342"/>
      <c r="ES262" s="342"/>
      <c r="ET262" s="342"/>
      <c r="EU262" s="475"/>
      <c r="EV262" s="475"/>
      <c r="EW262" s="342"/>
      <c r="EX262" s="342"/>
      <c r="EY262" s="342"/>
      <c r="EZ262" s="342"/>
      <c r="FA262" s="475"/>
      <c r="FB262" s="475"/>
      <c r="FC262" s="342"/>
      <c r="FD262" s="342"/>
      <c r="FE262" s="342"/>
      <c r="FF262" s="342"/>
      <c r="FG262" s="475"/>
      <c r="FH262" s="475"/>
      <c r="FI262" s="342"/>
      <c r="FJ262" s="342"/>
      <c r="FK262" s="342"/>
      <c r="FL262" s="342"/>
      <c r="FM262" s="475"/>
      <c r="FN262" s="27"/>
      <c r="FO262" s="27"/>
      <c r="FP262" s="27"/>
      <c r="FQ262" s="27"/>
      <c r="FR262"/>
      <c r="FS262"/>
      <c r="FT262"/>
      <c r="FU262"/>
      <c r="FV262"/>
      <c r="FW262"/>
      <c r="FX262" s="27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</row>
    <row r="263" spans="1:274" s="24" customFormat="1" ht="10.5" hidden="1" customHeight="1" outlineLevel="1" x14ac:dyDescent="0.2">
      <c r="A263" s="587" t="s">
        <v>166</v>
      </c>
      <c r="B263" s="342"/>
      <c r="C263" s="27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342"/>
      <c r="O263" s="342"/>
      <c r="P263" s="342"/>
      <c r="Q263" s="342"/>
      <c r="R263" s="342"/>
      <c r="S263" s="342"/>
      <c r="T263" s="342"/>
      <c r="U263" s="342"/>
      <c r="V263" s="342"/>
      <c r="W263" s="342"/>
      <c r="X263" s="342"/>
      <c r="Y263" s="342"/>
      <c r="Z263" s="342"/>
      <c r="AA263" s="342"/>
      <c r="AB263" s="342"/>
      <c r="AC263" s="342"/>
      <c r="AD263" s="342"/>
      <c r="AE263" s="342"/>
      <c r="AF263" s="342"/>
      <c r="AG263" s="342"/>
      <c r="AH263" s="342"/>
      <c r="AI263" s="342"/>
      <c r="AJ263" s="342"/>
      <c r="AK263" s="342"/>
      <c r="AL263" s="342"/>
      <c r="AM263" s="342"/>
      <c r="AN263" s="342"/>
      <c r="AO263" s="342"/>
      <c r="AP263" s="342"/>
      <c r="AQ263" s="342"/>
      <c r="AR263" s="342"/>
      <c r="AS263" s="342"/>
      <c r="AT263" s="342"/>
      <c r="AU263" s="342"/>
      <c r="AV263" s="342"/>
      <c r="AW263" s="342"/>
      <c r="AX263" s="342"/>
      <c r="AY263" s="342"/>
      <c r="AZ263" s="342"/>
      <c r="BA263" s="342"/>
      <c r="BB263" s="342"/>
      <c r="BC263" s="94">
        <f>BC262/BC229</f>
        <v>9.5719470040202134E-2</v>
      </c>
      <c r="BD263" s="342"/>
      <c r="BE263" s="342"/>
      <c r="BF263" s="342"/>
      <c r="BG263" s="342"/>
      <c r="BH263" s="342"/>
      <c r="BI263" s="94">
        <f>BI262/BI229</f>
        <v>0.21771823600526405</v>
      </c>
      <c r="BJ263" s="342"/>
      <c r="BK263" s="342"/>
      <c r="BL263" s="342"/>
      <c r="BM263" s="342"/>
      <c r="BN263" s="342"/>
      <c r="BO263" s="94">
        <f>BO262/BO229</f>
        <v>0.11098205772731211</v>
      </c>
      <c r="BP263" s="342"/>
      <c r="BQ263" s="406"/>
      <c r="BR263" s="27"/>
      <c r="BS263" s="27"/>
      <c r="BT263" s="342"/>
      <c r="BU263" s="94">
        <f>BU262/BU229</f>
        <v>7.8120104438642299E-2</v>
      </c>
      <c r="BV263" s="342"/>
      <c r="BW263" s="94">
        <f>BW262/BW229</f>
        <v>0.22774712705546735</v>
      </c>
      <c r="BX263" s="94">
        <f>BX262/BX229</f>
        <v>1.1762507432260257E-2</v>
      </c>
      <c r="BY263" s="94">
        <f>BY262/BY229</f>
        <v>4.6666666666666671E-3</v>
      </c>
      <c r="BZ263" s="43">
        <f>+CA263</f>
        <v>4.0800744238381939E-2</v>
      </c>
      <c r="CA263" s="94">
        <f>CA262/CA229</f>
        <v>4.0800744238381939E-2</v>
      </c>
      <c r="CB263" s="342"/>
      <c r="CC263" s="94">
        <f>CC262/CC229</f>
        <v>0.37360433604336041</v>
      </c>
      <c r="CD263" s="94">
        <f>CD262/CD229</f>
        <v>0</v>
      </c>
      <c r="CE263" s="94">
        <f>CE262/CE229</f>
        <v>9.5386720724267657E-3</v>
      </c>
      <c r="CF263" s="43">
        <f>+CG263</f>
        <v>6.2282656803395182E-2</v>
      </c>
      <c r="CG263" s="94">
        <f>CG262/CG229</f>
        <v>6.2282656803395182E-2</v>
      </c>
      <c r="CH263" s="342"/>
      <c r="CI263" s="94">
        <f>CI262/CI229</f>
        <v>0.28829215896885069</v>
      </c>
      <c r="CJ263" s="94">
        <f>CJ262/CJ229</f>
        <v>8.39124839124839E-3</v>
      </c>
      <c r="CK263" s="94">
        <f>CK262/CK229</f>
        <v>0</v>
      </c>
      <c r="CL263" s="342"/>
      <c r="CM263" s="342"/>
      <c r="CN263" s="342"/>
      <c r="CO263" s="342"/>
      <c r="CP263" s="342"/>
      <c r="CQ263" s="342"/>
      <c r="CR263" s="342"/>
      <c r="CS263" s="342"/>
      <c r="CT263" s="475"/>
      <c r="CU263" s="342"/>
      <c r="CV263" s="342"/>
      <c r="CW263" s="342"/>
      <c r="CX263" s="342"/>
      <c r="CY263" s="342"/>
      <c r="CZ263" s="475"/>
      <c r="DA263" s="342"/>
      <c r="DB263" s="342"/>
      <c r="DC263" s="342"/>
      <c r="DD263" s="342"/>
      <c r="DE263" s="475"/>
      <c r="DF263" s="475"/>
      <c r="DG263" s="342"/>
      <c r="DH263" s="342"/>
      <c r="DI263" s="342"/>
      <c r="DJ263" s="342"/>
      <c r="DK263" s="475"/>
      <c r="DL263" s="475"/>
      <c r="DM263" s="342"/>
      <c r="DN263" s="342"/>
      <c r="DO263" s="342"/>
      <c r="DP263" s="342"/>
      <c r="DQ263" s="475"/>
      <c r="DR263" s="475"/>
      <c r="DS263" s="342"/>
      <c r="DT263" s="342"/>
      <c r="DU263" s="342"/>
      <c r="DV263" s="342"/>
      <c r="DW263" s="475"/>
      <c r="DX263" s="475"/>
      <c r="DY263" s="342"/>
      <c r="DZ263" s="342"/>
      <c r="EA263" s="342"/>
      <c r="EB263" s="342"/>
      <c r="EC263" s="475"/>
      <c r="ED263" s="475"/>
      <c r="EE263" s="342"/>
      <c r="EF263" s="342"/>
      <c r="EG263" s="342"/>
      <c r="EH263" s="342"/>
      <c r="EI263" s="475"/>
      <c r="EJ263" s="475"/>
      <c r="EK263" s="342"/>
      <c r="EL263" s="342"/>
      <c r="EM263" s="342"/>
      <c r="EN263" s="342"/>
      <c r="EO263" s="475"/>
      <c r="EP263" s="475"/>
      <c r="EQ263" s="342"/>
      <c r="ER263" s="342"/>
      <c r="ES263" s="342"/>
      <c r="ET263" s="342"/>
      <c r="EU263" s="475"/>
      <c r="EV263" s="475"/>
      <c r="EW263" s="342"/>
      <c r="EX263" s="342"/>
      <c r="EY263" s="342"/>
      <c r="EZ263" s="342"/>
      <c r="FA263" s="475"/>
      <c r="FB263" s="475"/>
      <c r="FC263" s="342"/>
      <c r="FD263" s="342"/>
      <c r="FE263" s="342"/>
      <c r="FF263" s="342"/>
      <c r="FG263" s="475"/>
      <c r="FH263" s="475"/>
      <c r="FI263" s="342"/>
      <c r="FJ263" s="342"/>
      <c r="FK263" s="342"/>
      <c r="FL263" s="342"/>
      <c r="FM263" s="475"/>
      <c r="FN263" s="27"/>
      <c r="FO263" s="27"/>
      <c r="FP263" s="27"/>
      <c r="FQ263" s="27"/>
      <c r="FR263"/>
      <c r="FS263"/>
      <c r="FT263"/>
      <c r="FU263"/>
      <c r="FV263"/>
      <c r="FW263"/>
      <c r="FX263" s="27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</row>
    <row r="264" spans="1:274" s="24" customFormat="1" ht="10.5" hidden="1" customHeight="1" outlineLevel="1" x14ac:dyDescent="0.2">
      <c r="A264" s="1907"/>
      <c r="B264" s="1907"/>
      <c r="C264" s="27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342"/>
      <c r="O264" s="342"/>
      <c r="P264" s="342"/>
      <c r="Q264" s="342"/>
      <c r="R264" s="342"/>
      <c r="S264" s="342"/>
      <c r="T264" s="342"/>
      <c r="U264" s="342"/>
      <c r="V264" s="342"/>
      <c r="W264" s="342"/>
      <c r="X264" s="342"/>
      <c r="Y264" s="342"/>
      <c r="Z264" s="342"/>
      <c r="AA264" s="342"/>
      <c r="AB264" s="342"/>
      <c r="AC264" s="342"/>
      <c r="AD264" s="342"/>
      <c r="AE264" s="342"/>
      <c r="AF264" s="342"/>
      <c r="AG264" s="342"/>
      <c r="AH264" s="342"/>
      <c r="AI264" s="342"/>
      <c r="AJ264" s="342"/>
      <c r="AK264" s="342"/>
      <c r="AL264" s="342"/>
      <c r="AM264" s="342"/>
      <c r="AN264" s="342"/>
      <c r="AO264" s="342"/>
      <c r="AP264" s="342"/>
      <c r="AQ264" s="342"/>
      <c r="AR264" s="342"/>
      <c r="AS264" s="342"/>
      <c r="AT264" s="342"/>
      <c r="AU264" s="342"/>
      <c r="AV264" s="342"/>
      <c r="AW264" s="342"/>
      <c r="AX264" s="342"/>
      <c r="AY264" s="342"/>
      <c r="AZ264" s="342"/>
      <c r="BA264" s="342"/>
      <c r="BB264" s="342"/>
      <c r="BC264" s="406" t="s">
        <v>944</v>
      </c>
      <c r="BD264" s="342"/>
      <c r="BE264" s="342"/>
      <c r="BF264" s="342"/>
      <c r="BG264" s="342"/>
      <c r="BH264" s="342"/>
      <c r="BI264" s="406" t="s">
        <v>944</v>
      </c>
      <c r="BJ264" s="342"/>
      <c r="BK264" s="342"/>
      <c r="BL264" s="342"/>
      <c r="BM264" s="342"/>
      <c r="BN264" s="342"/>
      <c r="BO264" s="406" t="s">
        <v>944</v>
      </c>
      <c r="BP264" s="342"/>
      <c r="BQ264" s="406"/>
      <c r="BR264" s="27"/>
      <c r="BS264" s="27"/>
      <c r="BT264" s="342"/>
      <c r="BU264" s="406" t="s">
        <v>944</v>
      </c>
      <c r="BV264" s="342"/>
      <c r="BW264" s="406" t="s">
        <v>944</v>
      </c>
      <c r="BX264" s="406" t="s">
        <v>944</v>
      </c>
      <c r="BY264" s="27"/>
      <c r="BZ264" s="342"/>
      <c r="CA264" s="406" t="s">
        <v>944</v>
      </c>
      <c r="CB264" s="342"/>
      <c r="CC264" s="342"/>
      <c r="CD264" s="342"/>
      <c r="CE264" s="342"/>
      <c r="CF264" s="342"/>
      <c r="CG264" s="342"/>
      <c r="CH264" s="342"/>
      <c r="CI264" s="342"/>
      <c r="CJ264" s="342"/>
      <c r="CK264" s="342"/>
      <c r="CL264" s="342"/>
      <c r="CM264" s="342"/>
      <c r="CN264" s="342"/>
      <c r="CO264" s="342"/>
      <c r="CP264" s="342"/>
      <c r="CQ264" s="342"/>
      <c r="CR264" s="342"/>
      <c r="CS264" s="342"/>
      <c r="CT264" s="475"/>
      <c r="CU264" s="342"/>
      <c r="CV264" s="342"/>
      <c r="CW264" s="342"/>
      <c r="CX264" s="342"/>
      <c r="CY264" s="342"/>
      <c r="CZ264" s="475"/>
      <c r="DA264" s="342"/>
      <c r="DB264" s="342"/>
      <c r="DC264" s="342"/>
      <c r="DD264" s="342"/>
      <c r="DE264" s="475"/>
      <c r="DF264" s="475"/>
      <c r="DG264" s="342"/>
      <c r="DH264" s="342"/>
      <c r="DI264" s="342"/>
      <c r="DJ264" s="342"/>
      <c r="DK264" s="475"/>
      <c r="DL264" s="475"/>
      <c r="DM264" s="342"/>
      <c r="DN264" s="342"/>
      <c r="DO264" s="342"/>
      <c r="DP264" s="342"/>
      <c r="DQ264" s="475"/>
      <c r="DR264" s="475"/>
      <c r="DS264" s="342"/>
      <c r="DT264" s="342"/>
      <c r="DU264" s="342"/>
      <c r="DV264" s="342"/>
      <c r="DW264" s="475"/>
      <c r="DX264" s="475"/>
      <c r="DY264" s="342"/>
      <c r="DZ264" s="342"/>
      <c r="EA264" s="342"/>
      <c r="EB264" s="342"/>
      <c r="EC264" s="475"/>
      <c r="ED264" s="475"/>
      <c r="EE264" s="342"/>
      <c r="EF264" s="342"/>
      <c r="EG264" s="342"/>
      <c r="EH264" s="342"/>
      <c r="EI264" s="475"/>
      <c r="EJ264" s="475"/>
      <c r="EK264" s="342"/>
      <c r="EL264" s="342"/>
      <c r="EM264" s="342"/>
      <c r="EN264" s="342"/>
      <c r="EO264" s="475"/>
      <c r="EP264" s="475"/>
      <c r="EQ264" s="342"/>
      <c r="ER264" s="342"/>
      <c r="ES264" s="342"/>
      <c r="ET264" s="342"/>
      <c r="EU264" s="475"/>
      <c r="EV264" s="475"/>
      <c r="EW264" s="342"/>
      <c r="EX264" s="342"/>
      <c r="EY264" s="342"/>
      <c r="EZ264" s="342"/>
      <c r="FA264" s="475"/>
      <c r="FB264" s="475"/>
      <c r="FC264" s="342"/>
      <c r="FD264" s="342"/>
      <c r="FE264" s="342"/>
      <c r="FF264" s="342"/>
      <c r="FG264" s="475"/>
      <c r="FH264" s="475"/>
      <c r="FI264" s="342"/>
      <c r="FJ264" s="342"/>
      <c r="FK264" s="342"/>
      <c r="FL264" s="342"/>
      <c r="FM264" s="475"/>
      <c r="FN264" s="27"/>
      <c r="FO264" s="27"/>
      <c r="FP264" s="27"/>
      <c r="FQ264" s="27"/>
      <c r="FR264"/>
      <c r="FS264"/>
      <c r="FT264"/>
      <c r="FU264"/>
      <c r="FV264"/>
      <c r="FW264"/>
      <c r="FX264" s="27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</row>
    <row r="265" spans="1:274" s="24" customFormat="1" ht="10.5" hidden="1" customHeight="1" outlineLevel="1" x14ac:dyDescent="0.2">
      <c r="A265" s="97" t="s">
        <v>167</v>
      </c>
      <c r="B265" s="20"/>
      <c r="C265" s="27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342"/>
      <c r="O265" s="342"/>
      <c r="P265" s="342"/>
      <c r="Q265" s="342"/>
      <c r="R265" s="342"/>
      <c r="S265" s="342"/>
      <c r="T265" s="342"/>
      <c r="U265" s="342"/>
      <c r="V265" s="342"/>
      <c r="W265" s="342"/>
      <c r="X265" s="342"/>
      <c r="Y265" s="342"/>
      <c r="Z265" s="342"/>
      <c r="AA265" s="342"/>
      <c r="AB265" s="342"/>
      <c r="AC265" s="342"/>
      <c r="AD265" s="342"/>
      <c r="AE265" s="342"/>
      <c r="AF265" s="342"/>
      <c r="AG265" s="342"/>
      <c r="AH265" s="342"/>
      <c r="AI265" s="342"/>
      <c r="AJ265" s="342"/>
      <c r="AK265" s="342"/>
      <c r="AL265" s="342"/>
      <c r="AM265" s="342"/>
      <c r="AN265" s="342"/>
      <c r="AO265" s="342"/>
      <c r="AP265" s="342"/>
      <c r="AQ265" s="342"/>
      <c r="AR265" s="342"/>
      <c r="AS265" s="342"/>
      <c r="AT265" s="342"/>
      <c r="AU265" s="342"/>
      <c r="AV265" s="342"/>
      <c r="AW265" s="342"/>
      <c r="AX265" s="342"/>
      <c r="AY265" s="342"/>
      <c r="AZ265" s="342"/>
      <c r="BA265" s="342"/>
      <c r="BB265" s="342"/>
      <c r="BC265" s="342"/>
      <c r="BD265" s="342"/>
      <c r="BE265" s="342"/>
      <c r="BF265" s="342"/>
      <c r="BG265" s="342"/>
      <c r="BH265" s="342"/>
      <c r="BI265" s="342"/>
      <c r="BJ265" s="342"/>
      <c r="BK265" s="342"/>
      <c r="BL265" s="342"/>
      <c r="BM265" s="342"/>
      <c r="BN265" s="342"/>
      <c r="BO265" s="342"/>
      <c r="BP265" s="342"/>
      <c r="BQ265" s="342"/>
      <c r="BR265" s="342"/>
      <c r="BS265" s="342"/>
      <c r="BT265" s="342"/>
      <c r="BU265" s="342"/>
      <c r="BV265" s="342"/>
      <c r="BW265" s="342"/>
      <c r="BX265" s="342"/>
      <c r="BY265" s="342"/>
      <c r="BZ265" s="342"/>
      <c r="CA265" s="342"/>
      <c r="CB265" s="342"/>
      <c r="CC265" s="342"/>
      <c r="CD265" s="342"/>
      <c r="CE265" s="342"/>
      <c r="CF265" s="342"/>
      <c r="CG265" s="342"/>
      <c r="CH265" s="342"/>
      <c r="CI265" s="342"/>
      <c r="CJ265" s="342"/>
      <c r="CK265" s="342"/>
      <c r="CL265" s="342"/>
      <c r="CM265" s="342"/>
      <c r="CN265" s="342"/>
      <c r="CO265" s="342"/>
      <c r="CP265" s="342"/>
      <c r="CQ265" s="342"/>
      <c r="CR265" s="342"/>
      <c r="CS265" s="342"/>
      <c r="CT265" s="475"/>
      <c r="CU265" s="342"/>
      <c r="CV265" s="342"/>
      <c r="CW265" s="342"/>
      <c r="CX265" s="342"/>
      <c r="CY265" s="342"/>
      <c r="CZ265" s="475"/>
      <c r="DA265" s="342"/>
      <c r="DB265" s="342"/>
      <c r="DC265" s="342"/>
      <c r="DD265" s="342"/>
      <c r="DE265" s="475"/>
      <c r="DF265" s="475"/>
      <c r="DG265" s="342"/>
      <c r="DH265" s="342"/>
      <c r="DI265" s="342"/>
      <c r="DJ265" s="342"/>
      <c r="DK265" s="475"/>
      <c r="DL265" s="475"/>
      <c r="DM265" s="342"/>
      <c r="DN265" s="342"/>
      <c r="DO265" s="342"/>
      <c r="DP265" s="342"/>
      <c r="DQ265" s="475"/>
      <c r="DR265" s="475"/>
      <c r="DS265" s="342"/>
      <c r="DT265" s="342"/>
      <c r="DU265" s="342"/>
      <c r="DV265" s="342"/>
      <c r="DW265" s="475"/>
      <c r="DX265" s="475"/>
      <c r="DY265" s="342"/>
      <c r="DZ265" s="342"/>
      <c r="EA265" s="342"/>
      <c r="EB265" s="342"/>
      <c r="EC265" s="475"/>
      <c r="ED265" s="475"/>
      <c r="EE265" s="342"/>
      <c r="EF265" s="342"/>
      <c r="EG265" s="342"/>
      <c r="EH265" s="342"/>
      <c r="EI265" s="475"/>
      <c r="EJ265" s="475"/>
      <c r="EK265" s="342"/>
      <c r="EL265" s="342"/>
      <c r="EM265" s="342"/>
      <c r="EN265" s="342"/>
      <c r="EO265" s="475"/>
      <c r="EP265" s="475"/>
      <c r="EQ265" s="342"/>
      <c r="ER265" s="342"/>
      <c r="ES265" s="342"/>
      <c r="ET265" s="342"/>
      <c r="EU265" s="475"/>
      <c r="EV265" s="475"/>
      <c r="EW265" s="342"/>
      <c r="EX265" s="342"/>
      <c r="EY265" s="342"/>
      <c r="EZ265" s="342"/>
      <c r="FA265" s="475"/>
      <c r="FB265" s="475"/>
      <c r="FC265" s="342"/>
      <c r="FD265" s="342"/>
      <c r="FE265" s="342"/>
      <c r="FF265" s="342"/>
      <c r="FG265" s="475"/>
      <c r="FH265" s="475"/>
      <c r="FI265" s="342"/>
      <c r="FJ265" s="342"/>
      <c r="FK265" s="342"/>
      <c r="FL265" s="342"/>
      <c r="FM265" s="475"/>
      <c r="FN265" s="27"/>
      <c r="FO265" s="27"/>
      <c r="FP265" s="27"/>
      <c r="FQ265" s="27"/>
      <c r="FR265"/>
      <c r="FS265"/>
      <c r="FT265"/>
      <c r="FU265"/>
      <c r="FV265"/>
      <c r="FW265"/>
      <c r="FX265" s="27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</row>
    <row r="266" spans="1:274" s="24" customFormat="1" ht="10.5" hidden="1" customHeight="1" outlineLevel="1" x14ac:dyDescent="0.2">
      <c r="A266" s="342" t="s">
        <v>168</v>
      </c>
      <c r="B266" s="20"/>
      <c r="C266" s="27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342"/>
      <c r="O266" s="342"/>
      <c r="P266" s="342"/>
      <c r="Q266" s="342"/>
      <c r="R266" s="342"/>
      <c r="S266" s="342"/>
      <c r="T266" s="342"/>
      <c r="U266" s="342"/>
      <c r="V266" s="342"/>
      <c r="W266" s="342"/>
      <c r="X266" s="342"/>
      <c r="Y266" s="342"/>
      <c r="Z266" s="342"/>
      <c r="AA266" s="342"/>
      <c r="AB266" s="342"/>
      <c r="AC266" s="342"/>
      <c r="AD266" s="342"/>
      <c r="AE266" s="342"/>
      <c r="AF266" s="342"/>
      <c r="AG266" s="342"/>
      <c r="AH266" s="342"/>
      <c r="AI266" s="342"/>
      <c r="AJ266" s="342"/>
      <c r="AK266" s="342"/>
      <c r="AL266" s="342"/>
      <c r="AM266" s="342"/>
      <c r="AN266" s="342"/>
      <c r="AO266" s="342"/>
      <c r="AP266" s="342"/>
      <c r="AQ266" s="342"/>
      <c r="AR266" s="342"/>
      <c r="AS266" s="342"/>
      <c r="AT266" s="342"/>
      <c r="AU266" s="342"/>
      <c r="AV266" s="342"/>
      <c r="AW266" s="342"/>
      <c r="AX266" s="342"/>
      <c r="AY266" s="342"/>
      <c r="AZ266" s="342"/>
      <c r="BA266" s="342"/>
      <c r="BB266" s="342"/>
      <c r="BC266" s="342">
        <v>592</v>
      </c>
      <c r="BD266" s="342"/>
      <c r="BE266" s="342"/>
      <c r="BF266" s="342"/>
      <c r="BG266" s="342"/>
      <c r="BH266" s="342"/>
      <c r="BI266" s="342">
        <f>BC271</f>
        <v>442</v>
      </c>
      <c r="BJ266" s="342"/>
      <c r="BK266" s="342"/>
      <c r="BL266" s="342"/>
      <c r="BM266" s="342"/>
      <c r="BN266" s="342"/>
      <c r="BO266" s="342">
        <f>BI271</f>
        <v>454</v>
      </c>
      <c r="BP266" s="342"/>
      <c r="BQ266" s="342"/>
      <c r="BR266" s="342"/>
      <c r="BS266" s="342"/>
      <c r="BT266" s="342"/>
      <c r="BU266" s="342">
        <f>BO271</f>
        <v>455</v>
      </c>
      <c r="BV266" s="342"/>
      <c r="BW266" s="342">
        <f>BU271</f>
        <v>440</v>
      </c>
      <c r="BX266" s="342">
        <f>BW271</f>
        <v>466</v>
      </c>
      <c r="BY266" s="342">
        <f>BX271</f>
        <v>453</v>
      </c>
      <c r="BZ266" s="342">
        <f>BY271</f>
        <v>509</v>
      </c>
      <c r="CA266" s="342">
        <f>BU271</f>
        <v>440</v>
      </c>
      <c r="CB266" s="342"/>
      <c r="CC266" s="342">
        <f>CA271</f>
        <v>469</v>
      </c>
      <c r="CD266" s="342">
        <f>CC271</f>
        <v>499</v>
      </c>
      <c r="CE266" s="342">
        <f>CD271</f>
        <v>481</v>
      </c>
      <c r="CF266" s="342">
        <f>CE271</f>
        <v>537</v>
      </c>
      <c r="CG266" s="342">
        <f>CA271</f>
        <v>469</v>
      </c>
      <c r="CH266" s="342"/>
      <c r="CI266" s="342">
        <f>CG271</f>
        <v>473</v>
      </c>
      <c r="CJ266" s="342">
        <f>CI271</f>
        <v>508</v>
      </c>
      <c r="CK266" s="342">
        <f>CJ271</f>
        <v>459</v>
      </c>
      <c r="CL266" s="342">
        <f>CK271</f>
        <v>443</v>
      </c>
      <c r="CM266" s="342">
        <f>CG271</f>
        <v>473</v>
      </c>
      <c r="CN266" s="342"/>
      <c r="CO266" s="342">
        <f>CM271</f>
        <v>473</v>
      </c>
      <c r="CP266" s="342">
        <f>CO271</f>
        <v>473</v>
      </c>
      <c r="CQ266" s="342">
        <f>CP271</f>
        <v>473</v>
      </c>
      <c r="CR266" s="342">
        <f>CQ271</f>
        <v>473</v>
      </c>
      <c r="CS266" s="342">
        <f>CM271</f>
        <v>473</v>
      </c>
      <c r="CT266" s="475"/>
      <c r="CU266" s="342">
        <f>CS271</f>
        <v>473</v>
      </c>
      <c r="CV266" s="342">
        <f>CU271</f>
        <v>473</v>
      </c>
      <c r="CW266" s="342">
        <f>CV271</f>
        <v>473</v>
      </c>
      <c r="CX266" s="342">
        <f>CW271</f>
        <v>473</v>
      </c>
      <c r="CY266" s="342">
        <f>CS271</f>
        <v>473</v>
      </c>
      <c r="CZ266" s="475"/>
      <c r="DA266" s="342">
        <f>CY271</f>
        <v>473</v>
      </c>
      <c r="DB266" s="342">
        <f>DA271</f>
        <v>473</v>
      </c>
      <c r="DC266" s="342">
        <f>DB271</f>
        <v>473</v>
      </c>
      <c r="DD266" s="342">
        <f>DC271</f>
        <v>473</v>
      </c>
      <c r="DE266" s="475">
        <f>CY271</f>
        <v>473</v>
      </c>
      <c r="DF266" s="475"/>
      <c r="DG266" s="342">
        <f>DE271</f>
        <v>473</v>
      </c>
      <c r="DH266" s="342">
        <f>DG271</f>
        <v>473</v>
      </c>
      <c r="DI266" s="342">
        <f>DH271</f>
        <v>473</v>
      </c>
      <c r="DJ266" s="342">
        <f>DI271</f>
        <v>473</v>
      </c>
      <c r="DK266" s="475">
        <f>DE271</f>
        <v>473</v>
      </c>
      <c r="DL266" s="475"/>
      <c r="DM266" s="342">
        <f>DK271</f>
        <v>473</v>
      </c>
      <c r="DN266" s="342">
        <f>DM271</f>
        <v>473</v>
      </c>
      <c r="DO266" s="342">
        <f>DN271</f>
        <v>473</v>
      </c>
      <c r="DP266" s="342">
        <f>DO271</f>
        <v>473</v>
      </c>
      <c r="DQ266" s="475">
        <f>DK271</f>
        <v>473</v>
      </c>
      <c r="DR266" s="475"/>
      <c r="DS266" s="342">
        <f>DQ271</f>
        <v>473</v>
      </c>
      <c r="DT266" s="342">
        <f>DS271</f>
        <v>473</v>
      </c>
      <c r="DU266" s="342">
        <f>DT271</f>
        <v>473</v>
      </c>
      <c r="DV266" s="342">
        <f>DU271</f>
        <v>473</v>
      </c>
      <c r="DW266" s="475">
        <f>DQ271</f>
        <v>473</v>
      </c>
      <c r="DX266" s="475"/>
      <c r="DY266" s="342">
        <f>DW271</f>
        <v>473</v>
      </c>
      <c r="DZ266" s="342">
        <f>DY271</f>
        <v>473</v>
      </c>
      <c r="EA266" s="342">
        <f>DZ271</f>
        <v>473</v>
      </c>
      <c r="EB266" s="342">
        <f>EA271</f>
        <v>473</v>
      </c>
      <c r="EC266" s="475">
        <f>DW271</f>
        <v>473</v>
      </c>
      <c r="ED266" s="475"/>
      <c r="EE266" s="342">
        <f>EC271</f>
        <v>473</v>
      </c>
      <c r="EF266" s="342">
        <f>EE271</f>
        <v>473</v>
      </c>
      <c r="EG266" s="342">
        <f>EF271</f>
        <v>473</v>
      </c>
      <c r="EH266" s="342">
        <f>EG271</f>
        <v>473</v>
      </c>
      <c r="EI266" s="475">
        <f>EC271</f>
        <v>473</v>
      </c>
      <c r="EJ266" s="475"/>
      <c r="EK266" s="342">
        <f>EI271</f>
        <v>473</v>
      </c>
      <c r="EL266" s="342">
        <f>EK271</f>
        <v>473</v>
      </c>
      <c r="EM266" s="342">
        <f>EL271</f>
        <v>473</v>
      </c>
      <c r="EN266" s="342">
        <f>EM271</f>
        <v>473</v>
      </c>
      <c r="EO266" s="475">
        <f>EI271</f>
        <v>473</v>
      </c>
      <c r="EP266" s="475"/>
      <c r="EQ266" s="342">
        <f>EO271</f>
        <v>473</v>
      </c>
      <c r="ER266" s="342">
        <f>EQ271</f>
        <v>473</v>
      </c>
      <c r="ES266" s="342">
        <f>ER271</f>
        <v>473</v>
      </c>
      <c r="ET266" s="342">
        <f>ES271</f>
        <v>473</v>
      </c>
      <c r="EU266" s="475">
        <f>EO271</f>
        <v>473</v>
      </c>
      <c r="EV266" s="475"/>
      <c r="EW266" s="342">
        <f>EU271</f>
        <v>473</v>
      </c>
      <c r="EX266" s="342">
        <f>EW271</f>
        <v>473</v>
      </c>
      <c r="EY266" s="342">
        <f>EX271</f>
        <v>473</v>
      </c>
      <c r="EZ266" s="342">
        <f>EY271</f>
        <v>473</v>
      </c>
      <c r="FA266" s="475">
        <f>EU271</f>
        <v>473</v>
      </c>
      <c r="FB266" s="475"/>
      <c r="FC266" s="342">
        <f>FA271</f>
        <v>473</v>
      </c>
      <c r="FD266" s="342">
        <f>FC271</f>
        <v>473</v>
      </c>
      <c r="FE266" s="342">
        <f>FD271</f>
        <v>473</v>
      </c>
      <c r="FF266" s="342">
        <f>FE271</f>
        <v>473</v>
      </c>
      <c r="FG266" s="475">
        <f>FA271</f>
        <v>473</v>
      </c>
      <c r="FH266" s="475"/>
      <c r="FI266" s="342">
        <f>FG271</f>
        <v>473</v>
      </c>
      <c r="FJ266" s="342">
        <f>FI271</f>
        <v>473</v>
      </c>
      <c r="FK266" s="342">
        <f>FJ271</f>
        <v>473</v>
      </c>
      <c r="FL266" s="342">
        <f>FK271</f>
        <v>473</v>
      </c>
      <c r="FM266" s="475">
        <f>FG271</f>
        <v>473</v>
      </c>
      <c r="FN266" s="27"/>
      <c r="FO266" s="27"/>
      <c r="FP266" s="27"/>
      <c r="FQ266" s="27"/>
      <c r="FR266"/>
      <c r="FS266"/>
      <c r="FT266"/>
      <c r="FU266"/>
      <c r="FV266"/>
      <c r="FW266"/>
      <c r="FX266" s="27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</row>
    <row r="267" spans="1:274" s="24" customFormat="1" ht="10.5" hidden="1" customHeight="1" outlineLevel="1" x14ac:dyDescent="0.2">
      <c r="A267" s="342" t="s">
        <v>169</v>
      </c>
      <c r="B267" s="20"/>
      <c r="C267" s="27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342"/>
      <c r="O267" s="342"/>
      <c r="P267" s="342"/>
      <c r="Q267" s="342"/>
      <c r="R267" s="342"/>
      <c r="S267" s="342"/>
      <c r="T267" s="342"/>
      <c r="U267" s="342"/>
      <c r="V267" s="342"/>
      <c r="W267" s="342"/>
      <c r="X267" s="342"/>
      <c r="Y267" s="342"/>
      <c r="Z267" s="342"/>
      <c r="AA267" s="342"/>
      <c r="AB267" s="342"/>
      <c r="AC267" s="342"/>
      <c r="AD267" s="342"/>
      <c r="AE267" s="342"/>
      <c r="AF267" s="342"/>
      <c r="AG267" s="342"/>
      <c r="AH267" s="342"/>
      <c r="AI267" s="342"/>
      <c r="AJ267" s="342"/>
      <c r="AK267" s="342"/>
      <c r="AL267" s="342"/>
      <c r="AM267" s="342"/>
      <c r="AN267" s="342"/>
      <c r="AO267" s="342"/>
      <c r="AP267" s="342"/>
      <c r="AQ267" s="342"/>
      <c r="AR267" s="342"/>
      <c r="AS267" s="342"/>
      <c r="AT267" s="342"/>
      <c r="AU267" s="342"/>
      <c r="AV267" s="342"/>
      <c r="AW267" s="342"/>
      <c r="AX267" s="342"/>
      <c r="AY267" s="342"/>
      <c r="AZ267" s="342"/>
      <c r="BA267" s="342"/>
      <c r="BB267" s="342"/>
      <c r="BC267" s="342">
        <v>13</v>
      </c>
      <c r="BD267" s="342"/>
      <c r="BE267" s="342"/>
      <c r="BF267" s="342"/>
      <c r="BG267" s="342"/>
      <c r="BH267" s="342"/>
      <c r="BI267" s="342">
        <v>65</v>
      </c>
      <c r="BJ267" s="342"/>
      <c r="BK267" s="342"/>
      <c r="BL267" s="342"/>
      <c r="BM267" s="342"/>
      <c r="BN267" s="342"/>
      <c r="BO267" s="342">
        <v>66</v>
      </c>
      <c r="BP267" s="342"/>
      <c r="BQ267" s="342"/>
      <c r="BR267" s="342"/>
      <c r="BS267" s="342"/>
      <c r="BT267" s="342"/>
      <c r="BU267" s="342">
        <v>44</v>
      </c>
      <c r="BV267" s="342"/>
      <c r="BW267" s="342">
        <f>210-BU267-BO267-BI267</f>
        <v>35</v>
      </c>
      <c r="BX267" s="342">
        <f>213-BW267-BU267-BO267-BI267</f>
        <v>3</v>
      </c>
      <c r="BY267" s="342">
        <f>311-BW267-BU267-BO267-BI267-BX267-97</f>
        <v>1</v>
      </c>
      <c r="BZ267" s="342">
        <f>CA267-BY267-BX267-BW267</f>
        <v>3</v>
      </c>
      <c r="CA267" s="342">
        <v>42</v>
      </c>
      <c r="CB267" s="342"/>
      <c r="CC267" s="342">
        <f>312-CA267-BU267-BO267-99</f>
        <v>61</v>
      </c>
      <c r="CD267" s="342">
        <f>313-CA267-BU267-BO267-CC267-100</f>
        <v>0</v>
      </c>
      <c r="CE267" s="342">
        <f>394-CA267-BU267-BO267-CD267-CC267-178</f>
        <v>3</v>
      </c>
      <c r="CF267" s="342">
        <f>CG267-CE267-CD267-CC267</f>
        <v>4</v>
      </c>
      <c r="CG267" s="342">
        <f>150-82</f>
        <v>68</v>
      </c>
      <c r="CH267" s="342"/>
      <c r="CI267" s="342">
        <v>55</v>
      </c>
      <c r="CJ267" s="342">
        <f>57-CI267</f>
        <v>2</v>
      </c>
      <c r="CK267" s="342">
        <f>57-CJ267-CI267</f>
        <v>0</v>
      </c>
      <c r="CL267" s="342"/>
      <c r="CM267" s="342"/>
      <c r="CN267" s="342"/>
      <c r="CO267" s="342"/>
      <c r="CP267" s="342"/>
      <c r="CQ267" s="342"/>
      <c r="CR267" s="342"/>
      <c r="CS267" s="342"/>
      <c r="CT267" s="475"/>
      <c r="CU267" s="342"/>
      <c r="CV267" s="342"/>
      <c r="CW267" s="342"/>
      <c r="CX267" s="342"/>
      <c r="CY267" s="342"/>
      <c r="CZ267" s="475"/>
      <c r="DA267" s="342"/>
      <c r="DB267" s="342"/>
      <c r="DC267" s="342"/>
      <c r="DD267" s="342"/>
      <c r="DE267" s="475"/>
      <c r="DF267" s="475"/>
      <c r="DG267" s="342"/>
      <c r="DH267" s="342"/>
      <c r="DI267" s="342"/>
      <c r="DJ267" s="342"/>
      <c r="DK267" s="475"/>
      <c r="DL267" s="475"/>
      <c r="DM267" s="342"/>
      <c r="DN267" s="342"/>
      <c r="DO267" s="342"/>
      <c r="DP267" s="342"/>
      <c r="DQ267" s="475"/>
      <c r="DR267" s="475"/>
      <c r="DS267" s="342"/>
      <c r="DT267" s="342"/>
      <c r="DU267" s="342"/>
      <c r="DV267" s="342"/>
      <c r="DW267" s="475"/>
      <c r="DX267" s="475"/>
      <c r="DY267" s="342"/>
      <c r="DZ267" s="342"/>
      <c r="EA267" s="342"/>
      <c r="EB267" s="342"/>
      <c r="EC267" s="475"/>
      <c r="ED267" s="475"/>
      <c r="EE267" s="342"/>
      <c r="EF267" s="342"/>
      <c r="EG267" s="342"/>
      <c r="EH267" s="342"/>
      <c r="EI267" s="475"/>
      <c r="EJ267" s="475"/>
      <c r="EK267" s="342"/>
      <c r="EL267" s="342"/>
      <c r="EM267" s="342"/>
      <c r="EN267" s="342"/>
      <c r="EO267" s="475"/>
      <c r="EP267" s="475"/>
      <c r="EQ267" s="342"/>
      <c r="ER267" s="342"/>
      <c r="ES267" s="342"/>
      <c r="ET267" s="342"/>
      <c r="EU267" s="475"/>
      <c r="EV267" s="475"/>
      <c r="EW267" s="342"/>
      <c r="EX267" s="342"/>
      <c r="EY267" s="342"/>
      <c r="EZ267" s="342"/>
      <c r="FA267" s="475"/>
      <c r="FB267" s="475"/>
      <c r="FC267" s="342"/>
      <c r="FD267" s="342"/>
      <c r="FE267" s="342"/>
      <c r="FF267" s="342"/>
      <c r="FG267" s="475"/>
      <c r="FH267" s="475"/>
      <c r="FI267" s="342"/>
      <c r="FJ267" s="342"/>
      <c r="FK267" s="342"/>
      <c r="FL267" s="342"/>
      <c r="FM267" s="475"/>
      <c r="FN267" s="27"/>
      <c r="FO267" s="27"/>
      <c r="FP267" s="27"/>
      <c r="FQ267" s="27"/>
      <c r="FR267"/>
      <c r="FS267"/>
      <c r="FT267"/>
      <c r="FU267"/>
      <c r="FV267"/>
      <c r="FW267"/>
      <c r="FX267" s="2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</row>
    <row r="268" spans="1:274" s="24" customFormat="1" ht="10.5" hidden="1" customHeight="1" outlineLevel="1" x14ac:dyDescent="0.2">
      <c r="A268" s="342" t="s">
        <v>349</v>
      </c>
      <c r="B268" s="20"/>
      <c r="C268" s="27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342"/>
      <c r="O268" s="342"/>
      <c r="P268" s="342"/>
      <c r="Q268" s="342"/>
      <c r="R268" s="342"/>
      <c r="S268" s="342"/>
      <c r="T268" s="342"/>
      <c r="U268" s="342"/>
      <c r="V268" s="342"/>
      <c r="W268" s="342"/>
      <c r="X268" s="342"/>
      <c r="Y268" s="342"/>
      <c r="Z268" s="342"/>
      <c r="AA268" s="342"/>
      <c r="AB268" s="342"/>
      <c r="AC268" s="342"/>
      <c r="AD268" s="342"/>
      <c r="AE268" s="342"/>
      <c r="AF268" s="342"/>
      <c r="AG268" s="342"/>
      <c r="AH268" s="342"/>
      <c r="AI268" s="342"/>
      <c r="AJ268" s="342"/>
      <c r="AK268" s="342"/>
      <c r="AL268" s="342"/>
      <c r="AM268" s="342"/>
      <c r="AN268" s="342"/>
      <c r="AO268" s="342"/>
      <c r="AP268" s="342"/>
      <c r="AQ268" s="342"/>
      <c r="AR268" s="342"/>
      <c r="AS268" s="342"/>
      <c r="AT268" s="342"/>
      <c r="AU268" s="342"/>
      <c r="AV268" s="342"/>
      <c r="AW268" s="342"/>
      <c r="AX268" s="342"/>
      <c r="AY268" s="342"/>
      <c r="AZ268" s="342"/>
      <c r="BA268" s="342"/>
      <c r="BB268" s="342"/>
      <c r="BC268" s="342">
        <v>0</v>
      </c>
      <c r="BD268" s="342"/>
      <c r="BE268" s="342"/>
      <c r="BF268" s="342"/>
      <c r="BG268" s="342"/>
      <c r="BH268" s="342"/>
      <c r="BI268" s="342">
        <v>0</v>
      </c>
      <c r="BJ268" s="342"/>
      <c r="BK268" s="342"/>
      <c r="BL268" s="342"/>
      <c r="BM268" s="342"/>
      <c r="BN268" s="342"/>
      <c r="BO268" s="342">
        <v>0</v>
      </c>
      <c r="BP268" s="342"/>
      <c r="BQ268" s="342"/>
      <c r="BR268" s="342"/>
      <c r="BS268" s="342"/>
      <c r="BT268" s="342"/>
      <c r="BU268" s="342">
        <v>0</v>
      </c>
      <c r="BV268" s="342"/>
      <c r="BW268" s="342">
        <v>0</v>
      </c>
      <c r="BX268" s="342">
        <v>0</v>
      </c>
      <c r="BY268" s="342">
        <v>97</v>
      </c>
      <c r="BZ268" s="342">
        <v>0</v>
      </c>
      <c r="CA268" s="342">
        <v>97</v>
      </c>
      <c r="CB268" s="342"/>
      <c r="CC268" s="342">
        <f>99-CA268</f>
        <v>2</v>
      </c>
      <c r="CD268" s="342">
        <f>100-CA268-CC268</f>
        <v>1</v>
      </c>
      <c r="CE268" s="342">
        <f>178-CA268-CC268</f>
        <v>79</v>
      </c>
      <c r="CF268" s="342">
        <f>CG268-CE268-CD268-CC268</f>
        <v>0</v>
      </c>
      <c r="CG268" s="342">
        <v>82</v>
      </c>
      <c r="CH268" s="342"/>
      <c r="CI268" s="342">
        <v>3</v>
      </c>
      <c r="CJ268" s="342">
        <f>4-CI268</f>
        <v>1</v>
      </c>
      <c r="CK268" s="342">
        <f>9-CJ268-CI268</f>
        <v>5</v>
      </c>
      <c r="CL268" s="342"/>
      <c r="CM268" s="342"/>
      <c r="CN268" s="342"/>
      <c r="CO268" s="342"/>
      <c r="CP268" s="342"/>
      <c r="CQ268" s="342"/>
      <c r="CR268" s="342"/>
      <c r="CS268" s="342"/>
      <c r="CT268" s="475"/>
      <c r="CU268" s="342"/>
      <c r="CV268" s="342"/>
      <c r="CW268" s="342"/>
      <c r="CX268" s="342"/>
      <c r="CY268" s="342"/>
      <c r="CZ268" s="475"/>
      <c r="DA268" s="342"/>
      <c r="DB268" s="342"/>
      <c r="DC268" s="342"/>
      <c r="DD268" s="342"/>
      <c r="DE268" s="475"/>
      <c r="DF268" s="475"/>
      <c r="DG268" s="342"/>
      <c r="DH268" s="342"/>
      <c r="DI268" s="342"/>
      <c r="DJ268" s="342"/>
      <c r="DK268" s="475"/>
      <c r="DL268" s="475"/>
      <c r="DM268" s="342"/>
      <c r="DN268" s="342"/>
      <c r="DO268" s="342"/>
      <c r="DP268" s="342"/>
      <c r="DQ268" s="475"/>
      <c r="DR268" s="475"/>
      <c r="DS268" s="342"/>
      <c r="DT268" s="342"/>
      <c r="DU268" s="342"/>
      <c r="DV268" s="342"/>
      <c r="DW268" s="475"/>
      <c r="DX268" s="475"/>
      <c r="DY268" s="342"/>
      <c r="DZ268" s="342"/>
      <c r="EA268" s="342"/>
      <c r="EB268" s="342"/>
      <c r="EC268" s="475"/>
      <c r="ED268" s="475"/>
      <c r="EE268" s="342"/>
      <c r="EF268" s="342"/>
      <c r="EG268" s="342"/>
      <c r="EH268" s="342"/>
      <c r="EI268" s="475"/>
      <c r="EJ268" s="475"/>
      <c r="EK268" s="342"/>
      <c r="EL268" s="342"/>
      <c r="EM268" s="342"/>
      <c r="EN268" s="342"/>
      <c r="EO268" s="475"/>
      <c r="EP268" s="475"/>
      <c r="EQ268" s="342"/>
      <c r="ER268" s="342"/>
      <c r="ES268" s="342"/>
      <c r="ET268" s="342"/>
      <c r="EU268" s="475"/>
      <c r="EV268" s="475"/>
      <c r="EW268" s="342"/>
      <c r="EX268" s="342"/>
      <c r="EY268" s="342"/>
      <c r="EZ268" s="342"/>
      <c r="FA268" s="475"/>
      <c r="FB268" s="475"/>
      <c r="FC268" s="342"/>
      <c r="FD268" s="342"/>
      <c r="FE268" s="342"/>
      <c r="FF268" s="342"/>
      <c r="FG268" s="475"/>
      <c r="FH268" s="475"/>
      <c r="FI268" s="342"/>
      <c r="FJ268" s="342"/>
      <c r="FK268" s="342"/>
      <c r="FL268" s="342"/>
      <c r="FM268" s="475"/>
      <c r="FN268" s="27"/>
      <c r="FO268" s="27"/>
      <c r="FP268" s="27"/>
      <c r="FQ268" s="27"/>
      <c r="FR268"/>
      <c r="FS268"/>
      <c r="FT268"/>
      <c r="FU268"/>
      <c r="FV268"/>
      <c r="FW268"/>
      <c r="FX268" s="27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</row>
    <row r="269" spans="1:274" s="24" customFormat="1" ht="10.5" hidden="1" customHeight="1" outlineLevel="1" x14ac:dyDescent="0.2">
      <c r="A269" s="342" t="s">
        <v>350</v>
      </c>
      <c r="B269" s="20"/>
      <c r="C269" s="27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342"/>
      <c r="O269" s="342"/>
      <c r="P269" s="342"/>
      <c r="Q269" s="342"/>
      <c r="R269" s="342"/>
      <c r="S269" s="342"/>
      <c r="T269" s="342"/>
      <c r="U269" s="342"/>
      <c r="V269" s="342"/>
      <c r="W269" s="342"/>
      <c r="X269" s="342"/>
      <c r="Y269" s="342"/>
      <c r="Z269" s="342"/>
      <c r="AA269" s="342"/>
      <c r="AB269" s="342"/>
      <c r="AC269" s="342"/>
      <c r="AD269" s="342"/>
      <c r="AE269" s="342"/>
      <c r="AF269" s="342"/>
      <c r="AG269" s="342"/>
      <c r="AH269" s="342"/>
      <c r="AI269" s="342"/>
      <c r="AJ269" s="342"/>
      <c r="AK269" s="342"/>
      <c r="AL269" s="342"/>
      <c r="AM269" s="342"/>
      <c r="AN269" s="342"/>
      <c r="AO269" s="342"/>
      <c r="AP269" s="342"/>
      <c r="AQ269" s="342"/>
      <c r="AR269" s="342"/>
      <c r="AS269" s="342"/>
      <c r="AT269" s="342"/>
      <c r="AU269" s="342"/>
      <c r="AV269" s="342"/>
      <c r="AW269" s="342"/>
      <c r="AX269" s="342"/>
      <c r="AY269" s="342"/>
      <c r="AZ269" s="342"/>
      <c r="BA269" s="342"/>
      <c r="BB269" s="342"/>
      <c r="BC269" s="342">
        <v>-109</v>
      </c>
      <c r="BD269" s="342"/>
      <c r="BE269" s="342"/>
      <c r="BF269" s="342"/>
      <c r="BG269" s="342"/>
      <c r="BH269" s="342"/>
      <c r="BI269" s="342">
        <v>-29</v>
      </c>
      <c r="BJ269" s="342"/>
      <c r="BK269" s="342"/>
      <c r="BL269" s="342"/>
      <c r="BM269" s="342"/>
      <c r="BN269" s="342"/>
      <c r="BO269" s="342">
        <v>-48</v>
      </c>
      <c r="BP269" s="342"/>
      <c r="BQ269" s="342"/>
      <c r="BR269" s="342"/>
      <c r="BS269" s="342"/>
      <c r="BT269" s="342"/>
      <c r="BU269" s="342">
        <v>-38</v>
      </c>
      <c r="BV269" s="342"/>
      <c r="BW269" s="342">
        <f>-121-BU269-BO269-BI269</f>
        <v>-6</v>
      </c>
      <c r="BX269" s="342">
        <f>-132-BW269-BU269-BO269-BI269</f>
        <v>-11</v>
      </c>
      <c r="BY269" s="342">
        <f>-164-BW269-BU269-BO269-BI269-BX269</f>
        <v>-32</v>
      </c>
      <c r="BZ269" s="342">
        <f>CA269-BY269-BX269-BW269</f>
        <v>-22</v>
      </c>
      <c r="CA269" s="342">
        <v>-71</v>
      </c>
      <c r="CB269" s="342"/>
      <c r="CC269" s="342">
        <f>-180-CA269-BU269-BO269</f>
        <v>-23</v>
      </c>
      <c r="CD269" s="342">
        <f>-187-CA269-BU269-BO269-CC269</f>
        <v>-7</v>
      </c>
      <c r="CE269" s="342">
        <f>-204-CA269-BU269-BO269-CC269-CD269</f>
        <v>-17</v>
      </c>
      <c r="CF269" s="342">
        <f>CG269-CE269-CD269-CC269</f>
        <v>-40</v>
      </c>
      <c r="CG269" s="342">
        <v>-87</v>
      </c>
      <c r="CH269" s="342"/>
      <c r="CI269" s="342">
        <v>-20</v>
      </c>
      <c r="CJ269" s="342">
        <f>-67-CI269</f>
        <v>-47</v>
      </c>
      <c r="CK269" s="342">
        <f>-82-CJ269-CI269</f>
        <v>-15</v>
      </c>
      <c r="CL269" s="342"/>
      <c r="CM269" s="342"/>
      <c r="CN269" s="342"/>
      <c r="CO269" s="342"/>
      <c r="CP269" s="342"/>
      <c r="CQ269" s="342"/>
      <c r="CR269" s="342"/>
      <c r="CS269" s="342"/>
      <c r="CT269" s="475"/>
      <c r="CU269" s="342"/>
      <c r="CV269" s="342"/>
      <c r="CW269" s="342"/>
      <c r="CX269" s="342"/>
      <c r="CY269" s="342"/>
      <c r="CZ269" s="475"/>
      <c r="DA269" s="342"/>
      <c r="DB269" s="342"/>
      <c r="DC269" s="342"/>
      <c r="DD269" s="342"/>
      <c r="DE269" s="475"/>
      <c r="DF269" s="475"/>
      <c r="DG269" s="342"/>
      <c r="DH269" s="342"/>
      <c r="DI269" s="342"/>
      <c r="DJ269" s="342"/>
      <c r="DK269" s="475"/>
      <c r="DL269" s="475"/>
      <c r="DM269" s="342"/>
      <c r="DN269" s="342"/>
      <c r="DO269" s="342"/>
      <c r="DP269" s="342"/>
      <c r="DQ269" s="475"/>
      <c r="DR269" s="475"/>
      <c r="DS269" s="342"/>
      <c r="DT269" s="342"/>
      <c r="DU269" s="342"/>
      <c r="DV269" s="342"/>
      <c r="DW269" s="475"/>
      <c r="DX269" s="475"/>
      <c r="DY269" s="342"/>
      <c r="DZ269" s="342"/>
      <c r="EA269" s="342"/>
      <c r="EB269" s="342"/>
      <c r="EC269" s="475"/>
      <c r="ED269" s="475"/>
      <c r="EE269" s="342"/>
      <c r="EF269" s="342"/>
      <c r="EG269" s="342"/>
      <c r="EH269" s="342"/>
      <c r="EI269" s="475"/>
      <c r="EJ269" s="475"/>
      <c r="EK269" s="342"/>
      <c r="EL269" s="342"/>
      <c r="EM269" s="342"/>
      <c r="EN269" s="342"/>
      <c r="EO269" s="475"/>
      <c r="EP269" s="475"/>
      <c r="EQ269" s="342"/>
      <c r="ER269" s="342"/>
      <c r="ES269" s="342"/>
      <c r="ET269" s="342"/>
      <c r="EU269" s="475"/>
      <c r="EV269" s="475"/>
      <c r="EW269" s="342"/>
      <c r="EX269" s="342"/>
      <c r="EY269" s="342"/>
      <c r="EZ269" s="342"/>
      <c r="FA269" s="475"/>
      <c r="FB269" s="475"/>
      <c r="FC269" s="342"/>
      <c r="FD269" s="342"/>
      <c r="FE269" s="342"/>
      <c r="FF269" s="342"/>
      <c r="FG269" s="475"/>
      <c r="FH269" s="475"/>
      <c r="FI269" s="342"/>
      <c r="FJ269" s="342"/>
      <c r="FK269" s="342"/>
      <c r="FL269" s="342"/>
      <c r="FM269" s="475"/>
      <c r="FN269" s="27"/>
      <c r="FO269" s="27"/>
      <c r="FP269" s="27"/>
      <c r="FQ269" s="27"/>
      <c r="FR269"/>
      <c r="FS269"/>
      <c r="FT269"/>
      <c r="FU269"/>
      <c r="FV269"/>
      <c r="FW269"/>
      <c r="FX269" s="27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</row>
    <row r="270" spans="1:274" s="24" customFormat="1" ht="10.5" hidden="1" customHeight="1" outlineLevel="1" x14ac:dyDescent="0.2">
      <c r="A270" s="588" t="s">
        <v>351</v>
      </c>
      <c r="B270" s="20"/>
      <c r="C270" s="27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342"/>
      <c r="O270" s="342"/>
      <c r="P270" s="342"/>
      <c r="Q270" s="342"/>
      <c r="R270" s="342"/>
      <c r="S270" s="342"/>
      <c r="T270" s="342"/>
      <c r="U270" s="342"/>
      <c r="V270" s="342"/>
      <c r="W270" s="342"/>
      <c r="X270" s="342"/>
      <c r="Y270" s="342"/>
      <c r="Z270" s="342"/>
      <c r="AA270" s="342"/>
      <c r="AB270" s="342"/>
      <c r="AC270" s="342"/>
      <c r="AD270" s="342"/>
      <c r="AE270" s="342"/>
      <c r="AF270" s="342"/>
      <c r="AG270" s="342"/>
      <c r="AH270" s="342"/>
      <c r="AI270" s="342"/>
      <c r="AJ270" s="342"/>
      <c r="AK270" s="342"/>
      <c r="AL270" s="342"/>
      <c r="AM270" s="342"/>
      <c r="AN270" s="342"/>
      <c r="AO270" s="342"/>
      <c r="AP270" s="342"/>
      <c r="AQ270" s="342"/>
      <c r="AR270" s="342"/>
      <c r="AS270" s="342"/>
      <c r="AT270" s="342"/>
      <c r="AU270" s="342"/>
      <c r="AV270" s="342"/>
      <c r="AW270" s="342"/>
      <c r="AX270" s="342"/>
      <c r="AY270" s="342"/>
      <c r="AZ270" s="342"/>
      <c r="BA270" s="342"/>
      <c r="BB270" s="342"/>
      <c r="BC270" s="388">
        <v>-54</v>
      </c>
      <c r="BD270" s="342"/>
      <c r="BE270" s="342"/>
      <c r="BF270" s="342"/>
      <c r="BG270" s="342"/>
      <c r="BH270" s="342"/>
      <c r="BI270" s="588">
        <v>-24</v>
      </c>
      <c r="BJ270" s="342"/>
      <c r="BK270" s="342"/>
      <c r="BL270" s="342"/>
      <c r="BM270" s="342"/>
      <c r="BN270" s="342"/>
      <c r="BO270" s="588">
        <v>-17</v>
      </c>
      <c r="BP270" s="342"/>
      <c r="BQ270" s="342"/>
      <c r="BR270" s="342"/>
      <c r="BS270" s="342"/>
      <c r="BT270" s="342"/>
      <c r="BU270" s="588">
        <v>-21</v>
      </c>
      <c r="BV270" s="342"/>
      <c r="BW270" s="588">
        <f>-65-BU270-BO270-BI270</f>
        <v>-3</v>
      </c>
      <c r="BX270" s="588">
        <f>-70-BW270-BU270-BO270-BI270</f>
        <v>-5</v>
      </c>
      <c r="BY270" s="588">
        <f>-80-BW270-BU270-BO270-BI270-BX270</f>
        <v>-10</v>
      </c>
      <c r="BZ270" s="588">
        <f>CA270-BY270-BX270-BW270</f>
        <v>-21</v>
      </c>
      <c r="CA270" s="588">
        <v>-39</v>
      </c>
      <c r="CB270" s="342"/>
      <c r="CC270" s="588">
        <f>-87-CA270-BU270-BO270</f>
        <v>-10</v>
      </c>
      <c r="CD270" s="588">
        <f>-99-CA270-BU270-BO270-CC270</f>
        <v>-12</v>
      </c>
      <c r="CE270" s="588">
        <f>-108-CA270-BU270-BO270-CC270-CD270</f>
        <v>-9</v>
      </c>
      <c r="CF270" s="588">
        <f>CG270-CE270-CD270-CC270</f>
        <v>-28</v>
      </c>
      <c r="CG270" s="588">
        <v>-59</v>
      </c>
      <c r="CH270" s="342"/>
      <c r="CI270" s="588">
        <v>-3</v>
      </c>
      <c r="CJ270" s="588">
        <f>-8-CI270</f>
        <v>-5</v>
      </c>
      <c r="CK270" s="588">
        <f>-14-CJ270-CI270</f>
        <v>-6</v>
      </c>
      <c r="CL270" s="588"/>
      <c r="CM270" s="588"/>
      <c r="CN270" s="342"/>
      <c r="CO270" s="588"/>
      <c r="CP270" s="588"/>
      <c r="CQ270" s="588"/>
      <c r="CR270" s="588"/>
      <c r="CS270" s="588"/>
      <c r="CT270" s="475"/>
      <c r="CU270" s="588"/>
      <c r="CV270" s="588"/>
      <c r="CW270" s="588"/>
      <c r="CX270" s="588"/>
      <c r="CY270" s="588"/>
      <c r="CZ270" s="475"/>
      <c r="DA270" s="588"/>
      <c r="DB270" s="588"/>
      <c r="DC270" s="588"/>
      <c r="DD270" s="588"/>
      <c r="DE270" s="588"/>
      <c r="DF270" s="475"/>
      <c r="DG270" s="588"/>
      <c r="DH270" s="588"/>
      <c r="DI270" s="588"/>
      <c r="DJ270" s="588"/>
      <c r="DK270" s="588"/>
      <c r="DL270" s="475"/>
      <c r="DM270" s="588"/>
      <c r="DN270" s="588"/>
      <c r="DO270" s="588"/>
      <c r="DP270" s="588"/>
      <c r="DQ270" s="588"/>
      <c r="DR270" s="475"/>
      <c r="DS270" s="588"/>
      <c r="DT270" s="588"/>
      <c r="DU270" s="588"/>
      <c r="DV270" s="588"/>
      <c r="DW270" s="588"/>
      <c r="DX270" s="475"/>
      <c r="DY270" s="588"/>
      <c r="DZ270" s="588"/>
      <c r="EA270" s="588"/>
      <c r="EB270" s="588"/>
      <c r="EC270" s="588"/>
      <c r="ED270" s="475"/>
      <c r="EE270" s="588"/>
      <c r="EF270" s="588"/>
      <c r="EG270" s="588"/>
      <c r="EH270" s="588"/>
      <c r="EI270" s="588"/>
      <c r="EJ270" s="475"/>
      <c r="EK270" s="588"/>
      <c r="EL270" s="588"/>
      <c r="EM270" s="588"/>
      <c r="EN270" s="588"/>
      <c r="EO270" s="588"/>
      <c r="EP270" s="475"/>
      <c r="EQ270" s="588"/>
      <c r="ER270" s="588"/>
      <c r="ES270" s="588"/>
      <c r="ET270" s="588"/>
      <c r="EU270" s="588"/>
      <c r="EV270" s="475"/>
      <c r="EW270" s="588"/>
      <c r="EX270" s="588"/>
      <c r="EY270" s="588"/>
      <c r="EZ270" s="588"/>
      <c r="FA270" s="588"/>
      <c r="FB270" s="475"/>
      <c r="FC270" s="588"/>
      <c r="FD270" s="588"/>
      <c r="FE270" s="588"/>
      <c r="FF270" s="588"/>
      <c r="FG270" s="588"/>
      <c r="FH270" s="475"/>
      <c r="FI270" s="588"/>
      <c r="FJ270" s="588"/>
      <c r="FK270" s="588"/>
      <c r="FL270" s="588"/>
      <c r="FM270" s="588"/>
      <c r="FN270" s="27"/>
      <c r="FO270" s="27"/>
      <c r="FP270" s="27"/>
      <c r="FQ270" s="27"/>
      <c r="FR270"/>
      <c r="FS270"/>
      <c r="FT270"/>
      <c r="FU270"/>
      <c r="FV270"/>
      <c r="FW270"/>
      <c r="FX270" s="27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</row>
    <row r="271" spans="1:274" s="24" customFormat="1" ht="10.5" hidden="1" customHeight="1" outlineLevel="1" x14ac:dyDescent="0.2">
      <c r="A271" s="342" t="s">
        <v>352</v>
      </c>
      <c r="B271" s="20"/>
      <c r="C271" s="27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342"/>
      <c r="O271" s="342"/>
      <c r="P271" s="342"/>
      <c r="Q271" s="342"/>
      <c r="R271" s="342"/>
      <c r="S271" s="342"/>
      <c r="T271" s="342"/>
      <c r="U271" s="342"/>
      <c r="V271" s="342"/>
      <c r="W271" s="342"/>
      <c r="X271" s="342"/>
      <c r="Y271" s="342"/>
      <c r="Z271" s="342"/>
      <c r="AA271" s="342"/>
      <c r="AB271" s="342"/>
      <c r="AC271" s="342"/>
      <c r="AD271" s="342"/>
      <c r="AE271" s="342"/>
      <c r="AF271" s="342"/>
      <c r="AG271" s="342"/>
      <c r="AH271" s="342"/>
      <c r="AI271" s="342"/>
      <c r="AJ271" s="342"/>
      <c r="AK271" s="342"/>
      <c r="AL271" s="342"/>
      <c r="AM271" s="342"/>
      <c r="AN271" s="342"/>
      <c r="AO271" s="342"/>
      <c r="AP271" s="342"/>
      <c r="AQ271" s="342"/>
      <c r="AR271" s="342"/>
      <c r="AS271" s="342"/>
      <c r="AT271" s="342"/>
      <c r="AU271" s="342"/>
      <c r="AV271" s="342"/>
      <c r="AW271" s="342"/>
      <c r="AX271" s="342"/>
      <c r="AY271" s="342"/>
      <c r="AZ271" s="342"/>
      <c r="BA271" s="342"/>
      <c r="BB271" s="342"/>
      <c r="BC271" s="475">
        <f>SUM(BC266:BC270)</f>
        <v>442</v>
      </c>
      <c r="BD271" s="342"/>
      <c r="BE271" s="342"/>
      <c r="BF271" s="342"/>
      <c r="BG271" s="342"/>
      <c r="BH271" s="342"/>
      <c r="BI271" s="475">
        <f>SUM(BI266:BI270)</f>
        <v>454</v>
      </c>
      <c r="BJ271" s="342"/>
      <c r="BK271" s="342"/>
      <c r="BL271" s="342"/>
      <c r="BM271" s="342"/>
      <c r="BN271" s="342"/>
      <c r="BO271" s="475">
        <f>SUM(BO266:BO270)</f>
        <v>455</v>
      </c>
      <c r="BP271" s="342"/>
      <c r="BQ271" s="342"/>
      <c r="BR271" s="342"/>
      <c r="BS271" s="342"/>
      <c r="BT271" s="342"/>
      <c r="BU271" s="475">
        <f>SUM(BU266:BU270)</f>
        <v>440</v>
      </c>
      <c r="BV271" s="342"/>
      <c r="BW271" s="475">
        <f>SUM(BW266:BW270)</f>
        <v>466</v>
      </c>
      <c r="BX271" s="475">
        <f>SUM(BX266:BX270)</f>
        <v>453</v>
      </c>
      <c r="BY271" s="475">
        <f>SUM(BY266:BY270)</f>
        <v>509</v>
      </c>
      <c r="BZ271" s="475">
        <f>SUM(BZ266:BZ270)</f>
        <v>469</v>
      </c>
      <c r="CA271" s="475">
        <f>SUM(CA266:CA270)</f>
        <v>469</v>
      </c>
      <c r="CB271" s="342"/>
      <c r="CC271" s="475">
        <f>SUM(CC266:CC270)</f>
        <v>499</v>
      </c>
      <c r="CD271" s="475">
        <f>SUM(CD266:CD270)</f>
        <v>481</v>
      </c>
      <c r="CE271" s="475">
        <f>SUM(CE266:CE270)</f>
        <v>537</v>
      </c>
      <c r="CF271" s="475">
        <f>SUM(CF266:CF270)</f>
        <v>473</v>
      </c>
      <c r="CG271" s="475">
        <f>SUM(CG266:CG270)</f>
        <v>473</v>
      </c>
      <c r="CH271" s="342"/>
      <c r="CI271" s="475">
        <f>SUM(CI266:CI270)</f>
        <v>508</v>
      </c>
      <c r="CJ271" s="475">
        <f>SUM(CJ266:CJ270)</f>
        <v>459</v>
      </c>
      <c r="CK271" s="475">
        <f>SUM(CK266:CK270)</f>
        <v>443</v>
      </c>
      <c r="CL271" s="475">
        <f>SUM(CL266:CL270)</f>
        <v>443</v>
      </c>
      <c r="CM271" s="475">
        <f>SUM(CM266:CM270)</f>
        <v>473</v>
      </c>
      <c r="CN271" s="342"/>
      <c r="CO271" s="475">
        <f>SUM(CO266:CO270)</f>
        <v>473</v>
      </c>
      <c r="CP271" s="475">
        <f>SUM(CP266:CP270)</f>
        <v>473</v>
      </c>
      <c r="CQ271" s="475">
        <f>SUM(CQ266:CQ270)</f>
        <v>473</v>
      </c>
      <c r="CR271" s="475">
        <f>SUM(CR266:CR270)</f>
        <v>473</v>
      </c>
      <c r="CS271" s="475">
        <f>SUM(CS266:CS270)</f>
        <v>473</v>
      </c>
      <c r="CT271" s="475"/>
      <c r="CU271" s="475">
        <f>SUM(CU266:CU270)</f>
        <v>473</v>
      </c>
      <c r="CV271" s="475">
        <f>SUM(CV266:CV270)</f>
        <v>473</v>
      </c>
      <c r="CW271" s="475">
        <f>SUM(CW266:CW270)</f>
        <v>473</v>
      </c>
      <c r="CX271" s="475">
        <f>SUM(CX266:CX270)</f>
        <v>473</v>
      </c>
      <c r="CY271" s="475">
        <f>SUM(CY266:CY270)</f>
        <v>473</v>
      </c>
      <c r="CZ271" s="475"/>
      <c r="DA271" s="475">
        <f>SUM(DA266:DA270)</f>
        <v>473</v>
      </c>
      <c r="DB271" s="475">
        <f>SUM(DB266:DB270)</f>
        <v>473</v>
      </c>
      <c r="DC271" s="475">
        <f>SUM(DC266:DC270)</f>
        <v>473</v>
      </c>
      <c r="DD271" s="475">
        <f>SUM(DD266:DD270)</f>
        <v>473</v>
      </c>
      <c r="DE271" s="475">
        <f>SUM(DE266:DE270)</f>
        <v>473</v>
      </c>
      <c r="DF271" s="475"/>
      <c r="DG271" s="475">
        <f>SUM(DG266:DG270)</f>
        <v>473</v>
      </c>
      <c r="DH271" s="475">
        <f>SUM(DH266:DH270)</f>
        <v>473</v>
      </c>
      <c r="DI271" s="475">
        <f>SUM(DI266:DI270)</f>
        <v>473</v>
      </c>
      <c r="DJ271" s="475">
        <f>SUM(DJ266:DJ270)</f>
        <v>473</v>
      </c>
      <c r="DK271" s="475">
        <f>SUM(DK266:DK270)</f>
        <v>473</v>
      </c>
      <c r="DL271" s="475"/>
      <c r="DM271" s="475">
        <f>SUM(DM266:DM270)</f>
        <v>473</v>
      </c>
      <c r="DN271" s="475">
        <f>SUM(DN266:DN270)</f>
        <v>473</v>
      </c>
      <c r="DO271" s="475">
        <f>SUM(DO266:DO270)</f>
        <v>473</v>
      </c>
      <c r="DP271" s="475">
        <f>SUM(DP266:DP270)</f>
        <v>473</v>
      </c>
      <c r="DQ271" s="475">
        <f>SUM(DQ266:DQ270)</f>
        <v>473</v>
      </c>
      <c r="DR271" s="475"/>
      <c r="DS271" s="475">
        <f>SUM(DS266:DS270)</f>
        <v>473</v>
      </c>
      <c r="DT271" s="475">
        <f>SUM(DT266:DT270)</f>
        <v>473</v>
      </c>
      <c r="DU271" s="475">
        <f>SUM(DU266:DU270)</f>
        <v>473</v>
      </c>
      <c r="DV271" s="475">
        <f>SUM(DV266:DV270)</f>
        <v>473</v>
      </c>
      <c r="DW271" s="475">
        <f>SUM(DW266:DW270)</f>
        <v>473</v>
      </c>
      <c r="DX271" s="475"/>
      <c r="DY271" s="475">
        <f>SUM(DY266:DY270)</f>
        <v>473</v>
      </c>
      <c r="DZ271" s="475">
        <f>SUM(DZ266:DZ270)</f>
        <v>473</v>
      </c>
      <c r="EA271" s="475">
        <f>SUM(EA266:EA270)</f>
        <v>473</v>
      </c>
      <c r="EB271" s="475">
        <f>SUM(EB266:EB270)</f>
        <v>473</v>
      </c>
      <c r="EC271" s="475">
        <f>SUM(EC266:EC270)</f>
        <v>473</v>
      </c>
      <c r="ED271" s="475"/>
      <c r="EE271" s="475">
        <f>SUM(EE266:EE270)</f>
        <v>473</v>
      </c>
      <c r="EF271" s="475">
        <f>SUM(EF266:EF270)</f>
        <v>473</v>
      </c>
      <c r="EG271" s="475">
        <f>SUM(EG266:EG270)</f>
        <v>473</v>
      </c>
      <c r="EH271" s="475">
        <f>SUM(EH266:EH270)</f>
        <v>473</v>
      </c>
      <c r="EI271" s="475">
        <f>SUM(EI266:EI270)</f>
        <v>473</v>
      </c>
      <c r="EJ271" s="475"/>
      <c r="EK271" s="475">
        <f>SUM(EK266:EK270)</f>
        <v>473</v>
      </c>
      <c r="EL271" s="475">
        <f>SUM(EL266:EL270)</f>
        <v>473</v>
      </c>
      <c r="EM271" s="475">
        <f>SUM(EM266:EM270)</f>
        <v>473</v>
      </c>
      <c r="EN271" s="475">
        <f>SUM(EN266:EN270)</f>
        <v>473</v>
      </c>
      <c r="EO271" s="475">
        <f>SUM(EO266:EO270)</f>
        <v>473</v>
      </c>
      <c r="EP271" s="475"/>
      <c r="EQ271" s="475">
        <f>SUM(EQ266:EQ270)</f>
        <v>473</v>
      </c>
      <c r="ER271" s="475">
        <f>SUM(ER266:ER270)</f>
        <v>473</v>
      </c>
      <c r="ES271" s="475">
        <f>SUM(ES266:ES270)</f>
        <v>473</v>
      </c>
      <c r="ET271" s="475">
        <f>SUM(ET266:ET270)</f>
        <v>473</v>
      </c>
      <c r="EU271" s="475">
        <f>SUM(EU266:EU270)</f>
        <v>473</v>
      </c>
      <c r="EV271" s="475"/>
      <c r="EW271" s="475">
        <f>SUM(EW266:EW270)</f>
        <v>473</v>
      </c>
      <c r="EX271" s="475">
        <f>SUM(EX266:EX270)</f>
        <v>473</v>
      </c>
      <c r="EY271" s="475">
        <f>SUM(EY266:EY270)</f>
        <v>473</v>
      </c>
      <c r="EZ271" s="475">
        <f>SUM(EZ266:EZ270)</f>
        <v>473</v>
      </c>
      <c r="FA271" s="475">
        <f>SUM(FA266:FA270)</f>
        <v>473</v>
      </c>
      <c r="FB271" s="475"/>
      <c r="FC271" s="475">
        <f>SUM(FC266:FC270)</f>
        <v>473</v>
      </c>
      <c r="FD271" s="475">
        <f>SUM(FD266:FD270)</f>
        <v>473</v>
      </c>
      <c r="FE271" s="475">
        <f>SUM(FE266:FE270)</f>
        <v>473</v>
      </c>
      <c r="FF271" s="475">
        <f>SUM(FF266:FF270)</f>
        <v>473</v>
      </c>
      <c r="FG271" s="475">
        <f>SUM(FG266:FG270)</f>
        <v>473</v>
      </c>
      <c r="FH271" s="475"/>
      <c r="FI271" s="475">
        <f>SUM(FI266:FI270)</f>
        <v>473</v>
      </c>
      <c r="FJ271" s="475">
        <f>SUM(FJ266:FJ270)</f>
        <v>473</v>
      </c>
      <c r="FK271" s="475">
        <f>SUM(FK266:FK270)</f>
        <v>473</v>
      </c>
      <c r="FL271" s="475">
        <f>SUM(FL266:FL270)</f>
        <v>473</v>
      </c>
      <c r="FM271" s="475">
        <f>SUM(FM266:FM270)</f>
        <v>473</v>
      </c>
      <c r="FN271" s="27"/>
      <c r="FO271" s="27"/>
      <c r="FP271" s="27"/>
      <c r="FQ271" s="27"/>
      <c r="FR271"/>
      <c r="FS271"/>
      <c r="FT271"/>
      <c r="FU271"/>
      <c r="FV271"/>
      <c r="FW271"/>
      <c r="FX271" s="27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</row>
    <row r="272" spans="1:274" s="24" customFormat="1" ht="10.5" hidden="1" customHeight="1" outlineLevel="1" x14ac:dyDescent="0.2">
      <c r="A272" s="342"/>
      <c r="B272" s="20"/>
      <c r="C272" s="27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342"/>
      <c r="O272" s="342"/>
      <c r="P272" s="342"/>
      <c r="Q272" s="342"/>
      <c r="R272" s="342"/>
      <c r="S272" s="342"/>
      <c r="T272" s="342"/>
      <c r="U272" s="342"/>
      <c r="V272" s="342"/>
      <c r="W272" s="342"/>
      <c r="X272" s="342"/>
      <c r="Y272" s="342"/>
      <c r="Z272" s="342"/>
      <c r="AA272" s="342"/>
      <c r="AB272" s="342"/>
      <c r="AC272" s="342"/>
      <c r="AD272" s="342"/>
      <c r="AE272" s="342"/>
      <c r="AF272" s="342"/>
      <c r="AG272" s="342"/>
      <c r="AH272" s="342"/>
      <c r="AI272" s="342"/>
      <c r="AJ272" s="342"/>
      <c r="AK272" s="342"/>
      <c r="AL272" s="342"/>
      <c r="AM272" s="342"/>
      <c r="AN272" s="342"/>
      <c r="AO272" s="342"/>
      <c r="AP272" s="342"/>
      <c r="AQ272" s="342"/>
      <c r="AR272" s="342"/>
      <c r="AS272" s="342"/>
      <c r="AT272" s="342"/>
      <c r="AU272" s="342"/>
      <c r="AV272" s="342"/>
      <c r="AW272" s="342"/>
      <c r="AX272" s="342"/>
      <c r="AY272" s="342"/>
      <c r="AZ272" s="342"/>
      <c r="BA272" s="342"/>
      <c r="BB272" s="342"/>
      <c r="BC272" s="475"/>
      <c r="BD272" s="342"/>
      <c r="BE272" s="342"/>
      <c r="BF272" s="342"/>
      <c r="BG272" s="342"/>
      <c r="BH272" s="342"/>
      <c r="BI272" s="342"/>
      <c r="BJ272" s="342"/>
      <c r="BK272" s="342"/>
      <c r="BL272" s="342"/>
      <c r="BM272" s="342"/>
      <c r="BN272" s="342"/>
      <c r="BO272" s="342"/>
      <c r="BP272" s="342"/>
      <c r="BQ272" s="342"/>
      <c r="BR272" s="342"/>
      <c r="BS272" s="342"/>
      <c r="BT272" s="342"/>
      <c r="BU272" s="342"/>
      <c r="BV272" s="342"/>
      <c r="BW272" s="342"/>
      <c r="BX272" s="342"/>
      <c r="BY272" s="342"/>
      <c r="BZ272" s="342"/>
      <c r="CA272" s="342"/>
      <c r="CB272" s="342"/>
      <c r="CC272" s="342"/>
      <c r="CD272" s="342"/>
      <c r="CE272" s="342"/>
      <c r="CF272" s="342"/>
      <c r="CG272" s="342"/>
      <c r="CH272" s="342"/>
      <c r="CI272" s="342"/>
      <c r="CJ272" s="342"/>
      <c r="CK272" s="342"/>
      <c r="CL272" s="342"/>
      <c r="CM272" s="342"/>
      <c r="CN272" s="342"/>
      <c r="CO272" s="342"/>
      <c r="CP272" s="342"/>
      <c r="CQ272" s="342"/>
      <c r="CR272" s="342"/>
      <c r="CS272" s="342"/>
      <c r="CT272" s="475"/>
      <c r="CU272" s="342"/>
      <c r="CV272" s="342"/>
      <c r="CW272" s="342"/>
      <c r="CX272" s="342"/>
      <c r="CY272" s="342"/>
      <c r="CZ272" s="475"/>
      <c r="DA272" s="342"/>
      <c r="DB272" s="342"/>
      <c r="DC272" s="342"/>
      <c r="DD272" s="342"/>
      <c r="DE272" s="475"/>
      <c r="DF272" s="475"/>
      <c r="DG272" s="342"/>
      <c r="DH272" s="342"/>
      <c r="DI272" s="342"/>
      <c r="DJ272" s="342"/>
      <c r="DK272" s="475"/>
      <c r="DL272" s="475"/>
      <c r="DM272" s="342"/>
      <c r="DN272" s="342"/>
      <c r="DO272" s="342"/>
      <c r="DP272" s="342"/>
      <c r="DQ272" s="475"/>
      <c r="DR272" s="475"/>
      <c r="DS272" s="342"/>
      <c r="DT272" s="342"/>
      <c r="DU272" s="342"/>
      <c r="DV272" s="342"/>
      <c r="DW272" s="475"/>
      <c r="DX272" s="475"/>
      <c r="DY272" s="342"/>
      <c r="DZ272" s="342"/>
      <c r="EA272" s="342"/>
      <c r="EB272" s="342"/>
      <c r="EC272" s="475"/>
      <c r="ED272" s="475"/>
      <c r="EE272" s="342"/>
      <c r="EF272" s="342"/>
      <c r="EG272" s="342"/>
      <c r="EH272" s="342"/>
      <c r="EI272" s="475"/>
      <c r="EJ272" s="475"/>
      <c r="EK272" s="342"/>
      <c r="EL272" s="342"/>
      <c r="EM272" s="342"/>
      <c r="EN272" s="342"/>
      <c r="EO272" s="475"/>
      <c r="EP272" s="475"/>
      <c r="EQ272" s="342"/>
      <c r="ER272" s="342"/>
      <c r="ES272" s="342"/>
      <c r="ET272" s="342"/>
      <c r="EU272" s="475"/>
      <c r="EV272" s="475"/>
      <c r="EW272" s="342"/>
      <c r="EX272" s="342"/>
      <c r="EY272" s="342"/>
      <c r="EZ272" s="342"/>
      <c r="FA272" s="475"/>
      <c r="FB272" s="475"/>
      <c r="FC272" s="342"/>
      <c r="FD272" s="342"/>
      <c r="FE272" s="342"/>
      <c r="FF272" s="342"/>
      <c r="FG272" s="475"/>
      <c r="FH272" s="475"/>
      <c r="FI272" s="342"/>
      <c r="FJ272" s="342"/>
      <c r="FK272" s="342"/>
      <c r="FL272" s="342"/>
      <c r="FM272" s="475"/>
      <c r="FN272" s="27"/>
      <c r="FO272" s="27"/>
      <c r="FP272" s="27"/>
      <c r="FQ272" s="27"/>
      <c r="FR272"/>
      <c r="FS272"/>
      <c r="FT272"/>
      <c r="FU272"/>
      <c r="FV272"/>
      <c r="FW272"/>
      <c r="FX272" s="27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</row>
    <row r="273" spans="1:274" s="24" customFormat="1" ht="10.5" hidden="1" customHeight="1" outlineLevel="1" x14ac:dyDescent="0.2">
      <c r="A273" s="342" t="s">
        <v>353</v>
      </c>
      <c r="B273" s="20"/>
      <c r="C273" s="27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342"/>
      <c r="O273" s="342"/>
      <c r="P273" s="342"/>
      <c r="Q273" s="342"/>
      <c r="R273" s="342"/>
      <c r="S273" s="342"/>
      <c r="T273" s="342"/>
      <c r="U273" s="342"/>
      <c r="V273" s="342"/>
      <c r="W273" s="342"/>
      <c r="X273" s="342"/>
      <c r="Y273" s="342"/>
      <c r="Z273" s="342"/>
      <c r="AA273" s="342"/>
      <c r="AB273" s="342"/>
      <c r="AC273" s="342"/>
      <c r="AD273" s="342"/>
      <c r="AE273" s="342"/>
      <c r="AF273" s="342"/>
      <c r="AG273" s="342"/>
      <c r="AH273" s="342"/>
      <c r="AI273" s="342"/>
      <c r="AJ273" s="342"/>
      <c r="AK273" s="342"/>
      <c r="AL273" s="342"/>
      <c r="AM273" s="342"/>
      <c r="AN273" s="342"/>
      <c r="AO273" s="342"/>
      <c r="AP273" s="342"/>
      <c r="AQ273" s="342"/>
      <c r="AR273" s="342"/>
      <c r="AS273" s="342"/>
      <c r="AT273" s="342"/>
      <c r="AU273" s="342"/>
      <c r="AV273" s="342"/>
      <c r="AW273" s="342"/>
      <c r="AX273" s="342"/>
      <c r="AY273" s="342"/>
      <c r="AZ273" s="342"/>
      <c r="BA273" s="342"/>
      <c r="BB273" s="342"/>
      <c r="BC273" s="475"/>
      <c r="BD273" s="342"/>
      <c r="BE273" s="342"/>
      <c r="BF273" s="342"/>
      <c r="BG273" s="342"/>
      <c r="BH273" s="342"/>
      <c r="BI273" s="342"/>
      <c r="BJ273" s="342"/>
      <c r="BK273" s="342"/>
      <c r="BL273" s="342"/>
      <c r="BM273" s="342"/>
      <c r="BN273" s="342"/>
      <c r="BO273" s="342"/>
      <c r="BP273" s="342"/>
      <c r="BQ273" s="342"/>
      <c r="BR273" s="342"/>
      <c r="BS273" s="342"/>
      <c r="BT273" s="342"/>
      <c r="BU273" s="34">
        <f>BU267/Metrics!BU300*1000000</f>
        <v>1056.2196936962887</v>
      </c>
      <c r="BV273" s="34"/>
      <c r="BW273" s="34">
        <f>BW267/Metrics!BW300*1000000</f>
        <v>831.98630788247601</v>
      </c>
      <c r="BX273" s="342"/>
      <c r="BY273" s="342"/>
      <c r="BZ273" s="342"/>
      <c r="CA273" s="34">
        <f>CA267/Metrics!CA300*1000000</f>
        <v>842.15591915303173</v>
      </c>
      <c r="CB273" s="34"/>
      <c r="CC273" s="34">
        <f>CC267/Metrics!CC300*1000000</f>
        <v>1231.925034332337</v>
      </c>
      <c r="CD273" s="34">
        <f>CD267/Metrics!CD300*1000000</f>
        <v>0</v>
      </c>
      <c r="CE273" s="34">
        <f>CE267/Metrics!CE300*1000000</f>
        <v>53.974308229282862</v>
      </c>
      <c r="CF273" s="34">
        <f>CF267/Metrics!CF300*1000000</f>
        <v>71.259330518589778</v>
      </c>
      <c r="CG273" s="34">
        <f>CG267/Metrics!CG300*1000000</f>
        <v>1211.4086188160261</v>
      </c>
      <c r="CH273" s="34"/>
      <c r="CI273" s="34">
        <f>CI267/Metrics!CI300*1000000</f>
        <v>844.51678285170283</v>
      </c>
      <c r="CJ273" s="34">
        <f>CJ267/Metrics!CJ300*1000000</f>
        <v>29.225238916328141</v>
      </c>
      <c r="CK273" s="34">
        <f>CK267/Metrics!CK300*1000000</f>
        <v>0</v>
      </c>
      <c r="CL273" s="342"/>
      <c r="CM273" s="342"/>
      <c r="CN273" s="342"/>
      <c r="CO273" s="342"/>
      <c r="CP273" s="342"/>
      <c r="CQ273" s="342"/>
      <c r="CR273" s="342"/>
      <c r="CS273" s="342"/>
      <c r="CT273" s="475"/>
      <c r="CU273" s="342"/>
      <c r="CV273" s="342"/>
      <c r="CW273" s="342"/>
      <c r="CX273" s="342"/>
      <c r="CY273" s="342"/>
      <c r="CZ273" s="475"/>
      <c r="DA273" s="342"/>
      <c r="DB273" s="342"/>
      <c r="DC273" s="342"/>
      <c r="DD273" s="342"/>
      <c r="DE273" s="475"/>
      <c r="DF273" s="475"/>
      <c r="DG273" s="342"/>
      <c r="DH273" s="342"/>
      <c r="DI273" s="342"/>
      <c r="DJ273" s="342"/>
      <c r="DK273" s="475"/>
      <c r="DL273" s="475"/>
      <c r="DM273" s="342"/>
      <c r="DN273" s="342"/>
      <c r="DO273" s="342"/>
      <c r="DP273" s="342"/>
      <c r="DQ273" s="475"/>
      <c r="DR273" s="475"/>
      <c r="DS273" s="342"/>
      <c r="DT273" s="342"/>
      <c r="DU273" s="342"/>
      <c r="DV273" s="342"/>
      <c r="DW273" s="475"/>
      <c r="DX273" s="475"/>
      <c r="DY273" s="342"/>
      <c r="DZ273" s="342"/>
      <c r="EA273" s="342"/>
      <c r="EB273" s="342"/>
      <c r="EC273" s="475"/>
      <c r="ED273" s="475"/>
      <c r="EE273" s="342"/>
      <c r="EF273" s="342"/>
      <c r="EG273" s="342"/>
      <c r="EH273" s="342"/>
      <c r="EI273" s="475"/>
      <c r="EJ273" s="475"/>
      <c r="EK273" s="342"/>
      <c r="EL273" s="342"/>
      <c r="EM273" s="342"/>
      <c r="EN273" s="342"/>
      <c r="EO273" s="475"/>
      <c r="EP273" s="475"/>
      <c r="EQ273" s="342"/>
      <c r="ER273" s="342"/>
      <c r="ES273" s="342"/>
      <c r="ET273" s="342"/>
      <c r="EU273" s="475"/>
      <c r="EV273" s="475"/>
      <c r="EW273" s="342"/>
      <c r="EX273" s="342"/>
      <c r="EY273" s="342"/>
      <c r="EZ273" s="342"/>
      <c r="FA273" s="475"/>
      <c r="FB273" s="475"/>
      <c r="FC273" s="342"/>
      <c r="FD273" s="342"/>
      <c r="FE273" s="342"/>
      <c r="FF273" s="342"/>
      <c r="FG273" s="475"/>
      <c r="FH273" s="475"/>
      <c r="FI273" s="342"/>
      <c r="FJ273" s="342"/>
      <c r="FK273" s="342"/>
      <c r="FL273" s="342"/>
      <c r="FM273" s="475"/>
      <c r="FN273" s="27"/>
      <c r="FO273" s="27"/>
      <c r="FP273" s="27"/>
      <c r="FQ273" s="27"/>
      <c r="FR273"/>
      <c r="FS273"/>
      <c r="FT273"/>
      <c r="FU273"/>
      <c r="FV273"/>
      <c r="FW273"/>
      <c r="FX273" s="27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</row>
    <row r="274" spans="1:274" s="24" customFormat="1" ht="10.5" hidden="1" customHeight="1" outlineLevel="1" x14ac:dyDescent="0.2">
      <c r="A274" s="342"/>
      <c r="B274" s="20"/>
      <c r="C274" s="27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342"/>
      <c r="O274" s="342"/>
      <c r="P274" s="342"/>
      <c r="Q274" s="342"/>
      <c r="R274" s="342"/>
      <c r="S274" s="342"/>
      <c r="T274" s="342"/>
      <c r="U274" s="342"/>
      <c r="V274" s="342"/>
      <c r="W274" s="342"/>
      <c r="X274" s="342"/>
      <c r="Y274" s="342"/>
      <c r="Z274" s="342"/>
      <c r="AA274" s="342"/>
      <c r="AB274" s="342"/>
      <c r="AC274" s="342"/>
      <c r="AD274" s="342"/>
      <c r="AE274" s="342"/>
      <c r="AF274" s="342"/>
      <c r="AG274" s="342"/>
      <c r="AH274" s="342"/>
      <c r="AI274" s="342"/>
      <c r="AJ274" s="342"/>
      <c r="AK274" s="342"/>
      <c r="AL274" s="342"/>
      <c r="AM274" s="342"/>
      <c r="AN274" s="342"/>
      <c r="AO274" s="342"/>
      <c r="AP274" s="342"/>
      <c r="AQ274" s="342"/>
      <c r="AR274" s="342"/>
      <c r="AS274" s="342"/>
      <c r="AT274" s="342"/>
      <c r="AU274" s="342"/>
      <c r="AV274" s="342"/>
      <c r="AW274" s="342"/>
      <c r="AX274" s="342"/>
      <c r="AY274" s="342"/>
      <c r="AZ274" s="342"/>
      <c r="BA274" s="342"/>
      <c r="BB274" s="342"/>
      <c r="BC274" s="475"/>
      <c r="BD274" s="342"/>
      <c r="BE274" s="342"/>
      <c r="BF274" s="342"/>
      <c r="BG274" s="342"/>
      <c r="BH274" s="342"/>
      <c r="BI274" s="342"/>
      <c r="BJ274" s="342"/>
      <c r="BK274" s="342"/>
      <c r="BL274" s="342"/>
      <c r="BM274" s="342"/>
      <c r="BN274" s="342"/>
      <c r="BO274" s="342"/>
      <c r="BP274" s="342"/>
      <c r="BQ274" s="342"/>
      <c r="BR274" s="342"/>
      <c r="BS274" s="342"/>
      <c r="BT274" s="342"/>
      <c r="BU274" s="342"/>
      <c r="BV274" s="342"/>
      <c r="BW274" s="342"/>
      <c r="BX274" s="342"/>
      <c r="BY274" s="342"/>
      <c r="BZ274" s="342"/>
      <c r="CA274" s="342"/>
      <c r="CB274" s="342"/>
      <c r="CC274" s="342"/>
      <c r="CD274" s="342"/>
      <c r="CE274" s="342"/>
      <c r="CF274" s="342"/>
      <c r="CG274" s="342"/>
      <c r="CH274" s="342"/>
      <c r="CI274" s="342"/>
      <c r="CJ274" s="342"/>
      <c r="CK274" s="342"/>
      <c r="CL274" s="342"/>
      <c r="CM274" s="342"/>
      <c r="CN274" s="342"/>
      <c r="CO274" s="342"/>
      <c r="CP274" s="342"/>
      <c r="CQ274" s="342"/>
      <c r="CR274" s="342"/>
      <c r="CS274" s="342"/>
      <c r="CT274" s="475"/>
      <c r="CU274" s="342"/>
      <c r="CV274" s="342"/>
      <c r="CW274" s="342"/>
      <c r="CX274" s="342"/>
      <c r="CY274" s="342"/>
      <c r="CZ274" s="475"/>
      <c r="DA274" s="342"/>
      <c r="DB274" s="342"/>
      <c r="DC274" s="342"/>
      <c r="DD274" s="342"/>
      <c r="DE274" s="475"/>
      <c r="DF274" s="475"/>
      <c r="DG274" s="342"/>
      <c r="DH274" s="342"/>
      <c r="DI274" s="342"/>
      <c r="DJ274" s="342"/>
      <c r="DK274" s="475"/>
      <c r="DL274" s="475"/>
      <c r="DM274" s="342"/>
      <c r="DN274" s="342"/>
      <c r="DO274" s="342"/>
      <c r="DP274" s="342"/>
      <c r="DQ274" s="475"/>
      <c r="DR274" s="475"/>
      <c r="DS274" s="342"/>
      <c r="DT274" s="342"/>
      <c r="DU274" s="342"/>
      <c r="DV274" s="342"/>
      <c r="DW274" s="475"/>
      <c r="DX274" s="475"/>
      <c r="DY274" s="342"/>
      <c r="DZ274" s="342"/>
      <c r="EA274" s="342"/>
      <c r="EB274" s="342"/>
      <c r="EC274" s="475"/>
      <c r="ED274" s="475"/>
      <c r="EE274" s="342"/>
      <c r="EF274" s="342"/>
      <c r="EG274" s="342"/>
      <c r="EH274" s="342"/>
      <c r="EI274" s="475"/>
      <c r="EJ274" s="475"/>
      <c r="EK274" s="342"/>
      <c r="EL274" s="342"/>
      <c r="EM274" s="342"/>
      <c r="EN274" s="342"/>
      <c r="EO274" s="475"/>
      <c r="EP274" s="475"/>
      <c r="EQ274" s="342"/>
      <c r="ER274" s="342"/>
      <c r="ES274" s="342"/>
      <c r="ET274" s="342"/>
      <c r="EU274" s="475"/>
      <c r="EV274" s="475"/>
      <c r="EW274" s="342"/>
      <c r="EX274" s="342"/>
      <c r="EY274" s="342"/>
      <c r="EZ274" s="342"/>
      <c r="FA274" s="475"/>
      <c r="FB274" s="475"/>
      <c r="FC274" s="342"/>
      <c r="FD274" s="342"/>
      <c r="FE274" s="342"/>
      <c r="FF274" s="342"/>
      <c r="FG274" s="475"/>
      <c r="FH274" s="475"/>
      <c r="FI274" s="342"/>
      <c r="FJ274" s="342"/>
      <c r="FK274" s="342"/>
      <c r="FL274" s="342"/>
      <c r="FM274" s="475"/>
      <c r="FN274" s="27"/>
      <c r="FO274" s="27"/>
      <c r="FP274" s="27"/>
      <c r="FQ274" s="27"/>
      <c r="FR274"/>
      <c r="FS274"/>
      <c r="FT274"/>
      <c r="FU274"/>
      <c r="FV274"/>
      <c r="FW274"/>
      <c r="FX274" s="27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</row>
    <row r="275" spans="1:274" s="24" customFormat="1" ht="10.5" hidden="1" customHeight="1" outlineLevel="1" x14ac:dyDescent="0.2">
      <c r="A275" s="97" t="s">
        <v>354</v>
      </c>
      <c r="B275" s="20"/>
      <c r="C275" s="27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342"/>
      <c r="O275" s="342"/>
      <c r="P275" s="342"/>
      <c r="Q275" s="342"/>
      <c r="R275" s="342"/>
      <c r="S275" s="342"/>
      <c r="T275" s="342"/>
      <c r="U275" s="342"/>
      <c r="V275" s="342"/>
      <c r="W275" s="342"/>
      <c r="X275" s="342"/>
      <c r="Y275" s="342"/>
      <c r="Z275" s="342"/>
      <c r="AA275" s="342"/>
      <c r="AB275" s="342"/>
      <c r="AC275" s="342"/>
      <c r="AD275" s="342"/>
      <c r="AE275" s="342"/>
      <c r="AF275" s="342"/>
      <c r="AG275" s="342"/>
      <c r="AH275" s="342"/>
      <c r="AI275" s="342"/>
      <c r="AJ275" s="342"/>
      <c r="AK275" s="342"/>
      <c r="AL275" s="342"/>
      <c r="AM275" s="342"/>
      <c r="AN275" s="342"/>
      <c r="AO275" s="342"/>
      <c r="AP275" s="342"/>
      <c r="AQ275" s="342"/>
      <c r="AR275" s="342"/>
      <c r="AS275" s="342"/>
      <c r="AT275" s="342"/>
      <c r="AU275" s="342"/>
      <c r="AV275" s="342"/>
      <c r="AW275" s="342"/>
      <c r="AX275" s="342"/>
      <c r="AY275" s="342"/>
      <c r="AZ275" s="342"/>
      <c r="BA275" s="342"/>
      <c r="BB275" s="342"/>
      <c r="BC275" s="342"/>
      <c r="BD275" s="342"/>
      <c r="BE275" s="342"/>
      <c r="BF275" s="342"/>
      <c r="BG275" s="342"/>
      <c r="BH275" s="342"/>
      <c r="BI275" s="342"/>
      <c r="BJ275" s="342"/>
      <c r="BK275" s="342"/>
      <c r="BL275" s="342"/>
      <c r="BM275" s="342"/>
      <c r="BN275" s="342"/>
      <c r="BO275" s="342"/>
      <c r="BP275" s="342"/>
      <c r="BQ275" s="342"/>
      <c r="BR275" s="342"/>
      <c r="BS275" s="342"/>
      <c r="BT275" s="342"/>
      <c r="BU275" s="342"/>
      <c r="BV275" s="342"/>
      <c r="BW275" s="342"/>
      <c r="BX275" s="342"/>
      <c r="BY275" s="342"/>
      <c r="BZ275" s="342"/>
      <c r="CA275" s="342"/>
      <c r="CB275" s="342"/>
      <c r="CC275" s="342"/>
      <c r="CD275" s="342"/>
      <c r="CE275" s="342"/>
      <c r="CF275" s="342"/>
      <c r="CG275" s="342"/>
      <c r="CH275" s="342"/>
      <c r="CI275" s="342"/>
      <c r="CJ275" s="342" t="s">
        <v>355</v>
      </c>
      <c r="CK275" s="342" t="s">
        <v>356</v>
      </c>
      <c r="CL275" s="342"/>
      <c r="CM275" s="342"/>
      <c r="CN275" s="342"/>
      <c r="CO275" s="342"/>
      <c r="CP275" s="342"/>
      <c r="CQ275" s="342"/>
      <c r="CR275" s="342"/>
      <c r="CS275" s="342"/>
      <c r="CT275" s="475"/>
      <c r="CU275" s="342"/>
      <c r="CV275" s="342"/>
      <c r="CW275" s="342"/>
      <c r="CX275" s="342"/>
      <c r="CY275" s="342"/>
      <c r="CZ275" s="475"/>
      <c r="DA275" s="342"/>
      <c r="DB275" s="342"/>
      <c r="DC275" s="342"/>
      <c r="DD275" s="342"/>
      <c r="DE275" s="475"/>
      <c r="DF275" s="475"/>
      <c r="DG275" s="342"/>
      <c r="DH275" s="342"/>
      <c r="DI275" s="342"/>
      <c r="DJ275" s="342"/>
      <c r="DK275" s="475"/>
      <c r="DL275" s="475"/>
      <c r="DM275" s="342"/>
      <c r="DN275" s="342"/>
      <c r="DO275" s="342"/>
      <c r="DP275" s="342"/>
      <c r="DQ275" s="475"/>
      <c r="DR275" s="475"/>
      <c r="DS275" s="342"/>
      <c r="DT275" s="342"/>
      <c r="DU275" s="342"/>
      <c r="DV275" s="342"/>
      <c r="DW275" s="475"/>
      <c r="DX275" s="475"/>
      <c r="DY275" s="342"/>
      <c r="DZ275" s="342"/>
      <c r="EA275" s="342"/>
      <c r="EB275" s="342"/>
      <c r="EC275" s="475"/>
      <c r="ED275" s="475"/>
      <c r="EE275" s="342"/>
      <c r="EF275" s="342"/>
      <c r="EG275" s="342"/>
      <c r="EH275" s="342"/>
      <c r="EI275" s="475"/>
      <c r="EJ275" s="475"/>
      <c r="EK275" s="342"/>
      <c r="EL275" s="342"/>
      <c r="EM275" s="342"/>
      <c r="EN275" s="342"/>
      <c r="EO275" s="475"/>
      <c r="EP275" s="475"/>
      <c r="EQ275" s="342"/>
      <c r="ER275" s="342"/>
      <c r="ES275" s="342"/>
      <c r="ET275" s="342"/>
      <c r="EU275" s="475"/>
      <c r="EV275" s="475"/>
      <c r="EW275" s="342"/>
      <c r="EX275" s="342"/>
      <c r="EY275" s="342"/>
      <c r="EZ275" s="342"/>
      <c r="FA275" s="475"/>
      <c r="FB275" s="475"/>
      <c r="FC275" s="342"/>
      <c r="FD275" s="342"/>
      <c r="FE275" s="342"/>
      <c r="FF275" s="342"/>
      <c r="FG275" s="475"/>
      <c r="FH275" s="475"/>
      <c r="FI275" s="342"/>
      <c r="FJ275" s="342"/>
      <c r="FK275" s="342"/>
      <c r="FL275" s="342"/>
      <c r="FM275" s="475"/>
      <c r="FN275" s="27"/>
      <c r="FO275" s="27"/>
      <c r="FP275" s="27"/>
      <c r="FQ275" s="27"/>
      <c r="FR275"/>
      <c r="FS275"/>
      <c r="FT275"/>
      <c r="FU275"/>
      <c r="FV275"/>
      <c r="FW275"/>
      <c r="FX275" s="27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</row>
    <row r="276" spans="1:274" s="24" customFormat="1" ht="10.5" hidden="1" customHeight="1" outlineLevel="1" x14ac:dyDescent="0.2">
      <c r="A276" s="342" t="s">
        <v>168</v>
      </c>
      <c r="B276" s="20"/>
      <c r="C276" s="27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342"/>
      <c r="O276" s="342"/>
      <c r="P276" s="342"/>
      <c r="Q276" s="342"/>
      <c r="R276" s="342"/>
      <c r="S276" s="342"/>
      <c r="T276" s="342"/>
      <c r="U276" s="342"/>
      <c r="V276" s="342"/>
      <c r="W276" s="342"/>
      <c r="X276" s="342"/>
      <c r="Y276" s="342"/>
      <c r="Z276" s="342"/>
      <c r="AA276" s="342"/>
      <c r="AB276" s="342"/>
      <c r="AC276" s="342"/>
      <c r="AD276" s="342"/>
      <c r="AE276" s="342"/>
      <c r="AF276" s="342"/>
      <c r="AG276" s="342"/>
      <c r="AH276" s="342"/>
      <c r="AI276" s="342"/>
      <c r="AJ276" s="342"/>
      <c r="AK276" s="342"/>
      <c r="AL276" s="342"/>
      <c r="AM276" s="342"/>
      <c r="AN276" s="342"/>
      <c r="AO276" s="342"/>
      <c r="AP276" s="342"/>
      <c r="AQ276" s="342"/>
      <c r="AR276" s="342"/>
      <c r="AS276" s="342"/>
      <c r="AT276" s="342"/>
      <c r="AU276" s="342"/>
      <c r="AV276" s="342"/>
      <c r="AW276" s="342"/>
      <c r="AX276" s="342"/>
      <c r="AY276" s="342"/>
      <c r="AZ276" s="342"/>
      <c r="BA276" s="342"/>
      <c r="BB276" s="342"/>
      <c r="BC276" s="582">
        <v>8.5500000000000007</v>
      </c>
      <c r="BD276" s="342"/>
      <c r="BE276" s="342"/>
      <c r="BF276" s="342"/>
      <c r="BG276" s="342"/>
      <c r="BH276" s="342"/>
      <c r="BI276" s="582">
        <f>BC281</f>
        <v>10.56</v>
      </c>
      <c r="BJ276" s="342"/>
      <c r="BK276" s="342"/>
      <c r="BL276" s="342"/>
      <c r="BM276" s="342"/>
      <c r="BN276" s="342"/>
      <c r="BO276" s="582">
        <f>BI281</f>
        <v>11.31</v>
      </c>
      <c r="BP276" s="342"/>
      <c r="BQ276" s="342"/>
      <c r="BR276" s="342"/>
      <c r="BS276" s="342"/>
      <c r="BT276" s="342"/>
      <c r="BU276" s="582">
        <f>BO281</f>
        <v>11.41</v>
      </c>
      <c r="BV276" s="342"/>
      <c r="BW276" s="342"/>
      <c r="BX276" s="342"/>
      <c r="BY276" s="342"/>
      <c r="BZ276" s="342"/>
      <c r="CA276" s="582">
        <f>BU281</f>
        <v>11.61</v>
      </c>
      <c r="CB276" s="342"/>
      <c r="CC276" s="342"/>
      <c r="CD276" s="342"/>
      <c r="CE276" s="342"/>
      <c r="CF276" s="342"/>
      <c r="CG276" s="582">
        <f>CA281</f>
        <v>11.92</v>
      </c>
      <c r="CH276" s="342"/>
      <c r="CI276" s="582">
        <v>13.25</v>
      </c>
      <c r="CJ276" s="582">
        <v>13.25</v>
      </c>
      <c r="CK276" s="582">
        <v>13.25</v>
      </c>
      <c r="CL276" s="342"/>
      <c r="CM276" s="582">
        <f>CG281</f>
        <v>13.300211416490484</v>
      </c>
      <c r="CN276" s="342"/>
      <c r="CO276" s="342"/>
      <c r="CP276" s="342"/>
      <c r="CQ276" s="342"/>
      <c r="CR276" s="342"/>
      <c r="CS276" s="582">
        <f>CM281</f>
        <v>13.300211416490484</v>
      </c>
      <c r="CT276" s="475"/>
      <c r="CU276" s="342"/>
      <c r="CV276" s="342"/>
      <c r="CW276" s="342"/>
      <c r="CX276" s="342"/>
      <c r="CY276" s="582">
        <f>CS281</f>
        <v>13.300211416490484</v>
      </c>
      <c r="CZ276" s="475"/>
      <c r="DA276" s="342"/>
      <c r="DB276" s="342"/>
      <c r="DC276" s="342"/>
      <c r="DD276" s="342"/>
      <c r="DE276" s="589">
        <f>CY281</f>
        <v>13.300211416490484</v>
      </c>
      <c r="DF276" s="475"/>
      <c r="DG276" s="342"/>
      <c r="DH276" s="342"/>
      <c r="DI276" s="342"/>
      <c r="DJ276" s="342"/>
      <c r="DK276" s="589">
        <f>DE281</f>
        <v>13.300211416490484</v>
      </c>
      <c r="DL276" s="475"/>
      <c r="DM276" s="342"/>
      <c r="DN276" s="342"/>
      <c r="DO276" s="342"/>
      <c r="DP276" s="342"/>
      <c r="DQ276" s="589">
        <f>DK281</f>
        <v>13.300211416490484</v>
      </c>
      <c r="DR276" s="475"/>
      <c r="DS276" s="342"/>
      <c r="DT276" s="342"/>
      <c r="DU276" s="342"/>
      <c r="DV276" s="342"/>
      <c r="DW276" s="589">
        <f>DQ281</f>
        <v>13.300211416490484</v>
      </c>
      <c r="DX276" s="475"/>
      <c r="DY276" s="342"/>
      <c r="DZ276" s="342"/>
      <c r="EA276" s="342"/>
      <c r="EB276" s="342"/>
      <c r="EC276" s="589">
        <f>DW281</f>
        <v>13.300211416490484</v>
      </c>
      <c r="ED276" s="475"/>
      <c r="EE276" s="342"/>
      <c r="EF276" s="342"/>
      <c r="EG276" s="342"/>
      <c r="EH276" s="342"/>
      <c r="EI276" s="589">
        <f>EC281</f>
        <v>13.300211416490484</v>
      </c>
      <c r="EJ276" s="475"/>
      <c r="EK276" s="342"/>
      <c r="EL276" s="342"/>
      <c r="EM276" s="342"/>
      <c r="EN276" s="342"/>
      <c r="EO276" s="589">
        <f>EI281</f>
        <v>13.300211416490484</v>
      </c>
      <c r="EP276" s="475"/>
      <c r="EQ276" s="342"/>
      <c r="ER276" s="342"/>
      <c r="ES276" s="342"/>
      <c r="ET276" s="342"/>
      <c r="EU276" s="589">
        <f>EO281</f>
        <v>13.300211416490484</v>
      </c>
      <c r="EV276" s="475"/>
      <c r="EW276" s="342"/>
      <c r="EX276" s="342"/>
      <c r="EY276" s="342"/>
      <c r="EZ276" s="342"/>
      <c r="FA276" s="589">
        <f>EU281</f>
        <v>13.300211416490484</v>
      </c>
      <c r="FB276" s="475"/>
      <c r="FC276" s="342"/>
      <c r="FD276" s="342"/>
      <c r="FE276" s="342"/>
      <c r="FF276" s="342"/>
      <c r="FG276" s="589">
        <f>FA281</f>
        <v>13.300211416490484</v>
      </c>
      <c r="FH276" s="475"/>
      <c r="FI276" s="342"/>
      <c r="FJ276" s="342"/>
      <c r="FK276" s="342"/>
      <c r="FL276" s="342"/>
      <c r="FM276" s="589">
        <f>FG281</f>
        <v>13.300211416490484</v>
      </c>
      <c r="FN276" s="27"/>
      <c r="FO276" s="27"/>
      <c r="FP276" s="27"/>
      <c r="FQ276" s="27"/>
      <c r="FR276"/>
      <c r="FS276"/>
      <c r="FT276"/>
      <c r="FU276"/>
      <c r="FV276"/>
      <c r="FW276"/>
      <c r="FX276" s="27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</row>
    <row r="277" spans="1:274" s="24" customFormat="1" ht="10.5" hidden="1" customHeight="1" outlineLevel="1" x14ac:dyDescent="0.2">
      <c r="A277" s="342" t="s">
        <v>169</v>
      </c>
      <c r="B277" s="20"/>
      <c r="C277" s="27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342"/>
      <c r="O277" s="342"/>
      <c r="P277" s="342"/>
      <c r="Q277" s="342"/>
      <c r="R277" s="342"/>
      <c r="S277" s="342"/>
      <c r="T277" s="342"/>
      <c r="U277" s="342"/>
      <c r="V277" s="342"/>
      <c r="W277" s="342"/>
      <c r="X277" s="342"/>
      <c r="Y277" s="342"/>
      <c r="Z277" s="342"/>
      <c r="AA277" s="342"/>
      <c r="AB277" s="342"/>
      <c r="AC277" s="342"/>
      <c r="AD277" s="342"/>
      <c r="AE277" s="342"/>
      <c r="AF277" s="342"/>
      <c r="AG277" s="342"/>
      <c r="AH277" s="342"/>
      <c r="AI277" s="342"/>
      <c r="AJ277" s="342"/>
      <c r="AK277" s="342"/>
      <c r="AL277" s="342"/>
      <c r="AM277" s="342"/>
      <c r="AN277" s="342"/>
      <c r="AO277" s="342"/>
      <c r="AP277" s="342"/>
      <c r="AQ277" s="342"/>
      <c r="AR277" s="342"/>
      <c r="AS277" s="342"/>
      <c r="AT277" s="342"/>
      <c r="AU277" s="342"/>
      <c r="AV277" s="342"/>
      <c r="AW277" s="342"/>
      <c r="AX277" s="342"/>
      <c r="AY277" s="342"/>
      <c r="AZ277" s="342"/>
      <c r="BA277" s="342"/>
      <c r="BB277" s="342"/>
      <c r="BC277" s="582">
        <v>36.409999999999997</v>
      </c>
      <c r="BD277" s="342"/>
      <c r="BE277" s="342"/>
      <c r="BF277" s="342"/>
      <c r="BG277" s="342"/>
      <c r="BH277" s="342"/>
      <c r="BI277" s="582">
        <v>15.8</v>
      </c>
      <c r="BJ277" s="342"/>
      <c r="BK277" s="342"/>
      <c r="BL277" s="342"/>
      <c r="BM277" s="342"/>
      <c r="BN277" s="342"/>
      <c r="BO277" s="582">
        <v>8.8800000000000008</v>
      </c>
      <c r="BP277" s="342"/>
      <c r="BQ277" s="342"/>
      <c r="BR277" s="342"/>
      <c r="BS277" s="342"/>
      <c r="BT277" s="342"/>
      <c r="BU277" s="582">
        <v>12.62</v>
      </c>
      <c r="BV277" s="342"/>
      <c r="BW277" s="342"/>
      <c r="BX277" s="342"/>
      <c r="BY277" s="342"/>
      <c r="BZ277" s="342"/>
      <c r="CA277" s="582">
        <v>11.68</v>
      </c>
      <c r="CB277" s="342"/>
      <c r="CC277" s="342"/>
      <c r="CD277" s="342"/>
      <c r="CE277" s="342"/>
      <c r="CF277" s="342"/>
      <c r="CG277" s="582">
        <v>15.02</v>
      </c>
      <c r="CH277" s="342"/>
      <c r="CI277" s="582">
        <v>14.58</v>
      </c>
      <c r="CJ277" s="582">
        <v>14.66</v>
      </c>
      <c r="CK277" s="582">
        <v>14.66</v>
      </c>
      <c r="CL277" s="342"/>
      <c r="CM277" s="582"/>
      <c r="CN277" s="342"/>
      <c r="CO277" s="342"/>
      <c r="CP277" s="342"/>
      <c r="CQ277" s="342"/>
      <c r="CR277" s="342"/>
      <c r="CS277" s="582"/>
      <c r="CT277" s="475"/>
      <c r="CU277" s="342"/>
      <c r="CV277" s="342"/>
      <c r="CW277" s="342"/>
      <c r="CX277" s="342"/>
      <c r="CY277" s="582"/>
      <c r="CZ277" s="475"/>
      <c r="DA277" s="342"/>
      <c r="DB277" s="342"/>
      <c r="DC277" s="342"/>
      <c r="DD277" s="342"/>
      <c r="DE277" s="589"/>
      <c r="DF277" s="475"/>
      <c r="DG277" s="342"/>
      <c r="DH277" s="342"/>
      <c r="DI277" s="342"/>
      <c r="DJ277" s="342"/>
      <c r="DK277" s="589"/>
      <c r="DL277" s="475"/>
      <c r="DM277" s="342"/>
      <c r="DN277" s="342"/>
      <c r="DO277" s="342"/>
      <c r="DP277" s="342"/>
      <c r="DQ277" s="589"/>
      <c r="DR277" s="475"/>
      <c r="DS277" s="342"/>
      <c r="DT277" s="342"/>
      <c r="DU277" s="342"/>
      <c r="DV277" s="342"/>
      <c r="DW277" s="589"/>
      <c r="DX277" s="475"/>
      <c r="DY277" s="342"/>
      <c r="DZ277" s="342"/>
      <c r="EA277" s="342"/>
      <c r="EB277" s="342"/>
      <c r="EC277" s="589"/>
      <c r="ED277" s="475"/>
      <c r="EE277" s="342"/>
      <c r="EF277" s="342"/>
      <c r="EG277" s="342"/>
      <c r="EH277" s="342"/>
      <c r="EI277" s="589"/>
      <c r="EJ277" s="475"/>
      <c r="EK277" s="342"/>
      <c r="EL277" s="342"/>
      <c r="EM277" s="342"/>
      <c r="EN277" s="342"/>
      <c r="EO277" s="589"/>
      <c r="EP277" s="475"/>
      <c r="EQ277" s="342"/>
      <c r="ER277" s="342"/>
      <c r="ES277" s="342"/>
      <c r="ET277" s="342"/>
      <c r="EU277" s="589"/>
      <c r="EV277" s="475"/>
      <c r="EW277" s="342"/>
      <c r="EX277" s="342"/>
      <c r="EY277" s="342"/>
      <c r="EZ277" s="342"/>
      <c r="FA277" s="589"/>
      <c r="FB277" s="475"/>
      <c r="FC277" s="342"/>
      <c r="FD277" s="342"/>
      <c r="FE277" s="342"/>
      <c r="FF277" s="342"/>
      <c r="FG277" s="589"/>
      <c r="FH277" s="475"/>
      <c r="FI277" s="342"/>
      <c r="FJ277" s="342"/>
      <c r="FK277" s="342"/>
      <c r="FL277" s="342"/>
      <c r="FM277" s="589"/>
      <c r="FN277" s="27"/>
      <c r="FO277" s="27"/>
      <c r="FP277" s="27"/>
      <c r="FQ277" s="27"/>
      <c r="FR277"/>
      <c r="FS277"/>
      <c r="FT277"/>
      <c r="FU277"/>
      <c r="FV277"/>
      <c r="FW277"/>
      <c r="FX277" s="2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</row>
    <row r="278" spans="1:274" s="24" customFormat="1" ht="10.5" hidden="1" customHeight="1" outlineLevel="1" x14ac:dyDescent="0.2">
      <c r="A278" s="342" t="s">
        <v>349</v>
      </c>
      <c r="B278" s="20"/>
      <c r="C278" s="27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342"/>
      <c r="O278" s="342"/>
      <c r="P278" s="342"/>
      <c r="Q278" s="342"/>
      <c r="R278" s="342"/>
      <c r="S278" s="342"/>
      <c r="T278" s="342"/>
      <c r="U278" s="342"/>
      <c r="V278" s="342"/>
      <c r="W278" s="342"/>
      <c r="X278" s="342"/>
      <c r="Y278" s="342"/>
      <c r="Z278" s="342"/>
      <c r="AA278" s="342"/>
      <c r="AB278" s="342"/>
      <c r="AC278" s="342"/>
      <c r="AD278" s="342"/>
      <c r="AE278" s="342"/>
      <c r="AF278" s="342"/>
      <c r="AG278" s="342"/>
      <c r="AH278" s="342"/>
      <c r="AI278" s="342"/>
      <c r="AJ278" s="342"/>
      <c r="AK278" s="342"/>
      <c r="AL278" s="342"/>
      <c r="AM278" s="342"/>
      <c r="AN278" s="342"/>
      <c r="AO278" s="342"/>
      <c r="AP278" s="342"/>
      <c r="AQ278" s="342"/>
      <c r="AR278" s="342"/>
      <c r="AS278" s="342"/>
      <c r="AT278" s="342"/>
      <c r="AU278" s="342"/>
      <c r="AV278" s="342"/>
      <c r="AW278" s="342"/>
      <c r="AX278" s="342"/>
      <c r="AY278" s="342"/>
      <c r="AZ278" s="342"/>
      <c r="BA278" s="342"/>
      <c r="BB278" s="342"/>
      <c r="BC278" s="582">
        <v>0</v>
      </c>
      <c r="BD278" s="342"/>
      <c r="BE278" s="342"/>
      <c r="BF278" s="342"/>
      <c r="BG278" s="342"/>
      <c r="BH278" s="342"/>
      <c r="BI278" s="582">
        <v>0</v>
      </c>
      <c r="BJ278" s="342"/>
      <c r="BK278" s="342"/>
      <c r="BL278" s="342"/>
      <c r="BM278" s="342"/>
      <c r="BN278" s="342"/>
      <c r="BO278" s="582">
        <v>0</v>
      </c>
      <c r="BP278" s="342"/>
      <c r="BQ278" s="342"/>
      <c r="BR278" s="342"/>
      <c r="BS278" s="342"/>
      <c r="BT278" s="342"/>
      <c r="BU278" s="582">
        <v>0</v>
      </c>
      <c r="BV278" s="342"/>
      <c r="BW278" s="342"/>
      <c r="BX278" s="342"/>
      <c r="BY278" s="342"/>
      <c r="BZ278" s="342"/>
      <c r="CA278" s="582">
        <v>11.68</v>
      </c>
      <c r="CB278" s="342"/>
      <c r="CC278" s="342"/>
      <c r="CD278" s="342"/>
      <c r="CE278" s="342"/>
      <c r="CF278" s="342"/>
      <c r="CG278" s="582">
        <v>15.02</v>
      </c>
      <c r="CH278" s="342"/>
      <c r="CI278" s="582">
        <v>12.59</v>
      </c>
      <c r="CJ278" s="582">
        <v>11.64</v>
      </c>
      <c r="CK278" s="582">
        <v>12.85</v>
      </c>
      <c r="CL278" s="342"/>
      <c r="CM278" s="582"/>
      <c r="CN278" s="342"/>
      <c r="CO278" s="342"/>
      <c r="CP278" s="342"/>
      <c r="CQ278" s="342"/>
      <c r="CR278" s="342"/>
      <c r="CS278" s="582"/>
      <c r="CT278" s="475"/>
      <c r="CU278" s="342"/>
      <c r="CV278" s="342"/>
      <c r="CW278" s="342"/>
      <c r="CX278" s="342"/>
      <c r="CY278" s="582"/>
      <c r="CZ278" s="475"/>
      <c r="DA278" s="342"/>
      <c r="DB278" s="342"/>
      <c r="DC278" s="342"/>
      <c r="DD278" s="342"/>
      <c r="DE278" s="589"/>
      <c r="DF278" s="475"/>
      <c r="DG278" s="342"/>
      <c r="DH278" s="342"/>
      <c r="DI278" s="342"/>
      <c r="DJ278" s="342"/>
      <c r="DK278" s="589"/>
      <c r="DL278" s="475"/>
      <c r="DM278" s="342"/>
      <c r="DN278" s="342"/>
      <c r="DO278" s="342"/>
      <c r="DP278" s="342"/>
      <c r="DQ278" s="589"/>
      <c r="DR278" s="475"/>
      <c r="DS278" s="342"/>
      <c r="DT278" s="342"/>
      <c r="DU278" s="342"/>
      <c r="DV278" s="342"/>
      <c r="DW278" s="589"/>
      <c r="DX278" s="475"/>
      <c r="DY278" s="342"/>
      <c r="DZ278" s="342"/>
      <c r="EA278" s="342"/>
      <c r="EB278" s="342"/>
      <c r="EC278" s="589"/>
      <c r="ED278" s="475"/>
      <c r="EE278" s="342"/>
      <c r="EF278" s="342"/>
      <c r="EG278" s="342"/>
      <c r="EH278" s="342"/>
      <c r="EI278" s="589"/>
      <c r="EJ278" s="475"/>
      <c r="EK278" s="342"/>
      <c r="EL278" s="342"/>
      <c r="EM278" s="342"/>
      <c r="EN278" s="342"/>
      <c r="EO278" s="589"/>
      <c r="EP278" s="475"/>
      <c r="EQ278" s="342"/>
      <c r="ER278" s="342"/>
      <c r="ES278" s="342"/>
      <c r="ET278" s="342"/>
      <c r="EU278" s="589"/>
      <c r="EV278" s="475"/>
      <c r="EW278" s="342"/>
      <c r="EX278" s="342"/>
      <c r="EY278" s="342"/>
      <c r="EZ278" s="342"/>
      <c r="FA278" s="589"/>
      <c r="FB278" s="475"/>
      <c r="FC278" s="342"/>
      <c r="FD278" s="342"/>
      <c r="FE278" s="342"/>
      <c r="FF278" s="342"/>
      <c r="FG278" s="589"/>
      <c r="FH278" s="475"/>
      <c r="FI278" s="342"/>
      <c r="FJ278" s="342"/>
      <c r="FK278" s="342"/>
      <c r="FL278" s="342"/>
      <c r="FM278" s="589"/>
      <c r="FN278" s="27"/>
      <c r="FO278" s="27"/>
      <c r="FP278" s="27"/>
      <c r="FQ278" s="27"/>
      <c r="FR278"/>
      <c r="FS278"/>
      <c r="FT278"/>
      <c r="FU278"/>
      <c r="FV278"/>
      <c r="FW278"/>
      <c r="FX278" s="27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</row>
    <row r="279" spans="1:274" s="24" customFormat="1" ht="10.5" hidden="1" customHeight="1" outlineLevel="1" x14ac:dyDescent="0.2">
      <c r="A279" s="342" t="s">
        <v>350</v>
      </c>
      <c r="B279" s="20"/>
      <c r="C279" s="27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342"/>
      <c r="O279" s="342"/>
      <c r="P279" s="342"/>
      <c r="Q279" s="342"/>
      <c r="R279" s="342"/>
      <c r="S279" s="342"/>
      <c r="T279" s="342"/>
      <c r="U279" s="342"/>
      <c r="V279" s="342"/>
      <c r="W279" s="342"/>
      <c r="X279" s="342"/>
      <c r="Y279" s="342"/>
      <c r="Z279" s="342"/>
      <c r="AA279" s="342"/>
      <c r="AB279" s="342"/>
      <c r="AC279" s="342"/>
      <c r="AD279" s="342"/>
      <c r="AE279" s="342"/>
      <c r="AF279" s="342"/>
      <c r="AG279" s="342"/>
      <c r="AH279" s="342"/>
      <c r="AI279" s="342"/>
      <c r="AJ279" s="342"/>
      <c r="AK279" s="342"/>
      <c r="AL279" s="342"/>
      <c r="AM279" s="342"/>
      <c r="AN279" s="342"/>
      <c r="AO279" s="342"/>
      <c r="AP279" s="342"/>
      <c r="AQ279" s="342"/>
      <c r="AR279" s="342"/>
      <c r="AS279" s="342"/>
      <c r="AT279" s="342"/>
      <c r="AU279" s="342"/>
      <c r="AV279" s="342"/>
      <c r="AW279" s="342"/>
      <c r="AX279" s="342"/>
      <c r="AY279" s="342"/>
      <c r="AZ279" s="342"/>
      <c r="BA279" s="342"/>
      <c r="BB279" s="342"/>
      <c r="BC279" s="582">
        <v>3.18</v>
      </c>
      <c r="BD279" s="342"/>
      <c r="BE279" s="342"/>
      <c r="BF279" s="342"/>
      <c r="BG279" s="342"/>
      <c r="BH279" s="342"/>
      <c r="BI279" s="582">
        <v>4.2</v>
      </c>
      <c r="BJ279" s="342"/>
      <c r="BK279" s="342"/>
      <c r="BL279" s="342"/>
      <c r="BM279" s="342"/>
      <c r="BN279" s="342"/>
      <c r="BO279" s="582">
        <v>3.96</v>
      </c>
      <c r="BP279" s="342"/>
      <c r="BQ279" s="342"/>
      <c r="BR279" s="342"/>
      <c r="BS279" s="342"/>
      <c r="BT279" s="342"/>
      <c r="BU279" s="582">
        <v>4.8899999999999997</v>
      </c>
      <c r="BV279" s="342"/>
      <c r="BW279" s="342"/>
      <c r="BX279" s="342"/>
      <c r="BY279" s="342"/>
      <c r="BZ279" s="342"/>
      <c r="CA279" s="582">
        <v>6.16</v>
      </c>
      <c r="CB279" s="342"/>
      <c r="CC279" s="342"/>
      <c r="CD279" s="342"/>
      <c r="CE279" s="342"/>
      <c r="CF279" s="342"/>
      <c r="CG279" s="582">
        <v>6.56</v>
      </c>
      <c r="CH279" s="342"/>
      <c r="CI279" s="582">
        <v>7.79</v>
      </c>
      <c r="CJ279" s="582">
        <v>8.06</v>
      </c>
      <c r="CK279" s="582">
        <v>8.0399999999999991</v>
      </c>
      <c r="CL279" s="342"/>
      <c r="CM279" s="582"/>
      <c r="CN279" s="342"/>
      <c r="CO279" s="342"/>
      <c r="CP279" s="342"/>
      <c r="CQ279" s="342"/>
      <c r="CR279" s="342"/>
      <c r="CS279" s="582"/>
      <c r="CT279" s="475"/>
      <c r="CU279" s="342"/>
      <c r="CV279" s="342"/>
      <c r="CW279" s="342"/>
      <c r="CX279" s="342"/>
      <c r="CY279" s="582"/>
      <c r="CZ279" s="475"/>
      <c r="DA279" s="342"/>
      <c r="DB279" s="342"/>
      <c r="DC279" s="342"/>
      <c r="DD279" s="342"/>
      <c r="DE279" s="589"/>
      <c r="DF279" s="475"/>
      <c r="DG279" s="342"/>
      <c r="DH279" s="342"/>
      <c r="DI279" s="342"/>
      <c r="DJ279" s="342"/>
      <c r="DK279" s="589"/>
      <c r="DL279" s="475"/>
      <c r="DM279" s="342"/>
      <c r="DN279" s="342"/>
      <c r="DO279" s="342"/>
      <c r="DP279" s="342"/>
      <c r="DQ279" s="589"/>
      <c r="DR279" s="475"/>
      <c r="DS279" s="342"/>
      <c r="DT279" s="342"/>
      <c r="DU279" s="342"/>
      <c r="DV279" s="342"/>
      <c r="DW279" s="589"/>
      <c r="DX279" s="475"/>
      <c r="DY279" s="342"/>
      <c r="DZ279" s="342"/>
      <c r="EA279" s="342"/>
      <c r="EB279" s="342"/>
      <c r="EC279" s="589"/>
      <c r="ED279" s="475"/>
      <c r="EE279" s="342"/>
      <c r="EF279" s="342"/>
      <c r="EG279" s="342"/>
      <c r="EH279" s="342"/>
      <c r="EI279" s="589"/>
      <c r="EJ279" s="475"/>
      <c r="EK279" s="342"/>
      <c r="EL279" s="342"/>
      <c r="EM279" s="342"/>
      <c r="EN279" s="342"/>
      <c r="EO279" s="589"/>
      <c r="EP279" s="475"/>
      <c r="EQ279" s="342"/>
      <c r="ER279" s="342"/>
      <c r="ES279" s="342"/>
      <c r="ET279" s="342"/>
      <c r="EU279" s="589"/>
      <c r="EV279" s="475"/>
      <c r="EW279" s="342"/>
      <c r="EX279" s="342"/>
      <c r="EY279" s="342"/>
      <c r="EZ279" s="342"/>
      <c r="FA279" s="589"/>
      <c r="FB279" s="475"/>
      <c r="FC279" s="342"/>
      <c r="FD279" s="342"/>
      <c r="FE279" s="342"/>
      <c r="FF279" s="342"/>
      <c r="FG279" s="589"/>
      <c r="FH279" s="475"/>
      <c r="FI279" s="342"/>
      <c r="FJ279" s="342"/>
      <c r="FK279" s="342"/>
      <c r="FL279" s="342"/>
      <c r="FM279" s="589"/>
      <c r="FN279" s="27"/>
      <c r="FO279" s="27"/>
      <c r="FP279" s="27"/>
      <c r="FQ279" s="27"/>
      <c r="FR279"/>
      <c r="FS279"/>
      <c r="FT279"/>
      <c r="FU279"/>
      <c r="FV279"/>
      <c r="FW279"/>
      <c r="FX279" s="27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</row>
    <row r="280" spans="1:274" s="24" customFormat="1" ht="10.5" hidden="1" customHeight="1" outlineLevel="1" x14ac:dyDescent="0.2">
      <c r="A280" s="588" t="s">
        <v>351</v>
      </c>
      <c r="B280" s="20"/>
      <c r="C280" s="27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342"/>
      <c r="O280" s="342"/>
      <c r="P280" s="342"/>
      <c r="Q280" s="342"/>
      <c r="R280" s="342"/>
      <c r="S280" s="342"/>
      <c r="T280" s="342"/>
      <c r="U280" s="342"/>
      <c r="V280" s="342"/>
      <c r="W280" s="342"/>
      <c r="X280" s="342"/>
      <c r="Y280" s="342"/>
      <c r="Z280" s="342"/>
      <c r="AA280" s="342"/>
      <c r="AB280" s="342"/>
      <c r="AC280" s="342"/>
      <c r="AD280" s="342"/>
      <c r="AE280" s="342"/>
      <c r="AF280" s="342"/>
      <c r="AG280" s="342"/>
      <c r="AH280" s="342"/>
      <c r="AI280" s="342"/>
      <c r="AJ280" s="342"/>
      <c r="AK280" s="342"/>
      <c r="AL280" s="342"/>
      <c r="AM280" s="342"/>
      <c r="AN280" s="342"/>
      <c r="AO280" s="342"/>
      <c r="AP280" s="342"/>
      <c r="AQ280" s="342"/>
      <c r="AR280" s="342"/>
      <c r="AS280" s="342"/>
      <c r="AT280" s="342"/>
      <c r="AU280" s="342"/>
      <c r="AV280" s="342"/>
      <c r="AW280" s="342"/>
      <c r="AX280" s="342"/>
      <c r="AY280" s="342"/>
      <c r="AZ280" s="342"/>
      <c r="BA280" s="342"/>
      <c r="BB280" s="342"/>
      <c r="BC280" s="590">
        <v>9.66</v>
      </c>
      <c r="BD280" s="342"/>
      <c r="BE280" s="342"/>
      <c r="BF280" s="342"/>
      <c r="BG280" s="342"/>
      <c r="BH280" s="342"/>
      <c r="BI280" s="590">
        <v>18.21</v>
      </c>
      <c r="BJ280" s="342"/>
      <c r="BK280" s="342"/>
      <c r="BL280" s="342"/>
      <c r="BM280" s="342"/>
      <c r="BN280" s="342"/>
      <c r="BO280" s="590">
        <v>20.56</v>
      </c>
      <c r="BP280" s="342"/>
      <c r="BQ280" s="342"/>
      <c r="BR280" s="342"/>
      <c r="BS280" s="342"/>
      <c r="BT280" s="342"/>
      <c r="BU280" s="590">
        <v>21.43</v>
      </c>
      <c r="BV280" s="342"/>
      <c r="BW280" s="342"/>
      <c r="BX280" s="342"/>
      <c r="BY280" s="342"/>
      <c r="BZ280" s="342"/>
      <c r="CA280" s="590">
        <v>18.010000000000002</v>
      </c>
      <c r="CB280" s="342"/>
      <c r="CC280" s="342"/>
      <c r="CD280" s="342"/>
      <c r="CE280" s="342"/>
      <c r="CF280" s="342"/>
      <c r="CG280" s="590">
        <v>16.64</v>
      </c>
      <c r="CH280" s="342"/>
      <c r="CI280" s="590">
        <v>19.84</v>
      </c>
      <c r="CJ280" s="590">
        <v>28.09</v>
      </c>
      <c r="CK280" s="590">
        <v>26.13</v>
      </c>
      <c r="CL280" s="342"/>
      <c r="CM280" s="590"/>
      <c r="CN280" s="342"/>
      <c r="CO280" s="342"/>
      <c r="CP280" s="342"/>
      <c r="CQ280" s="342"/>
      <c r="CR280" s="342"/>
      <c r="CS280" s="590"/>
      <c r="CT280" s="475"/>
      <c r="CU280" s="342"/>
      <c r="CV280" s="342"/>
      <c r="CW280" s="342"/>
      <c r="CX280" s="342"/>
      <c r="CY280" s="590"/>
      <c r="CZ280" s="475"/>
      <c r="DA280" s="342"/>
      <c r="DB280" s="342"/>
      <c r="DC280" s="342"/>
      <c r="DD280" s="342"/>
      <c r="DE280" s="590"/>
      <c r="DF280" s="475"/>
      <c r="DG280" s="342"/>
      <c r="DH280" s="342"/>
      <c r="DI280" s="342"/>
      <c r="DJ280" s="342"/>
      <c r="DK280" s="590"/>
      <c r="DL280" s="475"/>
      <c r="DM280" s="342"/>
      <c r="DN280" s="342"/>
      <c r="DO280" s="342"/>
      <c r="DP280" s="342"/>
      <c r="DQ280" s="590"/>
      <c r="DR280" s="475"/>
      <c r="DS280" s="342"/>
      <c r="DT280" s="342"/>
      <c r="DU280" s="342"/>
      <c r="DV280" s="342"/>
      <c r="DW280" s="590"/>
      <c r="DX280" s="475"/>
      <c r="DY280" s="342"/>
      <c r="DZ280" s="342"/>
      <c r="EA280" s="342"/>
      <c r="EB280" s="342"/>
      <c r="EC280" s="590"/>
      <c r="ED280" s="475"/>
      <c r="EE280" s="342"/>
      <c r="EF280" s="342"/>
      <c r="EG280" s="342"/>
      <c r="EH280" s="342"/>
      <c r="EI280" s="590"/>
      <c r="EJ280" s="475"/>
      <c r="EK280" s="342"/>
      <c r="EL280" s="342"/>
      <c r="EM280" s="342"/>
      <c r="EN280" s="342"/>
      <c r="EO280" s="590"/>
      <c r="EP280" s="475"/>
      <c r="EQ280" s="342"/>
      <c r="ER280" s="342"/>
      <c r="ES280" s="342"/>
      <c r="ET280" s="342"/>
      <c r="EU280" s="590"/>
      <c r="EV280" s="475"/>
      <c r="EW280" s="342"/>
      <c r="EX280" s="342"/>
      <c r="EY280" s="342"/>
      <c r="EZ280" s="342"/>
      <c r="FA280" s="590"/>
      <c r="FB280" s="475"/>
      <c r="FC280" s="342"/>
      <c r="FD280" s="342"/>
      <c r="FE280" s="342"/>
      <c r="FF280" s="342"/>
      <c r="FG280" s="590"/>
      <c r="FH280" s="475"/>
      <c r="FI280" s="342"/>
      <c r="FJ280" s="342"/>
      <c r="FK280" s="342"/>
      <c r="FL280" s="342"/>
      <c r="FM280" s="590"/>
      <c r="FN280" s="27"/>
      <c r="FO280" s="27"/>
      <c r="FP280" s="27"/>
      <c r="FQ280" s="27"/>
      <c r="FR280"/>
      <c r="FS280"/>
      <c r="FT280"/>
      <c r="FU280"/>
      <c r="FV280"/>
      <c r="FW280"/>
      <c r="FX280" s="27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</row>
    <row r="281" spans="1:274" s="24" customFormat="1" ht="10.5" hidden="1" customHeight="1" outlineLevel="1" x14ac:dyDescent="0.2">
      <c r="A281" s="342" t="s">
        <v>352</v>
      </c>
      <c r="B281" s="20"/>
      <c r="C281" s="27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342"/>
      <c r="O281" s="342"/>
      <c r="P281" s="342"/>
      <c r="Q281" s="342"/>
      <c r="R281" s="342"/>
      <c r="S281" s="342"/>
      <c r="T281" s="342"/>
      <c r="U281" s="342"/>
      <c r="V281" s="342"/>
      <c r="W281" s="342"/>
      <c r="X281" s="342"/>
      <c r="Y281" s="342"/>
      <c r="Z281" s="342"/>
      <c r="AA281" s="342"/>
      <c r="AB281" s="342"/>
      <c r="AC281" s="342"/>
      <c r="AD281" s="342"/>
      <c r="AE281" s="342"/>
      <c r="AF281" s="342"/>
      <c r="AG281" s="342"/>
      <c r="AH281" s="342"/>
      <c r="AI281" s="342"/>
      <c r="AJ281" s="342"/>
      <c r="AK281" s="342"/>
      <c r="AL281" s="342"/>
      <c r="AM281" s="342"/>
      <c r="AN281" s="342"/>
      <c r="AO281" s="342"/>
      <c r="AP281" s="342"/>
      <c r="AQ281" s="342"/>
      <c r="AR281" s="342"/>
      <c r="AS281" s="342"/>
      <c r="AT281" s="342"/>
      <c r="AU281" s="342"/>
      <c r="AV281" s="342"/>
      <c r="AW281" s="342"/>
      <c r="AX281" s="342"/>
      <c r="AY281" s="342"/>
      <c r="AZ281" s="342"/>
      <c r="BA281" s="342"/>
      <c r="BB281" s="342"/>
      <c r="BC281" s="589">
        <v>10.56</v>
      </c>
      <c r="BD281" s="342"/>
      <c r="BE281" s="342"/>
      <c r="BF281" s="342"/>
      <c r="BG281" s="342"/>
      <c r="BH281" s="342"/>
      <c r="BI281" s="589">
        <v>11.31</v>
      </c>
      <c r="BJ281" s="342"/>
      <c r="BK281" s="342"/>
      <c r="BL281" s="342"/>
      <c r="BM281" s="342"/>
      <c r="BN281" s="342"/>
      <c r="BO281" s="589">
        <v>11.41</v>
      </c>
      <c r="BP281" s="342"/>
      <c r="BQ281" s="342"/>
      <c r="BR281" s="342"/>
      <c r="BS281" s="342"/>
      <c r="BT281" s="342"/>
      <c r="BU281" s="589">
        <v>11.61</v>
      </c>
      <c r="BV281" s="342"/>
      <c r="BW281" s="342"/>
      <c r="BX281" s="342"/>
      <c r="BY281" s="342"/>
      <c r="BZ281" s="342"/>
      <c r="CA281" s="589">
        <v>11.92</v>
      </c>
      <c r="CB281" s="342"/>
      <c r="CC281" s="342"/>
      <c r="CD281" s="342"/>
      <c r="CE281" s="342"/>
      <c r="CF281" s="342"/>
      <c r="CG281" s="589">
        <f>SUMPRODUCT(CG266:CG270,CG276:CG280)/CG271</f>
        <v>13.300211416490484</v>
      </c>
      <c r="CH281" s="342"/>
      <c r="CI281" s="582">
        <v>13.02</v>
      </c>
      <c r="CJ281" s="582">
        <v>13.43</v>
      </c>
      <c r="CK281" s="582">
        <v>13.54</v>
      </c>
      <c r="CL281" s="342"/>
      <c r="CM281" s="589">
        <f>SUMPRODUCT(CM266:CM270,CM276:CM280)/CM271</f>
        <v>13.300211416490484</v>
      </c>
      <c r="CN281" s="342"/>
      <c r="CO281" s="342"/>
      <c r="CP281" s="342"/>
      <c r="CQ281" s="342"/>
      <c r="CR281" s="342"/>
      <c r="CS281" s="589">
        <f>SUMPRODUCT(CS266:CS270,CS276:CS280)/CS271</f>
        <v>13.300211416490484</v>
      </c>
      <c r="CT281" s="475"/>
      <c r="CU281" s="342"/>
      <c r="CV281" s="342"/>
      <c r="CW281" s="342"/>
      <c r="CX281" s="342"/>
      <c r="CY281" s="589">
        <f>SUMPRODUCT(CY266:CY270,CY276:CY280)/CY271</f>
        <v>13.300211416490484</v>
      </c>
      <c r="CZ281" s="475"/>
      <c r="DA281" s="342"/>
      <c r="DB281" s="342"/>
      <c r="DC281" s="342"/>
      <c r="DD281" s="342"/>
      <c r="DE281" s="589">
        <f>SUMPRODUCT(DE266:DE270,DE276:DE280)/DE271</f>
        <v>13.300211416490484</v>
      </c>
      <c r="DF281" s="475"/>
      <c r="DG281" s="342"/>
      <c r="DH281" s="342"/>
      <c r="DI281" s="342"/>
      <c r="DJ281" s="342"/>
      <c r="DK281" s="589">
        <f>SUMPRODUCT(DK266:DK270,DK276:DK280)/DK271</f>
        <v>13.300211416490484</v>
      </c>
      <c r="DL281" s="475"/>
      <c r="DM281" s="342"/>
      <c r="DN281" s="342"/>
      <c r="DO281" s="342"/>
      <c r="DP281" s="342"/>
      <c r="DQ281" s="589">
        <f>SUMPRODUCT(DQ266:DQ270,DQ276:DQ280)/DQ271</f>
        <v>13.300211416490484</v>
      </c>
      <c r="DR281" s="475"/>
      <c r="DS281" s="342"/>
      <c r="DT281" s="342"/>
      <c r="DU281" s="342"/>
      <c r="DV281" s="342"/>
      <c r="DW281" s="589">
        <f>SUMPRODUCT(DW266:DW270,DW276:DW280)/DW271</f>
        <v>13.300211416490484</v>
      </c>
      <c r="DX281" s="475"/>
      <c r="DY281" s="342"/>
      <c r="DZ281" s="342"/>
      <c r="EA281" s="342"/>
      <c r="EB281" s="342"/>
      <c r="EC281" s="589">
        <f>SUMPRODUCT(EC266:EC270,EC276:EC280)/EC271</f>
        <v>13.300211416490484</v>
      </c>
      <c r="ED281" s="475"/>
      <c r="EE281" s="342"/>
      <c r="EF281" s="342"/>
      <c r="EG281" s="342"/>
      <c r="EH281" s="342"/>
      <c r="EI281" s="589">
        <f>SUMPRODUCT(EI266:EI270,EI276:EI280)/EI271</f>
        <v>13.300211416490484</v>
      </c>
      <c r="EJ281" s="475"/>
      <c r="EK281" s="342"/>
      <c r="EL281" s="342"/>
      <c r="EM281" s="342"/>
      <c r="EN281" s="342"/>
      <c r="EO281" s="589">
        <f>SUMPRODUCT(EO266:EO270,EO276:EO280)/EO271</f>
        <v>13.300211416490484</v>
      </c>
      <c r="EP281" s="475"/>
      <c r="EQ281" s="342"/>
      <c r="ER281" s="342"/>
      <c r="ES281" s="342"/>
      <c r="ET281" s="342"/>
      <c r="EU281" s="589">
        <f>SUMPRODUCT(EU266:EU270,EU276:EU280)/EU271</f>
        <v>13.300211416490484</v>
      </c>
      <c r="EV281" s="475"/>
      <c r="EW281" s="342"/>
      <c r="EX281" s="342"/>
      <c r="EY281" s="342"/>
      <c r="EZ281" s="342"/>
      <c r="FA281" s="589">
        <f>SUMPRODUCT(FA266:FA270,FA276:FA280)/FA271</f>
        <v>13.300211416490484</v>
      </c>
      <c r="FB281" s="475"/>
      <c r="FC281" s="342"/>
      <c r="FD281" s="342"/>
      <c r="FE281" s="342"/>
      <c r="FF281" s="342"/>
      <c r="FG281" s="589">
        <f>SUMPRODUCT(FG266:FG270,FG276:FG280)/FG271</f>
        <v>13.300211416490484</v>
      </c>
      <c r="FH281" s="475"/>
      <c r="FI281" s="342"/>
      <c r="FJ281" s="342"/>
      <c r="FK281" s="342"/>
      <c r="FL281" s="342"/>
      <c r="FM281" s="589">
        <f>SUMPRODUCT(FM266:FM270,FM276:FM280)/FM271</f>
        <v>13.300211416490484</v>
      </c>
      <c r="FN281" s="27"/>
      <c r="FO281" s="27"/>
      <c r="FP281" s="27"/>
      <c r="FQ281" s="27"/>
      <c r="FR281"/>
      <c r="FS281"/>
      <c r="FT281"/>
      <c r="FU281"/>
      <c r="FV281"/>
      <c r="FW281"/>
      <c r="FX281" s="27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</row>
    <row r="282" spans="1:274" s="24" customFormat="1" ht="10.5" hidden="1" customHeight="1" outlineLevel="1" x14ac:dyDescent="0.2">
      <c r="A282" s="342"/>
      <c r="B282" s="20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342"/>
      <c r="O282" s="342"/>
      <c r="P282" s="342"/>
      <c r="Q282" s="342"/>
      <c r="R282" s="342"/>
      <c r="S282" s="342"/>
      <c r="T282" s="342"/>
      <c r="U282" s="342"/>
      <c r="V282" s="342"/>
      <c r="W282" s="342"/>
      <c r="X282" s="342"/>
      <c r="Y282" s="342"/>
      <c r="Z282" s="342"/>
      <c r="AA282" s="342"/>
      <c r="AB282" s="342"/>
      <c r="AC282" s="342"/>
      <c r="AD282" s="342"/>
      <c r="AE282" s="342"/>
      <c r="AF282" s="342"/>
      <c r="AG282" s="342"/>
      <c r="AH282" s="342"/>
      <c r="AI282" s="342"/>
      <c r="AJ282" s="342"/>
      <c r="AK282" s="342"/>
      <c r="AL282" s="342"/>
      <c r="AM282" s="342"/>
      <c r="AN282" s="342"/>
      <c r="AO282" s="342"/>
      <c r="AP282" s="342"/>
      <c r="AQ282" s="342"/>
      <c r="AR282" s="342"/>
      <c r="AS282" s="342"/>
      <c r="AT282" s="342"/>
      <c r="AU282" s="342"/>
      <c r="AV282" s="342"/>
      <c r="AW282" s="342"/>
      <c r="AX282" s="342"/>
      <c r="AY282" s="342"/>
      <c r="AZ282" s="342"/>
      <c r="BA282" s="342"/>
      <c r="BB282" s="342"/>
      <c r="BC282" s="589"/>
      <c r="BD282" s="342"/>
      <c r="BE282" s="342"/>
      <c r="BF282" s="342"/>
      <c r="BG282" s="342"/>
      <c r="BH282" s="342"/>
      <c r="BI282" s="589"/>
      <c r="BJ282" s="342"/>
      <c r="BK282" s="342"/>
      <c r="BL282" s="342"/>
      <c r="BM282" s="342"/>
      <c r="BN282" s="342"/>
      <c r="BO282" s="589"/>
      <c r="BP282" s="342"/>
      <c r="BQ282" s="342"/>
      <c r="BR282" s="342"/>
      <c r="BS282" s="342"/>
      <c r="BT282" s="342"/>
      <c r="BU282" s="589"/>
      <c r="BV282" s="342"/>
      <c r="BW282" s="342"/>
      <c r="BX282" s="342"/>
      <c r="BY282" s="342"/>
      <c r="BZ282" s="342"/>
      <c r="CA282" s="589"/>
      <c r="CB282" s="342"/>
      <c r="CC282" s="342"/>
      <c r="CD282" s="342"/>
      <c r="CE282" s="342"/>
      <c r="CF282" s="342"/>
      <c r="CG282" s="589"/>
      <c r="CH282" s="342"/>
      <c r="CI282" s="342"/>
      <c r="CJ282" s="342"/>
      <c r="CK282" s="342"/>
      <c r="CL282" s="342"/>
      <c r="CM282" s="589"/>
      <c r="CN282" s="342"/>
      <c r="CO282" s="342"/>
      <c r="CP282" s="342"/>
      <c r="CQ282" s="342"/>
      <c r="CR282" s="342"/>
      <c r="CS282" s="589"/>
      <c r="CT282" s="475"/>
      <c r="CU282" s="342"/>
      <c r="CV282" s="342"/>
      <c r="CW282" s="342"/>
      <c r="CX282" s="342"/>
      <c r="CY282" s="589"/>
      <c r="CZ282" s="475"/>
      <c r="DA282" s="342"/>
      <c r="DB282" s="342"/>
      <c r="DC282" s="342"/>
      <c r="DD282" s="342"/>
      <c r="DE282" s="589"/>
      <c r="DF282" s="475"/>
      <c r="DG282" s="342"/>
      <c r="DH282" s="342"/>
      <c r="DI282" s="342"/>
      <c r="DJ282" s="342"/>
      <c r="DK282" s="589"/>
      <c r="DL282" s="475"/>
      <c r="DM282" s="342"/>
      <c r="DN282" s="342"/>
      <c r="DO282" s="342"/>
      <c r="DP282" s="342"/>
      <c r="DQ282" s="589"/>
      <c r="DR282" s="475"/>
      <c r="DS282" s="342"/>
      <c r="DT282" s="342"/>
      <c r="DU282" s="342"/>
      <c r="DV282" s="342"/>
      <c r="DW282" s="589"/>
      <c r="DX282" s="475"/>
      <c r="DY282" s="342"/>
      <c r="DZ282" s="342"/>
      <c r="EA282" s="342"/>
      <c r="EB282" s="342"/>
      <c r="EC282" s="589"/>
      <c r="ED282" s="475"/>
      <c r="EE282" s="342"/>
      <c r="EF282" s="342"/>
      <c r="EG282" s="342"/>
      <c r="EH282" s="342"/>
      <c r="EI282" s="589"/>
      <c r="EJ282" s="475"/>
      <c r="EK282" s="342"/>
      <c r="EL282" s="342"/>
      <c r="EM282" s="342"/>
      <c r="EN282" s="342"/>
      <c r="EO282" s="589"/>
      <c r="EP282" s="475"/>
      <c r="EQ282" s="342"/>
      <c r="ER282" s="342"/>
      <c r="ES282" s="342"/>
      <c r="ET282" s="342"/>
      <c r="EU282" s="589"/>
      <c r="EV282" s="475"/>
      <c r="EW282" s="342"/>
      <c r="EX282" s="342"/>
      <c r="EY282" s="342"/>
      <c r="EZ282" s="342"/>
      <c r="FA282" s="589"/>
      <c r="FB282" s="475"/>
      <c r="FC282" s="342"/>
      <c r="FD282" s="342"/>
      <c r="FE282" s="342"/>
      <c r="FF282" s="342"/>
      <c r="FG282" s="589"/>
      <c r="FH282" s="475"/>
      <c r="FI282" s="342"/>
      <c r="FJ282" s="342"/>
      <c r="FK282" s="342"/>
      <c r="FL282" s="342"/>
      <c r="FM282" s="589"/>
      <c r="FN282" s="27"/>
      <c r="FO282" s="27"/>
      <c r="FP282" s="27"/>
      <c r="FQ282" s="27"/>
      <c r="FR282"/>
      <c r="FS282"/>
      <c r="FT282"/>
      <c r="FU282"/>
      <c r="FV282"/>
      <c r="FW282"/>
      <c r="FX282" s="27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</row>
    <row r="283" spans="1:274" s="24" customFormat="1" ht="10.5" hidden="1" customHeight="1" outlineLevel="1" x14ac:dyDescent="0.2">
      <c r="A283" s="342" t="s">
        <v>958</v>
      </c>
      <c r="B283" s="20"/>
      <c r="C283" s="27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342"/>
      <c r="O283" s="342"/>
      <c r="P283" s="342"/>
      <c r="Q283" s="342"/>
      <c r="R283" s="342"/>
      <c r="S283" s="342"/>
      <c r="T283" s="342"/>
      <c r="U283" s="342"/>
      <c r="V283" s="342"/>
      <c r="W283" s="342"/>
      <c r="X283" s="342"/>
      <c r="Y283" s="342"/>
      <c r="Z283" s="342"/>
      <c r="AA283" s="342"/>
      <c r="AB283" s="342"/>
      <c r="AC283" s="342"/>
      <c r="AD283" s="342"/>
      <c r="AE283" s="342"/>
      <c r="AF283" s="342"/>
      <c r="AG283" s="342"/>
      <c r="AH283" s="342"/>
      <c r="AI283" s="342"/>
      <c r="AJ283" s="342"/>
      <c r="AK283" s="342"/>
      <c r="AL283" s="342"/>
      <c r="AM283" s="342"/>
      <c r="AN283" s="342"/>
      <c r="AO283" s="342"/>
      <c r="AP283" s="342"/>
      <c r="AQ283" s="342"/>
      <c r="AR283" s="342"/>
      <c r="AS283" s="342"/>
      <c r="AT283" s="342"/>
      <c r="AU283" s="342"/>
      <c r="AV283" s="342"/>
      <c r="AW283" s="342"/>
      <c r="AX283" s="342"/>
      <c r="AY283" s="342"/>
      <c r="AZ283" s="342"/>
      <c r="BA283" s="342"/>
      <c r="BB283" s="342"/>
      <c r="BC283" s="342">
        <v>197</v>
      </c>
      <c r="BD283" s="342"/>
      <c r="BE283" s="342"/>
      <c r="BF283" s="342"/>
      <c r="BG283" s="342"/>
      <c r="BH283" s="342"/>
      <c r="BI283" s="342">
        <v>258</v>
      </c>
      <c r="BJ283" s="342"/>
      <c r="BK283" s="342"/>
      <c r="BL283" s="342"/>
      <c r="BM283" s="342"/>
      <c r="BN283" s="342"/>
      <c r="BO283" s="342">
        <v>294</v>
      </c>
      <c r="BP283" s="342"/>
      <c r="BQ283" s="342"/>
      <c r="BR283" s="342"/>
      <c r="BS283" s="342"/>
      <c r="BT283" s="342"/>
      <c r="BU283" s="342">
        <v>326</v>
      </c>
      <c r="BV283" s="342"/>
      <c r="BW283" s="342"/>
      <c r="BX283" s="342"/>
      <c r="BY283" s="342"/>
      <c r="BZ283" s="342"/>
      <c r="CA283" s="342">
        <v>345</v>
      </c>
      <c r="CB283" s="342"/>
      <c r="CC283" s="342"/>
      <c r="CD283" s="342"/>
      <c r="CE283" s="342"/>
      <c r="CF283" s="342"/>
      <c r="CG283" s="105">
        <v>341</v>
      </c>
      <c r="CH283" s="342"/>
      <c r="CI283" s="342">
        <v>363</v>
      </c>
      <c r="CJ283" s="342">
        <v>319</v>
      </c>
      <c r="CK283" s="342">
        <v>307</v>
      </c>
      <c r="CL283" s="342"/>
      <c r="CM283" s="589"/>
      <c r="CN283" s="342"/>
      <c r="CO283" s="342"/>
      <c r="CP283" s="342"/>
      <c r="CQ283" s="342"/>
      <c r="CR283" s="342"/>
      <c r="CS283" s="589"/>
      <c r="CT283" s="475"/>
      <c r="CU283" s="342"/>
      <c r="CV283" s="342"/>
      <c r="CW283" s="342"/>
      <c r="CX283" s="342"/>
      <c r="CY283" s="589"/>
      <c r="CZ283" s="475"/>
      <c r="DA283" s="342"/>
      <c r="DB283" s="342"/>
      <c r="DC283" s="342"/>
      <c r="DD283" s="342"/>
      <c r="DE283" s="589"/>
      <c r="DF283" s="475"/>
      <c r="DG283" s="342"/>
      <c r="DH283" s="342"/>
      <c r="DI283" s="342"/>
      <c r="DJ283" s="342"/>
      <c r="DK283" s="589"/>
      <c r="DL283" s="475"/>
      <c r="DM283" s="342"/>
      <c r="DN283" s="342"/>
      <c r="DO283" s="342"/>
      <c r="DP283" s="342"/>
      <c r="DQ283" s="589"/>
      <c r="DR283" s="475"/>
      <c r="DS283" s="342"/>
      <c r="DT283" s="342"/>
      <c r="DU283" s="342"/>
      <c r="DV283" s="342"/>
      <c r="DW283" s="589"/>
      <c r="DX283" s="475"/>
      <c r="DY283" s="342"/>
      <c r="DZ283" s="342"/>
      <c r="EA283" s="342"/>
      <c r="EB283" s="342"/>
      <c r="EC283" s="589"/>
      <c r="ED283" s="475"/>
      <c r="EE283" s="342"/>
      <c r="EF283" s="342"/>
      <c r="EG283" s="342"/>
      <c r="EH283" s="342"/>
      <c r="EI283" s="589"/>
      <c r="EJ283" s="475"/>
      <c r="EK283" s="342"/>
      <c r="EL283" s="342"/>
      <c r="EM283" s="342"/>
      <c r="EN283" s="342"/>
      <c r="EO283" s="589"/>
      <c r="EP283" s="475"/>
      <c r="EQ283" s="342"/>
      <c r="ER283" s="342"/>
      <c r="ES283" s="342"/>
      <c r="ET283" s="342"/>
      <c r="EU283" s="589"/>
      <c r="EV283" s="475"/>
      <c r="EW283" s="342"/>
      <c r="EX283" s="342"/>
      <c r="EY283" s="342"/>
      <c r="EZ283" s="342"/>
      <c r="FA283" s="589"/>
      <c r="FB283" s="475"/>
      <c r="FC283" s="342"/>
      <c r="FD283" s="342"/>
      <c r="FE283" s="342"/>
      <c r="FF283" s="342"/>
      <c r="FG283" s="589"/>
      <c r="FH283" s="475"/>
      <c r="FI283" s="342"/>
      <c r="FJ283" s="342"/>
      <c r="FK283" s="342"/>
      <c r="FL283" s="342"/>
      <c r="FM283" s="589"/>
      <c r="FN283" s="27"/>
      <c r="FO283" s="27"/>
      <c r="FP283" s="27"/>
      <c r="FQ283" s="27"/>
      <c r="FR283"/>
      <c r="FS283"/>
      <c r="FT283"/>
      <c r="FU283"/>
      <c r="FV283"/>
      <c r="FW283"/>
      <c r="FX283" s="27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</row>
    <row r="284" spans="1:274" s="24" customFormat="1" ht="10.5" hidden="1" customHeight="1" outlineLevel="1" x14ac:dyDescent="0.2">
      <c r="A284" s="342" t="s">
        <v>798</v>
      </c>
      <c r="B284" s="20"/>
      <c r="C284" s="27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342"/>
      <c r="O284" s="342"/>
      <c r="P284" s="342"/>
      <c r="Q284" s="342"/>
      <c r="R284" s="342"/>
      <c r="S284" s="342"/>
      <c r="T284" s="342"/>
      <c r="U284" s="342"/>
      <c r="V284" s="342"/>
      <c r="W284" s="342"/>
      <c r="X284" s="342"/>
      <c r="Y284" s="342"/>
      <c r="Z284" s="342"/>
      <c r="AA284" s="342"/>
      <c r="AB284" s="342"/>
      <c r="AC284" s="342"/>
      <c r="AD284" s="342"/>
      <c r="AE284" s="342"/>
      <c r="AF284" s="342"/>
      <c r="AG284" s="342"/>
      <c r="AH284" s="342"/>
      <c r="AI284" s="342"/>
      <c r="AJ284" s="342"/>
      <c r="AK284" s="342"/>
      <c r="AL284" s="342"/>
      <c r="AM284" s="342"/>
      <c r="AN284" s="342"/>
      <c r="AO284" s="342"/>
      <c r="AP284" s="342"/>
      <c r="AQ284" s="342"/>
      <c r="AR284" s="342"/>
      <c r="AS284" s="342"/>
      <c r="AT284" s="342"/>
      <c r="AU284" s="342"/>
      <c r="AV284" s="342"/>
      <c r="AW284" s="342"/>
      <c r="AX284" s="342"/>
      <c r="AY284" s="342"/>
      <c r="AZ284" s="342"/>
      <c r="BA284" s="342"/>
      <c r="BB284" s="342"/>
      <c r="BC284" s="589">
        <v>6.5</v>
      </c>
      <c r="BD284" s="342"/>
      <c r="BE284" s="342"/>
      <c r="BF284" s="342"/>
      <c r="BG284" s="342"/>
      <c r="BH284" s="342"/>
      <c r="BI284" s="589">
        <v>8.1199999999999992</v>
      </c>
      <c r="BJ284" s="342"/>
      <c r="BK284" s="342"/>
      <c r="BL284" s="342"/>
      <c r="BM284" s="342"/>
      <c r="BN284" s="342"/>
      <c r="BO284" s="589">
        <v>9.8800000000000008</v>
      </c>
      <c r="BP284" s="342"/>
      <c r="BQ284" s="342"/>
      <c r="BR284" s="342"/>
      <c r="BS284" s="342"/>
      <c r="BT284" s="342"/>
      <c r="BU284" s="589">
        <v>11.15</v>
      </c>
      <c r="BV284" s="342"/>
      <c r="BW284" s="342"/>
      <c r="BX284" s="342"/>
      <c r="BY284" s="342"/>
      <c r="BZ284" s="342"/>
      <c r="CA284" s="589">
        <v>12.14</v>
      </c>
      <c r="CB284" s="342"/>
      <c r="CC284" s="342"/>
      <c r="CD284" s="342"/>
      <c r="CE284" s="342"/>
      <c r="CF284" s="342"/>
      <c r="CG284" s="589">
        <v>13.91</v>
      </c>
      <c r="CH284" s="589"/>
      <c r="CI284" s="589">
        <v>13.1</v>
      </c>
      <c r="CJ284" s="589">
        <v>13.66</v>
      </c>
      <c r="CK284" s="589">
        <v>13.79</v>
      </c>
      <c r="CL284" s="342"/>
      <c r="CM284" s="589"/>
      <c r="CN284" s="342"/>
      <c r="CO284" s="342"/>
      <c r="CP284" s="342"/>
      <c r="CQ284" s="342"/>
      <c r="CR284" s="342"/>
      <c r="CS284" s="589"/>
      <c r="CT284" s="475"/>
      <c r="CU284" s="342"/>
      <c r="CV284" s="342"/>
      <c r="CW284" s="342"/>
      <c r="CX284" s="342"/>
      <c r="CY284" s="589"/>
      <c r="CZ284" s="475"/>
      <c r="DA284" s="342"/>
      <c r="DB284" s="342"/>
      <c r="DC284" s="342"/>
      <c r="DD284" s="342"/>
      <c r="DE284" s="589"/>
      <c r="DF284" s="475"/>
      <c r="DG284" s="342"/>
      <c r="DH284" s="342"/>
      <c r="DI284" s="342"/>
      <c r="DJ284" s="342"/>
      <c r="DK284" s="589"/>
      <c r="DL284" s="475"/>
      <c r="DM284" s="342"/>
      <c r="DN284" s="342"/>
      <c r="DO284" s="342"/>
      <c r="DP284" s="342"/>
      <c r="DQ284" s="589"/>
      <c r="DR284" s="475"/>
      <c r="DS284" s="342"/>
      <c r="DT284" s="342"/>
      <c r="DU284" s="342"/>
      <c r="DV284" s="342"/>
      <c r="DW284" s="589"/>
      <c r="DX284" s="475"/>
      <c r="DY284" s="342"/>
      <c r="DZ284" s="342"/>
      <c r="EA284" s="342"/>
      <c r="EB284" s="342"/>
      <c r="EC284" s="589"/>
      <c r="ED284" s="475"/>
      <c r="EE284" s="342"/>
      <c r="EF284" s="342"/>
      <c r="EG284" s="342"/>
      <c r="EH284" s="342"/>
      <c r="EI284" s="589"/>
      <c r="EJ284" s="475"/>
      <c r="EK284" s="342"/>
      <c r="EL284" s="342"/>
      <c r="EM284" s="342"/>
      <c r="EN284" s="342"/>
      <c r="EO284" s="589"/>
      <c r="EP284" s="475"/>
      <c r="EQ284" s="342"/>
      <c r="ER284" s="342"/>
      <c r="ES284" s="342"/>
      <c r="ET284" s="342"/>
      <c r="EU284" s="589"/>
      <c r="EV284" s="475"/>
      <c r="EW284" s="342"/>
      <c r="EX284" s="342"/>
      <c r="EY284" s="342"/>
      <c r="EZ284" s="342"/>
      <c r="FA284" s="589"/>
      <c r="FB284" s="475"/>
      <c r="FC284" s="342"/>
      <c r="FD284" s="342"/>
      <c r="FE284" s="342"/>
      <c r="FF284" s="342"/>
      <c r="FG284" s="589"/>
      <c r="FH284" s="475"/>
      <c r="FI284" s="342"/>
      <c r="FJ284" s="342"/>
      <c r="FK284" s="342"/>
      <c r="FL284" s="342"/>
      <c r="FM284" s="589"/>
      <c r="FN284" s="27"/>
      <c r="FO284" s="27"/>
      <c r="FP284" s="27"/>
      <c r="FQ284" s="27"/>
      <c r="FR284"/>
      <c r="FS284"/>
      <c r="FT284"/>
      <c r="FU284"/>
      <c r="FV284"/>
      <c r="FW284"/>
      <c r="FX284" s="27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</row>
    <row r="285" spans="1:274" s="24" customFormat="1" ht="10.5" hidden="1" customHeight="1" outlineLevel="1" x14ac:dyDescent="0.2">
      <c r="A285" s="342" t="s">
        <v>27</v>
      </c>
      <c r="B285" s="20"/>
      <c r="C285" s="27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342"/>
      <c r="O285" s="342"/>
      <c r="P285" s="342"/>
      <c r="Q285" s="342"/>
      <c r="R285" s="342"/>
      <c r="S285" s="342"/>
      <c r="T285" s="342"/>
      <c r="U285" s="342"/>
      <c r="V285" s="342"/>
      <c r="W285" s="342"/>
      <c r="X285" s="342"/>
      <c r="Y285" s="342"/>
      <c r="Z285" s="342"/>
      <c r="AA285" s="342"/>
      <c r="AB285" s="342"/>
      <c r="AC285" s="342"/>
      <c r="AD285" s="342"/>
      <c r="AE285" s="342"/>
      <c r="AF285" s="342"/>
      <c r="AG285" s="342"/>
      <c r="AH285" s="342"/>
      <c r="AI285" s="342"/>
      <c r="AJ285" s="342"/>
      <c r="AK285" s="342"/>
      <c r="AL285" s="342"/>
      <c r="AM285" s="342"/>
      <c r="AN285" s="342"/>
      <c r="AO285" s="342"/>
      <c r="AP285" s="342"/>
      <c r="AQ285" s="342"/>
      <c r="AR285" s="342"/>
      <c r="AS285" s="342"/>
      <c r="AT285" s="342"/>
      <c r="AU285" s="342"/>
      <c r="AV285" s="342"/>
      <c r="AW285" s="342"/>
      <c r="AX285" s="342"/>
      <c r="AY285" s="342"/>
      <c r="AZ285" s="342"/>
      <c r="BA285" s="342"/>
      <c r="BB285" s="342"/>
      <c r="BC285" s="43">
        <f>BC283/BC271</f>
        <v>0.44570135746606337</v>
      </c>
      <c r="BD285" s="342"/>
      <c r="BE285" s="342"/>
      <c r="BF285" s="342"/>
      <c r="BG285" s="342"/>
      <c r="BH285" s="342"/>
      <c r="BI285" s="43">
        <f>BI283/BI271</f>
        <v>0.56828193832599116</v>
      </c>
      <c r="BJ285" s="342"/>
      <c r="BK285" s="342"/>
      <c r="BL285" s="342"/>
      <c r="BM285" s="342"/>
      <c r="BN285" s="342"/>
      <c r="BO285" s="43">
        <f>BO283/BO271</f>
        <v>0.64615384615384619</v>
      </c>
      <c r="BP285" s="342"/>
      <c r="BQ285" s="342"/>
      <c r="BR285" s="342"/>
      <c r="BS285" s="342"/>
      <c r="BT285" s="342"/>
      <c r="BU285" s="43">
        <f>BU283/BU271</f>
        <v>0.74090909090909096</v>
      </c>
      <c r="BV285" s="342"/>
      <c r="BW285" s="342"/>
      <c r="BX285" s="342"/>
      <c r="BY285" s="342"/>
      <c r="BZ285" s="342"/>
      <c r="CA285" s="43">
        <f>CA283/CA271</f>
        <v>0.73560767590618337</v>
      </c>
      <c r="CB285" s="342"/>
      <c r="CC285" s="342"/>
      <c r="CD285" s="342"/>
      <c r="CE285" s="342"/>
      <c r="CF285" s="342"/>
      <c r="CG285" s="43">
        <f>CG283/CG271</f>
        <v>0.72093023255813948</v>
      </c>
      <c r="CH285" s="43"/>
      <c r="CI285" s="43">
        <f>CI283/CI271</f>
        <v>0.71456692913385822</v>
      </c>
      <c r="CJ285" s="43">
        <f>CJ283/CJ271</f>
        <v>0.69498910675381265</v>
      </c>
      <c r="CK285" s="43">
        <f>CK283/CK271</f>
        <v>0.69300225733634313</v>
      </c>
      <c r="CL285" s="342"/>
      <c r="CM285" s="342"/>
      <c r="CN285" s="342"/>
      <c r="CO285" s="342"/>
      <c r="CP285" s="342"/>
      <c r="CQ285" s="342"/>
      <c r="CR285" s="342"/>
      <c r="CS285" s="342"/>
      <c r="CT285" s="475"/>
      <c r="CU285" s="342"/>
      <c r="CV285" s="342"/>
      <c r="CW285" s="342"/>
      <c r="CX285" s="342"/>
      <c r="CY285" s="342"/>
      <c r="CZ285" s="475"/>
      <c r="DA285" s="342"/>
      <c r="DB285" s="342"/>
      <c r="DC285" s="342"/>
      <c r="DD285" s="342"/>
      <c r="DE285" s="475"/>
      <c r="DF285" s="475"/>
      <c r="DG285" s="342"/>
      <c r="DH285" s="342"/>
      <c r="DI285" s="342"/>
      <c r="DJ285" s="342"/>
      <c r="DK285" s="475"/>
      <c r="DL285" s="475"/>
      <c r="DM285" s="342"/>
      <c r="DN285" s="342"/>
      <c r="DO285" s="342"/>
      <c r="DP285" s="342"/>
      <c r="DQ285" s="475"/>
      <c r="DR285" s="475"/>
      <c r="DS285" s="342"/>
      <c r="DT285" s="342"/>
      <c r="DU285" s="342"/>
      <c r="DV285" s="342"/>
      <c r="DW285" s="475"/>
      <c r="DX285" s="475"/>
      <c r="DY285" s="342"/>
      <c r="DZ285" s="342"/>
      <c r="EA285" s="342"/>
      <c r="EB285" s="342"/>
      <c r="EC285" s="475"/>
      <c r="ED285" s="475"/>
      <c r="EE285" s="342"/>
      <c r="EF285" s="342"/>
      <c r="EG285" s="342"/>
      <c r="EH285" s="342"/>
      <c r="EI285" s="475"/>
      <c r="EJ285" s="475"/>
      <c r="EK285" s="342"/>
      <c r="EL285" s="342"/>
      <c r="EM285" s="342"/>
      <c r="EN285" s="342"/>
      <c r="EO285" s="475"/>
      <c r="EP285" s="475"/>
      <c r="EQ285" s="342"/>
      <c r="ER285" s="342"/>
      <c r="ES285" s="342"/>
      <c r="ET285" s="342"/>
      <c r="EU285" s="475"/>
      <c r="EV285" s="475"/>
      <c r="EW285" s="342"/>
      <c r="EX285" s="342"/>
      <c r="EY285" s="342"/>
      <c r="EZ285" s="342"/>
      <c r="FA285" s="475"/>
      <c r="FB285" s="475"/>
      <c r="FC285" s="342"/>
      <c r="FD285" s="342"/>
      <c r="FE285" s="342"/>
      <c r="FF285" s="342"/>
      <c r="FG285" s="475"/>
      <c r="FH285" s="475"/>
      <c r="FI285" s="342"/>
      <c r="FJ285" s="342"/>
      <c r="FK285" s="342"/>
      <c r="FL285" s="342"/>
      <c r="FM285" s="475"/>
      <c r="FN285" s="27"/>
      <c r="FO285" s="27"/>
      <c r="FP285" s="27"/>
      <c r="FQ285" s="27"/>
      <c r="FR285"/>
      <c r="FS285"/>
      <c r="FT285"/>
      <c r="FU285"/>
      <c r="FV285"/>
      <c r="FW285"/>
      <c r="FX285" s="27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</row>
    <row r="286" spans="1:274" s="24" customFormat="1" ht="10.5" customHeight="1" collapsed="1" x14ac:dyDescent="0.2">
      <c r="A286" s="27"/>
      <c r="B286" s="20"/>
      <c r="C286" s="27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  <c r="AQ286" s="27"/>
      <c r="AR286" s="27"/>
      <c r="AS286" s="27"/>
      <c r="AT286" s="27"/>
      <c r="AU286" s="27"/>
      <c r="AV286" s="27"/>
      <c r="AW286" s="27"/>
      <c r="AX286" s="27"/>
      <c r="AY286" s="27"/>
      <c r="AZ286" s="27"/>
      <c r="BA286" s="27"/>
      <c r="BB286" s="27"/>
      <c r="BC286" s="27"/>
      <c r="BD286" s="27"/>
      <c r="BE286" s="27"/>
      <c r="BF286" s="27"/>
      <c r="BG286" s="27"/>
      <c r="BH286" s="27"/>
      <c r="BI286" s="27"/>
      <c r="BJ286" s="27"/>
      <c r="BK286" s="27"/>
      <c r="BL286" s="27"/>
      <c r="BM286" s="27"/>
      <c r="BN286" s="27"/>
      <c r="BO286" s="27"/>
      <c r="BP286" s="27"/>
      <c r="BQ286" s="27"/>
      <c r="BR286" s="27"/>
      <c r="BS286" s="27"/>
      <c r="BT286" s="27"/>
      <c r="BU286" s="27"/>
      <c r="BV286" s="27"/>
      <c r="BW286" s="27"/>
      <c r="BX286" s="27"/>
      <c r="BY286" s="27"/>
      <c r="BZ286" s="27"/>
      <c r="CA286" s="27"/>
      <c r="CB286" s="27"/>
      <c r="CC286" s="27"/>
      <c r="CD286" s="27"/>
      <c r="CE286" s="27"/>
      <c r="CF286" s="27"/>
      <c r="CG286" s="27"/>
      <c r="CH286" s="27"/>
      <c r="CI286" s="27"/>
      <c r="CJ286" s="27"/>
      <c r="CK286" s="27"/>
      <c r="CL286" s="27"/>
      <c r="CM286" s="27"/>
      <c r="CN286" s="27"/>
      <c r="CO286" s="27"/>
      <c r="CP286" s="27"/>
      <c r="CQ286" s="27"/>
      <c r="CR286" s="27"/>
      <c r="CS286" s="27"/>
      <c r="CT286" s="345"/>
      <c r="CU286" s="27"/>
      <c r="CV286" s="27"/>
      <c r="CW286" s="27"/>
      <c r="CX286" s="27"/>
      <c r="CY286" s="27"/>
      <c r="CZ286" s="345"/>
      <c r="DA286" s="27"/>
      <c r="DB286" s="27"/>
      <c r="DC286" s="27"/>
      <c r="DD286" s="27"/>
      <c r="DE286" s="345"/>
      <c r="DF286" s="345"/>
      <c r="DG286" s="27"/>
      <c r="DH286" s="27"/>
      <c r="DI286" s="27"/>
      <c r="DJ286" s="27"/>
      <c r="DK286" s="345"/>
      <c r="DL286" s="345"/>
      <c r="DM286" s="27"/>
      <c r="DN286" s="27"/>
      <c r="DO286" s="27"/>
      <c r="DP286" s="27"/>
      <c r="DQ286" s="345"/>
      <c r="DR286" s="345"/>
      <c r="DS286" s="27"/>
      <c r="DT286" s="27"/>
      <c r="DU286" s="27"/>
      <c r="DV286" s="27"/>
      <c r="DW286" s="345"/>
      <c r="DX286" s="345"/>
      <c r="DY286" s="27"/>
      <c r="DZ286" s="27"/>
      <c r="EA286" s="27"/>
      <c r="EB286" s="27"/>
      <c r="EC286" s="345"/>
      <c r="ED286" s="345"/>
      <c r="EE286" s="27"/>
      <c r="EF286" s="27"/>
      <c r="EG286" s="27"/>
      <c r="EH286" s="27"/>
      <c r="EI286" s="345"/>
      <c r="EJ286" s="345"/>
      <c r="EK286" s="27"/>
      <c r="EL286" s="27"/>
      <c r="EM286" s="27"/>
      <c r="EN286" s="27"/>
      <c r="EO286" s="345"/>
      <c r="EP286" s="345"/>
      <c r="EQ286" s="27"/>
      <c r="ER286" s="27"/>
      <c r="ES286" s="27"/>
      <c r="ET286" s="27"/>
      <c r="EU286" s="345"/>
      <c r="EV286" s="345"/>
      <c r="EW286" s="27"/>
      <c r="EX286" s="27"/>
      <c r="EY286" s="27"/>
      <c r="EZ286" s="27"/>
      <c r="FA286" s="345"/>
      <c r="FB286" s="345"/>
      <c r="FC286" s="27"/>
      <c r="FD286" s="27"/>
      <c r="FE286" s="27"/>
      <c r="FF286" s="27"/>
      <c r="FG286" s="345"/>
      <c r="FH286" s="345"/>
      <c r="FI286" s="27"/>
      <c r="FJ286" s="27"/>
      <c r="FK286" s="27"/>
      <c r="FL286" s="27"/>
      <c r="FM286" s="345"/>
      <c r="FN286" s="27"/>
      <c r="FO286" s="27"/>
      <c r="FP286" s="27"/>
      <c r="FQ286" s="27"/>
      <c r="FR286"/>
      <c r="FS286"/>
      <c r="FT286"/>
      <c r="FU286"/>
      <c r="FV286"/>
      <c r="FW286"/>
      <c r="FX286" s="27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</row>
    <row r="287" spans="1:274" s="24" customFormat="1" ht="20.25" x14ac:dyDescent="0.2">
      <c r="A287" s="999" t="s">
        <v>682</v>
      </c>
      <c r="B287" s="20"/>
      <c r="C287" s="999"/>
      <c r="D287" s="999"/>
      <c r="E287" s="999"/>
      <c r="F287" s="999"/>
      <c r="G287" s="999"/>
      <c r="H287" s="999"/>
      <c r="I287" s="999"/>
      <c r="J287" s="999"/>
      <c r="K287" s="999"/>
      <c r="L287" s="999"/>
      <c r="M287" s="999"/>
      <c r="N287" s="999"/>
      <c r="O287" s="999"/>
      <c r="P287" s="999"/>
      <c r="Q287" s="999"/>
      <c r="R287" s="999"/>
      <c r="S287" s="999"/>
      <c r="T287" s="999"/>
      <c r="U287" s="999"/>
      <c r="V287" s="999"/>
      <c r="W287" s="999"/>
      <c r="X287" s="999"/>
      <c r="Y287" s="999"/>
      <c r="Z287" s="999"/>
      <c r="AA287" s="999"/>
      <c r="AB287" s="999"/>
      <c r="AC287" s="999"/>
      <c r="AD287" s="999"/>
      <c r="AE287" s="999"/>
      <c r="AF287" s="999"/>
      <c r="AG287" s="999"/>
      <c r="AH287" s="999"/>
      <c r="AI287" s="999"/>
      <c r="AJ287" s="999"/>
      <c r="AK287" s="999"/>
      <c r="AL287" s="999"/>
      <c r="AM287" s="999"/>
      <c r="AN287" s="999"/>
      <c r="AO287" s="999"/>
      <c r="AP287" s="999"/>
      <c r="AQ287" s="999"/>
      <c r="AR287" s="999"/>
      <c r="AS287" s="999"/>
      <c r="AT287" s="999"/>
      <c r="AU287" s="999"/>
      <c r="AV287" s="999"/>
      <c r="AW287" s="999"/>
      <c r="AX287" s="999"/>
      <c r="AY287" s="999"/>
      <c r="AZ287" s="999"/>
      <c r="BA287" s="999"/>
      <c r="BB287" s="999"/>
      <c r="BC287" s="999"/>
      <c r="BD287" s="999"/>
      <c r="BE287" s="999"/>
      <c r="BF287" s="999"/>
      <c r="BG287" s="999"/>
      <c r="BH287" s="999"/>
      <c r="BI287" s="999"/>
      <c r="BJ287" s="999"/>
      <c r="BK287" s="999"/>
      <c r="BL287" s="999"/>
      <c r="BM287" s="999"/>
      <c r="BN287" s="999"/>
      <c r="BO287" s="999"/>
      <c r="BP287" s="999"/>
      <c r="BQ287" s="999"/>
      <c r="BR287" s="999"/>
      <c r="BS287" s="999"/>
      <c r="BT287" s="999"/>
      <c r="BU287" s="999"/>
      <c r="BV287" s="999"/>
      <c r="BW287" s="999"/>
      <c r="BX287" s="999"/>
      <c r="BY287" s="999"/>
      <c r="BZ287" s="999"/>
      <c r="CA287" s="999"/>
      <c r="CB287" s="999"/>
      <c r="CC287" s="999"/>
      <c r="CD287" s="999"/>
      <c r="CE287" s="999"/>
      <c r="CF287" s="999"/>
      <c r="CG287" s="999"/>
      <c r="CH287" s="999"/>
      <c r="CI287" s="999"/>
      <c r="CJ287" s="999"/>
      <c r="CK287" s="999"/>
      <c r="CL287" s="999"/>
      <c r="CM287" s="999"/>
      <c r="CN287" s="999"/>
      <c r="CO287" s="999"/>
      <c r="CP287" s="999"/>
      <c r="CQ287" s="999"/>
      <c r="CR287" s="999"/>
      <c r="CS287" s="999"/>
      <c r="CT287" s="1000"/>
      <c r="CU287" s="999"/>
      <c r="CV287" s="999"/>
      <c r="CW287" s="999"/>
      <c r="CX287" s="999"/>
      <c r="CY287" s="999"/>
      <c r="CZ287" s="1000"/>
      <c r="DA287" s="999"/>
      <c r="DB287" s="999"/>
      <c r="DC287" s="999"/>
      <c r="DD287" s="999"/>
      <c r="DE287" s="1000"/>
      <c r="DF287" s="1000"/>
      <c r="DG287" s="999"/>
      <c r="DH287" s="999"/>
      <c r="DI287" s="999"/>
      <c r="DJ287" s="999"/>
      <c r="DK287" s="1000"/>
      <c r="DL287" s="1000"/>
      <c r="DM287" s="999"/>
      <c r="DN287" s="999"/>
      <c r="DO287" s="999"/>
      <c r="DP287" s="999"/>
      <c r="DQ287" s="1000"/>
      <c r="DR287" s="1000"/>
      <c r="DS287" s="999"/>
      <c r="DT287" s="999"/>
      <c r="DU287" s="999"/>
      <c r="DV287" s="999"/>
      <c r="DW287" s="1000"/>
      <c r="DX287" s="1000"/>
      <c r="DY287" s="999"/>
      <c r="DZ287" s="999"/>
      <c r="EA287" s="999"/>
      <c r="EB287" s="999"/>
      <c r="EC287" s="1000"/>
      <c r="ED287" s="1000"/>
      <c r="EE287" s="999"/>
      <c r="EF287" s="999"/>
      <c r="EG287" s="999"/>
      <c r="EH287" s="999"/>
      <c r="EI287" s="1000"/>
      <c r="EJ287" s="1000"/>
      <c r="EK287" s="999"/>
      <c r="EL287" s="999"/>
      <c r="EM287" s="999"/>
      <c r="EN287" s="999"/>
      <c r="EO287" s="1000"/>
      <c r="EP287" s="1000"/>
      <c r="EQ287" s="999"/>
      <c r="ER287" s="999"/>
      <c r="ES287" s="999"/>
      <c r="ET287" s="999"/>
      <c r="EU287" s="1000"/>
      <c r="EV287" s="1000"/>
      <c r="EW287" s="999"/>
      <c r="EX287" s="999"/>
      <c r="EY287" s="999"/>
      <c r="EZ287" s="999"/>
      <c r="FA287" s="1000"/>
      <c r="FB287" s="1000"/>
      <c r="FC287" s="999"/>
      <c r="FD287" s="999"/>
      <c r="FE287" s="999"/>
      <c r="FF287" s="999"/>
      <c r="FG287" s="1000"/>
      <c r="FH287" s="1000"/>
      <c r="FI287" s="999"/>
      <c r="FJ287" s="999"/>
      <c r="FK287" s="999"/>
      <c r="FL287" s="999"/>
      <c r="FM287" s="1000"/>
      <c r="FN287" s="27"/>
      <c r="FO287" s="27"/>
      <c r="FP287" s="27"/>
      <c r="FQ287" s="27"/>
      <c r="FR287"/>
      <c r="FS287"/>
      <c r="FT287"/>
      <c r="FU287"/>
      <c r="FV287"/>
      <c r="FW287"/>
      <c r="FX287" s="2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</row>
    <row r="288" spans="1:274" s="24" customFormat="1" ht="10.5" hidden="1" customHeight="1" outlineLevel="1" x14ac:dyDescent="0.2">
      <c r="A288" s="32" t="s">
        <v>686</v>
      </c>
      <c r="B288" s="20"/>
      <c r="C288" s="27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  <c r="AQ288" s="27"/>
      <c r="AR288" s="27"/>
      <c r="AS288" s="27"/>
      <c r="AT288" s="27"/>
      <c r="AU288" s="27"/>
      <c r="AV288" s="27"/>
      <c r="AW288" s="27"/>
      <c r="AX288" s="27"/>
      <c r="AY288" s="27"/>
      <c r="AZ288" s="27"/>
      <c r="BA288" s="27"/>
      <c r="BB288" s="27"/>
      <c r="BC288" s="27"/>
      <c r="BD288" s="27"/>
      <c r="BE288" s="27"/>
      <c r="BF288" s="27"/>
      <c r="BG288" s="27"/>
      <c r="BH288" s="27"/>
      <c r="BI288" s="27"/>
      <c r="BJ288" s="27"/>
      <c r="BK288" s="27"/>
      <c r="BL288" s="27"/>
      <c r="BM288" s="27"/>
      <c r="BN288" s="27"/>
      <c r="BO288" s="27"/>
      <c r="BP288" s="27"/>
      <c r="BQ288" s="27"/>
      <c r="BR288" s="27"/>
      <c r="BS288" s="27"/>
      <c r="BT288" s="27"/>
      <c r="BU288" s="27"/>
      <c r="BV288" s="27"/>
      <c r="BW288" s="27"/>
      <c r="BX288" s="27"/>
      <c r="BY288" s="27"/>
      <c r="BZ288" s="27"/>
      <c r="CA288" s="27"/>
      <c r="CB288" s="27"/>
      <c r="CC288" s="27"/>
      <c r="CD288" s="27"/>
      <c r="CE288" s="27"/>
      <c r="CF288" s="27"/>
      <c r="CG288" s="27"/>
      <c r="CH288" s="27"/>
      <c r="CI288" s="27"/>
      <c r="CJ288" s="27"/>
      <c r="CK288" s="27"/>
      <c r="CL288" s="27"/>
      <c r="CM288" s="27"/>
      <c r="CN288" s="27"/>
      <c r="CO288" s="27"/>
      <c r="CP288" s="27"/>
      <c r="CQ288" s="27"/>
      <c r="CR288" s="27"/>
      <c r="CS288" s="27"/>
      <c r="CT288" s="345"/>
      <c r="CU288" s="27"/>
      <c r="CV288" s="27"/>
      <c r="CW288" s="27"/>
      <c r="CX288" s="27"/>
      <c r="CY288" s="27"/>
      <c r="CZ288" s="345"/>
      <c r="DA288" s="27"/>
      <c r="DB288" s="27"/>
      <c r="DC288" s="27"/>
      <c r="DD288" s="27"/>
      <c r="DE288" s="345"/>
      <c r="DF288" s="345"/>
      <c r="DG288" s="27"/>
      <c r="DH288" s="27"/>
      <c r="DI288" s="27"/>
      <c r="DJ288" s="27"/>
      <c r="DK288" s="345"/>
      <c r="DL288" s="345"/>
      <c r="DM288" s="27"/>
      <c r="DN288" s="27"/>
      <c r="DO288" s="27"/>
      <c r="DP288" s="27"/>
      <c r="DQ288" s="345"/>
      <c r="DR288" s="345"/>
      <c r="DS288" s="27"/>
      <c r="DT288" s="27"/>
      <c r="DU288" s="27"/>
      <c r="DV288" s="27"/>
      <c r="DW288" s="345"/>
      <c r="DX288" s="345"/>
      <c r="DY288" s="27"/>
      <c r="DZ288" s="27"/>
      <c r="EA288" s="27"/>
      <c r="EB288" s="27"/>
      <c r="EC288" s="345"/>
      <c r="ED288" s="345"/>
      <c r="EE288" s="27"/>
      <c r="EF288" s="27"/>
      <c r="EG288" s="27"/>
      <c r="EH288" s="27"/>
      <c r="EI288" s="345"/>
      <c r="EJ288" s="345"/>
      <c r="EK288" s="27"/>
      <c r="EL288" s="27"/>
      <c r="EM288" s="27"/>
      <c r="EN288" s="27"/>
      <c r="EO288" s="345"/>
      <c r="EP288" s="345"/>
      <c r="EQ288" s="27"/>
      <c r="ER288" s="27"/>
      <c r="ES288" s="27"/>
      <c r="ET288" s="27"/>
      <c r="EU288" s="345"/>
      <c r="EV288" s="345"/>
      <c r="EW288" s="27"/>
      <c r="EX288" s="27"/>
      <c r="EY288" s="27"/>
      <c r="EZ288" s="27"/>
      <c r="FA288" s="345"/>
      <c r="FB288" s="345"/>
      <c r="FC288" s="27"/>
      <c r="FD288" s="27"/>
      <c r="FE288" s="27"/>
      <c r="FF288" s="27"/>
      <c r="FG288" s="345"/>
      <c r="FH288" s="345"/>
      <c r="FI288" s="27"/>
      <c r="FJ288" s="27"/>
      <c r="FK288" s="27"/>
      <c r="FL288" s="27"/>
      <c r="FM288" s="345"/>
      <c r="FN288" s="27"/>
      <c r="FO288" s="27"/>
      <c r="FP288" s="27"/>
      <c r="FQ288" s="27"/>
      <c r="FR288"/>
      <c r="FS288"/>
      <c r="FT288"/>
      <c r="FU288"/>
      <c r="FV288"/>
      <c r="FW288"/>
      <c r="FX288" s="27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</row>
    <row r="289" spans="1:274" s="24" customFormat="1" ht="10.5" hidden="1" customHeight="1" outlineLevel="1" x14ac:dyDescent="0.2">
      <c r="A289" s="27" t="s">
        <v>687</v>
      </c>
      <c r="B289" s="20"/>
      <c r="C289" s="27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  <c r="AQ289" s="27"/>
      <c r="AR289" s="27"/>
      <c r="AS289" s="27"/>
      <c r="AT289" s="27"/>
      <c r="AU289" s="27"/>
      <c r="AV289" s="27"/>
      <c r="AW289" s="27"/>
      <c r="AX289" s="27"/>
      <c r="AY289" s="27"/>
      <c r="AZ289" s="27"/>
      <c r="BA289" s="27"/>
      <c r="BB289" s="49">
        <f>BC289</f>
        <v>0.16</v>
      </c>
      <c r="BC289" s="49">
        <v>0.16</v>
      </c>
      <c r="BD289" s="27"/>
      <c r="BE289" s="27"/>
      <c r="BF289" s="27"/>
      <c r="BG289" s="27"/>
      <c r="BH289" s="49">
        <f>BI289</f>
        <v>0.13</v>
      </c>
      <c r="BI289" s="49">
        <v>0.13</v>
      </c>
      <c r="BJ289" s="27"/>
      <c r="BK289" s="49">
        <v>0.14000000000000001</v>
      </c>
      <c r="BL289" s="49">
        <v>0.1</v>
      </c>
      <c r="BM289" s="49">
        <v>0.1</v>
      </c>
      <c r="BN289" s="49">
        <f>BO289</f>
        <v>0.11</v>
      </c>
      <c r="BO289" s="49">
        <v>0.11</v>
      </c>
      <c r="BP289" s="27"/>
      <c r="BQ289" s="49">
        <v>0.06</v>
      </c>
      <c r="BR289" s="49">
        <v>0.09</v>
      </c>
      <c r="BS289" s="49">
        <v>0.09</v>
      </c>
      <c r="BT289" s="49">
        <v>0.1</v>
      </c>
      <c r="BU289" s="49">
        <v>0.1</v>
      </c>
      <c r="BV289" s="27"/>
      <c r="BW289" s="49">
        <v>0.08</v>
      </c>
      <c r="BX289" s="49">
        <v>0.11</v>
      </c>
      <c r="BY289" s="49">
        <v>0.11</v>
      </c>
      <c r="BZ289" s="49">
        <v>0.11</v>
      </c>
      <c r="CA289" s="27"/>
      <c r="CB289" s="27"/>
      <c r="CC289" s="49">
        <v>0.08</v>
      </c>
      <c r="CD289" s="49">
        <v>0.09</v>
      </c>
      <c r="CE289" s="49">
        <v>0.09</v>
      </c>
      <c r="CF289" s="49">
        <v>0.13</v>
      </c>
      <c r="CG289" s="27"/>
      <c r="CH289" s="27"/>
      <c r="CI289" s="49">
        <v>0.11</v>
      </c>
      <c r="CJ289" s="49">
        <v>0.1</v>
      </c>
      <c r="CK289" s="49">
        <v>0.12</v>
      </c>
      <c r="CL289" s="49">
        <v>0.15</v>
      </c>
      <c r="CM289" s="27"/>
      <c r="CN289" s="27"/>
      <c r="CO289" s="27"/>
      <c r="CP289" s="27"/>
      <c r="CQ289" s="27"/>
      <c r="CR289" s="27"/>
      <c r="CS289" s="27"/>
      <c r="CT289" s="345"/>
      <c r="CU289" s="27"/>
      <c r="CV289" s="27"/>
      <c r="CW289" s="27"/>
      <c r="CX289" s="27"/>
      <c r="CY289" s="27"/>
      <c r="CZ289" s="345"/>
      <c r="DA289" s="27"/>
      <c r="DB289" s="27"/>
      <c r="DC289" s="27"/>
      <c r="DD289" s="27"/>
      <c r="DE289" s="345"/>
      <c r="DF289" s="345"/>
      <c r="DG289" s="27"/>
      <c r="DH289" s="27"/>
      <c r="DI289" s="27"/>
      <c r="DJ289" s="27"/>
      <c r="DK289" s="345"/>
      <c r="DL289" s="345"/>
      <c r="DM289" s="27"/>
      <c r="DN289" s="27"/>
      <c r="DO289" s="27"/>
      <c r="DP289" s="27"/>
      <c r="DQ289" s="345"/>
      <c r="DR289" s="345"/>
      <c r="DS289" s="27"/>
      <c r="DT289" s="27"/>
      <c r="DU289" s="27"/>
      <c r="DV289" s="27"/>
      <c r="DW289" s="345"/>
      <c r="DX289" s="345"/>
      <c r="DY289" s="27"/>
      <c r="DZ289" s="27"/>
      <c r="EA289" s="27"/>
      <c r="EB289" s="27"/>
      <c r="EC289" s="345"/>
      <c r="ED289" s="345"/>
      <c r="EE289" s="27"/>
      <c r="EF289" s="27"/>
      <c r="EG289" s="27"/>
      <c r="EH289" s="27"/>
      <c r="EI289" s="345"/>
      <c r="EJ289" s="345"/>
      <c r="EK289" s="27"/>
      <c r="EL289" s="27"/>
      <c r="EM289" s="27"/>
      <c r="EN289" s="27"/>
      <c r="EO289" s="345"/>
      <c r="EP289" s="345"/>
      <c r="EQ289" s="27"/>
      <c r="ER289" s="27"/>
      <c r="ES289" s="27"/>
      <c r="ET289" s="27"/>
      <c r="EU289" s="345"/>
      <c r="EV289" s="345"/>
      <c r="EW289" s="27"/>
      <c r="EX289" s="27"/>
      <c r="EY289" s="27"/>
      <c r="EZ289" s="27"/>
      <c r="FA289" s="345"/>
      <c r="FB289" s="345"/>
      <c r="FC289" s="27"/>
      <c r="FD289" s="27"/>
      <c r="FE289" s="27"/>
      <c r="FF289" s="27"/>
      <c r="FG289" s="345"/>
      <c r="FH289" s="345"/>
      <c r="FI289" s="27"/>
      <c r="FJ289" s="27"/>
      <c r="FK289" s="27"/>
      <c r="FL289" s="27"/>
      <c r="FM289" s="345"/>
      <c r="FN289" s="27"/>
      <c r="FO289" s="27"/>
      <c r="FP289" s="27"/>
      <c r="FQ289" s="27"/>
      <c r="FR289"/>
      <c r="FS289"/>
      <c r="FT289"/>
      <c r="FU289"/>
      <c r="FV289"/>
      <c r="FW289"/>
      <c r="FX289" s="27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</row>
    <row r="290" spans="1:274" s="24" customFormat="1" ht="10.5" hidden="1" customHeight="1" outlineLevel="1" x14ac:dyDescent="0.2">
      <c r="A290" s="27" t="s">
        <v>688</v>
      </c>
      <c r="B290" s="20"/>
      <c r="C290" s="27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  <c r="AQ290" s="27"/>
      <c r="AR290" s="27"/>
      <c r="AS290" s="27"/>
      <c r="AT290" s="27"/>
      <c r="AU290" s="27"/>
      <c r="AV290" s="27"/>
      <c r="AW290" s="27"/>
      <c r="AX290" s="27"/>
      <c r="AY290" s="27"/>
      <c r="AZ290" s="27"/>
      <c r="BA290" s="27"/>
      <c r="BB290" s="591">
        <f>(Model!AY14+Model!AZ14+Model!BA14+Model!BB14)*'Balance Sheet'!BB289</f>
        <v>733.42128000000002</v>
      </c>
      <c r="BC290" s="591">
        <f>BB290</f>
        <v>733.42128000000002</v>
      </c>
      <c r="BD290" s="27"/>
      <c r="BE290" s="27"/>
      <c r="BF290" s="27"/>
      <c r="BG290" s="27"/>
      <c r="BH290" s="591">
        <f>(Model!BE14+Model!BF14+Model!BG14+Model!BH14)*'Balance Sheet'!BH289</f>
        <v>447.38590000000005</v>
      </c>
      <c r="BI290" s="591">
        <f>BH290</f>
        <v>447.38590000000005</v>
      </c>
      <c r="BJ290" s="27"/>
      <c r="BK290" s="591">
        <f>Model!BK14*'Balance Sheet'!BK289</f>
        <v>78.820000000000007</v>
      </c>
      <c r="BL290" s="591">
        <f>(Model!BK14+Model!BL14)*'Balance Sheet'!BL289</f>
        <v>132.80000000000001</v>
      </c>
      <c r="BM290" s="591">
        <f>(Model!BK14+Model!BL14+Model!BM14)*'Balance Sheet'!BM289</f>
        <v>208.3</v>
      </c>
      <c r="BN290" s="591">
        <f>(Model!BK14+Model!BL14+Model!BM14+Model!BN14)*'Balance Sheet'!BN289</f>
        <v>359.7</v>
      </c>
      <c r="BO290" s="591">
        <f>BN290</f>
        <v>359.7</v>
      </c>
      <c r="BP290" s="27"/>
      <c r="BQ290" s="591">
        <f>Model!BQ14*'Balance Sheet'!BQ289</f>
        <v>31.5</v>
      </c>
      <c r="BR290" s="591">
        <v>121.1</v>
      </c>
      <c r="BS290" s="591">
        <f>(Model!BQ14+Model!BR14+Model!BS14)*'Balance Sheet'!BS289</f>
        <v>200.42999999999998</v>
      </c>
      <c r="BT290" s="591">
        <v>356.6</v>
      </c>
      <c r="BU290" s="27">
        <v>453.6</v>
      </c>
      <c r="BV290" s="27"/>
      <c r="BW290" s="27">
        <v>43.8</v>
      </c>
      <c r="BX290" s="27">
        <f>163.1</f>
        <v>163.1</v>
      </c>
      <c r="BY290" s="27">
        <v>235</v>
      </c>
      <c r="BZ290" s="27">
        <v>456</v>
      </c>
      <c r="CA290" s="27"/>
      <c r="CB290" s="27"/>
      <c r="CC290" s="27">
        <v>52.3</v>
      </c>
      <c r="CD290" s="27">
        <v>158.1</v>
      </c>
      <c r="CE290" s="27">
        <v>253</v>
      </c>
      <c r="CF290" s="27">
        <v>618</v>
      </c>
      <c r="CG290" s="27"/>
      <c r="CH290" s="27"/>
      <c r="CI290" s="27">
        <v>84</v>
      </c>
      <c r="CJ290" s="27">
        <v>207</v>
      </c>
      <c r="CK290" s="27">
        <v>402</v>
      </c>
      <c r="CL290" s="27">
        <v>891</v>
      </c>
      <c r="CM290" s="27"/>
      <c r="CN290" s="27"/>
      <c r="CO290" s="27"/>
      <c r="CP290" s="27"/>
      <c r="CQ290" s="27"/>
      <c r="CR290" s="27"/>
      <c r="CS290" s="27"/>
      <c r="CT290" s="345"/>
      <c r="CU290" s="27"/>
      <c r="CV290" s="27"/>
      <c r="CW290" s="27"/>
      <c r="CX290" s="27"/>
      <c r="CY290" s="27"/>
      <c r="CZ290" s="345"/>
      <c r="DA290" s="27"/>
      <c r="DB290" s="27"/>
      <c r="DC290" s="27"/>
      <c r="DD290" s="27"/>
      <c r="DE290" s="345"/>
      <c r="DF290" s="345"/>
      <c r="DG290" s="27"/>
      <c r="DH290" s="27"/>
      <c r="DI290" s="27"/>
      <c r="DJ290" s="27"/>
      <c r="DK290" s="345"/>
      <c r="DL290" s="345"/>
      <c r="DM290" s="27"/>
      <c r="DN290" s="27"/>
      <c r="DO290" s="27"/>
      <c r="DP290" s="27"/>
      <c r="DQ290" s="345"/>
      <c r="DR290" s="345"/>
      <c r="DS290" s="27"/>
      <c r="DT290" s="27"/>
      <c r="DU290" s="27"/>
      <c r="DV290" s="27"/>
      <c r="DW290" s="345"/>
      <c r="DX290" s="345"/>
      <c r="DY290" s="27"/>
      <c r="DZ290" s="27"/>
      <c r="EA290" s="27"/>
      <c r="EB290" s="27"/>
      <c r="EC290" s="345"/>
      <c r="ED290" s="345"/>
      <c r="EE290" s="27"/>
      <c r="EF290" s="27"/>
      <c r="EG290" s="27"/>
      <c r="EH290" s="27"/>
      <c r="EI290" s="345"/>
      <c r="EJ290" s="345"/>
      <c r="EK290" s="27"/>
      <c r="EL290" s="27"/>
      <c r="EM290" s="27"/>
      <c r="EN290" s="27"/>
      <c r="EO290" s="345"/>
      <c r="EP290" s="345"/>
      <c r="EQ290" s="27"/>
      <c r="ER290" s="27"/>
      <c r="ES290" s="27"/>
      <c r="ET290" s="27"/>
      <c r="EU290" s="345"/>
      <c r="EV290" s="345"/>
      <c r="EW290" s="27"/>
      <c r="EX290" s="27"/>
      <c r="EY290" s="27"/>
      <c r="EZ290" s="27"/>
      <c r="FA290" s="345"/>
      <c r="FB290" s="345"/>
      <c r="FC290" s="27"/>
      <c r="FD290" s="27"/>
      <c r="FE290" s="27"/>
      <c r="FF290" s="27"/>
      <c r="FG290" s="345"/>
      <c r="FH290" s="345"/>
      <c r="FI290" s="27"/>
      <c r="FJ290" s="27"/>
      <c r="FK290" s="27"/>
      <c r="FL290" s="27"/>
      <c r="FM290" s="345"/>
      <c r="FN290" s="27"/>
      <c r="FO290" s="27"/>
      <c r="FP290" s="27"/>
      <c r="FQ290" s="27"/>
      <c r="FR290"/>
      <c r="FS290"/>
      <c r="FT290"/>
      <c r="FU290"/>
      <c r="FV290"/>
      <c r="FW290"/>
      <c r="FX290" s="27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</row>
    <row r="291" spans="1:274" s="24" customFormat="1" ht="10.5" hidden="1" customHeight="1" outlineLevel="1" x14ac:dyDescent="0.2">
      <c r="A291" s="27" t="s">
        <v>689</v>
      </c>
      <c r="B291" s="20"/>
      <c r="C291" s="27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  <c r="AQ291" s="27"/>
      <c r="AR291" s="27"/>
      <c r="AS291" s="27"/>
      <c r="AT291" s="27"/>
      <c r="AU291" s="27"/>
      <c r="AV291" s="27"/>
      <c r="AW291" s="27"/>
      <c r="AX291" s="27"/>
      <c r="AY291" s="27"/>
      <c r="AZ291" s="27"/>
      <c r="BA291" s="27"/>
      <c r="BB291" s="27"/>
      <c r="BC291" s="27"/>
      <c r="BD291" s="27"/>
      <c r="BE291" s="27"/>
      <c r="BF291" s="27"/>
      <c r="BG291" s="27"/>
      <c r="BH291" s="27"/>
      <c r="BI291" s="27"/>
      <c r="BJ291" s="27"/>
      <c r="BK291" s="49">
        <f>BK289</f>
        <v>0.14000000000000001</v>
      </c>
      <c r="BL291" s="49">
        <f>BL292/Model!BL14</f>
        <v>7.0562091503267976E-2</v>
      </c>
      <c r="BM291" s="49">
        <f>BM292/Model!BM14</f>
        <v>9.9999999999999978E-2</v>
      </c>
      <c r="BN291" s="49">
        <f>BN292/Model!BN14</f>
        <v>0.12754844144903116</v>
      </c>
      <c r="BO291" s="27"/>
      <c r="BP291" s="27"/>
      <c r="BQ291" s="49">
        <f>BQ289</f>
        <v>0.06</v>
      </c>
      <c r="BR291" s="49">
        <f>BR292/Model!BR14</f>
        <v>0.1047953216374269</v>
      </c>
      <c r="BS291" s="49">
        <f>BS292/Model!BS14</f>
        <v>9.36599763872491E-2</v>
      </c>
      <c r="BT291" s="49">
        <f>BT292/Model!BT14</f>
        <v>0.14282343987823443</v>
      </c>
      <c r="BU291" s="27"/>
      <c r="BV291" s="27"/>
      <c r="BW291" s="49">
        <v>0.08</v>
      </c>
      <c r="BX291" s="49">
        <f>BX292/Model!BX14</f>
        <v>0.12286302780638517</v>
      </c>
      <c r="BY291" s="49">
        <f>BY292/Model!BY14</f>
        <v>7.5923970432946158E-2</v>
      </c>
      <c r="BZ291" s="49">
        <f>BZ292/Model!BZ14</f>
        <v>0.13735239279055314</v>
      </c>
      <c r="CA291" s="27"/>
      <c r="CB291" s="27"/>
      <c r="CC291" s="49">
        <v>0.08</v>
      </c>
      <c r="CD291" s="49">
        <f>CD292/Model!CD14</f>
        <v>9.9999999999999992E-2</v>
      </c>
      <c r="CE291" s="49">
        <f>CE292/Model!CE14</f>
        <v>8.6556001459321394E-2</v>
      </c>
      <c r="CF291" s="49">
        <f>CF292/Model!CF14</f>
        <v>0.17208863743517208</v>
      </c>
      <c r="CG291" s="27"/>
      <c r="CH291" s="27"/>
      <c r="CI291" s="49">
        <v>0.11</v>
      </c>
      <c r="CJ291" s="49">
        <f>CJ292/Model!CJ14</f>
        <v>0.10190555095277548</v>
      </c>
      <c r="CK291" s="49">
        <f>CK292/Model!CK14</f>
        <v>0.14028776978417265</v>
      </c>
      <c r="CL291" s="49">
        <f>CL292/Model!CL14</f>
        <v>0.19709794437726724</v>
      </c>
      <c r="CM291" s="27"/>
      <c r="CN291" s="27"/>
      <c r="CO291" s="27"/>
      <c r="CP291" s="27"/>
      <c r="CQ291" s="27"/>
      <c r="CR291" s="27"/>
      <c r="CS291" s="27"/>
      <c r="CT291" s="345"/>
      <c r="CU291" s="27"/>
      <c r="CV291" s="27"/>
      <c r="CW291" s="27"/>
      <c r="CX291" s="27"/>
      <c r="CY291" s="27"/>
      <c r="CZ291" s="345"/>
      <c r="DA291" s="27"/>
      <c r="DB291" s="27"/>
      <c r="DC291" s="27"/>
      <c r="DD291" s="27"/>
      <c r="DE291" s="345"/>
      <c r="DF291" s="345"/>
      <c r="DG291" s="27"/>
      <c r="DH291" s="27"/>
      <c r="DI291" s="27"/>
      <c r="DJ291" s="27"/>
      <c r="DK291" s="345"/>
      <c r="DL291" s="345"/>
      <c r="DM291" s="27"/>
      <c r="DN291" s="27"/>
      <c r="DO291" s="27"/>
      <c r="DP291" s="27"/>
      <c r="DQ291" s="345"/>
      <c r="DR291" s="345"/>
      <c r="DS291" s="27"/>
      <c r="DT291" s="27"/>
      <c r="DU291" s="27"/>
      <c r="DV291" s="27"/>
      <c r="DW291" s="345"/>
      <c r="DX291" s="345"/>
      <c r="DY291" s="27"/>
      <c r="DZ291" s="27"/>
      <c r="EA291" s="27"/>
      <c r="EB291" s="27"/>
      <c r="EC291" s="345"/>
      <c r="ED291" s="345"/>
      <c r="EE291" s="27"/>
      <c r="EF291" s="27"/>
      <c r="EG291" s="27"/>
      <c r="EH291" s="27"/>
      <c r="EI291" s="345"/>
      <c r="EJ291" s="345"/>
      <c r="EK291" s="27"/>
      <c r="EL291" s="27"/>
      <c r="EM291" s="27"/>
      <c r="EN291" s="27"/>
      <c r="EO291" s="345"/>
      <c r="EP291" s="345"/>
      <c r="EQ291" s="27"/>
      <c r="ER291" s="27"/>
      <c r="ES291" s="27"/>
      <c r="ET291" s="27"/>
      <c r="EU291" s="345"/>
      <c r="EV291" s="345"/>
      <c r="EW291" s="27"/>
      <c r="EX291" s="27"/>
      <c r="EY291" s="27"/>
      <c r="EZ291" s="27"/>
      <c r="FA291" s="345"/>
      <c r="FB291" s="345"/>
      <c r="FC291" s="27"/>
      <c r="FD291" s="27"/>
      <c r="FE291" s="27"/>
      <c r="FF291" s="27"/>
      <c r="FG291" s="345"/>
      <c r="FH291" s="345"/>
      <c r="FI291" s="27"/>
      <c r="FJ291" s="27"/>
      <c r="FK291" s="27"/>
      <c r="FL291" s="27"/>
      <c r="FM291" s="345"/>
      <c r="FN291" s="27"/>
      <c r="FO291" s="27"/>
      <c r="FP291" s="27"/>
      <c r="FQ291" s="27"/>
      <c r="FR291"/>
      <c r="FS291"/>
      <c r="FT291"/>
      <c r="FU291"/>
      <c r="FV291"/>
      <c r="FW291"/>
      <c r="FX291" s="27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</row>
    <row r="292" spans="1:274" s="24" customFormat="1" ht="10.5" hidden="1" customHeight="1" outlineLevel="1" x14ac:dyDescent="0.2">
      <c r="A292" s="27" t="s">
        <v>688</v>
      </c>
      <c r="B292" s="20"/>
      <c r="C292" s="27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  <c r="AQ292" s="27"/>
      <c r="AR292" s="27"/>
      <c r="AS292" s="27"/>
      <c r="AT292" s="27"/>
      <c r="AU292" s="27"/>
      <c r="AV292" s="27"/>
      <c r="AW292" s="27"/>
      <c r="AX292" s="27"/>
      <c r="AY292" s="27"/>
      <c r="AZ292" s="27"/>
      <c r="BA292" s="27"/>
      <c r="BB292" s="27"/>
      <c r="BC292" s="27"/>
      <c r="BD292" s="27"/>
      <c r="BE292" s="27"/>
      <c r="BF292" s="27"/>
      <c r="BG292" s="27"/>
      <c r="BH292" s="27"/>
      <c r="BI292" s="27"/>
      <c r="BJ292" s="27"/>
      <c r="BK292" s="591">
        <f>Model!BK14*'Balance Sheet'!BK289</f>
        <v>78.820000000000007</v>
      </c>
      <c r="BL292" s="591">
        <f>BL290-BK292</f>
        <v>53.980000000000004</v>
      </c>
      <c r="BM292" s="591">
        <f>BM290-BL292-BK292</f>
        <v>75.499999999999986</v>
      </c>
      <c r="BN292" s="591">
        <f>BN290-BM292-BL292-BK292</f>
        <v>151.39999999999998</v>
      </c>
      <c r="BO292" s="27"/>
      <c r="BP292" s="27"/>
      <c r="BQ292" s="27">
        <f>Model!BQ14*'Balance Sheet'!BQ289</f>
        <v>31.5</v>
      </c>
      <c r="BR292" s="591">
        <f>BR290-BQ292</f>
        <v>89.6</v>
      </c>
      <c r="BS292" s="591">
        <f>BS290-BR292-BQ292</f>
        <v>79.329999999999984</v>
      </c>
      <c r="BT292" s="591">
        <f>BT290-BS292-BR292</f>
        <v>187.67000000000004</v>
      </c>
      <c r="BU292" s="27"/>
      <c r="BV292" s="27"/>
      <c r="BW292" s="27">
        <v>43.8</v>
      </c>
      <c r="BX292" s="27">
        <f>163.1-BW292</f>
        <v>119.3</v>
      </c>
      <c r="BY292" s="591">
        <f>BY290-BX292-BW292</f>
        <v>71.900000000000006</v>
      </c>
      <c r="BZ292" s="27">
        <f>BZ290-BY292-BX292-BW292</f>
        <v>221</v>
      </c>
      <c r="CA292" s="27"/>
      <c r="CB292" s="27"/>
      <c r="CC292" s="27">
        <v>52.3</v>
      </c>
      <c r="CD292" s="27">
        <f>158.1-CC292</f>
        <v>105.8</v>
      </c>
      <c r="CE292" s="27">
        <f>CE290-CD292-CC292</f>
        <v>94.899999999999991</v>
      </c>
      <c r="CF292" s="27">
        <f>CF290-CE292-CD292-CC292</f>
        <v>365</v>
      </c>
      <c r="CG292" s="27"/>
      <c r="CH292" s="27"/>
      <c r="CI292" s="27">
        <v>84</v>
      </c>
      <c r="CJ292" s="27">
        <f>CJ290-CI292</f>
        <v>123</v>
      </c>
      <c r="CK292" s="27">
        <f>CK290-CJ292-CI292</f>
        <v>195</v>
      </c>
      <c r="CL292" s="27">
        <f>CL290-CK292-CJ292-CI292</f>
        <v>489</v>
      </c>
      <c r="CM292" s="27"/>
      <c r="CN292" s="27"/>
      <c r="CO292" s="27"/>
      <c r="CP292" s="27"/>
      <c r="CQ292" s="27"/>
      <c r="CR292" s="27"/>
      <c r="CS292" s="27"/>
      <c r="CT292" s="345"/>
      <c r="CU292" s="27"/>
      <c r="CV292" s="27"/>
      <c r="CW292" s="27"/>
      <c r="CX292" s="27"/>
      <c r="CY292" s="27"/>
      <c r="CZ292" s="345"/>
      <c r="DA292" s="27"/>
      <c r="DB292" s="27"/>
      <c r="DC292" s="27"/>
      <c r="DD292" s="27"/>
      <c r="DE292" s="345"/>
      <c r="DF292" s="345"/>
      <c r="DG292" s="27"/>
      <c r="DH292" s="27"/>
      <c r="DI292" s="27"/>
      <c r="DJ292" s="27"/>
      <c r="DK292" s="345"/>
      <c r="DL292" s="345"/>
      <c r="DM292" s="27"/>
      <c r="DN292" s="27"/>
      <c r="DO292" s="27"/>
      <c r="DP292" s="27"/>
      <c r="DQ292" s="345"/>
      <c r="DR292" s="345"/>
      <c r="DS292" s="27"/>
      <c r="DT292" s="27"/>
      <c r="DU292" s="27"/>
      <c r="DV292" s="27"/>
      <c r="DW292" s="345"/>
      <c r="DX292" s="345"/>
      <c r="DY292" s="27"/>
      <c r="DZ292" s="27"/>
      <c r="EA292" s="27"/>
      <c r="EB292" s="27"/>
      <c r="EC292" s="345"/>
      <c r="ED292" s="345"/>
      <c r="EE292" s="27"/>
      <c r="EF292" s="27"/>
      <c r="EG292" s="27"/>
      <c r="EH292" s="27"/>
      <c r="EI292" s="345"/>
      <c r="EJ292" s="345"/>
      <c r="EK292" s="27"/>
      <c r="EL292" s="27"/>
      <c r="EM292" s="27"/>
      <c r="EN292" s="27"/>
      <c r="EO292" s="345"/>
      <c r="EP292" s="345"/>
      <c r="EQ292" s="27"/>
      <c r="ER292" s="27"/>
      <c r="ES292" s="27"/>
      <c r="ET292" s="27"/>
      <c r="EU292" s="345"/>
      <c r="EV292" s="345"/>
      <c r="EW292" s="27"/>
      <c r="EX292" s="27"/>
      <c r="EY292" s="27"/>
      <c r="EZ292" s="27"/>
      <c r="FA292" s="345"/>
      <c r="FB292" s="345"/>
      <c r="FC292" s="27"/>
      <c r="FD292" s="27"/>
      <c r="FE292" s="27"/>
      <c r="FF292" s="27"/>
      <c r="FG292" s="345"/>
      <c r="FH292" s="345"/>
      <c r="FI292" s="27"/>
      <c r="FJ292" s="27"/>
      <c r="FK292" s="27"/>
      <c r="FL292" s="27"/>
      <c r="FM292" s="345"/>
      <c r="FN292" s="27"/>
      <c r="FO292" s="27"/>
      <c r="FP292" s="27"/>
      <c r="FQ292" s="27"/>
      <c r="FR292"/>
      <c r="FS292"/>
      <c r="FT292"/>
      <c r="FU292"/>
      <c r="FV292"/>
      <c r="FW292"/>
      <c r="FX292" s="27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</row>
    <row r="293" spans="1:274" s="24" customFormat="1" ht="10.5" hidden="1" customHeight="1" outlineLevel="1" x14ac:dyDescent="0.2">
      <c r="A293" s="27"/>
      <c r="B293" s="20"/>
      <c r="C293" s="27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8"/>
      <c r="O293" s="27"/>
      <c r="P293" s="27"/>
      <c r="Q293" s="27"/>
      <c r="R293" s="27"/>
      <c r="S293" s="27"/>
      <c r="T293" s="28"/>
      <c r="U293" s="27"/>
      <c r="V293" s="27"/>
      <c r="W293" s="27"/>
      <c r="X293" s="27"/>
      <c r="Y293" s="27"/>
      <c r="Z293" s="28"/>
      <c r="AA293" s="27"/>
      <c r="AB293" s="27"/>
      <c r="AC293" s="27"/>
      <c r="AD293" s="27"/>
      <c r="AE293" s="27"/>
      <c r="AF293" s="28"/>
      <c r="AG293" s="27"/>
      <c r="AH293" s="27"/>
      <c r="AI293" s="27"/>
      <c r="AJ293" s="27"/>
      <c r="AK293" s="27"/>
      <c r="AL293" s="28"/>
      <c r="AM293" s="27"/>
      <c r="AN293" s="27"/>
      <c r="AO293" s="27"/>
      <c r="AP293" s="27"/>
      <c r="AQ293" s="27"/>
      <c r="AR293" s="28"/>
      <c r="AS293" s="27"/>
      <c r="AT293" s="27"/>
      <c r="AU293" s="27"/>
      <c r="AV293" s="27"/>
      <c r="AW293" s="27"/>
      <c r="AX293" s="28"/>
      <c r="AY293" s="27"/>
      <c r="AZ293" s="27"/>
      <c r="BA293" s="27"/>
      <c r="BB293" s="27"/>
      <c r="BC293" s="27"/>
      <c r="BD293" s="28"/>
      <c r="BE293" s="27"/>
      <c r="BF293" s="27"/>
      <c r="BG293" s="27"/>
      <c r="BH293" s="27"/>
      <c r="BI293" s="27"/>
      <c r="BJ293" s="28"/>
      <c r="BK293" s="27"/>
      <c r="BL293" s="27"/>
      <c r="BM293" s="27"/>
      <c r="BN293" s="27"/>
      <c r="BO293" s="27"/>
      <c r="BP293" s="28"/>
      <c r="BQ293" s="27"/>
      <c r="BR293" s="27"/>
      <c r="BS293" s="27"/>
      <c r="BT293" s="27"/>
      <c r="BU293" s="27"/>
      <c r="BV293" s="28"/>
      <c r="BW293" s="27"/>
      <c r="BX293" s="27"/>
      <c r="BY293" s="27"/>
      <c r="BZ293" s="27"/>
      <c r="CA293" s="27"/>
      <c r="CB293" s="28"/>
      <c r="CC293" s="27"/>
      <c r="CD293" s="27"/>
      <c r="CE293" s="27"/>
      <c r="CF293" s="27"/>
      <c r="CG293" s="27"/>
      <c r="CH293" s="28"/>
      <c r="CI293" s="27"/>
      <c r="CJ293" s="27"/>
      <c r="CK293" s="27"/>
      <c r="CL293" s="27"/>
      <c r="CM293" s="27"/>
      <c r="CN293" s="28"/>
      <c r="CO293" s="27"/>
      <c r="CP293" s="27"/>
      <c r="CQ293" s="27"/>
      <c r="CR293" s="27"/>
      <c r="CS293" s="27"/>
      <c r="CT293" s="28"/>
      <c r="CU293" s="27"/>
      <c r="CV293" s="27"/>
      <c r="CW293" s="27"/>
      <c r="CX293" s="27"/>
      <c r="CY293" s="27"/>
      <c r="CZ293" s="28"/>
      <c r="DA293" s="27"/>
      <c r="DB293" s="27"/>
      <c r="DC293" s="27"/>
      <c r="DD293" s="27"/>
      <c r="DE293" s="345"/>
      <c r="DF293" s="28"/>
      <c r="DG293" s="27"/>
      <c r="DH293" s="27"/>
      <c r="DI293" s="27"/>
      <c r="DJ293" s="27"/>
      <c r="DK293" s="345"/>
      <c r="DL293" s="28"/>
      <c r="DM293" s="27"/>
      <c r="DN293" s="27"/>
      <c r="DO293" s="27"/>
      <c r="DP293" s="27"/>
      <c r="DQ293" s="345"/>
      <c r="DR293" s="28"/>
      <c r="DS293" s="27"/>
      <c r="DT293" s="27"/>
      <c r="DU293" s="27"/>
      <c r="DV293" s="27"/>
      <c r="DW293" s="345"/>
      <c r="DX293" s="28"/>
      <c r="DY293" s="27"/>
      <c r="DZ293" s="27"/>
      <c r="EA293" s="27"/>
      <c r="EB293" s="27"/>
      <c r="EC293" s="345"/>
      <c r="ED293" s="28"/>
      <c r="EE293" s="27"/>
      <c r="EF293" s="27"/>
      <c r="EG293" s="27"/>
      <c r="EH293" s="27"/>
      <c r="EI293" s="345"/>
      <c r="EJ293" s="28"/>
      <c r="EK293" s="27"/>
      <c r="EL293" s="27"/>
      <c r="EM293" s="27"/>
      <c r="EN293" s="27"/>
      <c r="EO293" s="345"/>
      <c r="EP293" s="28"/>
      <c r="EQ293" s="27"/>
      <c r="ER293" s="27"/>
      <c r="ES293" s="27"/>
      <c r="ET293" s="27"/>
      <c r="EU293" s="345"/>
      <c r="EV293" s="28"/>
      <c r="EW293" s="27"/>
      <c r="EX293" s="27"/>
      <c r="EY293" s="27"/>
      <c r="EZ293" s="27"/>
      <c r="FA293" s="345"/>
      <c r="FB293" s="28"/>
      <c r="FC293" s="27"/>
      <c r="FD293" s="27"/>
      <c r="FE293" s="27"/>
      <c r="FF293" s="27"/>
      <c r="FG293" s="345"/>
      <c r="FH293" s="28"/>
      <c r="FI293" s="27"/>
      <c r="FJ293" s="27"/>
      <c r="FK293" s="27"/>
      <c r="FL293" s="27"/>
      <c r="FM293" s="345"/>
      <c r="FN293" s="27"/>
      <c r="FO293" s="27"/>
      <c r="FP293" s="27"/>
      <c r="FQ293" s="27"/>
      <c r="FR293"/>
      <c r="FS293"/>
      <c r="FT293"/>
      <c r="FU293"/>
      <c r="FV293"/>
      <c r="FW293"/>
      <c r="FX293" s="27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</row>
    <row r="294" spans="1:274" s="24" customFormat="1" ht="10.5" hidden="1" customHeight="1" outlineLevel="1" x14ac:dyDescent="0.2">
      <c r="A294" s="27"/>
      <c r="B294" s="20"/>
      <c r="C294" s="27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32"/>
      <c r="O294" s="27"/>
      <c r="P294" s="27"/>
      <c r="Q294" s="27"/>
      <c r="R294" s="27"/>
      <c r="S294" s="27"/>
      <c r="T294" s="32"/>
      <c r="U294" s="27"/>
      <c r="V294" s="27"/>
      <c r="W294" s="27"/>
      <c r="X294" s="27"/>
      <c r="Y294" s="27"/>
      <c r="Z294" s="32"/>
      <c r="AA294" s="27"/>
      <c r="AB294" s="27"/>
      <c r="AC294" s="27"/>
      <c r="AD294" s="27"/>
      <c r="AE294" s="27"/>
      <c r="AF294" s="32"/>
      <c r="AG294" s="27"/>
      <c r="AH294" s="27"/>
      <c r="AI294" s="27"/>
      <c r="AJ294" s="27"/>
      <c r="AK294" s="27"/>
      <c r="AL294" s="32"/>
      <c r="AM294" s="27"/>
      <c r="AN294" s="27"/>
      <c r="AO294" s="27"/>
      <c r="AP294" s="27"/>
      <c r="AQ294" s="27"/>
      <c r="AR294" s="32"/>
      <c r="AS294" s="27"/>
      <c r="AT294" s="27"/>
      <c r="AU294" s="27"/>
      <c r="AV294" s="27"/>
      <c r="AW294" s="27"/>
      <c r="AX294" s="32"/>
      <c r="AY294" s="27"/>
      <c r="AZ294" s="27"/>
      <c r="BA294" s="27"/>
      <c r="BB294" s="27"/>
      <c r="BC294" s="27"/>
      <c r="BD294" s="32"/>
      <c r="BE294" s="27"/>
      <c r="BF294" s="27"/>
      <c r="BG294" s="27"/>
      <c r="BH294" s="27"/>
      <c r="BI294" s="27"/>
      <c r="BJ294" s="32"/>
      <c r="BK294" s="27"/>
      <c r="BL294" s="27"/>
      <c r="BM294" s="27"/>
      <c r="BN294" s="27"/>
      <c r="BO294" s="27"/>
      <c r="BP294" s="27"/>
      <c r="BQ294" s="27"/>
      <c r="BR294" s="27"/>
      <c r="BS294" s="27"/>
      <c r="BT294" s="27"/>
      <c r="BU294" s="27"/>
      <c r="BV294" s="32"/>
      <c r="BW294" s="27"/>
      <c r="BX294" s="27"/>
      <c r="BY294" s="27"/>
      <c r="BZ294" s="27"/>
      <c r="CA294" s="27"/>
      <c r="CB294" s="32"/>
      <c r="CC294" s="27"/>
      <c r="CD294" s="27"/>
      <c r="CE294" s="27"/>
      <c r="CF294" s="27"/>
      <c r="CG294" s="27"/>
      <c r="CH294" s="32"/>
      <c r="CI294" s="27"/>
      <c r="CJ294" s="27"/>
      <c r="CK294" s="27"/>
      <c r="CL294" s="27"/>
      <c r="CM294" s="27"/>
      <c r="CN294" s="32"/>
      <c r="CO294" s="27"/>
      <c r="CP294" s="27"/>
      <c r="CQ294" s="27"/>
      <c r="CR294" s="27"/>
      <c r="CS294" s="27"/>
      <c r="CT294" s="100"/>
      <c r="CU294" s="27"/>
      <c r="CV294" s="27"/>
      <c r="CW294" s="27"/>
      <c r="CX294" s="27"/>
      <c r="CY294" s="27"/>
      <c r="CZ294" s="100"/>
      <c r="DA294" s="27"/>
      <c r="DB294" s="27"/>
      <c r="DC294" s="27"/>
      <c r="DD294" s="27"/>
      <c r="DE294" s="345"/>
      <c r="DF294" s="100"/>
      <c r="DG294" s="27"/>
      <c r="DH294" s="27"/>
      <c r="DI294" s="27"/>
      <c r="DJ294" s="27"/>
      <c r="DK294" s="345"/>
      <c r="DL294" s="100"/>
      <c r="DM294" s="27"/>
      <c r="DN294" s="27"/>
      <c r="DO294" s="27"/>
      <c r="DP294" s="27"/>
      <c r="DQ294" s="345"/>
      <c r="DR294" s="100"/>
      <c r="DS294" s="27"/>
      <c r="DT294" s="27"/>
      <c r="DU294" s="27"/>
      <c r="DV294" s="27"/>
      <c r="DW294" s="345"/>
      <c r="DX294" s="100"/>
      <c r="DY294" s="27"/>
      <c r="DZ294" s="27"/>
      <c r="EA294" s="27"/>
      <c r="EB294" s="27"/>
      <c r="EC294" s="345"/>
      <c r="ED294" s="100"/>
      <c r="EE294" s="27"/>
      <c r="EF294" s="27"/>
      <c r="EG294" s="27"/>
      <c r="EH294" s="27"/>
      <c r="EI294" s="345"/>
      <c r="EJ294" s="100"/>
      <c r="EK294" s="27"/>
      <c r="EL294" s="27"/>
      <c r="EM294" s="27"/>
      <c r="EN294" s="27"/>
      <c r="EO294" s="345"/>
      <c r="EP294" s="100"/>
      <c r="EQ294" s="27"/>
      <c r="ER294" s="27"/>
      <c r="ES294" s="27"/>
      <c r="ET294" s="27"/>
      <c r="EU294" s="345"/>
      <c r="EV294" s="100"/>
      <c r="EW294" s="27"/>
      <c r="EX294" s="27"/>
      <c r="EY294" s="27"/>
      <c r="EZ294" s="27"/>
      <c r="FA294" s="345"/>
      <c r="FB294" s="100"/>
      <c r="FC294" s="27"/>
      <c r="FD294" s="27"/>
      <c r="FE294" s="27"/>
      <c r="FF294" s="27"/>
      <c r="FG294" s="345"/>
      <c r="FH294" s="100"/>
      <c r="FI294" s="27"/>
      <c r="FJ294" s="27"/>
      <c r="FK294" s="27"/>
      <c r="FL294" s="27"/>
      <c r="FM294" s="345"/>
      <c r="FN294" s="27"/>
      <c r="FO294" s="27"/>
      <c r="FP294" s="27"/>
      <c r="FQ294" s="27"/>
      <c r="FR294"/>
      <c r="FS294"/>
      <c r="FT294"/>
      <c r="FU294"/>
      <c r="FV294"/>
      <c r="FW294"/>
      <c r="FX294" s="27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</row>
    <row r="295" spans="1:274" s="24" customFormat="1" ht="10.5" hidden="1" customHeight="1" outlineLevel="1" x14ac:dyDescent="0.2">
      <c r="A295" s="353" t="s">
        <v>690</v>
      </c>
      <c r="B295" s="20"/>
      <c r="C295" s="27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  <c r="AQ295" s="27"/>
      <c r="AR295" s="27"/>
      <c r="AS295" s="27"/>
      <c r="AT295" s="27"/>
      <c r="AU295" s="27"/>
      <c r="AV295" s="27"/>
      <c r="AW295" s="27"/>
      <c r="AX295" s="27"/>
      <c r="AY295" s="27"/>
      <c r="AZ295" s="27"/>
      <c r="BA295" s="27"/>
      <c r="BB295" s="27"/>
      <c r="BC295" s="27"/>
      <c r="BD295" s="27"/>
      <c r="BE295" s="27"/>
      <c r="BF295" s="27"/>
      <c r="BG295" s="27"/>
      <c r="BH295" s="27"/>
      <c r="BI295" s="177">
        <f>SUM(BI297:BI304)</f>
        <v>1769</v>
      </c>
      <c r="BJ295" s="27"/>
      <c r="BK295" s="27"/>
      <c r="BL295" s="27"/>
      <c r="BM295" s="27"/>
      <c r="BN295" s="27"/>
      <c r="BO295" s="177">
        <v>2557</v>
      </c>
      <c r="BP295" s="27"/>
      <c r="BQ295" s="177">
        <v>2822</v>
      </c>
      <c r="BR295" s="177">
        <v>3053</v>
      </c>
      <c r="BS295" s="177">
        <v>3591</v>
      </c>
      <c r="BT295" s="177">
        <v>3073</v>
      </c>
      <c r="BU295" s="27"/>
      <c r="BV295" s="27"/>
      <c r="BW295" s="177">
        <v>3214</v>
      </c>
      <c r="BX295" s="177">
        <f>SUM(BX297:BX304)</f>
        <v>2469</v>
      </c>
      <c r="BY295" s="27"/>
      <c r="BZ295" s="177">
        <f>SUM(BZ297:BZ304)</f>
        <v>2849</v>
      </c>
      <c r="CA295" s="27"/>
      <c r="CB295" s="27"/>
      <c r="CC295" s="27"/>
      <c r="CD295" s="27"/>
      <c r="CE295" s="27"/>
      <c r="CF295" s="27"/>
      <c r="CG295" s="27"/>
      <c r="CH295" s="27"/>
      <c r="CI295" s="27"/>
      <c r="CJ295" s="27"/>
      <c r="CK295" s="27"/>
      <c r="CL295" s="27"/>
      <c r="CM295" s="27"/>
      <c r="CN295" s="27"/>
      <c r="CO295" s="27"/>
      <c r="CP295" s="27"/>
      <c r="CQ295" s="27"/>
      <c r="CR295" s="27"/>
      <c r="CS295" s="27"/>
      <c r="CT295" s="345"/>
      <c r="CU295" s="27"/>
      <c r="CV295" s="27"/>
      <c r="CW295" s="27"/>
      <c r="CX295" s="27"/>
      <c r="CY295" s="27"/>
      <c r="CZ295" s="345"/>
      <c r="DA295" s="27"/>
      <c r="DB295" s="27"/>
      <c r="DC295" s="27"/>
      <c r="DD295" s="27"/>
      <c r="DE295" s="345"/>
      <c r="DF295" s="345"/>
      <c r="DG295" s="27"/>
      <c r="DH295" s="27"/>
      <c r="DI295" s="27"/>
      <c r="DJ295" s="27"/>
      <c r="DK295" s="345"/>
      <c r="DL295" s="345"/>
      <c r="DM295" s="27"/>
      <c r="DN295" s="27"/>
      <c r="DO295" s="27"/>
      <c r="DP295" s="27"/>
      <c r="DQ295" s="345"/>
      <c r="DR295" s="345"/>
      <c r="DS295" s="27"/>
      <c r="DT295" s="27"/>
      <c r="DU295" s="27"/>
      <c r="DV295" s="27"/>
      <c r="DW295" s="345"/>
      <c r="DX295" s="345"/>
      <c r="DY295" s="27"/>
      <c r="DZ295" s="27"/>
      <c r="EA295" s="27"/>
      <c r="EB295" s="27"/>
      <c r="EC295" s="345"/>
      <c r="ED295" s="345"/>
      <c r="EE295" s="27"/>
      <c r="EF295" s="27"/>
      <c r="EG295" s="27"/>
      <c r="EH295" s="27"/>
      <c r="EI295" s="345"/>
      <c r="EJ295" s="345"/>
      <c r="EK295" s="27"/>
      <c r="EL295" s="27"/>
      <c r="EM295" s="27"/>
      <c r="EN295" s="27"/>
      <c r="EO295" s="345"/>
      <c r="EP295" s="345"/>
      <c r="EQ295" s="27"/>
      <c r="ER295" s="27"/>
      <c r="ES295" s="27"/>
      <c r="ET295" s="27"/>
      <c r="EU295" s="345"/>
      <c r="EV295" s="345"/>
      <c r="EW295" s="27"/>
      <c r="EX295" s="27"/>
      <c r="EY295" s="27"/>
      <c r="EZ295" s="27"/>
      <c r="FA295" s="345"/>
      <c r="FB295" s="345"/>
      <c r="FC295" s="27"/>
      <c r="FD295" s="27"/>
      <c r="FE295" s="27"/>
      <c r="FF295" s="27"/>
      <c r="FG295" s="345"/>
      <c r="FH295" s="345"/>
      <c r="FI295" s="27"/>
      <c r="FJ295" s="27"/>
      <c r="FK295" s="27"/>
      <c r="FL295" s="27"/>
      <c r="FM295" s="345"/>
      <c r="FN295" s="27"/>
      <c r="FO295" s="27"/>
      <c r="FP295" s="27"/>
      <c r="FQ295" s="27"/>
      <c r="FR295"/>
      <c r="FS295"/>
      <c r="FT295"/>
      <c r="FU295"/>
      <c r="FV295"/>
      <c r="FW295"/>
      <c r="FX295" s="27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</row>
    <row r="296" spans="1:274" s="24" customFormat="1" ht="10.5" hidden="1" customHeight="1" outlineLevel="1" x14ac:dyDescent="0.2">
      <c r="A296" s="19" t="s">
        <v>691</v>
      </c>
      <c r="B296" s="20"/>
      <c r="C296" s="27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  <c r="AQ296" s="27"/>
      <c r="AR296" s="27"/>
      <c r="AS296" s="27"/>
      <c r="AT296" s="27"/>
      <c r="AU296" s="27"/>
      <c r="AV296" s="27"/>
      <c r="AW296" s="27"/>
      <c r="AX296" s="27"/>
      <c r="AY296" s="27"/>
      <c r="AZ296" s="27"/>
      <c r="BA296" s="27"/>
      <c r="BB296" s="27"/>
      <c r="BC296" s="27"/>
      <c r="BD296" s="27"/>
      <c r="BE296" s="27"/>
      <c r="BF296" s="27"/>
      <c r="BG296" s="27"/>
      <c r="BH296" s="27"/>
      <c r="BI296" s="315">
        <f>BI295/(BI8+BI9)</f>
        <v>0.30285909946926898</v>
      </c>
      <c r="BJ296" s="27"/>
      <c r="BK296" s="27"/>
      <c r="BL296" s="27"/>
      <c r="BM296" s="27"/>
      <c r="BN296" s="27"/>
      <c r="BO296" s="315">
        <f>BO295/(BO8+BO9)</f>
        <v>0.39223807332412947</v>
      </c>
      <c r="BP296" s="433"/>
      <c r="BQ296" s="315">
        <f>BQ295/(BQ8+BQ9)</f>
        <v>0.38114532685035118</v>
      </c>
      <c r="BR296" s="315">
        <f>BR295/(BR8+BR9)</f>
        <v>0.37812732226901163</v>
      </c>
      <c r="BS296" s="315">
        <f>BS295/(BS8+BS9)</f>
        <v>0.44786729857819907</v>
      </c>
      <c r="BT296" s="315">
        <f>BT295/(BT8+BT9)</f>
        <v>0.35786654244788635</v>
      </c>
      <c r="BU296" s="27"/>
      <c r="BV296" s="27"/>
      <c r="BW296" s="315">
        <f>BW295/(BW8+BW9)</f>
        <v>0.34027845831116682</v>
      </c>
      <c r="BX296" s="315">
        <f>BX295/(BX8+BX9)</f>
        <v>0.26165748198389149</v>
      </c>
      <c r="BY296" s="27"/>
      <c r="BZ296" s="315">
        <f>BZ295/(BZ8+BZ9)</f>
        <v>0.5971494445608887</v>
      </c>
      <c r="CA296" s="27"/>
      <c r="CB296" s="27"/>
      <c r="CC296" s="27"/>
      <c r="CD296" s="27"/>
      <c r="CE296" s="27"/>
      <c r="CF296" s="27"/>
      <c r="CG296" s="27"/>
      <c r="CH296" s="27"/>
      <c r="CI296" s="27"/>
      <c r="CJ296" s="27"/>
      <c r="CK296" s="27"/>
      <c r="CL296" s="27"/>
      <c r="CM296" s="27"/>
      <c r="CN296" s="27"/>
      <c r="CO296" s="27"/>
      <c r="CP296" s="27"/>
      <c r="CQ296" s="27"/>
      <c r="CR296" s="27"/>
      <c r="CS296" s="27"/>
      <c r="CT296" s="345"/>
      <c r="CU296" s="27"/>
      <c r="CV296" s="27"/>
      <c r="CW296" s="27"/>
      <c r="CX296" s="27"/>
      <c r="CY296" s="27"/>
      <c r="CZ296" s="345"/>
      <c r="DA296" s="27"/>
      <c r="DB296" s="27"/>
      <c r="DC296" s="27"/>
      <c r="DD296" s="27"/>
      <c r="DE296" s="345"/>
      <c r="DF296" s="345"/>
      <c r="DG296" s="27"/>
      <c r="DH296" s="27"/>
      <c r="DI296" s="27"/>
      <c r="DJ296" s="27"/>
      <c r="DK296" s="345"/>
      <c r="DL296" s="345"/>
      <c r="DM296" s="27"/>
      <c r="DN296" s="27"/>
      <c r="DO296" s="27"/>
      <c r="DP296" s="27"/>
      <c r="DQ296" s="345"/>
      <c r="DR296" s="345"/>
      <c r="DS296" s="27"/>
      <c r="DT296" s="27"/>
      <c r="DU296" s="27"/>
      <c r="DV296" s="27"/>
      <c r="DW296" s="345"/>
      <c r="DX296" s="345"/>
      <c r="DY296" s="27"/>
      <c r="DZ296" s="27"/>
      <c r="EA296" s="27"/>
      <c r="EB296" s="27"/>
      <c r="EC296" s="345"/>
      <c r="ED296" s="345"/>
      <c r="EE296" s="27"/>
      <c r="EF296" s="27"/>
      <c r="EG296" s="27"/>
      <c r="EH296" s="27"/>
      <c r="EI296" s="345"/>
      <c r="EJ296" s="345"/>
      <c r="EK296" s="27"/>
      <c r="EL296" s="27"/>
      <c r="EM296" s="27"/>
      <c r="EN296" s="27"/>
      <c r="EO296" s="345"/>
      <c r="EP296" s="345"/>
      <c r="EQ296" s="27"/>
      <c r="ER296" s="27"/>
      <c r="ES296" s="27"/>
      <c r="ET296" s="27"/>
      <c r="EU296" s="345"/>
      <c r="EV296" s="345"/>
      <c r="EW296" s="27"/>
      <c r="EX296" s="27"/>
      <c r="EY296" s="27"/>
      <c r="EZ296" s="27"/>
      <c r="FA296" s="345"/>
      <c r="FB296" s="345"/>
      <c r="FC296" s="27"/>
      <c r="FD296" s="27"/>
      <c r="FE296" s="27"/>
      <c r="FF296" s="27"/>
      <c r="FG296" s="345"/>
      <c r="FH296" s="345"/>
      <c r="FI296" s="27"/>
      <c r="FJ296" s="27"/>
      <c r="FK296" s="27"/>
      <c r="FL296" s="27"/>
      <c r="FM296" s="345"/>
      <c r="FN296" s="27"/>
      <c r="FO296" s="27"/>
      <c r="FP296" s="27"/>
      <c r="FQ296" s="27"/>
      <c r="FR296"/>
      <c r="FS296"/>
      <c r="FT296"/>
      <c r="FU296"/>
      <c r="FV296"/>
      <c r="FW296"/>
      <c r="FX296" s="27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</row>
    <row r="297" spans="1:274" s="24" customFormat="1" ht="10.5" hidden="1" customHeight="1" outlineLevel="1" x14ac:dyDescent="0.2">
      <c r="A297" s="342" t="s">
        <v>833</v>
      </c>
      <c r="B297" s="20"/>
      <c r="C297" s="27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  <c r="AQ297" s="27"/>
      <c r="AR297" s="27"/>
      <c r="AS297" s="27"/>
      <c r="AT297" s="27"/>
      <c r="AU297" s="27"/>
      <c r="AV297" s="27"/>
      <c r="AW297" s="27"/>
      <c r="AX297" s="27"/>
      <c r="AY297" s="27"/>
      <c r="AZ297" s="27"/>
      <c r="BA297" s="27"/>
      <c r="BB297" s="27"/>
      <c r="BC297" s="27"/>
      <c r="BD297" s="27"/>
      <c r="BE297" s="27"/>
      <c r="BF297" s="27"/>
      <c r="BG297" s="27"/>
      <c r="BH297" s="27"/>
      <c r="BI297" s="27">
        <v>649</v>
      </c>
      <c r="BJ297" s="27"/>
      <c r="BK297" s="27"/>
      <c r="BL297" s="27"/>
      <c r="BM297" s="27"/>
      <c r="BN297" s="27"/>
      <c r="BO297" s="67">
        <v>722</v>
      </c>
      <c r="BP297" s="27"/>
      <c r="BQ297" s="67">
        <v>702</v>
      </c>
      <c r="BR297" s="67">
        <v>766</v>
      </c>
      <c r="BS297" s="67">
        <v>748</v>
      </c>
      <c r="BT297" s="67">
        <v>823</v>
      </c>
      <c r="BU297" s="67"/>
      <c r="BV297" s="67"/>
      <c r="BW297" s="67">
        <v>755</v>
      </c>
      <c r="BX297" s="67">
        <v>868</v>
      </c>
      <c r="BY297" s="27"/>
      <c r="BZ297" s="67">
        <v>807</v>
      </c>
      <c r="CA297" s="27"/>
      <c r="CB297" s="27"/>
      <c r="CC297" s="27"/>
      <c r="CD297" s="27"/>
      <c r="CE297" s="27"/>
      <c r="CF297" s="27"/>
      <c r="CG297" s="27"/>
      <c r="CH297" s="27"/>
      <c r="CI297" s="27"/>
      <c r="CJ297" s="27"/>
      <c r="CK297" s="27"/>
      <c r="CL297" s="27"/>
      <c r="CM297" s="27"/>
      <c r="CN297" s="27"/>
      <c r="CO297" s="27"/>
      <c r="CP297" s="27"/>
      <c r="CQ297" s="27"/>
      <c r="CR297" s="27"/>
      <c r="CS297" s="27"/>
      <c r="CT297" s="345"/>
      <c r="CU297" s="27"/>
      <c r="CV297" s="27"/>
      <c r="CW297" s="27"/>
      <c r="CX297" s="27"/>
      <c r="CY297" s="27"/>
      <c r="CZ297" s="345"/>
      <c r="DA297" s="27"/>
      <c r="DB297" s="27"/>
      <c r="DC297" s="27"/>
      <c r="DD297" s="27"/>
      <c r="DE297" s="345"/>
      <c r="DF297" s="345"/>
      <c r="DG297" s="27"/>
      <c r="DH297" s="27"/>
      <c r="DI297" s="27"/>
      <c r="DJ297" s="27"/>
      <c r="DK297" s="345"/>
      <c r="DL297" s="345"/>
      <c r="DM297" s="27"/>
      <c r="DN297" s="27"/>
      <c r="DO297" s="27"/>
      <c r="DP297" s="27"/>
      <c r="DQ297" s="345"/>
      <c r="DR297" s="345"/>
      <c r="DS297" s="27"/>
      <c r="DT297" s="27"/>
      <c r="DU297" s="27"/>
      <c r="DV297" s="27"/>
      <c r="DW297" s="345"/>
      <c r="DX297" s="345"/>
      <c r="DY297" s="27"/>
      <c r="DZ297" s="27"/>
      <c r="EA297" s="27"/>
      <c r="EB297" s="27"/>
      <c r="EC297" s="345"/>
      <c r="ED297" s="345"/>
      <c r="EE297" s="27"/>
      <c r="EF297" s="27"/>
      <c r="EG297" s="27"/>
      <c r="EH297" s="27"/>
      <c r="EI297" s="345"/>
      <c r="EJ297" s="345"/>
      <c r="EK297" s="27"/>
      <c r="EL297" s="27"/>
      <c r="EM297" s="27"/>
      <c r="EN297" s="27"/>
      <c r="EO297" s="345"/>
      <c r="EP297" s="345"/>
      <c r="EQ297" s="27"/>
      <c r="ER297" s="27"/>
      <c r="ES297" s="27"/>
      <c r="ET297" s="27"/>
      <c r="EU297" s="345"/>
      <c r="EV297" s="345"/>
      <c r="EW297" s="27"/>
      <c r="EX297" s="27"/>
      <c r="EY297" s="27"/>
      <c r="EZ297" s="27"/>
      <c r="FA297" s="345"/>
      <c r="FB297" s="345"/>
      <c r="FC297" s="27"/>
      <c r="FD297" s="27"/>
      <c r="FE297" s="27"/>
      <c r="FF297" s="27"/>
      <c r="FG297" s="345"/>
      <c r="FH297" s="345"/>
      <c r="FI297" s="27"/>
      <c r="FJ297" s="27"/>
      <c r="FK297" s="27"/>
      <c r="FL297" s="27"/>
      <c r="FM297" s="345"/>
      <c r="FN297" s="27"/>
      <c r="FO297" s="27"/>
      <c r="FP297" s="27"/>
      <c r="FQ297" s="27"/>
      <c r="FR297"/>
      <c r="FS297"/>
      <c r="FT297"/>
      <c r="FU297"/>
      <c r="FV297"/>
      <c r="FW297"/>
      <c r="FX297" s="2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</row>
    <row r="298" spans="1:274" s="24" customFormat="1" ht="10.5" hidden="1" customHeight="1" outlineLevel="1" x14ac:dyDescent="0.2">
      <c r="A298" s="342" t="s">
        <v>834</v>
      </c>
      <c r="B298" s="20"/>
      <c r="C298" s="27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  <c r="AQ298" s="27"/>
      <c r="AR298" s="27"/>
      <c r="AS298" s="27"/>
      <c r="AT298" s="27"/>
      <c r="AU298" s="27"/>
      <c r="AV298" s="27"/>
      <c r="AW298" s="27"/>
      <c r="AX298" s="27"/>
      <c r="AY298" s="27"/>
      <c r="AZ298" s="27"/>
      <c r="BA298" s="27"/>
      <c r="BB298" s="27"/>
      <c r="BC298" s="27"/>
      <c r="BD298" s="27"/>
      <c r="BE298" s="27"/>
      <c r="BF298" s="27"/>
      <c r="BG298" s="27"/>
      <c r="BH298" s="27"/>
      <c r="BI298" s="27">
        <v>346</v>
      </c>
      <c r="BJ298" s="27"/>
      <c r="BK298" s="27"/>
      <c r="BL298" s="27"/>
      <c r="BM298" s="27"/>
      <c r="BN298" s="27"/>
      <c r="BO298" s="67">
        <v>978</v>
      </c>
      <c r="BP298" s="27"/>
      <c r="BQ298" s="67">
        <v>1106</v>
      </c>
      <c r="BR298" s="67">
        <v>1265</v>
      </c>
      <c r="BS298" s="67">
        <v>1550</v>
      </c>
      <c r="BT298" s="67">
        <v>961</v>
      </c>
      <c r="BU298" s="67"/>
      <c r="BV298" s="67"/>
      <c r="BW298" s="67">
        <v>1238</v>
      </c>
      <c r="BX298" s="67">
        <v>499</v>
      </c>
      <c r="BY298" s="27"/>
      <c r="BZ298" s="67">
        <v>416</v>
      </c>
      <c r="CA298" s="27"/>
      <c r="CB298" s="27"/>
      <c r="CC298" s="27"/>
      <c r="CD298" s="27"/>
      <c r="CE298" s="27"/>
      <c r="CF298" s="27"/>
      <c r="CG298" s="268"/>
      <c r="CH298" s="27"/>
      <c r="CI298" s="27"/>
      <c r="CJ298" s="27"/>
      <c r="CK298" s="27"/>
      <c r="CL298" s="27"/>
      <c r="CM298" s="27"/>
      <c r="CN298" s="27"/>
      <c r="CO298" s="27"/>
      <c r="CP298" s="27"/>
      <c r="CQ298" s="27"/>
      <c r="CR298" s="27"/>
      <c r="CS298" s="27"/>
      <c r="CT298" s="345"/>
      <c r="CU298" s="27"/>
      <c r="CV298" s="27"/>
      <c r="CW298" s="27"/>
      <c r="CX298" s="27"/>
      <c r="CY298" s="27"/>
      <c r="CZ298" s="345"/>
      <c r="DA298" s="27"/>
      <c r="DB298" s="27"/>
      <c r="DC298" s="27"/>
      <c r="DD298" s="27"/>
      <c r="DE298" s="345"/>
      <c r="DF298" s="345"/>
      <c r="DG298" s="27"/>
      <c r="DH298" s="27"/>
      <c r="DI298" s="27"/>
      <c r="DJ298" s="27"/>
      <c r="DK298" s="345"/>
      <c r="DL298" s="345"/>
      <c r="DM298" s="27"/>
      <c r="DN298" s="27"/>
      <c r="DO298" s="27"/>
      <c r="DP298" s="27"/>
      <c r="DQ298" s="345"/>
      <c r="DR298" s="345"/>
      <c r="DS298" s="27"/>
      <c r="DT298" s="27"/>
      <c r="DU298" s="27"/>
      <c r="DV298" s="27"/>
      <c r="DW298" s="345"/>
      <c r="DX298" s="345"/>
      <c r="DY298" s="27"/>
      <c r="DZ298" s="27"/>
      <c r="EA298" s="27"/>
      <c r="EB298" s="27"/>
      <c r="EC298" s="345"/>
      <c r="ED298" s="345"/>
      <c r="EE298" s="27"/>
      <c r="EF298" s="27"/>
      <c r="EG298" s="27"/>
      <c r="EH298" s="27"/>
      <c r="EI298" s="345"/>
      <c r="EJ298" s="345"/>
      <c r="EK298" s="27"/>
      <c r="EL298" s="27"/>
      <c r="EM298" s="27"/>
      <c r="EN298" s="27"/>
      <c r="EO298" s="345"/>
      <c r="EP298" s="345"/>
      <c r="EQ298" s="27"/>
      <c r="ER298" s="27"/>
      <c r="ES298" s="27"/>
      <c r="ET298" s="27"/>
      <c r="EU298" s="345"/>
      <c r="EV298" s="345"/>
      <c r="EW298" s="27"/>
      <c r="EX298" s="27"/>
      <c r="EY298" s="27"/>
      <c r="EZ298" s="27"/>
      <c r="FA298" s="345"/>
      <c r="FB298" s="345"/>
      <c r="FC298" s="27"/>
      <c r="FD298" s="27"/>
      <c r="FE298" s="27"/>
      <c r="FF298" s="27"/>
      <c r="FG298" s="345"/>
      <c r="FH298" s="345"/>
      <c r="FI298" s="27"/>
      <c r="FJ298" s="27"/>
      <c r="FK298" s="27"/>
      <c r="FL298" s="27"/>
      <c r="FM298" s="345"/>
      <c r="FN298" s="27"/>
      <c r="FO298" s="27"/>
      <c r="FP298" s="27"/>
      <c r="FQ298" s="27"/>
      <c r="FR298"/>
      <c r="FS298"/>
      <c r="FT298"/>
      <c r="FU298"/>
      <c r="FV298"/>
      <c r="FW298"/>
      <c r="FX298" s="27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</row>
    <row r="299" spans="1:274" s="24" customFormat="1" ht="10.5" hidden="1" customHeight="1" outlineLevel="1" x14ac:dyDescent="0.2">
      <c r="A299" s="342" t="s">
        <v>1066</v>
      </c>
      <c r="B299" s="20"/>
      <c r="C299" s="27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  <c r="AQ299" s="27"/>
      <c r="AR299" s="27"/>
      <c r="AS299" s="27"/>
      <c r="AT299" s="27"/>
      <c r="AU299" s="27"/>
      <c r="AV299" s="27"/>
      <c r="AW299" s="27"/>
      <c r="AX299" s="27"/>
      <c r="AY299" s="27"/>
      <c r="AZ299" s="27"/>
      <c r="BA299" s="27"/>
      <c r="BB299" s="27"/>
      <c r="BC299" s="27"/>
      <c r="BD299" s="27"/>
      <c r="BE299" s="27"/>
      <c r="BF299" s="27"/>
      <c r="BG299" s="27"/>
      <c r="BH299" s="27"/>
      <c r="BI299" s="27">
        <v>133</v>
      </c>
      <c r="BJ299" s="27"/>
      <c r="BK299" s="27"/>
      <c r="BL299" s="27"/>
      <c r="BM299" s="27"/>
      <c r="BN299" s="27"/>
      <c r="BO299" s="67">
        <v>144</v>
      </c>
      <c r="BP299" s="27"/>
      <c r="BQ299" s="67">
        <v>167</v>
      </c>
      <c r="BR299" s="67">
        <v>155</v>
      </c>
      <c r="BS299" s="67">
        <v>192</v>
      </c>
      <c r="BT299" s="67">
        <v>180</v>
      </c>
      <c r="BU299" s="67"/>
      <c r="BV299" s="67"/>
      <c r="BW299" s="67">
        <v>189</v>
      </c>
      <c r="BX299" s="67">
        <v>153</v>
      </c>
      <c r="BY299" s="27"/>
      <c r="BZ299" s="67">
        <v>214</v>
      </c>
      <c r="CA299" s="27"/>
      <c r="CB299" s="27"/>
      <c r="CC299" s="27"/>
      <c r="CD299" s="27"/>
      <c r="CE299" s="27"/>
      <c r="CF299" s="27"/>
      <c r="CG299" s="27"/>
      <c r="CH299" s="27"/>
      <c r="CI299" s="27"/>
      <c r="CJ299" s="27"/>
      <c r="CK299" s="27"/>
      <c r="CL299" s="27"/>
      <c r="CM299" s="27"/>
      <c r="CN299" s="27"/>
      <c r="CO299" s="27"/>
      <c r="CP299" s="27"/>
      <c r="CQ299" s="27"/>
      <c r="CR299" s="27"/>
      <c r="CS299" s="27"/>
      <c r="CT299" s="345"/>
      <c r="CU299" s="27"/>
      <c r="CV299" s="27"/>
      <c r="CW299" s="27"/>
      <c r="CX299" s="27"/>
      <c r="CY299" s="27"/>
      <c r="CZ299" s="345"/>
      <c r="DA299" s="27"/>
      <c r="DB299" s="27"/>
      <c r="DC299" s="27"/>
      <c r="DD299" s="27"/>
      <c r="DE299" s="345"/>
      <c r="DF299" s="345"/>
      <c r="DG299" s="27"/>
      <c r="DH299" s="27"/>
      <c r="DI299" s="27"/>
      <c r="DJ299" s="27"/>
      <c r="DK299" s="345"/>
      <c r="DL299" s="345"/>
      <c r="DM299" s="27"/>
      <c r="DN299" s="27"/>
      <c r="DO299" s="27"/>
      <c r="DP299" s="27"/>
      <c r="DQ299" s="345"/>
      <c r="DR299" s="345"/>
      <c r="DS299" s="27"/>
      <c r="DT299" s="27"/>
      <c r="DU299" s="27"/>
      <c r="DV299" s="27"/>
      <c r="DW299" s="345"/>
      <c r="DX299" s="345"/>
      <c r="DY299" s="27"/>
      <c r="DZ299" s="27"/>
      <c r="EA299" s="27"/>
      <c r="EB299" s="27"/>
      <c r="EC299" s="345"/>
      <c r="ED299" s="345"/>
      <c r="EE299" s="27"/>
      <c r="EF299" s="27"/>
      <c r="EG299" s="27"/>
      <c r="EH299" s="27"/>
      <c r="EI299" s="345"/>
      <c r="EJ299" s="345"/>
      <c r="EK299" s="27"/>
      <c r="EL299" s="27"/>
      <c r="EM299" s="27"/>
      <c r="EN299" s="27"/>
      <c r="EO299" s="345"/>
      <c r="EP299" s="345"/>
      <c r="EQ299" s="27"/>
      <c r="ER299" s="27"/>
      <c r="ES299" s="27"/>
      <c r="ET299" s="27"/>
      <c r="EU299" s="345"/>
      <c r="EV299" s="345"/>
      <c r="EW299" s="27"/>
      <c r="EX299" s="27"/>
      <c r="EY299" s="27"/>
      <c r="EZ299" s="27"/>
      <c r="FA299" s="345"/>
      <c r="FB299" s="345"/>
      <c r="FC299" s="27"/>
      <c r="FD299" s="27"/>
      <c r="FE299" s="27"/>
      <c r="FF299" s="27"/>
      <c r="FG299" s="345"/>
      <c r="FH299" s="345"/>
      <c r="FI299" s="27"/>
      <c r="FJ299" s="27"/>
      <c r="FK299" s="27"/>
      <c r="FL299" s="27"/>
      <c r="FM299" s="345"/>
      <c r="FN299" s="27"/>
      <c r="FO299" s="27"/>
      <c r="FP299" s="27"/>
      <c r="FQ299" s="27"/>
      <c r="FR299"/>
      <c r="FS299"/>
      <c r="FT299"/>
      <c r="FU299"/>
      <c r="FV299"/>
      <c r="FW299"/>
      <c r="FX299" s="27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</row>
    <row r="300" spans="1:274" s="24" customFormat="1" ht="10.5" hidden="1" customHeight="1" outlineLevel="1" x14ac:dyDescent="0.2">
      <c r="A300" s="342" t="s">
        <v>1067</v>
      </c>
      <c r="B300" s="20"/>
      <c r="C300" s="27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  <c r="AQ300" s="27"/>
      <c r="AR300" s="27"/>
      <c r="AS300" s="27"/>
      <c r="AT300" s="27"/>
      <c r="AU300" s="27"/>
      <c r="AV300" s="27"/>
      <c r="AW300" s="27"/>
      <c r="AX300" s="27"/>
      <c r="AY300" s="27"/>
      <c r="AZ300" s="27"/>
      <c r="BA300" s="27"/>
      <c r="BB300" s="27"/>
      <c r="BC300" s="27"/>
      <c r="BD300" s="27"/>
      <c r="BE300" s="27"/>
      <c r="BF300" s="27"/>
      <c r="BG300" s="27"/>
      <c r="BH300" s="27"/>
      <c r="BI300" s="27">
        <v>95</v>
      </c>
      <c r="BJ300" s="27"/>
      <c r="BK300" s="27"/>
      <c r="BL300" s="27"/>
      <c r="BM300" s="27"/>
      <c r="BN300" s="27"/>
      <c r="BO300" s="67">
        <v>98</v>
      </c>
      <c r="BP300" s="27"/>
      <c r="BQ300" s="67">
        <v>104</v>
      </c>
      <c r="BR300" s="67">
        <v>115</v>
      </c>
      <c r="BS300" s="67">
        <v>144</v>
      </c>
      <c r="BT300" s="67">
        <v>158</v>
      </c>
      <c r="BU300" s="67"/>
      <c r="BV300" s="67"/>
      <c r="BW300" s="67">
        <v>174</v>
      </c>
      <c r="BX300" s="67">
        <v>175</v>
      </c>
      <c r="BY300" s="27"/>
      <c r="BZ300" s="67">
        <v>189</v>
      </c>
      <c r="CA300" s="27"/>
      <c r="CB300" s="27"/>
      <c r="CC300" s="27"/>
      <c r="CD300" s="27"/>
      <c r="CE300" s="27"/>
      <c r="CF300" s="27"/>
      <c r="CG300" s="27"/>
      <c r="CH300" s="27"/>
      <c r="CI300" s="27"/>
      <c r="CJ300" s="27"/>
      <c r="CK300" s="27"/>
      <c r="CL300" s="27"/>
      <c r="CM300" s="27"/>
      <c r="CN300" s="27"/>
      <c r="CO300" s="27"/>
      <c r="CP300" s="27"/>
      <c r="CQ300" s="27"/>
      <c r="CR300" s="27"/>
      <c r="CS300" s="27"/>
      <c r="CT300" s="345"/>
      <c r="CU300" s="27"/>
      <c r="CV300" s="27"/>
      <c r="CW300" s="27"/>
      <c r="CX300" s="27"/>
      <c r="CY300" s="27"/>
      <c r="CZ300" s="345"/>
      <c r="DA300" s="27"/>
      <c r="DB300" s="27"/>
      <c r="DC300" s="27"/>
      <c r="DD300" s="27"/>
      <c r="DE300" s="345"/>
      <c r="DF300" s="345"/>
      <c r="DG300" s="27"/>
      <c r="DH300" s="27"/>
      <c r="DI300" s="27"/>
      <c r="DJ300" s="27"/>
      <c r="DK300" s="345"/>
      <c r="DL300" s="345"/>
      <c r="DM300" s="27"/>
      <c r="DN300" s="27"/>
      <c r="DO300" s="27"/>
      <c r="DP300" s="27"/>
      <c r="DQ300" s="345"/>
      <c r="DR300" s="345"/>
      <c r="DS300" s="27"/>
      <c r="DT300" s="27"/>
      <c r="DU300" s="27"/>
      <c r="DV300" s="27"/>
      <c r="DW300" s="345"/>
      <c r="DX300" s="345"/>
      <c r="DY300" s="27"/>
      <c r="DZ300" s="27"/>
      <c r="EA300" s="27"/>
      <c r="EB300" s="27"/>
      <c r="EC300" s="345"/>
      <c r="ED300" s="345"/>
      <c r="EE300" s="27"/>
      <c r="EF300" s="27"/>
      <c r="EG300" s="27"/>
      <c r="EH300" s="27"/>
      <c r="EI300" s="345"/>
      <c r="EJ300" s="345"/>
      <c r="EK300" s="27"/>
      <c r="EL300" s="27"/>
      <c r="EM300" s="27"/>
      <c r="EN300" s="27"/>
      <c r="EO300" s="345"/>
      <c r="EP300" s="345"/>
      <c r="EQ300" s="27"/>
      <c r="ER300" s="27"/>
      <c r="ES300" s="27"/>
      <c r="ET300" s="27"/>
      <c r="EU300" s="345"/>
      <c r="EV300" s="345"/>
      <c r="EW300" s="27"/>
      <c r="EX300" s="27"/>
      <c r="EY300" s="27"/>
      <c r="EZ300" s="27"/>
      <c r="FA300" s="345"/>
      <c r="FB300" s="345"/>
      <c r="FC300" s="27"/>
      <c r="FD300" s="27"/>
      <c r="FE300" s="27"/>
      <c r="FF300" s="27"/>
      <c r="FG300" s="345"/>
      <c r="FH300" s="345"/>
      <c r="FI300" s="27"/>
      <c r="FJ300" s="27"/>
      <c r="FK300" s="27"/>
      <c r="FL300" s="27"/>
      <c r="FM300" s="345"/>
      <c r="FN300" s="27"/>
      <c r="FO300" s="27"/>
      <c r="FP300" s="27"/>
      <c r="FQ300" s="27"/>
      <c r="FR300"/>
      <c r="FS300"/>
      <c r="FT300"/>
      <c r="FU300"/>
      <c r="FV300"/>
      <c r="FW300"/>
      <c r="FX300" s="27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</row>
    <row r="301" spans="1:274" s="24" customFormat="1" ht="10.5" hidden="1" customHeight="1" outlineLevel="1" x14ac:dyDescent="0.2">
      <c r="A301" s="342" t="s">
        <v>380</v>
      </c>
      <c r="B301" s="20"/>
      <c r="C301" s="27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  <c r="AQ301" s="27"/>
      <c r="AR301" s="27"/>
      <c r="AS301" s="27"/>
      <c r="AT301" s="27"/>
      <c r="AU301" s="27"/>
      <c r="AV301" s="27"/>
      <c r="AW301" s="27"/>
      <c r="AX301" s="27"/>
      <c r="AY301" s="27"/>
      <c r="AZ301" s="27"/>
      <c r="BA301" s="27"/>
      <c r="BB301" s="27"/>
      <c r="BC301" s="27"/>
      <c r="BD301" s="27"/>
      <c r="BE301" s="27"/>
      <c r="BF301" s="27"/>
      <c r="BG301" s="27"/>
      <c r="BH301" s="27"/>
      <c r="BI301" s="27">
        <v>83</v>
      </c>
      <c r="BJ301" s="27"/>
      <c r="BK301" s="27"/>
      <c r="BL301" s="27"/>
      <c r="BM301" s="27"/>
      <c r="BN301" s="27"/>
      <c r="BO301" s="67">
        <v>52</v>
      </c>
      <c r="BP301" s="27"/>
      <c r="BQ301" s="67">
        <v>53</v>
      </c>
      <c r="BR301" s="67">
        <v>64</v>
      </c>
      <c r="BS301" s="67">
        <v>85</v>
      </c>
      <c r="BT301" s="67">
        <v>68</v>
      </c>
      <c r="BU301" s="67"/>
      <c r="BV301" s="67"/>
      <c r="BW301" s="67">
        <v>89</v>
      </c>
      <c r="BX301" s="67">
        <v>87</v>
      </c>
      <c r="BY301" s="27"/>
      <c r="BZ301" s="67">
        <v>180</v>
      </c>
      <c r="CA301" s="27"/>
      <c r="CB301" s="27"/>
      <c r="CC301" s="27"/>
      <c r="CD301" s="27"/>
      <c r="CE301" s="27"/>
      <c r="CF301" s="27"/>
      <c r="CG301" s="27"/>
      <c r="CH301" s="27"/>
      <c r="CI301" s="27"/>
      <c r="CJ301" s="27"/>
      <c r="CK301" s="27"/>
      <c r="CL301" s="27"/>
      <c r="CM301" s="27"/>
      <c r="CN301" s="27"/>
      <c r="CO301" s="27"/>
      <c r="CP301" s="27"/>
      <c r="CQ301" s="27"/>
      <c r="CR301" s="27"/>
      <c r="CS301" s="27"/>
      <c r="CT301" s="345"/>
      <c r="CU301" s="27"/>
      <c r="CV301" s="27"/>
      <c r="CW301" s="27"/>
      <c r="CX301" s="27"/>
      <c r="CY301" s="27"/>
      <c r="CZ301" s="345"/>
      <c r="DA301" s="27"/>
      <c r="DB301" s="27"/>
      <c r="DC301" s="27"/>
      <c r="DD301" s="27"/>
      <c r="DE301" s="345"/>
      <c r="DF301" s="345"/>
      <c r="DG301" s="27"/>
      <c r="DH301" s="27"/>
      <c r="DI301" s="27"/>
      <c r="DJ301" s="27"/>
      <c r="DK301" s="345"/>
      <c r="DL301" s="345"/>
      <c r="DM301" s="27"/>
      <c r="DN301" s="27"/>
      <c r="DO301" s="27"/>
      <c r="DP301" s="27"/>
      <c r="DQ301" s="345"/>
      <c r="DR301" s="345"/>
      <c r="DS301" s="27"/>
      <c r="DT301" s="27"/>
      <c r="DU301" s="27"/>
      <c r="DV301" s="27"/>
      <c r="DW301" s="345"/>
      <c r="DX301" s="345"/>
      <c r="DY301" s="27"/>
      <c r="DZ301" s="27"/>
      <c r="EA301" s="27"/>
      <c r="EB301" s="27"/>
      <c r="EC301" s="345"/>
      <c r="ED301" s="345"/>
      <c r="EE301" s="27"/>
      <c r="EF301" s="27"/>
      <c r="EG301" s="27"/>
      <c r="EH301" s="27"/>
      <c r="EI301" s="345"/>
      <c r="EJ301" s="345"/>
      <c r="EK301" s="27"/>
      <c r="EL301" s="27"/>
      <c r="EM301" s="27"/>
      <c r="EN301" s="27"/>
      <c r="EO301" s="345"/>
      <c r="EP301" s="345"/>
      <c r="EQ301" s="27"/>
      <c r="ER301" s="27"/>
      <c r="ES301" s="27"/>
      <c r="ET301" s="27"/>
      <c r="EU301" s="345"/>
      <c r="EV301" s="345"/>
      <c r="EW301" s="27"/>
      <c r="EX301" s="27"/>
      <c r="EY301" s="27"/>
      <c r="EZ301" s="27"/>
      <c r="FA301" s="345"/>
      <c r="FB301" s="345"/>
      <c r="FC301" s="27"/>
      <c r="FD301" s="27"/>
      <c r="FE301" s="27"/>
      <c r="FF301" s="27"/>
      <c r="FG301" s="345"/>
      <c r="FH301" s="345"/>
      <c r="FI301" s="27"/>
      <c r="FJ301" s="27"/>
      <c r="FK301" s="27"/>
      <c r="FL301" s="27"/>
      <c r="FM301" s="345"/>
      <c r="FN301" s="27"/>
      <c r="FO301" s="27"/>
      <c r="FP301" s="27"/>
      <c r="FQ301" s="27"/>
      <c r="FR301"/>
      <c r="FS301"/>
      <c r="FT301"/>
      <c r="FU301"/>
      <c r="FV301"/>
      <c r="FW301"/>
      <c r="FX301" s="27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</row>
    <row r="302" spans="1:274" s="24" customFormat="1" ht="10.5" hidden="1" customHeight="1" outlineLevel="1" x14ac:dyDescent="0.2">
      <c r="A302" s="342" t="s">
        <v>381</v>
      </c>
      <c r="B302" s="20"/>
      <c r="C302" s="27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  <c r="AQ302" s="27"/>
      <c r="AR302" s="27"/>
      <c r="AS302" s="27"/>
      <c r="AT302" s="27"/>
      <c r="AU302" s="27"/>
      <c r="AV302" s="27"/>
      <c r="AW302" s="27"/>
      <c r="AX302" s="27"/>
      <c r="AY302" s="27"/>
      <c r="AZ302" s="27"/>
      <c r="BA302" s="27"/>
      <c r="BB302" s="27"/>
      <c r="BC302" s="27"/>
      <c r="BD302" s="27"/>
      <c r="BE302" s="27"/>
      <c r="BF302" s="27"/>
      <c r="BG302" s="27"/>
      <c r="BH302" s="27"/>
      <c r="BI302" s="27"/>
      <c r="BJ302" s="27"/>
      <c r="BK302" s="27"/>
      <c r="BL302" s="27"/>
      <c r="BM302" s="27"/>
      <c r="BN302" s="27"/>
      <c r="BO302" s="67"/>
      <c r="BP302" s="27"/>
      <c r="BQ302" s="67"/>
      <c r="BR302" s="67">
        <v>82</v>
      </c>
      <c r="BS302" s="67">
        <v>90</v>
      </c>
      <c r="BT302" s="67">
        <v>72</v>
      </c>
      <c r="BU302" s="67"/>
      <c r="BV302" s="67"/>
      <c r="BW302" s="67">
        <v>73</v>
      </c>
      <c r="BX302" s="67">
        <v>55</v>
      </c>
      <c r="BY302" s="27"/>
      <c r="BZ302" s="67">
        <v>94</v>
      </c>
      <c r="CA302" s="27"/>
      <c r="CB302" s="27"/>
      <c r="CC302" s="27"/>
      <c r="CD302" s="27"/>
      <c r="CE302" s="27"/>
      <c r="CF302" s="27"/>
      <c r="CG302" s="27"/>
      <c r="CH302" s="27"/>
      <c r="CI302" s="27"/>
      <c r="CJ302" s="27"/>
      <c r="CK302" s="27"/>
      <c r="CL302" s="27"/>
      <c r="CM302" s="27"/>
      <c r="CN302" s="27"/>
      <c r="CO302" s="27"/>
      <c r="CP302" s="27"/>
      <c r="CQ302" s="27"/>
      <c r="CR302" s="27"/>
      <c r="CS302" s="27"/>
      <c r="CT302" s="345"/>
      <c r="CU302" s="27"/>
      <c r="CV302" s="27"/>
      <c r="CW302" s="27"/>
      <c r="CX302" s="27"/>
      <c r="CY302" s="27"/>
      <c r="CZ302" s="345"/>
      <c r="DA302" s="27"/>
      <c r="DB302" s="27"/>
      <c r="DC302" s="27"/>
      <c r="DD302" s="27"/>
      <c r="DE302" s="345"/>
      <c r="DF302" s="345"/>
      <c r="DG302" s="27"/>
      <c r="DH302" s="27"/>
      <c r="DI302" s="27"/>
      <c r="DJ302" s="27"/>
      <c r="DK302" s="345"/>
      <c r="DL302" s="345"/>
      <c r="DM302" s="27"/>
      <c r="DN302" s="27"/>
      <c r="DO302" s="27"/>
      <c r="DP302" s="27"/>
      <c r="DQ302" s="345"/>
      <c r="DR302" s="345"/>
      <c r="DS302" s="27"/>
      <c r="DT302" s="27"/>
      <c r="DU302" s="27"/>
      <c r="DV302" s="27"/>
      <c r="DW302" s="345"/>
      <c r="DX302" s="345"/>
      <c r="DY302" s="27"/>
      <c r="DZ302" s="27"/>
      <c r="EA302" s="27"/>
      <c r="EB302" s="27"/>
      <c r="EC302" s="345"/>
      <c r="ED302" s="345"/>
      <c r="EE302" s="27"/>
      <c r="EF302" s="27"/>
      <c r="EG302" s="27"/>
      <c r="EH302" s="27"/>
      <c r="EI302" s="345"/>
      <c r="EJ302" s="345"/>
      <c r="EK302" s="27"/>
      <c r="EL302" s="27"/>
      <c r="EM302" s="27"/>
      <c r="EN302" s="27"/>
      <c r="EO302" s="345"/>
      <c r="EP302" s="345"/>
      <c r="EQ302" s="27"/>
      <c r="ER302" s="27"/>
      <c r="ES302" s="27"/>
      <c r="ET302" s="27"/>
      <c r="EU302" s="345"/>
      <c r="EV302" s="345"/>
      <c r="EW302" s="27"/>
      <c r="EX302" s="27"/>
      <c r="EY302" s="27"/>
      <c r="EZ302" s="27"/>
      <c r="FA302" s="345"/>
      <c r="FB302" s="345"/>
      <c r="FC302" s="27"/>
      <c r="FD302" s="27"/>
      <c r="FE302" s="27"/>
      <c r="FF302" s="27"/>
      <c r="FG302" s="345"/>
      <c r="FH302" s="345"/>
      <c r="FI302" s="27"/>
      <c r="FJ302" s="27"/>
      <c r="FK302" s="27"/>
      <c r="FL302" s="27"/>
      <c r="FM302" s="345"/>
      <c r="FN302" s="27"/>
      <c r="FO302" s="27"/>
      <c r="FP302" s="27"/>
      <c r="FQ302" s="27"/>
      <c r="FR302"/>
      <c r="FS302"/>
      <c r="FT302"/>
      <c r="FU302"/>
      <c r="FV302"/>
      <c r="FW302"/>
      <c r="FX302" s="27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</row>
    <row r="303" spans="1:274" s="24" customFormat="1" ht="10.5" hidden="1" customHeight="1" outlineLevel="1" x14ac:dyDescent="0.2">
      <c r="A303" s="342" t="s">
        <v>382</v>
      </c>
      <c r="B303" s="20"/>
      <c r="C303" s="27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  <c r="AQ303" s="27"/>
      <c r="AR303" s="27"/>
      <c r="AS303" s="27"/>
      <c r="AT303" s="27"/>
      <c r="AU303" s="27"/>
      <c r="AV303" s="27"/>
      <c r="AW303" s="27"/>
      <c r="AX303" s="27"/>
      <c r="AY303" s="27"/>
      <c r="AZ303" s="27"/>
      <c r="BA303" s="27"/>
      <c r="BB303" s="27"/>
      <c r="BC303" s="27"/>
      <c r="BD303" s="27"/>
      <c r="BE303" s="27"/>
      <c r="BF303" s="27"/>
      <c r="BG303" s="27"/>
      <c r="BH303" s="27"/>
      <c r="BI303" s="27"/>
      <c r="BJ303" s="27"/>
      <c r="BK303" s="27"/>
      <c r="BL303" s="27"/>
      <c r="BM303" s="27"/>
      <c r="BN303" s="27"/>
      <c r="BO303" s="67">
        <v>0</v>
      </c>
      <c r="BP303" s="27"/>
      <c r="BQ303" s="67"/>
      <c r="BR303" s="67">
        <v>72</v>
      </c>
      <c r="BS303" s="67">
        <v>74</v>
      </c>
      <c r="BT303" s="67">
        <v>82</v>
      </c>
      <c r="BU303" s="67"/>
      <c r="BV303" s="67"/>
      <c r="BW303" s="67">
        <v>84</v>
      </c>
      <c r="BX303" s="67">
        <v>84</v>
      </c>
      <c r="BY303" s="27"/>
      <c r="BZ303" s="67">
        <v>88</v>
      </c>
      <c r="CA303" s="27"/>
      <c r="CB303" s="27"/>
      <c r="CC303" s="27"/>
      <c r="CD303" s="27"/>
      <c r="CE303" s="27"/>
      <c r="CF303" s="27"/>
      <c r="CG303" s="27"/>
      <c r="CH303" s="27"/>
      <c r="CI303" s="27"/>
      <c r="CJ303" s="27"/>
      <c r="CK303" s="27"/>
      <c r="CL303" s="27"/>
      <c r="CM303" s="27"/>
      <c r="CN303" s="27"/>
      <c r="CO303" s="27"/>
      <c r="CP303" s="27"/>
      <c r="CQ303" s="27"/>
      <c r="CR303" s="27"/>
      <c r="CS303" s="27"/>
      <c r="CT303" s="345"/>
      <c r="CU303" s="27"/>
      <c r="CV303" s="27"/>
      <c r="CW303" s="27"/>
      <c r="CX303" s="27"/>
      <c r="CY303" s="27"/>
      <c r="CZ303" s="345"/>
      <c r="DA303" s="27"/>
      <c r="DB303" s="27"/>
      <c r="DC303" s="27"/>
      <c r="DD303" s="27"/>
      <c r="DE303" s="345"/>
      <c r="DF303" s="345"/>
      <c r="DG303" s="27"/>
      <c r="DH303" s="27"/>
      <c r="DI303" s="27"/>
      <c r="DJ303" s="27"/>
      <c r="DK303" s="345"/>
      <c r="DL303" s="345"/>
      <c r="DM303" s="27"/>
      <c r="DN303" s="27"/>
      <c r="DO303" s="27"/>
      <c r="DP303" s="27"/>
      <c r="DQ303" s="345"/>
      <c r="DR303" s="345"/>
      <c r="DS303" s="27"/>
      <c r="DT303" s="27"/>
      <c r="DU303" s="27"/>
      <c r="DV303" s="27"/>
      <c r="DW303" s="345"/>
      <c r="DX303" s="345"/>
      <c r="DY303" s="27"/>
      <c r="DZ303" s="27"/>
      <c r="EA303" s="27"/>
      <c r="EB303" s="27"/>
      <c r="EC303" s="345"/>
      <c r="ED303" s="345"/>
      <c r="EE303" s="27"/>
      <c r="EF303" s="27"/>
      <c r="EG303" s="27"/>
      <c r="EH303" s="27"/>
      <c r="EI303" s="345"/>
      <c r="EJ303" s="345"/>
      <c r="EK303" s="27"/>
      <c r="EL303" s="27"/>
      <c r="EM303" s="27"/>
      <c r="EN303" s="27"/>
      <c r="EO303" s="345"/>
      <c r="EP303" s="345"/>
      <c r="EQ303" s="27"/>
      <c r="ER303" s="27"/>
      <c r="ES303" s="27"/>
      <c r="ET303" s="27"/>
      <c r="EU303" s="345"/>
      <c r="EV303" s="345"/>
      <c r="EW303" s="27"/>
      <c r="EX303" s="27"/>
      <c r="EY303" s="27"/>
      <c r="EZ303" s="27"/>
      <c r="FA303" s="345"/>
      <c r="FB303" s="345"/>
      <c r="FC303" s="27"/>
      <c r="FD303" s="27"/>
      <c r="FE303" s="27"/>
      <c r="FF303" s="27"/>
      <c r="FG303" s="345"/>
      <c r="FH303" s="345"/>
      <c r="FI303" s="27"/>
      <c r="FJ303" s="27"/>
      <c r="FK303" s="27"/>
      <c r="FL303" s="27"/>
      <c r="FM303" s="345"/>
      <c r="FN303" s="27"/>
      <c r="FO303" s="27"/>
      <c r="FP303" s="27"/>
      <c r="FQ303" s="27"/>
      <c r="FR303"/>
      <c r="FS303"/>
      <c r="FT303"/>
      <c r="FU303"/>
      <c r="FV303"/>
      <c r="FW303"/>
      <c r="FX303" s="27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</row>
    <row r="304" spans="1:274" s="24" customFormat="1" ht="10.5" hidden="1" customHeight="1" outlineLevel="1" x14ac:dyDescent="0.2">
      <c r="A304" s="342" t="s">
        <v>383</v>
      </c>
      <c r="B304" s="20"/>
      <c r="C304" s="27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  <c r="AQ304" s="27"/>
      <c r="AR304" s="27"/>
      <c r="AS304" s="27"/>
      <c r="AT304" s="27"/>
      <c r="AU304" s="27"/>
      <c r="AV304" s="27"/>
      <c r="AW304" s="27"/>
      <c r="AX304" s="27"/>
      <c r="AY304" s="27"/>
      <c r="AZ304" s="27"/>
      <c r="BA304" s="27"/>
      <c r="BB304" s="27"/>
      <c r="BC304" s="27"/>
      <c r="BD304" s="27"/>
      <c r="BE304" s="27"/>
      <c r="BF304" s="27"/>
      <c r="BG304" s="27"/>
      <c r="BH304" s="27"/>
      <c r="BI304" s="27">
        <v>463</v>
      </c>
      <c r="BJ304" s="27"/>
      <c r="BK304" s="27"/>
      <c r="BL304" s="27"/>
      <c r="BM304" s="27"/>
      <c r="BN304" s="27"/>
      <c r="BO304" s="67">
        <v>563</v>
      </c>
      <c r="BP304" s="27"/>
      <c r="BQ304" s="67">
        <v>690</v>
      </c>
      <c r="BR304" s="67">
        <v>534</v>
      </c>
      <c r="BS304" s="67">
        <v>708</v>
      </c>
      <c r="BT304" s="67">
        <v>729</v>
      </c>
      <c r="BU304" s="67"/>
      <c r="BV304" s="67"/>
      <c r="BW304" s="67">
        <v>612</v>
      </c>
      <c r="BX304" s="67">
        <v>548</v>
      </c>
      <c r="BY304" s="27"/>
      <c r="BZ304" s="67">
        <v>861</v>
      </c>
      <c r="CA304" s="27"/>
      <c r="CB304" s="27"/>
      <c r="CC304" s="27"/>
      <c r="CD304" s="27"/>
      <c r="CE304" s="27"/>
      <c r="CF304" s="27"/>
      <c r="CG304" s="27"/>
      <c r="CH304" s="27"/>
      <c r="CI304" s="27"/>
      <c r="CJ304" s="27"/>
      <c r="CK304" s="27"/>
      <c r="CL304" s="27"/>
      <c r="CM304" s="27"/>
      <c r="CN304" s="27"/>
      <c r="CO304" s="27"/>
      <c r="CP304" s="27"/>
      <c r="CQ304" s="27"/>
      <c r="CR304" s="27"/>
      <c r="CS304" s="27"/>
      <c r="CT304" s="345"/>
      <c r="CU304" s="27"/>
      <c r="CV304" s="27"/>
      <c r="CW304" s="27"/>
      <c r="CX304" s="27"/>
      <c r="CY304" s="27"/>
      <c r="CZ304" s="345"/>
      <c r="DA304" s="27"/>
      <c r="DB304" s="27"/>
      <c r="DC304" s="27"/>
      <c r="DD304" s="27"/>
      <c r="DE304" s="345"/>
      <c r="DF304" s="345"/>
      <c r="DG304" s="27"/>
      <c r="DH304" s="27"/>
      <c r="DI304" s="27"/>
      <c r="DJ304" s="27"/>
      <c r="DK304" s="345"/>
      <c r="DL304" s="345"/>
      <c r="DM304" s="27"/>
      <c r="DN304" s="27"/>
      <c r="DO304" s="27"/>
      <c r="DP304" s="27"/>
      <c r="DQ304" s="345"/>
      <c r="DR304" s="345"/>
      <c r="DS304" s="27"/>
      <c r="DT304" s="27"/>
      <c r="DU304" s="27"/>
      <c r="DV304" s="27"/>
      <c r="DW304" s="345"/>
      <c r="DX304" s="345"/>
      <c r="DY304" s="27"/>
      <c r="DZ304" s="27"/>
      <c r="EA304" s="27"/>
      <c r="EB304" s="27"/>
      <c r="EC304" s="345"/>
      <c r="ED304" s="345"/>
      <c r="EE304" s="27"/>
      <c r="EF304" s="27"/>
      <c r="EG304" s="27"/>
      <c r="EH304" s="27"/>
      <c r="EI304" s="345"/>
      <c r="EJ304" s="345"/>
      <c r="EK304" s="27"/>
      <c r="EL304" s="27"/>
      <c r="EM304" s="27"/>
      <c r="EN304" s="27"/>
      <c r="EO304" s="345"/>
      <c r="EP304" s="345"/>
      <c r="EQ304" s="27"/>
      <c r="ER304" s="27"/>
      <c r="ES304" s="27"/>
      <c r="ET304" s="27"/>
      <c r="EU304" s="345"/>
      <c r="EV304" s="345"/>
      <c r="EW304" s="27"/>
      <c r="EX304" s="27"/>
      <c r="EY304" s="27"/>
      <c r="EZ304" s="27"/>
      <c r="FA304" s="345"/>
      <c r="FB304" s="345"/>
      <c r="FC304" s="27"/>
      <c r="FD304" s="27"/>
      <c r="FE304" s="27"/>
      <c r="FF304" s="27"/>
      <c r="FG304" s="345"/>
      <c r="FH304" s="345"/>
      <c r="FI304" s="27"/>
      <c r="FJ304" s="27"/>
      <c r="FK304" s="27"/>
      <c r="FL304" s="27"/>
      <c r="FM304" s="345"/>
      <c r="FN304" s="27"/>
      <c r="FO304" s="27"/>
      <c r="FP304" s="27"/>
      <c r="FQ304" s="27"/>
      <c r="FR304"/>
      <c r="FS304"/>
      <c r="FT304"/>
      <c r="FU304"/>
      <c r="FV304"/>
      <c r="FW304"/>
      <c r="FX304" s="27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</row>
    <row r="305" spans="1:274" s="24" customFormat="1" ht="10.5" hidden="1" customHeight="1" outlineLevel="1" x14ac:dyDescent="0.2">
      <c r="A305" s="27"/>
      <c r="B305" s="20"/>
      <c r="C305" s="27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  <c r="AQ305" s="27"/>
      <c r="AR305" s="27"/>
      <c r="AS305" s="27"/>
      <c r="AT305" s="27"/>
      <c r="AU305" s="27"/>
      <c r="AV305" s="27"/>
      <c r="AW305" s="27"/>
      <c r="AX305" s="27"/>
      <c r="AY305" s="27"/>
      <c r="AZ305" s="27"/>
      <c r="BA305" s="27"/>
      <c r="BB305" s="27"/>
      <c r="BC305" s="27"/>
      <c r="BD305" s="27"/>
      <c r="BE305" s="27"/>
      <c r="BF305" s="27"/>
      <c r="BG305" s="27"/>
      <c r="BH305" s="27"/>
      <c r="BI305" s="27"/>
      <c r="BJ305" s="27"/>
      <c r="BK305" s="27"/>
      <c r="BL305" s="27"/>
      <c r="BM305" s="27"/>
      <c r="BN305" s="27"/>
      <c r="BO305" s="27"/>
      <c r="BP305" s="27"/>
      <c r="BQ305" s="27"/>
      <c r="BR305" s="27"/>
      <c r="BS305" s="27"/>
      <c r="BT305" s="27"/>
      <c r="BU305" s="27"/>
      <c r="BV305" s="27"/>
      <c r="BW305" s="27"/>
      <c r="BX305" s="27"/>
      <c r="BY305" s="27"/>
      <c r="BZ305" s="27"/>
      <c r="CA305" s="27"/>
      <c r="CB305" s="27"/>
      <c r="CC305" s="27"/>
      <c r="CD305" s="27"/>
      <c r="CE305" s="27"/>
      <c r="CF305" s="27"/>
      <c r="CG305" s="27"/>
      <c r="CH305" s="27"/>
      <c r="CI305" s="27"/>
      <c r="CJ305" s="27"/>
      <c r="CK305" s="27"/>
      <c r="CL305" s="27"/>
      <c r="CM305" s="27"/>
      <c r="CN305" s="27"/>
      <c r="CO305" s="27"/>
      <c r="CP305" s="27"/>
      <c r="CQ305" s="27"/>
      <c r="CR305" s="27"/>
      <c r="CS305" s="27"/>
      <c r="CT305" s="345"/>
      <c r="CU305" s="27"/>
      <c r="CV305" s="27"/>
      <c r="CW305" s="27"/>
      <c r="CX305" s="27"/>
      <c r="CY305" s="27"/>
      <c r="CZ305" s="345"/>
      <c r="DA305" s="27"/>
      <c r="DB305" s="27"/>
      <c r="DC305" s="27"/>
      <c r="DD305" s="27"/>
      <c r="DE305" s="345"/>
      <c r="DF305" s="345"/>
      <c r="DG305" s="27"/>
      <c r="DH305" s="27"/>
      <c r="DI305" s="27"/>
      <c r="DJ305" s="27"/>
      <c r="DK305" s="345"/>
      <c r="DL305" s="345"/>
      <c r="DM305" s="27"/>
      <c r="DN305" s="27"/>
      <c r="DO305" s="27"/>
      <c r="DP305" s="27"/>
      <c r="DQ305" s="345"/>
      <c r="DR305" s="345"/>
      <c r="DS305" s="27"/>
      <c r="DT305" s="27"/>
      <c r="DU305" s="27"/>
      <c r="DV305" s="27"/>
      <c r="DW305" s="345"/>
      <c r="DX305" s="345"/>
      <c r="DY305" s="27"/>
      <c r="DZ305" s="27"/>
      <c r="EA305" s="27"/>
      <c r="EB305" s="27"/>
      <c r="EC305" s="345"/>
      <c r="ED305" s="345"/>
      <c r="EE305" s="27"/>
      <c r="EF305" s="27"/>
      <c r="EG305" s="27"/>
      <c r="EH305" s="27"/>
      <c r="EI305" s="345"/>
      <c r="EJ305" s="345"/>
      <c r="EK305" s="27"/>
      <c r="EL305" s="27"/>
      <c r="EM305" s="27"/>
      <c r="EN305" s="27"/>
      <c r="EO305" s="345"/>
      <c r="EP305" s="345"/>
      <c r="EQ305" s="27"/>
      <c r="ER305" s="27"/>
      <c r="ES305" s="27"/>
      <c r="ET305" s="27"/>
      <c r="EU305" s="345"/>
      <c r="EV305" s="345"/>
      <c r="EW305" s="27"/>
      <c r="EX305" s="27"/>
      <c r="EY305" s="27"/>
      <c r="EZ305" s="27"/>
      <c r="FA305" s="345"/>
      <c r="FB305" s="345"/>
      <c r="FC305" s="27"/>
      <c r="FD305" s="27"/>
      <c r="FE305" s="27"/>
      <c r="FF305" s="27"/>
      <c r="FG305" s="345"/>
      <c r="FH305" s="345"/>
      <c r="FI305" s="27"/>
      <c r="FJ305" s="27"/>
      <c r="FK305" s="27"/>
      <c r="FL305" s="27"/>
      <c r="FM305" s="345"/>
      <c r="FN305" s="27"/>
      <c r="FO305" s="27"/>
      <c r="FP305" s="27"/>
      <c r="FQ305" s="27"/>
      <c r="FR305"/>
      <c r="FS305"/>
      <c r="FT305"/>
      <c r="FU305"/>
      <c r="FV305"/>
      <c r="FW305"/>
      <c r="FX305" s="27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</row>
    <row r="306" spans="1:274" s="24" customFormat="1" ht="10.5" hidden="1" customHeight="1" outlineLevel="1" x14ac:dyDescent="0.2">
      <c r="A306" s="27" t="s">
        <v>384</v>
      </c>
      <c r="B306" s="20"/>
      <c r="C306" s="27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  <c r="AQ306" s="27"/>
      <c r="AR306" s="27"/>
      <c r="AS306" s="27"/>
      <c r="AT306" s="27"/>
      <c r="AU306" s="27"/>
      <c r="AV306" s="27"/>
      <c r="AW306" s="27"/>
      <c r="AX306" s="27"/>
      <c r="AY306" s="27"/>
      <c r="AZ306" s="27"/>
      <c r="BA306" s="27"/>
      <c r="BB306" s="27"/>
      <c r="BC306" s="27"/>
      <c r="BD306" s="27"/>
      <c r="BE306" s="27"/>
      <c r="BF306" s="27"/>
      <c r="BG306" s="27"/>
      <c r="BH306" s="27"/>
      <c r="BI306" s="27"/>
      <c r="BJ306" s="27"/>
      <c r="BK306" s="27"/>
      <c r="BL306" s="27"/>
      <c r="BM306" s="27"/>
      <c r="BN306" s="27"/>
      <c r="BO306" s="27"/>
      <c r="BP306" s="27"/>
      <c r="BQ306" s="27"/>
      <c r="BR306" s="27"/>
      <c r="BS306" s="27"/>
      <c r="BT306" s="27"/>
      <c r="BU306" s="27"/>
      <c r="BV306" s="27"/>
      <c r="BW306" s="27"/>
      <c r="BX306" s="27"/>
      <c r="BY306" s="27"/>
      <c r="BZ306" s="27"/>
      <c r="CA306" s="27"/>
      <c r="CB306" s="27"/>
      <c r="CC306" s="27"/>
      <c r="CD306" s="27"/>
      <c r="CE306" s="27"/>
      <c r="CF306" s="27"/>
      <c r="CG306" s="27"/>
      <c r="CH306" s="27"/>
      <c r="CI306" s="27"/>
      <c r="CJ306" s="27"/>
      <c r="CK306" s="27"/>
      <c r="CL306" s="27"/>
      <c r="CM306" s="27"/>
      <c r="CN306" s="27"/>
      <c r="CO306" s="27"/>
      <c r="CP306" s="27"/>
      <c r="CQ306" s="27"/>
      <c r="CR306" s="27"/>
      <c r="CS306" s="27"/>
      <c r="CT306" s="345"/>
      <c r="CU306" s="27"/>
      <c r="CV306" s="27"/>
      <c r="CW306" s="27"/>
      <c r="CX306" s="27"/>
      <c r="CY306" s="27"/>
      <c r="CZ306" s="345"/>
      <c r="DA306" s="27"/>
      <c r="DB306" s="27"/>
      <c r="DC306" s="27"/>
      <c r="DD306" s="27"/>
      <c r="DE306" s="345"/>
      <c r="DF306" s="345"/>
      <c r="DG306" s="27"/>
      <c r="DH306" s="27"/>
      <c r="DI306" s="27"/>
      <c r="DJ306" s="27"/>
      <c r="DK306" s="345"/>
      <c r="DL306" s="345"/>
      <c r="DM306" s="27"/>
      <c r="DN306" s="27"/>
      <c r="DO306" s="27"/>
      <c r="DP306" s="27"/>
      <c r="DQ306" s="345"/>
      <c r="DR306" s="345"/>
      <c r="DS306" s="27"/>
      <c r="DT306" s="27"/>
      <c r="DU306" s="27"/>
      <c r="DV306" s="27"/>
      <c r="DW306" s="345"/>
      <c r="DX306" s="345"/>
      <c r="DY306" s="27"/>
      <c r="DZ306" s="27"/>
      <c r="EA306" s="27"/>
      <c r="EB306" s="27"/>
      <c r="EC306" s="345"/>
      <c r="ED306" s="345"/>
      <c r="EE306" s="27"/>
      <c r="EF306" s="27"/>
      <c r="EG306" s="27"/>
      <c r="EH306" s="27"/>
      <c r="EI306" s="345"/>
      <c r="EJ306" s="345"/>
      <c r="EK306" s="27"/>
      <c r="EL306" s="27"/>
      <c r="EM306" s="27"/>
      <c r="EN306" s="27"/>
      <c r="EO306" s="345"/>
      <c r="EP306" s="345"/>
      <c r="EQ306" s="27"/>
      <c r="ER306" s="27"/>
      <c r="ES306" s="27"/>
      <c r="ET306" s="27"/>
      <c r="EU306" s="345"/>
      <c r="EV306" s="345"/>
      <c r="EW306" s="27"/>
      <c r="EX306" s="27"/>
      <c r="EY306" s="27"/>
      <c r="EZ306" s="27"/>
      <c r="FA306" s="345"/>
      <c r="FB306" s="345"/>
      <c r="FC306" s="27"/>
      <c r="FD306" s="27"/>
      <c r="FE306" s="27"/>
      <c r="FF306" s="27"/>
      <c r="FG306" s="345"/>
      <c r="FH306" s="345"/>
      <c r="FI306" s="27"/>
      <c r="FJ306" s="27"/>
      <c r="FK306" s="27"/>
      <c r="FL306" s="27"/>
      <c r="FM306" s="345"/>
      <c r="FN306" s="27"/>
      <c r="FO306" s="27"/>
      <c r="FP306" s="27"/>
      <c r="FQ306" s="27"/>
      <c r="FR306"/>
      <c r="FS306"/>
      <c r="FT306"/>
      <c r="FU306"/>
      <c r="FV306"/>
      <c r="FW306"/>
      <c r="FX306" s="27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</row>
    <row r="307" spans="1:274" s="24" customFormat="1" ht="10.5" hidden="1" customHeight="1" outlineLevel="1" x14ac:dyDescent="0.2">
      <c r="A307" s="342" t="s">
        <v>833</v>
      </c>
      <c r="B307" s="20"/>
      <c r="C307" s="27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  <c r="AQ307" s="27"/>
      <c r="AR307" s="27"/>
      <c r="AS307" s="27"/>
      <c r="AT307" s="27"/>
      <c r="AU307" s="27"/>
      <c r="AV307" s="27"/>
      <c r="AW307" s="27"/>
      <c r="AX307" s="27"/>
      <c r="AY307" s="27"/>
      <c r="AZ307" s="27"/>
      <c r="BA307" s="27"/>
      <c r="BB307" s="27"/>
      <c r="BC307" s="27"/>
      <c r="BD307" s="27"/>
      <c r="BE307" s="27"/>
      <c r="BF307" s="27"/>
      <c r="BG307" s="27"/>
      <c r="BH307" s="27"/>
      <c r="BI307" s="27">
        <v>123.45</v>
      </c>
      <c r="BJ307" s="27"/>
      <c r="BK307" s="27"/>
      <c r="BL307" s="27"/>
      <c r="BM307" s="27"/>
      <c r="BN307" s="27"/>
      <c r="BO307" s="592">
        <v>119.35</v>
      </c>
      <c r="BP307" s="27"/>
      <c r="BQ307" s="27">
        <v>116.98</v>
      </c>
      <c r="BR307" s="891">
        <v>109.68</v>
      </c>
      <c r="BS307" s="891">
        <v>108.98</v>
      </c>
      <c r="BT307" s="268"/>
      <c r="BU307" s="27"/>
      <c r="BV307" s="27"/>
      <c r="BW307" s="27"/>
      <c r="BX307" s="27"/>
      <c r="BY307" s="27"/>
      <c r="BZ307" s="27"/>
      <c r="CA307" s="27"/>
      <c r="CB307" s="27"/>
      <c r="CC307" s="27"/>
      <c r="CD307" s="27"/>
      <c r="CE307" s="27"/>
      <c r="CF307" s="27"/>
      <c r="CG307" s="27"/>
      <c r="CH307" s="27"/>
      <c r="CI307" s="27"/>
      <c r="CJ307" s="27"/>
      <c r="CK307" s="27"/>
      <c r="CL307" s="27"/>
      <c r="CM307" s="27"/>
      <c r="CN307" s="27"/>
      <c r="CO307" s="27"/>
      <c r="CP307" s="27"/>
      <c r="CQ307" s="27"/>
      <c r="CR307" s="27"/>
      <c r="CS307" s="27"/>
      <c r="CT307" s="345"/>
      <c r="CU307" s="27"/>
      <c r="CV307" s="27"/>
      <c r="CW307" s="27"/>
      <c r="CX307" s="27"/>
      <c r="CY307" s="27"/>
      <c r="CZ307" s="345"/>
      <c r="DA307" s="27"/>
      <c r="DB307" s="27"/>
      <c r="DC307" s="27"/>
      <c r="DD307" s="27"/>
      <c r="DE307" s="345"/>
      <c r="DF307" s="345"/>
      <c r="DG307" s="27"/>
      <c r="DH307" s="27"/>
      <c r="DI307" s="27"/>
      <c r="DJ307" s="27"/>
      <c r="DK307" s="345"/>
      <c r="DL307" s="345"/>
      <c r="DM307" s="27"/>
      <c r="DN307" s="27"/>
      <c r="DO307" s="27"/>
      <c r="DP307" s="27"/>
      <c r="DQ307" s="345"/>
      <c r="DR307" s="345"/>
      <c r="DS307" s="27"/>
      <c r="DT307" s="27"/>
      <c r="DU307" s="27"/>
      <c r="DV307" s="27"/>
      <c r="DW307" s="345"/>
      <c r="DX307" s="345"/>
      <c r="DY307" s="27"/>
      <c r="DZ307" s="27"/>
      <c r="EA307" s="27"/>
      <c r="EB307" s="27"/>
      <c r="EC307" s="345"/>
      <c r="ED307" s="345"/>
      <c r="EE307" s="27"/>
      <c r="EF307" s="27"/>
      <c r="EG307" s="27"/>
      <c r="EH307" s="27"/>
      <c r="EI307" s="345"/>
      <c r="EJ307" s="345"/>
      <c r="EK307" s="27"/>
      <c r="EL307" s="27"/>
      <c r="EM307" s="27"/>
      <c r="EN307" s="27"/>
      <c r="EO307" s="345"/>
      <c r="EP307" s="345"/>
      <c r="EQ307" s="27"/>
      <c r="ER307" s="27"/>
      <c r="ES307" s="27"/>
      <c r="ET307" s="27"/>
      <c r="EU307" s="345"/>
      <c r="EV307" s="345"/>
      <c r="EW307" s="27"/>
      <c r="EX307" s="27"/>
      <c r="EY307" s="27"/>
      <c r="EZ307" s="27"/>
      <c r="FA307" s="345"/>
      <c r="FB307" s="345"/>
      <c r="FC307" s="27"/>
      <c r="FD307" s="27"/>
      <c r="FE307" s="27"/>
      <c r="FF307" s="27"/>
      <c r="FG307" s="345"/>
      <c r="FH307" s="345"/>
      <c r="FI307" s="27"/>
      <c r="FJ307" s="27"/>
      <c r="FK307" s="27"/>
      <c r="FL307" s="27"/>
      <c r="FM307" s="345"/>
      <c r="FN307" s="27"/>
      <c r="FO307" s="27"/>
      <c r="FP307" s="27"/>
      <c r="FQ307" s="27"/>
      <c r="FR307"/>
      <c r="FS307"/>
      <c r="FT307"/>
      <c r="FU307"/>
      <c r="FV307"/>
      <c r="FW307"/>
      <c r="FX307" s="2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</row>
    <row r="308" spans="1:274" s="24" customFormat="1" ht="10.5" hidden="1" customHeight="1" outlineLevel="1" x14ac:dyDescent="0.2">
      <c r="A308" s="342" t="s">
        <v>834</v>
      </c>
      <c r="B308" s="20"/>
      <c r="C308" s="27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  <c r="AQ308" s="27"/>
      <c r="AR308" s="27"/>
      <c r="AS308" s="27"/>
      <c r="AT308" s="27"/>
      <c r="AU308" s="27"/>
      <c r="AV308" s="27"/>
      <c r="AW308" s="27"/>
      <c r="AX308" s="27"/>
      <c r="AY308" s="27"/>
      <c r="AZ308" s="27"/>
      <c r="BA308" s="27"/>
      <c r="BB308" s="27"/>
      <c r="BC308" s="27"/>
      <c r="BD308" s="27"/>
      <c r="BE308" s="27"/>
      <c r="BF308" s="27"/>
      <c r="BG308" s="27"/>
      <c r="BH308" s="27"/>
      <c r="BI308" s="27">
        <v>1.0674600000000001</v>
      </c>
      <c r="BJ308" s="27"/>
      <c r="BK308" s="27"/>
      <c r="BL308" s="27"/>
      <c r="BM308" s="27"/>
      <c r="BN308" s="27"/>
      <c r="BO308" s="592">
        <v>0.84897</v>
      </c>
      <c r="BP308" s="27"/>
      <c r="BQ308" s="27">
        <v>0.91017000000000003</v>
      </c>
      <c r="BR308" s="891">
        <v>0.83431</v>
      </c>
      <c r="BS308" s="891">
        <v>0.80044999999999999</v>
      </c>
      <c r="BT308" s="268"/>
      <c r="BU308" s="27"/>
      <c r="BV308" s="27"/>
      <c r="BW308" s="27"/>
      <c r="BX308" s="27"/>
      <c r="BY308" s="27"/>
      <c r="BZ308" s="27"/>
      <c r="CA308" s="27"/>
      <c r="CB308" s="27"/>
      <c r="CC308" s="27"/>
      <c r="CD308" s="27"/>
      <c r="CE308" s="27"/>
      <c r="CF308" s="27"/>
      <c r="CG308" s="27"/>
      <c r="CH308" s="27"/>
      <c r="CI308" s="27"/>
      <c r="CJ308" s="27"/>
      <c r="CK308" s="27"/>
      <c r="CL308" s="27"/>
      <c r="CM308" s="27"/>
      <c r="CN308" s="27"/>
      <c r="CO308" s="27"/>
      <c r="CP308" s="27"/>
      <c r="CQ308" s="27"/>
      <c r="CR308" s="27"/>
      <c r="CS308" s="27"/>
      <c r="CT308" s="345"/>
      <c r="CU308" s="27"/>
      <c r="CV308" s="27"/>
      <c r="CW308" s="27"/>
      <c r="CX308" s="27"/>
      <c r="CY308" s="27"/>
      <c r="CZ308" s="345"/>
      <c r="DA308" s="27"/>
      <c r="DB308" s="27"/>
      <c r="DC308" s="27"/>
      <c r="DD308" s="27"/>
      <c r="DE308" s="345"/>
      <c r="DF308" s="345"/>
      <c r="DG308" s="27"/>
      <c r="DH308" s="27"/>
      <c r="DI308" s="27"/>
      <c r="DJ308" s="27"/>
      <c r="DK308" s="345"/>
      <c r="DL308" s="345"/>
      <c r="DM308" s="27"/>
      <c r="DN308" s="27"/>
      <c r="DO308" s="27"/>
      <c r="DP308" s="27"/>
      <c r="DQ308" s="345"/>
      <c r="DR308" s="345"/>
      <c r="DS308" s="27"/>
      <c r="DT308" s="27"/>
      <c r="DU308" s="27"/>
      <c r="DV308" s="27"/>
      <c r="DW308" s="345"/>
      <c r="DX308" s="345"/>
      <c r="DY308" s="27"/>
      <c r="DZ308" s="27"/>
      <c r="EA308" s="27"/>
      <c r="EB308" s="27"/>
      <c r="EC308" s="345"/>
      <c r="ED308" s="345"/>
      <c r="EE308" s="27"/>
      <c r="EF308" s="27"/>
      <c r="EG308" s="27"/>
      <c r="EH308" s="27"/>
      <c r="EI308" s="345"/>
      <c r="EJ308" s="345"/>
      <c r="EK308" s="27"/>
      <c r="EL308" s="27"/>
      <c r="EM308" s="27"/>
      <c r="EN308" s="27"/>
      <c r="EO308" s="345"/>
      <c r="EP308" s="345"/>
      <c r="EQ308" s="27"/>
      <c r="ER308" s="27"/>
      <c r="ES308" s="27"/>
      <c r="ET308" s="27"/>
      <c r="EU308" s="345"/>
      <c r="EV308" s="345"/>
      <c r="EW308" s="27"/>
      <c r="EX308" s="27"/>
      <c r="EY308" s="27"/>
      <c r="EZ308" s="27"/>
      <c r="FA308" s="345"/>
      <c r="FB308" s="345"/>
      <c r="FC308" s="27"/>
      <c r="FD308" s="27"/>
      <c r="FE308" s="27"/>
      <c r="FF308" s="27"/>
      <c r="FG308" s="345"/>
      <c r="FH308" s="345"/>
      <c r="FI308" s="27"/>
      <c r="FJ308" s="27"/>
      <c r="FK308" s="27"/>
      <c r="FL308" s="27"/>
      <c r="FM308" s="345"/>
      <c r="FN308" s="27"/>
      <c r="FO308" s="27"/>
      <c r="FP308" s="27"/>
      <c r="FQ308" s="27"/>
      <c r="FR308"/>
      <c r="FS308"/>
      <c r="FT308"/>
      <c r="FU308"/>
      <c r="FV308"/>
      <c r="FW308"/>
      <c r="FX308" s="27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</row>
    <row r="309" spans="1:274" s="24" customFormat="1" ht="10.5" hidden="1" customHeight="1" outlineLevel="1" x14ac:dyDescent="0.2">
      <c r="A309" s="342" t="s">
        <v>1066</v>
      </c>
      <c r="B309" s="20"/>
      <c r="C309" s="27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8"/>
      <c r="O309" s="27"/>
      <c r="P309" s="27"/>
      <c r="Q309" s="27"/>
      <c r="R309" s="27"/>
      <c r="S309" s="27"/>
      <c r="T309" s="28"/>
      <c r="U309" s="27"/>
      <c r="V309" s="27"/>
      <c r="W309" s="27"/>
      <c r="X309" s="27"/>
      <c r="Y309" s="27"/>
      <c r="Z309" s="28"/>
      <c r="AA309" s="27"/>
      <c r="AB309" s="27"/>
      <c r="AC309" s="27"/>
      <c r="AD309" s="27"/>
      <c r="AE309" s="27"/>
      <c r="AF309" s="28"/>
      <c r="AG309" s="27"/>
      <c r="AH309" s="27"/>
      <c r="AI309" s="27"/>
      <c r="AJ309" s="27"/>
      <c r="AK309" s="27"/>
      <c r="AL309" s="28"/>
      <c r="AM309" s="27"/>
      <c r="AN309" s="27"/>
      <c r="AO309" s="27"/>
      <c r="AP309" s="27"/>
      <c r="AQ309" s="27"/>
      <c r="AR309" s="28"/>
      <c r="AS309" s="27"/>
      <c r="AT309" s="27"/>
      <c r="AU309" s="27"/>
      <c r="AV309" s="27"/>
      <c r="AW309" s="27"/>
      <c r="AX309" s="28"/>
      <c r="AY309" s="27"/>
      <c r="AZ309" s="27"/>
      <c r="BA309" s="27"/>
      <c r="BB309" s="27"/>
      <c r="BC309" s="27"/>
      <c r="BD309" s="28"/>
      <c r="BE309" s="27"/>
      <c r="BF309" s="27"/>
      <c r="BG309" s="27"/>
      <c r="BH309" s="27"/>
      <c r="BI309" s="27">
        <v>0.68264000000000002</v>
      </c>
      <c r="BJ309" s="28"/>
      <c r="BK309" s="27"/>
      <c r="BL309" s="27"/>
      <c r="BM309" s="27"/>
      <c r="BN309" s="27"/>
      <c r="BO309" s="592">
        <v>0.61151</v>
      </c>
      <c r="BP309" s="28"/>
      <c r="BQ309" s="27">
        <v>0.63471999999999995</v>
      </c>
      <c r="BR309" s="891">
        <v>0.58082</v>
      </c>
      <c r="BS309" s="891">
        <v>0.53564999999999996</v>
      </c>
      <c r="BT309" s="268"/>
      <c r="BU309" s="27"/>
      <c r="BV309" s="28"/>
      <c r="BW309" s="27"/>
      <c r="BX309" s="27"/>
      <c r="BY309" s="27"/>
      <c r="BZ309" s="27"/>
      <c r="CA309" s="27"/>
      <c r="CB309" s="28"/>
      <c r="CC309" s="27"/>
      <c r="CD309" s="27"/>
      <c r="CE309" s="27"/>
      <c r="CF309" s="27"/>
      <c r="CG309" s="27"/>
      <c r="CH309" s="28"/>
      <c r="CI309" s="27"/>
      <c r="CJ309" s="27"/>
      <c r="CK309" s="27"/>
      <c r="CL309" s="27"/>
      <c r="CM309" s="27"/>
      <c r="CN309" s="28"/>
      <c r="CO309" s="27"/>
      <c r="CP309" s="27"/>
      <c r="CQ309" s="27"/>
      <c r="CR309" s="27"/>
      <c r="CS309" s="27"/>
      <c r="CT309" s="28"/>
      <c r="CU309" s="27"/>
      <c r="CV309" s="27"/>
      <c r="CW309" s="27"/>
      <c r="CX309" s="27"/>
      <c r="CY309" s="27"/>
      <c r="CZ309" s="28"/>
      <c r="DA309" s="27"/>
      <c r="DB309" s="27"/>
      <c r="DC309" s="27"/>
      <c r="DD309" s="27"/>
      <c r="DE309" s="345"/>
      <c r="DF309" s="28"/>
      <c r="DG309" s="27"/>
      <c r="DH309" s="27"/>
      <c r="DI309" s="27"/>
      <c r="DJ309" s="27"/>
      <c r="DK309" s="345"/>
      <c r="DL309" s="28"/>
      <c r="DM309" s="27"/>
      <c r="DN309" s="27"/>
      <c r="DO309" s="27"/>
      <c r="DP309" s="27"/>
      <c r="DQ309" s="345"/>
      <c r="DR309" s="28"/>
      <c r="DS309" s="27"/>
      <c r="DT309" s="27"/>
      <c r="DU309" s="27"/>
      <c r="DV309" s="27"/>
      <c r="DW309" s="345"/>
      <c r="DX309" s="28"/>
      <c r="DY309" s="27"/>
      <c r="DZ309" s="27"/>
      <c r="EA309" s="27"/>
      <c r="EB309" s="27"/>
      <c r="EC309" s="345"/>
      <c r="ED309" s="28"/>
      <c r="EE309" s="27"/>
      <c r="EF309" s="27"/>
      <c r="EG309" s="27"/>
      <c r="EH309" s="27"/>
      <c r="EI309" s="345"/>
      <c r="EJ309" s="28"/>
      <c r="EK309" s="27"/>
      <c r="EL309" s="27"/>
      <c r="EM309" s="27"/>
      <c r="EN309" s="27"/>
      <c r="EO309" s="345"/>
      <c r="EP309" s="28"/>
      <c r="EQ309" s="27"/>
      <c r="ER309" s="27"/>
      <c r="ES309" s="27"/>
      <c r="ET309" s="27"/>
      <c r="EU309" s="345"/>
      <c r="EV309" s="28"/>
      <c r="EW309" s="27"/>
      <c r="EX309" s="27"/>
      <c r="EY309" s="27"/>
      <c r="EZ309" s="27"/>
      <c r="FA309" s="345"/>
      <c r="FB309" s="28"/>
      <c r="FC309" s="27"/>
      <c r="FD309" s="27"/>
      <c r="FE309" s="27"/>
      <c r="FF309" s="27"/>
      <c r="FG309" s="345"/>
      <c r="FH309" s="28"/>
      <c r="FI309" s="27"/>
      <c r="FJ309" s="27"/>
      <c r="FK309" s="27"/>
      <c r="FL309" s="27"/>
      <c r="FM309" s="345"/>
      <c r="FN309" s="27"/>
      <c r="FO309" s="27"/>
      <c r="FP309" s="27"/>
      <c r="FQ309" s="27"/>
      <c r="FR309"/>
      <c r="FS309"/>
      <c r="FT309"/>
      <c r="FU309"/>
      <c r="FV309"/>
      <c r="FW309"/>
      <c r="FX309" s="27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</row>
    <row r="310" spans="1:274" s="24" customFormat="1" ht="10.5" hidden="1" customHeight="1" outlineLevel="1" x14ac:dyDescent="0.2">
      <c r="A310" s="342" t="s">
        <v>1067</v>
      </c>
      <c r="B310" s="20"/>
      <c r="C310" s="27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32"/>
      <c r="O310" s="27"/>
      <c r="P310" s="27"/>
      <c r="Q310" s="27"/>
      <c r="R310" s="27"/>
      <c r="S310" s="27"/>
      <c r="T310" s="32"/>
      <c r="U310" s="27"/>
      <c r="V310" s="27"/>
      <c r="W310" s="27"/>
      <c r="X310" s="27"/>
      <c r="Y310" s="27"/>
      <c r="Z310" s="32"/>
      <c r="AA310" s="27"/>
      <c r="AB310" s="27"/>
      <c r="AC310" s="27"/>
      <c r="AD310" s="27"/>
      <c r="AE310" s="27"/>
      <c r="AF310" s="32"/>
      <c r="AG310" s="27"/>
      <c r="AH310" s="27"/>
      <c r="AI310" s="27"/>
      <c r="AJ310" s="27"/>
      <c r="AK310" s="27"/>
      <c r="AL310" s="32"/>
      <c r="AM310" s="27"/>
      <c r="AN310" s="27"/>
      <c r="AO310" s="27"/>
      <c r="AP310" s="27"/>
      <c r="AQ310" s="27"/>
      <c r="AR310" s="32"/>
      <c r="AS310" s="27"/>
      <c r="AT310" s="27"/>
      <c r="AU310" s="27"/>
      <c r="AV310" s="27"/>
      <c r="AW310" s="27"/>
      <c r="AX310" s="32"/>
      <c r="AY310" s="27"/>
      <c r="AZ310" s="27"/>
      <c r="BA310" s="27"/>
      <c r="BB310" s="27"/>
      <c r="BC310" s="27"/>
      <c r="BD310" s="32"/>
      <c r="BE310" s="27"/>
      <c r="BF310" s="27"/>
      <c r="BG310" s="27"/>
      <c r="BH310" s="27"/>
      <c r="BI310" s="27">
        <v>8.2866</v>
      </c>
      <c r="BJ310" s="32"/>
      <c r="BK310" s="27"/>
      <c r="BL310" s="27"/>
      <c r="BM310" s="27"/>
      <c r="BN310" s="27"/>
      <c r="BO310" s="592">
        <v>8.2867999999999995</v>
      </c>
      <c r="BP310" s="32"/>
      <c r="BQ310" s="27">
        <v>8.2672000000000008</v>
      </c>
      <c r="BR310" s="891">
        <v>8.2868999999999993</v>
      </c>
      <c r="BS310" s="891">
        <v>8.2868999999999993</v>
      </c>
      <c r="BT310" s="268"/>
      <c r="BU310" s="27"/>
      <c r="BV310" s="32"/>
      <c r="BW310" s="27"/>
      <c r="BX310" s="27"/>
      <c r="BY310" s="27"/>
      <c r="BZ310" s="27"/>
      <c r="CA310" s="27"/>
      <c r="CB310" s="32"/>
      <c r="CC310" s="27"/>
      <c r="CD310" s="27"/>
      <c r="CE310" s="27"/>
      <c r="CF310" s="27"/>
      <c r="CG310" s="27"/>
      <c r="CH310" s="32"/>
      <c r="CI310" s="27"/>
      <c r="CJ310" s="27"/>
      <c r="CK310" s="27"/>
      <c r="CL310" s="27"/>
      <c r="CM310" s="27"/>
      <c r="CN310" s="32"/>
      <c r="CO310" s="27"/>
      <c r="CP310" s="27"/>
      <c r="CQ310" s="27"/>
      <c r="CR310" s="27"/>
      <c r="CS310" s="27"/>
      <c r="CT310" s="100"/>
      <c r="CU310" s="27"/>
      <c r="CV310" s="27"/>
      <c r="CW310" s="27"/>
      <c r="CX310" s="27"/>
      <c r="CY310" s="27"/>
      <c r="CZ310" s="100"/>
      <c r="DA310" s="27"/>
      <c r="DB310" s="27"/>
      <c r="DC310" s="27"/>
      <c r="DD310" s="27"/>
      <c r="DE310" s="345"/>
      <c r="DF310" s="100"/>
      <c r="DG310" s="27"/>
      <c r="DH310" s="27"/>
      <c r="DI310" s="27"/>
      <c r="DJ310" s="27"/>
      <c r="DK310" s="345"/>
      <c r="DL310" s="100"/>
      <c r="DM310" s="27"/>
      <c r="DN310" s="27"/>
      <c r="DO310" s="27"/>
      <c r="DP310" s="27"/>
      <c r="DQ310" s="345"/>
      <c r="DR310" s="100"/>
      <c r="DS310" s="27"/>
      <c r="DT310" s="27"/>
      <c r="DU310" s="27"/>
      <c r="DV310" s="27"/>
      <c r="DW310" s="345"/>
      <c r="DX310" s="100"/>
      <c r="DY310" s="27"/>
      <c r="DZ310" s="27"/>
      <c r="EA310" s="27"/>
      <c r="EB310" s="27"/>
      <c r="EC310" s="345"/>
      <c r="ED310" s="100"/>
      <c r="EE310" s="27"/>
      <c r="EF310" s="27"/>
      <c r="EG310" s="27"/>
      <c r="EH310" s="27"/>
      <c r="EI310" s="345"/>
      <c r="EJ310" s="100"/>
      <c r="EK310" s="27"/>
      <c r="EL310" s="27"/>
      <c r="EM310" s="27"/>
      <c r="EN310" s="27"/>
      <c r="EO310" s="345"/>
      <c r="EP310" s="100"/>
      <c r="EQ310" s="27"/>
      <c r="ER310" s="27"/>
      <c r="ES310" s="27"/>
      <c r="ET310" s="27"/>
      <c r="EU310" s="345"/>
      <c r="EV310" s="100"/>
      <c r="EW310" s="27"/>
      <c r="EX310" s="27"/>
      <c r="EY310" s="27"/>
      <c r="EZ310" s="27"/>
      <c r="FA310" s="345"/>
      <c r="FB310" s="100"/>
      <c r="FC310" s="27"/>
      <c r="FD310" s="27"/>
      <c r="FE310" s="27"/>
      <c r="FF310" s="27"/>
      <c r="FG310" s="345"/>
      <c r="FH310" s="100"/>
      <c r="FI310" s="27"/>
      <c r="FJ310" s="27"/>
      <c r="FK310" s="27"/>
      <c r="FL310" s="27"/>
      <c r="FM310" s="345"/>
      <c r="FN310" s="27"/>
      <c r="FO310" s="27"/>
      <c r="FP310" s="27"/>
      <c r="FQ310" s="27"/>
      <c r="FR310"/>
      <c r="FS310"/>
      <c r="FT310"/>
      <c r="FU310"/>
      <c r="FV310"/>
      <c r="FW310"/>
      <c r="FX310" s="27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</row>
    <row r="311" spans="1:274" s="24" customFormat="1" ht="10.5" hidden="1" customHeight="1" outlineLevel="1" x14ac:dyDescent="0.2">
      <c r="A311" s="342" t="s">
        <v>380</v>
      </c>
      <c r="B311" s="20"/>
      <c r="C311" s="27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  <c r="AQ311" s="27"/>
      <c r="AR311" s="27"/>
      <c r="AS311" s="27"/>
      <c r="AT311" s="27"/>
      <c r="AU311" s="27"/>
      <c r="AV311" s="27"/>
      <c r="AW311" s="27"/>
      <c r="AX311" s="27"/>
      <c r="AY311" s="27"/>
      <c r="AZ311" s="27"/>
      <c r="BA311" s="27"/>
      <c r="BB311" s="27"/>
      <c r="BC311" s="27"/>
      <c r="BD311" s="27"/>
      <c r="BE311" s="27"/>
      <c r="BF311" s="27"/>
      <c r="BG311" s="27"/>
      <c r="BH311" s="27"/>
      <c r="BI311" s="27">
        <v>1.5309999999999999</v>
      </c>
      <c r="BJ311" s="27"/>
      <c r="BK311" s="27"/>
      <c r="BL311" s="27"/>
      <c r="BM311" s="27"/>
      <c r="BN311" s="27"/>
      <c r="BO311" s="592">
        <v>1.3655999999999999</v>
      </c>
      <c r="BP311" s="27"/>
      <c r="BQ311" s="27">
        <v>1.3862000000000001</v>
      </c>
      <c r="BR311" s="891">
        <v>1.2992999999999999</v>
      </c>
      <c r="BS311" s="891">
        <v>1.3359000000000001</v>
      </c>
      <c r="BT311" s="268"/>
      <c r="BU311" s="27"/>
      <c r="BV311" s="27"/>
      <c r="BW311" s="27"/>
      <c r="BX311" s="27"/>
      <c r="BY311" s="27"/>
      <c r="BZ311" s="27"/>
      <c r="CA311" s="27"/>
      <c r="CB311" s="27"/>
      <c r="CC311" s="27"/>
      <c r="CD311" s="27"/>
      <c r="CE311" s="27"/>
      <c r="CF311" s="27"/>
      <c r="CG311" s="27"/>
      <c r="CH311" s="27"/>
      <c r="CI311" s="27"/>
      <c r="CJ311" s="27"/>
      <c r="CK311" s="27"/>
      <c r="CL311" s="27"/>
      <c r="CM311" s="27"/>
      <c r="CN311" s="27"/>
      <c r="CO311" s="27"/>
      <c r="CP311" s="27"/>
      <c r="CQ311" s="27"/>
      <c r="CR311" s="27"/>
      <c r="CS311" s="27"/>
      <c r="CT311" s="345"/>
      <c r="CU311" s="27"/>
      <c r="CV311" s="27"/>
      <c r="CW311" s="27"/>
      <c r="CX311" s="27"/>
      <c r="CY311" s="27"/>
      <c r="CZ311" s="345"/>
      <c r="DA311" s="27"/>
      <c r="DB311" s="27"/>
      <c r="DC311" s="27"/>
      <c r="DD311" s="27"/>
      <c r="DE311" s="345"/>
      <c r="DF311" s="345"/>
      <c r="DG311" s="27"/>
      <c r="DH311" s="27"/>
      <c r="DI311" s="27"/>
      <c r="DJ311" s="27"/>
      <c r="DK311" s="345"/>
      <c r="DL311" s="345"/>
      <c r="DM311" s="27"/>
      <c r="DN311" s="27"/>
      <c r="DO311" s="27"/>
      <c r="DP311" s="27"/>
      <c r="DQ311" s="345"/>
      <c r="DR311" s="345"/>
      <c r="DS311" s="27"/>
      <c r="DT311" s="27"/>
      <c r="DU311" s="27"/>
      <c r="DV311" s="27"/>
      <c r="DW311" s="345"/>
      <c r="DX311" s="345"/>
      <c r="DY311" s="27"/>
      <c r="DZ311" s="27"/>
      <c r="EA311" s="27"/>
      <c r="EB311" s="27"/>
      <c r="EC311" s="345"/>
      <c r="ED311" s="345"/>
      <c r="EE311" s="27"/>
      <c r="EF311" s="27"/>
      <c r="EG311" s="27"/>
      <c r="EH311" s="27"/>
      <c r="EI311" s="345"/>
      <c r="EJ311" s="345"/>
      <c r="EK311" s="27"/>
      <c r="EL311" s="27"/>
      <c r="EM311" s="27"/>
      <c r="EN311" s="27"/>
      <c r="EO311" s="345"/>
      <c r="EP311" s="345"/>
      <c r="EQ311" s="27"/>
      <c r="ER311" s="27"/>
      <c r="ES311" s="27"/>
      <c r="ET311" s="27"/>
      <c r="EU311" s="345"/>
      <c r="EV311" s="345"/>
      <c r="EW311" s="27"/>
      <c r="EX311" s="27"/>
      <c r="EY311" s="27"/>
      <c r="EZ311" s="27"/>
      <c r="FA311" s="345"/>
      <c r="FB311" s="345"/>
      <c r="FC311" s="27"/>
      <c r="FD311" s="27"/>
      <c r="FE311" s="27"/>
      <c r="FF311" s="27"/>
      <c r="FG311" s="345"/>
      <c r="FH311" s="345"/>
      <c r="FI311" s="27"/>
      <c r="FJ311" s="27"/>
      <c r="FK311" s="27"/>
      <c r="FL311" s="27"/>
      <c r="FM311" s="345"/>
      <c r="FN311" s="27"/>
      <c r="FO311" s="27"/>
      <c r="FP311" s="27"/>
      <c r="FQ311" s="27"/>
      <c r="FR311"/>
      <c r="FS311"/>
      <c r="FT311"/>
      <c r="FU311"/>
      <c r="FV311"/>
      <c r="FW311"/>
      <c r="FX311" s="27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</row>
    <row r="312" spans="1:274" s="24" customFormat="1" ht="10.5" hidden="1" customHeight="1" outlineLevel="1" x14ac:dyDescent="0.2">
      <c r="A312" s="342" t="s">
        <v>381</v>
      </c>
      <c r="B312" s="20"/>
      <c r="C312" s="27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  <c r="AQ312" s="27"/>
      <c r="AR312" s="27"/>
      <c r="AS312" s="27"/>
      <c r="AT312" s="27"/>
      <c r="AU312" s="27"/>
      <c r="AV312" s="27"/>
      <c r="AW312" s="27"/>
      <c r="AX312" s="27"/>
      <c r="AY312" s="27"/>
      <c r="AZ312" s="27"/>
      <c r="BA312" s="27"/>
      <c r="BB312" s="27"/>
      <c r="BC312" s="27"/>
      <c r="BD312" s="27"/>
      <c r="BE312" s="27"/>
      <c r="BF312" s="27"/>
      <c r="BG312" s="27"/>
      <c r="BH312" s="27"/>
      <c r="BI312" s="27"/>
      <c r="BJ312" s="27"/>
      <c r="BK312" s="27"/>
      <c r="BL312" s="27"/>
      <c r="BM312" s="27"/>
      <c r="BN312" s="27"/>
      <c r="BO312" s="592"/>
      <c r="BP312" s="27"/>
      <c r="BQ312" s="27"/>
      <c r="BR312" s="891">
        <v>1.38083</v>
      </c>
      <c r="BS312" s="891">
        <v>1.29217</v>
      </c>
      <c r="BT312" s="268"/>
      <c r="BU312" s="27"/>
      <c r="BV312" s="27"/>
      <c r="BW312" s="27"/>
      <c r="BX312" s="593"/>
      <c r="BY312" s="27"/>
      <c r="BZ312" s="27"/>
      <c r="CA312" s="27"/>
      <c r="CB312" s="27"/>
      <c r="CC312" s="27"/>
      <c r="CD312" s="27"/>
      <c r="CE312" s="27"/>
      <c r="CF312" s="27"/>
      <c r="CG312" s="27"/>
      <c r="CH312" s="27"/>
      <c r="CI312" s="27"/>
      <c r="CJ312" s="27"/>
      <c r="CK312" s="27"/>
      <c r="CL312" s="27"/>
      <c r="CM312" s="27"/>
      <c r="CN312" s="27"/>
      <c r="CO312" s="27"/>
      <c r="CP312" s="27"/>
      <c r="CQ312" s="27"/>
      <c r="CR312" s="27"/>
      <c r="CS312" s="27"/>
      <c r="CT312" s="345"/>
      <c r="CU312" s="27"/>
      <c r="CV312" s="27"/>
      <c r="CW312" s="27"/>
      <c r="CX312" s="27"/>
      <c r="CY312" s="27"/>
      <c r="CZ312" s="345"/>
      <c r="DA312" s="27"/>
      <c r="DB312" s="27"/>
      <c r="DC312" s="27"/>
      <c r="DD312" s="27"/>
      <c r="DE312" s="345"/>
      <c r="DF312" s="345"/>
      <c r="DG312" s="27"/>
      <c r="DH312" s="27"/>
      <c r="DI312" s="27"/>
      <c r="DJ312" s="27"/>
      <c r="DK312" s="345"/>
      <c r="DL312" s="345"/>
      <c r="DM312" s="27"/>
      <c r="DN312" s="27"/>
      <c r="DO312" s="27"/>
      <c r="DP312" s="27"/>
      <c r="DQ312" s="345"/>
      <c r="DR312" s="345"/>
      <c r="DS312" s="27"/>
      <c r="DT312" s="27"/>
      <c r="DU312" s="27"/>
      <c r="DV312" s="27"/>
      <c r="DW312" s="345"/>
      <c r="DX312" s="345"/>
      <c r="DY312" s="27"/>
      <c r="DZ312" s="27"/>
      <c r="EA312" s="27"/>
      <c r="EB312" s="27"/>
      <c r="EC312" s="345"/>
      <c r="ED312" s="345"/>
      <c r="EE312" s="27"/>
      <c r="EF312" s="27"/>
      <c r="EG312" s="27"/>
      <c r="EH312" s="27"/>
      <c r="EI312" s="345"/>
      <c r="EJ312" s="345"/>
      <c r="EK312" s="27"/>
      <c r="EL312" s="27"/>
      <c r="EM312" s="27"/>
      <c r="EN312" s="27"/>
      <c r="EO312" s="345"/>
      <c r="EP312" s="345"/>
      <c r="EQ312" s="27"/>
      <c r="ER312" s="27"/>
      <c r="ES312" s="27"/>
      <c r="ET312" s="27"/>
      <c r="EU312" s="345"/>
      <c r="EV312" s="345"/>
      <c r="EW312" s="27"/>
      <c r="EX312" s="27"/>
      <c r="EY312" s="27"/>
      <c r="EZ312" s="27"/>
      <c r="FA312" s="345"/>
      <c r="FB312" s="345"/>
      <c r="FC312" s="27"/>
      <c r="FD312" s="27"/>
      <c r="FE312" s="27"/>
      <c r="FF312" s="27"/>
      <c r="FG312" s="345"/>
      <c r="FH312" s="345"/>
      <c r="FI312" s="27"/>
      <c r="FJ312" s="27"/>
      <c r="FK312" s="27"/>
      <c r="FL312" s="27"/>
      <c r="FM312" s="345"/>
      <c r="FN312" s="27"/>
      <c r="FO312" s="27"/>
      <c r="FP312" s="27"/>
      <c r="FQ312" s="27"/>
      <c r="FR312"/>
      <c r="FS312"/>
      <c r="FT312"/>
      <c r="FU312"/>
      <c r="FV312"/>
      <c r="FW312"/>
      <c r="FX312" s="27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</row>
    <row r="313" spans="1:274" s="24" customFormat="1" ht="10.5" hidden="1" customHeight="1" outlineLevel="1" x14ac:dyDescent="0.2">
      <c r="A313" s="342" t="s">
        <v>382</v>
      </c>
      <c r="B313" s="20"/>
      <c r="C313" s="27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  <c r="AQ313" s="27"/>
      <c r="AR313" s="27"/>
      <c r="AS313" s="27"/>
      <c r="AT313" s="27"/>
      <c r="AU313" s="27"/>
      <c r="AV313" s="27"/>
      <c r="AW313" s="27"/>
      <c r="AX313" s="27"/>
      <c r="AY313" s="27"/>
      <c r="AZ313" s="27"/>
      <c r="BA313" s="27"/>
      <c r="BB313" s="27"/>
      <c r="BC313" s="27"/>
      <c r="BD313" s="27"/>
      <c r="BE313" s="27"/>
      <c r="BF313" s="27"/>
      <c r="BG313" s="27"/>
      <c r="BH313" s="27"/>
      <c r="BI313" s="27"/>
      <c r="BJ313" s="27"/>
      <c r="BK313" s="27"/>
      <c r="BL313" s="27"/>
      <c r="BM313" s="27"/>
      <c r="BN313" s="27"/>
      <c r="BO313" s="592"/>
      <c r="BP313" s="27"/>
      <c r="BQ313" s="27"/>
      <c r="BR313" s="891">
        <v>6.375</v>
      </c>
      <c r="BS313" s="891">
        <v>6.6364999999999998</v>
      </c>
      <c r="BT313" s="268"/>
      <c r="BU313" s="27"/>
      <c r="BV313" s="27"/>
      <c r="BW313" s="27"/>
      <c r="BX313" s="27"/>
      <c r="BY313" s="27"/>
      <c r="BZ313" s="27"/>
      <c r="CA313" s="27"/>
      <c r="CB313" s="27"/>
      <c r="CC313" s="27"/>
      <c r="CD313" s="27"/>
      <c r="CE313" s="27"/>
      <c r="CF313" s="27"/>
      <c r="CG313" s="27"/>
      <c r="CH313" s="27"/>
      <c r="CI313" s="27"/>
      <c r="CJ313" s="27"/>
      <c r="CK313" s="27"/>
      <c r="CL313" s="27"/>
      <c r="CM313" s="27"/>
      <c r="CN313" s="27"/>
      <c r="CO313" s="27"/>
      <c r="CP313" s="27"/>
      <c r="CQ313" s="27"/>
      <c r="CR313" s="27"/>
      <c r="CS313" s="27"/>
      <c r="CT313" s="345"/>
      <c r="CU313" s="27"/>
      <c r="CV313" s="27"/>
      <c r="CW313" s="27"/>
      <c r="CX313" s="27"/>
      <c r="CY313" s="27"/>
      <c r="CZ313" s="345"/>
      <c r="DA313" s="27"/>
      <c r="DB313" s="27"/>
      <c r="DC313" s="27"/>
      <c r="DD313" s="27"/>
      <c r="DE313" s="345"/>
      <c r="DF313" s="345"/>
      <c r="DG313" s="27"/>
      <c r="DH313" s="27"/>
      <c r="DI313" s="27"/>
      <c r="DJ313" s="27"/>
      <c r="DK313" s="345"/>
      <c r="DL313" s="345"/>
      <c r="DM313" s="27"/>
      <c r="DN313" s="27"/>
      <c r="DO313" s="27"/>
      <c r="DP313" s="27"/>
      <c r="DQ313" s="345"/>
      <c r="DR313" s="345"/>
      <c r="DS313" s="27"/>
      <c r="DT313" s="27"/>
      <c r="DU313" s="27"/>
      <c r="DV313" s="27"/>
      <c r="DW313" s="345"/>
      <c r="DX313" s="345"/>
      <c r="DY313" s="27"/>
      <c r="DZ313" s="27"/>
      <c r="EA313" s="27"/>
      <c r="EB313" s="27"/>
      <c r="EC313" s="345"/>
      <c r="ED313" s="345"/>
      <c r="EE313" s="27"/>
      <c r="EF313" s="27"/>
      <c r="EG313" s="27"/>
      <c r="EH313" s="27"/>
      <c r="EI313" s="345"/>
      <c r="EJ313" s="345"/>
      <c r="EK313" s="27"/>
      <c r="EL313" s="27"/>
      <c r="EM313" s="27"/>
      <c r="EN313" s="27"/>
      <c r="EO313" s="345"/>
      <c r="EP313" s="345"/>
      <c r="EQ313" s="27"/>
      <c r="ER313" s="27"/>
      <c r="ES313" s="27"/>
      <c r="ET313" s="27"/>
      <c r="EU313" s="345"/>
      <c r="EV313" s="345"/>
      <c r="EW313" s="27"/>
      <c r="EX313" s="27"/>
      <c r="EY313" s="27"/>
      <c r="EZ313" s="27"/>
      <c r="FA313" s="345"/>
      <c r="FB313" s="345"/>
      <c r="FC313" s="27"/>
      <c r="FD313" s="27"/>
      <c r="FE313" s="27"/>
      <c r="FF313" s="27"/>
      <c r="FG313" s="345"/>
      <c r="FH313" s="345"/>
      <c r="FI313" s="27"/>
      <c r="FJ313" s="27"/>
      <c r="FK313" s="27"/>
      <c r="FL313" s="27"/>
      <c r="FM313" s="345"/>
      <c r="FN313" s="27"/>
      <c r="FO313" s="27"/>
      <c r="FP313" s="27"/>
      <c r="FQ313" s="27"/>
      <c r="FR313"/>
      <c r="FS313"/>
      <c r="FT313"/>
      <c r="FU313"/>
      <c r="FV313"/>
      <c r="FW313"/>
      <c r="FX313" s="27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</row>
    <row r="314" spans="1:274" s="24" customFormat="1" ht="10.5" hidden="1" customHeight="1" outlineLevel="1" x14ac:dyDescent="0.2">
      <c r="A314" s="27"/>
      <c r="B314" s="20"/>
      <c r="C314" s="27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  <c r="AQ314" s="27"/>
      <c r="AR314" s="27"/>
      <c r="AS314" s="27"/>
      <c r="AT314" s="27"/>
      <c r="AU314" s="27"/>
      <c r="AV314" s="27"/>
      <c r="AW314" s="27"/>
      <c r="AX314" s="27"/>
      <c r="AY314" s="27"/>
      <c r="AZ314" s="27"/>
      <c r="BA314" s="27"/>
      <c r="BB314" s="27"/>
      <c r="BC314" s="27"/>
      <c r="BD314" s="27"/>
      <c r="BE314" s="27"/>
      <c r="BF314" s="27"/>
      <c r="BG314" s="27"/>
      <c r="BH314" s="27"/>
      <c r="BI314" s="27"/>
      <c r="BJ314" s="27"/>
      <c r="BK314" s="27"/>
      <c r="BL314" s="27"/>
      <c r="BM314" s="27"/>
      <c r="BN314" s="27"/>
      <c r="BO314" s="27"/>
      <c r="BP314" s="27"/>
      <c r="BQ314" s="27"/>
      <c r="BR314" s="27"/>
      <c r="BS314" s="27"/>
      <c r="BT314" s="268"/>
      <c r="BU314" s="27"/>
      <c r="BV314" s="27"/>
      <c r="BW314" s="27"/>
      <c r="BX314" s="593"/>
      <c r="BY314" s="27"/>
      <c r="BZ314" s="27"/>
      <c r="CA314" s="27"/>
      <c r="CB314" s="27"/>
      <c r="CC314" s="27"/>
      <c r="CD314" s="27"/>
      <c r="CE314" s="27"/>
      <c r="CF314" s="27"/>
      <c r="CG314" s="27"/>
      <c r="CH314" s="27"/>
      <c r="CI314" s="27"/>
      <c r="CJ314" s="27"/>
      <c r="CK314" s="27"/>
      <c r="CL314" s="27"/>
      <c r="CM314" s="27"/>
      <c r="CN314" s="27"/>
      <c r="CO314" s="27"/>
      <c r="CP314" s="27"/>
      <c r="CQ314" s="27"/>
      <c r="CR314" s="27"/>
      <c r="CS314" s="27"/>
      <c r="CT314" s="345"/>
      <c r="CU314" s="27"/>
      <c r="CV314" s="27"/>
      <c r="CW314" s="27"/>
      <c r="CX314" s="27"/>
      <c r="CY314" s="27"/>
      <c r="CZ314" s="345"/>
      <c r="DA314" s="27"/>
      <c r="DB314" s="27"/>
      <c r="DC314" s="27"/>
      <c r="DD314" s="27"/>
      <c r="DE314" s="345"/>
      <c r="DF314" s="345"/>
      <c r="DG314" s="27"/>
      <c r="DH314" s="27"/>
      <c r="DI314" s="27"/>
      <c r="DJ314" s="27"/>
      <c r="DK314" s="345"/>
      <c r="DL314" s="345"/>
      <c r="DM314" s="27"/>
      <c r="DN314" s="27"/>
      <c r="DO314" s="27"/>
      <c r="DP314" s="27"/>
      <c r="DQ314" s="345"/>
      <c r="DR314" s="345"/>
      <c r="DS314" s="27"/>
      <c r="DT314" s="27"/>
      <c r="DU314" s="27"/>
      <c r="DV314" s="27"/>
      <c r="DW314" s="345"/>
      <c r="DX314" s="345"/>
      <c r="DY314" s="27"/>
      <c r="DZ314" s="27"/>
      <c r="EA314" s="27"/>
      <c r="EB314" s="27"/>
      <c r="EC314" s="345"/>
      <c r="ED314" s="345"/>
      <c r="EE314" s="27"/>
      <c r="EF314" s="27"/>
      <c r="EG314" s="27"/>
      <c r="EH314" s="27"/>
      <c r="EI314" s="345"/>
      <c r="EJ314" s="345"/>
      <c r="EK314" s="27"/>
      <c r="EL314" s="27"/>
      <c r="EM314" s="27"/>
      <c r="EN314" s="27"/>
      <c r="EO314" s="345"/>
      <c r="EP314" s="345"/>
      <c r="EQ314" s="27"/>
      <c r="ER314" s="27"/>
      <c r="ES314" s="27"/>
      <c r="ET314" s="27"/>
      <c r="EU314" s="345"/>
      <c r="EV314" s="345"/>
      <c r="EW314" s="27"/>
      <c r="EX314" s="27"/>
      <c r="EY314" s="27"/>
      <c r="EZ314" s="27"/>
      <c r="FA314" s="345"/>
      <c r="FB314" s="345"/>
      <c r="FC314" s="27"/>
      <c r="FD314" s="27"/>
      <c r="FE314" s="27"/>
      <c r="FF314" s="27"/>
      <c r="FG314" s="345"/>
      <c r="FH314" s="345"/>
      <c r="FI314" s="27"/>
      <c r="FJ314" s="27"/>
      <c r="FK314" s="27"/>
      <c r="FL314" s="27"/>
      <c r="FM314" s="345"/>
      <c r="FN314" s="27"/>
      <c r="FO314" s="27"/>
      <c r="FP314" s="27"/>
      <c r="FQ314" s="27"/>
      <c r="FR314"/>
      <c r="FS314"/>
      <c r="FT314"/>
      <c r="FU314"/>
      <c r="FV314"/>
      <c r="FW314"/>
      <c r="FX314" s="27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</row>
    <row r="315" spans="1:274" s="24" customFormat="1" ht="10.5" hidden="1" customHeight="1" outlineLevel="1" x14ac:dyDescent="0.2">
      <c r="A315" s="27" t="s">
        <v>912</v>
      </c>
      <c r="B315" s="20"/>
      <c r="C315" s="27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  <c r="AQ315" s="27"/>
      <c r="AR315" s="27"/>
      <c r="AS315" s="27"/>
      <c r="AT315" s="27"/>
      <c r="AU315" s="27"/>
      <c r="AV315" s="27"/>
      <c r="AW315" s="27"/>
      <c r="AX315" s="27"/>
      <c r="AY315" s="27"/>
      <c r="AZ315" s="27"/>
      <c r="BA315" s="27"/>
      <c r="BB315" s="27"/>
      <c r="BC315" s="27"/>
      <c r="BD315" s="27"/>
      <c r="BE315" s="27"/>
      <c r="BF315" s="27"/>
      <c r="BG315" s="27"/>
      <c r="BH315" s="27"/>
      <c r="BI315" s="27"/>
      <c r="BJ315" s="27"/>
      <c r="BK315" s="27"/>
      <c r="BL315" s="27"/>
      <c r="BM315" s="27"/>
      <c r="BN315" s="27"/>
      <c r="BO315" s="27"/>
      <c r="BP315" s="27"/>
      <c r="BQ315" s="27"/>
      <c r="BR315" s="27"/>
      <c r="BS315" s="27"/>
      <c r="BT315" s="27"/>
      <c r="BU315" s="27"/>
      <c r="BV315" s="27"/>
      <c r="BW315" s="27"/>
      <c r="BX315" s="27"/>
      <c r="BY315" s="27"/>
      <c r="BZ315" s="27"/>
      <c r="CA315" s="27"/>
      <c r="CB315" s="27"/>
      <c r="CC315" s="27"/>
      <c r="CD315" s="27"/>
      <c r="CE315" s="27"/>
      <c r="CF315" s="27"/>
      <c r="CG315" s="27"/>
      <c r="CH315" s="27"/>
      <c r="CI315" s="27"/>
      <c r="CJ315" s="27"/>
      <c r="CK315" s="27"/>
      <c r="CL315" s="27"/>
      <c r="CM315" s="27"/>
      <c r="CN315" s="27"/>
      <c r="CO315" s="27"/>
      <c r="CP315" s="27"/>
      <c r="CQ315" s="27"/>
      <c r="CR315" s="27"/>
      <c r="CS315" s="27"/>
      <c r="CT315" s="345"/>
      <c r="CU315" s="27"/>
      <c r="CV315" s="27"/>
      <c r="CW315" s="27"/>
      <c r="CX315" s="27"/>
      <c r="CY315" s="27"/>
      <c r="CZ315" s="345"/>
      <c r="DA315" s="27"/>
      <c r="DB315" s="27"/>
      <c r="DC315" s="27"/>
      <c r="DD315" s="27"/>
      <c r="DE315" s="345"/>
      <c r="DF315" s="345"/>
      <c r="DG315" s="27"/>
      <c r="DH315" s="27"/>
      <c r="DI315" s="27"/>
      <c r="DJ315" s="27"/>
      <c r="DK315" s="345"/>
      <c r="DL315" s="345"/>
      <c r="DM315" s="27"/>
      <c r="DN315" s="27"/>
      <c r="DO315" s="27"/>
      <c r="DP315" s="27"/>
      <c r="DQ315" s="345"/>
      <c r="DR315" s="345"/>
      <c r="DS315" s="27"/>
      <c r="DT315" s="27"/>
      <c r="DU315" s="27"/>
      <c r="DV315" s="27"/>
      <c r="DW315" s="345"/>
      <c r="DX315" s="345"/>
      <c r="DY315" s="27"/>
      <c r="DZ315" s="27"/>
      <c r="EA315" s="27"/>
      <c r="EB315" s="27"/>
      <c r="EC315" s="345"/>
      <c r="ED315" s="345"/>
      <c r="EE315" s="27"/>
      <c r="EF315" s="27"/>
      <c r="EG315" s="27"/>
      <c r="EH315" s="27"/>
      <c r="EI315" s="345"/>
      <c r="EJ315" s="345"/>
      <c r="EK315" s="27"/>
      <c r="EL315" s="27"/>
      <c r="EM315" s="27"/>
      <c r="EN315" s="27"/>
      <c r="EO315" s="345"/>
      <c r="EP315" s="345"/>
      <c r="EQ315" s="27"/>
      <c r="ER315" s="27"/>
      <c r="ES315" s="27"/>
      <c r="ET315" s="27"/>
      <c r="EU315" s="345"/>
      <c r="EV315" s="345"/>
      <c r="EW315" s="27"/>
      <c r="EX315" s="27"/>
      <c r="EY315" s="27"/>
      <c r="EZ315" s="27"/>
      <c r="FA315" s="345"/>
      <c r="FB315" s="345"/>
      <c r="FC315" s="27"/>
      <c r="FD315" s="27"/>
      <c r="FE315" s="27"/>
      <c r="FF315" s="27"/>
      <c r="FG315" s="345"/>
      <c r="FH315" s="345"/>
      <c r="FI315" s="27"/>
      <c r="FJ315" s="27"/>
      <c r="FK315" s="27"/>
      <c r="FL315" s="27"/>
      <c r="FM315" s="345"/>
      <c r="FN315" s="27"/>
      <c r="FO315" s="27"/>
      <c r="FP315" s="27"/>
      <c r="FQ315" s="27"/>
      <c r="FR315"/>
      <c r="FS315"/>
      <c r="FT315"/>
      <c r="FU315"/>
      <c r="FV315"/>
      <c r="FW315"/>
      <c r="FX315" s="27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</row>
    <row r="316" spans="1:274" s="24" customFormat="1" ht="10.5" hidden="1" customHeight="1" outlineLevel="1" x14ac:dyDescent="0.2">
      <c r="A316" s="342" t="s">
        <v>833</v>
      </c>
      <c r="B316" s="20"/>
      <c r="C316" s="27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  <c r="AQ316" s="27"/>
      <c r="AR316" s="27"/>
      <c r="AS316" s="27"/>
      <c r="AT316" s="27"/>
      <c r="AU316" s="27"/>
      <c r="AV316" s="27"/>
      <c r="AW316" s="27"/>
      <c r="AX316" s="27"/>
      <c r="AY316" s="27"/>
      <c r="AZ316" s="27"/>
      <c r="BA316" s="27"/>
      <c r="BB316" s="27"/>
      <c r="BC316" s="27"/>
      <c r="BD316" s="27"/>
      <c r="BE316" s="27"/>
      <c r="BF316" s="27"/>
      <c r="BG316" s="27"/>
      <c r="BH316" s="27"/>
      <c r="BI316" s="242">
        <f>BI297*BI307</f>
        <v>80119.05</v>
      </c>
      <c r="BJ316" s="27"/>
      <c r="BK316" s="27"/>
      <c r="BL316" s="27"/>
      <c r="BM316" s="27"/>
      <c r="BN316" s="27"/>
      <c r="BO316" s="242">
        <f>BO297*BO307</f>
        <v>86170.7</v>
      </c>
      <c r="BP316" s="27"/>
      <c r="BQ316" s="242">
        <f t="shared" ref="BQ316:BS320" si="157">BQ297*BQ307</f>
        <v>82119.960000000006</v>
      </c>
      <c r="BR316" s="242">
        <f t="shared" si="157"/>
        <v>84014.88</v>
      </c>
      <c r="BS316" s="242">
        <f t="shared" si="157"/>
        <v>81517.040000000008</v>
      </c>
      <c r="BT316" s="268"/>
      <c r="BU316" s="27"/>
      <c r="BV316" s="27"/>
      <c r="BW316" s="27"/>
      <c r="BX316" s="27"/>
      <c r="BY316" s="27"/>
      <c r="BZ316" s="27"/>
      <c r="CA316" s="27"/>
      <c r="CB316" s="27"/>
      <c r="CC316" s="27"/>
      <c r="CD316" s="27"/>
      <c r="CE316" s="27"/>
      <c r="CF316" s="27"/>
      <c r="CG316" s="27"/>
      <c r="CH316" s="27"/>
      <c r="CI316" s="27"/>
      <c r="CJ316" s="27"/>
      <c r="CK316" s="27"/>
      <c r="CL316" s="27"/>
      <c r="CM316" s="27"/>
      <c r="CN316" s="27"/>
      <c r="CO316" s="27"/>
      <c r="CP316" s="27"/>
      <c r="CQ316" s="27"/>
      <c r="CR316" s="27"/>
      <c r="CS316" s="27"/>
      <c r="CT316" s="345"/>
      <c r="CU316" s="27"/>
      <c r="CV316" s="27"/>
      <c r="CW316" s="27"/>
      <c r="CX316" s="27"/>
      <c r="CY316" s="27"/>
      <c r="CZ316" s="345"/>
      <c r="DA316" s="27"/>
      <c r="DB316" s="27"/>
      <c r="DC316" s="27"/>
      <c r="DD316" s="27"/>
      <c r="DE316" s="345"/>
      <c r="DF316" s="345"/>
      <c r="DG316" s="27"/>
      <c r="DH316" s="27"/>
      <c r="DI316" s="27"/>
      <c r="DJ316" s="27"/>
      <c r="DK316" s="345"/>
      <c r="DL316" s="345"/>
      <c r="DM316" s="27"/>
      <c r="DN316" s="27"/>
      <c r="DO316" s="27"/>
      <c r="DP316" s="27"/>
      <c r="DQ316" s="345"/>
      <c r="DR316" s="345"/>
      <c r="DS316" s="27"/>
      <c r="DT316" s="27"/>
      <c r="DU316" s="27"/>
      <c r="DV316" s="27"/>
      <c r="DW316" s="345"/>
      <c r="DX316" s="345"/>
      <c r="DY316" s="27"/>
      <c r="DZ316" s="27"/>
      <c r="EA316" s="27"/>
      <c r="EB316" s="27"/>
      <c r="EC316" s="345"/>
      <c r="ED316" s="345"/>
      <c r="EE316" s="27"/>
      <c r="EF316" s="27"/>
      <c r="EG316" s="27"/>
      <c r="EH316" s="27"/>
      <c r="EI316" s="345"/>
      <c r="EJ316" s="345"/>
      <c r="EK316" s="27"/>
      <c r="EL316" s="27"/>
      <c r="EM316" s="27"/>
      <c r="EN316" s="27"/>
      <c r="EO316" s="345"/>
      <c r="EP316" s="345"/>
      <c r="EQ316" s="27"/>
      <c r="ER316" s="27"/>
      <c r="ES316" s="27"/>
      <c r="ET316" s="27"/>
      <c r="EU316" s="345"/>
      <c r="EV316" s="345"/>
      <c r="EW316" s="27"/>
      <c r="EX316" s="27"/>
      <c r="EY316" s="27"/>
      <c r="EZ316" s="27"/>
      <c r="FA316" s="345"/>
      <c r="FB316" s="345"/>
      <c r="FC316" s="27"/>
      <c r="FD316" s="27"/>
      <c r="FE316" s="27"/>
      <c r="FF316" s="27"/>
      <c r="FG316" s="345"/>
      <c r="FH316" s="345"/>
      <c r="FI316" s="27"/>
      <c r="FJ316" s="27"/>
      <c r="FK316" s="27"/>
      <c r="FL316" s="27"/>
      <c r="FM316" s="345"/>
      <c r="FN316" s="27"/>
      <c r="FO316" s="27"/>
      <c r="FP316" s="27"/>
      <c r="FQ316" s="27"/>
      <c r="FR316"/>
      <c r="FS316"/>
      <c r="FT316"/>
      <c r="FU316"/>
      <c r="FV316"/>
      <c r="FW316"/>
      <c r="FX316" s="27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</row>
    <row r="317" spans="1:274" s="24" customFormat="1" ht="10.5" hidden="1" customHeight="1" outlineLevel="1" x14ac:dyDescent="0.2">
      <c r="A317" s="342" t="s">
        <v>834</v>
      </c>
      <c r="B317" s="20"/>
      <c r="C317" s="27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  <c r="AQ317" s="27"/>
      <c r="AR317" s="27"/>
      <c r="AS317" s="27"/>
      <c r="AT317" s="27"/>
      <c r="AU317" s="27"/>
      <c r="AV317" s="27"/>
      <c r="AW317" s="27"/>
      <c r="AX317" s="27"/>
      <c r="AY317" s="27"/>
      <c r="AZ317" s="27"/>
      <c r="BA317" s="27"/>
      <c r="BB317" s="27"/>
      <c r="BC317" s="27"/>
      <c r="BD317" s="27"/>
      <c r="BE317" s="27"/>
      <c r="BF317" s="27"/>
      <c r="BG317" s="27"/>
      <c r="BH317" s="27"/>
      <c r="BI317" s="242">
        <f>BI298*BI308</f>
        <v>369.34116</v>
      </c>
      <c r="BJ317" s="27"/>
      <c r="BK317" s="27"/>
      <c r="BL317" s="27"/>
      <c r="BM317" s="27"/>
      <c r="BN317" s="27"/>
      <c r="BO317" s="242">
        <f>BO298*BO308</f>
        <v>830.29265999999996</v>
      </c>
      <c r="BP317" s="27"/>
      <c r="BQ317" s="242">
        <f t="shared" si="157"/>
        <v>1006.6480200000001</v>
      </c>
      <c r="BR317" s="242">
        <f t="shared" si="157"/>
        <v>1055.4021499999999</v>
      </c>
      <c r="BS317" s="242">
        <f t="shared" si="157"/>
        <v>1240.6975</v>
      </c>
      <c r="BT317" s="268"/>
      <c r="BU317" s="27"/>
      <c r="BV317" s="27"/>
      <c r="BW317" s="27"/>
      <c r="BX317" s="27"/>
      <c r="BY317" s="27"/>
      <c r="BZ317" s="27"/>
      <c r="CA317" s="27"/>
      <c r="CB317" s="27"/>
      <c r="CC317" s="27"/>
      <c r="CD317" s="27"/>
      <c r="CE317" s="27"/>
      <c r="CF317" s="27"/>
      <c r="CG317" s="27"/>
      <c r="CH317" s="27"/>
      <c r="CI317" s="27"/>
      <c r="CJ317" s="27"/>
      <c r="CK317" s="27"/>
      <c r="CL317" s="27"/>
      <c r="CM317" s="27"/>
      <c r="CN317" s="27"/>
      <c r="CO317" s="27"/>
      <c r="CP317" s="27"/>
      <c r="CQ317" s="27"/>
      <c r="CR317" s="27"/>
      <c r="CS317" s="27"/>
      <c r="CT317" s="345"/>
      <c r="CU317" s="27"/>
      <c r="CV317" s="27"/>
      <c r="CW317" s="27"/>
      <c r="CX317" s="27"/>
      <c r="CY317" s="27"/>
      <c r="CZ317" s="345"/>
      <c r="DA317" s="27"/>
      <c r="DB317" s="27"/>
      <c r="DC317" s="27"/>
      <c r="DD317" s="27"/>
      <c r="DE317" s="345"/>
      <c r="DF317" s="345"/>
      <c r="DG317" s="27"/>
      <c r="DH317" s="27"/>
      <c r="DI317" s="27"/>
      <c r="DJ317" s="27"/>
      <c r="DK317" s="345"/>
      <c r="DL317" s="345"/>
      <c r="DM317" s="27"/>
      <c r="DN317" s="27"/>
      <c r="DO317" s="27"/>
      <c r="DP317" s="27"/>
      <c r="DQ317" s="345"/>
      <c r="DR317" s="345"/>
      <c r="DS317" s="27"/>
      <c r="DT317" s="27"/>
      <c r="DU317" s="27"/>
      <c r="DV317" s="27"/>
      <c r="DW317" s="345"/>
      <c r="DX317" s="345"/>
      <c r="DY317" s="27"/>
      <c r="DZ317" s="27"/>
      <c r="EA317" s="27"/>
      <c r="EB317" s="27"/>
      <c r="EC317" s="345"/>
      <c r="ED317" s="345"/>
      <c r="EE317" s="27"/>
      <c r="EF317" s="27"/>
      <c r="EG317" s="27"/>
      <c r="EH317" s="27"/>
      <c r="EI317" s="345"/>
      <c r="EJ317" s="345"/>
      <c r="EK317" s="27"/>
      <c r="EL317" s="27"/>
      <c r="EM317" s="27"/>
      <c r="EN317" s="27"/>
      <c r="EO317" s="345"/>
      <c r="EP317" s="345"/>
      <c r="EQ317" s="27"/>
      <c r="ER317" s="27"/>
      <c r="ES317" s="27"/>
      <c r="ET317" s="27"/>
      <c r="EU317" s="345"/>
      <c r="EV317" s="345"/>
      <c r="EW317" s="27"/>
      <c r="EX317" s="27"/>
      <c r="EY317" s="27"/>
      <c r="EZ317" s="27"/>
      <c r="FA317" s="345"/>
      <c r="FB317" s="345"/>
      <c r="FC317" s="27"/>
      <c r="FD317" s="27"/>
      <c r="FE317" s="27"/>
      <c r="FF317" s="27"/>
      <c r="FG317" s="345"/>
      <c r="FH317" s="345"/>
      <c r="FI317" s="27"/>
      <c r="FJ317" s="27"/>
      <c r="FK317" s="27"/>
      <c r="FL317" s="27"/>
      <c r="FM317" s="345"/>
      <c r="FN317" s="27"/>
      <c r="FO317" s="27"/>
      <c r="FP317" s="27"/>
      <c r="FQ317" s="27"/>
      <c r="FR317"/>
      <c r="FS317"/>
      <c r="FT317"/>
      <c r="FU317"/>
      <c r="FV317"/>
      <c r="FW317"/>
      <c r="FX317" s="2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</row>
    <row r="318" spans="1:274" s="24" customFormat="1" ht="10.5" hidden="1" customHeight="1" outlineLevel="1" x14ac:dyDescent="0.2">
      <c r="A318" s="342" t="s">
        <v>1066</v>
      </c>
      <c r="B318" s="20"/>
      <c r="C318" s="27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  <c r="AQ318" s="27"/>
      <c r="AR318" s="27"/>
      <c r="AS318" s="27"/>
      <c r="AT318" s="27"/>
      <c r="AU318" s="27"/>
      <c r="AV318" s="27"/>
      <c r="AW318" s="27"/>
      <c r="AX318" s="27"/>
      <c r="AY318" s="27"/>
      <c r="AZ318" s="27"/>
      <c r="BA318" s="27"/>
      <c r="BB318" s="27"/>
      <c r="BC318" s="27"/>
      <c r="BD318" s="27"/>
      <c r="BE318" s="27"/>
      <c r="BF318" s="27"/>
      <c r="BG318" s="27"/>
      <c r="BH318" s="27"/>
      <c r="BI318" s="242">
        <f>BI299*BI309</f>
        <v>90.791120000000006</v>
      </c>
      <c r="BJ318" s="27"/>
      <c r="BK318" s="27"/>
      <c r="BL318" s="27"/>
      <c r="BM318" s="27"/>
      <c r="BN318" s="27"/>
      <c r="BO318" s="242">
        <f>BO299*BO309</f>
        <v>88.05744</v>
      </c>
      <c r="BP318" s="27"/>
      <c r="BQ318" s="242">
        <f t="shared" si="157"/>
        <v>105.99824</v>
      </c>
      <c r="BR318" s="242">
        <f t="shared" si="157"/>
        <v>90.027100000000004</v>
      </c>
      <c r="BS318" s="242">
        <f t="shared" si="157"/>
        <v>102.84479999999999</v>
      </c>
      <c r="BT318" s="268"/>
      <c r="BU318" s="27"/>
      <c r="BV318" s="27"/>
      <c r="BW318" s="27"/>
      <c r="BX318" s="349"/>
      <c r="BY318" s="27"/>
      <c r="BZ318" s="27"/>
      <c r="CA318" s="27"/>
      <c r="CB318" s="27"/>
      <c r="CC318" s="27"/>
      <c r="CD318" s="27"/>
      <c r="CE318" s="27"/>
      <c r="CF318" s="27"/>
      <c r="CG318" s="27"/>
      <c r="CH318" s="27"/>
      <c r="CI318" s="27"/>
      <c r="CJ318" s="27"/>
      <c r="CK318" s="27"/>
      <c r="CL318" s="27"/>
      <c r="CM318" s="27"/>
      <c r="CN318" s="27"/>
      <c r="CO318" s="27"/>
      <c r="CP318" s="27"/>
      <c r="CQ318" s="27"/>
      <c r="CR318" s="27"/>
      <c r="CS318" s="27"/>
      <c r="CT318" s="345"/>
      <c r="CU318" s="27"/>
      <c r="CV318" s="27"/>
      <c r="CW318" s="27"/>
      <c r="CX318" s="27"/>
      <c r="CY318" s="27"/>
      <c r="CZ318" s="345"/>
      <c r="DA318" s="27"/>
      <c r="DB318" s="27"/>
      <c r="DC318" s="27"/>
      <c r="DD318" s="27"/>
      <c r="DE318" s="345"/>
      <c r="DF318" s="345"/>
      <c r="DG318" s="27"/>
      <c r="DH318" s="27"/>
      <c r="DI318" s="27"/>
      <c r="DJ318" s="27"/>
      <c r="DK318" s="345"/>
      <c r="DL318" s="345"/>
      <c r="DM318" s="27"/>
      <c r="DN318" s="27"/>
      <c r="DO318" s="27"/>
      <c r="DP318" s="27"/>
      <c r="DQ318" s="345"/>
      <c r="DR318" s="345"/>
      <c r="DS318" s="27"/>
      <c r="DT318" s="27"/>
      <c r="DU318" s="27"/>
      <c r="DV318" s="27"/>
      <c r="DW318" s="345"/>
      <c r="DX318" s="345"/>
      <c r="DY318" s="27"/>
      <c r="DZ318" s="27"/>
      <c r="EA318" s="27"/>
      <c r="EB318" s="27"/>
      <c r="EC318" s="345"/>
      <c r="ED318" s="345"/>
      <c r="EE318" s="27"/>
      <c r="EF318" s="27"/>
      <c r="EG318" s="27"/>
      <c r="EH318" s="27"/>
      <c r="EI318" s="345"/>
      <c r="EJ318" s="345"/>
      <c r="EK318" s="27"/>
      <c r="EL318" s="27"/>
      <c r="EM318" s="27"/>
      <c r="EN318" s="27"/>
      <c r="EO318" s="345"/>
      <c r="EP318" s="345"/>
      <c r="EQ318" s="27"/>
      <c r="ER318" s="27"/>
      <c r="ES318" s="27"/>
      <c r="ET318" s="27"/>
      <c r="EU318" s="345"/>
      <c r="EV318" s="345"/>
      <c r="EW318" s="27"/>
      <c r="EX318" s="27"/>
      <c r="EY318" s="27"/>
      <c r="EZ318" s="27"/>
      <c r="FA318" s="345"/>
      <c r="FB318" s="345"/>
      <c r="FC318" s="27"/>
      <c r="FD318" s="27"/>
      <c r="FE318" s="27"/>
      <c r="FF318" s="27"/>
      <c r="FG318" s="345"/>
      <c r="FH318" s="345"/>
      <c r="FI318" s="27"/>
      <c r="FJ318" s="27"/>
      <c r="FK318" s="27"/>
      <c r="FL318" s="27"/>
      <c r="FM318" s="345"/>
      <c r="FN318" s="27"/>
      <c r="FO318" s="27"/>
      <c r="FP318" s="27"/>
      <c r="FQ318" s="27"/>
      <c r="FR318"/>
      <c r="FS318"/>
      <c r="FT318"/>
      <c r="FU318"/>
      <c r="FV318"/>
      <c r="FW318"/>
      <c r="FX318" s="27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</row>
    <row r="319" spans="1:274" s="24" customFormat="1" ht="10.5" hidden="1" customHeight="1" outlineLevel="1" x14ac:dyDescent="0.2">
      <c r="A319" s="342" t="s">
        <v>1067</v>
      </c>
      <c r="B319" s="20"/>
      <c r="C319" s="27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  <c r="AQ319" s="27"/>
      <c r="AR319" s="27"/>
      <c r="AS319" s="27"/>
      <c r="AT319" s="27"/>
      <c r="AU319" s="27"/>
      <c r="AV319" s="27"/>
      <c r="AW319" s="27"/>
      <c r="AX319" s="27"/>
      <c r="AY319" s="27"/>
      <c r="AZ319" s="27"/>
      <c r="BA319" s="27"/>
      <c r="BB319" s="27"/>
      <c r="BC319" s="27"/>
      <c r="BD319" s="27"/>
      <c r="BE319" s="27"/>
      <c r="BF319" s="27"/>
      <c r="BG319" s="27"/>
      <c r="BH319" s="27"/>
      <c r="BI319" s="242">
        <f>BI300*BI310</f>
        <v>787.22699999999998</v>
      </c>
      <c r="BJ319" s="27"/>
      <c r="BK319" s="27"/>
      <c r="BL319" s="27"/>
      <c r="BM319" s="27"/>
      <c r="BN319" s="27"/>
      <c r="BO319" s="242">
        <f>BO300*BO310</f>
        <v>812.10639999999989</v>
      </c>
      <c r="BP319" s="27"/>
      <c r="BQ319" s="242">
        <f t="shared" si="157"/>
        <v>859.78880000000004</v>
      </c>
      <c r="BR319" s="242">
        <f t="shared" si="157"/>
        <v>952.99349999999993</v>
      </c>
      <c r="BS319" s="242">
        <f t="shared" si="157"/>
        <v>1193.3136</v>
      </c>
      <c r="BT319" s="268"/>
      <c r="BU319" s="27"/>
      <c r="BV319" s="27"/>
      <c r="BW319" s="27"/>
      <c r="BX319" s="27"/>
      <c r="BY319" s="27"/>
      <c r="BZ319" s="27"/>
      <c r="CA319" s="27"/>
      <c r="CB319" s="27"/>
      <c r="CC319" s="27"/>
      <c r="CD319" s="27"/>
      <c r="CE319" s="27"/>
      <c r="CF319" s="27"/>
      <c r="CG319" s="27"/>
      <c r="CH319" s="27"/>
      <c r="CI319" s="27"/>
      <c r="CJ319" s="27"/>
      <c r="CK319" s="27"/>
      <c r="CL319" s="27"/>
      <c r="CM319" s="27"/>
      <c r="CN319" s="27"/>
      <c r="CO319" s="27"/>
      <c r="CP319" s="27"/>
      <c r="CQ319" s="27"/>
      <c r="CR319" s="27"/>
      <c r="CS319" s="27"/>
      <c r="CT319" s="345"/>
      <c r="CU319" s="27"/>
      <c r="CV319" s="27"/>
      <c r="CW319" s="27"/>
      <c r="CX319" s="27"/>
      <c r="CY319" s="27"/>
      <c r="CZ319" s="345"/>
      <c r="DA319" s="27"/>
      <c r="DB319" s="27"/>
      <c r="DC319" s="27"/>
      <c r="DD319" s="27"/>
      <c r="DE319" s="345"/>
      <c r="DF319" s="345"/>
      <c r="DG319" s="27"/>
      <c r="DH319" s="27"/>
      <c r="DI319" s="27"/>
      <c r="DJ319" s="27"/>
      <c r="DK319" s="345"/>
      <c r="DL319" s="345"/>
      <c r="DM319" s="27"/>
      <c r="DN319" s="27"/>
      <c r="DO319" s="27"/>
      <c r="DP319" s="27"/>
      <c r="DQ319" s="345"/>
      <c r="DR319" s="345"/>
      <c r="DS319" s="27"/>
      <c r="DT319" s="27"/>
      <c r="DU319" s="27"/>
      <c r="DV319" s="27"/>
      <c r="DW319" s="345"/>
      <c r="DX319" s="345"/>
      <c r="DY319" s="27"/>
      <c r="DZ319" s="27"/>
      <c r="EA319" s="27"/>
      <c r="EB319" s="27"/>
      <c r="EC319" s="345"/>
      <c r="ED319" s="345"/>
      <c r="EE319" s="27"/>
      <c r="EF319" s="27"/>
      <c r="EG319" s="27"/>
      <c r="EH319" s="27"/>
      <c r="EI319" s="345"/>
      <c r="EJ319" s="345"/>
      <c r="EK319" s="27"/>
      <c r="EL319" s="27"/>
      <c r="EM319" s="27"/>
      <c r="EN319" s="27"/>
      <c r="EO319" s="345"/>
      <c r="EP319" s="345"/>
      <c r="EQ319" s="27"/>
      <c r="ER319" s="27"/>
      <c r="ES319" s="27"/>
      <c r="ET319" s="27"/>
      <c r="EU319" s="345"/>
      <c r="EV319" s="345"/>
      <c r="EW319" s="27"/>
      <c r="EX319" s="27"/>
      <c r="EY319" s="27"/>
      <c r="EZ319" s="27"/>
      <c r="FA319" s="345"/>
      <c r="FB319" s="345"/>
      <c r="FC319" s="27"/>
      <c r="FD319" s="27"/>
      <c r="FE319" s="27"/>
      <c r="FF319" s="27"/>
      <c r="FG319" s="345"/>
      <c r="FH319" s="345"/>
      <c r="FI319" s="27"/>
      <c r="FJ319" s="27"/>
      <c r="FK319" s="27"/>
      <c r="FL319" s="27"/>
      <c r="FM319" s="345"/>
      <c r="FN319" s="27"/>
      <c r="FO319" s="27"/>
      <c r="FP319" s="27"/>
      <c r="FQ319" s="27"/>
      <c r="FR319"/>
      <c r="FS319"/>
      <c r="FT319"/>
      <c r="FU319"/>
      <c r="FV319"/>
      <c r="FW319"/>
      <c r="FX319" s="27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</row>
    <row r="320" spans="1:274" s="24" customFormat="1" ht="10.5" hidden="1" customHeight="1" outlineLevel="1" x14ac:dyDescent="0.2">
      <c r="A320" s="342" t="s">
        <v>380</v>
      </c>
      <c r="B320" s="20"/>
      <c r="C320" s="27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  <c r="AQ320" s="27"/>
      <c r="AR320" s="27"/>
      <c r="AS320" s="27"/>
      <c r="AT320" s="27"/>
      <c r="AU320" s="27"/>
      <c r="AV320" s="27"/>
      <c r="AW320" s="27"/>
      <c r="AX320" s="27"/>
      <c r="AY320" s="27"/>
      <c r="AZ320" s="27"/>
      <c r="BA320" s="27"/>
      <c r="BB320" s="27"/>
      <c r="BC320" s="27"/>
      <c r="BD320" s="27"/>
      <c r="BE320" s="27"/>
      <c r="BF320" s="27"/>
      <c r="BG320" s="27"/>
      <c r="BH320" s="27"/>
      <c r="BI320" s="242">
        <f>BI301*BI311</f>
        <v>127.07299999999999</v>
      </c>
      <c r="BJ320" s="27"/>
      <c r="BK320" s="27"/>
      <c r="BL320" s="27"/>
      <c r="BM320" s="27"/>
      <c r="BN320" s="27"/>
      <c r="BO320" s="242">
        <f>BO301*BO311</f>
        <v>71.011200000000002</v>
      </c>
      <c r="BP320" s="27"/>
      <c r="BQ320" s="242">
        <f t="shared" si="157"/>
        <v>73.468600000000009</v>
      </c>
      <c r="BR320" s="242">
        <f t="shared" si="157"/>
        <v>83.155199999999994</v>
      </c>
      <c r="BS320" s="242">
        <f t="shared" si="157"/>
        <v>113.5515</v>
      </c>
      <c r="BT320" s="268"/>
      <c r="BU320" s="27"/>
      <c r="BV320" s="27"/>
      <c r="BW320" s="27"/>
      <c r="BX320" s="27"/>
      <c r="BY320" s="27"/>
      <c r="BZ320" s="27"/>
      <c r="CA320" s="27"/>
      <c r="CB320" s="27"/>
      <c r="CC320" s="27"/>
      <c r="CD320" s="27"/>
      <c r="CE320" s="27"/>
      <c r="CF320" s="27"/>
      <c r="CG320" s="27"/>
      <c r="CH320" s="27"/>
      <c r="CI320" s="27"/>
      <c r="CJ320" s="27"/>
      <c r="CK320" s="27"/>
      <c r="CL320" s="27"/>
      <c r="CM320" s="27"/>
      <c r="CN320" s="27"/>
      <c r="CO320" s="27"/>
      <c r="CP320" s="27"/>
      <c r="CQ320" s="27"/>
      <c r="CR320" s="27"/>
      <c r="CS320" s="27"/>
      <c r="CT320" s="345"/>
      <c r="CU320" s="27"/>
      <c r="CV320" s="27"/>
      <c r="CW320" s="27"/>
      <c r="CX320" s="27"/>
      <c r="CY320" s="27"/>
      <c r="CZ320" s="345"/>
      <c r="DA320" s="27"/>
      <c r="DB320" s="27"/>
      <c r="DC320" s="27"/>
      <c r="DD320" s="27"/>
      <c r="DE320" s="345"/>
      <c r="DF320" s="345"/>
      <c r="DG320" s="27"/>
      <c r="DH320" s="27"/>
      <c r="DI320" s="27"/>
      <c r="DJ320" s="27"/>
      <c r="DK320" s="345"/>
      <c r="DL320" s="345"/>
      <c r="DM320" s="27"/>
      <c r="DN320" s="27"/>
      <c r="DO320" s="27"/>
      <c r="DP320" s="27"/>
      <c r="DQ320" s="345"/>
      <c r="DR320" s="345"/>
      <c r="DS320" s="27"/>
      <c r="DT320" s="27"/>
      <c r="DU320" s="27"/>
      <c r="DV320" s="27"/>
      <c r="DW320" s="345"/>
      <c r="DX320" s="345"/>
      <c r="DY320" s="27"/>
      <c r="DZ320" s="27"/>
      <c r="EA320" s="27"/>
      <c r="EB320" s="27"/>
      <c r="EC320" s="345"/>
      <c r="ED320" s="345"/>
      <c r="EE320" s="27"/>
      <c r="EF320" s="27"/>
      <c r="EG320" s="27"/>
      <c r="EH320" s="27"/>
      <c r="EI320" s="345"/>
      <c r="EJ320" s="345"/>
      <c r="EK320" s="27"/>
      <c r="EL320" s="27"/>
      <c r="EM320" s="27"/>
      <c r="EN320" s="27"/>
      <c r="EO320" s="345"/>
      <c r="EP320" s="345"/>
      <c r="EQ320" s="27"/>
      <c r="ER320" s="27"/>
      <c r="ES320" s="27"/>
      <c r="ET320" s="27"/>
      <c r="EU320" s="345"/>
      <c r="EV320" s="345"/>
      <c r="EW320" s="27"/>
      <c r="EX320" s="27"/>
      <c r="EY320" s="27"/>
      <c r="EZ320" s="27"/>
      <c r="FA320" s="345"/>
      <c r="FB320" s="345"/>
      <c r="FC320" s="27"/>
      <c r="FD320" s="27"/>
      <c r="FE320" s="27"/>
      <c r="FF320" s="27"/>
      <c r="FG320" s="345"/>
      <c r="FH320" s="345"/>
      <c r="FI320" s="27"/>
      <c r="FJ320" s="27"/>
      <c r="FK320" s="27"/>
      <c r="FL320" s="27"/>
      <c r="FM320" s="345"/>
      <c r="FN320" s="27"/>
      <c r="FO320" s="27"/>
      <c r="FP320" s="27"/>
      <c r="FQ320" s="27"/>
      <c r="FR320"/>
      <c r="FS320"/>
      <c r="FT320"/>
      <c r="FU320"/>
      <c r="FV320"/>
      <c r="FW320"/>
      <c r="FX320" s="27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</row>
    <row r="321" spans="1:274" s="24" customFormat="1" ht="10.5" hidden="1" customHeight="1" outlineLevel="1" x14ac:dyDescent="0.2">
      <c r="A321" s="342" t="s">
        <v>381</v>
      </c>
      <c r="B321" s="20"/>
      <c r="C321" s="27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  <c r="AQ321" s="27"/>
      <c r="AR321" s="27"/>
      <c r="AS321" s="27"/>
      <c r="AT321" s="27"/>
      <c r="AU321" s="27"/>
      <c r="AV321" s="27"/>
      <c r="AW321" s="27"/>
      <c r="AX321" s="27"/>
      <c r="AY321" s="27"/>
      <c r="AZ321" s="27"/>
      <c r="BA321" s="27"/>
      <c r="BB321" s="27"/>
      <c r="BC321" s="27"/>
      <c r="BD321" s="27"/>
      <c r="BE321" s="27"/>
      <c r="BF321" s="27"/>
      <c r="BG321" s="27"/>
      <c r="BH321" s="27"/>
      <c r="BI321" s="27"/>
      <c r="BJ321" s="27"/>
      <c r="BK321" s="27"/>
      <c r="BL321" s="27"/>
      <c r="BM321" s="27"/>
      <c r="BN321" s="27"/>
      <c r="BO321" s="27"/>
      <c r="BP321" s="27"/>
      <c r="BQ321" s="27"/>
      <c r="BR321" s="242">
        <f>BR302*BR312</f>
        <v>113.22806</v>
      </c>
      <c r="BS321" s="242">
        <f>BS302*BS312</f>
        <v>116.2953</v>
      </c>
      <c r="BT321" s="27"/>
      <c r="BU321" s="27"/>
      <c r="BV321" s="27"/>
      <c r="BW321" s="27"/>
      <c r="BX321" s="27"/>
      <c r="BY321" s="27"/>
      <c r="BZ321" s="27"/>
      <c r="CA321" s="27"/>
      <c r="CB321" s="27"/>
      <c r="CC321" s="27"/>
      <c r="CD321" s="27"/>
      <c r="CE321" s="27"/>
      <c r="CF321" s="27"/>
      <c r="CG321" s="27"/>
      <c r="CH321" s="27"/>
      <c r="CI321" s="27"/>
      <c r="CJ321" s="27"/>
      <c r="CK321" s="27"/>
      <c r="CL321" s="27"/>
      <c r="CM321" s="27"/>
      <c r="CN321" s="27"/>
      <c r="CO321" s="27"/>
      <c r="CP321" s="27"/>
      <c r="CQ321" s="27"/>
      <c r="CR321" s="27"/>
      <c r="CS321" s="27"/>
      <c r="CT321" s="345"/>
      <c r="CU321" s="27"/>
      <c r="CV321" s="27"/>
      <c r="CW321" s="27"/>
      <c r="CX321" s="27"/>
      <c r="CY321" s="27"/>
      <c r="CZ321" s="345"/>
      <c r="DA321" s="27"/>
      <c r="DB321" s="27"/>
      <c r="DC321" s="27"/>
      <c r="DD321" s="27"/>
      <c r="DE321" s="345"/>
      <c r="DF321" s="345"/>
      <c r="DG321" s="27"/>
      <c r="DH321" s="27"/>
      <c r="DI321" s="27"/>
      <c r="DJ321" s="27"/>
      <c r="DK321" s="345"/>
      <c r="DL321" s="345"/>
      <c r="DM321" s="27"/>
      <c r="DN321" s="27"/>
      <c r="DO321" s="27"/>
      <c r="DP321" s="27"/>
      <c r="DQ321" s="345"/>
      <c r="DR321" s="345"/>
      <c r="DS321" s="27"/>
      <c r="DT321" s="27"/>
      <c r="DU321" s="27"/>
      <c r="DV321" s="27"/>
      <c r="DW321" s="345"/>
      <c r="DX321" s="345"/>
      <c r="DY321" s="27"/>
      <c r="DZ321" s="27"/>
      <c r="EA321" s="27"/>
      <c r="EB321" s="27"/>
      <c r="EC321" s="345"/>
      <c r="ED321" s="345"/>
      <c r="EE321" s="27"/>
      <c r="EF321" s="27"/>
      <c r="EG321" s="27"/>
      <c r="EH321" s="27"/>
      <c r="EI321" s="345"/>
      <c r="EJ321" s="345"/>
      <c r="EK321" s="27"/>
      <c r="EL321" s="27"/>
      <c r="EM321" s="27"/>
      <c r="EN321" s="27"/>
      <c r="EO321" s="345"/>
      <c r="EP321" s="345"/>
      <c r="EQ321" s="27"/>
      <c r="ER321" s="27"/>
      <c r="ES321" s="27"/>
      <c r="ET321" s="27"/>
      <c r="EU321" s="345"/>
      <c r="EV321" s="345"/>
      <c r="EW321" s="27"/>
      <c r="EX321" s="27"/>
      <c r="EY321" s="27"/>
      <c r="EZ321" s="27"/>
      <c r="FA321" s="345"/>
      <c r="FB321" s="345"/>
      <c r="FC321" s="27"/>
      <c r="FD321" s="27"/>
      <c r="FE321" s="27"/>
      <c r="FF321" s="27"/>
      <c r="FG321" s="345"/>
      <c r="FH321" s="345"/>
      <c r="FI321" s="27"/>
      <c r="FJ321" s="27"/>
      <c r="FK321" s="27"/>
      <c r="FL321" s="27"/>
      <c r="FM321" s="345"/>
      <c r="FN321" s="27"/>
      <c r="FO321" s="27"/>
      <c r="FP321" s="27"/>
      <c r="FQ321" s="27"/>
      <c r="FR321"/>
      <c r="FS321"/>
      <c r="FT321"/>
      <c r="FU321"/>
      <c r="FV321"/>
      <c r="FW321"/>
      <c r="FX321" s="27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</row>
    <row r="322" spans="1:274" s="24" customFormat="1" ht="10.5" hidden="1" customHeight="1" outlineLevel="1" x14ac:dyDescent="0.2">
      <c r="A322" s="342" t="s">
        <v>382</v>
      </c>
      <c r="B322" s="20"/>
      <c r="C322" s="27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  <c r="AQ322" s="27"/>
      <c r="AR322" s="27"/>
      <c r="AS322" s="27"/>
      <c r="AT322" s="27"/>
      <c r="AU322" s="27"/>
      <c r="AV322" s="27"/>
      <c r="AW322" s="27"/>
      <c r="AX322" s="27"/>
      <c r="AY322" s="27"/>
      <c r="AZ322" s="27"/>
      <c r="BA322" s="27"/>
      <c r="BB322" s="27"/>
      <c r="BC322" s="27"/>
      <c r="BD322" s="27"/>
      <c r="BE322" s="27"/>
      <c r="BF322" s="27"/>
      <c r="BG322" s="27"/>
      <c r="BH322" s="27"/>
      <c r="BI322" s="27"/>
      <c r="BJ322" s="27"/>
      <c r="BK322" s="27"/>
      <c r="BL322" s="27"/>
      <c r="BM322" s="27"/>
      <c r="BN322" s="27"/>
      <c r="BO322" s="27"/>
      <c r="BP322" s="27"/>
      <c r="BQ322" s="27"/>
      <c r="BR322" s="242">
        <f>BR303*BR313</f>
        <v>459</v>
      </c>
      <c r="BS322" s="242">
        <f>BS303*BS313</f>
        <v>491.101</v>
      </c>
      <c r="BT322" s="27"/>
      <c r="BU322" s="27"/>
      <c r="BV322" s="27"/>
      <c r="BW322" s="27"/>
      <c r="BX322" s="27"/>
      <c r="BY322" s="27"/>
      <c r="BZ322" s="27"/>
      <c r="CA322" s="27"/>
      <c r="CB322" s="27"/>
      <c r="CC322" s="27"/>
      <c r="CD322" s="27"/>
      <c r="CE322" s="27"/>
      <c r="CF322" s="27"/>
      <c r="CG322" s="27"/>
      <c r="CH322" s="27"/>
      <c r="CI322" s="27"/>
      <c r="CJ322" s="27"/>
      <c r="CK322" s="27"/>
      <c r="CL322" s="27"/>
      <c r="CM322" s="27"/>
      <c r="CN322" s="27"/>
      <c r="CO322" s="27"/>
      <c r="CP322" s="27"/>
      <c r="CQ322" s="27"/>
      <c r="CR322" s="27"/>
      <c r="CS322" s="27"/>
      <c r="CT322" s="345"/>
      <c r="CU322" s="27"/>
      <c r="CV322" s="27"/>
      <c r="CW322" s="27"/>
      <c r="CX322" s="27"/>
      <c r="CY322" s="27"/>
      <c r="CZ322" s="345"/>
      <c r="DA322" s="27"/>
      <c r="DB322" s="27"/>
      <c r="DC322" s="27"/>
      <c r="DD322" s="27"/>
      <c r="DE322" s="345"/>
      <c r="DF322" s="345"/>
      <c r="DG322" s="27"/>
      <c r="DH322" s="27"/>
      <c r="DI322" s="27"/>
      <c r="DJ322" s="27"/>
      <c r="DK322" s="345"/>
      <c r="DL322" s="345"/>
      <c r="DM322" s="27"/>
      <c r="DN322" s="27"/>
      <c r="DO322" s="27"/>
      <c r="DP322" s="27"/>
      <c r="DQ322" s="345"/>
      <c r="DR322" s="345"/>
      <c r="DS322" s="27"/>
      <c r="DT322" s="27"/>
      <c r="DU322" s="27"/>
      <c r="DV322" s="27"/>
      <c r="DW322" s="345"/>
      <c r="DX322" s="345"/>
      <c r="DY322" s="27"/>
      <c r="DZ322" s="27"/>
      <c r="EA322" s="27"/>
      <c r="EB322" s="27"/>
      <c r="EC322" s="345"/>
      <c r="ED322" s="345"/>
      <c r="EE322" s="27"/>
      <c r="EF322" s="27"/>
      <c r="EG322" s="27"/>
      <c r="EH322" s="27"/>
      <c r="EI322" s="345"/>
      <c r="EJ322" s="345"/>
      <c r="EK322" s="27"/>
      <c r="EL322" s="27"/>
      <c r="EM322" s="27"/>
      <c r="EN322" s="27"/>
      <c r="EO322" s="345"/>
      <c r="EP322" s="345"/>
      <c r="EQ322" s="27"/>
      <c r="ER322" s="27"/>
      <c r="ES322" s="27"/>
      <c r="ET322" s="27"/>
      <c r="EU322" s="345"/>
      <c r="EV322" s="345"/>
      <c r="EW322" s="27"/>
      <c r="EX322" s="27"/>
      <c r="EY322" s="27"/>
      <c r="EZ322" s="27"/>
      <c r="FA322" s="345"/>
      <c r="FB322" s="345"/>
      <c r="FC322" s="27"/>
      <c r="FD322" s="27"/>
      <c r="FE322" s="27"/>
      <c r="FF322" s="27"/>
      <c r="FG322" s="345"/>
      <c r="FH322" s="345"/>
      <c r="FI322" s="27"/>
      <c r="FJ322" s="27"/>
      <c r="FK322" s="27"/>
      <c r="FL322" s="27"/>
      <c r="FM322" s="345"/>
      <c r="FN322" s="27"/>
      <c r="FO322" s="27"/>
      <c r="FP322" s="27"/>
      <c r="FQ322" s="27"/>
      <c r="FR322"/>
      <c r="FS322"/>
      <c r="FT322"/>
      <c r="FU322"/>
      <c r="FV322"/>
      <c r="FW322"/>
      <c r="FX322" s="27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</row>
    <row r="323" spans="1:274" ht="10.5" hidden="1" customHeight="1" outlineLevel="1" x14ac:dyDescent="0.2"/>
    <row r="324" spans="1:274" ht="10.5" customHeight="1" collapsed="1" x14ac:dyDescent="0.2"/>
  </sheetData>
  <mergeCells count="1">
    <mergeCell ref="A264:B264"/>
  </mergeCells>
  <phoneticPr fontId="2" type="noConversion"/>
  <pageMargins left="0" right="0" top="0" bottom="0" header="0" footer="0"/>
  <pageSetup paperSize="5" orientation="landscape" horizontalDpi="300" verticalDpi="300" r:id="rId1"/>
  <headerFooter alignWithMargins="0">
    <oddFooter>&amp;L&amp;"Arial,Bold"&amp;8Morgan Stanley Equity Research</oddFooter>
  </headerFooter>
  <ignoredErrors>
    <ignoredError sqref="Z6 AR6 T6 AX6" twoDigitTextYear="1"/>
    <ignoredError sqref="BQ30" formulaRange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theme="4"/>
    <pageSetUpPr autoPageBreaks="0" fitToPage="1"/>
  </sheetPr>
  <dimension ref="A1:JN125"/>
  <sheetViews>
    <sheetView showGridLines="0" zoomScaleNormal="100" workbookViewId="0">
      <pane xSplit="2" ySplit="7" topLeftCell="EI8" activePane="bottomRight" state="frozen"/>
      <selection activeCell="B34" sqref="B34"/>
      <selection pane="topRight" activeCell="B34" sqref="B34"/>
      <selection pane="bottomLeft" activeCell="B34" sqref="B34"/>
      <selection pane="bottomRight" activeCell="EI8" sqref="EI8"/>
    </sheetView>
  </sheetViews>
  <sheetFormatPr defaultRowHeight="10.5" customHeight="1" outlineLevelRow="1" outlineLevelCol="2" x14ac:dyDescent="0.2"/>
  <cols>
    <col min="1" max="1" width="31.85546875" customWidth="1"/>
    <col min="2" max="2" width="9.140625" hidden="1" customWidth="1"/>
    <col min="3" max="13" width="7.7109375" hidden="1" customWidth="1" outlineLevel="2"/>
    <col min="14" max="14" width="1.7109375" hidden="1" customWidth="1" outlineLevel="1"/>
    <col min="15" max="18" width="7.7109375" hidden="1" customWidth="1" outlineLevel="2"/>
    <col min="19" max="19" width="7.7109375" hidden="1" customWidth="1" outlineLevel="1"/>
    <col min="20" max="20" width="1.7109375" hidden="1" customWidth="1" outlineLevel="2"/>
    <col min="21" max="24" width="7.7109375" hidden="1" customWidth="1" outlineLevel="2"/>
    <col min="25" max="25" width="7.7109375" hidden="1" customWidth="1" outlineLevel="1"/>
    <col min="26" max="26" width="1.7109375" hidden="1" customWidth="1" outlineLevel="2"/>
    <col min="27" max="30" width="7.7109375" hidden="1" customWidth="1" outlineLevel="2"/>
    <col min="31" max="31" width="7.7109375" hidden="1" customWidth="1" outlineLevel="1"/>
    <col min="32" max="32" width="1.7109375" hidden="1" customWidth="1" outlineLevel="2"/>
    <col min="33" max="36" width="7.7109375" hidden="1" customWidth="1" outlineLevel="2"/>
    <col min="37" max="37" width="7.7109375" hidden="1" customWidth="1" outlineLevel="1"/>
    <col min="38" max="38" width="1.7109375" hidden="1" customWidth="1" outlineLevel="2"/>
    <col min="39" max="42" width="7.7109375" hidden="1" customWidth="1" outlineLevel="2"/>
    <col min="43" max="43" width="7.7109375" hidden="1" customWidth="1" outlineLevel="1"/>
    <col min="44" max="44" width="1.7109375" hidden="1" customWidth="1" outlineLevel="2"/>
    <col min="45" max="48" width="7.7109375" hidden="1" customWidth="1" outlineLevel="2"/>
    <col min="49" max="49" width="7.7109375" hidden="1" customWidth="1" outlineLevel="1"/>
    <col min="50" max="50" width="1.7109375" hidden="1" customWidth="1" outlineLevel="2"/>
    <col min="51" max="51" width="8.140625" hidden="1" customWidth="1" outlineLevel="2"/>
    <col min="52" max="54" width="7.7109375" hidden="1" customWidth="1" outlineLevel="2"/>
    <col min="55" max="55" width="7.7109375" hidden="1" customWidth="1" outlineLevel="1"/>
    <col min="56" max="56" width="1.7109375" hidden="1" customWidth="1" outlineLevel="2"/>
    <col min="57" max="60" width="7.7109375" hidden="1" customWidth="1" outlineLevel="2"/>
    <col min="61" max="61" width="7.7109375" hidden="1" customWidth="1" outlineLevel="1"/>
    <col min="62" max="62" width="1.7109375" hidden="1" customWidth="1" outlineLevel="2"/>
    <col min="63" max="66" width="7.42578125" hidden="1" customWidth="1" outlineLevel="2"/>
    <col min="67" max="67" width="7.42578125" hidden="1" customWidth="1" outlineLevel="1"/>
    <col min="68" max="68" width="1.7109375" hidden="1" customWidth="1" outlineLevel="2"/>
    <col min="69" max="72" width="7.42578125" hidden="1" customWidth="1" outlineLevel="2"/>
    <col min="73" max="73" width="8" hidden="1" customWidth="1" outlineLevel="1"/>
    <col min="74" max="74" width="1.7109375" hidden="1" customWidth="1" outlineLevel="1"/>
    <col min="75" max="78" width="6.7109375" hidden="1" customWidth="1" outlineLevel="2"/>
    <col min="79" max="79" width="6.7109375" hidden="1" customWidth="1" outlineLevel="1"/>
    <col min="80" max="80" width="1" hidden="1" customWidth="1" outlineLevel="1"/>
    <col min="81" max="84" width="6.7109375" hidden="1" customWidth="1" outlineLevel="2"/>
    <col min="85" max="85" width="6" hidden="1" customWidth="1" outlineLevel="1"/>
    <col min="86" max="86" width="1.7109375" hidden="1" customWidth="1" outlineLevel="1" collapsed="1"/>
    <col min="87" max="87" width="7.28515625" hidden="1" customWidth="1" outlineLevel="2"/>
    <col min="88" max="90" width="6" hidden="1" customWidth="1" outlineLevel="2"/>
    <col min="91" max="91" width="6" hidden="1" customWidth="1" outlineLevel="1"/>
    <col min="92" max="92" width="1.7109375" hidden="1" customWidth="1" outlineLevel="1" collapsed="1"/>
    <col min="93" max="96" width="6" hidden="1" customWidth="1" outlineLevel="2"/>
    <col min="97" max="97" width="6.7109375" hidden="1" customWidth="1" outlineLevel="1"/>
    <col min="98" max="98" width="1.85546875" hidden="1" customWidth="1" outlineLevel="1" collapsed="1"/>
    <col min="99" max="102" width="6" hidden="1" customWidth="1" outlineLevel="2"/>
    <col min="103" max="103" width="7.28515625" hidden="1" customWidth="1" outlineLevel="1"/>
    <col min="104" max="104" width="1.5703125" hidden="1" customWidth="1" outlineLevel="2"/>
    <col min="105" max="108" width="6.7109375" hidden="1" customWidth="1" outlineLevel="2"/>
    <col min="109" max="109" width="7.28515625" hidden="1" customWidth="1" outlineLevel="1"/>
    <col min="110" max="110" width="1.7109375" hidden="1" customWidth="1" outlineLevel="1"/>
    <col min="111" max="114" width="6.7109375" hidden="1" customWidth="1" outlineLevel="2"/>
    <col min="115" max="115" width="7.28515625" hidden="1" customWidth="1" outlineLevel="1"/>
    <col min="116" max="116" width="1.7109375" hidden="1" customWidth="1" outlineLevel="1"/>
    <col min="117" max="120" width="7.28515625" hidden="1" customWidth="1" outlineLevel="2"/>
    <col min="121" max="121" width="7.28515625" hidden="1" customWidth="1" outlineLevel="1"/>
    <col min="122" max="122" width="1.7109375" hidden="1" customWidth="1" outlineLevel="1"/>
    <col min="123" max="126" width="7.85546875" hidden="1" customWidth="1" outlineLevel="1"/>
    <col min="127" max="127" width="8.28515625" hidden="1" customWidth="1" collapsed="1"/>
    <col min="128" max="128" width="1.7109375" hidden="1" customWidth="1" outlineLevel="2"/>
    <col min="129" max="130" width="7.42578125" hidden="1" customWidth="1" outlineLevel="2"/>
    <col min="131" max="131" width="8.140625" hidden="1" customWidth="1" outlineLevel="2"/>
    <col min="132" max="132" width="7.42578125" hidden="1" customWidth="1" outlineLevel="2"/>
    <col min="133" max="133" width="7.85546875" hidden="1" customWidth="1" collapsed="1"/>
    <col min="134" max="134" width="1.7109375" hidden="1" customWidth="1"/>
    <col min="135" max="138" width="7.28515625" hidden="1" customWidth="1" outlineLevel="1"/>
    <col min="139" max="139" width="8.140625" customWidth="1" collapsed="1"/>
    <col min="140" max="140" width="1.7109375" customWidth="1"/>
    <col min="141" max="144" width="7.28515625" hidden="1" customWidth="1" outlineLevel="2"/>
    <col min="145" max="145" width="7.28515625" customWidth="1" outlineLevel="1" collapsed="1"/>
    <col min="146" max="146" width="1.7109375" customWidth="1" outlineLevel="1"/>
    <col min="147" max="150" width="7.28515625" hidden="1" customWidth="1" outlineLevel="2"/>
    <col min="151" max="151" width="7.28515625" customWidth="1" outlineLevel="1" collapsed="1"/>
    <col min="152" max="152" width="1.7109375" customWidth="1" outlineLevel="1"/>
    <col min="153" max="156" width="7.28515625" customWidth="1" outlineLevel="2"/>
    <col min="157" max="157" width="7.28515625" customWidth="1" outlineLevel="1"/>
    <col min="158" max="158" width="1.7109375" customWidth="1" outlineLevel="1"/>
    <col min="159" max="162" width="7.28515625" customWidth="1" outlineLevel="2"/>
    <col min="163" max="163" width="7.28515625" customWidth="1" outlineLevel="1"/>
    <col min="164" max="164" width="1.7109375" customWidth="1" outlineLevel="1"/>
    <col min="165" max="168" width="7.28515625" hidden="1" customWidth="1" outlineLevel="2"/>
    <col min="169" max="169" width="7.28515625" customWidth="1" outlineLevel="1" collapsed="1"/>
    <col min="170" max="173" width="2.28515625" customWidth="1"/>
    <col min="174" max="174" width="17.140625" customWidth="1"/>
    <col min="175" max="175" width="32.28515625" customWidth="1" outlineLevel="1"/>
    <col min="176" max="180" width="9.140625" customWidth="1" outlineLevel="1"/>
  </cols>
  <sheetData>
    <row r="1" spans="1:274" s="24" customFormat="1" ht="19.5" customHeight="1" x14ac:dyDescent="0.2">
      <c r="A1" s="193" t="str">
        <f>Model!A1</f>
        <v>Oracle</v>
      </c>
      <c r="B1" s="1012"/>
      <c r="C1" s="1013"/>
      <c r="D1" s="1013"/>
      <c r="E1" s="1013"/>
      <c r="F1" s="1013"/>
      <c r="G1" s="1013"/>
      <c r="H1" s="1013"/>
      <c r="I1" s="1013"/>
      <c r="J1" s="1013"/>
      <c r="K1" s="1013"/>
      <c r="L1" s="1013"/>
      <c r="M1" s="1013"/>
      <c r="N1" s="1014"/>
      <c r="O1" s="1013"/>
      <c r="P1" s="1013"/>
      <c r="Q1" s="1013"/>
      <c r="R1" s="1013"/>
      <c r="S1" s="1013"/>
      <c r="T1" s="1014"/>
      <c r="U1" s="1013"/>
      <c r="V1" s="1013"/>
      <c r="W1" s="1013"/>
      <c r="X1" s="1013"/>
      <c r="Y1" s="1013"/>
      <c r="Z1" s="1014"/>
      <c r="AA1" s="1013"/>
      <c r="AB1" s="1013"/>
      <c r="AC1" s="1013"/>
      <c r="AD1" s="1013"/>
      <c r="AE1" s="1013"/>
      <c r="AF1" s="1014"/>
      <c r="AG1" s="1013"/>
      <c r="AH1" s="1013"/>
      <c r="AI1" s="1013"/>
      <c r="AJ1" s="1013"/>
      <c r="AK1" s="1013"/>
      <c r="AL1" s="1014"/>
      <c r="AM1" s="1013"/>
      <c r="AN1" s="1013"/>
      <c r="AO1" s="1013"/>
      <c r="AP1" s="1013"/>
      <c r="AQ1" s="1013"/>
      <c r="AR1" s="1014"/>
      <c r="AS1" s="1013"/>
      <c r="AT1" s="1013"/>
      <c r="AU1" s="1013"/>
      <c r="AV1" s="1013"/>
      <c r="AW1" s="1013"/>
      <c r="AX1" s="1014"/>
      <c r="AY1" s="1013"/>
      <c r="AZ1" s="1013"/>
      <c r="BA1" s="1013"/>
      <c r="BB1" s="1013"/>
      <c r="BC1" s="1013"/>
      <c r="BD1" s="1014"/>
      <c r="BE1" s="1013"/>
      <c r="BF1" s="1013" t="s">
        <v>944</v>
      </c>
      <c r="BG1" s="1013"/>
      <c r="BH1" s="1013"/>
      <c r="BI1" s="1013"/>
      <c r="BJ1" s="1014"/>
      <c r="BK1" s="1013"/>
      <c r="BL1" s="1013"/>
      <c r="BM1" s="1013"/>
      <c r="BN1" s="1013"/>
      <c r="BO1" s="1013"/>
      <c r="BP1" s="1014"/>
      <c r="BQ1" s="423"/>
      <c r="BR1" s="423"/>
      <c r="BS1" s="423"/>
      <c r="BT1" s="423"/>
      <c r="BU1" s="423"/>
      <c r="BV1" s="1014"/>
      <c r="BW1" s="423"/>
      <c r="BX1" s="423"/>
      <c r="BY1" s="423"/>
      <c r="BZ1" s="594"/>
      <c r="CA1" s="423"/>
      <c r="CB1" s="1014"/>
      <c r="CC1" s="1015"/>
      <c r="CD1" s="423"/>
      <c r="CE1" s="423"/>
      <c r="CF1" s="423"/>
      <c r="CG1" s="423"/>
      <c r="CH1" s="1014"/>
      <c r="CI1" s="423"/>
      <c r="CJ1" s="423"/>
      <c r="CK1" s="423"/>
      <c r="CL1" s="423"/>
      <c r="CM1" s="423"/>
      <c r="CN1" s="1014"/>
      <c r="CO1" s="423"/>
      <c r="CP1" s="423"/>
      <c r="CQ1" s="423"/>
      <c r="CR1" s="423"/>
      <c r="CS1" s="423"/>
      <c r="CT1" s="1014"/>
      <c r="CU1" s="423"/>
      <c r="CV1" s="423"/>
      <c r="CW1" s="423"/>
      <c r="CX1" s="423"/>
      <c r="CY1" s="423"/>
      <c r="CZ1" s="1014"/>
      <c r="DA1" s="423"/>
      <c r="DB1" s="423"/>
      <c r="DC1" s="423"/>
      <c r="DD1" s="423"/>
      <c r="DE1" s="423"/>
      <c r="DF1" s="1014"/>
      <c r="DG1" s="423"/>
      <c r="DH1" s="423"/>
      <c r="DI1" s="423"/>
      <c r="DJ1" s="423"/>
      <c r="DK1" s="423"/>
      <c r="DL1" s="423"/>
      <c r="DM1" s="423"/>
      <c r="DN1" s="423"/>
      <c r="DO1" s="423"/>
      <c r="DP1" s="423"/>
      <c r="DQ1" s="423"/>
      <c r="DR1" s="345"/>
      <c r="DS1" s="345"/>
      <c r="DT1" s="345"/>
      <c r="DU1" s="345"/>
      <c r="DV1" s="345"/>
      <c r="DW1" s="345"/>
      <c r="DX1" s="345"/>
      <c r="DY1" s="345"/>
      <c r="DZ1" s="345"/>
      <c r="EA1" s="345"/>
      <c r="EB1" s="345"/>
      <c r="EC1" s="345"/>
      <c r="ED1" s="345"/>
      <c r="EE1" s="345"/>
      <c r="EF1" s="345"/>
      <c r="EG1" s="345"/>
      <c r="EH1" s="345"/>
      <c r="EI1" s="345"/>
      <c r="EJ1" s="345"/>
      <c r="EK1" s="345"/>
      <c r="EL1" s="345"/>
      <c r="EM1" s="345"/>
      <c r="EN1" s="345"/>
      <c r="EO1" s="345"/>
      <c r="EP1" s="345"/>
      <c r="EQ1" s="345"/>
      <c r="ER1" s="345"/>
      <c r="ES1" s="345"/>
      <c r="ET1" s="345"/>
      <c r="EU1" s="345"/>
      <c r="EV1" s="345"/>
      <c r="EW1" s="345"/>
      <c r="EX1" s="345"/>
      <c r="EY1" s="345"/>
      <c r="EZ1" s="345"/>
      <c r="FA1" s="345"/>
      <c r="FB1" s="345"/>
      <c r="FC1" s="345"/>
      <c r="FD1" s="345"/>
      <c r="FE1" s="345"/>
      <c r="FF1" s="345"/>
      <c r="FG1" s="345"/>
      <c r="FH1" s="345"/>
      <c r="FI1" s="345"/>
      <c r="FJ1" s="345"/>
      <c r="FK1" s="345"/>
      <c r="FL1" s="345"/>
      <c r="FM1" s="345"/>
      <c r="FN1" s="1014"/>
      <c r="FO1" s="1014"/>
      <c r="FP1" s="423"/>
      <c r="FQ1" s="423"/>
      <c r="FR1" s="423"/>
      <c r="FS1"/>
      <c r="FT1"/>
      <c r="FU1"/>
      <c r="FV1"/>
      <c r="FW1"/>
      <c r="FX1"/>
      <c r="FY1" s="1016" t="s">
        <v>376</v>
      </c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</row>
    <row r="2" spans="1:274" s="24" customFormat="1" ht="20.25" x14ac:dyDescent="0.2">
      <c r="A2" s="5" t="s">
        <v>674</v>
      </c>
      <c r="B2" s="1017"/>
      <c r="C2" s="426"/>
      <c r="D2" s="426"/>
      <c r="E2" s="426"/>
      <c r="F2" s="426"/>
      <c r="G2" s="426"/>
      <c r="H2" s="426"/>
      <c r="I2" s="426"/>
      <c r="J2" s="426"/>
      <c r="K2" s="426"/>
      <c r="L2" s="426"/>
      <c r="M2" s="426"/>
      <c r="N2" s="8"/>
      <c r="O2" s="426"/>
      <c r="P2" s="426"/>
      <c r="Q2" s="426"/>
      <c r="R2" s="426"/>
      <c r="S2" s="426"/>
      <c r="T2" s="8"/>
      <c r="U2" s="426"/>
      <c r="V2" s="426"/>
      <c r="W2" s="426"/>
      <c r="X2" s="426"/>
      <c r="Y2" s="426"/>
      <c r="Z2" s="8"/>
      <c r="AA2" s="426"/>
      <c r="AB2" s="426"/>
      <c r="AC2" s="426"/>
      <c r="AD2" s="426"/>
      <c r="AE2" s="426"/>
      <c r="AF2" s="8"/>
      <c r="AG2" s="426"/>
      <c r="AH2" s="426"/>
      <c r="AI2" s="426"/>
      <c r="AJ2" s="426"/>
      <c r="AK2" s="426"/>
      <c r="AL2" s="8"/>
      <c r="AM2" s="426"/>
      <c r="AN2" s="426"/>
      <c r="AO2" s="426"/>
      <c r="AP2" s="426"/>
      <c r="AQ2" s="426"/>
      <c r="AR2" s="8"/>
      <c r="AS2" s="426"/>
      <c r="AT2" s="1018"/>
      <c r="AU2" s="1018"/>
      <c r="AV2" s="1018"/>
      <c r="AW2" s="426"/>
      <c r="AX2" s="8"/>
      <c r="AY2" s="426"/>
      <c r="AZ2" s="1018"/>
      <c r="BA2" s="426"/>
      <c r="BB2" s="1018"/>
      <c r="BC2" s="426"/>
      <c r="BD2" s="8"/>
      <c r="BE2" s="1018"/>
      <c r="BF2" s="1018"/>
      <c r="BG2" s="426"/>
      <c r="BH2" s="1018"/>
      <c r="BI2" s="426"/>
      <c r="BJ2" s="8"/>
      <c r="BK2" s="1018"/>
      <c r="BL2" s="1018"/>
      <c r="BM2" s="1018"/>
      <c r="BN2" s="1018"/>
      <c r="BO2" s="1018"/>
      <c r="BP2" s="8"/>
      <c r="BQ2" s="388"/>
      <c r="BR2" s="388"/>
      <c r="BS2" s="388"/>
      <c r="BT2" s="388"/>
      <c r="BU2" s="388"/>
      <c r="BV2" s="8"/>
      <c r="BW2" s="388"/>
      <c r="BX2" s="430"/>
      <c r="BY2" s="388"/>
      <c r="BZ2" s="388"/>
      <c r="CA2" s="388"/>
      <c r="CB2" s="8"/>
      <c r="CC2" s="388"/>
      <c r="CD2" s="389"/>
      <c r="CE2" s="388"/>
      <c r="CF2" s="388"/>
      <c r="CG2" s="388"/>
      <c r="CH2" s="8"/>
      <c r="CI2" s="388"/>
      <c r="CJ2" s="389"/>
      <c r="CK2" s="388"/>
      <c r="CL2" s="388"/>
      <c r="CM2" s="388"/>
      <c r="CN2" s="8"/>
      <c r="CO2" s="388"/>
      <c r="CP2" s="389"/>
      <c r="CQ2" s="388"/>
      <c r="CR2" s="388"/>
      <c r="CS2" s="388"/>
      <c r="CT2" s="8"/>
      <c r="CU2" s="388"/>
      <c r="CV2" s="389"/>
      <c r="CW2" s="388"/>
      <c r="CX2" s="388"/>
      <c r="CY2" s="388"/>
      <c r="CZ2" s="8"/>
      <c r="DA2" s="388"/>
      <c r="DB2" s="389"/>
      <c r="DC2" s="388"/>
      <c r="DD2" s="388"/>
      <c r="DE2" s="388"/>
      <c r="DF2" s="8"/>
      <c r="DG2" s="388"/>
      <c r="DH2" s="389"/>
      <c r="DI2" s="388"/>
      <c r="DJ2" s="388"/>
      <c r="DK2" s="388"/>
      <c r="DL2" s="388"/>
      <c r="DM2" s="388"/>
      <c r="DN2" s="388"/>
      <c r="DO2" s="388"/>
      <c r="DP2" s="388"/>
      <c r="DQ2" s="388"/>
      <c r="DR2" s="388"/>
      <c r="DS2" s="388"/>
      <c r="DT2" s="388"/>
      <c r="DU2" s="388"/>
      <c r="DV2" s="388"/>
      <c r="DW2" s="388"/>
      <c r="DX2" s="388"/>
      <c r="DY2" s="388"/>
      <c r="DZ2" s="388"/>
      <c r="EA2" s="388"/>
      <c r="EB2" s="388"/>
      <c r="EC2" s="388"/>
      <c r="ED2" s="388"/>
      <c r="EE2" s="388"/>
      <c r="EF2" s="388"/>
      <c r="EG2" s="388"/>
      <c r="EH2" s="388"/>
      <c r="EI2" s="388"/>
      <c r="EJ2" s="388"/>
      <c r="EK2" s="388"/>
      <c r="EL2" s="388"/>
      <c r="EM2" s="388"/>
      <c r="EN2" s="388"/>
      <c r="EO2" s="388"/>
      <c r="EP2" s="388"/>
      <c r="EQ2" s="388"/>
      <c r="ER2" s="388"/>
      <c r="ES2" s="388"/>
      <c r="ET2" s="388"/>
      <c r="EU2" s="388"/>
      <c r="EV2" s="388"/>
      <c r="EW2" s="388"/>
      <c r="EX2" s="388"/>
      <c r="EY2" s="388"/>
      <c r="EZ2" s="388"/>
      <c r="FA2" s="388"/>
      <c r="FB2" s="345"/>
      <c r="FC2" s="345"/>
      <c r="FD2" s="345"/>
      <c r="FE2" s="345"/>
      <c r="FF2" s="345"/>
      <c r="FG2" s="345"/>
      <c r="FH2" s="345"/>
      <c r="FI2" s="345"/>
      <c r="FJ2" s="345"/>
      <c r="FK2" s="345"/>
      <c r="FL2" s="345"/>
      <c r="FM2" s="345"/>
      <c r="FN2" s="12"/>
      <c r="FO2" s="12"/>
      <c r="FP2" s="345"/>
      <c r="FQ2" s="345"/>
      <c r="FR2" s="345"/>
      <c r="FS2"/>
      <c r="FT2"/>
      <c r="FU2"/>
      <c r="FV2"/>
      <c r="FW2"/>
      <c r="FX2"/>
      <c r="FY2" s="345"/>
      <c r="FZ2" s="1402"/>
      <c r="GA2" s="1402"/>
      <c r="GB2" s="1402"/>
      <c r="GC2" s="1402"/>
      <c r="GD2" s="1402"/>
      <c r="GE2" s="1402"/>
      <c r="GF2" s="1402"/>
      <c r="GG2" s="1402"/>
      <c r="GH2" s="1402"/>
      <c r="GI2" s="1402"/>
      <c r="GJ2" s="1402"/>
      <c r="GK2" s="1402"/>
      <c r="GL2" s="1402"/>
      <c r="GM2" s="1402"/>
      <c r="GN2" s="1402"/>
      <c r="GO2" s="1402"/>
      <c r="GP2" s="1402"/>
      <c r="GQ2" s="1402"/>
      <c r="GR2" s="1402"/>
      <c r="GS2" s="1402"/>
      <c r="GT2" s="1402"/>
      <c r="GU2" s="1402"/>
      <c r="GV2" s="1402"/>
      <c r="GW2" s="1402"/>
      <c r="GX2" s="1402"/>
      <c r="GY2" s="1402"/>
      <c r="GZ2" s="1402"/>
      <c r="HA2" s="1402"/>
      <c r="HB2" s="1402"/>
      <c r="HC2" s="1402"/>
      <c r="HD2" s="1402"/>
      <c r="HE2" s="1402"/>
      <c r="HF2" s="1402"/>
      <c r="HG2" s="1402"/>
      <c r="HH2" s="1402"/>
      <c r="HI2" s="1402"/>
      <c r="HJ2" s="1402"/>
      <c r="HK2" s="1402"/>
      <c r="HL2" s="1402"/>
      <c r="HM2" s="1402"/>
      <c r="HN2" s="1402"/>
      <c r="HO2" s="1402"/>
      <c r="HP2" s="1402"/>
      <c r="HQ2" s="1402"/>
      <c r="HR2" s="1402"/>
      <c r="HS2" s="1402"/>
      <c r="HT2" s="1402"/>
      <c r="HU2" s="1402"/>
      <c r="HV2" s="1402"/>
      <c r="HW2" s="1402"/>
      <c r="HX2" s="1402"/>
      <c r="HY2" s="1402"/>
      <c r="HZ2" s="1402"/>
      <c r="IA2" s="1402"/>
      <c r="IB2" s="1402"/>
      <c r="IC2" s="1402"/>
      <c r="ID2" s="1402"/>
      <c r="IE2" s="1402"/>
      <c r="IF2" s="1402"/>
      <c r="IG2" s="1402"/>
      <c r="IH2" s="1402"/>
      <c r="II2" s="1402"/>
      <c r="IJ2" s="1402"/>
      <c r="IK2" s="1402"/>
      <c r="IL2" s="1402"/>
      <c r="IM2" s="1402"/>
      <c r="IN2" s="1402"/>
      <c r="IO2" s="1402"/>
      <c r="IP2" s="1402"/>
      <c r="IQ2" s="1402"/>
      <c r="IR2" s="1402"/>
      <c r="IS2" s="1402"/>
      <c r="IT2" s="1402"/>
      <c r="IU2" s="1402"/>
      <c r="IV2" s="1402"/>
      <c r="IW2" s="1402"/>
      <c r="IX2" s="1402"/>
      <c r="IY2" s="1402"/>
      <c r="IZ2" s="1402"/>
      <c r="JA2" s="1402"/>
      <c r="JB2" s="1402"/>
      <c r="JC2" s="1402"/>
      <c r="JD2" s="1402"/>
      <c r="JE2" s="1402"/>
      <c r="JF2" s="1402"/>
      <c r="JG2" s="1402"/>
      <c r="JH2" s="1402"/>
      <c r="JI2" s="1402"/>
      <c r="JJ2" s="1402"/>
      <c r="JK2" s="1402"/>
      <c r="JL2" s="1402"/>
      <c r="JM2" s="1402"/>
      <c r="JN2" s="1402"/>
    </row>
    <row r="3" spans="1:274" ht="12.75" hidden="1" outlineLevel="1" x14ac:dyDescent="0.2"/>
    <row r="4" spans="1:274" s="24" customFormat="1" ht="12.75" collapsed="1" x14ac:dyDescent="0.2">
      <c r="A4" s="1221" t="s">
        <v>408</v>
      </c>
      <c r="B4" s="1391"/>
      <c r="C4" s="1390"/>
      <c r="D4" s="1390"/>
      <c r="E4" s="1390"/>
      <c r="F4" s="1390"/>
      <c r="G4" s="1390"/>
      <c r="H4" s="1390"/>
      <c r="I4" s="1390"/>
      <c r="J4" s="1390"/>
      <c r="K4" s="1390"/>
      <c r="L4" s="1390"/>
      <c r="M4" s="1390"/>
      <c r="N4" s="1226"/>
      <c r="O4" s="1391"/>
      <c r="P4" s="1391"/>
      <c r="Q4" s="1391"/>
      <c r="R4" s="1391"/>
      <c r="S4" s="1390"/>
      <c r="T4" s="1226"/>
      <c r="U4" s="1391"/>
      <c r="V4" s="1391"/>
      <c r="W4" s="1391"/>
      <c r="X4" s="1391"/>
      <c r="Y4" s="1390"/>
      <c r="Z4" s="1226"/>
      <c r="AA4" s="1391"/>
      <c r="AB4" s="1391"/>
      <c r="AC4" s="1391"/>
      <c r="AD4" s="1391"/>
      <c r="AE4" s="1390"/>
      <c r="AF4" s="1226"/>
      <c r="AG4" s="1391"/>
      <c r="AH4" s="1391"/>
      <c r="AI4" s="1391"/>
      <c r="AJ4" s="1391"/>
      <c r="AK4" s="1390"/>
      <c r="AL4" s="1226"/>
      <c r="AM4" s="1391"/>
      <c r="AN4" s="1391"/>
      <c r="AO4" s="1391"/>
      <c r="AP4" s="1391"/>
      <c r="AQ4" s="1390"/>
      <c r="AR4" s="1226"/>
      <c r="AS4" s="1391"/>
      <c r="AT4" s="1391"/>
      <c r="AU4" s="1391"/>
      <c r="AV4" s="1391"/>
      <c r="AW4" s="1390"/>
      <c r="AX4" s="1226"/>
      <c r="AY4" s="1391"/>
      <c r="AZ4" s="1391"/>
      <c r="BA4" s="1391"/>
      <c r="BB4" s="1391"/>
      <c r="BC4" s="1390"/>
      <c r="BD4" s="1226"/>
      <c r="BE4" s="1391"/>
      <c r="BF4" s="1391"/>
      <c r="BG4" s="1391"/>
      <c r="BH4" s="1391"/>
      <c r="BI4" s="1390"/>
      <c r="BJ4" s="1226"/>
      <c r="BK4" s="1390"/>
      <c r="BL4" s="1390"/>
      <c r="BM4" s="1390"/>
      <c r="BN4" s="1390"/>
      <c r="BO4" s="1390"/>
      <c r="BP4" s="1226"/>
      <c r="BQ4" s="1225"/>
      <c r="BR4" s="1225"/>
      <c r="BS4" s="1225"/>
      <c r="BT4" s="1225"/>
      <c r="BU4" s="1225"/>
      <c r="BV4" s="1226"/>
      <c r="BW4" s="1225"/>
      <c r="BX4" s="1225"/>
      <c r="BY4" s="1225"/>
      <c r="BZ4" s="1225"/>
      <c r="CA4" s="1382"/>
      <c r="CB4" s="1226"/>
      <c r="CC4" s="1225"/>
      <c r="CD4" s="1225"/>
      <c r="CE4" s="1225"/>
      <c r="CF4" s="1225"/>
      <c r="CG4" s="1382"/>
      <c r="CH4" s="1226"/>
      <c r="CI4" s="1225"/>
      <c r="CJ4" s="1225"/>
      <c r="CK4" s="1225"/>
      <c r="CL4" s="1225"/>
      <c r="CM4" s="1382"/>
      <c r="CN4" s="1226"/>
      <c r="CO4" s="1225"/>
      <c r="CP4" s="1225"/>
      <c r="CQ4" s="1225"/>
      <c r="CR4" s="1225"/>
      <c r="CS4" s="1382"/>
      <c r="CT4" s="1226"/>
      <c r="CU4" s="1225"/>
      <c r="CV4" s="1225"/>
      <c r="CW4" s="1225"/>
      <c r="CX4" s="1225"/>
      <c r="CY4" s="1382"/>
      <c r="CZ4" s="1226"/>
      <c r="DA4" s="1225"/>
      <c r="DB4" s="1225"/>
      <c r="DC4" s="1225"/>
      <c r="DD4" s="1225"/>
      <c r="DE4" s="1382"/>
      <c r="DF4" s="1226"/>
      <c r="DG4" s="1225"/>
      <c r="DH4" s="1225"/>
      <c r="DI4" s="1225"/>
      <c r="DJ4" s="1225"/>
      <c r="DK4" s="1401"/>
      <c r="DL4" s="1382"/>
      <c r="DM4" s="1382"/>
      <c r="DN4" s="1382"/>
      <c r="DO4" s="1382"/>
      <c r="DP4" s="1382"/>
      <c r="DQ4" s="1401"/>
      <c r="DR4" s="1382"/>
      <c r="DS4" s="1382"/>
      <c r="DT4" s="1382"/>
      <c r="DU4" s="1382"/>
      <c r="DV4" s="1382"/>
      <c r="DW4" s="1401"/>
      <c r="DX4" s="1401"/>
      <c r="DY4" s="1401"/>
      <c r="DZ4" s="1401"/>
      <c r="EA4" s="1401"/>
      <c r="EB4" s="1401"/>
      <c r="EC4" s="1401"/>
      <c r="ED4" s="1401"/>
      <c r="EE4" s="1401"/>
      <c r="EF4" s="1401"/>
      <c r="EG4" s="1401"/>
      <c r="EH4" s="1401"/>
      <c r="EI4" s="1401"/>
      <c r="EJ4" s="1401"/>
      <c r="EK4" s="1401"/>
      <c r="EL4" s="1401"/>
      <c r="EM4" s="1401"/>
      <c r="EN4" s="1401"/>
      <c r="EO4" s="1401"/>
      <c r="EP4" s="1401"/>
      <c r="EQ4" s="1401"/>
      <c r="ER4" s="1401"/>
      <c r="ES4" s="1401"/>
      <c r="ET4" s="1401"/>
      <c r="EU4" s="1401"/>
      <c r="EV4" s="1401"/>
      <c r="EW4" s="1401"/>
      <c r="EX4" s="1401"/>
      <c r="EY4" s="1401"/>
      <c r="EZ4" s="1401"/>
      <c r="FA4" s="1401"/>
      <c r="FB4" s="1401"/>
      <c r="FC4" s="1401"/>
      <c r="FD4" s="1401"/>
      <c r="FE4" s="1401"/>
      <c r="FF4" s="1401"/>
      <c r="FG4" s="1401"/>
      <c r="FH4" s="1401"/>
      <c r="FI4" s="1401"/>
      <c r="FJ4" s="1401"/>
      <c r="FK4" s="1401"/>
      <c r="FL4" s="1401"/>
      <c r="FM4" s="1401"/>
      <c r="FN4" s="1403"/>
      <c r="FO4" s="12"/>
      <c r="FP4" s="345"/>
      <c r="FQ4" s="345"/>
      <c r="FR4" s="345"/>
      <c r="FS4"/>
      <c r="FT4"/>
      <c r="FU4"/>
      <c r="FV4"/>
      <c r="FW4"/>
      <c r="FX4"/>
      <c r="FY4" s="345"/>
      <c r="FZ4" s="1402"/>
      <c r="GA4" s="1402"/>
      <c r="GB4" s="1402"/>
      <c r="GC4" s="1402"/>
      <c r="GD4" s="1402"/>
      <c r="GE4" s="1402"/>
      <c r="GF4" s="1402"/>
      <c r="GG4" s="1402"/>
      <c r="GH4" s="1402"/>
      <c r="GI4" s="1402"/>
      <c r="GJ4" s="1402"/>
      <c r="GK4" s="1402"/>
      <c r="GL4" s="1402"/>
      <c r="GM4" s="1402"/>
      <c r="GN4" s="1402"/>
      <c r="GO4" s="1402"/>
      <c r="GP4" s="1402"/>
      <c r="GQ4" s="1402"/>
      <c r="GR4" s="1402"/>
      <c r="GS4" s="1402"/>
      <c r="GT4" s="1402"/>
      <c r="GU4" s="1402"/>
      <c r="GV4" s="1402"/>
      <c r="GW4" s="1402"/>
      <c r="GX4" s="1402"/>
      <c r="GY4" s="1402"/>
      <c r="GZ4" s="1402"/>
      <c r="HA4" s="1402"/>
      <c r="HB4" s="1402"/>
      <c r="HC4" s="1402"/>
      <c r="HD4" s="1402"/>
      <c r="HE4" s="1402"/>
      <c r="HF4" s="1402"/>
      <c r="HG4" s="1402"/>
      <c r="HH4" s="1402"/>
      <c r="HI4" s="1402"/>
      <c r="HJ4" s="1402"/>
      <c r="HK4" s="1402"/>
      <c r="HL4" s="1402"/>
      <c r="HM4" s="1402"/>
      <c r="HN4" s="1402"/>
      <c r="HO4" s="1402"/>
      <c r="HP4" s="1402"/>
      <c r="HQ4" s="1402"/>
      <c r="HR4" s="1402"/>
      <c r="HS4" s="1402"/>
      <c r="HT4" s="1402"/>
      <c r="HU4" s="1402"/>
      <c r="HV4" s="1402"/>
      <c r="HW4" s="1402"/>
      <c r="HX4" s="1402"/>
      <c r="HY4" s="1402"/>
      <c r="HZ4" s="1402"/>
      <c r="IA4" s="1402"/>
      <c r="IB4" s="1402"/>
      <c r="IC4" s="1402"/>
      <c r="ID4" s="1402"/>
      <c r="IE4" s="1402"/>
      <c r="IF4" s="1402"/>
      <c r="IG4" s="1402"/>
      <c r="IH4" s="1402"/>
      <c r="II4" s="1402"/>
      <c r="IJ4" s="1402"/>
      <c r="IK4" s="1402"/>
      <c r="IL4" s="1402"/>
      <c r="IM4" s="1402"/>
      <c r="IN4" s="1402"/>
      <c r="IO4" s="1402"/>
      <c r="IP4" s="1402"/>
      <c r="IQ4" s="1402"/>
      <c r="IR4" s="1402"/>
      <c r="IS4" s="1402"/>
      <c r="IT4" s="1402"/>
      <c r="IU4" s="1402"/>
      <c r="IV4" s="1402"/>
      <c r="IW4" s="1402"/>
      <c r="IX4" s="1402"/>
      <c r="IY4" s="1402"/>
      <c r="IZ4" s="1402"/>
      <c r="JA4" s="1402"/>
      <c r="JB4" s="1402"/>
      <c r="JC4" s="1402"/>
      <c r="JD4" s="1402"/>
      <c r="JE4" s="1402"/>
      <c r="JF4" s="1402"/>
      <c r="JG4" s="1402"/>
      <c r="JH4" s="1402"/>
      <c r="JI4" s="1402"/>
      <c r="JJ4" s="1402"/>
      <c r="JK4" s="1402"/>
      <c r="JL4" s="1402"/>
      <c r="JM4" s="1402"/>
      <c r="JN4" s="1402"/>
    </row>
    <row r="5" spans="1:274" s="24" customFormat="1" ht="10.5" hidden="1" customHeight="1" x14ac:dyDescent="0.2">
      <c r="A5" s="1221"/>
      <c r="B5" s="1391"/>
      <c r="C5" s="1390"/>
      <c r="D5" s="1390"/>
      <c r="E5" s="1390"/>
      <c r="F5" s="1390"/>
      <c r="G5" s="1390"/>
      <c r="H5" s="1390"/>
      <c r="I5" s="1390"/>
      <c r="J5" s="1390"/>
      <c r="K5" s="1390"/>
      <c r="L5" s="1390"/>
      <c r="M5" s="1390"/>
      <c r="N5" s="1226"/>
      <c r="O5" s="1391"/>
      <c r="P5" s="1391"/>
      <c r="Q5" s="1391"/>
      <c r="R5" s="1391"/>
      <c r="S5" s="1390"/>
      <c r="T5" s="1226"/>
      <c r="U5" s="1391"/>
      <c r="V5" s="1391"/>
      <c r="W5" s="1391"/>
      <c r="X5" s="1391"/>
      <c r="Y5" s="1390"/>
      <c r="Z5" s="1226"/>
      <c r="AA5" s="1391"/>
      <c r="AB5" s="1391"/>
      <c r="AC5" s="1391"/>
      <c r="AD5" s="1391"/>
      <c r="AE5" s="1390"/>
      <c r="AF5" s="1226"/>
      <c r="AG5" s="1391"/>
      <c r="AH5" s="1391"/>
      <c r="AI5" s="1391"/>
      <c r="AJ5" s="1391"/>
      <c r="AK5" s="1390"/>
      <c r="AL5" s="1226"/>
      <c r="AM5" s="1391"/>
      <c r="AN5" s="1391"/>
      <c r="AO5" s="1391"/>
      <c r="AP5" s="1391"/>
      <c r="AQ5" s="1390"/>
      <c r="AR5" s="1226"/>
      <c r="AS5" s="1391"/>
      <c r="AT5" s="1391"/>
      <c r="AU5" s="1391"/>
      <c r="AV5" s="1391"/>
      <c r="AW5" s="1390"/>
      <c r="AX5" s="1226"/>
      <c r="AY5" s="1391"/>
      <c r="AZ5" s="1391"/>
      <c r="BA5" s="1391"/>
      <c r="BB5" s="1391"/>
      <c r="BC5" s="1390"/>
      <c r="BD5" s="1226"/>
      <c r="BE5" s="1391"/>
      <c r="BF5" s="1391"/>
      <c r="BG5" s="1391"/>
      <c r="BH5" s="1391"/>
      <c r="BI5" s="1390"/>
      <c r="BJ5" s="1226"/>
      <c r="BK5" s="1390"/>
      <c r="BL5" s="1390"/>
      <c r="BM5" s="1390"/>
      <c r="BN5" s="1390"/>
      <c r="BO5" s="1390"/>
      <c r="BP5" s="1226"/>
      <c r="BQ5" s="1225"/>
      <c r="BR5" s="1225"/>
      <c r="BS5" s="1225"/>
      <c r="BT5" s="1225"/>
      <c r="BU5" s="1225"/>
      <c r="BV5" s="1226"/>
      <c r="BW5" s="1225"/>
      <c r="BX5" s="1225"/>
      <c r="BY5" s="1225"/>
      <c r="BZ5" s="1225"/>
      <c r="CA5" s="1225"/>
      <c r="CB5" s="1226"/>
      <c r="CC5" s="1225"/>
      <c r="CD5" s="1225"/>
      <c r="CE5" s="1225"/>
      <c r="CF5" s="1225"/>
      <c r="CG5" s="1225"/>
      <c r="CH5" s="1226"/>
      <c r="CI5" s="1225"/>
      <c r="CJ5" s="1225"/>
      <c r="CK5" s="1225"/>
      <c r="CL5" s="1225"/>
      <c r="CM5" s="1225"/>
      <c r="CN5" s="1226"/>
      <c r="CO5" s="1225"/>
      <c r="CP5" s="1225"/>
      <c r="CQ5" s="1225"/>
      <c r="CR5" s="1225"/>
      <c r="CS5" s="1225"/>
      <c r="CT5" s="1226"/>
      <c r="CU5" s="1225"/>
      <c r="CV5" s="1225"/>
      <c r="CW5" s="1225"/>
      <c r="CX5" s="1225"/>
      <c r="CY5" s="1225"/>
      <c r="CZ5" s="1226"/>
      <c r="DA5" s="1225"/>
      <c r="DB5" s="1225"/>
      <c r="DC5" s="1225"/>
      <c r="DD5" s="1225"/>
      <c r="DE5" s="1225"/>
      <c r="DF5" s="1226"/>
      <c r="DG5" s="1225"/>
      <c r="DH5" s="1225"/>
      <c r="DI5" s="1225"/>
      <c r="DJ5" s="1225"/>
      <c r="DK5" s="1225"/>
      <c r="DL5" s="1225"/>
      <c r="DM5" s="1225"/>
      <c r="DN5" s="1225"/>
      <c r="DO5" s="1225"/>
      <c r="DP5" s="1225"/>
      <c r="DQ5" s="1225"/>
      <c r="DR5" s="1225"/>
      <c r="DS5" s="1225"/>
      <c r="DT5" s="1225"/>
      <c r="DU5" s="1225"/>
      <c r="DV5" s="1225"/>
      <c r="DW5" s="1225"/>
      <c r="DX5" s="1225"/>
      <c r="DY5" s="1225"/>
      <c r="DZ5" s="1225"/>
      <c r="EA5" s="1225"/>
      <c r="EB5" s="1225"/>
      <c r="EC5" s="1225"/>
      <c r="ED5" s="1225"/>
      <c r="EE5" s="1225"/>
      <c r="EF5" s="1225"/>
      <c r="EG5" s="1225"/>
      <c r="EH5" s="1225"/>
      <c r="EI5" s="1225"/>
      <c r="EJ5" s="1225"/>
      <c r="EK5" s="1225"/>
      <c r="EL5" s="1225"/>
      <c r="EM5" s="1225"/>
      <c r="EN5" s="1225"/>
      <c r="EO5" s="1225"/>
      <c r="EP5" s="1225"/>
      <c r="EQ5" s="1225"/>
      <c r="ER5" s="1225"/>
      <c r="ES5" s="1225"/>
      <c r="ET5" s="1225"/>
      <c r="EU5" s="1225"/>
      <c r="EV5" s="1225"/>
      <c r="EW5" s="1225"/>
      <c r="EX5" s="1225"/>
      <c r="EY5" s="1225"/>
      <c r="EZ5" s="1225"/>
      <c r="FA5" s="1225"/>
      <c r="FB5" s="1225"/>
      <c r="FC5" s="1225"/>
      <c r="FD5" s="1225"/>
      <c r="FE5" s="1225"/>
      <c r="FF5" s="1225"/>
      <c r="FG5" s="1225"/>
      <c r="FH5" s="1225"/>
      <c r="FI5" s="1225"/>
      <c r="FJ5" s="1225"/>
      <c r="FK5" s="1225"/>
      <c r="FL5" s="1225"/>
      <c r="FM5" s="1225"/>
      <c r="FN5" s="1403"/>
      <c r="FO5" s="12"/>
      <c r="FP5" s="345"/>
      <c r="FQ5" s="345"/>
      <c r="FR5" s="345"/>
      <c r="FS5"/>
      <c r="FT5"/>
      <c r="FU5"/>
      <c r="FV5"/>
      <c r="FW5"/>
      <c r="FX5"/>
      <c r="FY5" s="345"/>
      <c r="FZ5" s="1402"/>
      <c r="GA5" s="1402"/>
      <c r="GB5" s="1402"/>
      <c r="GC5" s="1402"/>
      <c r="GD5" s="1402"/>
      <c r="GE5" s="1402"/>
      <c r="GF5" s="1402"/>
      <c r="GG5" s="1402"/>
      <c r="GH5" s="1402"/>
      <c r="GI5" s="1402"/>
      <c r="GJ5" s="1402"/>
      <c r="GK5" s="1402"/>
      <c r="GL5" s="1402"/>
      <c r="GM5" s="1402"/>
      <c r="GN5" s="1402"/>
      <c r="GO5" s="1402"/>
      <c r="GP5" s="1402"/>
      <c r="GQ5" s="1402"/>
      <c r="GR5" s="1402"/>
      <c r="GS5" s="1402"/>
      <c r="GT5" s="1402"/>
      <c r="GU5" s="1402"/>
      <c r="GV5" s="1402"/>
      <c r="GW5" s="1402"/>
      <c r="GX5" s="1402"/>
      <c r="GY5" s="1402"/>
      <c r="GZ5" s="1402"/>
      <c r="HA5" s="1402"/>
      <c r="HB5" s="1402"/>
      <c r="HC5" s="1402"/>
      <c r="HD5" s="1402"/>
      <c r="HE5" s="1402"/>
      <c r="HF5" s="1402"/>
      <c r="HG5" s="1402"/>
      <c r="HH5" s="1402"/>
      <c r="HI5" s="1402"/>
      <c r="HJ5" s="1402"/>
      <c r="HK5" s="1402"/>
      <c r="HL5" s="1402"/>
      <c r="HM5" s="1402"/>
      <c r="HN5" s="1402"/>
      <c r="HO5" s="1402"/>
      <c r="HP5" s="1402"/>
      <c r="HQ5" s="1402"/>
      <c r="HR5" s="1402"/>
      <c r="HS5" s="1402"/>
      <c r="HT5" s="1402"/>
      <c r="HU5" s="1402"/>
      <c r="HV5" s="1402"/>
      <c r="HW5" s="1402"/>
      <c r="HX5" s="1402"/>
      <c r="HY5" s="1402"/>
      <c r="HZ5" s="1402"/>
      <c r="IA5" s="1402"/>
      <c r="IB5" s="1402"/>
      <c r="IC5" s="1402"/>
      <c r="ID5" s="1402"/>
      <c r="IE5" s="1402"/>
      <c r="IF5" s="1402"/>
      <c r="IG5" s="1402"/>
      <c r="IH5" s="1402"/>
      <c r="II5" s="1402"/>
      <c r="IJ5" s="1402"/>
      <c r="IK5" s="1402"/>
      <c r="IL5" s="1402"/>
      <c r="IM5" s="1402"/>
      <c r="IN5" s="1402"/>
      <c r="IO5" s="1402"/>
      <c r="IP5" s="1402"/>
      <c r="IQ5" s="1402"/>
      <c r="IR5" s="1402"/>
      <c r="IS5" s="1402"/>
      <c r="IT5" s="1402"/>
      <c r="IU5" s="1402"/>
      <c r="IV5" s="1402"/>
      <c r="IW5" s="1402"/>
      <c r="IX5" s="1402"/>
      <c r="IY5" s="1402"/>
      <c r="IZ5" s="1402"/>
      <c r="JA5" s="1402"/>
      <c r="JB5" s="1402"/>
      <c r="JC5" s="1402"/>
      <c r="JD5" s="1402"/>
      <c r="JE5" s="1402"/>
      <c r="JF5" s="1402"/>
      <c r="JG5" s="1402"/>
      <c r="JH5" s="1402"/>
      <c r="JI5" s="1402"/>
      <c r="JJ5" s="1402"/>
      <c r="JK5" s="1402"/>
      <c r="JL5" s="1402"/>
      <c r="JM5" s="1402"/>
      <c r="JN5" s="1402"/>
    </row>
    <row r="6" spans="1:274" s="1364" customFormat="1" ht="10.5" customHeight="1" x14ac:dyDescent="0.2">
      <c r="A6" s="1221"/>
      <c r="B6" s="1225"/>
      <c r="C6" s="1224" t="str">
        <f>C57</f>
        <v>Full Year History Only</v>
      </c>
      <c r="D6" s="1224"/>
      <c r="E6" s="1224"/>
      <c r="F6" s="1224"/>
      <c r="G6" s="1224"/>
      <c r="H6" s="1224"/>
      <c r="I6" s="1224"/>
      <c r="J6" s="1224"/>
      <c r="K6" s="1224"/>
      <c r="L6" s="1224"/>
      <c r="M6" s="1224"/>
      <c r="N6" s="1223"/>
      <c r="O6" s="1222" t="str">
        <f>O57</f>
        <v>F1995</v>
      </c>
      <c r="P6" s="1224"/>
      <c r="Q6" s="1224"/>
      <c r="R6" s="1224"/>
      <c r="S6" s="1224"/>
      <c r="T6" s="1223"/>
      <c r="U6" s="1222" t="str">
        <f>U57</f>
        <v>F1996</v>
      </c>
      <c r="V6" s="1224"/>
      <c r="W6" s="1224"/>
      <c r="X6" s="1224"/>
      <c r="Y6" s="1224"/>
      <c r="Z6" s="1223"/>
      <c r="AA6" s="1222" t="str">
        <f>AA57</f>
        <v>F1997</v>
      </c>
      <c r="AB6" s="1224"/>
      <c r="AC6" s="1224"/>
      <c r="AD6" s="1224"/>
      <c r="AE6" s="1224"/>
      <c r="AF6" s="1223"/>
      <c r="AG6" s="1222" t="str">
        <f>AG57</f>
        <v>F1998</v>
      </c>
      <c r="AH6" s="1224"/>
      <c r="AI6" s="1224"/>
      <c r="AJ6" s="1224"/>
      <c r="AK6" s="1224"/>
      <c r="AL6" s="1223"/>
      <c r="AM6" s="1222" t="str">
        <f>AM57</f>
        <v>F1999</v>
      </c>
      <c r="AN6" s="1224"/>
      <c r="AO6" s="1224"/>
      <c r="AP6" s="1224"/>
      <c r="AQ6" s="1224"/>
      <c r="AR6" s="1223"/>
      <c r="AS6" s="1222" t="str">
        <f>AS57</f>
        <v>F2000</v>
      </c>
      <c r="AT6" s="1224"/>
      <c r="AU6" s="1224"/>
      <c r="AV6" s="1224"/>
      <c r="AW6" s="1224"/>
      <c r="AX6" s="1223"/>
      <c r="AY6" s="1222" t="str">
        <f>AY57</f>
        <v>F2001</v>
      </c>
      <c r="AZ6" s="1224"/>
      <c r="BA6" s="1224"/>
      <c r="BB6" s="1224"/>
      <c r="BC6" s="1224"/>
      <c r="BD6" s="1223"/>
      <c r="BE6" s="1222" t="str">
        <f>BE57</f>
        <v>F2002</v>
      </c>
      <c r="BF6" s="1224"/>
      <c r="BG6" s="1224"/>
      <c r="BH6" s="1224"/>
      <c r="BI6" s="1224"/>
      <c r="BJ6" s="1223"/>
      <c r="BK6" s="1222" t="str">
        <f>BK57</f>
        <v>F2003</v>
      </c>
      <c r="BL6" s="1224"/>
      <c r="BM6" s="1224"/>
      <c r="BN6" s="1224"/>
      <c r="BO6" s="1224"/>
      <c r="BP6" s="1223"/>
      <c r="BQ6" s="1222" t="str">
        <f>BQ57</f>
        <v>F2004</v>
      </c>
      <c r="BR6" s="1224"/>
      <c r="BS6" s="1224"/>
      <c r="BT6" s="1224"/>
      <c r="BU6" s="1224"/>
      <c r="BV6" s="1223"/>
      <c r="BW6" s="1222" t="str">
        <f>BW57</f>
        <v>F2005</v>
      </c>
      <c r="BX6" s="1224"/>
      <c r="BY6" s="1224"/>
      <c r="BZ6" s="1224"/>
      <c r="CA6" s="1224"/>
      <c r="CB6" s="1223"/>
      <c r="CC6" s="1222" t="str">
        <f>CC57</f>
        <v>F2006</v>
      </c>
      <c r="CD6" s="1224"/>
      <c r="CE6" s="1224"/>
      <c r="CF6" s="1224"/>
      <c r="CG6" s="1224"/>
      <c r="CH6" s="1223"/>
      <c r="CI6" s="1222" t="str">
        <f>CI57</f>
        <v>F2007</v>
      </c>
      <c r="CJ6" s="1224"/>
      <c r="CK6" s="1224"/>
      <c r="CL6" s="1224"/>
      <c r="CM6" s="1224"/>
      <c r="CN6" s="1223"/>
      <c r="CO6" s="1222" t="str">
        <f>CO57</f>
        <v>F2008</v>
      </c>
      <c r="CP6" s="1224"/>
      <c r="CQ6" s="1224"/>
      <c r="CR6" s="1224"/>
      <c r="CS6" s="1224"/>
      <c r="CT6" s="1223"/>
      <c r="CU6" s="1222" t="str">
        <f>CU57</f>
        <v>F2009</v>
      </c>
      <c r="CV6" s="1224"/>
      <c r="CW6" s="1224"/>
      <c r="CX6" s="1224"/>
      <c r="CY6" s="1238"/>
      <c r="CZ6" s="1236"/>
      <c r="DA6" s="1237" t="str">
        <f>DA57</f>
        <v>F2010</v>
      </c>
      <c r="DB6" s="1238"/>
      <c r="DC6" s="1238"/>
      <c r="DD6" s="1238"/>
      <c r="DE6" s="1239"/>
      <c r="DF6" s="1236"/>
      <c r="DG6" s="1237" t="str">
        <f>DG57</f>
        <v>F2011</v>
      </c>
      <c r="DH6" s="1238"/>
      <c r="DI6" s="1238"/>
      <c r="DJ6" s="1238"/>
      <c r="DK6" s="1239"/>
      <c r="DL6" s="1240"/>
      <c r="DM6" s="1237" t="str">
        <f>DM57</f>
        <v>F2012</v>
      </c>
      <c r="DN6" s="1238"/>
      <c r="DO6" s="1238"/>
      <c r="DP6" s="1238"/>
      <c r="DQ6" s="1239"/>
      <c r="DR6" s="1240"/>
      <c r="DS6" s="1237" t="str">
        <f>DS57</f>
        <v>F2013</v>
      </c>
      <c r="DT6" s="1238"/>
      <c r="DU6" s="1238"/>
      <c r="DV6" s="1238"/>
      <c r="DW6" s="1238"/>
      <c r="DX6" s="1240"/>
      <c r="DY6" s="1237" t="str">
        <f>DY57</f>
        <v>F2014</v>
      </c>
      <c r="DZ6" s="1238"/>
      <c r="EA6" s="1238"/>
      <c r="EB6" s="1238"/>
      <c r="EC6" s="1238"/>
      <c r="ED6" s="1240"/>
      <c r="EE6" s="1237" t="str">
        <f>EE57</f>
        <v>F2015</v>
      </c>
      <c r="EF6" s="1238"/>
      <c r="EG6" s="1238"/>
      <c r="EH6" s="1238"/>
      <c r="EI6" s="1238"/>
      <c r="EJ6" s="1240"/>
      <c r="EK6" s="1237" t="str">
        <f>EK57</f>
        <v>F2016</v>
      </c>
      <c r="EL6" s="1238"/>
      <c r="EM6" s="1238"/>
      <c r="EN6" s="1238"/>
      <c r="EO6" s="1238"/>
      <c r="EP6" s="1240"/>
      <c r="EQ6" s="1237" t="str">
        <f>EQ57</f>
        <v>F2017</v>
      </c>
      <c r="ER6" s="1238"/>
      <c r="ES6" s="1238"/>
      <c r="ET6" s="1238"/>
      <c r="EU6" s="1238"/>
      <c r="EV6" s="1240"/>
      <c r="EW6" s="1237" t="str">
        <f>EW57</f>
        <v>F2018E</v>
      </c>
      <c r="EX6" s="1238"/>
      <c r="EY6" s="1238"/>
      <c r="EZ6" s="1238"/>
      <c r="FA6" s="1238"/>
      <c r="FB6" s="1240"/>
      <c r="FC6" s="1237" t="str">
        <f>FC57</f>
        <v>F2019E</v>
      </c>
      <c r="FD6" s="1238"/>
      <c r="FE6" s="1238"/>
      <c r="FF6" s="1238"/>
      <c r="FG6" s="1238"/>
      <c r="FH6" s="1240"/>
      <c r="FI6" s="1237" t="str">
        <f>FI57</f>
        <v>F2020E</v>
      </c>
      <c r="FJ6" s="1238"/>
      <c r="FK6" s="1238"/>
      <c r="FL6" s="1238"/>
      <c r="FM6" s="1238"/>
      <c r="FN6" s="1398"/>
      <c r="FO6" s="1398"/>
      <c r="FP6" s="1398"/>
      <c r="FQ6" s="1398"/>
      <c r="FR6" s="1404"/>
      <c r="FS6"/>
      <c r="FT6"/>
      <c r="FU6"/>
      <c r="FV6"/>
      <c r="FW6"/>
      <c r="FX6"/>
      <c r="FY6" s="1405"/>
      <c r="FZ6" s="1405"/>
      <c r="GA6" s="1405"/>
      <c r="GB6" s="1405"/>
      <c r="GC6" s="1405"/>
      <c r="GD6" s="1405"/>
      <c r="GE6" s="1405"/>
      <c r="GF6" s="1405"/>
      <c r="GG6" s="1405"/>
      <c r="GH6" s="1405"/>
      <c r="GI6" s="1405"/>
      <c r="GJ6" s="1405"/>
      <c r="GK6" s="1405"/>
      <c r="GL6" s="1405"/>
      <c r="GM6" s="1405"/>
      <c r="GN6" s="1405"/>
      <c r="GO6" s="1405"/>
      <c r="GP6" s="1405"/>
      <c r="GQ6" s="1405"/>
      <c r="GR6" s="1405"/>
      <c r="GS6" s="1405"/>
      <c r="GT6" s="1405"/>
      <c r="GU6" s="1405"/>
      <c r="GV6" s="1405"/>
      <c r="GW6" s="1405"/>
      <c r="GX6" s="1405"/>
      <c r="GY6" s="1405"/>
      <c r="GZ6" s="1405"/>
      <c r="HA6" s="1405"/>
      <c r="HB6" s="1405"/>
      <c r="HC6" s="1405"/>
      <c r="HD6" s="1405"/>
      <c r="HE6" s="1405"/>
      <c r="HF6" s="1405"/>
      <c r="HG6" s="1405"/>
      <c r="HH6" s="1405"/>
      <c r="HI6" s="1405"/>
      <c r="HJ6" s="1405"/>
      <c r="HK6" s="1405"/>
      <c r="HL6" s="1405"/>
      <c r="HM6" s="1405"/>
      <c r="HN6" s="1405"/>
      <c r="HO6" s="1405"/>
      <c r="HP6" s="1405"/>
      <c r="HQ6" s="1405"/>
      <c r="HR6" s="1405"/>
      <c r="HS6" s="1405"/>
      <c r="HT6" s="1405"/>
      <c r="HU6" s="1405"/>
      <c r="HV6" s="1405"/>
      <c r="HW6" s="1405"/>
      <c r="HX6" s="1405"/>
      <c r="HY6" s="1405"/>
      <c r="HZ6" s="1405"/>
      <c r="IA6" s="1405"/>
      <c r="IB6" s="1405"/>
      <c r="IC6" s="1405"/>
      <c r="ID6" s="1405"/>
      <c r="IE6" s="1405"/>
      <c r="IF6" s="1405"/>
      <c r="IG6" s="1405"/>
      <c r="IH6" s="1405"/>
      <c r="II6" s="1405"/>
      <c r="IJ6" s="1405"/>
      <c r="IK6" s="1405"/>
      <c r="IL6" s="1405"/>
      <c r="IM6" s="1405"/>
      <c r="IN6" s="1405"/>
      <c r="IO6" s="1405"/>
      <c r="IP6" s="1405"/>
      <c r="IQ6" s="1405"/>
      <c r="IR6" s="1405"/>
      <c r="IS6" s="1405"/>
      <c r="IT6" s="1405"/>
      <c r="IU6" s="1405"/>
      <c r="IV6" s="1405"/>
      <c r="IW6" s="1405"/>
      <c r="IX6" s="1405"/>
      <c r="IY6" s="1405"/>
      <c r="IZ6" s="1405"/>
      <c r="JA6" s="1405"/>
      <c r="JB6" s="1405"/>
      <c r="JC6" s="1405"/>
      <c r="JD6" s="1405"/>
      <c r="JE6" s="1405"/>
      <c r="JF6" s="1405"/>
      <c r="JG6" s="1405"/>
      <c r="JH6" s="1405"/>
      <c r="JI6" s="1405"/>
      <c r="JJ6" s="1405"/>
      <c r="JK6" s="1405"/>
      <c r="JL6" s="1405"/>
      <c r="JM6" s="1405"/>
      <c r="JN6" s="1405"/>
    </row>
    <row r="7" spans="1:274" s="1364" customFormat="1" ht="10.5" customHeight="1" x14ac:dyDescent="0.2">
      <c r="A7" s="1394"/>
      <c r="B7" s="1395"/>
      <c r="C7" s="1396" t="str">
        <f>C58</f>
        <v>FY84</v>
      </c>
      <c r="D7" s="1396" t="str">
        <f t="shared" ref="D7:M7" si="0">D58</f>
        <v>FY85</v>
      </c>
      <c r="E7" s="1396" t="str">
        <f t="shared" si="0"/>
        <v>FY86</v>
      </c>
      <c r="F7" s="1396" t="str">
        <f t="shared" si="0"/>
        <v>FY87</v>
      </c>
      <c r="G7" s="1396" t="str">
        <f t="shared" si="0"/>
        <v>FY88</v>
      </c>
      <c r="H7" s="1396" t="str">
        <f t="shared" si="0"/>
        <v>FY89</v>
      </c>
      <c r="I7" s="1396" t="str">
        <f t="shared" si="0"/>
        <v>FY90</v>
      </c>
      <c r="J7" s="1396" t="str">
        <f t="shared" si="0"/>
        <v>FY91</v>
      </c>
      <c r="K7" s="1396" t="str">
        <f t="shared" si="0"/>
        <v>FY92</v>
      </c>
      <c r="L7" s="1396" t="str">
        <f t="shared" si="0"/>
        <v>FY93</v>
      </c>
      <c r="M7" s="1396" t="str">
        <f t="shared" si="0"/>
        <v>FY94</v>
      </c>
      <c r="N7" s="1396"/>
      <c r="O7" s="1396" t="str">
        <f>O58</f>
        <v xml:space="preserve"> 8/94</v>
      </c>
      <c r="P7" s="1396" t="str">
        <f>P58</f>
        <v xml:space="preserve"> 11/94</v>
      </c>
      <c r="Q7" s="1396" t="str">
        <f>Q58</f>
        <v xml:space="preserve"> 2/95</v>
      </c>
      <c r="R7" s="1396" t="str">
        <f>R58</f>
        <v>5/95</v>
      </c>
      <c r="S7" s="1396" t="str">
        <f>S58</f>
        <v>FY95</v>
      </c>
      <c r="T7" s="1396"/>
      <c r="U7" s="1396" t="str">
        <f>U58</f>
        <v xml:space="preserve"> 8/95</v>
      </c>
      <c r="V7" s="1396" t="str">
        <f>V58</f>
        <v xml:space="preserve"> 11/95</v>
      </c>
      <c r="W7" s="1396" t="str">
        <f>W58</f>
        <v xml:space="preserve"> 2/96</v>
      </c>
      <c r="X7" s="1396" t="str">
        <f>X58</f>
        <v>5/96</v>
      </c>
      <c r="Y7" s="1396" t="str">
        <f>Y58</f>
        <v>FY96</v>
      </c>
      <c r="Z7" s="1396"/>
      <c r="AA7" s="1396" t="str">
        <f>AA58</f>
        <v xml:space="preserve"> 8/96</v>
      </c>
      <c r="AB7" s="1396" t="str">
        <f>AB58</f>
        <v xml:space="preserve"> 11/96</v>
      </c>
      <c r="AC7" s="1396" t="str">
        <f>AC58</f>
        <v xml:space="preserve"> 2/97</v>
      </c>
      <c r="AD7" s="1396" t="str">
        <f>AD58</f>
        <v>5/97</v>
      </c>
      <c r="AE7" s="1396" t="str">
        <f>AE58</f>
        <v>FY97</v>
      </c>
      <c r="AF7" s="1396"/>
      <c r="AG7" s="1396" t="str">
        <f>AG58</f>
        <v xml:space="preserve"> 8/97</v>
      </c>
      <c r="AH7" s="1396" t="str">
        <f>AH58</f>
        <v xml:space="preserve"> 11/97</v>
      </c>
      <c r="AI7" s="1396" t="str">
        <f>AI58</f>
        <v xml:space="preserve"> 2/98</v>
      </c>
      <c r="AJ7" s="1396" t="str">
        <f>AJ58</f>
        <v>5/98</v>
      </c>
      <c r="AK7" s="1396" t="str">
        <f>AK58</f>
        <v>FY98</v>
      </c>
      <c r="AL7" s="1396"/>
      <c r="AM7" s="1396" t="str">
        <f>AM58</f>
        <v xml:space="preserve"> 8/98</v>
      </c>
      <c r="AN7" s="1396" t="str">
        <f>AN58</f>
        <v xml:space="preserve"> 11/98</v>
      </c>
      <c r="AO7" s="1396" t="str">
        <f>AO58</f>
        <v xml:space="preserve"> 2/99</v>
      </c>
      <c r="AP7" s="1396" t="str">
        <f>AP58</f>
        <v>5/99</v>
      </c>
      <c r="AQ7" s="1396" t="str">
        <f>AQ58</f>
        <v>FY99</v>
      </c>
      <c r="AR7" s="1396"/>
      <c r="AS7" s="1396" t="str">
        <f>AS58</f>
        <v xml:space="preserve"> 8/99</v>
      </c>
      <c r="AT7" s="1396" t="str">
        <f>AT58</f>
        <v xml:space="preserve"> 11/99</v>
      </c>
      <c r="AU7" s="1396" t="str">
        <f>AU58</f>
        <v xml:space="preserve"> 2/00</v>
      </c>
      <c r="AV7" s="1396" t="str">
        <f>AV58</f>
        <v>5/00</v>
      </c>
      <c r="AW7" s="1396" t="str">
        <f>AW58</f>
        <v>FY00</v>
      </c>
      <c r="AX7" s="1396"/>
      <c r="AY7" s="1396" t="str">
        <f>AY58</f>
        <v xml:space="preserve"> 8/00</v>
      </c>
      <c r="AZ7" s="1396" t="str">
        <f>AZ58</f>
        <v xml:space="preserve"> 11/00</v>
      </c>
      <c r="BA7" s="1396" t="str">
        <f>BA58</f>
        <v xml:space="preserve"> 2/01</v>
      </c>
      <c r="BB7" s="1396" t="str">
        <f>BB58</f>
        <v>5/01</v>
      </c>
      <c r="BC7" s="1396" t="str">
        <f>BC58</f>
        <v>FY01</v>
      </c>
      <c r="BD7" s="1396"/>
      <c r="BE7" s="1396" t="str">
        <f>BE58</f>
        <v xml:space="preserve"> 8/01</v>
      </c>
      <c r="BF7" s="1396" t="str">
        <f>BF58</f>
        <v xml:space="preserve"> 11/01</v>
      </c>
      <c r="BG7" s="1396" t="str">
        <f>BG58</f>
        <v xml:space="preserve"> 2/02</v>
      </c>
      <c r="BH7" s="1396" t="str">
        <f>BH58</f>
        <v>5/02</v>
      </c>
      <c r="BI7" s="1396" t="str">
        <f>BI58</f>
        <v>FY02</v>
      </c>
      <c r="BJ7" s="1396"/>
      <c r="BK7" s="1396" t="str">
        <f>BK58</f>
        <v xml:space="preserve"> 8/02</v>
      </c>
      <c r="BL7" s="1396" t="str">
        <f>BL58</f>
        <v xml:space="preserve"> 11/02</v>
      </c>
      <c r="BM7" s="1396" t="str">
        <f>BM58</f>
        <v xml:space="preserve"> 2/03</v>
      </c>
      <c r="BN7" s="1396" t="str">
        <f>BN58</f>
        <v>5/03</v>
      </c>
      <c r="BO7" s="1396" t="str">
        <f>BO58</f>
        <v>FY03</v>
      </c>
      <c r="BP7" s="1396"/>
      <c r="BQ7" s="1396" t="str">
        <f>BQ58</f>
        <v xml:space="preserve"> 8/03</v>
      </c>
      <c r="BR7" s="1396" t="str">
        <f>BR58</f>
        <v xml:space="preserve"> 11/03</v>
      </c>
      <c r="BS7" s="1396" t="str">
        <f>BS58</f>
        <v xml:space="preserve"> 2/04</v>
      </c>
      <c r="BT7" s="1396" t="str">
        <f>BT58</f>
        <v>5/04</v>
      </c>
      <c r="BU7" s="1396" t="str">
        <f>BU58</f>
        <v>FY04</v>
      </c>
      <c r="BV7" s="1396"/>
      <c r="BW7" s="1396" t="str">
        <f>BW58</f>
        <v xml:space="preserve"> 8/04</v>
      </c>
      <c r="BX7" s="1396" t="str">
        <f>BX58</f>
        <v xml:space="preserve"> 11/04</v>
      </c>
      <c r="BY7" s="1396" t="str">
        <f>BY58</f>
        <v xml:space="preserve"> 2/05</v>
      </c>
      <c r="BZ7" s="1396" t="str">
        <f>BZ58</f>
        <v>5/05</v>
      </c>
      <c r="CA7" s="1396" t="str">
        <f>CA58</f>
        <v>FY05</v>
      </c>
      <c r="CB7" s="1396"/>
      <c r="CC7" s="1396" t="str">
        <f>CC58</f>
        <v xml:space="preserve"> 8/05</v>
      </c>
      <c r="CD7" s="1396" t="str">
        <f>CD58</f>
        <v xml:space="preserve"> 11/05</v>
      </c>
      <c r="CE7" s="1396" t="str">
        <f>CE58</f>
        <v xml:space="preserve"> 2/06</v>
      </c>
      <c r="CF7" s="1396" t="str">
        <f>CF58</f>
        <v>5/06</v>
      </c>
      <c r="CG7" s="1396" t="str">
        <f>CG58</f>
        <v>FY06</v>
      </c>
      <c r="CH7" s="1396"/>
      <c r="CI7" s="1396" t="str">
        <f>CI58</f>
        <v xml:space="preserve"> 8/06</v>
      </c>
      <c r="CJ7" s="1396" t="str">
        <f>CJ58</f>
        <v xml:space="preserve"> 11/06</v>
      </c>
      <c r="CK7" s="1396" t="str">
        <f>CK58</f>
        <v xml:space="preserve"> 2/07</v>
      </c>
      <c r="CL7" s="1396" t="str">
        <f>CL58</f>
        <v>5/07</v>
      </c>
      <c r="CM7" s="1396" t="str">
        <f>CM58</f>
        <v>FY07</v>
      </c>
      <c r="CN7" s="1396"/>
      <c r="CO7" s="1396" t="str">
        <f>CO58</f>
        <v xml:space="preserve"> 8/07</v>
      </c>
      <c r="CP7" s="1396" t="str">
        <f>CP58</f>
        <v xml:space="preserve"> 11/07</v>
      </c>
      <c r="CQ7" s="1396" t="str">
        <f>CQ58</f>
        <v xml:space="preserve"> 2/08</v>
      </c>
      <c r="CR7" s="1396" t="str">
        <f>CR58</f>
        <v>5/08</v>
      </c>
      <c r="CS7" s="1396" t="str">
        <f>CS58</f>
        <v>FY08</v>
      </c>
      <c r="CT7" s="1396"/>
      <c r="CU7" s="1230" t="str">
        <f>CU58</f>
        <v xml:space="preserve"> 8/08</v>
      </c>
      <c r="CV7" s="1230" t="str">
        <f>CV58</f>
        <v xml:space="preserve"> 11/08</v>
      </c>
      <c r="CW7" s="1230" t="str">
        <f>CW58</f>
        <v xml:space="preserve"> 2/09</v>
      </c>
      <c r="CX7" s="1230" t="str">
        <f>CX58</f>
        <v>5/09</v>
      </c>
      <c r="CY7" s="1244" t="str">
        <f>CY58</f>
        <v>FY09</v>
      </c>
      <c r="CZ7" s="1261"/>
      <c r="DA7" s="1242" t="str">
        <f>DA58</f>
        <v>8/09</v>
      </c>
      <c r="DB7" s="1242" t="str">
        <f>DB58</f>
        <v>11/09</v>
      </c>
      <c r="DC7" s="1242" t="str">
        <f>DC58</f>
        <v>2/10</v>
      </c>
      <c r="DD7" s="1262" t="str">
        <f>DD58</f>
        <v>5/10</v>
      </c>
      <c r="DE7" s="1244" t="str">
        <f>DE58</f>
        <v>FY10</v>
      </c>
      <c r="DF7" s="1261"/>
      <c r="DG7" s="1242" t="str">
        <f>DG58</f>
        <v>8/10</v>
      </c>
      <c r="DH7" s="1242" t="str">
        <f>DH58</f>
        <v>11/10</v>
      </c>
      <c r="DI7" s="1242" t="str">
        <f>DI58</f>
        <v>2/11</v>
      </c>
      <c r="DJ7" s="1262" t="str">
        <f>DJ58</f>
        <v>5/11</v>
      </c>
      <c r="DK7" s="1244" t="str">
        <f>DK58</f>
        <v>FY11</v>
      </c>
      <c r="DL7" s="1261"/>
      <c r="DM7" s="1242" t="str">
        <f>DM58</f>
        <v>8/11</v>
      </c>
      <c r="DN7" s="1242" t="str">
        <f>DN58</f>
        <v>11/11</v>
      </c>
      <c r="DO7" s="1242" t="str">
        <f>DO58</f>
        <v xml:space="preserve"> 2/12</v>
      </c>
      <c r="DP7" s="1262" t="str">
        <f>DP58</f>
        <v>5/12</v>
      </c>
      <c r="DQ7" s="1244" t="str">
        <f>DQ58</f>
        <v>FY12</v>
      </c>
      <c r="DR7" s="1261"/>
      <c r="DS7" s="1242" t="str">
        <f>DS58</f>
        <v>8/12</v>
      </c>
      <c r="DT7" s="1242" t="str">
        <f>DT58</f>
        <v>11/12</v>
      </c>
      <c r="DU7" s="1242" t="str">
        <f>DU58</f>
        <v xml:space="preserve"> 2/13</v>
      </c>
      <c r="DV7" s="1262" t="str">
        <f>DV58</f>
        <v>5/13</v>
      </c>
      <c r="DW7" s="1260" t="str">
        <f>DW58</f>
        <v>FY13</v>
      </c>
      <c r="DX7" s="1261"/>
      <c r="DY7" s="1242" t="str">
        <f>DY58</f>
        <v>8/13</v>
      </c>
      <c r="DZ7" s="1241" t="str">
        <f>DZ58</f>
        <v>11/13</v>
      </c>
      <c r="EA7" s="1241" t="str">
        <f>EA58</f>
        <v>2/14</v>
      </c>
      <c r="EB7" s="1260" t="str">
        <f>EB58</f>
        <v>5/14</v>
      </c>
      <c r="EC7" s="1244" t="str">
        <f>EC58</f>
        <v>FY14</v>
      </c>
      <c r="ED7" s="1245"/>
      <c r="EE7" s="1244" t="str">
        <f>EE58</f>
        <v>8/14</v>
      </c>
      <c r="EF7" s="1244" t="str">
        <f>EF58</f>
        <v>11/14</v>
      </c>
      <c r="EG7" s="1244" t="str">
        <f>EG58</f>
        <v>2/15</v>
      </c>
      <c r="EH7" s="1244" t="str">
        <f>EH58</f>
        <v>5/15</v>
      </c>
      <c r="EI7" s="1246" t="str">
        <f>EI58</f>
        <v>FY15</v>
      </c>
      <c r="EJ7" s="1261"/>
      <c r="EK7" s="1242" t="str">
        <f>EK58</f>
        <v xml:space="preserve"> 8/15</v>
      </c>
      <c r="EL7" s="1241" t="str">
        <f>EL58</f>
        <v xml:space="preserve"> 11/15</v>
      </c>
      <c r="EM7" s="1241" t="str">
        <f>EM58</f>
        <v>2/16</v>
      </c>
      <c r="EN7" s="1260" t="str">
        <f>EN58</f>
        <v>5/16</v>
      </c>
      <c r="EO7" s="1244" t="str">
        <f>EO58</f>
        <v>FY16</v>
      </c>
      <c r="EP7" s="1245"/>
      <c r="EQ7" s="1244" t="str">
        <f>EQ58</f>
        <v xml:space="preserve"> 8/16</v>
      </c>
      <c r="ER7" s="1244" t="str">
        <f>ER58</f>
        <v xml:space="preserve"> 11/16</v>
      </c>
      <c r="ES7" s="1244" t="str">
        <f>ES58</f>
        <v xml:space="preserve"> 2/17</v>
      </c>
      <c r="ET7" s="1244" t="str">
        <f>ET58</f>
        <v>5/17</v>
      </c>
      <c r="EU7" s="1246" t="str">
        <f>EU58</f>
        <v>FY17</v>
      </c>
      <c r="EV7" s="1245"/>
      <c r="EW7" s="1244" t="str">
        <f>EW58</f>
        <v xml:space="preserve"> 8/17</v>
      </c>
      <c r="EX7" s="1244" t="str">
        <f>EX58</f>
        <v xml:space="preserve"> 11/17</v>
      </c>
      <c r="EY7" s="1244" t="str">
        <f>EY58</f>
        <v xml:space="preserve"> 2/18</v>
      </c>
      <c r="EZ7" s="1244" t="str">
        <f>EZ58</f>
        <v>5/18E</v>
      </c>
      <c r="FA7" s="1246" t="str">
        <f>FA58</f>
        <v>FY18E</v>
      </c>
      <c r="FB7" s="1245"/>
      <c r="FC7" s="1244" t="str">
        <f>FC58</f>
        <v xml:space="preserve"> 8/18E</v>
      </c>
      <c r="FD7" s="1244" t="str">
        <f>FD58</f>
        <v xml:space="preserve"> 11/18E</v>
      </c>
      <c r="FE7" s="1244" t="str">
        <f>FE58</f>
        <v xml:space="preserve"> 2/19E</v>
      </c>
      <c r="FF7" s="1244" t="str">
        <f>FF58</f>
        <v>5/19E</v>
      </c>
      <c r="FG7" s="1246" t="str">
        <f>FG58</f>
        <v>FY19E</v>
      </c>
      <c r="FH7" s="1245"/>
      <c r="FI7" s="1244" t="str">
        <f>FI58</f>
        <v xml:space="preserve"> 8/19E</v>
      </c>
      <c r="FJ7" s="1244" t="str">
        <f>FJ58</f>
        <v xml:space="preserve"> 11/19E</v>
      </c>
      <c r="FK7" s="1244" t="str">
        <f>FK58</f>
        <v xml:space="preserve"> 2/20E</v>
      </c>
      <c r="FL7" s="1244" t="str">
        <f>FL58</f>
        <v>5/20E</v>
      </c>
      <c r="FM7" s="1246" t="str">
        <f>FM58</f>
        <v>FY20E</v>
      </c>
      <c r="FN7" s="1406"/>
      <c r="FO7" s="1398"/>
      <c r="FP7" s="1398"/>
      <c r="FQ7" s="1398"/>
      <c r="FR7" s="1404"/>
      <c r="FS7"/>
      <c r="FT7"/>
      <c r="FU7"/>
      <c r="FV7"/>
      <c r="FW7"/>
      <c r="FX7"/>
      <c r="FY7" s="1405"/>
      <c r="FZ7" s="1405"/>
      <c r="GA7" s="1405"/>
      <c r="GB7" s="1405"/>
      <c r="GC7" s="1405"/>
      <c r="GD7" s="1405"/>
      <c r="GE7" s="1405"/>
      <c r="GF7" s="1405"/>
      <c r="GG7" s="1405"/>
      <c r="GH7" s="1405"/>
      <c r="GI7" s="1405"/>
      <c r="GJ7" s="1405"/>
      <c r="GK7" s="1405"/>
      <c r="GL7" s="1405"/>
      <c r="GM7" s="1405"/>
      <c r="GN7" s="1405"/>
      <c r="GO7" s="1405"/>
      <c r="GP7" s="1405"/>
      <c r="GQ7" s="1405"/>
      <c r="GR7" s="1405"/>
      <c r="GS7" s="1405"/>
      <c r="GT7" s="1405"/>
      <c r="GU7" s="1405"/>
      <c r="GV7" s="1405"/>
      <c r="GW7" s="1405"/>
      <c r="GX7" s="1405"/>
      <c r="GY7" s="1405"/>
      <c r="GZ7" s="1405"/>
      <c r="HA7" s="1405"/>
      <c r="HB7" s="1405"/>
      <c r="HC7" s="1405"/>
      <c r="HD7" s="1405"/>
      <c r="HE7" s="1405"/>
      <c r="HF7" s="1405"/>
      <c r="HG7" s="1405"/>
      <c r="HH7" s="1405"/>
      <c r="HI7" s="1405"/>
      <c r="HJ7" s="1405"/>
      <c r="HK7" s="1405"/>
      <c r="HL7" s="1405"/>
      <c r="HM7" s="1405"/>
      <c r="HN7" s="1405"/>
      <c r="HO7" s="1405"/>
      <c r="HP7" s="1405"/>
      <c r="HQ7" s="1405"/>
      <c r="HR7" s="1405"/>
      <c r="HS7" s="1405"/>
      <c r="HT7" s="1405"/>
      <c r="HU7" s="1405"/>
      <c r="HV7" s="1405"/>
      <c r="HW7" s="1405"/>
      <c r="HX7" s="1405"/>
      <c r="HY7" s="1405"/>
      <c r="HZ7" s="1405"/>
      <c r="IA7" s="1405"/>
      <c r="IB7" s="1405"/>
      <c r="IC7" s="1405"/>
      <c r="ID7" s="1405"/>
      <c r="IE7" s="1405"/>
      <c r="IF7" s="1405"/>
      <c r="IG7" s="1405"/>
      <c r="IH7" s="1405"/>
      <c r="II7" s="1405"/>
      <c r="IJ7" s="1405"/>
      <c r="IK7" s="1405"/>
      <c r="IL7" s="1405"/>
      <c r="IM7" s="1405"/>
      <c r="IN7" s="1405"/>
      <c r="IO7" s="1405"/>
      <c r="IP7" s="1405"/>
      <c r="IQ7" s="1405"/>
      <c r="IR7" s="1405"/>
      <c r="IS7" s="1405"/>
      <c r="IT7" s="1405"/>
      <c r="IU7" s="1405"/>
      <c r="IV7" s="1405"/>
      <c r="IW7" s="1405"/>
      <c r="IX7" s="1405"/>
      <c r="IY7" s="1405"/>
      <c r="IZ7" s="1405"/>
      <c r="JA7" s="1405"/>
      <c r="JB7" s="1405"/>
      <c r="JC7" s="1405"/>
      <c r="JD7" s="1405"/>
      <c r="JE7" s="1405"/>
      <c r="JF7" s="1405"/>
      <c r="JG7" s="1405"/>
      <c r="JH7" s="1405"/>
      <c r="JI7" s="1405"/>
      <c r="JJ7" s="1405"/>
      <c r="JK7" s="1405"/>
      <c r="JL7" s="1405"/>
      <c r="JM7" s="1405"/>
      <c r="JN7" s="1405"/>
    </row>
    <row r="8" spans="1:274" s="1523" customFormat="1" ht="10.5" customHeight="1" x14ac:dyDescent="0.2">
      <c r="A8" s="1556" t="s">
        <v>112</v>
      </c>
      <c r="B8" s="1557"/>
      <c r="C8" s="1558"/>
      <c r="D8" s="1558"/>
      <c r="E8" s="1558"/>
      <c r="F8" s="1558"/>
      <c r="G8" s="1558"/>
      <c r="H8" s="1558"/>
      <c r="I8" s="1558"/>
      <c r="J8" s="1558"/>
      <c r="K8" s="1558"/>
      <c r="L8" s="1558"/>
      <c r="M8" s="1557"/>
      <c r="N8" s="1559"/>
      <c r="O8" s="1557"/>
      <c r="P8" s="1557"/>
      <c r="Q8" s="1557"/>
      <c r="R8" s="1557"/>
      <c r="S8" s="1557"/>
      <c r="T8" s="1557"/>
      <c r="U8" s="1557"/>
      <c r="V8" s="1557"/>
      <c r="W8" s="1557"/>
      <c r="X8" s="1557"/>
      <c r="Y8" s="1557"/>
      <c r="Z8" s="1557"/>
      <c r="AA8" s="1557"/>
      <c r="AB8" s="1557"/>
      <c r="AC8" s="1557"/>
      <c r="AD8" s="1557"/>
      <c r="AE8" s="1557"/>
      <c r="AF8" s="1557"/>
      <c r="AG8" s="1557"/>
      <c r="AH8" s="1557"/>
      <c r="AI8" s="1557"/>
      <c r="AJ8" s="1557"/>
      <c r="AK8" s="1557"/>
      <c r="AL8" s="1557"/>
      <c r="AM8" s="1557"/>
      <c r="AN8" s="1557"/>
      <c r="AO8" s="1557"/>
      <c r="AP8" s="1557"/>
      <c r="AQ8" s="1557"/>
      <c r="AR8" s="1557"/>
      <c r="AS8" s="1557"/>
      <c r="AT8" s="1557"/>
      <c r="AU8" s="1557"/>
      <c r="AV8" s="1557"/>
      <c r="AW8" s="1557"/>
      <c r="AX8" s="1557"/>
      <c r="AY8" s="1557"/>
      <c r="AZ8" s="1557"/>
      <c r="BA8" s="1557"/>
      <c r="BB8" s="1557"/>
      <c r="BC8" s="1557"/>
      <c r="BD8" s="1557"/>
      <c r="BE8" s="1557"/>
      <c r="BF8" s="1557"/>
      <c r="BG8" s="1557"/>
      <c r="BH8" s="1557"/>
      <c r="BI8" s="1557"/>
      <c r="BJ8" s="1557"/>
      <c r="BK8" s="1557"/>
      <c r="BL8" s="1557"/>
      <c r="BM8" s="1557"/>
      <c r="BN8" s="1557"/>
      <c r="BO8" s="1557"/>
      <c r="BP8" s="1557"/>
      <c r="BQ8" s="1557"/>
      <c r="BR8" s="1557"/>
      <c r="BS8" s="1557"/>
      <c r="BT8" s="1557"/>
      <c r="BU8" s="1557"/>
      <c r="BV8" s="1557"/>
      <c r="BW8" s="1539"/>
      <c r="BX8" s="1539"/>
      <c r="BY8" s="1539"/>
      <c r="BZ8" s="1539"/>
      <c r="CA8" s="1539"/>
      <c r="CB8" s="1557"/>
      <c r="CC8" s="1539"/>
      <c r="CD8" s="1539"/>
      <c r="CE8" s="1539"/>
      <c r="CF8" s="1539"/>
      <c r="CG8" s="1539"/>
      <c r="CH8" s="1557"/>
      <c r="CI8" s="1539"/>
      <c r="CJ8" s="1539"/>
      <c r="CK8" s="1539"/>
      <c r="CL8" s="1539"/>
      <c r="CM8" s="1560"/>
      <c r="CN8" s="1557"/>
      <c r="CO8" s="1539"/>
      <c r="CP8" s="1539"/>
      <c r="CQ8" s="1539"/>
      <c r="CR8" s="1539"/>
      <c r="CS8" s="1560"/>
      <c r="CT8" s="1557"/>
      <c r="CU8" s="1539"/>
      <c r="CV8" s="1539"/>
      <c r="CW8" s="1539"/>
      <c r="CX8" s="1539"/>
      <c r="CY8" s="1560"/>
      <c r="CZ8" s="1557"/>
      <c r="DA8" s="1539"/>
      <c r="DB8" s="1539"/>
      <c r="DC8" s="1539"/>
      <c r="DD8" s="1539"/>
      <c r="DE8" s="1560"/>
      <c r="DF8" s="1557"/>
      <c r="DG8" s="1539"/>
      <c r="DH8" s="1539"/>
      <c r="DI8" s="1539"/>
      <c r="DJ8" s="1539"/>
      <c r="DK8" s="1560"/>
      <c r="DL8" s="1557"/>
      <c r="DM8" s="1539"/>
      <c r="DN8" s="1539"/>
      <c r="DO8" s="1539"/>
      <c r="DP8" s="1539"/>
      <c r="DQ8" s="1560"/>
      <c r="DR8" s="1557"/>
      <c r="DS8" s="1539"/>
      <c r="DT8" s="1539"/>
      <c r="DU8" s="1539"/>
      <c r="DV8" s="1539"/>
      <c r="DW8" s="1560"/>
      <c r="DX8" s="1557"/>
      <c r="DY8" s="1539"/>
      <c r="DZ8" s="1539"/>
      <c r="EA8" s="1539"/>
      <c r="EB8" s="1539"/>
      <c r="EC8" s="1560"/>
      <c r="ED8" s="1557"/>
      <c r="EE8" s="1539"/>
      <c r="EF8" s="1539"/>
      <c r="EG8" s="1539"/>
      <c r="EH8" s="1539"/>
      <c r="EI8" s="1560"/>
      <c r="EJ8" s="1557"/>
      <c r="EK8" s="1539"/>
      <c r="EL8" s="1539"/>
      <c r="EM8" s="1539"/>
      <c r="EN8" s="1539"/>
      <c r="EO8" s="1560"/>
      <c r="EP8" s="1557"/>
      <c r="EQ8" s="1539"/>
      <c r="ER8" s="1539"/>
      <c r="ES8" s="1539"/>
      <c r="ET8" s="1539"/>
      <c r="EU8" s="1560"/>
      <c r="EV8" s="1557"/>
      <c r="EW8" s="1539"/>
      <c r="EX8" s="1539"/>
      <c r="EY8" s="1539"/>
      <c r="EZ8" s="1539"/>
      <c r="FA8" s="1560"/>
      <c r="FB8" s="1557"/>
      <c r="FC8" s="1539"/>
      <c r="FD8" s="1539"/>
      <c r="FE8" s="1539"/>
      <c r="FF8" s="1539"/>
      <c r="FG8" s="1560"/>
      <c r="FH8" s="1557"/>
      <c r="FI8" s="1539"/>
      <c r="FJ8" s="1539"/>
      <c r="FK8" s="1539"/>
      <c r="FL8" s="1539"/>
      <c r="FM8" s="1560"/>
      <c r="FN8" s="1557"/>
      <c r="FO8" s="1557"/>
      <c r="FP8" s="1561"/>
      <c r="FQ8" s="1561"/>
      <c r="FR8" s="1561"/>
      <c r="FS8"/>
      <c r="FT8"/>
      <c r="FU8"/>
      <c r="FV8"/>
      <c r="FW8"/>
      <c r="FX8"/>
      <c r="FY8" s="1561"/>
      <c r="FZ8" s="1562"/>
      <c r="GA8" s="1562"/>
      <c r="GB8" s="1562"/>
      <c r="GC8" s="1562"/>
      <c r="GD8" s="1562"/>
      <c r="GE8" s="1562"/>
      <c r="GF8" s="1562"/>
      <c r="GG8" s="1562"/>
      <c r="GH8" s="1562"/>
      <c r="GI8" s="1562"/>
      <c r="GJ8" s="1562"/>
      <c r="GK8" s="1562"/>
      <c r="GL8" s="1562"/>
      <c r="GM8" s="1562"/>
      <c r="GN8" s="1562"/>
      <c r="GO8" s="1562"/>
      <c r="GP8" s="1562"/>
      <c r="GQ8" s="1562"/>
      <c r="GR8" s="1562"/>
      <c r="GS8" s="1562"/>
      <c r="GT8" s="1562"/>
      <c r="GU8" s="1562"/>
      <c r="GV8" s="1562"/>
      <c r="GW8" s="1562"/>
      <c r="GX8" s="1562"/>
      <c r="GY8" s="1562"/>
      <c r="GZ8" s="1562"/>
      <c r="HA8" s="1562"/>
      <c r="HB8" s="1562"/>
      <c r="HC8" s="1562"/>
      <c r="HD8" s="1562"/>
      <c r="HE8" s="1562"/>
      <c r="HF8" s="1562"/>
      <c r="HG8" s="1562"/>
      <c r="HH8" s="1562"/>
      <c r="HI8" s="1562"/>
      <c r="HJ8" s="1562"/>
      <c r="HK8" s="1562"/>
      <c r="HL8" s="1562"/>
      <c r="HM8" s="1562"/>
      <c r="HN8" s="1562"/>
      <c r="HO8" s="1562"/>
      <c r="HP8" s="1562"/>
      <c r="HQ8" s="1562"/>
      <c r="HR8" s="1562"/>
      <c r="HS8" s="1562"/>
      <c r="HT8" s="1562"/>
      <c r="HU8" s="1562"/>
      <c r="HV8" s="1562"/>
      <c r="HW8" s="1562"/>
      <c r="HX8" s="1562"/>
      <c r="HY8" s="1562"/>
      <c r="HZ8" s="1562"/>
      <c r="IA8" s="1562"/>
      <c r="IB8" s="1562"/>
      <c r="IC8" s="1562"/>
      <c r="ID8" s="1562"/>
      <c r="IE8" s="1562"/>
      <c r="IF8" s="1562"/>
      <c r="IG8" s="1562"/>
      <c r="IH8" s="1562"/>
      <c r="II8" s="1562"/>
      <c r="IJ8" s="1562"/>
      <c r="IK8" s="1562"/>
      <c r="IL8" s="1562"/>
      <c r="IM8" s="1562"/>
      <c r="IN8" s="1562"/>
      <c r="IO8" s="1562"/>
      <c r="IP8" s="1562"/>
      <c r="IQ8" s="1562"/>
      <c r="IR8" s="1562"/>
      <c r="IS8" s="1562"/>
      <c r="IT8" s="1562"/>
      <c r="IU8" s="1562"/>
      <c r="IV8" s="1562"/>
      <c r="IW8" s="1562"/>
      <c r="IX8" s="1562"/>
      <c r="IY8" s="1562"/>
      <c r="IZ8" s="1562"/>
      <c r="JA8" s="1562"/>
      <c r="JB8" s="1562"/>
      <c r="JC8" s="1562"/>
      <c r="JD8" s="1562"/>
      <c r="JE8" s="1562"/>
      <c r="JF8" s="1562"/>
      <c r="JG8" s="1562"/>
      <c r="JH8" s="1562"/>
      <c r="JI8" s="1562"/>
      <c r="JJ8" s="1562"/>
      <c r="JK8" s="1562"/>
      <c r="JL8" s="1562"/>
      <c r="JM8" s="1562"/>
      <c r="JN8" s="1562"/>
    </row>
    <row r="9" spans="1:274" s="1523" customFormat="1" ht="10.5" customHeight="1" x14ac:dyDescent="0.2">
      <c r="A9" s="1540" t="s">
        <v>45</v>
      </c>
      <c r="B9" s="1563"/>
      <c r="C9" s="1564">
        <f t="shared" ref="C9:M9" si="1">C60</f>
        <v>0</v>
      </c>
      <c r="D9" s="1564">
        <f t="shared" si="1"/>
        <v>0</v>
      </c>
      <c r="E9" s="1564">
        <f t="shared" si="1"/>
        <v>0</v>
      </c>
      <c r="F9" s="1564">
        <f t="shared" si="1"/>
        <v>15.622999999999999</v>
      </c>
      <c r="G9" s="1564">
        <f t="shared" si="1"/>
        <v>42.886000000000003</v>
      </c>
      <c r="H9" s="1564">
        <f t="shared" si="1"/>
        <v>81.766000000000005</v>
      </c>
      <c r="I9" s="1564">
        <f t="shared" si="1"/>
        <v>80.876999999999995</v>
      </c>
      <c r="J9" s="1564">
        <f t="shared" si="1"/>
        <v>-12.401</v>
      </c>
      <c r="K9" s="1564">
        <f t="shared" si="1"/>
        <v>61.51</v>
      </c>
      <c r="L9" s="1564">
        <f t="shared" si="1"/>
        <v>141.726</v>
      </c>
      <c r="M9" s="1564">
        <f t="shared" si="1"/>
        <v>283.72000000000003</v>
      </c>
      <c r="N9" s="1534"/>
      <c r="O9" s="1564">
        <f>O60</f>
        <v>61.2</v>
      </c>
      <c r="P9" s="1564">
        <f>P60+O9</f>
        <v>155.066</v>
      </c>
      <c r="Q9" s="1564">
        <f>Q60+P9</f>
        <v>259.84300000000002</v>
      </c>
      <c r="R9" s="1564">
        <f>R60+Q9</f>
        <v>441.51799999999997</v>
      </c>
      <c r="S9" s="1540">
        <f>R9</f>
        <v>441.51799999999997</v>
      </c>
      <c r="T9" s="1534"/>
      <c r="U9" s="1564">
        <f>U60</f>
        <v>53.762999999999998</v>
      </c>
      <c r="V9" s="1564">
        <f>V60+U9</f>
        <v>190.66399999999999</v>
      </c>
      <c r="W9" s="1564">
        <f>W60+V9</f>
        <v>336.95400000000001</v>
      </c>
      <c r="X9" s="1564">
        <f>X60+W9</f>
        <v>603.279</v>
      </c>
      <c r="Y9" s="1540">
        <f>X9</f>
        <v>603.279</v>
      </c>
      <c r="Z9" s="1534"/>
      <c r="AA9" s="1564">
        <f>AA60</f>
        <v>112.771</v>
      </c>
      <c r="AB9" s="1564">
        <f>AB60+AA9</f>
        <v>292.267</v>
      </c>
      <c r="AC9" s="1564">
        <f>AC60+AB9</f>
        <v>461.52</v>
      </c>
      <c r="AD9" s="1564">
        <f>AD60+AC9</f>
        <v>821.45699999999988</v>
      </c>
      <c r="AE9" s="1540">
        <f>AD9</f>
        <v>821.45699999999988</v>
      </c>
      <c r="AF9" s="1534"/>
      <c r="AG9" s="1564">
        <f>AG60</f>
        <v>8.4710000000000001</v>
      </c>
      <c r="AH9" s="1564">
        <f>AH60+AG9</f>
        <v>195.79499999999999</v>
      </c>
      <c r="AI9" s="1564">
        <f>AI60+AH9</f>
        <v>410.87200000000001</v>
      </c>
      <c r="AJ9" s="1564">
        <f>AJ60+AI9</f>
        <v>813.69500000000016</v>
      </c>
      <c r="AK9" s="1540">
        <f>AJ9</f>
        <v>813.69500000000016</v>
      </c>
      <c r="AL9" s="1534"/>
      <c r="AM9" s="1564">
        <f>AM60</f>
        <v>195.00200000000001</v>
      </c>
      <c r="AN9" s="1564">
        <f>AN60+AM9</f>
        <v>469.077</v>
      </c>
      <c r="AO9" s="1564">
        <f>AO60+AN9</f>
        <v>762.33799999999997</v>
      </c>
      <c r="AP9" s="1564">
        <f>AP60+AO9</f>
        <v>1289.758</v>
      </c>
      <c r="AQ9" s="1540">
        <f>AP9</f>
        <v>1289.758</v>
      </c>
      <c r="AR9" s="1534"/>
      <c r="AS9" s="1564">
        <f>AS60</f>
        <v>236.73599999999999</v>
      </c>
      <c r="AT9" s="1564">
        <f>AT60+AS9</f>
        <v>621.22</v>
      </c>
      <c r="AU9" s="1564">
        <f>AU60+AT9</f>
        <v>1384.396</v>
      </c>
      <c r="AV9" s="1564">
        <f>AV60+AU9</f>
        <v>6296.8029999999999</v>
      </c>
      <c r="AW9" s="1540">
        <f>AV9</f>
        <v>6296.8029999999999</v>
      </c>
      <c r="AX9" s="1534"/>
      <c r="AY9" s="1564">
        <f>AY60</f>
        <v>500.67700000000002</v>
      </c>
      <c r="AZ9" s="1564">
        <f>AZ60+AY9</f>
        <v>1123.489</v>
      </c>
      <c r="BA9" s="1564">
        <f>BA60+AZ9</f>
        <v>1706.2019999999998</v>
      </c>
      <c r="BB9" s="1564">
        <f>BB60+BA9</f>
        <v>2561</v>
      </c>
      <c r="BC9" s="1540">
        <f>BB9</f>
        <v>2561</v>
      </c>
      <c r="BD9" s="1534"/>
      <c r="BE9" s="1564">
        <f>BE60</f>
        <v>510.64699999999999</v>
      </c>
      <c r="BF9" s="1564">
        <f>BF60+BE9</f>
        <v>1060</v>
      </c>
      <c r="BG9" s="1564">
        <f>BG60+BF9</f>
        <v>1568</v>
      </c>
      <c r="BH9" s="1564">
        <f>BH60+BG9</f>
        <v>2224</v>
      </c>
      <c r="BI9" s="1540">
        <f>BH9</f>
        <v>2224</v>
      </c>
      <c r="BJ9" s="1534"/>
      <c r="BK9" s="1564">
        <f>BK60</f>
        <v>343</v>
      </c>
      <c r="BL9" s="1564">
        <f>BL60+BK9</f>
        <v>878</v>
      </c>
      <c r="BM9" s="1564">
        <f>BM60+BL9</f>
        <v>1449</v>
      </c>
      <c r="BN9" s="1564">
        <f>BN60+BM9</f>
        <v>2307</v>
      </c>
      <c r="BO9" s="1540">
        <f>BN9</f>
        <v>2307</v>
      </c>
      <c r="BP9" s="1534"/>
      <c r="BQ9" s="1564">
        <f>BQ60</f>
        <v>440</v>
      </c>
      <c r="BR9" s="1564">
        <v>1057</v>
      </c>
      <c r="BS9" s="1564">
        <v>1691</v>
      </c>
      <c r="BT9" s="1564">
        <v>2681</v>
      </c>
      <c r="BU9" s="1540">
        <f>BT9</f>
        <v>2681</v>
      </c>
      <c r="BV9" s="1534"/>
      <c r="BW9" s="1540">
        <v>509</v>
      </c>
      <c r="BX9" s="1564">
        <v>1324</v>
      </c>
      <c r="BY9" s="1564">
        <v>1864</v>
      </c>
      <c r="BZ9" s="1564">
        <v>2885.9225000000001</v>
      </c>
      <c r="CA9" s="1540">
        <f>BZ9</f>
        <v>2885.9225000000001</v>
      </c>
      <c r="CB9" s="1534"/>
      <c r="CC9" s="1564">
        <v>519</v>
      </c>
      <c r="CD9" s="1564">
        <v>1316</v>
      </c>
      <c r="CE9" s="1564">
        <v>2081</v>
      </c>
      <c r="CF9" s="1564">
        <v>3381</v>
      </c>
      <c r="CG9" s="1540">
        <f>CF9</f>
        <v>3381</v>
      </c>
      <c r="CH9" s="1534"/>
      <c r="CI9" s="1564">
        <f>Model!CI218</f>
        <v>672</v>
      </c>
      <c r="CJ9" s="1564">
        <v>1637</v>
      </c>
      <c r="CK9" s="1564">
        <f>Model!CK218+CJ9</f>
        <v>2670</v>
      </c>
      <c r="CL9" s="1564">
        <v>4274</v>
      </c>
      <c r="CM9" s="1545">
        <f>CL9</f>
        <v>4274</v>
      </c>
      <c r="CN9" s="1534"/>
      <c r="CO9" s="1564">
        <f>Model!CO218</f>
        <v>840</v>
      </c>
      <c r="CP9" s="1564">
        <v>2144</v>
      </c>
      <c r="CQ9" s="1564">
        <v>3484</v>
      </c>
      <c r="CR9" s="1564">
        <v>5521</v>
      </c>
      <c r="CS9" s="1541">
        <f>CR9</f>
        <v>5521</v>
      </c>
      <c r="CT9" s="1534"/>
      <c r="CU9" s="1564">
        <v>1077</v>
      </c>
      <c r="CV9" s="1564">
        <v>2373</v>
      </c>
      <c r="CW9" s="1564">
        <v>3702</v>
      </c>
      <c r="CX9" s="1564">
        <v>5593</v>
      </c>
      <c r="CY9" s="1545">
        <f>CX9</f>
        <v>5593</v>
      </c>
      <c r="CZ9" s="1534"/>
      <c r="DA9" s="1564">
        <v>1124</v>
      </c>
      <c r="DB9" s="1564">
        <v>2582</v>
      </c>
      <c r="DC9" s="1564">
        <v>3772</v>
      </c>
      <c r="DD9" s="1564">
        <v>6135</v>
      </c>
      <c r="DE9" s="1545">
        <f>DD9</f>
        <v>6135</v>
      </c>
      <c r="DF9" s="1534"/>
      <c r="DG9" s="1564">
        <f>Model!DG218</f>
        <v>1352</v>
      </c>
      <c r="DH9" s="1564">
        <v>3223</v>
      </c>
      <c r="DI9" s="1564">
        <v>5338</v>
      </c>
      <c r="DJ9" s="1564">
        <f>Model!DJ218+DI9</f>
        <v>8547</v>
      </c>
      <c r="DK9" s="1545">
        <f>DJ9</f>
        <v>8547</v>
      </c>
      <c r="DL9" s="1534"/>
      <c r="DM9" s="1564">
        <v>1840</v>
      </c>
      <c r="DN9" s="1564">
        <v>4032</v>
      </c>
      <c r="DO9" s="1564">
        <v>6529</v>
      </c>
      <c r="DP9" s="1564">
        <v>9981</v>
      </c>
      <c r="DQ9" s="1545">
        <f>DP9</f>
        <v>9981</v>
      </c>
      <c r="DR9" s="1534"/>
      <c r="DS9" s="1564">
        <v>2034</v>
      </c>
      <c r="DT9" s="1564">
        <v>4615</v>
      </c>
      <c r="DU9" s="1564">
        <v>7119</v>
      </c>
      <c r="DV9" s="1564">
        <v>10925</v>
      </c>
      <c r="DW9" s="1545">
        <f>DV9</f>
        <v>10925</v>
      </c>
      <c r="DX9" s="1534"/>
      <c r="DY9" s="1564">
        <v>2191</v>
      </c>
      <c r="DZ9" s="1564">
        <v>4744</v>
      </c>
      <c r="EA9" s="1564">
        <v>7309</v>
      </c>
      <c r="EB9" s="1564">
        <v>10955</v>
      </c>
      <c r="EC9" s="1545">
        <f>EB9</f>
        <v>10955</v>
      </c>
      <c r="ED9" s="1534"/>
      <c r="EE9" s="1564">
        <v>2184</v>
      </c>
      <c r="EF9" s="1564">
        <v>4685</v>
      </c>
      <c r="EG9" s="1564">
        <v>7181</v>
      </c>
      <c r="EH9" s="1564">
        <v>9938</v>
      </c>
      <c r="EI9" s="1545">
        <f>EH9</f>
        <v>9938</v>
      </c>
      <c r="EJ9" s="1534"/>
      <c r="EK9" s="1564">
        <v>1747</v>
      </c>
      <c r="EL9" s="1564">
        <v>3945</v>
      </c>
      <c r="EM9" s="1564">
        <v>6087</v>
      </c>
      <c r="EN9" s="1564">
        <v>8901</v>
      </c>
      <c r="EO9" s="1545">
        <f>EN9</f>
        <v>8901</v>
      </c>
      <c r="EP9" s="1534"/>
      <c r="EQ9" s="1564">
        <v>1832</v>
      </c>
      <c r="ER9" s="1564">
        <v>3864</v>
      </c>
      <c r="ES9" s="1564">
        <v>6103</v>
      </c>
      <c r="ET9" s="1564">
        <v>9335</v>
      </c>
      <c r="EU9" s="1545">
        <f>ET9</f>
        <v>9335</v>
      </c>
      <c r="EV9" s="1534"/>
      <c r="EW9" s="1564">
        <v>2210</v>
      </c>
      <c r="EX9" s="1564">
        <v>4442</v>
      </c>
      <c r="EY9" s="1564">
        <v>418</v>
      </c>
      <c r="EZ9" s="1564">
        <f>Model!EZ218+EY9</f>
        <v>3628.4716849674414</v>
      </c>
      <c r="FA9" s="1545">
        <f>EZ9</f>
        <v>3628.4716849674414</v>
      </c>
      <c r="FB9" s="1534"/>
      <c r="FC9" s="1564">
        <f>Model!FC218</f>
        <v>2382.410122191643</v>
      </c>
      <c r="FD9" s="1564">
        <f>Model!FD218+FC9</f>
        <v>5092.8350806060462</v>
      </c>
      <c r="FE9" s="1564">
        <f>Model!FE218+FD9</f>
        <v>7869.1080683560021</v>
      </c>
      <c r="FF9" s="1564">
        <f>Model!FF218+FE9</f>
        <v>11293.761315005766</v>
      </c>
      <c r="FG9" s="1545">
        <f>FF9</f>
        <v>11293.761315005766</v>
      </c>
      <c r="FH9" s="1534"/>
      <c r="FI9" s="1564">
        <f>Model!FI218</f>
        <v>2591.7941958350602</v>
      </c>
      <c r="FJ9" s="1564">
        <f>Model!FJ218+FI9</f>
        <v>5501.2360376481129</v>
      </c>
      <c r="FK9" s="1564">
        <f>Model!FK218+FJ9</f>
        <v>8452.5980017690908</v>
      </c>
      <c r="FL9" s="1564">
        <f>Model!FL218+FK9</f>
        <v>11954.189657691206</v>
      </c>
      <c r="FM9" s="1545">
        <f>FL9</f>
        <v>11954.189657691206</v>
      </c>
      <c r="FN9" s="1533"/>
      <c r="FO9" s="1533"/>
      <c r="FP9" s="1539"/>
      <c r="FQ9" s="1539"/>
      <c r="FR9" s="1539"/>
      <c r="FS9"/>
      <c r="FT9"/>
      <c r="FU9"/>
      <c r="FV9"/>
      <c r="FW9"/>
      <c r="FX9"/>
      <c r="FY9" s="1539"/>
      <c r="FZ9" s="1522"/>
      <c r="GA9" s="1522"/>
      <c r="GB9" s="1522"/>
      <c r="GC9" s="1522"/>
      <c r="GD9" s="1522"/>
      <c r="GE9" s="1522"/>
      <c r="GF9" s="1522"/>
      <c r="GG9" s="1522"/>
      <c r="GH9" s="1522"/>
      <c r="GI9" s="1522"/>
      <c r="GJ9" s="1522"/>
      <c r="GK9" s="1522"/>
      <c r="GL9" s="1522"/>
      <c r="GM9" s="1522"/>
      <c r="GN9" s="1522"/>
      <c r="GO9" s="1522"/>
      <c r="GP9" s="1522"/>
      <c r="GQ9" s="1522"/>
      <c r="GR9" s="1522"/>
      <c r="GS9" s="1522"/>
      <c r="GT9" s="1522"/>
      <c r="GU9" s="1522"/>
      <c r="GV9" s="1522"/>
      <c r="GW9" s="1522"/>
      <c r="GX9" s="1522"/>
      <c r="GY9" s="1522"/>
      <c r="GZ9" s="1522"/>
      <c r="HA9" s="1522"/>
      <c r="HB9" s="1522"/>
      <c r="HC9" s="1522"/>
      <c r="HD9" s="1522"/>
      <c r="HE9" s="1522"/>
      <c r="HF9" s="1522"/>
      <c r="HG9" s="1522"/>
      <c r="HH9" s="1522"/>
      <c r="HI9" s="1522"/>
      <c r="HJ9" s="1522"/>
      <c r="HK9" s="1522"/>
      <c r="HL9" s="1522"/>
      <c r="HM9" s="1522"/>
      <c r="HN9" s="1522"/>
      <c r="HO9" s="1522"/>
      <c r="HP9" s="1522"/>
      <c r="HQ9" s="1522"/>
      <c r="HR9" s="1522"/>
      <c r="HS9" s="1522"/>
      <c r="HT9" s="1522"/>
      <c r="HU9" s="1522"/>
      <c r="HV9" s="1522"/>
      <c r="HW9" s="1522"/>
      <c r="HX9" s="1522"/>
      <c r="HY9" s="1522"/>
      <c r="HZ9" s="1522"/>
      <c r="IA9" s="1522"/>
      <c r="IB9" s="1522"/>
      <c r="IC9" s="1522"/>
      <c r="ID9" s="1522"/>
      <c r="IE9" s="1522"/>
      <c r="IF9" s="1522"/>
      <c r="IG9" s="1522"/>
      <c r="IH9" s="1522"/>
      <c r="II9" s="1522"/>
      <c r="IJ9" s="1522"/>
      <c r="IK9" s="1522"/>
      <c r="IL9" s="1522"/>
      <c r="IM9" s="1522"/>
      <c r="IN9" s="1522"/>
      <c r="IO9" s="1522"/>
      <c r="IP9" s="1522"/>
      <c r="IQ9" s="1522"/>
      <c r="IR9" s="1522"/>
      <c r="IS9" s="1522"/>
      <c r="IT9" s="1522"/>
      <c r="IU9" s="1522"/>
      <c r="IV9" s="1522"/>
      <c r="IW9" s="1522"/>
      <c r="IX9" s="1522"/>
      <c r="IY9" s="1522"/>
      <c r="IZ9" s="1522"/>
      <c r="JA9" s="1522"/>
      <c r="JB9" s="1522"/>
      <c r="JC9" s="1522"/>
      <c r="JD9" s="1522"/>
      <c r="JE9" s="1522"/>
      <c r="JF9" s="1522"/>
      <c r="JG9" s="1522"/>
      <c r="JH9" s="1522"/>
      <c r="JI9" s="1522"/>
      <c r="JJ9" s="1522"/>
      <c r="JK9" s="1522"/>
      <c r="JL9" s="1522"/>
      <c r="JM9" s="1522"/>
      <c r="JN9" s="1522"/>
    </row>
    <row r="10" spans="1:274" s="1523" customFormat="1" ht="5.25" customHeight="1" x14ac:dyDescent="0.2">
      <c r="A10" s="1565"/>
      <c r="B10" s="1529"/>
      <c r="C10" s="1565"/>
      <c r="D10" s="1565"/>
      <c r="E10" s="1565"/>
      <c r="F10" s="1565"/>
      <c r="G10" s="1565"/>
      <c r="H10" s="1565"/>
      <c r="I10" s="1565"/>
      <c r="J10" s="1565"/>
      <c r="K10" s="1565"/>
      <c r="L10" s="1565"/>
      <c r="M10" s="1565"/>
      <c r="N10" s="1565"/>
      <c r="O10" s="1565"/>
      <c r="P10" s="1565"/>
      <c r="Q10" s="1565"/>
      <c r="R10" s="1565"/>
      <c r="S10" s="1565"/>
      <c r="T10" s="1565"/>
      <c r="U10" s="1565"/>
      <c r="V10" s="1565"/>
      <c r="W10" s="1565"/>
      <c r="X10" s="1565"/>
      <c r="Y10" s="1565"/>
      <c r="Z10" s="1565"/>
      <c r="AA10" s="1565"/>
      <c r="AB10" s="1565"/>
      <c r="AC10" s="1565"/>
      <c r="AD10" s="1565"/>
      <c r="AE10" s="1565"/>
      <c r="AF10" s="1565"/>
      <c r="AG10" s="1565"/>
      <c r="AH10" s="1565"/>
      <c r="AI10" s="1565"/>
      <c r="AJ10" s="1565"/>
      <c r="AK10" s="1565"/>
      <c r="AL10" s="1565"/>
      <c r="AM10" s="1565"/>
      <c r="AN10" s="1565"/>
      <c r="AO10" s="1565"/>
      <c r="AP10" s="1565"/>
      <c r="AQ10" s="1565"/>
      <c r="AR10" s="1565"/>
      <c r="AS10" s="1565"/>
      <c r="AT10" s="1565"/>
      <c r="AU10" s="1565"/>
      <c r="AV10" s="1565"/>
      <c r="AW10" s="1565"/>
      <c r="AX10" s="1565"/>
      <c r="AY10" s="1565"/>
      <c r="AZ10" s="1565"/>
      <c r="BA10" s="1565"/>
      <c r="BB10" s="1565"/>
      <c r="BC10" s="1565"/>
      <c r="BD10" s="1565"/>
      <c r="BE10" s="1565"/>
      <c r="BF10" s="1565"/>
      <c r="BG10" s="1565"/>
      <c r="BH10" s="1565"/>
      <c r="BI10" s="1565"/>
      <c r="BJ10" s="1565"/>
      <c r="BK10" s="1565"/>
      <c r="BL10" s="1565"/>
      <c r="BM10" s="1565"/>
      <c r="BN10" s="1565"/>
      <c r="BO10" s="1565"/>
      <c r="BP10" s="1565"/>
      <c r="BQ10" s="1565"/>
      <c r="BR10" s="1565"/>
      <c r="BS10" s="1565"/>
      <c r="BT10" s="1565"/>
      <c r="BU10" s="1565"/>
      <c r="BV10" s="1565"/>
      <c r="BW10" s="1565"/>
      <c r="BX10" s="1565"/>
      <c r="BY10" s="1565"/>
      <c r="BZ10" s="1565"/>
      <c r="CA10" s="1565"/>
      <c r="CB10" s="1565"/>
      <c r="CC10" s="1565"/>
      <c r="CD10" s="1565"/>
      <c r="CE10" s="1565"/>
      <c r="CF10" s="1565"/>
      <c r="CG10" s="1565"/>
      <c r="CH10" s="1565"/>
      <c r="CI10" s="1565"/>
      <c r="CJ10" s="1565"/>
      <c r="CK10" s="1565"/>
      <c r="CL10" s="1565"/>
      <c r="CM10" s="1566"/>
      <c r="CN10" s="1565"/>
      <c r="CO10" s="1565"/>
      <c r="CP10" s="1565"/>
      <c r="CQ10" s="1565"/>
      <c r="CR10" s="1565"/>
      <c r="CS10" s="1566"/>
      <c r="CT10" s="1565"/>
      <c r="CU10" s="1565"/>
      <c r="CV10" s="1565"/>
      <c r="CW10" s="1565"/>
      <c r="CX10" s="1565"/>
      <c r="CY10" s="1566"/>
      <c r="CZ10" s="1565"/>
      <c r="DA10" s="1565"/>
      <c r="DB10" s="1565"/>
      <c r="DC10" s="1565"/>
      <c r="DD10" s="1565"/>
      <c r="DE10" s="1566"/>
      <c r="DF10" s="1565"/>
      <c r="DG10" s="1565"/>
      <c r="DH10" s="1565"/>
      <c r="DI10" s="1565"/>
      <c r="DJ10" s="1565"/>
      <c r="DK10" s="1566"/>
      <c r="DL10" s="1565"/>
      <c r="DM10" s="1565"/>
      <c r="DN10" s="1565"/>
      <c r="DO10" s="1565"/>
      <c r="DP10" s="1565"/>
      <c r="DQ10" s="1566"/>
      <c r="DR10" s="1565"/>
      <c r="DS10" s="1565"/>
      <c r="DT10" s="1565"/>
      <c r="DU10" s="1565"/>
      <c r="DV10" s="1565"/>
      <c r="DW10" s="1566"/>
      <c r="DX10" s="1565"/>
      <c r="DY10" s="1565"/>
      <c r="DZ10" s="1565"/>
      <c r="EA10" s="1565"/>
      <c r="EB10" s="1565"/>
      <c r="EC10" s="1566"/>
      <c r="ED10" s="1565"/>
      <c r="EE10" s="1565"/>
      <c r="EF10" s="1565"/>
      <c r="EG10" s="1565"/>
      <c r="EH10" s="1565"/>
      <c r="EI10" s="1566"/>
      <c r="EJ10" s="1565"/>
      <c r="EK10" s="1565"/>
      <c r="EL10" s="1565"/>
      <c r="EM10" s="1565"/>
      <c r="EN10" s="1565"/>
      <c r="EO10" s="1566"/>
      <c r="EP10" s="1565"/>
      <c r="EQ10" s="1565"/>
      <c r="ER10" s="1565"/>
      <c r="ES10" s="1565"/>
      <c r="ET10" s="1565"/>
      <c r="EU10" s="1566"/>
      <c r="EV10" s="1565"/>
      <c r="EW10" s="1565"/>
      <c r="EX10" s="1565"/>
      <c r="EY10" s="1565"/>
      <c r="EZ10" s="1565"/>
      <c r="FA10" s="1566"/>
      <c r="FB10" s="1565"/>
      <c r="FC10" s="1565"/>
      <c r="FD10" s="1565"/>
      <c r="FE10" s="1565"/>
      <c r="FF10" s="1565"/>
      <c r="FG10" s="1566"/>
      <c r="FH10" s="1565"/>
      <c r="FI10" s="1565"/>
      <c r="FJ10" s="1565"/>
      <c r="FK10" s="1565"/>
      <c r="FL10" s="1565"/>
      <c r="FM10" s="1566"/>
      <c r="FN10" s="1567"/>
      <c r="FO10" s="1567"/>
      <c r="FP10" s="1567"/>
      <c r="FQ10" s="1567"/>
      <c r="FR10" s="1567"/>
      <c r="FS10"/>
      <c r="FT10"/>
      <c r="FU10"/>
      <c r="FV10"/>
      <c r="FW10"/>
      <c r="FX10"/>
      <c r="FY10" s="1567"/>
      <c r="FZ10" s="1522"/>
      <c r="GA10" s="1522"/>
      <c r="GB10" s="1522"/>
      <c r="GC10" s="1522"/>
      <c r="GD10" s="1522"/>
      <c r="GE10" s="1522"/>
      <c r="GF10" s="1522"/>
      <c r="GG10" s="1522"/>
      <c r="GH10" s="1522"/>
      <c r="GI10" s="1522"/>
      <c r="GJ10" s="1522"/>
      <c r="GK10" s="1522"/>
      <c r="GL10" s="1522"/>
      <c r="GM10" s="1522"/>
      <c r="GN10" s="1522"/>
      <c r="GO10" s="1522"/>
      <c r="GP10" s="1522"/>
      <c r="GQ10" s="1522"/>
      <c r="GR10" s="1522"/>
      <c r="GS10" s="1522"/>
      <c r="GT10" s="1522"/>
      <c r="GU10" s="1522"/>
      <c r="GV10" s="1522"/>
      <c r="GW10" s="1522"/>
      <c r="GX10" s="1522"/>
      <c r="GY10" s="1522"/>
      <c r="GZ10" s="1522"/>
      <c r="HA10" s="1522"/>
      <c r="HB10" s="1522"/>
      <c r="HC10" s="1522"/>
      <c r="HD10" s="1522"/>
      <c r="HE10" s="1522"/>
      <c r="HF10" s="1522"/>
      <c r="HG10" s="1522"/>
      <c r="HH10" s="1522"/>
      <c r="HI10" s="1522"/>
      <c r="HJ10" s="1522"/>
      <c r="HK10" s="1522"/>
      <c r="HL10" s="1522"/>
      <c r="HM10" s="1522"/>
      <c r="HN10" s="1522"/>
      <c r="HO10" s="1522"/>
      <c r="HP10" s="1522"/>
      <c r="HQ10" s="1522"/>
      <c r="HR10" s="1522"/>
      <c r="HS10" s="1522"/>
      <c r="HT10" s="1522"/>
      <c r="HU10" s="1522"/>
      <c r="HV10" s="1522"/>
      <c r="HW10" s="1522"/>
      <c r="HX10" s="1522"/>
      <c r="HY10" s="1522"/>
      <c r="HZ10" s="1522"/>
      <c r="IA10" s="1522"/>
      <c r="IB10" s="1522"/>
      <c r="IC10" s="1522"/>
      <c r="ID10" s="1522"/>
      <c r="IE10" s="1522"/>
      <c r="IF10" s="1522"/>
      <c r="IG10" s="1522"/>
      <c r="IH10" s="1522"/>
      <c r="II10" s="1522"/>
      <c r="IJ10" s="1522"/>
      <c r="IK10" s="1522"/>
      <c r="IL10" s="1522"/>
      <c r="IM10" s="1522"/>
      <c r="IN10" s="1522"/>
      <c r="IO10" s="1522"/>
      <c r="IP10" s="1522"/>
      <c r="IQ10" s="1522"/>
      <c r="IR10" s="1522"/>
      <c r="IS10" s="1522"/>
      <c r="IT10" s="1522"/>
      <c r="IU10" s="1522"/>
      <c r="IV10" s="1522"/>
      <c r="IW10" s="1522"/>
      <c r="IX10" s="1522"/>
      <c r="IY10" s="1522"/>
      <c r="IZ10" s="1522"/>
      <c r="JA10" s="1522"/>
      <c r="JB10" s="1522"/>
      <c r="JC10" s="1522"/>
      <c r="JD10" s="1522"/>
      <c r="JE10" s="1522"/>
      <c r="JF10" s="1522"/>
      <c r="JG10" s="1522"/>
      <c r="JH10" s="1522"/>
      <c r="JI10" s="1522"/>
      <c r="JJ10" s="1522"/>
      <c r="JK10" s="1522"/>
      <c r="JL10" s="1522"/>
      <c r="JM10" s="1522"/>
      <c r="JN10" s="1522"/>
    </row>
    <row r="11" spans="1:274" s="1523" customFormat="1" ht="10.5" customHeight="1" x14ac:dyDescent="0.2">
      <c r="A11" s="1540" t="s">
        <v>1069</v>
      </c>
      <c r="B11" s="1529"/>
      <c r="C11" s="1527"/>
      <c r="D11" s="1527"/>
      <c r="E11" s="1527"/>
      <c r="F11" s="1527"/>
      <c r="G11" s="1527"/>
      <c r="H11" s="1527"/>
      <c r="I11" s="1527"/>
      <c r="J11" s="1527"/>
      <c r="K11" s="1527"/>
      <c r="L11" s="1527"/>
      <c r="M11" s="1527"/>
      <c r="N11" s="1528"/>
      <c r="O11" s="1527"/>
      <c r="P11" s="1527"/>
      <c r="Q11" s="1527"/>
      <c r="R11" s="1527"/>
      <c r="S11" s="1529"/>
      <c r="T11" s="1528"/>
      <c r="U11" s="1527"/>
      <c r="V11" s="1527"/>
      <c r="W11" s="1527"/>
      <c r="X11" s="1527"/>
      <c r="Y11" s="1529"/>
      <c r="Z11" s="1528"/>
      <c r="AA11" s="1527"/>
      <c r="AB11" s="1527"/>
      <c r="AC11" s="1527"/>
      <c r="AD11" s="1527"/>
      <c r="AE11" s="1529"/>
      <c r="AF11" s="1528"/>
      <c r="AG11" s="1527"/>
      <c r="AH11" s="1527"/>
      <c r="AI11" s="1527"/>
      <c r="AJ11" s="1527"/>
      <c r="AK11" s="1529"/>
      <c r="AL11" s="1528"/>
      <c r="AM11" s="1527"/>
      <c r="AN11" s="1527"/>
      <c r="AO11" s="1527"/>
      <c r="AP11" s="1527"/>
      <c r="AQ11" s="1529"/>
      <c r="AR11" s="1528"/>
      <c r="AS11" s="1527"/>
      <c r="AT11" s="1527"/>
      <c r="AU11" s="1527"/>
      <c r="AV11" s="1527"/>
      <c r="AW11" s="1529"/>
      <c r="AX11" s="1528"/>
      <c r="AY11" s="1527"/>
      <c r="AZ11" s="1527"/>
      <c r="BA11" s="1527"/>
      <c r="BB11" s="1527"/>
      <c r="BC11" s="1529"/>
      <c r="BD11" s="1528"/>
      <c r="BE11" s="1527"/>
      <c r="BF11" s="1527"/>
      <c r="BG11" s="1527"/>
      <c r="BH11" s="1527"/>
      <c r="BI11" s="1529"/>
      <c r="BJ11" s="1528"/>
      <c r="BK11" s="1527"/>
      <c r="BL11" s="1527"/>
      <c r="BM11" s="1527"/>
      <c r="BN11" s="1527"/>
      <c r="BO11" s="1529"/>
      <c r="BP11" s="1528"/>
      <c r="BQ11" s="1527"/>
      <c r="BR11" s="1527"/>
      <c r="BS11" s="1527"/>
      <c r="BT11" s="1527"/>
      <c r="BU11" s="1529"/>
      <c r="BV11" s="1528"/>
      <c r="BW11" s="1529"/>
      <c r="BX11" s="1527"/>
      <c r="BY11" s="1527"/>
      <c r="BZ11" s="1527"/>
      <c r="CA11" s="1529"/>
      <c r="CB11" s="1528"/>
      <c r="CC11" s="1527"/>
      <c r="CD11" s="1527"/>
      <c r="CE11" s="1527"/>
      <c r="CF11" s="1527"/>
      <c r="CG11" s="1529"/>
      <c r="CH11" s="1528"/>
      <c r="CI11" s="1527"/>
      <c r="CJ11" s="1527"/>
      <c r="CK11" s="1527"/>
      <c r="CL11" s="1527"/>
      <c r="CM11" s="1536"/>
      <c r="CN11" s="1528"/>
      <c r="CO11" s="1527"/>
      <c r="CP11" s="1527"/>
      <c r="CQ11" s="1527"/>
      <c r="CR11" s="1527"/>
      <c r="CS11" s="1536"/>
      <c r="CT11" s="1528"/>
      <c r="CU11" s="1527"/>
      <c r="CV11" s="1527"/>
      <c r="CW11" s="1527"/>
      <c r="CX11" s="1527"/>
      <c r="CY11" s="1536"/>
      <c r="CZ11" s="1528"/>
      <c r="DA11" s="1527"/>
      <c r="DB11" s="1527"/>
      <c r="DC11" s="1527"/>
      <c r="DD11" s="1527"/>
      <c r="DE11" s="1536"/>
      <c r="DF11" s="1528"/>
      <c r="DG11" s="1527"/>
      <c r="DH11" s="1527"/>
      <c r="DI11" s="1527"/>
      <c r="DJ11" s="1527"/>
      <c r="DK11" s="1536"/>
      <c r="DL11" s="1528"/>
      <c r="DM11" s="1527"/>
      <c r="DN11" s="1527"/>
      <c r="DO11" s="1527"/>
      <c r="DP11" s="1527"/>
      <c r="DQ11" s="1536"/>
      <c r="DR11" s="1528"/>
      <c r="DS11" s="1527"/>
      <c r="DT11" s="1527"/>
      <c r="DU11" s="1527"/>
      <c r="DV11" s="1527"/>
      <c r="DW11" s="1536"/>
      <c r="DX11" s="1528"/>
      <c r="DY11" s="1527"/>
      <c r="DZ11" s="1527"/>
      <c r="EA11" s="1527"/>
      <c r="EB11" s="1527"/>
      <c r="EC11" s="1536"/>
      <c r="ED11" s="1528"/>
      <c r="EE11" s="1527"/>
      <c r="EF11" s="1527"/>
      <c r="EG11" s="1527"/>
      <c r="EH11" s="1527"/>
      <c r="EI11" s="1536"/>
      <c r="EJ11" s="1528"/>
      <c r="EK11" s="1527"/>
      <c r="EL11" s="1527"/>
      <c r="EM11" s="1527"/>
      <c r="EN11" s="1527"/>
      <c r="EO11" s="1536"/>
      <c r="EP11" s="1528"/>
      <c r="EQ11" s="1527"/>
      <c r="ER11" s="1527"/>
      <c r="ES11" s="1527"/>
      <c r="ET11" s="1527"/>
      <c r="EU11" s="1536"/>
      <c r="EV11" s="1528"/>
      <c r="EW11" s="1527"/>
      <c r="EX11" s="1527"/>
      <c r="EY11" s="1527"/>
      <c r="EZ11" s="1527"/>
      <c r="FA11" s="1536"/>
      <c r="FB11" s="1528"/>
      <c r="FC11" s="1527"/>
      <c r="FD11" s="1527"/>
      <c r="FE11" s="1527"/>
      <c r="FF11" s="1527"/>
      <c r="FG11" s="1536"/>
      <c r="FH11" s="1528"/>
      <c r="FI11" s="1527"/>
      <c r="FJ11" s="1527"/>
      <c r="FK11" s="1527"/>
      <c r="FL11" s="1527"/>
      <c r="FM11" s="1536"/>
      <c r="FN11" s="1526"/>
      <c r="FO11" s="1526"/>
      <c r="FP11" s="1524"/>
      <c r="FQ11" s="1524"/>
      <c r="FR11" s="1524"/>
      <c r="FS11"/>
      <c r="FT11"/>
      <c r="FU11"/>
      <c r="FV11"/>
      <c r="FW11"/>
      <c r="FX11"/>
      <c r="FY11" s="1524"/>
      <c r="FZ11" s="1522"/>
      <c r="GA11" s="1522"/>
      <c r="GB11" s="1522"/>
      <c r="GC11" s="1522"/>
      <c r="GD11" s="1522"/>
      <c r="GE11" s="1522"/>
      <c r="GF11" s="1522"/>
      <c r="GG11" s="1522"/>
      <c r="GH11" s="1522"/>
      <c r="GI11" s="1522"/>
      <c r="GJ11" s="1522"/>
      <c r="GK11" s="1522"/>
      <c r="GL11" s="1522"/>
      <c r="GM11" s="1522"/>
      <c r="GN11" s="1522"/>
      <c r="GO11" s="1522"/>
      <c r="GP11" s="1522"/>
      <c r="GQ11" s="1522"/>
      <c r="GR11" s="1522"/>
      <c r="GS11" s="1522"/>
      <c r="GT11" s="1522"/>
      <c r="GU11" s="1522"/>
      <c r="GV11" s="1522"/>
      <c r="GW11" s="1522"/>
      <c r="GX11" s="1522"/>
      <c r="GY11" s="1522"/>
      <c r="GZ11" s="1522"/>
      <c r="HA11" s="1522"/>
      <c r="HB11" s="1522"/>
      <c r="HC11" s="1522"/>
      <c r="HD11" s="1522"/>
      <c r="HE11" s="1522"/>
      <c r="HF11" s="1522"/>
      <c r="HG11" s="1522"/>
      <c r="HH11" s="1522"/>
      <c r="HI11" s="1522"/>
      <c r="HJ11" s="1522"/>
      <c r="HK11" s="1522"/>
      <c r="HL11" s="1522"/>
      <c r="HM11" s="1522"/>
      <c r="HN11" s="1522"/>
      <c r="HO11" s="1522"/>
      <c r="HP11" s="1522"/>
      <c r="HQ11" s="1522"/>
      <c r="HR11" s="1522"/>
      <c r="HS11" s="1522"/>
      <c r="HT11" s="1522"/>
      <c r="HU11" s="1522"/>
      <c r="HV11" s="1522"/>
      <c r="HW11" s="1522"/>
      <c r="HX11" s="1522"/>
      <c r="HY11" s="1522"/>
      <c r="HZ11" s="1522"/>
      <c r="IA11" s="1522"/>
      <c r="IB11" s="1522"/>
      <c r="IC11" s="1522"/>
      <c r="ID11" s="1522"/>
      <c r="IE11" s="1522"/>
      <c r="IF11" s="1522"/>
      <c r="IG11" s="1522"/>
      <c r="IH11" s="1522"/>
      <c r="II11" s="1522"/>
      <c r="IJ11" s="1522"/>
      <c r="IK11" s="1522"/>
      <c r="IL11" s="1522"/>
      <c r="IM11" s="1522"/>
      <c r="IN11" s="1522"/>
      <c r="IO11" s="1522"/>
      <c r="IP11" s="1522"/>
      <c r="IQ11" s="1522"/>
      <c r="IR11" s="1522"/>
      <c r="IS11" s="1522"/>
      <c r="IT11" s="1522"/>
      <c r="IU11" s="1522"/>
      <c r="IV11" s="1522"/>
      <c r="IW11" s="1522"/>
      <c r="IX11" s="1522"/>
      <c r="IY11" s="1522"/>
      <c r="IZ11" s="1522"/>
      <c r="JA11" s="1522"/>
      <c r="JB11" s="1522"/>
      <c r="JC11" s="1522"/>
      <c r="JD11" s="1522"/>
      <c r="JE11" s="1522"/>
      <c r="JF11" s="1522"/>
      <c r="JG11" s="1522"/>
      <c r="JH11" s="1522"/>
      <c r="JI11" s="1522"/>
      <c r="JJ11" s="1522"/>
      <c r="JK11" s="1522"/>
      <c r="JL11" s="1522"/>
      <c r="JM11" s="1522"/>
      <c r="JN11" s="1522"/>
    </row>
    <row r="12" spans="1:274" s="1523" customFormat="1" ht="10.5" customHeight="1" x14ac:dyDescent="0.2">
      <c r="A12" s="1540" t="s">
        <v>678</v>
      </c>
      <c r="B12" s="1563"/>
      <c r="C12" s="1564">
        <f t="shared" ref="C12:M12" si="2">C63</f>
        <v>0</v>
      </c>
      <c r="D12" s="1564">
        <f t="shared" si="2"/>
        <v>0</v>
      </c>
      <c r="E12" s="1564">
        <f t="shared" si="2"/>
        <v>0</v>
      </c>
      <c r="F12" s="1564">
        <f t="shared" si="2"/>
        <v>5.3330000000000002</v>
      </c>
      <c r="G12" s="1564">
        <f t="shared" si="2"/>
        <v>12.973000000000001</v>
      </c>
      <c r="H12" s="1564">
        <f t="shared" si="2"/>
        <v>23.155999999999999</v>
      </c>
      <c r="I12" s="1564">
        <f t="shared" si="2"/>
        <v>44.078000000000003</v>
      </c>
      <c r="J12" s="1564">
        <f t="shared" si="2"/>
        <v>70.727000000000004</v>
      </c>
      <c r="K12" s="1564">
        <f t="shared" si="2"/>
        <v>65.778000000000006</v>
      </c>
      <c r="L12" s="1564">
        <f t="shared" si="2"/>
        <v>79.203999999999994</v>
      </c>
      <c r="M12" s="1564">
        <f t="shared" si="2"/>
        <v>104.563</v>
      </c>
      <c r="N12" s="1534"/>
      <c r="O12" s="1564">
        <f>O63</f>
        <v>30.638999999999999</v>
      </c>
      <c r="P12" s="1564">
        <f>P63+O12</f>
        <v>65.108000000000004</v>
      </c>
      <c r="Q12" s="1564">
        <f>Q63+P12</f>
        <v>102.255</v>
      </c>
      <c r="R12" s="1564">
        <f>R63+Q12</f>
        <v>147.77199999999999</v>
      </c>
      <c r="S12" s="1540">
        <f>R12</f>
        <v>147.77199999999999</v>
      </c>
      <c r="T12" s="1534"/>
      <c r="U12" s="1564">
        <f>U63</f>
        <v>50.338999999999999</v>
      </c>
      <c r="V12" s="1564">
        <f>V63+U12</f>
        <v>104.84699999999999</v>
      </c>
      <c r="W12" s="1564">
        <f>W63+V12</f>
        <v>159.715</v>
      </c>
      <c r="X12" s="1564">
        <f>X63+W12</f>
        <v>219.49399999999997</v>
      </c>
      <c r="Y12" s="1540">
        <f>X12</f>
        <v>219.49399999999997</v>
      </c>
      <c r="Z12" s="1534"/>
      <c r="AA12" s="1564">
        <f>AA63</f>
        <v>62.765000000000001</v>
      </c>
      <c r="AB12" s="1564">
        <f>AB63+AA12</f>
        <v>126.68</v>
      </c>
      <c r="AC12" s="1564">
        <f>AC63+AB12</f>
        <v>192.42700000000002</v>
      </c>
      <c r="AD12" s="1564">
        <f>AD63+AC12</f>
        <v>264.77300000000002</v>
      </c>
      <c r="AE12" s="1540">
        <f>AD12</f>
        <v>264.77300000000002</v>
      </c>
      <c r="AF12" s="1534"/>
      <c r="AG12" s="1564">
        <f>AG63</f>
        <v>71.137</v>
      </c>
      <c r="AH12" s="1564">
        <f>AH63+AG12</f>
        <v>155.69399999999999</v>
      </c>
      <c r="AI12" s="1564">
        <f>AI63+AH12</f>
        <v>210.97900000000001</v>
      </c>
      <c r="AJ12" s="1564">
        <f>AJ63+AI12</f>
        <v>328.56299999999999</v>
      </c>
      <c r="AK12" s="1540">
        <f>AJ12</f>
        <v>328.56299999999999</v>
      </c>
      <c r="AL12" s="1534"/>
      <c r="AM12" s="1564">
        <f>AM63</f>
        <v>81.406000000000006</v>
      </c>
      <c r="AN12" s="1564">
        <f>AN63+AM12</f>
        <v>170.26400000000001</v>
      </c>
      <c r="AO12" s="1564">
        <f>AO63+AN12</f>
        <v>233.91800000000001</v>
      </c>
      <c r="AP12" s="1564">
        <f>AP63+AO12</f>
        <v>319.82299999999998</v>
      </c>
      <c r="AQ12" s="1540">
        <f>AP12</f>
        <v>319.82299999999998</v>
      </c>
      <c r="AR12" s="1534"/>
      <c r="AS12" s="1564">
        <f>AS63</f>
        <v>76.813000000000002</v>
      </c>
      <c r="AT12" s="1564">
        <f>AT63+AS12</f>
        <v>154.166</v>
      </c>
      <c r="AU12" s="1564">
        <f>AU63+AT12</f>
        <v>236.38900000000001</v>
      </c>
      <c r="AV12" s="1564">
        <f>AV63+AU12</f>
        <v>314.315</v>
      </c>
      <c r="AW12" s="1540">
        <f>AV12</f>
        <v>314.315</v>
      </c>
      <c r="AX12" s="1534"/>
      <c r="AY12" s="1564">
        <f>AY63</f>
        <v>73.16</v>
      </c>
      <c r="AZ12" s="1564">
        <f>AZ63+AY12</f>
        <v>139.239</v>
      </c>
      <c r="BA12" s="1564">
        <f>BA63+AZ12</f>
        <v>206.399</v>
      </c>
      <c r="BB12" s="1564">
        <f>BB63+BA12</f>
        <v>275</v>
      </c>
      <c r="BC12" s="1540">
        <f>BB12</f>
        <v>275</v>
      </c>
      <c r="BD12" s="1534"/>
      <c r="BE12" s="1564">
        <f>BE63</f>
        <v>65.641000000000005</v>
      </c>
      <c r="BF12" s="1564">
        <f>BF63+BE12</f>
        <v>124</v>
      </c>
      <c r="BG12" s="1564">
        <f>BG63+BF12</f>
        <v>194</v>
      </c>
      <c r="BH12" s="1564">
        <f>BH63+BG12</f>
        <v>273</v>
      </c>
      <c r="BI12" s="1540">
        <f>BH12</f>
        <v>273</v>
      </c>
      <c r="BJ12" s="1534"/>
      <c r="BK12" s="1564">
        <f>BK63</f>
        <v>62</v>
      </c>
      <c r="BL12" s="1564">
        <f>BL63+BK12</f>
        <v>122</v>
      </c>
      <c r="BM12" s="1564">
        <f>BM63+BL12</f>
        <v>193</v>
      </c>
      <c r="BN12" s="1564">
        <f>BN63+BM12</f>
        <v>243</v>
      </c>
      <c r="BO12" s="1540">
        <f>BN12</f>
        <v>243</v>
      </c>
      <c r="BP12" s="1534"/>
      <c r="BQ12" s="1564">
        <f>BQ63</f>
        <v>50</v>
      </c>
      <c r="BR12" s="1540">
        <v>100</v>
      </c>
      <c r="BS12" s="1540">
        <v>150</v>
      </c>
      <c r="BT12" s="1540">
        <v>198</v>
      </c>
      <c r="BU12" s="1540">
        <f>BT12</f>
        <v>198</v>
      </c>
      <c r="BV12" s="1534"/>
      <c r="BW12" s="1540">
        <v>44</v>
      </c>
      <c r="BX12" s="1564">
        <v>89</v>
      </c>
      <c r="BY12" s="1564">
        <v>142</v>
      </c>
      <c r="BZ12" s="1564">
        <v>206</v>
      </c>
      <c r="CA12" s="1540">
        <f>BZ12</f>
        <v>206</v>
      </c>
      <c r="CB12" s="1534"/>
      <c r="CC12" s="1564">
        <v>57</v>
      </c>
      <c r="CD12" s="1564">
        <v>110</v>
      </c>
      <c r="CE12" s="1564">
        <v>160</v>
      </c>
      <c r="CF12" s="1564">
        <v>223</v>
      </c>
      <c r="CG12" s="1540">
        <f>CF12</f>
        <v>223</v>
      </c>
      <c r="CH12" s="1534"/>
      <c r="CI12" s="1564">
        <v>59</v>
      </c>
      <c r="CJ12" s="1564">
        <v>124</v>
      </c>
      <c r="CK12" s="1564">
        <v>184</v>
      </c>
      <c r="CL12" s="1564">
        <v>249</v>
      </c>
      <c r="CM12" s="1545">
        <f>CL12</f>
        <v>249</v>
      </c>
      <c r="CN12" s="1534"/>
      <c r="CO12" s="1564">
        <v>67</v>
      </c>
      <c r="CP12" s="1564">
        <v>137</v>
      </c>
      <c r="CQ12" s="1564">
        <v>202</v>
      </c>
      <c r="CR12" s="1564">
        <v>268</v>
      </c>
      <c r="CS12" s="1545">
        <f>CR12</f>
        <v>268</v>
      </c>
      <c r="CT12" s="1534"/>
      <c r="CU12" s="1564">
        <v>64</v>
      </c>
      <c r="CV12" s="1564">
        <v>134</v>
      </c>
      <c r="CW12" s="1564">
        <v>198</v>
      </c>
      <c r="CX12" s="1564">
        <v>263</v>
      </c>
      <c r="CY12" s="1545">
        <f>CX12</f>
        <v>263</v>
      </c>
      <c r="CZ12" s="1534"/>
      <c r="DA12" s="1564">
        <v>61</v>
      </c>
      <c r="DB12" s="1564">
        <v>123</v>
      </c>
      <c r="DC12" s="1564">
        <v>196</v>
      </c>
      <c r="DD12" s="1564">
        <v>298</v>
      </c>
      <c r="DE12" s="1545">
        <f>DD12</f>
        <v>298</v>
      </c>
      <c r="DF12" s="1534"/>
      <c r="DG12" s="1564">
        <v>99</v>
      </c>
      <c r="DH12" s="1564">
        <v>194</v>
      </c>
      <c r="DI12" s="1564">
        <v>283</v>
      </c>
      <c r="DJ12" s="1564">
        <v>368</v>
      </c>
      <c r="DK12" s="1545">
        <f>DJ12</f>
        <v>368</v>
      </c>
      <c r="DL12" s="1534"/>
      <c r="DM12" s="1564">
        <v>117</v>
      </c>
      <c r="DN12" s="1564">
        <v>226</v>
      </c>
      <c r="DO12" s="1564">
        <v>350</v>
      </c>
      <c r="DP12" s="1564">
        <v>486</v>
      </c>
      <c r="DQ12" s="1545">
        <f>DP12</f>
        <v>486</v>
      </c>
      <c r="DR12" s="1534"/>
      <c r="DS12" s="1568">
        <v>127</v>
      </c>
      <c r="DT12" s="1568">
        <v>261</v>
      </c>
      <c r="DU12" s="1568">
        <v>400</v>
      </c>
      <c r="DV12" s="1568">
        <v>546</v>
      </c>
      <c r="DW12" s="1545">
        <f>DV12</f>
        <v>546</v>
      </c>
      <c r="DX12" s="1534"/>
      <c r="DY12" s="1568">
        <v>150</v>
      </c>
      <c r="DZ12" s="1568">
        <v>302</v>
      </c>
      <c r="EA12" s="1568">
        <v>452</v>
      </c>
      <c r="EB12" s="1568">
        <v>608</v>
      </c>
      <c r="EC12" s="1545">
        <f>EB12</f>
        <v>608</v>
      </c>
      <c r="ED12" s="1534"/>
      <c r="EE12" s="1568">
        <v>160</v>
      </c>
      <c r="EF12" s="1568">
        <v>324</v>
      </c>
      <c r="EG12" s="1568">
        <v>502</v>
      </c>
      <c r="EH12" s="1568">
        <v>712</v>
      </c>
      <c r="EI12" s="1545">
        <f>EH12</f>
        <v>712</v>
      </c>
      <c r="EJ12" s="1534"/>
      <c r="EK12" s="1568">
        <v>219</v>
      </c>
      <c r="EL12" s="1568">
        <v>429</v>
      </c>
      <c r="EM12" s="1568">
        <v>643</v>
      </c>
      <c r="EN12" s="1568">
        <v>871</v>
      </c>
      <c r="EO12" s="1545">
        <f>EN12</f>
        <v>871</v>
      </c>
      <c r="EP12" s="1534"/>
      <c r="EQ12" s="1568">
        <v>222</v>
      </c>
      <c r="ER12" s="1568">
        <v>463</v>
      </c>
      <c r="ES12" s="1568">
        <v>722</v>
      </c>
      <c r="ET12" s="1568">
        <v>1000</v>
      </c>
      <c r="EU12" s="1545">
        <f>ET12</f>
        <v>1000</v>
      </c>
      <c r="EV12" s="1534"/>
      <c r="EW12" s="1568">
        <v>285</v>
      </c>
      <c r="EX12" s="1568">
        <v>573</v>
      </c>
      <c r="EY12" s="1568">
        <v>878</v>
      </c>
      <c r="EZ12" s="1568">
        <f>'Balance Sheet'!EZ142+EY12</f>
        <v>1172.4838499488039</v>
      </c>
      <c r="FA12" s="1545">
        <f>EZ12</f>
        <v>1172.4838499488039</v>
      </c>
      <c r="FB12" s="1534"/>
      <c r="FC12" s="1568">
        <f>'Balance Sheet'!FC142</f>
        <v>285.94925186011488</v>
      </c>
      <c r="FD12" s="1568">
        <f>'Balance Sheet'!FD142+FC12</f>
        <v>575.65190067418121</v>
      </c>
      <c r="FE12" s="1568">
        <f>'Balance Sheet'!FE142+FD12</f>
        <v>1195.0586165548625</v>
      </c>
      <c r="FF12" s="1568">
        <f>'Balance Sheet'!FF142+FE12</f>
        <v>1525.660063261945</v>
      </c>
      <c r="FG12" s="1545">
        <f>FF12</f>
        <v>1525.660063261945</v>
      </c>
      <c r="FH12" s="1534"/>
      <c r="FI12" s="1568">
        <f>'Balance Sheet'!FI142</f>
        <v>338.39441965381172</v>
      </c>
      <c r="FJ12" s="1568">
        <f>'Balance Sheet'!FJ142+FI12</f>
        <v>677.7752991181826</v>
      </c>
      <c r="FK12" s="1568">
        <f>'Balance Sheet'!FK142+FJ12</f>
        <v>1396.8201163689023</v>
      </c>
      <c r="FL12" s="1568">
        <f>'Balance Sheet'!FL142+FK12</f>
        <v>1777.476408125543</v>
      </c>
      <c r="FM12" s="1545">
        <f>FL12</f>
        <v>1777.476408125543</v>
      </c>
      <c r="FN12" s="1533"/>
      <c r="FO12" s="1533"/>
      <c r="FP12" s="1539"/>
      <c r="FQ12" s="1539"/>
      <c r="FR12" s="1539"/>
      <c r="FS12"/>
      <c r="FT12"/>
      <c r="FU12"/>
      <c r="FV12"/>
      <c r="FW12"/>
      <c r="FX12"/>
      <c r="FY12" s="1539"/>
      <c r="FZ12" s="1522"/>
      <c r="GA12" s="1522"/>
      <c r="GB12" s="1522"/>
      <c r="GC12" s="1522"/>
      <c r="GD12" s="1522"/>
      <c r="GE12" s="1522"/>
      <c r="GF12" s="1522"/>
      <c r="GG12" s="1522"/>
      <c r="GH12" s="1522"/>
      <c r="GI12" s="1522"/>
      <c r="GJ12" s="1522"/>
      <c r="GK12" s="1522"/>
      <c r="GL12" s="1522"/>
      <c r="GM12" s="1522"/>
      <c r="GN12" s="1522"/>
      <c r="GO12" s="1522"/>
      <c r="GP12" s="1522"/>
      <c r="GQ12" s="1522"/>
      <c r="GR12" s="1522"/>
      <c r="GS12" s="1522"/>
      <c r="GT12" s="1522"/>
      <c r="GU12" s="1522"/>
      <c r="GV12" s="1522"/>
      <c r="GW12" s="1522"/>
      <c r="GX12" s="1522"/>
      <c r="GY12" s="1522"/>
      <c r="GZ12" s="1522"/>
      <c r="HA12" s="1522"/>
      <c r="HB12" s="1522"/>
      <c r="HC12" s="1522"/>
      <c r="HD12" s="1522"/>
      <c r="HE12" s="1522"/>
      <c r="HF12" s="1522"/>
      <c r="HG12" s="1522"/>
      <c r="HH12" s="1522"/>
      <c r="HI12" s="1522"/>
      <c r="HJ12" s="1522"/>
      <c r="HK12" s="1522"/>
      <c r="HL12" s="1522"/>
      <c r="HM12" s="1522"/>
      <c r="HN12" s="1522"/>
      <c r="HO12" s="1522"/>
      <c r="HP12" s="1522"/>
      <c r="HQ12" s="1522"/>
      <c r="HR12" s="1522"/>
      <c r="HS12" s="1522"/>
      <c r="HT12" s="1522"/>
      <c r="HU12" s="1522"/>
      <c r="HV12" s="1522"/>
      <c r="HW12" s="1522"/>
      <c r="HX12" s="1522"/>
      <c r="HY12" s="1522"/>
      <c r="HZ12" s="1522"/>
      <c r="IA12" s="1522"/>
      <c r="IB12" s="1522"/>
      <c r="IC12" s="1522"/>
      <c r="ID12" s="1522"/>
      <c r="IE12" s="1522"/>
      <c r="IF12" s="1522"/>
      <c r="IG12" s="1522"/>
      <c r="IH12" s="1522"/>
      <c r="II12" s="1522"/>
      <c r="IJ12" s="1522"/>
      <c r="IK12" s="1522"/>
      <c r="IL12" s="1522"/>
      <c r="IM12" s="1522"/>
      <c r="IN12" s="1522"/>
      <c r="IO12" s="1522"/>
      <c r="IP12" s="1522"/>
      <c r="IQ12" s="1522"/>
      <c r="IR12" s="1522"/>
      <c r="IS12" s="1522"/>
      <c r="IT12" s="1522"/>
      <c r="IU12" s="1522"/>
      <c r="IV12" s="1522"/>
      <c r="IW12" s="1522"/>
      <c r="IX12" s="1522"/>
      <c r="IY12" s="1522"/>
      <c r="IZ12" s="1522"/>
      <c r="JA12" s="1522"/>
      <c r="JB12" s="1522"/>
      <c r="JC12" s="1522"/>
      <c r="JD12" s="1522"/>
      <c r="JE12" s="1522"/>
      <c r="JF12" s="1522"/>
      <c r="JG12" s="1522"/>
      <c r="JH12" s="1522"/>
      <c r="JI12" s="1522"/>
      <c r="JJ12" s="1522"/>
      <c r="JK12" s="1522"/>
      <c r="JL12" s="1522"/>
      <c r="JM12" s="1522"/>
      <c r="JN12" s="1522"/>
    </row>
    <row r="13" spans="1:274" s="1523" customFormat="1" ht="10.5" customHeight="1" x14ac:dyDescent="0.2">
      <c r="A13" s="1529" t="s">
        <v>94</v>
      </c>
      <c r="B13" s="1563"/>
      <c r="C13" s="1564"/>
      <c r="D13" s="1564"/>
      <c r="E13" s="1564"/>
      <c r="F13" s="1564"/>
      <c r="G13" s="1564"/>
      <c r="H13" s="1564"/>
      <c r="I13" s="1564"/>
      <c r="J13" s="1564"/>
      <c r="K13" s="1564"/>
      <c r="L13" s="1564"/>
      <c r="M13" s="1564"/>
      <c r="N13" s="1534"/>
      <c r="O13" s="1564"/>
      <c r="P13" s="1564"/>
      <c r="Q13" s="1564"/>
      <c r="R13" s="1564"/>
      <c r="S13" s="1540"/>
      <c r="T13" s="1534"/>
      <c r="U13" s="1564"/>
      <c r="V13" s="1564"/>
      <c r="W13" s="1564"/>
      <c r="X13" s="1564"/>
      <c r="Y13" s="1540"/>
      <c r="Z13" s="1534"/>
      <c r="AA13" s="1564"/>
      <c r="AB13" s="1564"/>
      <c r="AC13" s="1564"/>
      <c r="AD13" s="1564"/>
      <c r="AE13" s="1540"/>
      <c r="AF13" s="1534"/>
      <c r="AG13" s="1564"/>
      <c r="AH13" s="1564"/>
      <c r="AI13" s="1564"/>
      <c r="AJ13" s="1564"/>
      <c r="AK13" s="1540"/>
      <c r="AL13" s="1534"/>
      <c r="AM13" s="1564"/>
      <c r="AN13" s="1564"/>
      <c r="AO13" s="1564"/>
      <c r="AP13" s="1564"/>
      <c r="AQ13" s="1540"/>
      <c r="AR13" s="1534"/>
      <c r="AS13" s="1564"/>
      <c r="AT13" s="1564"/>
      <c r="AU13" s="1564"/>
      <c r="AV13" s="1564"/>
      <c r="AW13" s="1540"/>
      <c r="AX13" s="1534"/>
      <c r="AY13" s="1564"/>
      <c r="AZ13" s="1564"/>
      <c r="BA13" s="1564"/>
      <c r="BB13" s="1564"/>
      <c r="BC13" s="1540"/>
      <c r="BD13" s="1534"/>
      <c r="BE13" s="1564"/>
      <c r="BF13" s="1564"/>
      <c r="BG13" s="1564"/>
      <c r="BH13" s="1564"/>
      <c r="BI13" s="1540"/>
      <c r="BJ13" s="1534"/>
      <c r="BK13" s="1564"/>
      <c r="BL13" s="1564"/>
      <c r="BM13" s="1564"/>
      <c r="BN13" s="1564"/>
      <c r="BO13" s="1540"/>
      <c r="BP13" s="1534"/>
      <c r="BQ13" s="1564"/>
      <c r="BR13" s="1540"/>
      <c r="BS13" s="1540"/>
      <c r="BT13" s="1540"/>
      <c r="BU13" s="1540"/>
      <c r="BV13" s="1534"/>
      <c r="BW13" s="1569">
        <v>0</v>
      </c>
      <c r="BX13" s="1569">
        <f>BW13</f>
        <v>0</v>
      </c>
      <c r="BY13" s="1569">
        <f>BX13</f>
        <v>0</v>
      </c>
      <c r="BZ13" s="1569">
        <f>BY13</f>
        <v>0</v>
      </c>
      <c r="CA13" s="1529">
        <f>BZ13</f>
        <v>0</v>
      </c>
      <c r="CB13" s="1534"/>
      <c r="CC13" s="1569">
        <v>0</v>
      </c>
      <c r="CD13" s="1569">
        <f>CC13</f>
        <v>0</v>
      </c>
      <c r="CE13" s="1527">
        <v>33</v>
      </c>
      <c r="CF13" s="1527">
        <v>49</v>
      </c>
      <c r="CG13" s="1529">
        <f>CF13</f>
        <v>49</v>
      </c>
      <c r="CH13" s="1534"/>
      <c r="CI13" s="1527">
        <v>50</v>
      </c>
      <c r="CJ13" s="1527">
        <v>98</v>
      </c>
      <c r="CK13" s="1527">
        <v>146</v>
      </c>
      <c r="CL13" s="1527">
        <v>207</v>
      </c>
      <c r="CM13" s="1530">
        <f>+CL13</f>
        <v>207</v>
      </c>
      <c r="CN13" s="1534"/>
      <c r="CO13" s="1527">
        <f>101+129-82</f>
        <v>148</v>
      </c>
      <c r="CP13" s="1527">
        <v>168</v>
      </c>
      <c r="CQ13" s="1527">
        <v>233</v>
      </c>
      <c r="CR13" s="1527">
        <v>369</v>
      </c>
      <c r="CS13" s="1530">
        <f>+CR13</f>
        <v>369</v>
      </c>
      <c r="CT13" s="1534"/>
      <c r="CU13" s="1527">
        <v>91</v>
      </c>
      <c r="CV13" s="1527">
        <v>186</v>
      </c>
      <c r="CW13" s="1527">
        <v>274</v>
      </c>
      <c r="CX13" s="1527">
        <v>355</v>
      </c>
      <c r="CY13" s="1530">
        <f>+CX13</f>
        <v>355</v>
      </c>
      <c r="CZ13" s="1534"/>
      <c r="DA13" s="1569">
        <v>84</v>
      </c>
      <c r="DB13" s="1569">
        <v>188</v>
      </c>
      <c r="DC13" s="1569">
        <v>310</v>
      </c>
      <c r="DD13" s="1569">
        <v>436</v>
      </c>
      <c r="DE13" s="1530">
        <f>+DD13</f>
        <v>436</v>
      </c>
      <c r="DF13" s="1534"/>
      <c r="DG13" s="1569">
        <v>130</v>
      </c>
      <c r="DH13" s="1569">
        <v>254</v>
      </c>
      <c r="DI13" s="1569">
        <v>383</v>
      </c>
      <c r="DJ13" s="1569">
        <v>510</v>
      </c>
      <c r="DK13" s="1530">
        <f>+DJ13</f>
        <v>510</v>
      </c>
      <c r="DL13" s="1534"/>
      <c r="DM13" s="1569">
        <v>148</v>
      </c>
      <c r="DN13" s="1569">
        <v>298</v>
      </c>
      <c r="DO13" s="1569">
        <v>474</v>
      </c>
      <c r="DP13" s="1569">
        <v>659</v>
      </c>
      <c r="DQ13" s="1530">
        <f>+DP13</f>
        <v>659</v>
      </c>
      <c r="DR13" s="1534"/>
      <c r="DS13" s="1570">
        <v>193</v>
      </c>
      <c r="DT13" s="1570">
        <v>386</v>
      </c>
      <c r="DU13" s="1570">
        <v>566</v>
      </c>
      <c r="DV13" s="1570">
        <v>755</v>
      </c>
      <c r="DW13" s="1530">
        <f>+DV13</f>
        <v>755</v>
      </c>
      <c r="DX13" s="1534"/>
      <c r="DY13" s="1570">
        <v>200</v>
      </c>
      <c r="DZ13" s="1570">
        <v>382</v>
      </c>
      <c r="EA13" s="1570">
        <v>583</v>
      </c>
      <c r="EB13" s="1570">
        <v>805</v>
      </c>
      <c r="EC13" s="1530">
        <f>+EB13</f>
        <v>805</v>
      </c>
      <c r="ED13" s="1534"/>
      <c r="EE13" s="1570">
        <v>215</v>
      </c>
      <c r="EF13" s="1570">
        <v>455</v>
      </c>
      <c r="EG13" s="1570">
        <v>689</v>
      </c>
      <c r="EH13" s="1570">
        <f>+EG13+Model!EH165</f>
        <v>933</v>
      </c>
      <c r="EI13" s="1530">
        <f>+EH13</f>
        <v>933</v>
      </c>
      <c r="EJ13" s="1534"/>
      <c r="EK13" s="1570">
        <v>253</v>
      </c>
      <c r="EL13" s="1570">
        <v>507</v>
      </c>
      <c r="EM13" s="1570">
        <v>768</v>
      </c>
      <c r="EN13" s="1570">
        <v>1037</v>
      </c>
      <c r="EO13" s="1530">
        <f>+EN13</f>
        <v>1037</v>
      </c>
      <c r="EP13" s="1534"/>
      <c r="EQ13" s="1570">
        <v>319</v>
      </c>
      <c r="ER13" s="1570">
        <v>646</v>
      </c>
      <c r="ES13" s="1570">
        <v>1017</v>
      </c>
      <c r="ET13" s="1570">
        <v>1350</v>
      </c>
      <c r="EU13" s="1530">
        <f>+ET13</f>
        <v>1350</v>
      </c>
      <c r="EV13" s="1534"/>
      <c r="EW13" s="1570">
        <v>403</v>
      </c>
      <c r="EX13" s="1570">
        <v>822</v>
      </c>
      <c r="EY13" s="1570">
        <v>1211</v>
      </c>
      <c r="EZ13" s="1570">
        <f>+EY13+Model!EZ165</f>
        <v>1579.3748572673612</v>
      </c>
      <c r="FA13" s="1530">
        <f>+EZ13</f>
        <v>1579.3748572673612</v>
      </c>
      <c r="FB13" s="1534"/>
      <c r="FC13" s="1570">
        <f>+Model!FC165</f>
        <v>402.96541119750179</v>
      </c>
      <c r="FD13" s="1570">
        <f>+FC13+Model!FD165</f>
        <v>805.93082239500359</v>
      </c>
      <c r="FE13" s="1570">
        <f>+FD13+Model!FE165</f>
        <v>1208.8962335925053</v>
      </c>
      <c r="FF13" s="1570">
        <f>+FE13+Model!FF165</f>
        <v>1611.8616447900072</v>
      </c>
      <c r="FG13" s="1530">
        <f>+FF13</f>
        <v>1611.8616447900072</v>
      </c>
      <c r="FH13" s="1534"/>
      <c r="FI13" s="1570">
        <f>+Model!FI165</f>
        <v>442.929379426048</v>
      </c>
      <c r="FJ13" s="1570">
        <f>+FI13+Model!FJ165</f>
        <v>885.858758852096</v>
      </c>
      <c r="FK13" s="1570">
        <f>+FJ13+Model!FK165</f>
        <v>1328.7881382781441</v>
      </c>
      <c r="FL13" s="1570">
        <f>+FK13+Model!FL165</f>
        <v>1771.717517704192</v>
      </c>
      <c r="FM13" s="1530">
        <f>+FL13</f>
        <v>1771.717517704192</v>
      </c>
      <c r="FN13" s="1533"/>
      <c r="FO13" s="1533"/>
      <c r="FP13" s="1539"/>
      <c r="FQ13" s="1539"/>
      <c r="FR13" s="1539"/>
      <c r="FS13"/>
      <c r="FT13"/>
      <c r="FU13"/>
      <c r="FV13"/>
      <c r="FW13"/>
      <c r="FX13"/>
      <c r="FY13" s="1539"/>
      <c r="FZ13" s="1522"/>
      <c r="GA13" s="1522"/>
      <c r="GB13" s="1522"/>
      <c r="GC13" s="1522"/>
      <c r="GD13" s="1522"/>
      <c r="GE13" s="1522"/>
      <c r="GF13" s="1522"/>
      <c r="GG13" s="1522"/>
      <c r="GH13" s="1522"/>
      <c r="GI13" s="1522"/>
      <c r="GJ13" s="1522"/>
      <c r="GK13" s="1522"/>
      <c r="GL13" s="1522"/>
      <c r="GM13" s="1522"/>
      <c r="GN13" s="1522"/>
      <c r="GO13" s="1522"/>
      <c r="GP13" s="1522"/>
      <c r="GQ13" s="1522"/>
      <c r="GR13" s="1522"/>
      <c r="GS13" s="1522"/>
      <c r="GT13" s="1522"/>
      <c r="GU13" s="1522"/>
      <c r="GV13" s="1522"/>
      <c r="GW13" s="1522"/>
      <c r="GX13" s="1522"/>
      <c r="GY13" s="1522"/>
      <c r="GZ13" s="1522"/>
      <c r="HA13" s="1522"/>
      <c r="HB13" s="1522"/>
      <c r="HC13" s="1522"/>
      <c r="HD13" s="1522"/>
      <c r="HE13" s="1522"/>
      <c r="HF13" s="1522"/>
      <c r="HG13" s="1522"/>
      <c r="HH13" s="1522"/>
      <c r="HI13" s="1522"/>
      <c r="HJ13" s="1522"/>
      <c r="HK13" s="1522"/>
      <c r="HL13" s="1522"/>
      <c r="HM13" s="1522"/>
      <c r="HN13" s="1522"/>
      <c r="HO13" s="1522"/>
      <c r="HP13" s="1522"/>
      <c r="HQ13" s="1522"/>
      <c r="HR13" s="1522"/>
      <c r="HS13" s="1522"/>
      <c r="HT13" s="1522"/>
      <c r="HU13" s="1522"/>
      <c r="HV13" s="1522"/>
      <c r="HW13" s="1522"/>
      <c r="HX13" s="1522"/>
      <c r="HY13" s="1522"/>
      <c r="HZ13" s="1522"/>
      <c r="IA13" s="1522"/>
      <c r="IB13" s="1522"/>
      <c r="IC13" s="1522"/>
      <c r="ID13" s="1522"/>
      <c r="IE13" s="1522"/>
      <c r="IF13" s="1522"/>
      <c r="IG13" s="1522"/>
      <c r="IH13" s="1522"/>
      <c r="II13" s="1522"/>
      <c r="IJ13" s="1522"/>
      <c r="IK13" s="1522"/>
      <c r="IL13" s="1522"/>
      <c r="IM13" s="1522"/>
      <c r="IN13" s="1522"/>
      <c r="IO13" s="1522"/>
      <c r="IP13" s="1522"/>
      <c r="IQ13" s="1522"/>
      <c r="IR13" s="1522"/>
      <c r="IS13" s="1522"/>
      <c r="IT13" s="1522"/>
      <c r="IU13" s="1522"/>
      <c r="IV13" s="1522"/>
      <c r="IW13" s="1522"/>
      <c r="IX13" s="1522"/>
      <c r="IY13" s="1522"/>
      <c r="IZ13" s="1522"/>
      <c r="JA13" s="1522"/>
      <c r="JB13" s="1522"/>
      <c r="JC13" s="1522"/>
      <c r="JD13" s="1522"/>
      <c r="JE13" s="1522"/>
      <c r="JF13" s="1522"/>
      <c r="JG13" s="1522"/>
      <c r="JH13" s="1522"/>
      <c r="JI13" s="1522"/>
      <c r="JJ13" s="1522"/>
      <c r="JK13" s="1522"/>
      <c r="JL13" s="1522"/>
      <c r="JM13" s="1522"/>
      <c r="JN13" s="1522"/>
    </row>
    <row r="14" spans="1:274" s="1523" customFormat="1" ht="10.5" customHeight="1" x14ac:dyDescent="0.2">
      <c r="A14" s="1529" t="s">
        <v>679</v>
      </c>
      <c r="B14" s="1529"/>
      <c r="C14" s="1527">
        <f t="shared" ref="C14:M14" si="3">C65</f>
        <v>0</v>
      </c>
      <c r="D14" s="1527">
        <f t="shared" si="3"/>
        <v>0</v>
      </c>
      <c r="E14" s="1527">
        <f t="shared" si="3"/>
        <v>0</v>
      </c>
      <c r="F14" s="1527">
        <f t="shared" si="3"/>
        <v>0</v>
      </c>
      <c r="G14" s="1527">
        <f t="shared" si="3"/>
        <v>0</v>
      </c>
      <c r="H14" s="1527">
        <f t="shared" si="3"/>
        <v>0</v>
      </c>
      <c r="I14" s="1527">
        <f t="shared" si="3"/>
        <v>0</v>
      </c>
      <c r="J14" s="1527">
        <f t="shared" si="3"/>
        <v>0</v>
      </c>
      <c r="K14" s="1527">
        <f t="shared" si="3"/>
        <v>0</v>
      </c>
      <c r="L14" s="1527">
        <f t="shared" si="3"/>
        <v>0</v>
      </c>
      <c r="M14" s="1527">
        <f t="shared" si="3"/>
        <v>0</v>
      </c>
      <c r="N14" s="1534"/>
      <c r="O14" s="1527">
        <f>O65</f>
        <v>0</v>
      </c>
      <c r="P14" s="1527">
        <f t="shared" ref="P14:R16" si="4">P65+O14</f>
        <v>0</v>
      </c>
      <c r="Q14" s="1527">
        <f t="shared" si="4"/>
        <v>0</v>
      </c>
      <c r="R14" s="1527">
        <f t="shared" si="4"/>
        <v>0</v>
      </c>
      <c r="S14" s="1529">
        <f>R14</f>
        <v>0</v>
      </c>
      <c r="T14" s="1528"/>
      <c r="U14" s="1527">
        <f>U65</f>
        <v>50.930999999999997</v>
      </c>
      <c r="V14" s="1527">
        <f t="shared" ref="V14:X16" si="5">V65+U14</f>
        <v>50.930999999999997</v>
      </c>
      <c r="W14" s="1527">
        <f t="shared" si="5"/>
        <v>50.930999999999997</v>
      </c>
      <c r="X14" s="1527">
        <f t="shared" si="5"/>
        <v>50.930999999999997</v>
      </c>
      <c r="Y14" s="1529">
        <f>X14</f>
        <v>50.930999999999997</v>
      </c>
      <c r="Z14" s="1528"/>
      <c r="AA14" s="1527">
        <f>AA65</f>
        <v>0</v>
      </c>
      <c r="AB14" s="1527">
        <f t="shared" ref="AB14:AD16" si="6">AB65+AA14</f>
        <v>0</v>
      </c>
      <c r="AC14" s="1527">
        <f t="shared" si="6"/>
        <v>36.799999999999997</v>
      </c>
      <c r="AD14" s="1527">
        <f t="shared" si="6"/>
        <v>36.799999999999997</v>
      </c>
      <c r="AE14" s="1529">
        <f>AD14</f>
        <v>36.799999999999997</v>
      </c>
      <c r="AF14" s="1528"/>
      <c r="AG14" s="1527">
        <f>AG65</f>
        <v>167.054</v>
      </c>
      <c r="AH14" s="1527">
        <f t="shared" ref="AH14:AJ16" si="7">AH65+AG14</f>
        <v>167.054</v>
      </c>
      <c r="AI14" s="1527">
        <f t="shared" si="7"/>
        <v>196.71</v>
      </c>
      <c r="AJ14" s="1527">
        <f t="shared" si="7"/>
        <v>167.054</v>
      </c>
      <c r="AK14" s="1529">
        <f>AJ14</f>
        <v>167.054</v>
      </c>
      <c r="AL14" s="1528"/>
      <c r="AM14" s="1527">
        <f>AM65</f>
        <v>0</v>
      </c>
      <c r="AN14" s="1527">
        <f t="shared" ref="AN14:AP16" si="8">AN65+AM14</f>
        <v>0</v>
      </c>
      <c r="AO14" s="1527">
        <f t="shared" si="8"/>
        <v>35.72</v>
      </c>
      <c r="AP14" s="1527">
        <f t="shared" si="8"/>
        <v>55.561</v>
      </c>
      <c r="AQ14" s="1529">
        <f>AP14</f>
        <v>55.561</v>
      </c>
      <c r="AR14" s="1528"/>
      <c r="AS14" s="1527">
        <f>AS65</f>
        <v>18.308</v>
      </c>
      <c r="AT14" s="1527">
        <f t="shared" ref="AT14:AV16" si="9">AT65+AS14</f>
        <v>37.377000000000002</v>
      </c>
      <c r="AU14" s="1527">
        <f t="shared" si="9"/>
        <v>56.646000000000001</v>
      </c>
      <c r="AV14" s="1527">
        <f t="shared" si="9"/>
        <v>76.61</v>
      </c>
      <c r="AW14" s="1529">
        <f>AV14</f>
        <v>76.61</v>
      </c>
      <c r="AX14" s="1528"/>
      <c r="AY14" s="1527">
        <f>AY65</f>
        <v>18.997</v>
      </c>
      <c r="AZ14" s="1527">
        <f t="shared" ref="AZ14:BB16" si="10">AZ65+AY14</f>
        <v>36.804000000000002</v>
      </c>
      <c r="BA14" s="1527">
        <f t="shared" si="10"/>
        <v>53.091000000000001</v>
      </c>
      <c r="BB14" s="1527">
        <f t="shared" si="10"/>
        <v>71</v>
      </c>
      <c r="BC14" s="1529">
        <f>BB14</f>
        <v>71</v>
      </c>
      <c r="BD14" s="1528"/>
      <c r="BE14" s="1527">
        <f>BE65</f>
        <v>15.36</v>
      </c>
      <c r="BF14" s="1527">
        <f t="shared" ref="BF14:BH16" si="11">BF65+BE14</f>
        <v>37</v>
      </c>
      <c r="BG14" s="1527">
        <f t="shared" si="11"/>
        <v>40</v>
      </c>
      <c r="BH14" s="1527">
        <f t="shared" si="11"/>
        <v>90</v>
      </c>
      <c r="BI14" s="1529">
        <f>BH14</f>
        <v>90</v>
      </c>
      <c r="BJ14" s="1528"/>
      <c r="BK14" s="1527">
        <f>BK65</f>
        <v>22</v>
      </c>
      <c r="BL14" s="1527">
        <f t="shared" ref="BL14:BN16" si="12">BL65+BK14</f>
        <v>44</v>
      </c>
      <c r="BM14" s="1527">
        <f t="shared" si="12"/>
        <v>65</v>
      </c>
      <c r="BN14" s="1527">
        <f t="shared" si="12"/>
        <v>84</v>
      </c>
      <c r="BO14" s="1529">
        <f>BN14</f>
        <v>84</v>
      </c>
      <c r="BP14" s="1528"/>
      <c r="BQ14" s="1527">
        <f>BQ65</f>
        <v>11</v>
      </c>
      <c r="BR14" s="1527">
        <v>21</v>
      </c>
      <c r="BS14" s="1527">
        <v>29</v>
      </c>
      <c r="BT14" s="1527">
        <v>36</v>
      </c>
      <c r="BU14" s="1529">
        <f>BT14</f>
        <v>36</v>
      </c>
      <c r="BV14" s="1528"/>
      <c r="BW14" s="1529">
        <v>9</v>
      </c>
      <c r="BX14" s="1527">
        <v>16</v>
      </c>
      <c r="BY14" s="1527">
        <v>97</v>
      </c>
      <c r="BZ14" s="1527">
        <v>219</v>
      </c>
      <c r="CA14" s="1529">
        <f>BZ14</f>
        <v>219</v>
      </c>
      <c r="CB14" s="1528"/>
      <c r="CC14" s="1527">
        <v>123</v>
      </c>
      <c r="CD14" s="1527">
        <v>249</v>
      </c>
      <c r="CE14" s="1527">
        <f>398+86</f>
        <v>484</v>
      </c>
      <c r="CF14" s="1527">
        <f>583+78</f>
        <v>661</v>
      </c>
      <c r="CG14" s="1529">
        <f>CF14</f>
        <v>661</v>
      </c>
      <c r="CH14" s="1528"/>
      <c r="CI14" s="1527">
        <v>198</v>
      </c>
      <c r="CJ14" s="1527">
        <v>401</v>
      </c>
      <c r="CK14" s="1527">
        <v>623</v>
      </c>
      <c r="CL14" s="1527">
        <v>878</v>
      </c>
      <c r="CM14" s="1536">
        <f>CL14</f>
        <v>878</v>
      </c>
      <c r="CN14" s="1528"/>
      <c r="CO14" s="1527">
        <v>285</v>
      </c>
      <c r="CP14" s="1527">
        <v>575</v>
      </c>
      <c r="CQ14" s="1527">
        <v>867</v>
      </c>
      <c r="CR14" s="1527">
        <v>1212</v>
      </c>
      <c r="CS14" s="1536">
        <f>CR14</f>
        <v>1212</v>
      </c>
      <c r="CT14" s="1528"/>
      <c r="CU14" s="1527">
        <v>413</v>
      </c>
      <c r="CV14" s="1527">
        <v>839</v>
      </c>
      <c r="CW14" s="1527">
        <v>1276</v>
      </c>
      <c r="CX14" s="1527">
        <v>1713</v>
      </c>
      <c r="CY14" s="1536">
        <f>CX14</f>
        <v>1713</v>
      </c>
      <c r="CZ14" s="1528"/>
      <c r="DA14" s="1569">
        <v>431</v>
      </c>
      <c r="DB14" s="1569">
        <v>867</v>
      </c>
      <c r="DC14" s="1569">
        <v>1369</v>
      </c>
      <c r="DD14" s="1569">
        <v>1973</v>
      </c>
      <c r="DE14" s="1536">
        <f>DD14</f>
        <v>1973</v>
      </c>
      <c r="DF14" s="1528"/>
      <c r="DG14" s="1569">
        <v>603</v>
      </c>
      <c r="DH14" s="1569">
        <v>1217</v>
      </c>
      <c r="DI14" s="1569">
        <v>1829</v>
      </c>
      <c r="DJ14" s="1569">
        <v>2428</v>
      </c>
      <c r="DK14" s="1536">
        <f>DJ14</f>
        <v>2428</v>
      </c>
      <c r="DL14" s="1528"/>
      <c r="DM14" s="1569">
        <v>592</v>
      </c>
      <c r="DN14" s="1569">
        <v>1184</v>
      </c>
      <c r="DO14" s="1569">
        <v>1790</v>
      </c>
      <c r="DP14" s="1569">
        <v>2430</v>
      </c>
      <c r="DQ14" s="1536">
        <f>DP14</f>
        <v>2430</v>
      </c>
      <c r="DR14" s="1528"/>
      <c r="DS14" s="1570">
        <v>619</v>
      </c>
      <c r="DT14" s="1570">
        <v>1203</v>
      </c>
      <c r="DU14" s="1570">
        <v>1789</v>
      </c>
      <c r="DV14" s="1570">
        <v>2385</v>
      </c>
      <c r="DW14" s="1536">
        <f>DV14</f>
        <v>2385</v>
      </c>
      <c r="DX14" s="1528"/>
      <c r="DY14" s="1570">
        <v>595</v>
      </c>
      <c r="DZ14" s="1570">
        <v>1172</v>
      </c>
      <c r="EA14" s="1570">
        <v>1732</v>
      </c>
      <c r="EB14" s="1570">
        <v>2300</v>
      </c>
      <c r="EC14" s="1536">
        <f>EB14</f>
        <v>2300</v>
      </c>
      <c r="ED14" s="1528"/>
      <c r="EE14" s="1570">
        <v>547</v>
      </c>
      <c r="EF14" s="1570">
        <v>1116</v>
      </c>
      <c r="EG14" s="1570">
        <v>1642</v>
      </c>
      <c r="EH14" s="1570">
        <v>2149</v>
      </c>
      <c r="EI14" s="1536">
        <f>EH14</f>
        <v>2149</v>
      </c>
      <c r="EJ14" s="1528"/>
      <c r="EK14" s="1570">
        <v>452</v>
      </c>
      <c r="EL14" s="1570">
        <v>875</v>
      </c>
      <c r="EM14" s="1570">
        <v>1283</v>
      </c>
      <c r="EN14" s="1570">
        <v>1638</v>
      </c>
      <c r="EO14" s="1536">
        <f>EN14</f>
        <v>1638</v>
      </c>
      <c r="EP14" s="1528"/>
      <c r="EQ14" s="1570">
        <v>311</v>
      </c>
      <c r="ER14" s="1570">
        <v>613</v>
      </c>
      <c r="ES14" s="1570">
        <v>1010</v>
      </c>
      <c r="ET14" s="1570">
        <v>1451</v>
      </c>
      <c r="EU14" s="1536">
        <f>ET14</f>
        <v>1451</v>
      </c>
      <c r="EV14" s="1528"/>
      <c r="EW14" s="1570">
        <v>411</v>
      </c>
      <c r="EX14" s="1570">
        <v>811</v>
      </c>
      <c r="EY14" s="1570">
        <v>1205</v>
      </c>
      <c r="EZ14" s="1570">
        <f>EY14+'Balance Sheet'!EZ147</f>
        <v>1595.8880983962376</v>
      </c>
      <c r="FA14" s="1536">
        <f>EZ14</f>
        <v>1595.8880983962376</v>
      </c>
      <c r="FB14" s="1528"/>
      <c r="FC14" s="1570">
        <f>'Balance Sheet'!FC147</f>
        <v>269.3576154588207</v>
      </c>
      <c r="FD14" s="1570">
        <f>FC14+'Balance Sheet'!FD147</f>
        <v>537.23376403261784</v>
      </c>
      <c r="FE14" s="1570">
        <f>FD14+'Balance Sheet'!FE147</f>
        <v>803.63659378925911</v>
      </c>
      <c r="FF14" s="1570">
        <f>FE14+'Balance Sheet'!FF147</f>
        <v>1068.5742079822389</v>
      </c>
      <c r="FG14" s="1536">
        <f>FF14</f>
        <v>1068.5742079822389</v>
      </c>
      <c r="FH14" s="1528"/>
      <c r="FI14" s="1570">
        <f>'Balance Sheet'!FI147</f>
        <v>263.48045731491834</v>
      </c>
      <c r="FJ14" s="1570">
        <f>FI14+'Balance Sheet'!FJ147</f>
        <v>525.51177211460458</v>
      </c>
      <c r="FK14" s="1570">
        <f>FJ14+'Balance Sheet'!FK147</f>
        <v>786.10191468289258</v>
      </c>
      <c r="FL14" s="1570">
        <f>FK14+'Balance Sheet'!FL147</f>
        <v>1045.258811467055</v>
      </c>
      <c r="FM14" s="1536">
        <f>FL14</f>
        <v>1045.258811467055</v>
      </c>
      <c r="FN14" s="1526"/>
      <c r="FO14" s="1526"/>
      <c r="FP14" s="1524"/>
      <c r="FQ14" s="1524"/>
      <c r="FR14" s="1524"/>
      <c r="FS14"/>
      <c r="FT14"/>
      <c r="FU14"/>
      <c r="FV14"/>
      <c r="FW14"/>
      <c r="FX14"/>
      <c r="FY14" s="1524"/>
      <c r="FZ14" s="1522"/>
      <c r="GA14" s="1522"/>
      <c r="GB14" s="1522"/>
      <c r="GC14" s="1522"/>
      <c r="GD14" s="1522"/>
      <c r="GE14" s="1522"/>
      <c r="GF14" s="1522"/>
      <c r="GG14" s="1522"/>
      <c r="GH14" s="1522"/>
      <c r="GI14" s="1522"/>
      <c r="GJ14" s="1522"/>
      <c r="GK14" s="1522"/>
      <c r="GL14" s="1522"/>
      <c r="GM14" s="1522"/>
      <c r="GN14" s="1522"/>
      <c r="GO14" s="1522"/>
      <c r="GP14" s="1522"/>
      <c r="GQ14" s="1522"/>
      <c r="GR14" s="1522"/>
      <c r="GS14" s="1522"/>
      <c r="GT14" s="1522"/>
      <c r="GU14" s="1522"/>
      <c r="GV14" s="1522"/>
      <c r="GW14" s="1522"/>
      <c r="GX14" s="1522"/>
      <c r="GY14" s="1522"/>
      <c r="GZ14" s="1522"/>
      <c r="HA14" s="1522"/>
      <c r="HB14" s="1522"/>
      <c r="HC14" s="1522"/>
      <c r="HD14" s="1522"/>
      <c r="HE14" s="1522"/>
      <c r="HF14" s="1522"/>
      <c r="HG14" s="1522"/>
      <c r="HH14" s="1522"/>
      <c r="HI14" s="1522"/>
      <c r="HJ14" s="1522"/>
      <c r="HK14" s="1522"/>
      <c r="HL14" s="1522"/>
      <c r="HM14" s="1522"/>
      <c r="HN14" s="1522"/>
      <c r="HO14" s="1522"/>
      <c r="HP14" s="1522"/>
      <c r="HQ14" s="1522"/>
      <c r="HR14" s="1522"/>
      <c r="HS14" s="1522"/>
      <c r="HT14" s="1522"/>
      <c r="HU14" s="1522"/>
      <c r="HV14" s="1522"/>
      <c r="HW14" s="1522"/>
      <c r="HX14" s="1522"/>
      <c r="HY14" s="1522"/>
      <c r="HZ14" s="1522"/>
      <c r="IA14" s="1522"/>
      <c r="IB14" s="1522"/>
      <c r="IC14" s="1522"/>
      <c r="ID14" s="1522"/>
      <c r="IE14" s="1522"/>
      <c r="IF14" s="1522"/>
      <c r="IG14" s="1522"/>
      <c r="IH14" s="1522"/>
      <c r="II14" s="1522"/>
      <c r="IJ14" s="1522"/>
      <c r="IK14" s="1522"/>
      <c r="IL14" s="1522"/>
      <c r="IM14" s="1522"/>
      <c r="IN14" s="1522"/>
      <c r="IO14" s="1522"/>
      <c r="IP14" s="1522"/>
      <c r="IQ14" s="1522"/>
      <c r="IR14" s="1522"/>
      <c r="IS14" s="1522"/>
      <c r="IT14" s="1522"/>
      <c r="IU14" s="1522"/>
      <c r="IV14" s="1522"/>
      <c r="IW14" s="1522"/>
      <c r="IX14" s="1522"/>
      <c r="IY14" s="1522"/>
      <c r="IZ14" s="1522"/>
      <c r="JA14" s="1522"/>
      <c r="JB14" s="1522"/>
      <c r="JC14" s="1522"/>
      <c r="JD14" s="1522"/>
      <c r="JE14" s="1522"/>
      <c r="JF14" s="1522"/>
      <c r="JG14" s="1522"/>
      <c r="JH14" s="1522"/>
      <c r="JI14" s="1522"/>
      <c r="JJ14" s="1522"/>
      <c r="JK14" s="1522"/>
      <c r="JL14" s="1522"/>
      <c r="JM14" s="1522"/>
      <c r="JN14" s="1522"/>
    </row>
    <row r="15" spans="1:274" s="1523" customFormat="1" ht="10.5" customHeight="1" x14ac:dyDescent="0.2">
      <c r="A15" s="1529" t="s">
        <v>918</v>
      </c>
      <c r="B15" s="1529"/>
      <c r="C15" s="1527">
        <f t="shared" ref="C15:M15" si="13">C66</f>
        <v>0</v>
      </c>
      <c r="D15" s="1527">
        <f t="shared" si="13"/>
        <v>0</v>
      </c>
      <c r="E15" s="1527">
        <f t="shared" si="13"/>
        <v>0</v>
      </c>
      <c r="F15" s="1527">
        <f t="shared" si="13"/>
        <v>0</v>
      </c>
      <c r="G15" s="1527">
        <f t="shared" si="13"/>
        <v>0</v>
      </c>
      <c r="H15" s="1527">
        <f t="shared" si="13"/>
        <v>0</v>
      </c>
      <c r="I15" s="1527">
        <f t="shared" si="13"/>
        <v>0</v>
      </c>
      <c r="J15" s="1527">
        <f t="shared" si="13"/>
        <v>0</v>
      </c>
      <c r="K15" s="1527">
        <f t="shared" si="13"/>
        <v>0</v>
      </c>
      <c r="L15" s="1527">
        <f t="shared" si="13"/>
        <v>0</v>
      </c>
      <c r="M15" s="1527">
        <f t="shared" si="13"/>
        <v>0</v>
      </c>
      <c r="N15" s="1529"/>
      <c r="O15" s="1527">
        <f>O66</f>
        <v>0</v>
      </c>
      <c r="P15" s="1527">
        <f t="shared" si="4"/>
        <v>0</v>
      </c>
      <c r="Q15" s="1527">
        <f t="shared" si="4"/>
        <v>0</v>
      </c>
      <c r="R15" s="1527">
        <f t="shared" si="4"/>
        <v>0</v>
      </c>
      <c r="S15" s="1529">
        <f>R15</f>
        <v>0</v>
      </c>
      <c r="T15" s="1534"/>
      <c r="U15" s="1527">
        <f>U66</f>
        <v>0</v>
      </c>
      <c r="V15" s="1527">
        <f t="shared" si="5"/>
        <v>0</v>
      </c>
      <c r="W15" s="1527">
        <f t="shared" si="5"/>
        <v>0</v>
      </c>
      <c r="X15" s="1527">
        <f t="shared" si="5"/>
        <v>0</v>
      </c>
      <c r="Y15" s="1529">
        <f>X15</f>
        <v>0</v>
      </c>
      <c r="Z15" s="1534"/>
      <c r="AA15" s="1527">
        <f>AA66</f>
        <v>0</v>
      </c>
      <c r="AB15" s="1527">
        <f t="shared" si="6"/>
        <v>0</v>
      </c>
      <c r="AC15" s="1527">
        <f t="shared" si="6"/>
        <v>0</v>
      </c>
      <c r="AD15" s="1527">
        <f t="shared" si="6"/>
        <v>0</v>
      </c>
      <c r="AE15" s="1529">
        <f>AD15</f>
        <v>0</v>
      </c>
      <c r="AF15" s="1534"/>
      <c r="AG15" s="1527">
        <f>AG66</f>
        <v>0</v>
      </c>
      <c r="AH15" s="1527">
        <f t="shared" si="7"/>
        <v>0</v>
      </c>
      <c r="AI15" s="1527">
        <f t="shared" si="7"/>
        <v>0</v>
      </c>
      <c r="AJ15" s="1527">
        <f t="shared" si="7"/>
        <v>0</v>
      </c>
      <c r="AK15" s="1529">
        <f>AJ15</f>
        <v>0</v>
      </c>
      <c r="AL15" s="1534"/>
      <c r="AM15" s="1527">
        <f>AM66</f>
        <v>0</v>
      </c>
      <c r="AN15" s="1527">
        <f t="shared" si="8"/>
        <v>0</v>
      </c>
      <c r="AO15" s="1527">
        <f t="shared" si="8"/>
        <v>-24.457000000000001</v>
      </c>
      <c r="AP15" s="1527">
        <f t="shared" si="8"/>
        <v>-24.457000000000001</v>
      </c>
      <c r="AQ15" s="1529">
        <f>AP15</f>
        <v>-24.457000000000001</v>
      </c>
      <c r="AR15" s="1534"/>
      <c r="AS15" s="1527">
        <f>AS66</f>
        <v>0</v>
      </c>
      <c r="AT15" s="1527">
        <f t="shared" si="9"/>
        <v>0</v>
      </c>
      <c r="AU15" s="1527">
        <f t="shared" si="9"/>
        <v>-415.459</v>
      </c>
      <c r="AV15" s="1527">
        <f t="shared" si="9"/>
        <v>-6936.9549999999999</v>
      </c>
      <c r="AW15" s="1529">
        <f>AV15</f>
        <v>-6936.9549999999999</v>
      </c>
      <c r="AX15" s="1534"/>
      <c r="AY15" s="1527">
        <f>AY66</f>
        <v>-15.433</v>
      </c>
      <c r="AZ15" s="1527">
        <f t="shared" si="10"/>
        <v>-1.9649999999999999</v>
      </c>
      <c r="BA15" s="1527">
        <f t="shared" si="10"/>
        <v>20.472000000000001</v>
      </c>
      <c r="BB15" s="1527">
        <f t="shared" si="10"/>
        <v>17</v>
      </c>
      <c r="BC15" s="1529">
        <f>BB15</f>
        <v>17</v>
      </c>
      <c r="BD15" s="1534"/>
      <c r="BE15" s="1527">
        <f>BE66</f>
        <v>3.3010000000000002</v>
      </c>
      <c r="BF15" s="1527">
        <f t="shared" si="11"/>
        <v>7</v>
      </c>
      <c r="BG15" s="1527">
        <f t="shared" si="11"/>
        <v>14</v>
      </c>
      <c r="BH15" s="1527">
        <f t="shared" si="11"/>
        <v>244</v>
      </c>
      <c r="BI15" s="1529">
        <f>BH15</f>
        <v>244</v>
      </c>
      <c r="BJ15" s="1534"/>
      <c r="BK15" s="1527">
        <f>BK66</f>
        <v>81</v>
      </c>
      <c r="BL15" s="1527">
        <f t="shared" si="12"/>
        <v>102</v>
      </c>
      <c r="BM15" s="1527">
        <f t="shared" si="12"/>
        <v>108</v>
      </c>
      <c r="BN15" s="1527">
        <f t="shared" si="12"/>
        <v>111</v>
      </c>
      <c r="BO15" s="1529">
        <f>BN15</f>
        <v>111</v>
      </c>
      <c r="BP15" s="1534"/>
      <c r="BQ15" s="1527">
        <f>BQ66</f>
        <v>-36</v>
      </c>
      <c r="BR15" s="1527">
        <v>-32</v>
      </c>
      <c r="BS15" s="1527">
        <v>-30</v>
      </c>
      <c r="BT15" s="1527">
        <v>-29</v>
      </c>
      <c r="BU15" s="1529">
        <f>BT15</f>
        <v>-29</v>
      </c>
      <c r="BV15" s="1534"/>
      <c r="BW15" s="1529">
        <v>0</v>
      </c>
      <c r="BX15" s="1527">
        <v>-1</v>
      </c>
      <c r="BY15" s="1527">
        <v>-1</v>
      </c>
      <c r="BZ15" s="1527">
        <f>-2</f>
        <v>-2</v>
      </c>
      <c r="CA15" s="1529">
        <f>BZ15</f>
        <v>-2</v>
      </c>
      <c r="CB15" s="1534"/>
      <c r="CC15" s="1527">
        <f>8+12+7-2</f>
        <v>25</v>
      </c>
      <c r="CD15" s="1527">
        <f>17+20+12</f>
        <v>49</v>
      </c>
      <c r="CE15" s="1527">
        <v>27</v>
      </c>
      <c r="CF15" s="1527">
        <v>-39</v>
      </c>
      <c r="CG15" s="1529">
        <f>CF15</f>
        <v>-39</v>
      </c>
      <c r="CH15" s="1534"/>
      <c r="CI15" s="1527">
        <v>-15</v>
      </c>
      <c r="CJ15" s="1527">
        <f>32-18</f>
        <v>14</v>
      </c>
      <c r="CK15" s="1527">
        <f>52-20</f>
        <v>32</v>
      </c>
      <c r="CL15" s="1527">
        <f>71-22</f>
        <v>49</v>
      </c>
      <c r="CM15" s="1536">
        <f>CL15</f>
        <v>49</v>
      </c>
      <c r="CN15" s="1534"/>
      <c r="CO15" s="1527">
        <v>0</v>
      </c>
      <c r="CP15" s="1527">
        <f>CO15</f>
        <v>0</v>
      </c>
      <c r="CQ15" s="1527">
        <v>0</v>
      </c>
      <c r="CR15" s="1527">
        <v>0</v>
      </c>
      <c r="CS15" s="1536">
        <f>CR15</f>
        <v>0</v>
      </c>
      <c r="CT15" s="1534"/>
      <c r="CU15" s="1527">
        <v>0</v>
      </c>
      <c r="CV15" s="1527">
        <f>CU15</f>
        <v>0</v>
      </c>
      <c r="CW15" s="1527">
        <v>0</v>
      </c>
      <c r="CX15" s="1527">
        <v>0</v>
      </c>
      <c r="CY15" s="1536">
        <f>CX15</f>
        <v>0</v>
      </c>
      <c r="CZ15" s="1534"/>
      <c r="DA15" s="1569">
        <v>0</v>
      </c>
      <c r="DB15" s="1569">
        <v>0</v>
      </c>
      <c r="DC15" s="1569">
        <f>DB15</f>
        <v>0</v>
      </c>
      <c r="DD15" s="1569">
        <f>DC15</f>
        <v>0</v>
      </c>
      <c r="DE15" s="1536">
        <f>DD15</f>
        <v>0</v>
      </c>
      <c r="DF15" s="1534"/>
      <c r="DG15" s="1569">
        <v>0</v>
      </c>
      <c r="DH15" s="1569">
        <v>0</v>
      </c>
      <c r="DI15" s="1569">
        <f>DH15</f>
        <v>0</v>
      </c>
      <c r="DJ15" s="1569">
        <v>0</v>
      </c>
      <c r="DK15" s="1536">
        <f>DJ15</f>
        <v>0</v>
      </c>
      <c r="DL15" s="1534"/>
      <c r="DM15" s="1569">
        <v>0</v>
      </c>
      <c r="DN15" s="1569">
        <v>0</v>
      </c>
      <c r="DO15" s="1569">
        <v>0</v>
      </c>
      <c r="DP15" s="1569">
        <v>0</v>
      </c>
      <c r="DQ15" s="1536">
        <f>DP15</f>
        <v>0</v>
      </c>
      <c r="DR15" s="1534"/>
      <c r="DS15" s="1570">
        <v>0</v>
      </c>
      <c r="DT15" s="1570">
        <v>0</v>
      </c>
      <c r="DU15" s="1570">
        <v>0</v>
      </c>
      <c r="DV15" s="1570">
        <v>0</v>
      </c>
      <c r="DW15" s="1536">
        <f>DV15</f>
        <v>0</v>
      </c>
      <c r="DX15" s="1534"/>
      <c r="DY15" s="1570">
        <v>0</v>
      </c>
      <c r="DZ15" s="1570">
        <v>0</v>
      </c>
      <c r="EA15" s="1570">
        <v>0</v>
      </c>
      <c r="EB15" s="1570">
        <v>0</v>
      </c>
      <c r="EC15" s="1536">
        <f>EB15</f>
        <v>0</v>
      </c>
      <c r="ED15" s="1534"/>
      <c r="EE15" s="1570">
        <v>0</v>
      </c>
      <c r="EF15" s="1570">
        <v>0</v>
      </c>
      <c r="EG15" s="1570">
        <v>0</v>
      </c>
      <c r="EH15" s="1570">
        <v>0</v>
      </c>
      <c r="EI15" s="1536">
        <f>EH15</f>
        <v>0</v>
      </c>
      <c r="EJ15" s="1534"/>
      <c r="EK15" s="1570">
        <v>0</v>
      </c>
      <c r="EL15" s="1570">
        <v>0</v>
      </c>
      <c r="EM15" s="1570">
        <v>0</v>
      </c>
      <c r="EN15" s="1570">
        <v>0</v>
      </c>
      <c r="EO15" s="1536">
        <f>EN15</f>
        <v>0</v>
      </c>
      <c r="EP15" s="1534"/>
      <c r="EQ15" s="1570">
        <v>0</v>
      </c>
      <c r="ER15" s="1570">
        <v>0</v>
      </c>
      <c r="ES15" s="1570">
        <f>ER15</f>
        <v>0</v>
      </c>
      <c r="ET15" s="1570">
        <v>0</v>
      </c>
      <c r="EU15" s="1536">
        <f>ET15</f>
        <v>0</v>
      </c>
      <c r="EV15" s="1534"/>
      <c r="EW15" s="1570">
        <v>0</v>
      </c>
      <c r="EX15" s="1570">
        <v>0</v>
      </c>
      <c r="EY15" s="1570">
        <v>0</v>
      </c>
      <c r="EZ15" s="1570">
        <f>EY15</f>
        <v>0</v>
      </c>
      <c r="FA15" s="1536">
        <f>EZ15</f>
        <v>0</v>
      </c>
      <c r="FB15" s="1534"/>
      <c r="FC15" s="1570">
        <v>0</v>
      </c>
      <c r="FD15" s="1570">
        <f>FC15</f>
        <v>0</v>
      </c>
      <c r="FE15" s="1570">
        <f>FD15</f>
        <v>0</v>
      </c>
      <c r="FF15" s="1570">
        <f>FE15</f>
        <v>0</v>
      </c>
      <c r="FG15" s="1536">
        <f>FF15</f>
        <v>0</v>
      </c>
      <c r="FH15" s="1534"/>
      <c r="FI15" s="1570">
        <v>0</v>
      </c>
      <c r="FJ15" s="1570">
        <f>FI15</f>
        <v>0</v>
      </c>
      <c r="FK15" s="1570">
        <f>FJ15</f>
        <v>0</v>
      </c>
      <c r="FL15" s="1570">
        <f>FK15</f>
        <v>0</v>
      </c>
      <c r="FM15" s="1536">
        <f>FL15</f>
        <v>0</v>
      </c>
      <c r="FN15" s="1533"/>
      <c r="FO15" s="1533"/>
      <c r="FP15" s="1524"/>
      <c r="FQ15" s="1524"/>
      <c r="FR15" s="1524"/>
      <c r="FS15"/>
      <c r="FT15"/>
      <c r="FU15"/>
      <c r="FV15"/>
      <c r="FW15"/>
      <c r="FX15"/>
      <c r="FY15" s="1524"/>
      <c r="FZ15" s="1522"/>
      <c r="GA15" s="1522"/>
      <c r="GB15" s="1522"/>
      <c r="GC15" s="1522"/>
      <c r="GD15" s="1522"/>
      <c r="GE15" s="1522"/>
      <c r="GF15" s="1522"/>
      <c r="GG15" s="1522"/>
      <c r="GH15" s="1522"/>
      <c r="GI15" s="1522"/>
      <c r="GJ15" s="1522"/>
      <c r="GK15" s="1522"/>
      <c r="GL15" s="1522"/>
      <c r="GM15" s="1522"/>
      <c r="GN15" s="1522"/>
      <c r="GO15" s="1522"/>
      <c r="GP15" s="1522"/>
      <c r="GQ15" s="1522"/>
      <c r="GR15" s="1522"/>
      <c r="GS15" s="1522"/>
      <c r="GT15" s="1522"/>
      <c r="GU15" s="1522"/>
      <c r="GV15" s="1522"/>
      <c r="GW15" s="1522"/>
      <c r="GX15" s="1522"/>
      <c r="GY15" s="1522"/>
      <c r="GZ15" s="1522"/>
      <c r="HA15" s="1522"/>
      <c r="HB15" s="1522"/>
      <c r="HC15" s="1522"/>
      <c r="HD15" s="1522"/>
      <c r="HE15" s="1522"/>
      <c r="HF15" s="1522"/>
      <c r="HG15" s="1522"/>
      <c r="HH15" s="1522"/>
      <c r="HI15" s="1522"/>
      <c r="HJ15" s="1522"/>
      <c r="HK15" s="1522"/>
      <c r="HL15" s="1522"/>
      <c r="HM15" s="1522"/>
      <c r="HN15" s="1522"/>
      <c r="HO15" s="1522"/>
      <c r="HP15" s="1522"/>
      <c r="HQ15" s="1522"/>
      <c r="HR15" s="1522"/>
      <c r="HS15" s="1522"/>
      <c r="HT15" s="1522"/>
      <c r="HU15" s="1522"/>
      <c r="HV15" s="1522"/>
      <c r="HW15" s="1522"/>
      <c r="HX15" s="1522"/>
      <c r="HY15" s="1522"/>
      <c r="HZ15" s="1522"/>
      <c r="IA15" s="1522"/>
      <c r="IB15" s="1522"/>
      <c r="IC15" s="1522"/>
      <c r="ID15" s="1522"/>
      <c r="IE15" s="1522"/>
      <c r="IF15" s="1522"/>
      <c r="IG15" s="1522"/>
      <c r="IH15" s="1522"/>
      <c r="II15" s="1522"/>
      <c r="IJ15" s="1522"/>
      <c r="IK15" s="1522"/>
      <c r="IL15" s="1522"/>
      <c r="IM15" s="1522"/>
      <c r="IN15" s="1522"/>
      <c r="IO15" s="1522"/>
      <c r="IP15" s="1522"/>
      <c r="IQ15" s="1522"/>
      <c r="IR15" s="1522"/>
      <c r="IS15" s="1522"/>
      <c r="IT15" s="1522"/>
      <c r="IU15" s="1522"/>
      <c r="IV15" s="1522"/>
      <c r="IW15" s="1522"/>
      <c r="IX15" s="1522"/>
      <c r="IY15" s="1522"/>
      <c r="IZ15" s="1522"/>
      <c r="JA15" s="1522"/>
      <c r="JB15" s="1522"/>
      <c r="JC15" s="1522"/>
      <c r="JD15" s="1522"/>
      <c r="JE15" s="1522"/>
      <c r="JF15" s="1522"/>
      <c r="JG15" s="1522"/>
      <c r="JH15" s="1522"/>
      <c r="JI15" s="1522"/>
      <c r="JJ15" s="1522"/>
      <c r="JK15" s="1522"/>
      <c r="JL15" s="1522"/>
      <c r="JM15" s="1522"/>
      <c r="JN15" s="1522"/>
    </row>
    <row r="16" spans="1:274" s="1523" customFormat="1" ht="10.5" customHeight="1" x14ac:dyDescent="0.2">
      <c r="A16" s="1529" t="s">
        <v>422</v>
      </c>
      <c r="B16" s="1529"/>
      <c r="C16" s="1527">
        <f t="shared" ref="C16:M16" si="14">C67</f>
        <v>0</v>
      </c>
      <c r="D16" s="1527">
        <f t="shared" si="14"/>
        <v>0</v>
      </c>
      <c r="E16" s="1527">
        <f t="shared" si="14"/>
        <v>0</v>
      </c>
      <c r="F16" s="1527">
        <f t="shared" si="14"/>
        <v>10.776</v>
      </c>
      <c r="G16" s="1527">
        <f t="shared" si="14"/>
        <v>16.11</v>
      </c>
      <c r="H16" s="1527">
        <f t="shared" si="14"/>
        <v>-4.0359999999999996</v>
      </c>
      <c r="I16" s="1527">
        <f t="shared" si="14"/>
        <v>32.095999999999997</v>
      </c>
      <c r="J16" s="1527">
        <f t="shared" si="14"/>
        <v>-16.372</v>
      </c>
      <c r="K16" s="1527">
        <f t="shared" si="14"/>
        <v>27.885000000000002</v>
      </c>
      <c r="L16" s="1527">
        <f t="shared" si="14"/>
        <v>30.493000000000002</v>
      </c>
      <c r="M16" s="1527">
        <f t="shared" si="14"/>
        <v>54.477999999999994</v>
      </c>
      <c r="N16" s="1529"/>
      <c r="O16" s="1527">
        <f>O67</f>
        <v>-17.349</v>
      </c>
      <c r="P16" s="1527">
        <f t="shared" si="4"/>
        <v>-27.299999999999997</v>
      </c>
      <c r="Q16" s="1527">
        <f t="shared" si="4"/>
        <v>-34.250999999999998</v>
      </c>
      <c r="R16" s="1527">
        <f t="shared" si="4"/>
        <v>-2.8110000000000142</v>
      </c>
      <c r="S16" s="1529">
        <f>R16</f>
        <v>-2.8110000000000142</v>
      </c>
      <c r="T16" s="1529"/>
      <c r="U16" s="1527">
        <f>U67</f>
        <v>-41.207999999999998</v>
      </c>
      <c r="V16" s="1527">
        <f t="shared" si="5"/>
        <v>-47.233999999999995</v>
      </c>
      <c r="W16" s="1527">
        <f t="shared" si="5"/>
        <v>-46.228000000000002</v>
      </c>
      <c r="X16" s="1527">
        <f t="shared" si="5"/>
        <v>40.639000000000017</v>
      </c>
      <c r="Y16" s="1529">
        <f>X16</f>
        <v>40.639000000000017</v>
      </c>
      <c r="Z16" s="1529"/>
      <c r="AA16" s="1527">
        <f>AA67</f>
        <v>-57.803999999999995</v>
      </c>
      <c r="AB16" s="1527">
        <f t="shared" si="6"/>
        <v>-102.292</v>
      </c>
      <c r="AC16" s="1527">
        <f t="shared" si="6"/>
        <v>-157.494</v>
      </c>
      <c r="AD16" s="1527">
        <f t="shared" si="6"/>
        <v>-18.527999999999992</v>
      </c>
      <c r="AE16" s="1529">
        <f>AD16</f>
        <v>-18.527999999999992</v>
      </c>
      <c r="AF16" s="1529"/>
      <c r="AG16" s="1527">
        <f>AG67</f>
        <v>-39.668999999999997</v>
      </c>
      <c r="AH16" s="1527">
        <f t="shared" si="7"/>
        <v>-54.33400000000001</v>
      </c>
      <c r="AI16" s="1527">
        <f t="shared" si="7"/>
        <v>-125.14499999999998</v>
      </c>
      <c r="AJ16" s="1527">
        <f t="shared" si="7"/>
        <v>46.096000000000004</v>
      </c>
      <c r="AK16" s="1529">
        <f>AJ16</f>
        <v>46.096000000000004</v>
      </c>
      <c r="AL16" s="1529"/>
      <c r="AM16" s="1527">
        <f>AM67</f>
        <v>-58.033000000000001</v>
      </c>
      <c r="AN16" s="1527">
        <f t="shared" si="8"/>
        <v>-80.187999999999988</v>
      </c>
      <c r="AO16" s="1527">
        <f t="shared" si="8"/>
        <v>-147.857</v>
      </c>
      <c r="AP16" s="1527">
        <f t="shared" si="8"/>
        <v>144.136</v>
      </c>
      <c r="AQ16" s="1529">
        <f>AP16</f>
        <v>144.136</v>
      </c>
      <c r="AR16" s="1529"/>
      <c r="AS16" s="1527">
        <f>AS67</f>
        <v>-229.053</v>
      </c>
      <c r="AT16" s="1527">
        <f t="shared" si="9"/>
        <v>-254.69200000000001</v>
      </c>
      <c r="AU16" s="1527">
        <f t="shared" si="9"/>
        <v>236.85199999999998</v>
      </c>
      <c r="AV16" s="1527">
        <f t="shared" si="9"/>
        <v>3142.4590000000003</v>
      </c>
      <c r="AW16" s="1529">
        <f>AV16</f>
        <v>3142.4590000000003</v>
      </c>
      <c r="AX16" s="1529"/>
      <c r="AY16" s="1527">
        <f>AY67</f>
        <v>-2200.2859999999996</v>
      </c>
      <c r="AZ16" s="1527">
        <f t="shared" si="10"/>
        <v>-1892.3509999999999</v>
      </c>
      <c r="BA16" s="1527">
        <f t="shared" si="10"/>
        <v>-1620.8899999999999</v>
      </c>
      <c r="BB16" s="1527">
        <f t="shared" si="10"/>
        <v>-925</v>
      </c>
      <c r="BC16" s="1529">
        <f>BB16</f>
        <v>-925</v>
      </c>
      <c r="BD16" s="1529"/>
      <c r="BE16" s="1527">
        <f>BE67</f>
        <v>191.38300000000001</v>
      </c>
      <c r="BF16" s="1527">
        <f t="shared" si="11"/>
        <v>-11</v>
      </c>
      <c r="BG16" s="1527">
        <f t="shared" si="11"/>
        <v>227.00000000000003</v>
      </c>
      <c r="BH16" s="1527">
        <f t="shared" si="11"/>
        <v>224</v>
      </c>
      <c r="BI16" s="1529">
        <f>BH16</f>
        <v>224</v>
      </c>
      <c r="BJ16" s="1529"/>
      <c r="BK16" s="1527">
        <f>BK67</f>
        <v>-145</v>
      </c>
      <c r="BL16" s="1527">
        <f t="shared" si="12"/>
        <v>-175</v>
      </c>
      <c r="BM16" s="1527">
        <f t="shared" si="12"/>
        <v>-124</v>
      </c>
      <c r="BN16" s="1527">
        <f t="shared" si="12"/>
        <v>9</v>
      </c>
      <c r="BO16" s="1529">
        <f>BN16</f>
        <v>9</v>
      </c>
      <c r="BP16" s="1529"/>
      <c r="BQ16" s="1527">
        <f>BQ67</f>
        <v>104</v>
      </c>
      <c r="BR16" s="1527">
        <v>20</v>
      </c>
      <c r="BS16" s="1527">
        <v>45</v>
      </c>
      <c r="BT16" s="1527">
        <v>58</v>
      </c>
      <c r="BU16" s="1529">
        <f>BT16</f>
        <v>58</v>
      </c>
      <c r="BV16" s="1529"/>
      <c r="BW16" s="1529">
        <v>-11</v>
      </c>
      <c r="BX16" s="1527">
        <v>-28</v>
      </c>
      <c r="BY16" s="1527">
        <v>-117</v>
      </c>
      <c r="BZ16" s="1527">
        <v>-66</v>
      </c>
      <c r="CA16" s="1529">
        <f>BZ16</f>
        <v>-66</v>
      </c>
      <c r="CB16" s="1529"/>
      <c r="CC16" s="1527">
        <v>-46</v>
      </c>
      <c r="CD16" s="1527">
        <v>-65</v>
      </c>
      <c r="CE16" s="1527">
        <v>-115</v>
      </c>
      <c r="CF16" s="1527">
        <f>241-40+41</f>
        <v>242</v>
      </c>
      <c r="CG16" s="1529">
        <f>CF16</f>
        <v>242</v>
      </c>
      <c r="CH16" s="1529"/>
      <c r="CI16" s="1527">
        <f>-6+12+49-30+43</f>
        <v>68</v>
      </c>
      <c r="CJ16" s="1527">
        <f>5+205-159+50</f>
        <v>101</v>
      </c>
      <c r="CK16" s="1527">
        <f>-20+259-204+95</f>
        <v>130</v>
      </c>
      <c r="CL16" s="1527">
        <f>56+338-259+151+244</f>
        <v>530</v>
      </c>
      <c r="CM16" s="1536">
        <f>CL16</f>
        <v>530</v>
      </c>
      <c r="CN16" s="1529"/>
      <c r="CO16" s="1527">
        <v>24</v>
      </c>
      <c r="CP16" s="1527">
        <f>-72+29+262-187+7-2</f>
        <v>37</v>
      </c>
      <c r="CQ16" s="1527">
        <f>-130+45+492+7-64-403</f>
        <v>-53</v>
      </c>
      <c r="CR16" s="1527">
        <f>-135+60+588-454+24-66</f>
        <v>17</v>
      </c>
      <c r="CS16" s="1536">
        <f>CR16</f>
        <v>17</v>
      </c>
      <c r="CT16" s="1529"/>
      <c r="CU16" s="1527">
        <f>-53+16+101-65+4-1</f>
        <v>2</v>
      </c>
      <c r="CV16" s="1527">
        <f>-151+35+121-79+6-2</f>
        <v>-70</v>
      </c>
      <c r="CW16" s="1527">
        <f>-302+58+141-92+10</f>
        <v>-185</v>
      </c>
      <c r="CX16" s="1527">
        <f>-395+84+252-97+10-6</f>
        <v>-152</v>
      </c>
      <c r="CY16" s="1536">
        <f>CX16</f>
        <v>-152</v>
      </c>
      <c r="CZ16" s="1529"/>
      <c r="DA16" s="1569">
        <f>-75+51-30+40</f>
        <v>-14</v>
      </c>
      <c r="DB16" s="1569">
        <f>-216+71-42+56</f>
        <v>-131</v>
      </c>
      <c r="DC16" s="1569">
        <f>117-71+79-362</f>
        <v>-237</v>
      </c>
      <c r="DD16" s="1569">
        <f>-511+203-110+13</f>
        <v>-405</v>
      </c>
      <c r="DE16" s="1536">
        <f>DD16</f>
        <v>-405</v>
      </c>
      <c r="DF16" s="1529"/>
      <c r="DG16" s="1569">
        <f>-15+24-10+26</f>
        <v>25</v>
      </c>
      <c r="DH16" s="1569">
        <f>-76+142-86+24</f>
        <v>4</v>
      </c>
      <c r="DI16" s="1569">
        <f>-174+222-139+42</f>
        <v>-49</v>
      </c>
      <c r="DJ16" s="1569">
        <f>-253+325-215+68</f>
        <v>-75</v>
      </c>
      <c r="DK16" s="1536">
        <f>DJ16</f>
        <v>-75</v>
      </c>
      <c r="DL16" s="1529"/>
      <c r="DM16" s="1569">
        <f>-116+39+-24+27</f>
        <v>-74</v>
      </c>
      <c r="DN16" s="1569">
        <f>-137+94-53+53</f>
        <v>-43</v>
      </c>
      <c r="DO16" s="1569">
        <f>-200+123-71+67</f>
        <v>-81</v>
      </c>
      <c r="DP16" s="1569">
        <f>9+182+84+-97</f>
        <v>178</v>
      </c>
      <c r="DQ16" s="1536">
        <f>DP16</f>
        <v>178</v>
      </c>
      <c r="DR16" s="1529"/>
      <c r="DS16" s="1570">
        <f>64+120+-62+37</f>
        <v>159</v>
      </c>
      <c r="DT16" s="1570">
        <f>-40+179+-95+80</f>
        <v>124</v>
      </c>
      <c r="DU16" s="1570">
        <f>108+372-220+120</f>
        <v>380</v>
      </c>
      <c r="DV16" s="1570">
        <f>-117+410+-241+155</f>
        <v>207</v>
      </c>
      <c r="DW16" s="1536">
        <f>DV16</f>
        <v>207</v>
      </c>
      <c r="DX16" s="1529"/>
      <c r="DY16" s="1570">
        <f>-101+67-40+17</f>
        <v>-57</v>
      </c>
      <c r="DZ16" s="1570">
        <f>-207+129-71+51</f>
        <v>-98</v>
      </c>
      <c r="EA16" s="1570">
        <f>-307+-162+288+72</f>
        <v>-109</v>
      </c>
      <c r="EB16" s="1570">
        <f>-248+480-250+311</f>
        <v>293</v>
      </c>
      <c r="EC16" s="1536">
        <f>EB16</f>
        <v>293</v>
      </c>
      <c r="ED16" s="1529"/>
      <c r="EE16" s="1570">
        <f>-68+96-51+46</f>
        <v>23</v>
      </c>
      <c r="EF16" s="1570">
        <f>-321+136-74+103</f>
        <v>-156</v>
      </c>
      <c r="EG16" s="1570">
        <f>-486+284-167+126</f>
        <v>-243</v>
      </c>
      <c r="EH16" s="1570">
        <f>-548+396-244+327</f>
        <v>-69</v>
      </c>
      <c r="EI16" s="1536">
        <f>EH16</f>
        <v>-69</v>
      </c>
      <c r="EJ16" s="1529"/>
      <c r="EK16" s="1570">
        <f>+-30+102-25+45</f>
        <v>92</v>
      </c>
      <c r="EL16" s="1570">
        <f>-83+147-40+77</f>
        <v>101</v>
      </c>
      <c r="EM16" s="1570">
        <f>-143+116-61+188</f>
        <v>100</v>
      </c>
      <c r="EN16" s="1570">
        <f>+-105+311-124+143</f>
        <v>225</v>
      </c>
      <c r="EO16" s="1536">
        <f>EN16</f>
        <v>225</v>
      </c>
      <c r="EP16" s="1529"/>
      <c r="EQ16" s="1570">
        <f>145+215+39</f>
        <v>399</v>
      </c>
      <c r="ER16" s="1570">
        <f>103+249+85</f>
        <v>437</v>
      </c>
      <c r="ES16" s="1570">
        <f>378+96+111</f>
        <v>585</v>
      </c>
      <c r="ET16" s="1570">
        <f>-486+614+123</f>
        <v>251</v>
      </c>
      <c r="EU16" s="1536">
        <f>ET16</f>
        <v>251</v>
      </c>
      <c r="EV16" s="1529"/>
      <c r="EW16" s="1570">
        <f>159+47</f>
        <v>206</v>
      </c>
      <c r="EX16" s="1570">
        <f>95+81</f>
        <v>176</v>
      </c>
      <c r="EY16" s="1570">
        <f>+-613-63</f>
        <v>-676</v>
      </c>
      <c r="EZ16" s="1570">
        <f>'Balance Sheet'!EY13+'Balance Sheet'!EY20-'Balance Sheet'!EZ13-'Balance Sheet'!EZ20+'Cash Flow'!EY16</f>
        <v>-676</v>
      </c>
      <c r="FA16" s="1536">
        <f>EZ16</f>
        <v>-676</v>
      </c>
      <c r="FB16" s="1529"/>
      <c r="FC16" s="1570">
        <f>'Balance Sheet'!EZ13+'Balance Sheet'!EZ20-'Balance Sheet'!FC13-'Balance Sheet'!FC20</f>
        <v>0</v>
      </c>
      <c r="FD16" s="1570">
        <f>'Balance Sheet'!FC13+'Balance Sheet'!FC20-'Balance Sheet'!FD13-'Balance Sheet'!FD20+'Cash Flow'!FC16</f>
        <v>0</v>
      </c>
      <c r="FE16" s="1570">
        <f>'Balance Sheet'!FD13+'Balance Sheet'!FD20-'Balance Sheet'!FE13-'Balance Sheet'!FE20+'Cash Flow'!FD16</f>
        <v>0</v>
      </c>
      <c r="FF16" s="1570">
        <f>'Balance Sheet'!FE13+'Balance Sheet'!FE20-'Balance Sheet'!FF13-'Balance Sheet'!FF20+'Cash Flow'!FE16</f>
        <v>0</v>
      </c>
      <c r="FG16" s="1536">
        <f>FF16</f>
        <v>0</v>
      </c>
      <c r="FH16" s="1529"/>
      <c r="FI16" s="1570">
        <f>'Balance Sheet'!FF13+'Balance Sheet'!FF20-'Balance Sheet'!FI13-'Balance Sheet'!FI20</f>
        <v>0</v>
      </c>
      <c r="FJ16" s="1570">
        <f>'Balance Sheet'!FI13+'Balance Sheet'!FI20-'Balance Sheet'!FJ13-'Balance Sheet'!FJ20+'Cash Flow'!FI16</f>
        <v>0</v>
      </c>
      <c r="FK16" s="1570">
        <f>'Balance Sheet'!FJ13+'Balance Sheet'!FJ20-'Balance Sheet'!FK13-'Balance Sheet'!FK20+'Cash Flow'!FJ16</f>
        <v>0</v>
      </c>
      <c r="FL16" s="1570">
        <f>'Balance Sheet'!FK13+'Balance Sheet'!FK20-'Balance Sheet'!FL13-'Balance Sheet'!FL20+'Cash Flow'!FK16</f>
        <v>0</v>
      </c>
      <c r="FM16" s="1536">
        <f>FL16</f>
        <v>0</v>
      </c>
      <c r="FN16" s="1524"/>
      <c r="FO16" s="1524"/>
      <c r="FP16" s="1524"/>
      <c r="FQ16" s="1524"/>
      <c r="FR16" s="1524"/>
      <c r="FS16"/>
      <c r="FT16"/>
      <c r="FU16"/>
      <c r="FV16"/>
      <c r="FW16"/>
      <c r="FX16"/>
      <c r="FY16" s="1524"/>
      <c r="FZ16" s="1522"/>
      <c r="GA16" s="1522"/>
      <c r="GB16" s="1522"/>
      <c r="GC16" s="1522"/>
      <c r="GD16" s="1522"/>
      <c r="GE16" s="1522"/>
      <c r="GF16" s="1522"/>
      <c r="GG16" s="1522"/>
      <c r="GH16" s="1522"/>
      <c r="GI16" s="1522"/>
      <c r="GJ16" s="1522"/>
      <c r="GK16" s="1522"/>
      <c r="GL16" s="1522"/>
      <c r="GM16" s="1522"/>
      <c r="GN16" s="1522"/>
      <c r="GO16" s="1522"/>
      <c r="GP16" s="1522"/>
      <c r="GQ16" s="1522"/>
      <c r="GR16" s="1522"/>
      <c r="GS16" s="1522"/>
      <c r="GT16" s="1522"/>
      <c r="GU16" s="1522"/>
      <c r="GV16" s="1522"/>
      <c r="GW16" s="1522"/>
      <c r="GX16" s="1522"/>
      <c r="GY16" s="1522"/>
      <c r="GZ16" s="1522"/>
      <c r="HA16" s="1522"/>
      <c r="HB16" s="1522"/>
      <c r="HC16" s="1522"/>
      <c r="HD16" s="1522"/>
      <c r="HE16" s="1522"/>
      <c r="HF16" s="1522"/>
      <c r="HG16" s="1522"/>
      <c r="HH16" s="1522"/>
      <c r="HI16" s="1522"/>
      <c r="HJ16" s="1522"/>
      <c r="HK16" s="1522"/>
      <c r="HL16" s="1522"/>
      <c r="HM16" s="1522"/>
      <c r="HN16" s="1522"/>
      <c r="HO16" s="1522"/>
      <c r="HP16" s="1522"/>
      <c r="HQ16" s="1522"/>
      <c r="HR16" s="1522"/>
      <c r="HS16" s="1522"/>
      <c r="HT16" s="1522"/>
      <c r="HU16" s="1522"/>
      <c r="HV16" s="1522"/>
      <c r="HW16" s="1522"/>
      <c r="HX16" s="1522"/>
      <c r="HY16" s="1522"/>
      <c r="HZ16" s="1522"/>
      <c r="IA16" s="1522"/>
      <c r="IB16" s="1522"/>
      <c r="IC16" s="1522"/>
      <c r="ID16" s="1522"/>
      <c r="IE16" s="1522"/>
      <c r="IF16" s="1522"/>
      <c r="IG16" s="1522"/>
      <c r="IH16" s="1522"/>
      <c r="II16" s="1522"/>
      <c r="IJ16" s="1522"/>
      <c r="IK16" s="1522"/>
      <c r="IL16" s="1522"/>
      <c r="IM16" s="1522"/>
      <c r="IN16" s="1522"/>
      <c r="IO16" s="1522"/>
      <c r="IP16" s="1522"/>
      <c r="IQ16" s="1522"/>
      <c r="IR16" s="1522"/>
      <c r="IS16" s="1522"/>
      <c r="IT16" s="1522"/>
      <c r="IU16" s="1522"/>
      <c r="IV16" s="1522"/>
      <c r="IW16" s="1522"/>
      <c r="IX16" s="1522"/>
      <c r="IY16" s="1522"/>
      <c r="IZ16" s="1522"/>
      <c r="JA16" s="1522"/>
      <c r="JB16" s="1522"/>
      <c r="JC16" s="1522"/>
      <c r="JD16" s="1522"/>
      <c r="JE16" s="1522"/>
      <c r="JF16" s="1522"/>
      <c r="JG16" s="1522"/>
      <c r="JH16" s="1522"/>
      <c r="JI16" s="1522"/>
      <c r="JJ16" s="1522"/>
      <c r="JK16" s="1522"/>
      <c r="JL16" s="1522"/>
      <c r="JM16" s="1522"/>
      <c r="JN16" s="1522"/>
    </row>
    <row r="17" spans="1:274" s="1523" customFormat="1" ht="5.25" customHeight="1" x14ac:dyDescent="0.2">
      <c r="A17" s="1565"/>
      <c r="B17" s="1529"/>
      <c r="C17" s="1565"/>
      <c r="D17" s="1565"/>
      <c r="E17" s="1565"/>
      <c r="F17" s="1565"/>
      <c r="G17" s="1565"/>
      <c r="H17" s="1565"/>
      <c r="I17" s="1565"/>
      <c r="J17" s="1565"/>
      <c r="K17" s="1565"/>
      <c r="L17" s="1565"/>
      <c r="M17" s="1565"/>
      <c r="N17" s="1565"/>
      <c r="O17" s="1565"/>
      <c r="P17" s="1565"/>
      <c r="Q17" s="1565"/>
      <c r="R17" s="1565"/>
      <c r="S17" s="1565"/>
      <c r="T17" s="1565"/>
      <c r="U17" s="1565"/>
      <c r="V17" s="1565"/>
      <c r="W17" s="1565"/>
      <c r="X17" s="1565"/>
      <c r="Y17" s="1565"/>
      <c r="Z17" s="1565"/>
      <c r="AA17" s="1565"/>
      <c r="AB17" s="1565"/>
      <c r="AC17" s="1565"/>
      <c r="AD17" s="1565"/>
      <c r="AE17" s="1565"/>
      <c r="AF17" s="1565"/>
      <c r="AG17" s="1565"/>
      <c r="AH17" s="1565"/>
      <c r="AI17" s="1565"/>
      <c r="AJ17" s="1565"/>
      <c r="AK17" s="1565"/>
      <c r="AL17" s="1565"/>
      <c r="AM17" s="1565"/>
      <c r="AN17" s="1565"/>
      <c r="AO17" s="1565"/>
      <c r="AP17" s="1565"/>
      <c r="AQ17" s="1565"/>
      <c r="AR17" s="1565"/>
      <c r="AS17" s="1565"/>
      <c r="AT17" s="1565"/>
      <c r="AU17" s="1565"/>
      <c r="AV17" s="1565"/>
      <c r="AW17" s="1565"/>
      <c r="AX17" s="1565"/>
      <c r="AY17" s="1565"/>
      <c r="AZ17" s="1565"/>
      <c r="BA17" s="1565"/>
      <c r="BB17" s="1565"/>
      <c r="BC17" s="1565"/>
      <c r="BD17" s="1565"/>
      <c r="BE17" s="1565"/>
      <c r="BF17" s="1565"/>
      <c r="BG17" s="1565"/>
      <c r="BH17" s="1565"/>
      <c r="BI17" s="1565"/>
      <c r="BJ17" s="1565"/>
      <c r="BK17" s="1565"/>
      <c r="BL17" s="1565"/>
      <c r="BM17" s="1565"/>
      <c r="BN17" s="1565"/>
      <c r="BO17" s="1565"/>
      <c r="BP17" s="1565"/>
      <c r="BQ17" s="1565"/>
      <c r="BR17" s="1565"/>
      <c r="BS17" s="1565"/>
      <c r="BT17" s="1565"/>
      <c r="BU17" s="1565"/>
      <c r="BV17" s="1565"/>
      <c r="BW17" s="1565"/>
      <c r="BX17" s="1565"/>
      <c r="BY17" s="1565"/>
      <c r="BZ17" s="1565"/>
      <c r="CA17" s="1565"/>
      <c r="CB17" s="1565"/>
      <c r="CC17" s="1565"/>
      <c r="CD17" s="1565"/>
      <c r="CE17" s="1565"/>
      <c r="CF17" s="1565"/>
      <c r="CG17" s="1565"/>
      <c r="CH17" s="1565"/>
      <c r="CI17" s="1565"/>
      <c r="CJ17" s="1565"/>
      <c r="CK17" s="1565"/>
      <c r="CL17" s="1565"/>
      <c r="CM17" s="1566"/>
      <c r="CN17" s="1565"/>
      <c r="CO17" s="1565"/>
      <c r="CP17" s="1565"/>
      <c r="CQ17" s="1565"/>
      <c r="CR17" s="1565"/>
      <c r="CS17" s="1566"/>
      <c r="CT17" s="1565"/>
      <c r="CU17" s="1565"/>
      <c r="CV17" s="1565"/>
      <c r="CW17" s="1565"/>
      <c r="CX17" s="1565"/>
      <c r="CY17" s="1566"/>
      <c r="CZ17" s="1565"/>
      <c r="DA17" s="1565"/>
      <c r="DB17" s="1565"/>
      <c r="DC17" s="1565"/>
      <c r="DD17" s="1565"/>
      <c r="DE17" s="1566"/>
      <c r="DF17" s="1565"/>
      <c r="DG17" s="1565"/>
      <c r="DH17" s="1565"/>
      <c r="DI17" s="1565"/>
      <c r="DJ17" s="1565"/>
      <c r="DK17" s="1566"/>
      <c r="DL17" s="1565"/>
      <c r="DM17" s="1565"/>
      <c r="DN17" s="1565"/>
      <c r="DO17" s="1565"/>
      <c r="DP17" s="1565"/>
      <c r="DQ17" s="1566"/>
      <c r="DR17" s="1565"/>
      <c r="DS17" s="1565"/>
      <c r="DT17" s="1565"/>
      <c r="DU17" s="1565"/>
      <c r="DV17" s="1565"/>
      <c r="DW17" s="1566"/>
      <c r="DX17" s="1565"/>
      <c r="DY17" s="1565"/>
      <c r="DZ17" s="1565"/>
      <c r="EA17" s="1565"/>
      <c r="EB17" s="1565"/>
      <c r="EC17" s="1566"/>
      <c r="ED17" s="1565"/>
      <c r="EE17" s="1565"/>
      <c r="EF17" s="1565"/>
      <c r="EG17" s="1565"/>
      <c r="EH17" s="1565"/>
      <c r="EI17" s="1566"/>
      <c r="EJ17" s="1565"/>
      <c r="EK17" s="1565"/>
      <c r="EL17" s="1565"/>
      <c r="EM17" s="1565"/>
      <c r="EN17" s="1565"/>
      <c r="EO17" s="1566"/>
      <c r="EP17" s="1565"/>
      <c r="EQ17" s="1565"/>
      <c r="ER17" s="1565"/>
      <c r="ES17" s="1565"/>
      <c r="ET17" s="1565"/>
      <c r="EU17" s="1566"/>
      <c r="EV17" s="1565"/>
      <c r="EW17" s="1565"/>
      <c r="EX17" s="1565"/>
      <c r="EY17" s="1565"/>
      <c r="EZ17" s="1565"/>
      <c r="FA17" s="1566"/>
      <c r="FB17" s="1565"/>
      <c r="FC17" s="1565"/>
      <c r="FD17" s="1565"/>
      <c r="FE17" s="1565"/>
      <c r="FF17" s="1565"/>
      <c r="FG17" s="1566"/>
      <c r="FH17" s="1565"/>
      <c r="FI17" s="1565"/>
      <c r="FJ17" s="1565"/>
      <c r="FK17" s="1565"/>
      <c r="FL17" s="1565"/>
      <c r="FM17" s="1566"/>
      <c r="FN17" s="1567"/>
      <c r="FO17" s="1567"/>
      <c r="FP17" s="1567"/>
      <c r="FQ17" s="1567"/>
      <c r="FR17" s="1567"/>
      <c r="FS17"/>
      <c r="FT17"/>
      <c r="FU17"/>
      <c r="FV17"/>
      <c r="FW17"/>
      <c r="FX17"/>
      <c r="FY17" s="1567"/>
      <c r="FZ17" s="1522"/>
      <c r="GA17" s="1522"/>
      <c r="GB17" s="1522"/>
      <c r="GC17" s="1522"/>
      <c r="GD17" s="1522"/>
      <c r="GE17" s="1522"/>
      <c r="GF17" s="1522"/>
      <c r="GG17" s="1522"/>
      <c r="GH17" s="1522"/>
      <c r="GI17" s="1522"/>
      <c r="GJ17" s="1522"/>
      <c r="GK17" s="1522"/>
      <c r="GL17" s="1522"/>
      <c r="GM17" s="1522"/>
      <c r="GN17" s="1522"/>
      <c r="GO17" s="1522"/>
      <c r="GP17" s="1522"/>
      <c r="GQ17" s="1522"/>
      <c r="GR17" s="1522"/>
      <c r="GS17" s="1522"/>
      <c r="GT17" s="1522"/>
      <c r="GU17" s="1522"/>
      <c r="GV17" s="1522"/>
      <c r="GW17" s="1522"/>
      <c r="GX17" s="1522"/>
      <c r="GY17" s="1522"/>
      <c r="GZ17" s="1522"/>
      <c r="HA17" s="1522"/>
      <c r="HB17" s="1522"/>
      <c r="HC17" s="1522"/>
      <c r="HD17" s="1522"/>
      <c r="HE17" s="1522"/>
      <c r="HF17" s="1522"/>
      <c r="HG17" s="1522"/>
      <c r="HH17" s="1522"/>
      <c r="HI17" s="1522"/>
      <c r="HJ17" s="1522"/>
      <c r="HK17" s="1522"/>
      <c r="HL17" s="1522"/>
      <c r="HM17" s="1522"/>
      <c r="HN17" s="1522"/>
      <c r="HO17" s="1522"/>
      <c r="HP17" s="1522"/>
      <c r="HQ17" s="1522"/>
      <c r="HR17" s="1522"/>
      <c r="HS17" s="1522"/>
      <c r="HT17" s="1522"/>
      <c r="HU17" s="1522"/>
      <c r="HV17" s="1522"/>
      <c r="HW17" s="1522"/>
      <c r="HX17" s="1522"/>
      <c r="HY17" s="1522"/>
      <c r="HZ17" s="1522"/>
      <c r="IA17" s="1522"/>
      <c r="IB17" s="1522"/>
      <c r="IC17" s="1522"/>
      <c r="ID17" s="1522"/>
      <c r="IE17" s="1522"/>
      <c r="IF17" s="1522"/>
      <c r="IG17" s="1522"/>
      <c r="IH17" s="1522"/>
      <c r="II17" s="1522"/>
      <c r="IJ17" s="1522"/>
      <c r="IK17" s="1522"/>
      <c r="IL17" s="1522"/>
      <c r="IM17" s="1522"/>
      <c r="IN17" s="1522"/>
      <c r="IO17" s="1522"/>
      <c r="IP17" s="1522"/>
      <c r="IQ17" s="1522"/>
      <c r="IR17" s="1522"/>
      <c r="IS17" s="1522"/>
      <c r="IT17" s="1522"/>
      <c r="IU17" s="1522"/>
      <c r="IV17" s="1522"/>
      <c r="IW17" s="1522"/>
      <c r="IX17" s="1522"/>
      <c r="IY17" s="1522"/>
      <c r="IZ17" s="1522"/>
      <c r="JA17" s="1522"/>
      <c r="JB17" s="1522"/>
      <c r="JC17" s="1522"/>
      <c r="JD17" s="1522"/>
      <c r="JE17" s="1522"/>
      <c r="JF17" s="1522"/>
      <c r="JG17" s="1522"/>
      <c r="JH17" s="1522"/>
      <c r="JI17" s="1522"/>
      <c r="JJ17" s="1522"/>
      <c r="JK17" s="1522"/>
      <c r="JL17" s="1522"/>
      <c r="JM17" s="1522"/>
      <c r="JN17" s="1522"/>
    </row>
    <row r="18" spans="1:274" s="1523" customFormat="1" ht="10.5" customHeight="1" x14ac:dyDescent="0.2">
      <c r="A18" s="1540" t="s">
        <v>766</v>
      </c>
      <c r="B18" s="1529"/>
      <c r="C18" s="1527"/>
      <c r="D18" s="1527"/>
      <c r="E18" s="1527"/>
      <c r="F18" s="1527"/>
      <c r="G18" s="1527"/>
      <c r="H18" s="1527"/>
      <c r="I18" s="1527"/>
      <c r="J18" s="1527"/>
      <c r="K18" s="1527"/>
      <c r="L18" s="1527"/>
      <c r="M18" s="1527"/>
      <c r="N18" s="1528"/>
      <c r="O18" s="1527"/>
      <c r="P18" s="1527"/>
      <c r="Q18" s="1527"/>
      <c r="R18" s="1527"/>
      <c r="S18" s="1529"/>
      <c r="T18" s="1528"/>
      <c r="U18" s="1527"/>
      <c r="V18" s="1527"/>
      <c r="W18" s="1527"/>
      <c r="X18" s="1527"/>
      <c r="Y18" s="1529"/>
      <c r="Z18" s="1528"/>
      <c r="AA18" s="1527"/>
      <c r="AB18" s="1527"/>
      <c r="AC18" s="1527"/>
      <c r="AD18" s="1527"/>
      <c r="AE18" s="1529"/>
      <c r="AF18" s="1528"/>
      <c r="AG18" s="1527"/>
      <c r="AH18" s="1527"/>
      <c r="AI18" s="1527"/>
      <c r="AJ18" s="1527"/>
      <c r="AK18" s="1529"/>
      <c r="AL18" s="1528"/>
      <c r="AM18" s="1527"/>
      <c r="AN18" s="1527"/>
      <c r="AO18" s="1527"/>
      <c r="AP18" s="1527"/>
      <c r="AQ18" s="1529"/>
      <c r="AR18" s="1528"/>
      <c r="AS18" s="1527"/>
      <c r="AT18" s="1527"/>
      <c r="AU18" s="1527"/>
      <c r="AV18" s="1527"/>
      <c r="AW18" s="1529"/>
      <c r="AX18" s="1528"/>
      <c r="AY18" s="1527"/>
      <c r="AZ18" s="1527"/>
      <c r="BA18" s="1527"/>
      <c r="BB18" s="1527"/>
      <c r="BC18" s="1529"/>
      <c r="BD18" s="1528"/>
      <c r="BE18" s="1527"/>
      <c r="BF18" s="1527"/>
      <c r="BG18" s="1527"/>
      <c r="BH18" s="1527"/>
      <c r="BI18" s="1529"/>
      <c r="BJ18" s="1528"/>
      <c r="BK18" s="1527"/>
      <c r="BL18" s="1527"/>
      <c r="BM18" s="1527"/>
      <c r="BN18" s="1527"/>
      <c r="BO18" s="1529"/>
      <c r="BP18" s="1528"/>
      <c r="BQ18" s="1527"/>
      <c r="BR18" s="1527"/>
      <c r="BS18" s="1527"/>
      <c r="BT18" s="1527"/>
      <c r="BU18" s="1529"/>
      <c r="BV18" s="1528"/>
      <c r="BW18" s="1529"/>
      <c r="BX18" s="1527"/>
      <c r="BY18" s="1527"/>
      <c r="BZ18" s="1527"/>
      <c r="CA18" s="1529"/>
      <c r="CB18" s="1528"/>
      <c r="CC18" s="1527"/>
      <c r="CD18" s="1527"/>
      <c r="CE18" s="1527"/>
      <c r="CF18" s="1527"/>
      <c r="CG18" s="1529"/>
      <c r="CH18" s="1528"/>
      <c r="CI18" s="1527"/>
      <c r="CJ18" s="1527"/>
      <c r="CK18" s="1527"/>
      <c r="CL18" s="1527"/>
      <c r="CM18" s="1536"/>
      <c r="CN18" s="1528"/>
      <c r="CO18" s="1527"/>
      <c r="CP18" s="1527"/>
      <c r="CQ18" s="1527"/>
      <c r="CR18" s="1527"/>
      <c r="CS18" s="1536"/>
      <c r="CT18" s="1528"/>
      <c r="CU18" s="1527"/>
      <c r="CV18" s="1527"/>
      <c r="CW18" s="1527"/>
      <c r="CX18" s="1527"/>
      <c r="CY18" s="1536"/>
      <c r="CZ18" s="1528"/>
      <c r="DA18" s="1527"/>
      <c r="DB18" s="1527"/>
      <c r="DC18" s="1527"/>
      <c r="DD18" s="1527"/>
      <c r="DE18" s="1536"/>
      <c r="DF18" s="1528"/>
      <c r="DG18" s="1527"/>
      <c r="DH18" s="1527"/>
      <c r="DI18" s="1527"/>
      <c r="DJ18" s="1527"/>
      <c r="DK18" s="1536"/>
      <c r="DL18" s="1528"/>
      <c r="DM18" s="1527"/>
      <c r="DN18" s="1527"/>
      <c r="DO18" s="1527"/>
      <c r="DP18" s="1527"/>
      <c r="DQ18" s="1536"/>
      <c r="DR18" s="1528"/>
      <c r="DS18" s="1527"/>
      <c r="DT18" s="1527"/>
      <c r="DU18" s="1527"/>
      <c r="DV18" s="1527"/>
      <c r="DW18" s="1536"/>
      <c r="DX18" s="1528"/>
      <c r="DY18" s="1527"/>
      <c r="DZ18" s="1527"/>
      <c r="EA18" s="1527"/>
      <c r="EB18" s="1527"/>
      <c r="EC18" s="1536"/>
      <c r="ED18" s="1528"/>
      <c r="EE18" s="1527"/>
      <c r="EF18" s="1527"/>
      <c r="EG18" s="1527"/>
      <c r="EH18" s="1527"/>
      <c r="EI18" s="1536"/>
      <c r="EJ18" s="1528"/>
      <c r="EK18" s="1527"/>
      <c r="EL18" s="1527"/>
      <c r="EM18" s="1527"/>
      <c r="EN18" s="1527"/>
      <c r="EO18" s="1536"/>
      <c r="EP18" s="1528"/>
      <c r="EQ18" s="1527"/>
      <c r="ER18" s="1527"/>
      <c r="ES18" s="1527"/>
      <c r="ET18" s="1527"/>
      <c r="EU18" s="1536"/>
      <c r="EV18" s="1528"/>
      <c r="EW18" s="1527"/>
      <c r="EX18" s="1527"/>
      <c r="EY18" s="1527"/>
      <c r="EZ18" s="1527"/>
      <c r="FA18" s="1536"/>
      <c r="FB18" s="1528"/>
      <c r="FC18" s="1527"/>
      <c r="FD18" s="1527"/>
      <c r="FE18" s="1527"/>
      <c r="FF18" s="1527"/>
      <c r="FG18" s="1536"/>
      <c r="FH18" s="1528"/>
      <c r="FI18" s="1527"/>
      <c r="FJ18" s="1527"/>
      <c r="FK18" s="1527"/>
      <c r="FL18" s="1527"/>
      <c r="FM18" s="1536"/>
      <c r="FN18" s="1526"/>
      <c r="FO18" s="1526"/>
      <c r="FP18" s="1524"/>
      <c r="FQ18" s="1524"/>
      <c r="FR18" s="1524"/>
      <c r="FS18"/>
      <c r="FT18"/>
      <c r="FU18"/>
      <c r="FV18"/>
      <c r="FW18"/>
      <c r="FX18"/>
      <c r="FY18" s="1524"/>
      <c r="FZ18" s="1522"/>
      <c r="GA18" s="1522"/>
      <c r="GB18" s="1522"/>
      <c r="GC18" s="1522"/>
      <c r="GD18" s="1522"/>
      <c r="GE18" s="1522"/>
      <c r="GF18" s="1522"/>
      <c r="GG18" s="1522"/>
      <c r="GH18" s="1522"/>
      <c r="GI18" s="1522"/>
      <c r="GJ18" s="1522"/>
      <c r="GK18" s="1522"/>
      <c r="GL18" s="1522"/>
      <c r="GM18" s="1522"/>
      <c r="GN18" s="1522"/>
      <c r="GO18" s="1522"/>
      <c r="GP18" s="1522"/>
      <c r="GQ18" s="1522"/>
      <c r="GR18" s="1522"/>
      <c r="GS18" s="1522"/>
      <c r="GT18" s="1522"/>
      <c r="GU18" s="1522"/>
      <c r="GV18" s="1522"/>
      <c r="GW18" s="1522"/>
      <c r="GX18" s="1522"/>
      <c r="GY18" s="1522"/>
      <c r="GZ18" s="1522"/>
      <c r="HA18" s="1522"/>
      <c r="HB18" s="1522"/>
      <c r="HC18" s="1522"/>
      <c r="HD18" s="1522"/>
      <c r="HE18" s="1522"/>
      <c r="HF18" s="1522"/>
      <c r="HG18" s="1522"/>
      <c r="HH18" s="1522"/>
      <c r="HI18" s="1522"/>
      <c r="HJ18" s="1522"/>
      <c r="HK18" s="1522"/>
      <c r="HL18" s="1522"/>
      <c r="HM18" s="1522"/>
      <c r="HN18" s="1522"/>
      <c r="HO18" s="1522"/>
      <c r="HP18" s="1522"/>
      <c r="HQ18" s="1522"/>
      <c r="HR18" s="1522"/>
      <c r="HS18" s="1522"/>
      <c r="HT18" s="1522"/>
      <c r="HU18" s="1522"/>
      <c r="HV18" s="1522"/>
      <c r="HW18" s="1522"/>
      <c r="HX18" s="1522"/>
      <c r="HY18" s="1522"/>
      <c r="HZ18" s="1522"/>
      <c r="IA18" s="1522"/>
      <c r="IB18" s="1522"/>
      <c r="IC18" s="1522"/>
      <c r="ID18" s="1522"/>
      <c r="IE18" s="1522"/>
      <c r="IF18" s="1522"/>
      <c r="IG18" s="1522"/>
      <c r="IH18" s="1522"/>
      <c r="II18" s="1522"/>
      <c r="IJ18" s="1522"/>
      <c r="IK18" s="1522"/>
      <c r="IL18" s="1522"/>
      <c r="IM18" s="1522"/>
      <c r="IN18" s="1522"/>
      <c r="IO18" s="1522"/>
      <c r="IP18" s="1522"/>
      <c r="IQ18" s="1522"/>
      <c r="IR18" s="1522"/>
      <c r="IS18" s="1522"/>
      <c r="IT18" s="1522"/>
      <c r="IU18" s="1522"/>
      <c r="IV18" s="1522"/>
      <c r="IW18" s="1522"/>
      <c r="IX18" s="1522"/>
      <c r="IY18" s="1522"/>
      <c r="IZ18" s="1522"/>
      <c r="JA18" s="1522"/>
      <c r="JB18" s="1522"/>
      <c r="JC18" s="1522"/>
      <c r="JD18" s="1522"/>
      <c r="JE18" s="1522"/>
      <c r="JF18" s="1522"/>
      <c r="JG18" s="1522"/>
      <c r="JH18" s="1522"/>
      <c r="JI18" s="1522"/>
      <c r="JJ18" s="1522"/>
      <c r="JK18" s="1522"/>
      <c r="JL18" s="1522"/>
      <c r="JM18" s="1522"/>
      <c r="JN18" s="1522"/>
    </row>
    <row r="19" spans="1:274" s="1523" customFormat="1" ht="10.5" customHeight="1" x14ac:dyDescent="0.2">
      <c r="A19" s="1529" t="s">
        <v>399</v>
      </c>
      <c r="B19" s="1529"/>
      <c r="C19" s="1527">
        <f t="shared" ref="C19:M19" si="15">C70</f>
        <v>0</v>
      </c>
      <c r="D19" s="1527">
        <f t="shared" si="15"/>
        <v>0</v>
      </c>
      <c r="E19" s="1527">
        <f t="shared" si="15"/>
        <v>0</v>
      </c>
      <c r="F19" s="1527">
        <f t="shared" si="15"/>
        <v>-39.792999999999999</v>
      </c>
      <c r="G19" s="1527">
        <f t="shared" si="15"/>
        <v>-69.938000000000002</v>
      </c>
      <c r="H19" s="1527">
        <f t="shared" si="15"/>
        <v>-140.68899999999999</v>
      </c>
      <c r="I19" s="1527">
        <f t="shared" si="15"/>
        <v>-168.53800000000001</v>
      </c>
      <c r="J19" s="1527">
        <f t="shared" si="15"/>
        <v>27.299999999999997</v>
      </c>
      <c r="K19" s="1527">
        <f t="shared" si="15"/>
        <v>28.542999999999999</v>
      </c>
      <c r="L19" s="1527">
        <f t="shared" si="15"/>
        <v>-13.126999999999999</v>
      </c>
      <c r="M19" s="1527">
        <f t="shared" si="15"/>
        <v>-113.67200000000001</v>
      </c>
      <c r="N19" s="1529"/>
      <c r="O19" s="1527">
        <f>O70</f>
        <v>41.570999999999998</v>
      </c>
      <c r="P19" s="1527">
        <f>P70+O19</f>
        <v>-67.893000000000001</v>
      </c>
      <c r="Q19" s="1527">
        <f>Q70+P19</f>
        <v>-83.728999999999999</v>
      </c>
      <c r="R19" s="1527">
        <f>R70+Q19</f>
        <v>-293.52699999999999</v>
      </c>
      <c r="S19" s="1529">
        <f t="shared" ref="S19:S25" si="16">R19</f>
        <v>-293.52699999999999</v>
      </c>
      <c r="T19" s="1529"/>
      <c r="U19" s="1527">
        <f>U70</f>
        <v>159.488</v>
      </c>
      <c r="V19" s="1527">
        <f>V70+U19</f>
        <v>-8.5310000000000059</v>
      </c>
      <c r="W19" s="1527">
        <f>W70+V19</f>
        <v>-23.895999999999987</v>
      </c>
      <c r="X19" s="1527">
        <f>X70+W19</f>
        <v>-385.36799999999994</v>
      </c>
      <c r="Y19" s="1529">
        <f t="shared" ref="Y19:Y25" si="17">X19</f>
        <v>-385.36799999999994</v>
      </c>
      <c r="Z19" s="1529"/>
      <c r="AA19" s="1527">
        <f>AA70</f>
        <v>224.67100000000002</v>
      </c>
      <c r="AB19" s="1527">
        <f>AB70+AA19</f>
        <v>26.311000000000007</v>
      </c>
      <c r="AC19" s="1527">
        <f>AC70+AB19</f>
        <v>-37.627999999999986</v>
      </c>
      <c r="AD19" s="1527">
        <f>AD70+AC19</f>
        <v>-535.3900000000001</v>
      </c>
      <c r="AE19" s="1529">
        <f t="shared" ref="AE19:AE25" si="18">AD19</f>
        <v>-535.3900000000001</v>
      </c>
      <c r="AF19" s="1529"/>
      <c r="AG19" s="1527">
        <f>AG70</f>
        <v>341.5</v>
      </c>
      <c r="AH19" s="1527">
        <f>AH70+AG19</f>
        <v>202.69899999999998</v>
      </c>
      <c r="AI19" s="1527">
        <f>AI70+AH19</f>
        <v>183.58700000000002</v>
      </c>
      <c r="AJ19" s="1527">
        <f>AJ70+AI19</f>
        <v>-358.07900000000006</v>
      </c>
      <c r="AK19" s="1529">
        <f t="shared" ref="AK19:AK25" si="19">AJ19</f>
        <v>-358.07900000000006</v>
      </c>
      <c r="AL19" s="1529"/>
      <c r="AM19" s="1527">
        <f>AM70</f>
        <v>494.80199999999996</v>
      </c>
      <c r="AN19" s="1527">
        <f>AN70+AM19</f>
        <v>264.55899999999997</v>
      </c>
      <c r="AO19" s="1527">
        <f>AO70+AN19</f>
        <v>292.77600000000001</v>
      </c>
      <c r="AP19" s="1527">
        <f>AP70+AO19</f>
        <v>-389.44200000000006</v>
      </c>
      <c r="AQ19" s="1529">
        <f t="shared" ref="AQ19:AQ25" si="20">AP19</f>
        <v>-389.44200000000006</v>
      </c>
      <c r="AR19" s="1529"/>
      <c r="AS19" s="1527">
        <f>AS70</f>
        <v>744.78059999999994</v>
      </c>
      <c r="AT19" s="1527">
        <f>AT70+AS19</f>
        <v>506.28699999999998</v>
      </c>
      <c r="AU19" s="1527">
        <f>AU70+AT19</f>
        <v>404.05099999999999</v>
      </c>
      <c r="AV19" s="1527">
        <f>AV70+AU19</f>
        <v>-286.20099999999996</v>
      </c>
      <c r="AW19" s="1529">
        <f t="shared" ref="AW19:AW25" si="21">AV19</f>
        <v>-286.20099999999996</v>
      </c>
      <c r="AX19" s="1529"/>
      <c r="AY19" s="1527">
        <f>AY70</f>
        <v>835.34100000000001</v>
      </c>
      <c r="AZ19" s="1527">
        <f>AZ70+AY19</f>
        <v>568.90600000000006</v>
      </c>
      <c r="BA19" s="1527">
        <f>BA70+AZ19</f>
        <v>548.40800000000002</v>
      </c>
      <c r="BB19" s="1527">
        <f>BB70+BA19</f>
        <v>57</v>
      </c>
      <c r="BC19" s="1529">
        <f t="shared" ref="BC19:BC25" si="22">BB19</f>
        <v>57</v>
      </c>
      <c r="BD19" s="1529"/>
      <c r="BE19" s="1527">
        <f>BE70</f>
        <v>678.93299999999999</v>
      </c>
      <c r="BF19" s="1527">
        <f>BF70+BE19</f>
        <v>616</v>
      </c>
      <c r="BG19" s="1527">
        <f>BG70+BF19</f>
        <v>789</v>
      </c>
      <c r="BH19" s="1527">
        <f>BH70+BG19</f>
        <v>425</v>
      </c>
      <c r="BI19" s="1529">
        <f t="shared" ref="BI19:BI25" si="23">BH19</f>
        <v>425</v>
      </c>
      <c r="BJ19" s="1529"/>
      <c r="BK19" s="1527">
        <f>BK70</f>
        <v>688</v>
      </c>
      <c r="BL19" s="1527">
        <f>BL70+BK19</f>
        <v>528</v>
      </c>
      <c r="BM19" s="1527">
        <f>BM70+BL19</f>
        <v>665</v>
      </c>
      <c r="BN19" s="1527">
        <f>BN70+BM19</f>
        <v>247</v>
      </c>
      <c r="BO19" s="1529">
        <f t="shared" ref="BO19:BO25" si="24">BN19</f>
        <v>247</v>
      </c>
      <c r="BP19" s="1529"/>
      <c r="BQ19" s="1527">
        <f>BQ70</f>
        <v>544</v>
      </c>
      <c r="BR19" s="1527">
        <v>389</v>
      </c>
      <c r="BS19" s="1527">
        <v>432</v>
      </c>
      <c r="BT19" s="1527">
        <f>173-245</f>
        <v>-72</v>
      </c>
      <c r="BU19" s="1529">
        <f t="shared" ref="BU19:BU25" si="25">BT19</f>
        <v>-72</v>
      </c>
      <c r="BV19" s="1529"/>
      <c r="BW19" s="1529">
        <v>747</v>
      </c>
      <c r="BX19" s="1527">
        <v>527</v>
      </c>
      <c r="BY19" s="1527">
        <v>824</v>
      </c>
      <c r="BZ19" s="1527">
        <f>197-88</f>
        <v>109</v>
      </c>
      <c r="CA19" s="1529">
        <f t="shared" ref="CA19:CA25" si="26">BZ19</f>
        <v>109</v>
      </c>
      <c r="CB19" s="1529"/>
      <c r="CC19" s="1527">
        <v>913</v>
      </c>
      <c r="CD19" s="1527">
        <v>558</v>
      </c>
      <c r="CE19" s="1527">
        <v>670</v>
      </c>
      <c r="CF19" s="1527">
        <v>-355</v>
      </c>
      <c r="CG19" s="1529">
        <f t="shared" ref="CG19:CG25" si="27">CF19</f>
        <v>-355</v>
      </c>
      <c r="CH19" s="1529"/>
      <c r="CI19" s="1527">
        <v>1040</v>
      </c>
      <c r="CJ19" s="1527">
        <v>681</v>
      </c>
      <c r="CK19" s="1527">
        <v>501</v>
      </c>
      <c r="CL19" s="1527">
        <v>-723</v>
      </c>
      <c r="CM19" s="1536">
        <f t="shared" ref="CM19:CM25" si="28">CL19</f>
        <v>-723</v>
      </c>
      <c r="CN19" s="1529"/>
      <c r="CO19" s="1527">
        <v>1381</v>
      </c>
      <c r="CP19" s="1527">
        <v>937</v>
      </c>
      <c r="CQ19" s="1527">
        <v>980</v>
      </c>
      <c r="CR19" s="1527">
        <v>-661</v>
      </c>
      <c r="CS19" s="1536">
        <f t="shared" ref="CS19:CS25" si="29">CR19</f>
        <v>-661</v>
      </c>
      <c r="CT19" s="1529"/>
      <c r="CU19" s="1527">
        <v>1812</v>
      </c>
      <c r="CV19" s="1527">
        <v>1642</v>
      </c>
      <c r="CW19" s="1527">
        <v>1848</v>
      </c>
      <c r="CX19" s="1527">
        <v>454</v>
      </c>
      <c r="CY19" s="1536">
        <f t="shared" ref="CY19:CY25" si="30">CX19</f>
        <v>454</v>
      </c>
      <c r="CZ19" s="1529"/>
      <c r="DA19" s="1527">
        <v>1870</v>
      </c>
      <c r="DB19" s="1527">
        <v>1437</v>
      </c>
      <c r="DC19" s="1564">
        <v>1614</v>
      </c>
      <c r="DD19" s="1527">
        <v>-219</v>
      </c>
      <c r="DE19" s="1536">
        <f t="shared" ref="DE19:DE25" si="31">DD19</f>
        <v>-219</v>
      </c>
      <c r="DF19" s="1529"/>
      <c r="DG19" s="1527">
        <v>1942</v>
      </c>
      <c r="DH19" s="1527">
        <v>1343</v>
      </c>
      <c r="DI19" s="1527">
        <v>1377</v>
      </c>
      <c r="DJ19" s="1527">
        <v>-565</v>
      </c>
      <c r="DK19" s="1536">
        <f t="shared" ref="DK19:DK25" si="32">DJ19</f>
        <v>-565</v>
      </c>
      <c r="DL19" s="1529"/>
      <c r="DM19" s="1527">
        <v>2483</v>
      </c>
      <c r="DN19" s="1527">
        <v>2128</v>
      </c>
      <c r="DO19" s="1527">
        <v>2028</v>
      </c>
      <c r="DP19" s="1527">
        <v>84</v>
      </c>
      <c r="DQ19" s="1536">
        <f t="shared" ref="DQ19:DQ25" si="33">DP19</f>
        <v>84</v>
      </c>
      <c r="DR19" s="1529"/>
      <c r="DS19" s="1527">
        <v>2630</v>
      </c>
      <c r="DT19" s="1527">
        <v>2038</v>
      </c>
      <c r="DU19" s="1527">
        <v>2269</v>
      </c>
      <c r="DV19" s="1527">
        <v>385</v>
      </c>
      <c r="DW19" s="1536">
        <f t="shared" ref="DW19:DW25" si="34">DV19</f>
        <v>385</v>
      </c>
      <c r="DX19" s="1529"/>
      <c r="DY19" s="1527">
        <v>2707</v>
      </c>
      <c r="DZ19" s="1527">
        <v>1989</v>
      </c>
      <c r="EA19" s="1527">
        <v>2006</v>
      </c>
      <c r="EB19" s="1527">
        <v>146</v>
      </c>
      <c r="EC19" s="1536">
        <f t="shared" ref="EC19:EC25" si="35">EB19</f>
        <v>146</v>
      </c>
      <c r="ED19" s="1529"/>
      <c r="EE19" s="1527">
        <v>2506</v>
      </c>
      <c r="EF19" s="1527">
        <v>1813</v>
      </c>
      <c r="EG19" s="1527">
        <v>1867</v>
      </c>
      <c r="EH19" s="1527">
        <v>264</v>
      </c>
      <c r="EI19" s="1536">
        <f t="shared" ref="EI19:EI25" si="36">EH19</f>
        <v>264</v>
      </c>
      <c r="EJ19" s="1529"/>
      <c r="EK19" s="1527">
        <v>2150</v>
      </c>
      <c r="EL19" s="1527">
        <v>1614</v>
      </c>
      <c r="EM19" s="1527">
        <v>1746</v>
      </c>
      <c r="EN19" s="1527">
        <v>226</v>
      </c>
      <c r="EO19" s="1536">
        <f t="shared" ref="EO19:EO25" si="37">EN19</f>
        <v>226</v>
      </c>
      <c r="EP19" s="1529"/>
      <c r="EQ19" s="1527">
        <v>1993</v>
      </c>
      <c r="ER19" s="1527">
        <v>1680</v>
      </c>
      <c r="ES19" s="1527">
        <v>1673</v>
      </c>
      <c r="ET19" s="1527">
        <v>147</v>
      </c>
      <c r="EU19" s="1536">
        <f t="shared" ref="EU19:EU25" si="38">ET19</f>
        <v>147</v>
      </c>
      <c r="EV19" s="1529"/>
      <c r="EW19" s="1527">
        <v>1752</v>
      </c>
      <c r="EX19" s="1527">
        <v>1529</v>
      </c>
      <c r="EY19" s="1527">
        <v>1484</v>
      </c>
      <c r="EZ19" s="1527">
        <f>'Balance Sheet'!EY10-'Balance Sheet'!EZ10+EY19</f>
        <v>-158.79081778873206</v>
      </c>
      <c r="FA19" s="1536">
        <f t="shared" ref="FA19:FA25" si="39">EZ19</f>
        <v>-158.79081778873206</v>
      </c>
      <c r="FB19" s="1529"/>
      <c r="FC19" s="1527">
        <f>'Balance Sheet'!EZ10-'Balance Sheet'!FC10</f>
        <v>1716.1640465725259</v>
      </c>
      <c r="FD19" s="1527">
        <f>'Balance Sheet'!FC10-'Balance Sheet'!FD10+FC19</f>
        <v>1497.1034023986263</v>
      </c>
      <c r="FE19" s="1527">
        <f>'Balance Sheet'!FD10-'Balance Sheet'!FE10+FD19</f>
        <v>1404.5964964444629</v>
      </c>
      <c r="FF19" s="1527">
        <f>'Balance Sheet'!FE10-'Balance Sheet'!FF10+FE19</f>
        <v>-232.65132910588909</v>
      </c>
      <c r="FG19" s="1536">
        <f t="shared" ref="FG19:FG25" si="40">FF19</f>
        <v>-232.65132910588909</v>
      </c>
      <c r="FH19" s="1529"/>
      <c r="FI19" s="1527">
        <f>'Balance Sheet'!FF10-'Balance Sheet'!FI10</f>
        <v>1681.9330927948158</v>
      </c>
      <c r="FJ19" s="1527">
        <f>'Balance Sheet'!FI10-'Balance Sheet'!FJ10+FI19</f>
        <v>1468.4568243307431</v>
      </c>
      <c r="FK19" s="1527">
        <f>'Balance Sheet'!FJ10-'Balance Sheet'!FK10+FJ19</f>
        <v>1378.4092660497272</v>
      </c>
      <c r="FL19" s="1527">
        <f>'Balance Sheet'!FK10-'Balance Sheet'!FL10+FK19</f>
        <v>-268.01085548806441</v>
      </c>
      <c r="FM19" s="1536">
        <f t="shared" ref="FM19:FM25" si="41">FL19</f>
        <v>-268.01085548806441</v>
      </c>
      <c r="FN19" s="1524"/>
      <c r="FO19" s="1524"/>
      <c r="FP19" s="1524"/>
      <c r="FQ19" s="1524"/>
      <c r="FR19" s="1524"/>
      <c r="FS19"/>
      <c r="FT19"/>
      <c r="FU19"/>
      <c r="FV19"/>
      <c r="FW19"/>
      <c r="FX19"/>
      <c r="FY19" s="1524"/>
      <c r="FZ19" s="1522"/>
      <c r="GA19" s="1522"/>
      <c r="GB19" s="1522"/>
      <c r="GC19" s="1522"/>
      <c r="GD19" s="1522"/>
      <c r="GE19" s="1522"/>
      <c r="GF19" s="1522"/>
      <c r="GG19" s="1522"/>
      <c r="GH19" s="1522"/>
      <c r="GI19" s="1522"/>
      <c r="GJ19" s="1522"/>
      <c r="GK19" s="1522"/>
      <c r="GL19" s="1522"/>
      <c r="GM19" s="1522"/>
      <c r="GN19" s="1522"/>
      <c r="GO19" s="1522"/>
      <c r="GP19" s="1522"/>
      <c r="GQ19" s="1522"/>
      <c r="GR19" s="1522"/>
      <c r="GS19" s="1522"/>
      <c r="GT19" s="1522"/>
      <c r="GU19" s="1522"/>
      <c r="GV19" s="1522"/>
      <c r="GW19" s="1522"/>
      <c r="GX19" s="1522"/>
      <c r="GY19" s="1522"/>
      <c r="GZ19" s="1522"/>
      <c r="HA19" s="1522"/>
      <c r="HB19" s="1522"/>
      <c r="HC19" s="1522"/>
      <c r="HD19" s="1522"/>
      <c r="HE19" s="1522"/>
      <c r="HF19" s="1522"/>
      <c r="HG19" s="1522"/>
      <c r="HH19" s="1522"/>
      <c r="HI19" s="1522"/>
      <c r="HJ19" s="1522"/>
      <c r="HK19" s="1522"/>
      <c r="HL19" s="1522"/>
      <c r="HM19" s="1522"/>
      <c r="HN19" s="1522"/>
      <c r="HO19" s="1522"/>
      <c r="HP19" s="1522"/>
      <c r="HQ19" s="1522"/>
      <c r="HR19" s="1522"/>
      <c r="HS19" s="1522"/>
      <c r="HT19" s="1522"/>
      <c r="HU19" s="1522"/>
      <c r="HV19" s="1522"/>
      <c r="HW19" s="1522"/>
      <c r="HX19" s="1522"/>
      <c r="HY19" s="1522"/>
      <c r="HZ19" s="1522"/>
      <c r="IA19" s="1522"/>
      <c r="IB19" s="1522"/>
      <c r="IC19" s="1522"/>
      <c r="ID19" s="1522"/>
      <c r="IE19" s="1522"/>
      <c r="IF19" s="1522"/>
      <c r="IG19" s="1522"/>
      <c r="IH19" s="1522"/>
      <c r="II19" s="1522"/>
      <c r="IJ19" s="1522"/>
      <c r="IK19" s="1522"/>
      <c r="IL19" s="1522"/>
      <c r="IM19" s="1522"/>
      <c r="IN19" s="1522"/>
      <c r="IO19" s="1522"/>
      <c r="IP19" s="1522"/>
      <c r="IQ19" s="1522"/>
      <c r="IR19" s="1522"/>
      <c r="IS19" s="1522"/>
      <c r="IT19" s="1522"/>
      <c r="IU19" s="1522"/>
      <c r="IV19" s="1522"/>
      <c r="IW19" s="1522"/>
      <c r="IX19" s="1522"/>
      <c r="IY19" s="1522"/>
      <c r="IZ19" s="1522"/>
      <c r="JA19" s="1522"/>
      <c r="JB19" s="1522"/>
      <c r="JC19" s="1522"/>
      <c r="JD19" s="1522"/>
      <c r="JE19" s="1522"/>
      <c r="JF19" s="1522"/>
      <c r="JG19" s="1522"/>
      <c r="JH19" s="1522"/>
      <c r="JI19" s="1522"/>
      <c r="JJ19" s="1522"/>
      <c r="JK19" s="1522"/>
      <c r="JL19" s="1522"/>
      <c r="JM19" s="1522"/>
      <c r="JN19" s="1522"/>
    </row>
    <row r="20" spans="1:274" s="1523" customFormat="1" ht="10.5" customHeight="1" x14ac:dyDescent="0.2">
      <c r="A20" s="1529" t="s">
        <v>222</v>
      </c>
      <c r="B20" s="1529"/>
      <c r="C20" s="1527"/>
      <c r="D20" s="1527"/>
      <c r="E20" s="1527"/>
      <c r="F20" s="1527"/>
      <c r="G20" s="1527"/>
      <c r="H20" s="1527"/>
      <c r="I20" s="1527"/>
      <c r="J20" s="1527"/>
      <c r="K20" s="1527"/>
      <c r="L20" s="1527"/>
      <c r="M20" s="1527"/>
      <c r="N20" s="1529"/>
      <c r="O20" s="1527"/>
      <c r="P20" s="1527"/>
      <c r="Q20" s="1527"/>
      <c r="R20" s="1527"/>
      <c r="S20" s="1529"/>
      <c r="T20" s="1529"/>
      <c r="U20" s="1527"/>
      <c r="V20" s="1527"/>
      <c r="W20" s="1527"/>
      <c r="X20" s="1527"/>
      <c r="Y20" s="1529"/>
      <c r="Z20" s="1529"/>
      <c r="AA20" s="1527"/>
      <c r="AB20" s="1527"/>
      <c r="AC20" s="1527"/>
      <c r="AD20" s="1527"/>
      <c r="AE20" s="1529"/>
      <c r="AF20" s="1529"/>
      <c r="AG20" s="1527"/>
      <c r="AH20" s="1527"/>
      <c r="AI20" s="1527"/>
      <c r="AJ20" s="1527"/>
      <c r="AK20" s="1529"/>
      <c r="AL20" s="1529"/>
      <c r="AM20" s="1527"/>
      <c r="AN20" s="1527"/>
      <c r="AO20" s="1527"/>
      <c r="AP20" s="1527"/>
      <c r="AQ20" s="1529"/>
      <c r="AR20" s="1529"/>
      <c r="AS20" s="1527"/>
      <c r="AT20" s="1527"/>
      <c r="AU20" s="1527"/>
      <c r="AV20" s="1527"/>
      <c r="AW20" s="1529"/>
      <c r="AX20" s="1529"/>
      <c r="AY20" s="1527"/>
      <c r="AZ20" s="1527"/>
      <c r="BA20" s="1527"/>
      <c r="BB20" s="1527"/>
      <c r="BC20" s="1529"/>
      <c r="BD20" s="1529"/>
      <c r="BE20" s="1527"/>
      <c r="BF20" s="1527"/>
      <c r="BG20" s="1527"/>
      <c r="BH20" s="1527"/>
      <c r="BI20" s="1529"/>
      <c r="BJ20" s="1529"/>
      <c r="BK20" s="1527"/>
      <c r="BL20" s="1527"/>
      <c r="BM20" s="1527"/>
      <c r="BN20" s="1527"/>
      <c r="BO20" s="1529"/>
      <c r="BP20" s="1529"/>
      <c r="BQ20" s="1527"/>
      <c r="BR20" s="1527"/>
      <c r="BS20" s="1527"/>
      <c r="BT20" s="1527"/>
      <c r="BU20" s="1529"/>
      <c r="BV20" s="1529"/>
      <c r="BW20" s="1529"/>
      <c r="BX20" s="1527"/>
      <c r="BY20" s="1527"/>
      <c r="BZ20" s="1527"/>
      <c r="CA20" s="1529"/>
      <c r="CB20" s="1529"/>
      <c r="CC20" s="1527"/>
      <c r="CD20" s="1527"/>
      <c r="CE20" s="1527"/>
      <c r="CF20" s="1527"/>
      <c r="CG20" s="1529"/>
      <c r="CH20" s="1529"/>
      <c r="CI20" s="1527"/>
      <c r="CJ20" s="1527"/>
      <c r="CK20" s="1527"/>
      <c r="CL20" s="1527"/>
      <c r="CM20" s="1536"/>
      <c r="CN20" s="1529"/>
      <c r="CO20" s="1527"/>
      <c r="CP20" s="1527"/>
      <c r="CQ20" s="1527"/>
      <c r="CR20" s="1527"/>
      <c r="CS20" s="1536"/>
      <c r="CT20" s="1529"/>
      <c r="CU20" s="1527"/>
      <c r="CV20" s="1527"/>
      <c r="CW20" s="1527"/>
      <c r="CX20" s="1527"/>
      <c r="CY20" s="1536"/>
      <c r="CZ20" s="1529"/>
      <c r="DA20" s="1527"/>
      <c r="DB20" s="1527"/>
      <c r="DC20" s="1564">
        <v>18</v>
      </c>
      <c r="DD20" s="1527">
        <v>73</v>
      </c>
      <c r="DE20" s="1536">
        <f>DD20</f>
        <v>73</v>
      </c>
      <c r="DF20" s="1529"/>
      <c r="DG20" s="1527">
        <v>11</v>
      </c>
      <c r="DH20" s="1527">
        <v>25</v>
      </c>
      <c r="DI20" s="1527">
        <v>-9</v>
      </c>
      <c r="DJ20" s="1527">
        <v>-28</v>
      </c>
      <c r="DK20" s="1536">
        <f>DJ20</f>
        <v>-28</v>
      </c>
      <c r="DL20" s="1529"/>
      <c r="DM20" s="1527">
        <v>57</v>
      </c>
      <c r="DN20" s="1527">
        <v>93</v>
      </c>
      <c r="DO20" s="1527">
        <v>139</v>
      </c>
      <c r="DP20" s="1527">
        <v>150</v>
      </c>
      <c r="DQ20" s="1536">
        <f>DP20</f>
        <v>150</v>
      </c>
      <c r="DR20" s="1529"/>
      <c r="DS20" s="1527">
        <v>10</v>
      </c>
      <c r="DT20" s="1527">
        <v>0</v>
      </c>
      <c r="DU20" s="1527">
        <v>-48</v>
      </c>
      <c r="DV20" s="1527">
        <v>-66</v>
      </c>
      <c r="DW20" s="1536">
        <f>DV20</f>
        <v>-66</v>
      </c>
      <c r="DX20" s="1529"/>
      <c r="DY20" s="1527">
        <v>5</v>
      </c>
      <c r="DZ20" s="1527">
        <v>13</v>
      </c>
      <c r="EA20" s="1527">
        <v>20</v>
      </c>
      <c r="EB20" s="1527">
        <v>57</v>
      </c>
      <c r="EC20" s="1536">
        <f>EB20</f>
        <v>57</v>
      </c>
      <c r="ED20" s="1529"/>
      <c r="EE20" s="1527">
        <v>10</v>
      </c>
      <c r="EF20" s="1527">
        <v>14</v>
      </c>
      <c r="EG20" s="1527">
        <v>-78</v>
      </c>
      <c r="EH20" s="1527">
        <v>-96</v>
      </c>
      <c r="EI20" s="1536">
        <f>EH20</f>
        <v>-96</v>
      </c>
      <c r="EJ20" s="1529"/>
      <c r="EK20" s="1527">
        <v>50</v>
      </c>
      <c r="EL20" s="1527">
        <v>61</v>
      </c>
      <c r="EM20" s="1527">
        <v>87</v>
      </c>
      <c r="EN20" s="1527">
        <v>88</v>
      </c>
      <c r="EO20" s="1536">
        <f>EN20</f>
        <v>88</v>
      </c>
      <c r="EP20" s="1529"/>
      <c r="EQ20" s="1527">
        <v>-75</v>
      </c>
      <c r="ER20" s="1527">
        <v>-116</v>
      </c>
      <c r="ES20" s="1527">
        <v>-178</v>
      </c>
      <c r="ET20" s="1527">
        <v>-88</v>
      </c>
      <c r="EU20" s="1536">
        <f>ET20</f>
        <v>-88</v>
      </c>
      <c r="EV20" s="1529"/>
      <c r="EW20" s="1527">
        <v>-11</v>
      </c>
      <c r="EX20" s="1527">
        <v>-135</v>
      </c>
      <c r="EY20" s="1527">
        <v>-195</v>
      </c>
      <c r="EZ20" s="1527">
        <f>EY20+'Balance Sheet'!EY12-'Balance Sheet'!EZ12</f>
        <v>34.409184232137989</v>
      </c>
      <c r="FA20" s="1536">
        <f t="shared" si="39"/>
        <v>34.409184232137989</v>
      </c>
      <c r="FB20" s="1529"/>
      <c r="FC20" s="1527">
        <f>'Balance Sheet'!EZ12-'Balance Sheet'!FC12</f>
        <v>1.3908157678620228</v>
      </c>
      <c r="FD20" s="1527">
        <f>FC20+'Balance Sheet'!FC12-'Balance Sheet'!FD12</f>
        <v>-104.00918423213801</v>
      </c>
      <c r="FE20" s="1527">
        <f>FD20+'Balance Sheet'!FD12-'Balance Sheet'!FE12</f>
        <v>-155.00918423213807</v>
      </c>
      <c r="FF20" s="1527">
        <f>FE20+'Balance Sheet'!FE12-'Balance Sheet'!FF12</f>
        <v>39.988622365179282</v>
      </c>
      <c r="FG20" s="1536">
        <f t="shared" si="40"/>
        <v>39.988622365179282</v>
      </c>
      <c r="FH20" s="1529"/>
      <c r="FI20" s="1527">
        <f>'Balance Sheet'!FF12-'Balance Sheet'!FI12</f>
        <v>1.1821934026827421</v>
      </c>
      <c r="FJ20" s="1527">
        <f>FI20+'Balance Sheet'!FI12-'Balance Sheet'!FJ12</f>
        <v>-88.407806597317261</v>
      </c>
      <c r="FK20" s="1527">
        <f>FJ20+'Balance Sheet'!FJ12-'Balance Sheet'!FK12</f>
        <v>-131.75780659731728</v>
      </c>
      <c r="FL20" s="1527">
        <f>FK20+'Balance Sheet'!FK12-'Balance Sheet'!FL12</f>
        <v>33.990329010402405</v>
      </c>
      <c r="FM20" s="1536">
        <f t="shared" si="41"/>
        <v>33.990329010402405</v>
      </c>
      <c r="FN20" s="1524"/>
      <c r="FO20" s="1524"/>
      <c r="FP20" s="1524"/>
      <c r="FQ20" s="1524"/>
      <c r="FR20" s="1524"/>
      <c r="FS20"/>
      <c r="FT20"/>
      <c r="FU20"/>
      <c r="FV20"/>
      <c r="FW20"/>
      <c r="FX20"/>
      <c r="FY20" s="1524"/>
      <c r="FZ20" s="1522"/>
      <c r="GA20" s="1522"/>
      <c r="GB20" s="1522"/>
      <c r="GC20" s="1522"/>
      <c r="GD20" s="1522"/>
      <c r="GE20" s="1522"/>
      <c r="GF20" s="1522"/>
      <c r="GG20" s="1522"/>
      <c r="GH20" s="1522"/>
      <c r="GI20" s="1522"/>
      <c r="GJ20" s="1522"/>
      <c r="GK20" s="1522"/>
      <c r="GL20" s="1522"/>
      <c r="GM20" s="1522"/>
      <c r="GN20" s="1522"/>
      <c r="GO20" s="1522"/>
      <c r="GP20" s="1522"/>
      <c r="GQ20" s="1522"/>
      <c r="GR20" s="1522"/>
      <c r="GS20" s="1522"/>
      <c r="GT20" s="1522"/>
      <c r="GU20" s="1522"/>
      <c r="GV20" s="1522"/>
      <c r="GW20" s="1522"/>
      <c r="GX20" s="1522"/>
      <c r="GY20" s="1522"/>
      <c r="GZ20" s="1522"/>
      <c r="HA20" s="1522"/>
      <c r="HB20" s="1522"/>
      <c r="HC20" s="1522"/>
      <c r="HD20" s="1522"/>
      <c r="HE20" s="1522"/>
      <c r="HF20" s="1522"/>
      <c r="HG20" s="1522"/>
      <c r="HH20" s="1522"/>
      <c r="HI20" s="1522"/>
      <c r="HJ20" s="1522"/>
      <c r="HK20" s="1522"/>
      <c r="HL20" s="1522"/>
      <c r="HM20" s="1522"/>
      <c r="HN20" s="1522"/>
      <c r="HO20" s="1522"/>
      <c r="HP20" s="1522"/>
      <c r="HQ20" s="1522"/>
      <c r="HR20" s="1522"/>
      <c r="HS20" s="1522"/>
      <c r="HT20" s="1522"/>
      <c r="HU20" s="1522"/>
      <c r="HV20" s="1522"/>
      <c r="HW20" s="1522"/>
      <c r="HX20" s="1522"/>
      <c r="HY20" s="1522"/>
      <c r="HZ20" s="1522"/>
      <c r="IA20" s="1522"/>
      <c r="IB20" s="1522"/>
      <c r="IC20" s="1522"/>
      <c r="ID20" s="1522"/>
      <c r="IE20" s="1522"/>
      <c r="IF20" s="1522"/>
      <c r="IG20" s="1522"/>
      <c r="IH20" s="1522"/>
      <c r="II20" s="1522"/>
      <c r="IJ20" s="1522"/>
      <c r="IK20" s="1522"/>
      <c r="IL20" s="1522"/>
      <c r="IM20" s="1522"/>
      <c r="IN20" s="1522"/>
      <c r="IO20" s="1522"/>
      <c r="IP20" s="1522"/>
      <c r="IQ20" s="1522"/>
      <c r="IR20" s="1522"/>
      <c r="IS20" s="1522"/>
      <c r="IT20" s="1522"/>
      <c r="IU20" s="1522"/>
      <c r="IV20" s="1522"/>
      <c r="IW20" s="1522"/>
      <c r="IX20" s="1522"/>
      <c r="IY20" s="1522"/>
      <c r="IZ20" s="1522"/>
      <c r="JA20" s="1522"/>
      <c r="JB20" s="1522"/>
      <c r="JC20" s="1522"/>
      <c r="JD20" s="1522"/>
      <c r="JE20" s="1522"/>
      <c r="JF20" s="1522"/>
      <c r="JG20" s="1522"/>
      <c r="JH20" s="1522"/>
      <c r="JI20" s="1522"/>
      <c r="JJ20" s="1522"/>
      <c r="JK20" s="1522"/>
      <c r="JL20" s="1522"/>
      <c r="JM20" s="1522"/>
      <c r="JN20" s="1522"/>
    </row>
    <row r="21" spans="1:274" s="1523" customFormat="1" ht="10.5" customHeight="1" x14ac:dyDescent="0.2">
      <c r="A21" s="1529" t="s">
        <v>920</v>
      </c>
      <c r="B21" s="1529"/>
      <c r="C21" s="1527">
        <f t="shared" ref="C21:M21" si="42">C72</f>
        <v>0</v>
      </c>
      <c r="D21" s="1527">
        <f t="shared" si="42"/>
        <v>0</v>
      </c>
      <c r="E21" s="1527">
        <f t="shared" si="42"/>
        <v>0</v>
      </c>
      <c r="F21" s="1527">
        <f t="shared" si="42"/>
        <v>-1.018</v>
      </c>
      <c r="G21" s="1527">
        <f t="shared" si="42"/>
        <v>-1.458</v>
      </c>
      <c r="H21" s="1527">
        <f t="shared" si="42"/>
        <v>-5.6840000000000002</v>
      </c>
      <c r="I21" s="1527">
        <f t="shared" si="42"/>
        <v>-36.754000000000005</v>
      </c>
      <c r="J21" s="1527">
        <f t="shared" si="42"/>
        <v>-5.8100000000000005</v>
      </c>
      <c r="K21" s="1527">
        <f t="shared" si="42"/>
        <v>-3.4750000000000001</v>
      </c>
      <c r="L21" s="1527">
        <f t="shared" si="42"/>
        <v>32.652000000000001</v>
      </c>
      <c r="M21" s="1527">
        <f t="shared" si="42"/>
        <v>-11.887</v>
      </c>
      <c r="N21" s="1564"/>
      <c r="O21" s="1527">
        <f>O72</f>
        <v>-7.5129999999999999</v>
      </c>
      <c r="P21" s="1527">
        <f t="shared" ref="P21:R24" si="43">P72+O21</f>
        <v>-2.1840000000000002</v>
      </c>
      <c r="Q21" s="1527">
        <f t="shared" si="43"/>
        <v>-3.258</v>
      </c>
      <c r="R21" s="1527">
        <f t="shared" si="43"/>
        <v>-5.4640000000000013</v>
      </c>
      <c r="S21" s="1529">
        <f t="shared" si="16"/>
        <v>-5.4640000000000013</v>
      </c>
      <c r="T21" s="1529"/>
      <c r="U21" s="1527">
        <f>U72</f>
        <v>-15.106</v>
      </c>
      <c r="V21" s="1527">
        <f t="shared" ref="V21:X24" si="44">V72+U21</f>
        <v>-13.127000000000001</v>
      </c>
      <c r="W21" s="1527">
        <f t="shared" si="44"/>
        <v>-20.988</v>
      </c>
      <c r="X21" s="1527">
        <f t="shared" si="44"/>
        <v>-37.685000000000002</v>
      </c>
      <c r="Y21" s="1529">
        <f t="shared" si="17"/>
        <v>-37.685000000000002</v>
      </c>
      <c r="Z21" s="1529"/>
      <c r="AA21" s="1527">
        <f>AA72</f>
        <v>-5.7370000000000001</v>
      </c>
      <c r="AB21" s="1527">
        <f t="shared" ref="AB21:AD24" si="45">AB72+AA21</f>
        <v>-23.369</v>
      </c>
      <c r="AC21" s="1527">
        <f t="shared" si="45"/>
        <v>-29.050000000000004</v>
      </c>
      <c r="AD21" s="1527">
        <f t="shared" si="45"/>
        <v>-8.8930000000000042</v>
      </c>
      <c r="AE21" s="1529">
        <f t="shared" si="18"/>
        <v>-8.8930000000000042</v>
      </c>
      <c r="AF21" s="1529"/>
      <c r="AG21" s="1527">
        <f>AG72</f>
        <v>42.237000000000002</v>
      </c>
      <c r="AH21" s="1527">
        <f t="shared" ref="AH21:AJ24" si="46">AH72+AG21</f>
        <v>28.841999999999999</v>
      </c>
      <c r="AI21" s="1527">
        <f t="shared" si="46"/>
        <v>1.1000000000000014</v>
      </c>
      <c r="AJ21" s="1527">
        <f t="shared" si="46"/>
        <v>-52.301000000000002</v>
      </c>
      <c r="AK21" s="1529">
        <f t="shared" si="19"/>
        <v>-52.301000000000002</v>
      </c>
      <c r="AL21" s="1529"/>
      <c r="AM21" s="1527">
        <f>AM72</f>
        <v>56.664999999999999</v>
      </c>
      <c r="AN21" s="1527">
        <f t="shared" ref="AN21:AP24" si="47">AN72+AM21</f>
        <v>27.702999999999999</v>
      </c>
      <c r="AO21" s="1527">
        <f t="shared" si="47"/>
        <v>14.492000000000001</v>
      </c>
      <c r="AP21" s="1527">
        <f t="shared" si="47"/>
        <v>-62.855999999999995</v>
      </c>
      <c r="AQ21" s="1529">
        <f t="shared" si="20"/>
        <v>-62.855999999999995</v>
      </c>
      <c r="AR21" s="1529"/>
      <c r="AS21" s="1527">
        <f>AS72</f>
        <v>100.253</v>
      </c>
      <c r="AT21" s="1527">
        <f t="shared" ref="AT21:AV24" si="48">AT72+AS21</f>
        <v>73.090999999999994</v>
      </c>
      <c r="AU21" s="1527">
        <f t="shared" si="48"/>
        <v>52.206000000000003</v>
      </c>
      <c r="AV21" s="1527">
        <f t="shared" si="48"/>
        <v>-27.578000000000003</v>
      </c>
      <c r="AW21" s="1529">
        <f t="shared" si="21"/>
        <v>-27.578000000000003</v>
      </c>
      <c r="AX21" s="1529"/>
      <c r="AY21" s="1527">
        <f>AY72</f>
        <v>-323.51299999999998</v>
      </c>
      <c r="AZ21" s="1527">
        <f t="shared" ref="AZ21:BB24" si="49">AZ72+AY21</f>
        <v>48.468999999999994</v>
      </c>
      <c r="BA21" s="1527">
        <f t="shared" si="49"/>
        <v>56.295000000000016</v>
      </c>
      <c r="BB21" s="1527">
        <f t="shared" si="49"/>
        <v>-68</v>
      </c>
      <c r="BC21" s="1529">
        <f t="shared" si="22"/>
        <v>-68</v>
      </c>
      <c r="BD21" s="1529"/>
      <c r="BE21" s="1527">
        <f>BE72</f>
        <v>-362.35300000000001</v>
      </c>
      <c r="BF21" s="1527">
        <f t="shared" ref="BF21:BH24" si="50">BF72+BE21</f>
        <v>5</v>
      </c>
      <c r="BG21" s="1527">
        <f t="shared" si="50"/>
        <v>-153.00000000000006</v>
      </c>
      <c r="BH21" s="1527">
        <f t="shared" si="50"/>
        <v>-23</v>
      </c>
      <c r="BI21" s="1529">
        <f t="shared" si="23"/>
        <v>-23</v>
      </c>
      <c r="BJ21" s="1529"/>
      <c r="BK21" s="1527">
        <f>BK72</f>
        <v>88</v>
      </c>
      <c r="BL21" s="1527">
        <f t="shared" ref="BL21:BN24" si="51">BL72+BK21</f>
        <v>86</v>
      </c>
      <c r="BM21" s="1527">
        <f t="shared" si="51"/>
        <v>104</v>
      </c>
      <c r="BN21" s="1527">
        <f t="shared" si="51"/>
        <v>41</v>
      </c>
      <c r="BO21" s="1529">
        <f t="shared" si="24"/>
        <v>41</v>
      </c>
      <c r="BP21" s="1529"/>
      <c r="BQ21" s="1527">
        <f>BQ72</f>
        <v>109</v>
      </c>
      <c r="BR21" s="1527">
        <v>93</v>
      </c>
      <c r="BS21" s="1527">
        <v>95</v>
      </c>
      <c r="BT21" s="1527">
        <v>-30</v>
      </c>
      <c r="BU21" s="1529">
        <f t="shared" si="25"/>
        <v>-30</v>
      </c>
      <c r="BV21" s="1529"/>
      <c r="BW21" s="1529">
        <v>139</v>
      </c>
      <c r="BX21" s="1527">
        <v>153</v>
      </c>
      <c r="BY21" s="1527">
        <v>196</v>
      </c>
      <c r="BZ21" s="1527">
        <v>164</v>
      </c>
      <c r="CA21" s="1529">
        <f t="shared" si="26"/>
        <v>164</v>
      </c>
      <c r="CB21" s="1529"/>
      <c r="CC21" s="1527">
        <v>154</v>
      </c>
      <c r="CD21" s="1527">
        <v>158</v>
      </c>
      <c r="CE21" s="1527">
        <v>123</v>
      </c>
      <c r="CF21" s="1527">
        <v>14</v>
      </c>
      <c r="CG21" s="1529">
        <f t="shared" si="27"/>
        <v>14</v>
      </c>
      <c r="CH21" s="1529"/>
      <c r="CI21" s="1527">
        <v>86</v>
      </c>
      <c r="CJ21" s="1527">
        <v>23</v>
      </c>
      <c r="CK21" s="1527">
        <v>-33</v>
      </c>
      <c r="CL21" s="1527">
        <v>-153</v>
      </c>
      <c r="CM21" s="1536">
        <f t="shared" si="28"/>
        <v>-153</v>
      </c>
      <c r="CN21" s="1529"/>
      <c r="CO21" s="1527">
        <v>161</v>
      </c>
      <c r="CP21" s="1527">
        <v>27</v>
      </c>
      <c r="CQ21" s="1527">
        <v>61</v>
      </c>
      <c r="CR21" s="1527">
        <v>-191</v>
      </c>
      <c r="CS21" s="1536">
        <f t="shared" si="29"/>
        <v>-191</v>
      </c>
      <c r="CT21" s="1529"/>
      <c r="CU21" s="1527">
        <v>397</v>
      </c>
      <c r="CV21" s="1527">
        <v>388</v>
      </c>
      <c r="CW21" s="1527">
        <v>336</v>
      </c>
      <c r="CX21" s="1527">
        <v>145</v>
      </c>
      <c r="CY21" s="1536">
        <f t="shared" si="30"/>
        <v>145</v>
      </c>
      <c r="CZ21" s="1529"/>
      <c r="DA21" s="1527">
        <v>251</v>
      </c>
      <c r="DB21" s="1527">
        <v>235</v>
      </c>
      <c r="DC21" s="1564">
        <v>375</v>
      </c>
      <c r="DD21" s="1527">
        <v>340</v>
      </c>
      <c r="DE21" s="1536">
        <f t="shared" si="31"/>
        <v>340</v>
      </c>
      <c r="DF21" s="1529"/>
      <c r="DG21" s="1527">
        <v>348</v>
      </c>
      <c r="DH21" s="1527">
        <v>280</v>
      </c>
      <c r="DI21" s="1527">
        <v>261</v>
      </c>
      <c r="DJ21" s="1527">
        <v>14</v>
      </c>
      <c r="DK21" s="1536">
        <f t="shared" si="32"/>
        <v>14</v>
      </c>
      <c r="DL21" s="1529"/>
      <c r="DM21" s="1527">
        <v>469</v>
      </c>
      <c r="DN21" s="1527">
        <v>424</v>
      </c>
      <c r="DO21" s="1527">
        <v>87</v>
      </c>
      <c r="DP21" s="1527">
        <v>-51</v>
      </c>
      <c r="DQ21" s="1536">
        <f t="shared" si="33"/>
        <v>-51</v>
      </c>
      <c r="DR21" s="1529"/>
      <c r="DS21" s="1527">
        <v>-72</v>
      </c>
      <c r="DT21" s="1527">
        <v>-213</v>
      </c>
      <c r="DU21" s="1527">
        <v>-241</v>
      </c>
      <c r="DV21" s="1527">
        <v>-555</v>
      </c>
      <c r="DW21" s="1536">
        <f t="shared" si="34"/>
        <v>-555</v>
      </c>
      <c r="DX21" s="1529"/>
      <c r="DY21" s="1527">
        <v>366</v>
      </c>
      <c r="DZ21" s="1527">
        <v>247</v>
      </c>
      <c r="EA21" s="1527">
        <v>181</v>
      </c>
      <c r="EB21" s="1527">
        <v>-143</v>
      </c>
      <c r="EC21" s="1536">
        <f t="shared" si="35"/>
        <v>-143</v>
      </c>
      <c r="ED21" s="1529"/>
      <c r="EE21" s="1527">
        <v>275</v>
      </c>
      <c r="EF21" s="1527">
        <v>439</v>
      </c>
      <c r="EG21" s="1527">
        <v>362</v>
      </c>
      <c r="EH21" s="1527">
        <v>-387</v>
      </c>
      <c r="EI21" s="1536">
        <f t="shared" si="36"/>
        <v>-387</v>
      </c>
      <c r="EJ21" s="1529"/>
      <c r="EK21" s="1527">
        <v>379</v>
      </c>
      <c r="EL21" s="1527">
        <v>139</v>
      </c>
      <c r="EM21" s="1527">
        <v>95</v>
      </c>
      <c r="EN21" s="1527">
        <v>-90</v>
      </c>
      <c r="EO21" s="1536">
        <f t="shared" si="37"/>
        <v>-90</v>
      </c>
      <c r="EP21" s="1529"/>
      <c r="EQ21" s="1527">
        <v>435</v>
      </c>
      <c r="ER21" s="1527">
        <v>321</v>
      </c>
      <c r="ES21" s="1527">
        <v>308</v>
      </c>
      <c r="ET21" s="1527">
        <v>64</v>
      </c>
      <c r="EU21" s="1536">
        <f t="shared" si="38"/>
        <v>64</v>
      </c>
      <c r="EV21" s="1529"/>
      <c r="EW21" s="1527">
        <v>555</v>
      </c>
      <c r="EX21" s="1527">
        <v>138</v>
      </c>
      <c r="EY21" s="1527">
        <v>76</v>
      </c>
      <c r="EZ21" s="1527">
        <f>('Balance Sheet'!EY14+'Balance Sheet'!EY11)-('Balance Sheet'!EZ14+'Balance Sheet'!EZ11)+EY21</f>
        <v>57.902257243728855</v>
      </c>
      <c r="FA21" s="1536">
        <f t="shared" si="39"/>
        <v>57.902257243728855</v>
      </c>
      <c r="FB21" s="1529"/>
      <c r="FC21" s="1527">
        <f>('Balance Sheet'!EZ14+'Balance Sheet'!EZ11)-('Balance Sheet'!FC14+'Balance Sheet'!FC11)</f>
        <v>-24.554696114636499</v>
      </c>
      <c r="FD21" s="1527">
        <f>('Balance Sheet'!FC14+'Balance Sheet'!FC11)-('Balance Sheet'!FD14+'Balance Sheet'!FD11)+FC21</f>
        <v>-50.163381251012652</v>
      </c>
      <c r="FE21" s="1527">
        <f>('Balance Sheet'!FD14+'Balance Sheet'!FD11)-('Balance Sheet'!FE14+'Balance Sheet'!FE11)+FD21</f>
        <v>-73.149057840444129</v>
      </c>
      <c r="FF21" s="1527">
        <f>('Balance Sheet'!FE14+'Balance Sheet'!FE11)-('Balance Sheet'!FF14+'Balance Sheet'!FF11)+FE21</f>
        <v>-88.709188911268939</v>
      </c>
      <c r="FG21" s="1536">
        <f t="shared" si="40"/>
        <v>-88.709188911268939</v>
      </c>
      <c r="FH21" s="1529"/>
      <c r="FI21" s="1527">
        <f>('Balance Sheet'!FF14+'Balance Sheet'!FF11)-('Balance Sheet'!FI14+'Balance Sheet'!FI11)</f>
        <v>-28.397720746911546</v>
      </c>
      <c r="FJ21" s="1527">
        <f>('Balance Sheet'!FI14+'Balance Sheet'!FI11)-('Balance Sheet'!FJ14+'Balance Sheet'!FJ11)+FI21</f>
        <v>-54.668646414485465</v>
      </c>
      <c r="FK21" s="1527">
        <f>('Balance Sheet'!FJ14+'Balance Sheet'!FJ11)-('Balance Sheet'!FK14+'Balance Sheet'!FK11)+FJ21</f>
        <v>-80.007734705306575</v>
      </c>
      <c r="FL21" s="1527">
        <f>('Balance Sheet'!FK14+'Balance Sheet'!FK11)-('Balance Sheet'!FL14+'Balance Sheet'!FL11)+FK21</f>
        <v>-99.870316270615604</v>
      </c>
      <c r="FM21" s="1536">
        <f t="shared" si="41"/>
        <v>-99.870316270615604</v>
      </c>
      <c r="FN21" s="1524"/>
      <c r="FO21" s="1524"/>
      <c r="FP21" s="1524"/>
      <c r="FQ21" s="1524"/>
      <c r="FR21" s="1524"/>
      <c r="FS21"/>
      <c r="FT21"/>
      <c r="FU21"/>
      <c r="FV21"/>
      <c r="FW21"/>
      <c r="FX21"/>
      <c r="FY21" s="1524"/>
      <c r="FZ21" s="1522"/>
      <c r="GA21" s="1522"/>
      <c r="GB21" s="1522"/>
      <c r="GC21" s="1522"/>
      <c r="GD21" s="1522"/>
      <c r="GE21" s="1522"/>
      <c r="GF21" s="1522"/>
      <c r="GG21" s="1522"/>
      <c r="GH21" s="1522"/>
      <c r="GI21" s="1522"/>
      <c r="GJ21" s="1522"/>
      <c r="GK21" s="1522"/>
      <c r="GL21" s="1522"/>
      <c r="GM21" s="1522"/>
      <c r="GN21" s="1522"/>
      <c r="GO21" s="1522"/>
      <c r="GP21" s="1522"/>
      <c r="GQ21" s="1522"/>
      <c r="GR21" s="1522"/>
      <c r="GS21" s="1522"/>
      <c r="GT21" s="1522"/>
      <c r="GU21" s="1522"/>
      <c r="GV21" s="1522"/>
      <c r="GW21" s="1522"/>
      <c r="GX21" s="1522"/>
      <c r="GY21" s="1522"/>
      <c r="GZ21" s="1522"/>
      <c r="HA21" s="1522"/>
      <c r="HB21" s="1522"/>
      <c r="HC21" s="1522"/>
      <c r="HD21" s="1522"/>
      <c r="HE21" s="1522"/>
      <c r="HF21" s="1522"/>
      <c r="HG21" s="1522"/>
      <c r="HH21" s="1522"/>
      <c r="HI21" s="1522"/>
      <c r="HJ21" s="1522"/>
      <c r="HK21" s="1522"/>
      <c r="HL21" s="1522"/>
      <c r="HM21" s="1522"/>
      <c r="HN21" s="1522"/>
      <c r="HO21" s="1522"/>
      <c r="HP21" s="1522"/>
      <c r="HQ21" s="1522"/>
      <c r="HR21" s="1522"/>
      <c r="HS21" s="1522"/>
      <c r="HT21" s="1522"/>
      <c r="HU21" s="1522"/>
      <c r="HV21" s="1522"/>
      <c r="HW21" s="1522"/>
      <c r="HX21" s="1522"/>
      <c r="HY21" s="1522"/>
      <c r="HZ21" s="1522"/>
      <c r="IA21" s="1522"/>
      <c r="IB21" s="1522"/>
      <c r="IC21" s="1522"/>
      <c r="ID21" s="1522"/>
      <c r="IE21" s="1522"/>
      <c r="IF21" s="1522"/>
      <c r="IG21" s="1522"/>
      <c r="IH21" s="1522"/>
      <c r="II21" s="1522"/>
      <c r="IJ21" s="1522"/>
      <c r="IK21" s="1522"/>
      <c r="IL21" s="1522"/>
      <c r="IM21" s="1522"/>
      <c r="IN21" s="1522"/>
      <c r="IO21" s="1522"/>
      <c r="IP21" s="1522"/>
      <c r="IQ21" s="1522"/>
      <c r="IR21" s="1522"/>
      <c r="IS21" s="1522"/>
      <c r="IT21" s="1522"/>
      <c r="IU21" s="1522"/>
      <c r="IV21" s="1522"/>
      <c r="IW21" s="1522"/>
      <c r="IX21" s="1522"/>
      <c r="IY21" s="1522"/>
      <c r="IZ21" s="1522"/>
      <c r="JA21" s="1522"/>
      <c r="JB21" s="1522"/>
      <c r="JC21" s="1522"/>
      <c r="JD21" s="1522"/>
      <c r="JE21" s="1522"/>
      <c r="JF21" s="1522"/>
      <c r="JG21" s="1522"/>
      <c r="JH21" s="1522"/>
      <c r="JI21" s="1522"/>
      <c r="JJ21" s="1522"/>
      <c r="JK21" s="1522"/>
      <c r="JL21" s="1522"/>
      <c r="JM21" s="1522"/>
      <c r="JN21" s="1522"/>
    </row>
    <row r="22" spans="1:274" s="1523" customFormat="1" ht="10.5" customHeight="1" x14ac:dyDescent="0.2">
      <c r="A22" s="1571" t="s">
        <v>884</v>
      </c>
      <c r="B22" s="1529"/>
      <c r="C22" s="1527">
        <f t="shared" ref="C22:M22" si="52">C73</f>
        <v>0</v>
      </c>
      <c r="D22" s="1527">
        <f t="shared" si="52"/>
        <v>0</v>
      </c>
      <c r="E22" s="1527">
        <f t="shared" si="52"/>
        <v>0</v>
      </c>
      <c r="F22" s="1527">
        <f t="shared" si="52"/>
        <v>5.5510000000000002</v>
      </c>
      <c r="G22" s="1527">
        <f t="shared" si="52"/>
        <v>12.853999999999999</v>
      </c>
      <c r="H22" s="1527">
        <f t="shared" si="52"/>
        <v>25.236000000000001</v>
      </c>
      <c r="I22" s="1527">
        <f t="shared" si="52"/>
        <v>12.491</v>
      </c>
      <c r="J22" s="1527">
        <f t="shared" si="52"/>
        <v>-15.337</v>
      </c>
      <c r="K22" s="1527">
        <f t="shared" si="52"/>
        <v>12.26</v>
      </c>
      <c r="L22" s="1527">
        <f t="shared" si="52"/>
        <v>11.339</v>
      </c>
      <c r="M22" s="1527">
        <f t="shared" si="52"/>
        <v>23.465</v>
      </c>
      <c r="N22" s="1540"/>
      <c r="O22" s="1527">
        <f>O73</f>
        <v>6.3710000000000004</v>
      </c>
      <c r="P22" s="1527">
        <f t="shared" si="43"/>
        <v>30.053000000000004</v>
      </c>
      <c r="Q22" s="1527">
        <f t="shared" si="43"/>
        <v>16.948</v>
      </c>
      <c r="R22" s="1527">
        <f t="shared" si="43"/>
        <v>24.113</v>
      </c>
      <c r="S22" s="1529">
        <f t="shared" si="16"/>
        <v>24.113</v>
      </c>
      <c r="T22" s="1527"/>
      <c r="U22" s="1527">
        <f>U73</f>
        <v>-8.9969999999999999</v>
      </c>
      <c r="V22" s="1527">
        <f t="shared" si="44"/>
        <v>5.8789999999999996</v>
      </c>
      <c r="W22" s="1527">
        <f t="shared" si="44"/>
        <v>30.948999999999998</v>
      </c>
      <c r="X22" s="1527">
        <f t="shared" si="44"/>
        <v>48.392000000000003</v>
      </c>
      <c r="Y22" s="1529">
        <f t="shared" si="17"/>
        <v>48.392000000000003</v>
      </c>
      <c r="Z22" s="1527"/>
      <c r="AA22" s="1527">
        <f>AA73</f>
        <v>-5.5110000000000001</v>
      </c>
      <c r="AB22" s="1527">
        <f t="shared" si="45"/>
        <v>-7.056</v>
      </c>
      <c r="AC22" s="1527">
        <f t="shared" si="45"/>
        <v>-21.798999999999999</v>
      </c>
      <c r="AD22" s="1527">
        <f t="shared" si="45"/>
        <v>16.807000000000002</v>
      </c>
      <c r="AE22" s="1529">
        <f t="shared" si="18"/>
        <v>16.807000000000002</v>
      </c>
      <c r="AF22" s="1527"/>
      <c r="AG22" s="1527">
        <f>AG73</f>
        <v>-9.2379999999999995</v>
      </c>
      <c r="AH22" s="1527">
        <f t="shared" si="46"/>
        <v>22.902999999999999</v>
      </c>
      <c r="AI22" s="1527">
        <f t="shared" si="46"/>
        <v>20.896999999999998</v>
      </c>
      <c r="AJ22" s="1527">
        <f t="shared" si="46"/>
        <v>58.68</v>
      </c>
      <c r="AK22" s="1529">
        <f t="shared" si="19"/>
        <v>58.68</v>
      </c>
      <c r="AL22" s="1527"/>
      <c r="AM22" s="1527">
        <f>AM73</f>
        <v>7.5270000000000001</v>
      </c>
      <c r="AN22" s="1527">
        <f t="shared" si="47"/>
        <v>-144.18100000000001</v>
      </c>
      <c r="AO22" s="1527">
        <f t="shared" si="47"/>
        <v>15.786000000000001</v>
      </c>
      <c r="AP22" s="1527">
        <f t="shared" si="47"/>
        <v>45.097999999999985</v>
      </c>
      <c r="AQ22" s="1529">
        <f t="shared" si="20"/>
        <v>45.097999999999985</v>
      </c>
      <c r="AR22" s="1527"/>
      <c r="AS22" s="1527">
        <f>AS73</f>
        <v>-30.827000000000002</v>
      </c>
      <c r="AT22" s="1527">
        <f t="shared" si="48"/>
        <v>-42.923999999999999</v>
      </c>
      <c r="AU22" s="1527">
        <f t="shared" si="48"/>
        <v>-60.697999999999993</v>
      </c>
      <c r="AV22" s="1527">
        <f t="shared" si="48"/>
        <v>2.8389999999999986</v>
      </c>
      <c r="AW22" s="1529">
        <f t="shared" si="21"/>
        <v>2.8389999999999986</v>
      </c>
      <c r="AX22" s="1527"/>
      <c r="AY22" s="1527">
        <f>AY73</f>
        <v>54.103999999999999</v>
      </c>
      <c r="AZ22" s="1527">
        <f t="shared" si="49"/>
        <v>-2.4249999999999972</v>
      </c>
      <c r="BA22" s="1527">
        <f t="shared" si="49"/>
        <v>-7.1599999999999966</v>
      </c>
      <c r="BB22" s="1527">
        <f t="shared" si="49"/>
        <v>64</v>
      </c>
      <c r="BC22" s="1529">
        <f t="shared" si="22"/>
        <v>64</v>
      </c>
      <c r="BD22" s="1527"/>
      <c r="BE22" s="1527">
        <f>BE73</f>
        <v>22.597000000000001</v>
      </c>
      <c r="BF22" s="1527">
        <f t="shared" si="50"/>
        <v>-208</v>
      </c>
      <c r="BG22" s="1527">
        <f t="shared" si="50"/>
        <v>-337</v>
      </c>
      <c r="BH22" s="1527">
        <f t="shared" si="50"/>
        <v>-341</v>
      </c>
      <c r="BI22" s="1529">
        <f t="shared" si="23"/>
        <v>-341</v>
      </c>
      <c r="BJ22" s="1527"/>
      <c r="BK22" s="1527">
        <f>BK73</f>
        <v>-164</v>
      </c>
      <c r="BL22" s="1527">
        <f t="shared" si="51"/>
        <v>-95</v>
      </c>
      <c r="BM22" s="1527">
        <f t="shared" si="51"/>
        <v>-182</v>
      </c>
      <c r="BN22" s="1527">
        <f t="shared" si="51"/>
        <v>-88</v>
      </c>
      <c r="BO22" s="1529">
        <f t="shared" si="24"/>
        <v>-88</v>
      </c>
      <c r="BP22" s="1527"/>
      <c r="BQ22" s="1527">
        <f>BQ73</f>
        <v>-183</v>
      </c>
      <c r="BR22" s="1527">
        <v>-139</v>
      </c>
      <c r="BS22" s="1527">
        <v>-95</v>
      </c>
      <c r="BT22" s="1527">
        <v>25</v>
      </c>
      <c r="BU22" s="1529">
        <f t="shared" si="25"/>
        <v>25</v>
      </c>
      <c r="BV22" s="1527"/>
      <c r="BW22" s="1529">
        <v>-335</v>
      </c>
      <c r="BX22" s="1527">
        <v>-275</v>
      </c>
      <c r="BY22" s="1527">
        <v>-455</v>
      </c>
      <c r="BZ22" s="1527">
        <v>-533</v>
      </c>
      <c r="CA22" s="1529">
        <f t="shared" si="26"/>
        <v>-533</v>
      </c>
      <c r="CB22" s="1527"/>
      <c r="CC22" s="1527">
        <v>-451</v>
      </c>
      <c r="CD22" s="1527">
        <v>-308</v>
      </c>
      <c r="CE22" s="1527">
        <v>-382</v>
      </c>
      <c r="CF22" s="1527">
        <v>23</v>
      </c>
      <c r="CG22" s="1529">
        <f t="shared" si="27"/>
        <v>23</v>
      </c>
      <c r="CH22" s="1527"/>
      <c r="CI22" s="1527">
        <v>-900</v>
      </c>
      <c r="CJ22" s="1527">
        <v>-855</v>
      </c>
      <c r="CK22" s="1527">
        <v>-817</v>
      </c>
      <c r="CL22" s="1527">
        <v>-345</v>
      </c>
      <c r="CM22" s="1536">
        <f t="shared" si="28"/>
        <v>-345</v>
      </c>
      <c r="CN22" s="1527"/>
      <c r="CO22" s="1527">
        <v>-679</v>
      </c>
      <c r="CP22" s="1527">
        <v>-551</v>
      </c>
      <c r="CQ22" s="1527">
        <v>-482</v>
      </c>
      <c r="CR22" s="1527">
        <v>-153</v>
      </c>
      <c r="CS22" s="1536">
        <f t="shared" si="29"/>
        <v>-153</v>
      </c>
      <c r="CT22" s="1527"/>
      <c r="CU22" s="1527">
        <v>-906</v>
      </c>
      <c r="CV22" s="1527">
        <v>-1022</v>
      </c>
      <c r="CW22" s="1527">
        <v>-1097</v>
      </c>
      <c r="CX22" s="1527">
        <v>-691</v>
      </c>
      <c r="CY22" s="1536">
        <f t="shared" si="30"/>
        <v>-691</v>
      </c>
      <c r="CZ22" s="1527"/>
      <c r="DA22" s="1527">
        <v>-642</v>
      </c>
      <c r="DB22" s="1527">
        <v>-523</v>
      </c>
      <c r="DC22" s="1564">
        <v>-842</v>
      </c>
      <c r="DD22" s="1527">
        <v>-360</v>
      </c>
      <c r="DE22" s="1536">
        <f t="shared" si="31"/>
        <v>-360</v>
      </c>
      <c r="DF22" s="1527"/>
      <c r="DG22" s="1527">
        <v>-898</v>
      </c>
      <c r="DH22" s="1527">
        <v>-620</v>
      </c>
      <c r="DI22" s="1527">
        <v>-821</v>
      </c>
      <c r="DJ22" s="1527">
        <v>-120</v>
      </c>
      <c r="DK22" s="1536">
        <f t="shared" si="32"/>
        <v>-120</v>
      </c>
      <c r="DL22" s="1527"/>
      <c r="DM22" s="1527">
        <v>-1374</v>
      </c>
      <c r="DN22" s="1527">
        <v>-1306</v>
      </c>
      <c r="DO22" s="1527">
        <v>-1353</v>
      </c>
      <c r="DP22" s="1527">
        <v>-720</v>
      </c>
      <c r="DQ22" s="1536">
        <f t="shared" si="33"/>
        <v>-720</v>
      </c>
      <c r="DR22" s="1527"/>
      <c r="DS22" s="1527">
        <v>-943</v>
      </c>
      <c r="DT22" s="1527">
        <v>-790</v>
      </c>
      <c r="DU22" s="1527">
        <v>-912</v>
      </c>
      <c r="DV22" s="1527">
        <v>-541</v>
      </c>
      <c r="DW22" s="1536">
        <f t="shared" si="34"/>
        <v>-541</v>
      </c>
      <c r="DX22" s="1527"/>
      <c r="DY22" s="1527">
        <v>-994</v>
      </c>
      <c r="DZ22" s="1527">
        <v>-533</v>
      </c>
      <c r="EA22" s="1527">
        <v>-730</v>
      </c>
      <c r="EB22" s="1527">
        <v>48</v>
      </c>
      <c r="EC22" s="1536">
        <f t="shared" si="35"/>
        <v>48</v>
      </c>
      <c r="ED22" s="1527"/>
      <c r="EE22" s="1527">
        <v>-1088</v>
      </c>
      <c r="EF22" s="1527">
        <v>-861</v>
      </c>
      <c r="EG22" s="1527">
        <v>-1204</v>
      </c>
      <c r="EH22" s="1527">
        <v>247</v>
      </c>
      <c r="EI22" s="1536">
        <f t="shared" si="36"/>
        <v>247</v>
      </c>
      <c r="EJ22" s="1527"/>
      <c r="EK22" s="1527">
        <v>-1353</v>
      </c>
      <c r="EL22" s="1527">
        <v>-960</v>
      </c>
      <c r="EM22" s="1527">
        <v>-890</v>
      </c>
      <c r="EN22" s="1527">
        <v>-13</v>
      </c>
      <c r="EO22" s="1536">
        <f t="shared" si="37"/>
        <v>-13</v>
      </c>
      <c r="EP22" s="1527"/>
      <c r="EQ22" s="1527">
        <v>-1013</v>
      </c>
      <c r="ER22" s="1527">
        <v>-499</v>
      </c>
      <c r="ES22" s="1527">
        <v>-862</v>
      </c>
      <c r="ET22" s="1527">
        <v>-37</v>
      </c>
      <c r="EU22" s="1536">
        <f t="shared" si="38"/>
        <v>-37</v>
      </c>
      <c r="EV22" s="1527"/>
      <c r="EW22" s="1527">
        <v>-1062</v>
      </c>
      <c r="EX22" s="1527">
        <v>-618</v>
      </c>
      <c r="EY22" s="1527">
        <v>-606</v>
      </c>
      <c r="EZ22" s="1527">
        <f>('Balance Sheet'!EZ24+'Balance Sheet'!EZ27+'Balance Sheet'!EZ28)-('Balance Sheet'!EY24+'Balance Sheet'!EY27+'Balance Sheet'!EY28)+EY22</f>
        <v>112.17128962396419</v>
      </c>
      <c r="FA22" s="1536">
        <f t="shared" si="39"/>
        <v>112.17128962396419</v>
      </c>
      <c r="FB22" s="1527"/>
      <c r="FC22" s="1527">
        <f>('Balance Sheet'!FC24+'Balance Sheet'!FC27+'Balance Sheet'!FC28)-('Balance Sheet'!EZ24+'Balance Sheet'!EZ27+'Balance Sheet'!EZ28)</f>
        <v>-1471.9611462968423</v>
      </c>
      <c r="FD22" s="1527">
        <f>('Balance Sheet'!FD24+'Balance Sheet'!FD27+'Balance Sheet'!FD28)-('Balance Sheet'!FC24+'Balance Sheet'!FC27+'Balance Sheet'!FC28)+FC22</f>
        <v>-1484.0100946348866</v>
      </c>
      <c r="FE22" s="1527">
        <f>('Balance Sheet'!FE24+'Balance Sheet'!FE27+'Balance Sheet'!FE28)-('Balance Sheet'!FD24+'Balance Sheet'!FD27+'Balance Sheet'!FD28)+FD22</f>
        <v>-904.25491597106065</v>
      </c>
      <c r="FF22" s="1527">
        <f>('Balance Sheet'!FF24+'Balance Sheet'!FF27+'Balance Sheet'!FF28)-('Balance Sheet'!FE24+'Balance Sheet'!FE27+'Balance Sheet'!FE28)+FE22</f>
        <v>-127.46414800471939</v>
      </c>
      <c r="FG22" s="1536">
        <f t="shared" si="40"/>
        <v>-127.46414800471939</v>
      </c>
      <c r="FH22" s="1527"/>
      <c r="FI22" s="1527">
        <f>('Balance Sheet'!FI24+'Balance Sheet'!FI27+'Balance Sheet'!FI28)-('Balance Sheet'!FF24+'Balance Sheet'!FF27+'Balance Sheet'!FF28)</f>
        <v>-1514.2293064661544</v>
      </c>
      <c r="FJ22" s="1527">
        <f>('Balance Sheet'!FJ24+'Balance Sheet'!FJ27+'Balance Sheet'!FJ28)-('Balance Sheet'!FI24+'Balance Sheet'!FI27+'Balance Sheet'!FI28)+FI22</f>
        <v>-1525.9030831159207</v>
      </c>
      <c r="FK22" s="1527">
        <f>('Balance Sheet'!FK24+'Balance Sheet'!FK27+'Balance Sheet'!FK28)-('Balance Sheet'!FJ24+'Balance Sheet'!FJ27+'Balance Sheet'!FJ28)+FJ22</f>
        <v>-924.13284318885962</v>
      </c>
      <c r="FL22" s="1527">
        <f>('Balance Sheet'!FL24+'Balance Sheet'!FL27+'Balance Sheet'!FL28)-('Balance Sheet'!FK24+'Balance Sheet'!FK27+'Balance Sheet'!FK28)+FK22</f>
        <v>-103.1857022387394</v>
      </c>
      <c r="FM22" s="1536">
        <f t="shared" si="41"/>
        <v>-103.1857022387394</v>
      </c>
      <c r="FN22" s="1525"/>
      <c r="FO22" s="1525"/>
      <c r="FP22" s="1526"/>
      <c r="FQ22" s="1526"/>
      <c r="FR22" s="1526"/>
      <c r="FS22"/>
      <c r="FT22"/>
      <c r="FU22"/>
      <c r="FV22"/>
      <c r="FW22"/>
      <c r="FX22"/>
      <c r="FY22" s="1526"/>
      <c r="FZ22" s="1522"/>
      <c r="GA22" s="1522"/>
      <c r="GB22" s="1522"/>
      <c r="GC22" s="1522"/>
      <c r="GD22" s="1522"/>
      <c r="GE22" s="1522"/>
      <c r="GF22" s="1522"/>
      <c r="GG22" s="1522"/>
      <c r="GH22" s="1522"/>
      <c r="GI22" s="1522"/>
      <c r="GJ22" s="1522"/>
      <c r="GK22" s="1522"/>
      <c r="GL22" s="1522"/>
      <c r="GM22" s="1522"/>
      <c r="GN22" s="1522"/>
      <c r="GO22" s="1522"/>
      <c r="GP22" s="1522"/>
      <c r="GQ22" s="1522"/>
      <c r="GR22" s="1522"/>
      <c r="GS22" s="1522"/>
      <c r="GT22" s="1522"/>
      <c r="GU22" s="1522"/>
      <c r="GV22" s="1522"/>
      <c r="GW22" s="1522"/>
      <c r="GX22" s="1522"/>
      <c r="GY22" s="1522"/>
      <c r="GZ22" s="1522"/>
      <c r="HA22" s="1522"/>
      <c r="HB22" s="1522"/>
      <c r="HC22" s="1522"/>
      <c r="HD22" s="1522"/>
      <c r="HE22" s="1522"/>
      <c r="HF22" s="1522"/>
      <c r="HG22" s="1522"/>
      <c r="HH22" s="1522"/>
      <c r="HI22" s="1522"/>
      <c r="HJ22" s="1522"/>
      <c r="HK22" s="1522"/>
      <c r="HL22" s="1522"/>
      <c r="HM22" s="1522"/>
      <c r="HN22" s="1522"/>
      <c r="HO22" s="1522"/>
      <c r="HP22" s="1522"/>
      <c r="HQ22" s="1522"/>
      <c r="HR22" s="1522"/>
      <c r="HS22" s="1522"/>
      <c r="HT22" s="1522"/>
      <c r="HU22" s="1522"/>
      <c r="HV22" s="1522"/>
      <c r="HW22" s="1522"/>
      <c r="HX22" s="1522"/>
      <c r="HY22" s="1522"/>
      <c r="HZ22" s="1522"/>
      <c r="IA22" s="1522"/>
      <c r="IB22" s="1522"/>
      <c r="IC22" s="1522"/>
      <c r="ID22" s="1522"/>
      <c r="IE22" s="1522"/>
      <c r="IF22" s="1522"/>
      <c r="IG22" s="1522"/>
      <c r="IH22" s="1522"/>
      <c r="II22" s="1522"/>
      <c r="IJ22" s="1522"/>
      <c r="IK22" s="1522"/>
      <c r="IL22" s="1522"/>
      <c r="IM22" s="1522"/>
      <c r="IN22" s="1522"/>
      <c r="IO22" s="1522"/>
      <c r="IP22" s="1522"/>
      <c r="IQ22" s="1522"/>
      <c r="IR22" s="1522"/>
      <c r="IS22" s="1522"/>
      <c r="IT22" s="1522"/>
      <c r="IU22" s="1522"/>
      <c r="IV22" s="1522"/>
      <c r="IW22" s="1522"/>
      <c r="IX22" s="1522"/>
      <c r="IY22" s="1522"/>
      <c r="IZ22" s="1522"/>
      <c r="JA22" s="1522"/>
      <c r="JB22" s="1522"/>
      <c r="JC22" s="1522"/>
      <c r="JD22" s="1522"/>
      <c r="JE22" s="1522"/>
      <c r="JF22" s="1522"/>
      <c r="JG22" s="1522"/>
      <c r="JH22" s="1522"/>
      <c r="JI22" s="1522"/>
      <c r="JJ22" s="1522"/>
      <c r="JK22" s="1522"/>
      <c r="JL22" s="1522"/>
      <c r="JM22" s="1522"/>
      <c r="JN22" s="1522"/>
    </row>
    <row r="23" spans="1:274" s="1523" customFormat="1" ht="10.5" customHeight="1" x14ac:dyDescent="0.2">
      <c r="A23" s="1529" t="s">
        <v>542</v>
      </c>
      <c r="B23" s="1529"/>
      <c r="C23" s="1527">
        <f t="shared" ref="C23:M23" si="53">C74</f>
        <v>0</v>
      </c>
      <c r="D23" s="1527">
        <f t="shared" si="53"/>
        <v>0</v>
      </c>
      <c r="E23" s="1527">
        <f t="shared" si="53"/>
        <v>0</v>
      </c>
      <c r="F23" s="1527">
        <f t="shared" si="53"/>
        <v>0.76500000000000001</v>
      </c>
      <c r="G23" s="1527">
        <f t="shared" si="53"/>
        <v>5.6820000000000004</v>
      </c>
      <c r="H23" s="1527">
        <f t="shared" si="53"/>
        <v>6.4960000000000004</v>
      </c>
      <c r="I23" s="1527">
        <f t="shared" si="53"/>
        <v>38.356000000000002</v>
      </c>
      <c r="J23" s="1527">
        <f t="shared" si="53"/>
        <v>34.354999999999997</v>
      </c>
      <c r="K23" s="1527">
        <f t="shared" si="53"/>
        <v>13.137</v>
      </c>
      <c r="L23" s="1527">
        <f t="shared" si="53"/>
        <v>-3.46</v>
      </c>
      <c r="M23" s="1527">
        <f t="shared" si="53"/>
        <v>35.048999999999999</v>
      </c>
      <c r="N23" s="1540"/>
      <c r="O23" s="1527">
        <f>O74</f>
        <v>14.51</v>
      </c>
      <c r="P23" s="1527">
        <f t="shared" si="43"/>
        <v>6.5339999999999998</v>
      </c>
      <c r="Q23" s="1527">
        <f t="shared" si="43"/>
        <v>28.972000000000001</v>
      </c>
      <c r="R23" s="1527">
        <f t="shared" si="43"/>
        <v>77.222999999999999</v>
      </c>
      <c r="S23" s="1529">
        <f t="shared" si="16"/>
        <v>77.222999999999999</v>
      </c>
      <c r="T23" s="1540"/>
      <c r="U23" s="1527">
        <f>U74</f>
        <v>15.952999999999999</v>
      </c>
      <c r="V23" s="1527">
        <f t="shared" si="44"/>
        <v>-11.343</v>
      </c>
      <c r="W23" s="1527">
        <f t="shared" si="44"/>
        <v>38.906999999999996</v>
      </c>
      <c r="X23" s="1527">
        <f t="shared" si="44"/>
        <v>127.12599999999999</v>
      </c>
      <c r="Y23" s="1529">
        <f t="shared" si="17"/>
        <v>127.12599999999999</v>
      </c>
      <c r="Z23" s="1540"/>
      <c r="AA23" s="1527">
        <f>AA74</f>
        <v>35.78</v>
      </c>
      <c r="AB23" s="1527">
        <f t="shared" si="45"/>
        <v>6.9849999999999994</v>
      </c>
      <c r="AC23" s="1527">
        <f t="shared" si="45"/>
        <v>45.143000000000001</v>
      </c>
      <c r="AD23" s="1527">
        <f t="shared" si="45"/>
        <v>175.65700000000004</v>
      </c>
      <c r="AE23" s="1529">
        <f t="shared" si="18"/>
        <v>175.65700000000004</v>
      </c>
      <c r="AF23" s="1540"/>
      <c r="AG23" s="1527">
        <f>AG74</f>
        <v>98.039000000000001</v>
      </c>
      <c r="AH23" s="1527">
        <f t="shared" si="46"/>
        <v>19.305999999999997</v>
      </c>
      <c r="AI23" s="1527">
        <f t="shared" si="46"/>
        <v>75.352000000000004</v>
      </c>
      <c r="AJ23" s="1527">
        <f t="shared" si="46"/>
        <v>292.32299999999998</v>
      </c>
      <c r="AK23" s="1529">
        <f t="shared" si="19"/>
        <v>292.32299999999998</v>
      </c>
      <c r="AL23" s="1540"/>
      <c r="AM23" s="1527">
        <f>AM74</f>
        <v>85.402000000000001</v>
      </c>
      <c r="AN23" s="1527">
        <f t="shared" si="47"/>
        <v>-81.96</v>
      </c>
      <c r="AO23" s="1527">
        <f t="shared" si="47"/>
        <v>-58.789999999999992</v>
      </c>
      <c r="AP23" s="1527">
        <f t="shared" si="47"/>
        <v>134.31700000000004</v>
      </c>
      <c r="AQ23" s="1529">
        <f t="shared" si="20"/>
        <v>134.31700000000004</v>
      </c>
      <c r="AR23" s="1540"/>
      <c r="AS23" s="1527">
        <f>AS74</f>
        <v>70.703000000000003</v>
      </c>
      <c r="AT23" s="1527">
        <f t="shared" si="48"/>
        <v>-100.29400000000001</v>
      </c>
      <c r="AU23" s="1527">
        <f t="shared" si="48"/>
        <v>4.6279999999999859</v>
      </c>
      <c r="AV23" s="1527">
        <f t="shared" si="48"/>
        <v>122.14500000000001</v>
      </c>
      <c r="AW23" s="1529">
        <f t="shared" si="21"/>
        <v>122.14500000000001</v>
      </c>
      <c r="AX23" s="1540"/>
      <c r="AY23" s="1527">
        <f>AY74</f>
        <v>137.48599999999999</v>
      </c>
      <c r="AZ23" s="1527">
        <f t="shared" si="49"/>
        <v>-64.074999999999989</v>
      </c>
      <c r="BA23" s="1527">
        <f t="shared" si="49"/>
        <v>-74.483999999999995</v>
      </c>
      <c r="BB23" s="1527">
        <f t="shared" si="49"/>
        <v>104.99999999999999</v>
      </c>
      <c r="BC23" s="1529">
        <f t="shared" si="22"/>
        <v>104.99999999999999</v>
      </c>
      <c r="BD23" s="1540"/>
      <c r="BE23" s="1527">
        <f>BE74</f>
        <v>149.25700000000001</v>
      </c>
      <c r="BF23" s="1527">
        <f t="shared" si="50"/>
        <v>-127</v>
      </c>
      <c r="BG23" s="1527">
        <f t="shared" si="50"/>
        <v>-187</v>
      </c>
      <c r="BH23" s="1527">
        <f t="shared" si="50"/>
        <v>5</v>
      </c>
      <c r="BI23" s="1529">
        <f t="shared" si="23"/>
        <v>5</v>
      </c>
      <c r="BJ23" s="1540"/>
      <c r="BK23" s="1527">
        <f>BK74</f>
        <v>255</v>
      </c>
      <c r="BL23" s="1527">
        <f t="shared" si="51"/>
        <v>-13</v>
      </c>
      <c r="BM23" s="1527">
        <f t="shared" si="51"/>
        <v>-68</v>
      </c>
      <c r="BN23" s="1527">
        <f t="shared" si="51"/>
        <v>65</v>
      </c>
      <c r="BO23" s="1529">
        <f t="shared" si="24"/>
        <v>65</v>
      </c>
      <c r="BP23" s="1540"/>
      <c r="BQ23" s="1527">
        <f>BQ74</f>
        <v>228</v>
      </c>
      <c r="BR23" s="1527">
        <v>-54</v>
      </c>
      <c r="BS23" s="1527">
        <v>-68</v>
      </c>
      <c r="BT23" s="1527">
        <v>91</v>
      </c>
      <c r="BU23" s="1529">
        <f t="shared" si="25"/>
        <v>91</v>
      </c>
      <c r="BV23" s="1540"/>
      <c r="BW23" s="1529">
        <v>278</v>
      </c>
      <c r="BX23" s="1527">
        <v>-49</v>
      </c>
      <c r="BY23" s="1527">
        <v>24</v>
      </c>
      <c r="BZ23" s="1527">
        <v>394</v>
      </c>
      <c r="CA23" s="1529">
        <f t="shared" si="26"/>
        <v>394</v>
      </c>
      <c r="CB23" s="1540"/>
      <c r="CC23" s="1527">
        <v>336</v>
      </c>
      <c r="CD23" s="1527">
        <v>-92</v>
      </c>
      <c r="CE23" s="1527">
        <v>-18</v>
      </c>
      <c r="CF23" s="1527">
        <v>278</v>
      </c>
      <c r="CG23" s="1529">
        <f t="shared" si="27"/>
        <v>278</v>
      </c>
      <c r="CH23" s="1540"/>
      <c r="CI23" s="1527">
        <v>373</v>
      </c>
      <c r="CJ23" s="1527">
        <v>-196</v>
      </c>
      <c r="CK23" s="1527">
        <v>-110</v>
      </c>
      <c r="CL23" s="1527">
        <v>387</v>
      </c>
      <c r="CM23" s="1536">
        <f t="shared" si="28"/>
        <v>387</v>
      </c>
      <c r="CN23" s="1540"/>
      <c r="CO23" s="1527">
        <v>756</v>
      </c>
      <c r="CP23" s="1527">
        <v>70</v>
      </c>
      <c r="CQ23" s="1527">
        <v>88</v>
      </c>
      <c r="CR23" s="1527">
        <v>652</v>
      </c>
      <c r="CS23" s="1536">
        <f t="shared" si="29"/>
        <v>652</v>
      </c>
      <c r="CT23" s="1540"/>
      <c r="CU23" s="1527">
        <v>651</v>
      </c>
      <c r="CV23" s="1527">
        <v>-207</v>
      </c>
      <c r="CW23" s="1527">
        <v>-54</v>
      </c>
      <c r="CX23" s="1527">
        <v>433</v>
      </c>
      <c r="CY23" s="1536">
        <f t="shared" si="30"/>
        <v>433</v>
      </c>
      <c r="CZ23" s="1540"/>
      <c r="DA23" s="1527">
        <v>582</v>
      </c>
      <c r="DB23" s="1527">
        <v>-448</v>
      </c>
      <c r="DC23" s="1564">
        <v>-136</v>
      </c>
      <c r="DD23" s="1527">
        <v>489</v>
      </c>
      <c r="DE23" s="1536">
        <f t="shared" si="31"/>
        <v>489</v>
      </c>
      <c r="DF23" s="1540"/>
      <c r="DG23" s="1527">
        <v>734</v>
      </c>
      <c r="DH23" s="1527">
        <v>-546</v>
      </c>
      <c r="DI23" s="1527">
        <v>-564</v>
      </c>
      <c r="DJ23" s="1527">
        <v>231</v>
      </c>
      <c r="DK23" s="1536">
        <f t="shared" si="32"/>
        <v>231</v>
      </c>
      <c r="DL23" s="1540"/>
      <c r="DM23" s="1527">
        <v>1004</v>
      </c>
      <c r="DN23" s="1527">
        <v>-544</v>
      </c>
      <c r="DO23" s="1527">
        <v>-536</v>
      </c>
      <c r="DP23" s="1527">
        <v>492</v>
      </c>
      <c r="DQ23" s="1536">
        <f t="shared" si="33"/>
        <v>492</v>
      </c>
      <c r="DR23" s="1540"/>
      <c r="DS23" s="1527">
        <v>1243</v>
      </c>
      <c r="DT23" s="1527">
        <v>-599</v>
      </c>
      <c r="DU23" s="1527">
        <v>-853</v>
      </c>
      <c r="DV23" s="1527">
        <v>148</v>
      </c>
      <c r="DW23" s="1536">
        <f t="shared" si="34"/>
        <v>148</v>
      </c>
      <c r="DX23" s="1540"/>
      <c r="DY23" s="1527">
        <v>1442</v>
      </c>
      <c r="DZ23" s="1527">
        <v>-437</v>
      </c>
      <c r="EA23" s="1527">
        <v>-522</v>
      </c>
      <c r="EB23" s="1527">
        <v>172</v>
      </c>
      <c r="EC23" s="1536">
        <f t="shared" si="35"/>
        <v>172</v>
      </c>
      <c r="ED23" s="1540"/>
      <c r="EE23" s="1527">
        <v>1816</v>
      </c>
      <c r="EF23" s="1527">
        <v>-230</v>
      </c>
      <c r="EG23" s="1527">
        <v>-296</v>
      </c>
      <c r="EH23" s="1527">
        <v>655</v>
      </c>
      <c r="EI23" s="1536">
        <f t="shared" si="36"/>
        <v>655</v>
      </c>
      <c r="EJ23" s="1540"/>
      <c r="EK23" s="1527">
        <v>2071</v>
      </c>
      <c r="EL23" s="1527">
        <v>13</v>
      </c>
      <c r="EM23" s="1527">
        <v>24</v>
      </c>
      <c r="EN23" s="1527">
        <v>676</v>
      </c>
      <c r="EO23" s="1536">
        <f t="shared" si="37"/>
        <v>676</v>
      </c>
      <c r="EP23" s="1540"/>
      <c r="EQ23" s="1527">
        <v>1761</v>
      </c>
      <c r="ER23" s="1527">
        <v>-208</v>
      </c>
      <c r="ES23" s="1527">
        <v>-388</v>
      </c>
      <c r="ET23" s="1527">
        <v>535</v>
      </c>
      <c r="EU23" s="1536">
        <f t="shared" si="38"/>
        <v>535</v>
      </c>
      <c r="EV23" s="1540"/>
      <c r="EW23" s="1527">
        <v>1785</v>
      </c>
      <c r="EX23" s="1527">
        <v>-344</v>
      </c>
      <c r="EY23" s="1527">
        <v>-513</v>
      </c>
      <c r="EZ23" s="1527">
        <f>'Balance Sheet'!EZ29-'Balance Sheet'!EY29+EY23</f>
        <v>503.30258654474164</v>
      </c>
      <c r="FA23" s="1536">
        <f t="shared" si="39"/>
        <v>503.30258654474164</v>
      </c>
      <c r="FB23" s="1540"/>
      <c r="FC23" s="1527">
        <f>'Balance Sheet'!FC29-'Balance Sheet'!EZ29</f>
        <v>2379.2874134552585</v>
      </c>
      <c r="FD23" s="1527">
        <f>'Balance Sheet'!FD29-'Balance Sheet'!FC29+FC23</f>
        <v>-54.942586544741062</v>
      </c>
      <c r="FE23" s="1527">
        <f>'Balance Sheet'!FE29-'Balance Sheet'!FD29+FD23</f>
        <v>-350.10808194268429</v>
      </c>
      <c r="FF23" s="1527">
        <f>'Balance Sheet'!FF29-'Balance Sheet'!FE29+FE23</f>
        <v>1041.78541437268</v>
      </c>
      <c r="FG23" s="1536">
        <f t="shared" si="40"/>
        <v>1041.78541437268</v>
      </c>
      <c r="FH23" s="1540"/>
      <c r="FI23" s="1527">
        <f>'Balance Sheet'!FI29-'Balance Sheet'!FF29</f>
        <v>2591.3468990825804</v>
      </c>
      <c r="FJ23" s="1527">
        <f>'Balance Sheet'!FJ29-'Balance Sheet'!FI29+FI23</f>
        <v>-110.64840091742008</v>
      </c>
      <c r="FK23" s="1527">
        <f>'Balance Sheet'!FK29-'Balance Sheet'!FJ29+FJ23</f>
        <v>-670.24289800320184</v>
      </c>
      <c r="FL23" s="1527">
        <f>'Balance Sheet'!FL29-'Balance Sheet'!FK29+FK23</f>
        <v>1363.3398541282349</v>
      </c>
      <c r="FM23" s="1536">
        <f t="shared" si="41"/>
        <v>1363.3398541282349</v>
      </c>
      <c r="FN23" s="1539"/>
      <c r="FO23" s="1539"/>
      <c r="FP23" s="1524"/>
      <c r="FQ23" s="1524"/>
      <c r="FR23" s="1524"/>
      <c r="FS23"/>
      <c r="FT23"/>
      <c r="FU23"/>
      <c r="FV23"/>
      <c r="FW23"/>
      <c r="FX23"/>
      <c r="FY23" s="1524"/>
      <c r="FZ23" s="1522"/>
      <c r="GA23" s="1522"/>
      <c r="GB23" s="1522"/>
      <c r="GC23" s="1522"/>
      <c r="GD23" s="1522"/>
      <c r="GE23" s="1522"/>
      <c r="GF23" s="1522"/>
      <c r="GG23" s="1522"/>
      <c r="GH23" s="1522"/>
      <c r="GI23" s="1522"/>
      <c r="GJ23" s="1522"/>
      <c r="GK23" s="1522"/>
      <c r="GL23" s="1522"/>
      <c r="GM23" s="1522"/>
      <c r="GN23" s="1522"/>
      <c r="GO23" s="1522"/>
      <c r="GP23" s="1522"/>
      <c r="GQ23" s="1522"/>
      <c r="GR23" s="1522"/>
      <c r="GS23" s="1522"/>
      <c r="GT23" s="1522"/>
      <c r="GU23" s="1522"/>
      <c r="GV23" s="1522"/>
      <c r="GW23" s="1522"/>
      <c r="GX23" s="1522"/>
      <c r="GY23" s="1522"/>
      <c r="GZ23" s="1522"/>
      <c r="HA23" s="1522"/>
      <c r="HB23" s="1522"/>
      <c r="HC23" s="1522"/>
      <c r="HD23" s="1522"/>
      <c r="HE23" s="1522"/>
      <c r="HF23" s="1522"/>
      <c r="HG23" s="1522"/>
      <c r="HH23" s="1522"/>
      <c r="HI23" s="1522"/>
      <c r="HJ23" s="1522"/>
      <c r="HK23" s="1522"/>
      <c r="HL23" s="1522"/>
      <c r="HM23" s="1522"/>
      <c r="HN23" s="1522"/>
      <c r="HO23" s="1522"/>
      <c r="HP23" s="1522"/>
      <c r="HQ23" s="1522"/>
      <c r="HR23" s="1522"/>
      <c r="HS23" s="1522"/>
      <c r="HT23" s="1522"/>
      <c r="HU23" s="1522"/>
      <c r="HV23" s="1522"/>
      <c r="HW23" s="1522"/>
      <c r="HX23" s="1522"/>
      <c r="HY23" s="1522"/>
      <c r="HZ23" s="1522"/>
      <c r="IA23" s="1522"/>
      <c r="IB23" s="1522"/>
      <c r="IC23" s="1522"/>
      <c r="ID23" s="1522"/>
      <c r="IE23" s="1522"/>
      <c r="IF23" s="1522"/>
      <c r="IG23" s="1522"/>
      <c r="IH23" s="1522"/>
      <c r="II23" s="1522"/>
      <c r="IJ23" s="1522"/>
      <c r="IK23" s="1522"/>
      <c r="IL23" s="1522"/>
      <c r="IM23" s="1522"/>
      <c r="IN23" s="1522"/>
      <c r="IO23" s="1522"/>
      <c r="IP23" s="1522"/>
      <c r="IQ23" s="1522"/>
      <c r="IR23" s="1522"/>
      <c r="IS23" s="1522"/>
      <c r="IT23" s="1522"/>
      <c r="IU23" s="1522"/>
      <c r="IV23" s="1522"/>
      <c r="IW23" s="1522"/>
      <c r="IX23" s="1522"/>
      <c r="IY23" s="1522"/>
      <c r="IZ23" s="1522"/>
      <c r="JA23" s="1522"/>
      <c r="JB23" s="1522"/>
      <c r="JC23" s="1522"/>
      <c r="JD23" s="1522"/>
      <c r="JE23" s="1522"/>
      <c r="JF23" s="1522"/>
      <c r="JG23" s="1522"/>
      <c r="JH23" s="1522"/>
      <c r="JI23" s="1522"/>
      <c r="JJ23" s="1522"/>
      <c r="JK23" s="1522"/>
      <c r="JL23" s="1522"/>
      <c r="JM23" s="1522"/>
      <c r="JN23" s="1522"/>
    </row>
    <row r="24" spans="1:274" s="1523" customFormat="1" ht="10.5" customHeight="1" x14ac:dyDescent="0.2">
      <c r="A24" s="1529" t="s">
        <v>885</v>
      </c>
      <c r="B24" s="1529"/>
      <c r="C24" s="1527">
        <f t="shared" ref="C24:M24" si="54">C75</f>
        <v>0</v>
      </c>
      <c r="D24" s="1527">
        <f t="shared" si="54"/>
        <v>0</v>
      </c>
      <c r="E24" s="1527">
        <f t="shared" si="54"/>
        <v>0</v>
      </c>
      <c r="F24" s="1527">
        <f t="shared" si="54"/>
        <v>9.2360000000000007</v>
      </c>
      <c r="G24" s="1527">
        <f t="shared" si="54"/>
        <v>21.42</v>
      </c>
      <c r="H24" s="1527">
        <f t="shared" si="54"/>
        <v>39.995000000000005</v>
      </c>
      <c r="I24" s="1527">
        <f t="shared" si="54"/>
        <v>41.4</v>
      </c>
      <c r="J24" s="1527">
        <f t="shared" si="54"/>
        <v>6.9160000000000004</v>
      </c>
      <c r="K24" s="1527">
        <f t="shared" si="54"/>
        <v>36.681999999999995</v>
      </c>
      <c r="L24" s="1527">
        <f t="shared" si="54"/>
        <v>38.656000000000006</v>
      </c>
      <c r="M24" s="1527">
        <f t="shared" si="54"/>
        <v>67.734999999999999</v>
      </c>
      <c r="N24" s="1540"/>
      <c r="O24" s="1527">
        <f>O75</f>
        <v>-27.626999999999999</v>
      </c>
      <c r="P24" s="1527">
        <f t="shared" si="43"/>
        <v>7.0680000000000014</v>
      </c>
      <c r="Q24" s="1527">
        <f t="shared" si="43"/>
        <v>30.715999999999998</v>
      </c>
      <c r="R24" s="1527">
        <f t="shared" si="43"/>
        <v>179.86000000000004</v>
      </c>
      <c r="S24" s="1529">
        <f t="shared" si="16"/>
        <v>179.86000000000004</v>
      </c>
      <c r="T24" s="1540"/>
      <c r="U24" s="1527">
        <f>U75</f>
        <v>-102.48599999999999</v>
      </c>
      <c r="V24" s="1527">
        <f t="shared" si="44"/>
        <v>-29.289000000000001</v>
      </c>
      <c r="W24" s="1527">
        <f t="shared" si="44"/>
        <v>-1.9440000000000026</v>
      </c>
      <c r="X24" s="1527">
        <f t="shared" si="44"/>
        <v>222.34899999999999</v>
      </c>
      <c r="Y24" s="1529">
        <f t="shared" si="17"/>
        <v>222.34899999999999</v>
      </c>
      <c r="Z24" s="1540"/>
      <c r="AA24" s="1527">
        <f>AA75</f>
        <v>-132.83600000000001</v>
      </c>
      <c r="AB24" s="1527">
        <f t="shared" si="45"/>
        <v>-70.783000000000001</v>
      </c>
      <c r="AC24" s="1527">
        <f t="shared" si="45"/>
        <v>13.237000000000009</v>
      </c>
      <c r="AD24" s="1527">
        <f t="shared" si="45"/>
        <v>277.82099999999997</v>
      </c>
      <c r="AE24" s="1529">
        <f t="shared" si="18"/>
        <v>277.82099999999997</v>
      </c>
      <c r="AF24" s="1540"/>
      <c r="AG24" s="1527">
        <f>AG75</f>
        <v>-232.69199999999998</v>
      </c>
      <c r="AH24" s="1527">
        <f t="shared" si="46"/>
        <v>-120.143</v>
      </c>
      <c r="AI24" s="1527">
        <f t="shared" si="46"/>
        <v>4.585000000000008</v>
      </c>
      <c r="AJ24" s="1527">
        <f t="shared" si="46"/>
        <v>318.548</v>
      </c>
      <c r="AK24" s="1529">
        <f t="shared" si="19"/>
        <v>318.548</v>
      </c>
      <c r="AL24" s="1540"/>
      <c r="AM24" s="1527">
        <f>AM75</f>
        <v>-265.20299999999997</v>
      </c>
      <c r="AN24" s="1527">
        <f t="shared" si="47"/>
        <v>1.1030000000000086</v>
      </c>
      <c r="AO24" s="1527">
        <f t="shared" si="47"/>
        <v>-52.89100000000002</v>
      </c>
      <c r="AP24" s="1527">
        <f t="shared" si="47"/>
        <v>295.161</v>
      </c>
      <c r="AQ24" s="1529">
        <f t="shared" si="20"/>
        <v>295.161</v>
      </c>
      <c r="AR24" s="1540"/>
      <c r="AS24" s="1527">
        <f>AS75</f>
        <v>-331.59699999999998</v>
      </c>
      <c r="AT24" s="1527">
        <f t="shared" si="48"/>
        <v>-226.13900000000001</v>
      </c>
      <c r="AU24" s="1527">
        <f t="shared" si="48"/>
        <v>-144.50599999999997</v>
      </c>
      <c r="AV24" s="1527">
        <f t="shared" si="48"/>
        <v>219.12700000000001</v>
      </c>
      <c r="AW24" s="1529">
        <f t="shared" si="21"/>
        <v>219.12700000000001</v>
      </c>
      <c r="AX24" s="1540"/>
      <c r="AY24" s="1527">
        <f>AY75</f>
        <v>45.66</v>
      </c>
      <c r="AZ24" s="1527">
        <f t="shared" si="49"/>
        <v>-221.92699999999999</v>
      </c>
      <c r="BA24" s="1527">
        <f t="shared" si="49"/>
        <v>-145.44200000000001</v>
      </c>
      <c r="BB24" s="1527">
        <f t="shared" si="49"/>
        <v>22</v>
      </c>
      <c r="BC24" s="1529">
        <f t="shared" si="22"/>
        <v>22</v>
      </c>
      <c r="BD24" s="1540"/>
      <c r="BE24" s="1527">
        <f>BE75</f>
        <v>-11.198</v>
      </c>
      <c r="BF24" s="1527">
        <f t="shared" si="50"/>
        <v>7</v>
      </c>
      <c r="BG24" s="1527">
        <f t="shared" si="50"/>
        <v>3</v>
      </c>
      <c r="BH24" s="1527">
        <f t="shared" si="50"/>
        <v>14</v>
      </c>
      <c r="BI24" s="1529">
        <f t="shared" si="23"/>
        <v>14</v>
      </c>
      <c r="BJ24" s="1540"/>
      <c r="BK24" s="1527">
        <f>BK75</f>
        <v>-12</v>
      </c>
      <c r="BL24" s="1527">
        <f t="shared" si="51"/>
        <v>-8</v>
      </c>
      <c r="BM24" s="1527">
        <f t="shared" si="51"/>
        <v>-13</v>
      </c>
      <c r="BN24" s="1527">
        <f t="shared" si="51"/>
        <v>4</v>
      </c>
      <c r="BO24" s="1529">
        <f t="shared" si="24"/>
        <v>4</v>
      </c>
      <c r="BP24" s="1540"/>
      <c r="BQ24" s="1527">
        <f>BQ75</f>
        <v>-16</v>
      </c>
      <c r="BR24" s="1527">
        <f>135+10</f>
        <v>145</v>
      </c>
      <c r="BS24" s="1527">
        <f>-76-14</f>
        <v>-90</v>
      </c>
      <c r="BT24" s="1527">
        <f>200+37</f>
        <v>237</v>
      </c>
      <c r="BU24" s="1529">
        <f t="shared" si="25"/>
        <v>237</v>
      </c>
      <c r="BV24" s="1540"/>
      <c r="BW24" s="1529">
        <f>25+9</f>
        <v>34</v>
      </c>
      <c r="BX24" s="1527">
        <f>24+19</f>
        <v>43</v>
      </c>
      <c r="BY24" s="1527">
        <f>27+10+33+34-121</f>
        <v>-17</v>
      </c>
      <c r="BZ24" s="1527">
        <f>42+72+33+46-18</f>
        <v>175</v>
      </c>
      <c r="CA24" s="1529">
        <f t="shared" si="26"/>
        <v>175</v>
      </c>
      <c r="CB24" s="1540"/>
      <c r="CC24" s="1527">
        <v>-172</v>
      </c>
      <c r="CD24" s="1527">
        <v>-219</v>
      </c>
      <c r="CE24" s="1527">
        <v>-201</v>
      </c>
      <c r="CF24" s="1527">
        <v>64</v>
      </c>
      <c r="CG24" s="1529">
        <f t="shared" si="27"/>
        <v>64</v>
      </c>
      <c r="CH24" s="1540"/>
      <c r="CI24" s="1527">
        <v>-6</v>
      </c>
      <c r="CJ24" s="1527">
        <v>-162</v>
      </c>
      <c r="CK24" s="1527">
        <v>-21</v>
      </c>
      <c r="CL24" s="1527">
        <v>167</v>
      </c>
      <c r="CM24" s="1536">
        <f t="shared" si="28"/>
        <v>167</v>
      </c>
      <c r="CN24" s="1540"/>
      <c r="CO24" s="1527">
        <f>-301+12+7</f>
        <v>-282</v>
      </c>
      <c r="CP24" s="1527">
        <f>-241</f>
        <v>-241</v>
      </c>
      <c r="CQ24" s="1527">
        <v>-273</v>
      </c>
      <c r="CR24" s="1527">
        <v>368</v>
      </c>
      <c r="CS24" s="1536">
        <f t="shared" si="29"/>
        <v>368</v>
      </c>
      <c r="CT24" s="1540"/>
      <c r="CU24" s="1527">
        <v>-361</v>
      </c>
      <c r="CV24" s="1527">
        <v>-273</v>
      </c>
      <c r="CW24" s="1527">
        <v>-51</v>
      </c>
      <c r="CX24" s="1527">
        <v>142</v>
      </c>
      <c r="CY24" s="1536">
        <f t="shared" si="30"/>
        <v>142</v>
      </c>
      <c r="CZ24" s="1540"/>
      <c r="DA24" s="1527">
        <v>-9</v>
      </c>
      <c r="DB24" s="1527">
        <v>59</v>
      </c>
      <c r="DC24" s="1564">
        <v>-269</v>
      </c>
      <c r="DD24" s="1527">
        <v>-79</v>
      </c>
      <c r="DE24" s="1536">
        <f t="shared" si="31"/>
        <v>-79</v>
      </c>
      <c r="DF24" s="1540"/>
      <c r="DG24" s="1527">
        <v>-529</v>
      </c>
      <c r="DH24" s="1527">
        <v>-613</v>
      </c>
      <c r="DI24" s="1527">
        <v>-591</v>
      </c>
      <c r="DJ24" s="1527">
        <v>-96</v>
      </c>
      <c r="DK24" s="1536">
        <f t="shared" si="32"/>
        <v>-96</v>
      </c>
      <c r="DL24" s="1540"/>
      <c r="DM24" s="1527">
        <f>159</f>
        <v>159</v>
      </c>
      <c r="DN24" s="1527">
        <v>184</v>
      </c>
      <c r="DO24" s="1527">
        <v>259</v>
      </c>
      <c r="DP24" s="1527">
        <v>54</v>
      </c>
      <c r="DQ24" s="1536">
        <f t="shared" si="33"/>
        <v>54</v>
      </c>
      <c r="DR24" s="1540"/>
      <c r="DS24" s="1527">
        <v>-329</v>
      </c>
      <c r="DT24" s="1527">
        <v>-559</v>
      </c>
      <c r="DU24" s="1527">
        <v>-809</v>
      </c>
      <c r="DV24" s="1527">
        <v>35</v>
      </c>
      <c r="DW24" s="1536">
        <f t="shared" si="34"/>
        <v>35</v>
      </c>
      <c r="DX24" s="1540"/>
      <c r="DY24" s="1527">
        <v>-313</v>
      </c>
      <c r="DZ24" s="1527">
        <v>-343</v>
      </c>
      <c r="EA24" s="1527">
        <v>-457</v>
      </c>
      <c r="EB24" s="1527">
        <v>-320</v>
      </c>
      <c r="EC24" s="1536">
        <f t="shared" si="35"/>
        <v>-320</v>
      </c>
      <c r="ED24" s="1540"/>
      <c r="EE24" s="1527">
        <v>80</v>
      </c>
      <c r="EF24" s="1527">
        <v>191</v>
      </c>
      <c r="EG24" s="1527">
        <v>-369</v>
      </c>
      <c r="EH24" s="1527">
        <v>-10</v>
      </c>
      <c r="EI24" s="1536">
        <f t="shared" si="36"/>
        <v>-10</v>
      </c>
      <c r="EJ24" s="1540"/>
      <c r="EK24" s="1527">
        <v>-204</v>
      </c>
      <c r="EL24" s="1527">
        <v>-367</v>
      </c>
      <c r="EM24" s="1527">
        <v>-112</v>
      </c>
      <c r="EN24" s="1527">
        <v>2</v>
      </c>
      <c r="EO24" s="1536">
        <f t="shared" si="37"/>
        <v>2</v>
      </c>
      <c r="EP24" s="1540"/>
      <c r="EQ24" s="1527">
        <v>-309</v>
      </c>
      <c r="ER24" s="1527">
        <v>-240</v>
      </c>
      <c r="ES24" s="1527">
        <v>-330</v>
      </c>
      <c r="ET24" s="1527">
        <v>118</v>
      </c>
      <c r="EU24" s="1536">
        <f t="shared" si="38"/>
        <v>118</v>
      </c>
      <c r="EV24" s="1540"/>
      <c r="EW24" s="1527">
        <v>32</v>
      </c>
      <c r="EX24" s="1527">
        <v>22</v>
      </c>
      <c r="EY24" s="1527">
        <v>7444</v>
      </c>
      <c r="EZ24" s="1527">
        <f>('Balance Sheet'!EZ26+'Balance Sheet'!EZ34+'Balance Sheet'!EZ41)-('Balance Sheet'!EY26+'Balance Sheet'!EY34+'Balance Sheet'!EY41)+EY24</f>
        <v>7252.4891100835302</v>
      </c>
      <c r="FA24" s="1536">
        <f t="shared" si="39"/>
        <v>7252.4891100835302</v>
      </c>
      <c r="FB24" s="1540"/>
      <c r="FC24" s="1527">
        <f>('Balance Sheet'!FC26+'Balance Sheet'!FC34+'Balance Sheet'!FC41)-('Balance Sheet'!EZ26+'Balance Sheet'!EZ34+'Balance Sheet'!EZ41)</f>
        <v>-44.552993527207946</v>
      </c>
      <c r="FD24" s="1527">
        <f>('Balance Sheet'!FD26+'Balance Sheet'!FD34+'Balance Sheet'!FD41)-('Balance Sheet'!FC26+'Balance Sheet'!FC34+'Balance Sheet'!FC41)+FC24</f>
        <v>-72.585969999756344</v>
      </c>
      <c r="FE24" s="1527">
        <f>('Balance Sheet'!FE26+'Balance Sheet'!FE34+'Balance Sheet'!FE41)-('Balance Sheet'!FD26+'Balance Sheet'!FD34+'Balance Sheet'!FD41)+FD24</f>
        <v>-95.872330242402313</v>
      </c>
      <c r="FF24" s="1527">
        <f>('Balance Sheet'!FF26+'Balance Sheet'!FF34+'Balance Sheet'!FF41)-('Balance Sheet'!FE26+'Balance Sheet'!FE34+'Balance Sheet'!FE41)+FE24</f>
        <v>-148.72139068531214</v>
      </c>
      <c r="FG24" s="1536">
        <f t="shared" si="40"/>
        <v>-148.72139068531214</v>
      </c>
      <c r="FH24" s="1540"/>
      <c r="FI24" s="1527">
        <f>('Balance Sheet'!FI26+'Balance Sheet'!FI34+'Balance Sheet'!FI41)-('Balance Sheet'!FF26+'Balance Sheet'!FF34+'Balance Sheet'!FF41)</f>
        <v>-58.15621345139698</v>
      </c>
      <c r="FJ24" s="1527">
        <f>('Balance Sheet'!FJ26+'Balance Sheet'!FJ34+'Balance Sheet'!FJ41)-('Balance Sheet'!FI26+'Balance Sheet'!FI34+'Balance Sheet'!FI41)+FI24</f>
        <v>-90.970299341364807</v>
      </c>
      <c r="FK24" s="1527">
        <f>('Balance Sheet'!FK26+'Balance Sheet'!FK34+'Balance Sheet'!FK41)-('Balance Sheet'!FJ26+'Balance Sheet'!FJ34+'Balance Sheet'!FJ41)+FJ24</f>
        <v>-99.911045740822374</v>
      </c>
      <c r="FL24" s="1527">
        <f>('Balance Sheet'!FL26+'Balance Sheet'!FL34+'Balance Sheet'!FL41)-('Balance Sheet'!FK26+'Balance Sheet'!FK34+'Balance Sheet'!FK41)+FK24</f>
        <v>-92.969117380440366</v>
      </c>
      <c r="FM24" s="1536">
        <f t="shared" si="41"/>
        <v>-92.969117380440366</v>
      </c>
      <c r="FN24" s="1539"/>
      <c r="FO24" s="1539"/>
      <c r="FP24" s="1524"/>
      <c r="FQ24" s="1524"/>
      <c r="FR24" s="1524"/>
      <c r="FS24"/>
      <c r="FT24"/>
      <c r="FU24"/>
      <c r="FV24"/>
      <c r="FW24"/>
      <c r="FX24"/>
      <c r="FY24" s="1524"/>
      <c r="FZ24" s="1522"/>
      <c r="GA24" s="1522"/>
      <c r="GB24" s="1522"/>
      <c r="GC24" s="1522"/>
      <c r="GD24" s="1522"/>
      <c r="GE24" s="1522"/>
      <c r="GF24" s="1522"/>
      <c r="GG24" s="1522"/>
      <c r="GH24" s="1522"/>
      <c r="GI24" s="1522"/>
      <c r="GJ24" s="1522"/>
      <c r="GK24" s="1522"/>
      <c r="GL24" s="1522"/>
      <c r="GM24" s="1522"/>
      <c r="GN24" s="1522"/>
      <c r="GO24" s="1522"/>
      <c r="GP24" s="1522"/>
      <c r="GQ24" s="1522"/>
      <c r="GR24" s="1522"/>
      <c r="GS24" s="1522"/>
      <c r="GT24" s="1522"/>
      <c r="GU24" s="1522"/>
      <c r="GV24" s="1522"/>
      <c r="GW24" s="1522"/>
      <c r="GX24" s="1522"/>
      <c r="GY24" s="1522"/>
      <c r="GZ24" s="1522"/>
      <c r="HA24" s="1522"/>
      <c r="HB24" s="1522"/>
      <c r="HC24" s="1522"/>
      <c r="HD24" s="1522"/>
      <c r="HE24" s="1522"/>
      <c r="HF24" s="1522"/>
      <c r="HG24" s="1522"/>
      <c r="HH24" s="1522"/>
      <c r="HI24" s="1522"/>
      <c r="HJ24" s="1522"/>
      <c r="HK24" s="1522"/>
      <c r="HL24" s="1522"/>
      <c r="HM24" s="1522"/>
      <c r="HN24" s="1522"/>
      <c r="HO24" s="1522"/>
      <c r="HP24" s="1522"/>
      <c r="HQ24" s="1522"/>
      <c r="HR24" s="1522"/>
      <c r="HS24" s="1522"/>
      <c r="HT24" s="1522"/>
      <c r="HU24" s="1522"/>
      <c r="HV24" s="1522"/>
      <c r="HW24" s="1522"/>
      <c r="HX24" s="1522"/>
      <c r="HY24" s="1522"/>
      <c r="HZ24" s="1522"/>
      <c r="IA24" s="1522"/>
      <c r="IB24" s="1522"/>
      <c r="IC24" s="1522"/>
      <c r="ID24" s="1522"/>
      <c r="IE24" s="1522"/>
      <c r="IF24" s="1522"/>
      <c r="IG24" s="1522"/>
      <c r="IH24" s="1522"/>
      <c r="II24" s="1522"/>
      <c r="IJ24" s="1522"/>
      <c r="IK24" s="1522"/>
      <c r="IL24" s="1522"/>
      <c r="IM24" s="1522"/>
      <c r="IN24" s="1522"/>
      <c r="IO24" s="1522"/>
      <c r="IP24" s="1522"/>
      <c r="IQ24" s="1522"/>
      <c r="IR24" s="1522"/>
      <c r="IS24" s="1522"/>
      <c r="IT24" s="1522"/>
      <c r="IU24" s="1522"/>
      <c r="IV24" s="1522"/>
      <c r="IW24" s="1522"/>
      <c r="IX24" s="1522"/>
      <c r="IY24" s="1522"/>
      <c r="IZ24" s="1522"/>
      <c r="JA24" s="1522"/>
      <c r="JB24" s="1522"/>
      <c r="JC24" s="1522"/>
      <c r="JD24" s="1522"/>
      <c r="JE24" s="1522"/>
      <c r="JF24" s="1522"/>
      <c r="JG24" s="1522"/>
      <c r="JH24" s="1522"/>
      <c r="JI24" s="1522"/>
      <c r="JJ24" s="1522"/>
      <c r="JK24" s="1522"/>
      <c r="JL24" s="1522"/>
      <c r="JM24" s="1522"/>
      <c r="JN24" s="1522"/>
    </row>
    <row r="25" spans="1:274" s="24" customFormat="1" ht="10.5" customHeight="1" x14ac:dyDescent="0.2">
      <c r="A25" s="1376" t="s">
        <v>765</v>
      </c>
      <c r="B25" s="1376"/>
      <c r="C25" s="1376">
        <f>SUM(C9:C24)</f>
        <v>0</v>
      </c>
      <c r="D25" s="1376">
        <f t="shared" ref="D25:O25" si="55">SUM(D9:D24)</f>
        <v>0</v>
      </c>
      <c r="E25" s="1376">
        <f>E76</f>
        <v>4.4029999999999996</v>
      </c>
      <c r="F25" s="1376">
        <f t="shared" si="55"/>
        <v>6.4730000000000008</v>
      </c>
      <c r="G25" s="1376">
        <f t="shared" si="55"/>
        <v>40.528999999999996</v>
      </c>
      <c r="H25" s="1376">
        <f t="shared" si="55"/>
        <v>26.240000000000009</v>
      </c>
      <c r="I25" s="1376">
        <f t="shared" si="55"/>
        <v>44.005999999999972</v>
      </c>
      <c r="J25" s="1376">
        <f t="shared" si="55"/>
        <v>89.377999999999986</v>
      </c>
      <c r="K25" s="1376">
        <f t="shared" si="55"/>
        <v>242.32</v>
      </c>
      <c r="L25" s="1376">
        <f t="shared" si="55"/>
        <v>317.483</v>
      </c>
      <c r="M25" s="1376">
        <f t="shared" si="55"/>
        <v>443.45099999999996</v>
      </c>
      <c r="N25" s="1376"/>
      <c r="O25" s="1376">
        <f t="shared" si="55"/>
        <v>101.80199999999998</v>
      </c>
      <c r="P25" s="1376">
        <f>SUM(P9:P24)</f>
        <v>166.45200000000003</v>
      </c>
      <c r="Q25" s="1376">
        <f>SUM(Q9:Q24)</f>
        <v>317.49600000000004</v>
      </c>
      <c r="R25" s="1376">
        <f>SUM(R9:R24)</f>
        <v>568.68399999999997</v>
      </c>
      <c r="S25" s="1376">
        <f t="shared" si="16"/>
        <v>568.68399999999997</v>
      </c>
      <c r="T25" s="1376"/>
      <c r="U25" s="1376">
        <f>SUM(U9:U24)</f>
        <v>162.67699999999996</v>
      </c>
      <c r="V25" s="1376">
        <f>SUM(V9:V24)</f>
        <v>242.79699999999997</v>
      </c>
      <c r="W25" s="1376">
        <f>SUM(W9:W24)</f>
        <v>524.40000000000009</v>
      </c>
      <c r="X25" s="1376">
        <f>SUM(X9:X24)</f>
        <v>889.15699999999993</v>
      </c>
      <c r="Y25" s="1376">
        <f t="shared" si="17"/>
        <v>889.15699999999993</v>
      </c>
      <c r="Z25" s="1376"/>
      <c r="AA25" s="1376">
        <f>SUM(AA9:AA24)</f>
        <v>234.09899999999993</v>
      </c>
      <c r="AB25" s="1376">
        <f>SUM(AB9:AB24)</f>
        <v>248.74299999999999</v>
      </c>
      <c r="AC25" s="1376">
        <f>SUM(AC9:AC24)</f>
        <v>503.15600000000001</v>
      </c>
      <c r="AD25" s="1376">
        <f>SUM(AD9:AD24)</f>
        <v>1030.5039999999999</v>
      </c>
      <c r="AE25" s="1376">
        <f t="shared" si="18"/>
        <v>1030.5039999999999</v>
      </c>
      <c r="AF25" s="1376"/>
      <c r="AG25" s="1376">
        <f>SUM(AG9:AG24)</f>
        <v>446.83899999999994</v>
      </c>
      <c r="AH25" s="1376">
        <f>SUM(AH9:AH24)</f>
        <v>617.81600000000003</v>
      </c>
      <c r="AI25" s="1376">
        <f>SUM(AI9:AI24)</f>
        <v>978.93700000000013</v>
      </c>
      <c r="AJ25" s="1376">
        <f>SUM(AJ9:AJ24)</f>
        <v>1614.5790000000002</v>
      </c>
      <c r="AK25" s="1376">
        <f t="shared" si="19"/>
        <v>1614.5790000000002</v>
      </c>
      <c r="AL25" s="1376"/>
      <c r="AM25" s="1376">
        <f>SUM(AM9:AM24)</f>
        <v>597.56799999999998</v>
      </c>
      <c r="AN25" s="1376">
        <f>SUM(AN9:AN24)</f>
        <v>626.37699999999995</v>
      </c>
      <c r="AO25" s="1376">
        <f>SUM(AO9:AO24)</f>
        <v>1071.0349999999999</v>
      </c>
      <c r="AP25" s="1376">
        <f>SUM(AP9:AP24)</f>
        <v>1807.0989999999999</v>
      </c>
      <c r="AQ25" s="1376">
        <f t="shared" si="20"/>
        <v>1807.0989999999999</v>
      </c>
      <c r="AR25" s="1376"/>
      <c r="AS25" s="1376">
        <f>SUM(AS9:AS24)</f>
        <v>656.11659999999995</v>
      </c>
      <c r="AT25" s="1376">
        <f>SUM(AT9:AT24)</f>
        <v>768.09199999999987</v>
      </c>
      <c r="AU25" s="1376">
        <f>SUM(AU9:AU24)</f>
        <v>1754.5049999999992</v>
      </c>
      <c r="AV25" s="1376">
        <f>SUM(AV9:AV24)</f>
        <v>2923.5639999999994</v>
      </c>
      <c r="AW25" s="1376">
        <f t="shared" si="21"/>
        <v>2923.5639999999994</v>
      </c>
      <c r="AX25" s="1376"/>
      <c r="AY25" s="1376">
        <f>SUM(AY9:AY24)</f>
        <v>-873.80699999999979</v>
      </c>
      <c r="AZ25" s="1376">
        <f>SUM(AZ9:AZ24)</f>
        <v>-265.83599999999956</v>
      </c>
      <c r="BA25" s="1376">
        <f>SUM(BA9:BA24)</f>
        <v>742.89099999999962</v>
      </c>
      <c r="BB25" s="1376">
        <f>SUM(BB9:BB24)</f>
        <v>2179</v>
      </c>
      <c r="BC25" s="1376">
        <f t="shared" si="22"/>
        <v>2179</v>
      </c>
      <c r="BD25" s="1376"/>
      <c r="BE25" s="1376">
        <f>SUM(BE9:BE24)</f>
        <v>1263.568</v>
      </c>
      <c r="BF25" s="1376">
        <f>SUM(BF9:BF24)</f>
        <v>1510</v>
      </c>
      <c r="BG25" s="1376">
        <f>SUM(BG9:BG24)</f>
        <v>2158</v>
      </c>
      <c r="BH25" s="1376">
        <f>SUM(BH9:BH24)</f>
        <v>3135</v>
      </c>
      <c r="BI25" s="1376">
        <f t="shared" si="23"/>
        <v>3135</v>
      </c>
      <c r="BJ25" s="1376"/>
      <c r="BK25" s="1376">
        <f>SUM(BK9:BK24)</f>
        <v>1218</v>
      </c>
      <c r="BL25" s="1376">
        <f>SUM(BL9:BL24)</f>
        <v>1469</v>
      </c>
      <c r="BM25" s="1376">
        <f>SUM(BM9:BM24)</f>
        <v>2197</v>
      </c>
      <c r="BN25" s="1376">
        <f>SUM(BN9:BN24)</f>
        <v>3023</v>
      </c>
      <c r="BO25" s="1376">
        <f t="shared" si="24"/>
        <v>3023</v>
      </c>
      <c r="BP25" s="1376"/>
      <c r="BQ25" s="1376">
        <f>SUM(BQ9:BQ24)</f>
        <v>1251</v>
      </c>
      <c r="BR25" s="1376">
        <f>SUM(BR9:BR24)</f>
        <v>1600</v>
      </c>
      <c r="BS25" s="1376">
        <f>SUM(BS9:BS24)</f>
        <v>2159</v>
      </c>
      <c r="BT25" s="1376">
        <f>SUM(BT9:BT24)</f>
        <v>3195</v>
      </c>
      <c r="BU25" s="1376">
        <f t="shared" si="25"/>
        <v>3195</v>
      </c>
      <c r="BV25" s="1376"/>
      <c r="BW25" s="1376">
        <f>SUM(BW9:BW24)</f>
        <v>1414</v>
      </c>
      <c r="BX25" s="1376">
        <f>SUM(BX9:BX24)</f>
        <v>1799</v>
      </c>
      <c r="BY25" s="1376">
        <f>SUM(BY9:BY24)</f>
        <v>2557</v>
      </c>
      <c r="BZ25" s="1376">
        <f>SUM(BZ9:BZ24)</f>
        <v>3551.9225000000001</v>
      </c>
      <c r="CA25" s="1376">
        <f t="shared" si="26"/>
        <v>3551.9225000000001</v>
      </c>
      <c r="CB25" s="1376"/>
      <c r="CC25" s="1376">
        <f>SUM(CC9:CC24)</f>
        <v>1458</v>
      </c>
      <c r="CD25" s="1376">
        <f>SUM(CD9:CD24)</f>
        <v>1756</v>
      </c>
      <c r="CE25" s="1376">
        <f>SUM(CE9:CE24)</f>
        <v>2862</v>
      </c>
      <c r="CF25" s="1376">
        <f>SUM(CF9:CF24)</f>
        <v>4541</v>
      </c>
      <c r="CG25" s="1376">
        <f t="shared" si="27"/>
        <v>4541</v>
      </c>
      <c r="CH25" s="1376"/>
      <c r="CI25" s="1376">
        <f>SUM(CI9:CI24)</f>
        <v>1625</v>
      </c>
      <c r="CJ25" s="1376">
        <f>SUM(CJ9:CJ24)</f>
        <v>1866</v>
      </c>
      <c r="CK25" s="1376">
        <f>SUM(CK9:CK24)</f>
        <v>3305</v>
      </c>
      <c r="CL25" s="1376">
        <f>SUM(CL9:CL24)</f>
        <v>5520</v>
      </c>
      <c r="CM25" s="1407">
        <f t="shared" si="28"/>
        <v>5520</v>
      </c>
      <c r="CN25" s="1376"/>
      <c r="CO25" s="1376">
        <f>SUM(CO9:CO24)</f>
        <v>2701</v>
      </c>
      <c r="CP25" s="1376">
        <f>SUM(CP9:CP24)</f>
        <v>3303</v>
      </c>
      <c r="CQ25" s="1376">
        <f>SUM(CQ9:CQ24)</f>
        <v>5107</v>
      </c>
      <c r="CR25" s="1376">
        <f>SUM(CR9:CR24)</f>
        <v>7402</v>
      </c>
      <c r="CS25" s="1407">
        <f t="shared" si="29"/>
        <v>7402</v>
      </c>
      <c r="CT25" s="1376"/>
      <c r="CU25" s="1376">
        <f>SUM(CU9:CU24)</f>
        <v>3240</v>
      </c>
      <c r="CV25" s="1376">
        <f>SUM(CV9:CV24)</f>
        <v>3990</v>
      </c>
      <c r="CW25" s="1376">
        <f>SUM(CW9:CW24)</f>
        <v>6247</v>
      </c>
      <c r="CX25" s="1376">
        <f>SUM(CX9:CX24)</f>
        <v>8255</v>
      </c>
      <c r="CY25" s="1407">
        <f t="shared" si="30"/>
        <v>8255</v>
      </c>
      <c r="CZ25" s="1376"/>
      <c r="DA25" s="1376">
        <f>SUM(DA9:DA24)</f>
        <v>3738</v>
      </c>
      <c r="DB25" s="1376">
        <f>SUM(DB9:DB24)</f>
        <v>4389</v>
      </c>
      <c r="DC25" s="1376">
        <f>SUM(DC9:DC24)</f>
        <v>6170</v>
      </c>
      <c r="DD25" s="1376">
        <f>SUM(DD9:DD24)</f>
        <v>8681</v>
      </c>
      <c r="DE25" s="1407">
        <f t="shared" si="31"/>
        <v>8681</v>
      </c>
      <c r="DF25" s="1376"/>
      <c r="DG25" s="1376">
        <f>SUM(DG9:DG24)</f>
        <v>3817</v>
      </c>
      <c r="DH25" s="1376">
        <f>SUM(DH9:DH24)</f>
        <v>4761</v>
      </c>
      <c r="DI25" s="1376">
        <f>SUM(DI9:DI24)</f>
        <v>7437</v>
      </c>
      <c r="DJ25" s="1376">
        <f>SUM(DJ9:DJ24)</f>
        <v>11214</v>
      </c>
      <c r="DK25" s="1407">
        <f t="shared" si="32"/>
        <v>11214</v>
      </c>
      <c r="DL25" s="1376"/>
      <c r="DM25" s="1376">
        <f>SUM(DM9:DM24)</f>
        <v>5421</v>
      </c>
      <c r="DN25" s="1376">
        <f>SUM(DN9:DN24)</f>
        <v>6676</v>
      </c>
      <c r="DO25" s="1376">
        <f>SUM(DO9:DO24)</f>
        <v>9686</v>
      </c>
      <c r="DP25" s="1376">
        <f>SUM(DP9:DP24)</f>
        <v>13743</v>
      </c>
      <c r="DQ25" s="1407">
        <f t="shared" si="33"/>
        <v>13743</v>
      </c>
      <c r="DR25" s="1376"/>
      <c r="DS25" s="1376">
        <f>SUM(DS9:DS24)</f>
        <v>5671</v>
      </c>
      <c r="DT25" s="1376">
        <f>SUM(DT9:DT24)</f>
        <v>6466</v>
      </c>
      <c r="DU25" s="1376">
        <f>SUM(DU9:DU24)</f>
        <v>9660</v>
      </c>
      <c r="DV25" s="1376">
        <f>SUM(DV9:DV24)</f>
        <v>14224</v>
      </c>
      <c r="DW25" s="1407">
        <f t="shared" si="34"/>
        <v>14224</v>
      </c>
      <c r="DX25" s="1376"/>
      <c r="DY25" s="1376">
        <f>SUM(DY9:DY24)</f>
        <v>6292</v>
      </c>
      <c r="DZ25" s="1376">
        <f>SUM(DZ9:DZ24)</f>
        <v>7438</v>
      </c>
      <c r="EA25" s="1376">
        <f>SUM(EA9:EA24)</f>
        <v>10465</v>
      </c>
      <c r="EB25" s="1376">
        <f>SUM(EB9:EB24)</f>
        <v>14921</v>
      </c>
      <c r="EC25" s="1407">
        <f t="shared" si="35"/>
        <v>14921</v>
      </c>
      <c r="ED25" s="1376"/>
      <c r="EE25" s="1376">
        <f>SUM(EE9:EE24)</f>
        <v>6728</v>
      </c>
      <c r="EF25" s="1376">
        <f>SUM(EF9:EF24)</f>
        <v>7790</v>
      </c>
      <c r="EG25" s="1376">
        <f>SUM(EG9:EG24)</f>
        <v>10053</v>
      </c>
      <c r="EH25" s="1376">
        <f>SUM(EH9:EH24)</f>
        <v>14336</v>
      </c>
      <c r="EI25" s="1407">
        <f t="shared" si="36"/>
        <v>14336</v>
      </c>
      <c r="EJ25" s="1376"/>
      <c r="EK25" s="1376">
        <f>SUM(EK9:EK24)</f>
        <v>5856</v>
      </c>
      <c r="EL25" s="1376">
        <f>SUM(EL9:EL24)</f>
        <v>6357</v>
      </c>
      <c r="EM25" s="1376">
        <f>SUM(EM9:EM24)</f>
        <v>9831</v>
      </c>
      <c r="EN25" s="1376">
        <f>SUM(EN9:EN24)</f>
        <v>13561</v>
      </c>
      <c r="EO25" s="1407">
        <f t="shared" si="37"/>
        <v>13561</v>
      </c>
      <c r="EP25" s="1376"/>
      <c r="EQ25" s="1376">
        <f>SUM(EQ9:EQ24)</f>
        <v>5875</v>
      </c>
      <c r="ER25" s="1376">
        <f>SUM(ER9:ER24)</f>
        <v>6961</v>
      </c>
      <c r="ES25" s="1376">
        <f>SUM(ES9:ES24)</f>
        <v>9660</v>
      </c>
      <c r="ET25" s="1376">
        <f>SUM(ET9:ET24)</f>
        <v>14126</v>
      </c>
      <c r="EU25" s="1407">
        <f t="shared" si="38"/>
        <v>14126</v>
      </c>
      <c r="EV25" s="1376"/>
      <c r="EW25" s="1376">
        <f>SUM(EW9:EW24)</f>
        <v>6566</v>
      </c>
      <c r="EX25" s="1376">
        <f>SUM(EX9:EX24)</f>
        <v>7416</v>
      </c>
      <c r="EY25" s="1376">
        <f>SUM(EY9:EY24)</f>
        <v>10726</v>
      </c>
      <c r="EZ25" s="1376">
        <f>SUM(EZ9:EZ24)</f>
        <v>15101.702100519215</v>
      </c>
      <c r="FA25" s="1407">
        <f t="shared" si="39"/>
        <v>15101.702100519215</v>
      </c>
      <c r="FB25" s="1376"/>
      <c r="FC25" s="1376">
        <f>SUM(FC9:FC24)</f>
        <v>5896.4558405650396</v>
      </c>
      <c r="FD25" s="1376">
        <f>SUM(FD9:FD24)</f>
        <v>6743.0437534439407</v>
      </c>
      <c r="FE25" s="1376">
        <f>SUM(FE9:FE24)</f>
        <v>10902.902438508361</v>
      </c>
      <c r="FF25" s="1376">
        <f>SUM(FF9:FF24)</f>
        <v>15984.085211070627</v>
      </c>
      <c r="FG25" s="1407">
        <f t="shared" si="40"/>
        <v>15984.085211070627</v>
      </c>
      <c r="FH25" s="1376"/>
      <c r="FI25" s="1376">
        <f>SUM(FI9:FI24)</f>
        <v>6310.2773968454549</v>
      </c>
      <c r="FJ25" s="1376">
        <f>SUM(FJ9:FJ24)</f>
        <v>7188.2404556772299</v>
      </c>
      <c r="FK25" s="1376">
        <f>SUM(FK9:FK24)</f>
        <v>11436.665108913248</v>
      </c>
      <c r="FL25" s="1376">
        <f>SUM(FL9:FL24)</f>
        <v>17381.93658674878</v>
      </c>
      <c r="FM25" s="1407">
        <f t="shared" si="41"/>
        <v>17381.93658674878</v>
      </c>
      <c r="FN25" s="261"/>
      <c r="FO25" s="261"/>
      <c r="FP25" s="261"/>
      <c r="FQ25" s="261"/>
      <c r="FR25" s="261"/>
      <c r="FS25"/>
      <c r="FT25"/>
      <c r="FU25"/>
      <c r="FV25"/>
      <c r="FW25"/>
      <c r="FX25"/>
      <c r="FY25" s="261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</row>
    <row r="26" spans="1:274" s="24" customFormat="1" ht="5.25" customHeight="1" x14ac:dyDescent="0.2">
      <c r="A26" s="599"/>
      <c r="B26" s="476"/>
      <c r="C26" s="599"/>
      <c r="D26" s="599"/>
      <c r="E26" s="599"/>
      <c r="F26" s="599"/>
      <c r="G26" s="599"/>
      <c r="H26" s="599"/>
      <c r="I26" s="599"/>
      <c r="J26" s="599"/>
      <c r="K26" s="599"/>
      <c r="L26" s="599"/>
      <c r="M26" s="599"/>
      <c r="N26" s="599"/>
      <c r="O26" s="599"/>
      <c r="P26" s="599"/>
      <c r="Q26" s="599"/>
      <c r="R26" s="599"/>
      <c r="S26" s="599"/>
      <c r="T26" s="599"/>
      <c r="U26" s="599"/>
      <c r="V26" s="599"/>
      <c r="W26" s="599"/>
      <c r="X26" s="599"/>
      <c r="Y26" s="599"/>
      <c r="Z26" s="599"/>
      <c r="AA26" s="599"/>
      <c r="AB26" s="599"/>
      <c r="AC26" s="599"/>
      <c r="AD26" s="599"/>
      <c r="AE26" s="599"/>
      <c r="AF26" s="599"/>
      <c r="AG26" s="599"/>
      <c r="AH26" s="599"/>
      <c r="AI26" s="599"/>
      <c r="AJ26" s="599"/>
      <c r="AK26" s="599"/>
      <c r="AL26" s="599"/>
      <c r="AM26" s="599"/>
      <c r="AN26" s="599"/>
      <c r="AO26" s="599"/>
      <c r="AP26" s="599"/>
      <c r="AQ26" s="599"/>
      <c r="AR26" s="599"/>
      <c r="AS26" s="599"/>
      <c r="AT26" s="599"/>
      <c r="AU26" s="599"/>
      <c r="AV26" s="599"/>
      <c r="AW26" s="599"/>
      <c r="AX26" s="599"/>
      <c r="AY26" s="599"/>
      <c r="AZ26" s="599"/>
      <c r="BA26" s="599"/>
      <c r="BB26" s="599"/>
      <c r="BC26" s="599"/>
      <c r="BD26" s="599"/>
      <c r="BE26" s="599"/>
      <c r="BF26" s="599"/>
      <c r="BG26" s="599"/>
      <c r="BH26" s="599"/>
      <c r="BI26" s="599"/>
      <c r="BJ26" s="599"/>
      <c r="BK26" s="599"/>
      <c r="BL26" s="599"/>
      <c r="BM26" s="599"/>
      <c r="BN26" s="599"/>
      <c r="BO26" s="599"/>
      <c r="BP26" s="599"/>
      <c r="BQ26" s="599"/>
      <c r="BR26" s="599"/>
      <c r="BS26" s="599"/>
      <c r="BT26" s="599"/>
      <c r="BU26" s="599"/>
      <c r="BV26" s="599"/>
      <c r="BW26" s="599"/>
      <c r="BX26" s="599"/>
      <c r="BY26" s="599"/>
      <c r="BZ26" s="599"/>
      <c r="CA26" s="599"/>
      <c r="CB26" s="599"/>
      <c r="CC26" s="599"/>
      <c r="CD26" s="599"/>
      <c r="CE26" s="599"/>
      <c r="CF26" s="599"/>
      <c r="CG26" s="599"/>
      <c r="CH26" s="599"/>
      <c r="CI26" s="599"/>
      <c r="CJ26" s="599"/>
      <c r="CK26" s="599"/>
      <c r="CL26" s="599"/>
      <c r="CM26" s="1019"/>
      <c r="CN26" s="599"/>
      <c r="CO26" s="599"/>
      <c r="CP26" s="599"/>
      <c r="CQ26" s="599"/>
      <c r="CR26" s="599"/>
      <c r="CS26" s="1019"/>
      <c r="CT26" s="599"/>
      <c r="CU26" s="599"/>
      <c r="CV26" s="599"/>
      <c r="CW26" s="599"/>
      <c r="CX26" s="599"/>
      <c r="CY26" s="1019"/>
      <c r="CZ26" s="599"/>
      <c r="DA26" s="599"/>
      <c r="DB26" s="599"/>
      <c r="DC26" s="599"/>
      <c r="DD26" s="599"/>
      <c r="DE26" s="1019"/>
      <c r="DF26" s="599"/>
      <c r="DG26" s="599"/>
      <c r="DH26" s="599"/>
      <c r="DI26" s="599"/>
      <c r="DJ26" s="599"/>
      <c r="DK26" s="1019"/>
      <c r="DL26" s="599"/>
      <c r="DM26" s="599"/>
      <c r="DN26" s="599"/>
      <c r="DO26" s="599"/>
      <c r="DP26" s="599"/>
      <c r="DQ26" s="1019"/>
      <c r="DR26" s="599"/>
      <c r="DS26" s="599"/>
      <c r="DT26" s="599"/>
      <c r="DU26" s="599"/>
      <c r="DV26" s="599"/>
      <c r="DW26" s="1019"/>
      <c r="DX26" s="599"/>
      <c r="DY26" s="599"/>
      <c r="DZ26" s="599"/>
      <c r="EA26" s="599"/>
      <c r="EB26" s="599"/>
      <c r="EC26" s="1019"/>
      <c r="ED26" s="599"/>
      <c r="EE26" s="599"/>
      <c r="EF26" s="599"/>
      <c r="EG26" s="599"/>
      <c r="EH26" s="599"/>
      <c r="EI26" s="1019"/>
      <c r="EJ26" s="599"/>
      <c r="EK26" s="599"/>
      <c r="EL26" s="599"/>
      <c r="EM26" s="599"/>
      <c r="EN26" s="599"/>
      <c r="EO26" s="1019"/>
      <c r="EP26" s="599"/>
      <c r="EQ26" s="599"/>
      <c r="ER26" s="599"/>
      <c r="ES26" s="599"/>
      <c r="ET26" s="599"/>
      <c r="EU26" s="1019"/>
      <c r="EV26" s="599"/>
      <c r="EW26" s="599"/>
      <c r="EX26" s="599"/>
      <c r="EY26" s="599"/>
      <c r="EZ26" s="599"/>
      <c r="FA26" s="1019"/>
      <c r="FB26" s="599"/>
      <c r="FC26" s="599"/>
      <c r="FD26" s="599"/>
      <c r="FE26" s="599"/>
      <c r="FF26" s="599"/>
      <c r="FG26" s="1019"/>
      <c r="FH26" s="599"/>
      <c r="FI26" s="599"/>
      <c r="FJ26" s="599"/>
      <c r="FK26" s="599"/>
      <c r="FL26" s="599"/>
      <c r="FM26" s="1019"/>
      <c r="FN26" s="12"/>
      <c r="FO26" s="12"/>
      <c r="FP26" s="12"/>
      <c r="FQ26" s="12"/>
      <c r="FR26" s="12"/>
      <c r="FS26"/>
      <c r="FT26"/>
      <c r="FU26"/>
      <c r="FV26"/>
      <c r="FW26"/>
      <c r="FX26"/>
      <c r="FY26" s="12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</row>
    <row r="27" spans="1:274" s="24" customFormat="1" ht="10.5" customHeight="1" x14ac:dyDescent="0.2">
      <c r="A27" s="438" t="s">
        <v>767</v>
      </c>
      <c r="B27" s="440"/>
      <c r="C27" s="435"/>
      <c r="D27" s="435"/>
      <c r="E27" s="435"/>
      <c r="F27" s="435"/>
      <c r="G27" s="435"/>
      <c r="H27" s="435"/>
      <c r="I27" s="435"/>
      <c r="J27" s="435"/>
      <c r="K27" s="435"/>
      <c r="L27" s="435"/>
      <c r="M27" s="435"/>
      <c r="N27" s="60"/>
      <c r="O27" s="435"/>
      <c r="P27" s="435"/>
      <c r="Q27" s="435"/>
      <c r="R27" s="435"/>
      <c r="S27" s="276"/>
      <c r="T27" s="60"/>
      <c r="U27" s="435"/>
      <c r="V27" s="435"/>
      <c r="W27" s="435"/>
      <c r="X27" s="435"/>
      <c r="Y27" s="276"/>
      <c r="Z27" s="60"/>
      <c r="AA27" s="435"/>
      <c r="AB27" s="435"/>
      <c r="AC27" s="435"/>
      <c r="AD27" s="435"/>
      <c r="AE27" s="276"/>
      <c r="AF27" s="60"/>
      <c r="AG27" s="435"/>
      <c r="AH27" s="435"/>
      <c r="AI27" s="435"/>
      <c r="AJ27" s="435"/>
      <c r="AK27" s="276"/>
      <c r="AL27" s="60"/>
      <c r="AM27" s="435"/>
      <c r="AN27" s="435"/>
      <c r="AO27" s="435"/>
      <c r="AP27" s="435"/>
      <c r="AQ27" s="276"/>
      <c r="AR27" s="60"/>
      <c r="AS27" s="435"/>
      <c r="AT27" s="435"/>
      <c r="AU27" s="435"/>
      <c r="AV27" s="435"/>
      <c r="AW27" s="276"/>
      <c r="AX27" s="60"/>
      <c r="AY27" s="435"/>
      <c r="AZ27" s="435"/>
      <c r="BA27" s="435"/>
      <c r="BB27" s="435"/>
      <c r="BC27" s="276"/>
      <c r="BD27" s="60"/>
      <c r="BE27" s="435"/>
      <c r="BF27" s="435"/>
      <c r="BG27" s="435"/>
      <c r="BH27" s="435"/>
      <c r="BI27" s="276"/>
      <c r="BJ27" s="60"/>
      <c r="BK27" s="435"/>
      <c r="BL27" s="435"/>
      <c r="BM27" s="435"/>
      <c r="BN27" s="435"/>
      <c r="BO27" s="276"/>
      <c r="BP27" s="60"/>
      <c r="BQ27" s="435"/>
      <c r="BR27" s="435"/>
      <c r="BS27" s="435"/>
      <c r="BT27" s="435"/>
      <c r="BU27" s="276"/>
      <c r="BV27" s="60"/>
      <c r="BW27" s="435"/>
      <c r="BX27" s="435"/>
      <c r="BY27" s="435"/>
      <c r="BZ27" s="435"/>
      <c r="CA27" s="276"/>
      <c r="CB27" s="60"/>
      <c r="CC27" s="435"/>
      <c r="CD27" s="435"/>
      <c r="CE27" s="435"/>
      <c r="CF27" s="435"/>
      <c r="CG27" s="276"/>
      <c r="CH27" s="60"/>
      <c r="CI27" s="435"/>
      <c r="CJ27" s="435"/>
      <c r="CK27" s="435"/>
      <c r="CL27" s="435"/>
      <c r="CM27" s="1120">
        <f>CM25/CG25-1</f>
        <v>0.2155912794538648</v>
      </c>
      <c r="CN27" s="60"/>
      <c r="CO27" s="435"/>
      <c r="CP27" s="435"/>
      <c r="CQ27" s="435"/>
      <c r="CR27" s="435"/>
      <c r="CS27" s="1120"/>
      <c r="CT27" s="60"/>
      <c r="CU27" s="601"/>
      <c r="CV27" s="435"/>
      <c r="CW27" s="435"/>
      <c r="CX27" s="435"/>
      <c r="CY27" s="1120"/>
      <c r="CZ27" s="60"/>
      <c r="DA27" s="435"/>
      <c r="DB27" s="435"/>
      <c r="DC27" s="435"/>
      <c r="DD27" s="435"/>
      <c r="DE27" s="1120"/>
      <c r="DF27" s="60"/>
      <c r="DG27" s="1154"/>
      <c r="DH27" s="435"/>
      <c r="DI27" s="435"/>
      <c r="DJ27" s="435"/>
      <c r="DK27" s="1120"/>
      <c r="DL27" s="60"/>
      <c r="DM27" s="1154"/>
      <c r="DN27" s="435"/>
      <c r="DO27" s="435"/>
      <c r="DP27" s="435"/>
      <c r="DQ27" s="1120"/>
      <c r="DR27" s="60"/>
      <c r="DS27" s="435"/>
      <c r="DT27" s="435"/>
      <c r="DU27" s="435"/>
      <c r="DV27" s="435"/>
      <c r="DW27" s="1120"/>
      <c r="DX27" s="60"/>
      <c r="DY27" s="435"/>
      <c r="DZ27" s="435"/>
      <c r="EA27" s="435"/>
      <c r="EB27" s="435"/>
      <c r="EC27" s="1120"/>
      <c r="ED27" s="60"/>
      <c r="EE27" s="435"/>
      <c r="EF27" s="435"/>
      <c r="EG27" s="435"/>
      <c r="EH27" s="435"/>
      <c r="EI27" s="1120"/>
      <c r="EJ27" s="60"/>
      <c r="EK27" s="435"/>
      <c r="EL27" s="435"/>
      <c r="EM27" s="435"/>
      <c r="EN27" s="435"/>
      <c r="EO27" s="1120"/>
      <c r="EP27" s="60"/>
      <c r="EQ27" s="435"/>
      <c r="ER27" s="435"/>
      <c r="ES27" s="435"/>
      <c r="ET27" s="435"/>
      <c r="EU27" s="1120"/>
      <c r="EV27" s="60"/>
      <c r="EW27" s="435"/>
      <c r="EX27" s="435"/>
      <c r="EY27" s="435"/>
      <c r="EZ27" s="435"/>
      <c r="FA27" s="1120"/>
      <c r="FB27" s="60"/>
      <c r="FC27" s="435"/>
      <c r="FD27" s="435"/>
      <c r="FE27" s="435"/>
      <c r="FF27" s="435"/>
      <c r="FG27" s="1120"/>
      <c r="FH27" s="60"/>
      <c r="FI27" s="435"/>
      <c r="FJ27" s="435"/>
      <c r="FK27" s="435"/>
      <c r="FL27" s="435"/>
      <c r="FM27" s="1120"/>
      <c r="FN27" s="242"/>
      <c r="FO27" s="242"/>
      <c r="FP27" s="31"/>
      <c r="FQ27" s="31"/>
      <c r="FR27" s="31"/>
      <c r="FS27"/>
      <c r="FT27"/>
      <c r="FU27"/>
      <c r="FV27"/>
      <c r="FW27"/>
      <c r="FX27"/>
      <c r="FY27" s="31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</row>
    <row r="28" spans="1:274" s="24" customFormat="1" ht="10.5" customHeight="1" x14ac:dyDescent="0.2">
      <c r="A28" s="273" t="s">
        <v>419</v>
      </c>
      <c r="B28" s="440"/>
      <c r="C28" s="435" t="s">
        <v>943</v>
      </c>
      <c r="D28" s="435" t="s">
        <v>943</v>
      </c>
      <c r="E28" s="435" t="s">
        <v>943</v>
      </c>
      <c r="F28" s="435" t="s">
        <v>943</v>
      </c>
      <c r="G28" s="435" t="s">
        <v>943</v>
      </c>
      <c r="H28" s="435" t="s">
        <v>943</v>
      </c>
      <c r="I28" s="435" t="s">
        <v>943</v>
      </c>
      <c r="J28" s="435" t="s">
        <v>943</v>
      </c>
      <c r="K28" s="435" t="s">
        <v>943</v>
      </c>
      <c r="L28" s="435" t="s">
        <v>943</v>
      </c>
      <c r="M28" s="435" t="s">
        <v>943</v>
      </c>
      <c r="N28" s="60"/>
      <c r="O28" s="435" t="s">
        <v>943</v>
      </c>
      <c r="P28" s="435" t="s">
        <v>943</v>
      </c>
      <c r="Q28" s="435" t="s">
        <v>943</v>
      </c>
      <c r="R28" s="435" t="s">
        <v>943</v>
      </c>
      <c r="S28" s="435" t="s">
        <v>943</v>
      </c>
      <c r="T28" s="60"/>
      <c r="U28" s="435" t="s">
        <v>943</v>
      </c>
      <c r="V28" s="435" t="s">
        <v>943</v>
      </c>
      <c r="W28" s="435" t="s">
        <v>943</v>
      </c>
      <c r="X28" s="435" t="s">
        <v>943</v>
      </c>
      <c r="Y28" s="435" t="s">
        <v>943</v>
      </c>
      <c r="Z28" s="60"/>
      <c r="AA28" s="435" t="s">
        <v>943</v>
      </c>
      <c r="AB28" s="435" t="s">
        <v>943</v>
      </c>
      <c r="AC28" s="435" t="s">
        <v>943</v>
      </c>
      <c r="AD28" s="435" t="s">
        <v>943</v>
      </c>
      <c r="AE28" s="435" t="s">
        <v>943</v>
      </c>
      <c r="AF28" s="60"/>
      <c r="AG28" s="435" t="s">
        <v>943</v>
      </c>
      <c r="AH28" s="435" t="s">
        <v>943</v>
      </c>
      <c r="AI28" s="435" t="s">
        <v>943</v>
      </c>
      <c r="AJ28" s="435" t="s">
        <v>943</v>
      </c>
      <c r="AK28" s="435" t="s">
        <v>943</v>
      </c>
      <c r="AL28" s="60"/>
      <c r="AM28" s="435" t="s">
        <v>943</v>
      </c>
      <c r="AN28" s="435" t="s">
        <v>943</v>
      </c>
      <c r="AO28" s="435" t="s">
        <v>943</v>
      </c>
      <c r="AP28" s="435" t="s">
        <v>943</v>
      </c>
      <c r="AQ28" s="435" t="s">
        <v>943</v>
      </c>
      <c r="AR28" s="60"/>
      <c r="AS28" s="435" t="s">
        <v>943</v>
      </c>
      <c r="AT28" s="435" t="s">
        <v>943</v>
      </c>
      <c r="AU28" s="435" t="s">
        <v>943</v>
      </c>
      <c r="AV28" s="435" t="s">
        <v>943</v>
      </c>
      <c r="AW28" s="435" t="s">
        <v>943</v>
      </c>
      <c r="AX28" s="60"/>
      <c r="AY28" s="435" t="s">
        <v>943</v>
      </c>
      <c r="AZ28" s="435" t="s">
        <v>943</v>
      </c>
      <c r="BA28" s="435" t="s">
        <v>943</v>
      </c>
      <c r="BB28" s="435" t="s">
        <v>943</v>
      </c>
      <c r="BC28" s="435" t="s">
        <v>943</v>
      </c>
      <c r="BD28" s="60"/>
      <c r="BE28" s="435" t="s">
        <v>943</v>
      </c>
      <c r="BF28" s="435" t="s">
        <v>943</v>
      </c>
      <c r="BG28" s="435" t="s">
        <v>943</v>
      </c>
      <c r="BH28" s="435" t="s">
        <v>943</v>
      </c>
      <c r="BI28" s="435" t="s">
        <v>943</v>
      </c>
      <c r="BJ28" s="60"/>
      <c r="BK28" s="435" t="s">
        <v>943</v>
      </c>
      <c r="BL28" s="435" t="s">
        <v>943</v>
      </c>
      <c r="BM28" s="435" t="s">
        <v>943</v>
      </c>
      <c r="BN28" s="435" t="s">
        <v>943</v>
      </c>
      <c r="BO28" s="435" t="s">
        <v>943</v>
      </c>
      <c r="BP28" s="60"/>
      <c r="BQ28" s="435">
        <v>0</v>
      </c>
      <c r="BR28" s="435">
        <v>0</v>
      </c>
      <c r="BS28" s="435">
        <v>0</v>
      </c>
      <c r="BT28" s="435">
        <v>0</v>
      </c>
      <c r="BU28" s="60">
        <f t="shared" ref="BU28:BU33" si="56">BT28</f>
        <v>0</v>
      </c>
      <c r="BV28" s="60"/>
      <c r="BW28" s="435">
        <v>0</v>
      </c>
      <c r="BX28" s="435">
        <v>0</v>
      </c>
      <c r="BY28" s="435">
        <v>-9892</v>
      </c>
      <c r="BZ28" s="435">
        <v>-10656</v>
      </c>
      <c r="CA28" s="435">
        <f t="shared" ref="CA28:CA33" si="57">BZ28</f>
        <v>-10656</v>
      </c>
      <c r="CB28" s="60"/>
      <c r="CC28" s="435">
        <v>-309</v>
      </c>
      <c r="CD28" s="435">
        <f>-498-605</f>
        <v>-1103</v>
      </c>
      <c r="CE28" s="435">
        <f>-3932-605</f>
        <v>-4537</v>
      </c>
      <c r="CF28" s="435">
        <f>-3953-858</f>
        <v>-4811</v>
      </c>
      <c r="CG28" s="60">
        <f t="shared" ref="CG28:CG33" si="58">CF28</f>
        <v>-4811</v>
      </c>
      <c r="CH28" s="60"/>
      <c r="CI28" s="435">
        <v>-225</v>
      </c>
      <c r="CJ28" s="435">
        <f>-488-5</f>
        <v>-493</v>
      </c>
      <c r="CK28" s="435">
        <f>-2290-5+2</f>
        <v>-2293</v>
      </c>
      <c r="CL28" s="435">
        <f>-5005-22+2</f>
        <v>-5025</v>
      </c>
      <c r="CM28" s="174">
        <f t="shared" ref="CM28:CM33" si="59">CL28</f>
        <v>-5025</v>
      </c>
      <c r="CN28" s="60"/>
      <c r="CO28" s="435">
        <v>-546</v>
      </c>
      <c r="CP28" s="435">
        <v>-651</v>
      </c>
      <c r="CQ28" s="435">
        <v>-700</v>
      </c>
      <c r="CR28" s="435">
        <v>-7643</v>
      </c>
      <c r="CS28" s="174">
        <f t="shared" ref="CS28:CS33" si="60">CR28</f>
        <v>-7643</v>
      </c>
      <c r="CT28" s="60"/>
      <c r="CU28" s="435">
        <v>-395</v>
      </c>
      <c r="CV28" s="435">
        <v>-1065</v>
      </c>
      <c r="CW28" s="435">
        <v>-1165</v>
      </c>
      <c r="CX28" s="435">
        <v>-1159</v>
      </c>
      <c r="CY28" s="174">
        <f t="shared" ref="CY28:CY33" si="61">CX28</f>
        <v>-1159</v>
      </c>
      <c r="CZ28" s="60"/>
      <c r="DA28" s="600">
        <v>-79</v>
      </c>
      <c r="DB28" s="600">
        <v>-392</v>
      </c>
      <c r="DC28" s="600">
        <v>-5567</v>
      </c>
      <c r="DD28" s="600">
        <v>-5606</v>
      </c>
      <c r="DE28" s="174">
        <f t="shared" ref="DE28:DE33" si="62">DD28</f>
        <v>-5606</v>
      </c>
      <c r="DF28" s="60"/>
      <c r="DG28" s="600">
        <v>-832</v>
      </c>
      <c r="DH28" s="600">
        <v>-806</v>
      </c>
      <c r="DI28" s="600">
        <v>-1673</v>
      </c>
      <c r="DJ28" s="600">
        <v>-1847</v>
      </c>
      <c r="DK28" s="174">
        <f t="shared" ref="DK28:DK33" si="63">DJ28</f>
        <v>-1847</v>
      </c>
      <c r="DL28" s="60"/>
      <c r="DM28" s="600">
        <v>-343</v>
      </c>
      <c r="DN28" s="600">
        <v>-571</v>
      </c>
      <c r="DO28" s="600">
        <v>-2833</v>
      </c>
      <c r="DP28" s="600">
        <v>-4702</v>
      </c>
      <c r="DQ28" s="174">
        <f t="shared" ref="DQ28:DQ33" si="64">DP28</f>
        <v>-4702</v>
      </c>
      <c r="DR28" s="60"/>
      <c r="DS28" s="447">
        <v>-361</v>
      </c>
      <c r="DT28" s="447">
        <v>-660</v>
      </c>
      <c r="DU28" s="447">
        <v>-1592</v>
      </c>
      <c r="DV28" s="447">
        <v>-3305</v>
      </c>
      <c r="DW28" s="174">
        <f t="shared" ref="DW28:DW33" si="65">DV28</f>
        <v>-3305</v>
      </c>
      <c r="DX28" s="60"/>
      <c r="DY28" s="447">
        <v>-1314</v>
      </c>
      <c r="DZ28" s="447">
        <v>-1748</v>
      </c>
      <c r="EA28" s="447">
        <v>-3066</v>
      </c>
      <c r="EB28" s="447">
        <v>-3488</v>
      </c>
      <c r="EC28" s="174">
        <f t="shared" ref="EC28:EC33" si="66">EB28</f>
        <v>-3488</v>
      </c>
      <c r="ED28" s="60"/>
      <c r="EE28" s="447">
        <v>-37</v>
      </c>
      <c r="EF28" s="447">
        <v>-5122</v>
      </c>
      <c r="EG28" s="447">
        <v>-6232</v>
      </c>
      <c r="EH28" s="447">
        <v>-6239</v>
      </c>
      <c r="EI28" s="174">
        <f t="shared" ref="EI28:EI33" si="67">EH28</f>
        <v>-6239</v>
      </c>
      <c r="EJ28" s="60"/>
      <c r="EK28" s="447">
        <v>0</v>
      </c>
      <c r="EL28" s="447">
        <v>-147</v>
      </c>
      <c r="EM28" s="447">
        <v>-313</v>
      </c>
      <c r="EN28" s="447">
        <v>-650</v>
      </c>
      <c r="EO28" s="174">
        <f t="shared" ref="EO28:EO33" si="68">EN28</f>
        <v>-650</v>
      </c>
      <c r="EP28" s="60"/>
      <c r="EQ28" s="447">
        <v>-1143</v>
      </c>
      <c r="ER28" s="447">
        <v>-9854</v>
      </c>
      <c r="ES28" s="447">
        <v>-10406</v>
      </c>
      <c r="ET28" s="447">
        <v>-11221</v>
      </c>
      <c r="EU28" s="174">
        <f t="shared" ref="EU28:EU33" si="69">ET28</f>
        <v>-11221</v>
      </c>
      <c r="EV28" s="60"/>
      <c r="EW28" s="447">
        <v>0</v>
      </c>
      <c r="EX28" s="447">
        <v>0</v>
      </c>
      <c r="EY28" s="447">
        <v>0</v>
      </c>
      <c r="EZ28" s="447">
        <f>EY28</f>
        <v>0</v>
      </c>
      <c r="FA28" s="174">
        <f>EZ28</f>
        <v>0</v>
      </c>
      <c r="FB28" s="60"/>
      <c r="FC28" s="447">
        <v>0</v>
      </c>
      <c r="FD28" s="447">
        <f>FC28</f>
        <v>0</v>
      </c>
      <c r="FE28" s="447">
        <f>FD28</f>
        <v>0</v>
      </c>
      <c r="FF28" s="447">
        <f>FE28</f>
        <v>0</v>
      </c>
      <c r="FG28" s="174">
        <f>FF28</f>
        <v>0</v>
      </c>
      <c r="FH28" s="60"/>
      <c r="FI28" s="447">
        <v>0</v>
      </c>
      <c r="FJ28" s="447">
        <f>FI28</f>
        <v>0</v>
      </c>
      <c r="FK28" s="447">
        <f>FJ28</f>
        <v>0</v>
      </c>
      <c r="FL28" s="447">
        <f>FK28</f>
        <v>0</v>
      </c>
      <c r="FM28" s="174">
        <f>FL28</f>
        <v>0</v>
      </c>
      <c r="FN28" s="242"/>
      <c r="FO28" s="242"/>
      <c r="FP28" s="31"/>
      <c r="FQ28" s="31"/>
      <c r="FR28" s="31"/>
      <c r="FS28"/>
      <c r="FT28"/>
      <c r="FU28"/>
      <c r="FV28"/>
      <c r="FW28"/>
      <c r="FX28"/>
      <c r="FY28" s="31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</row>
    <row r="29" spans="1:274" s="24" customFormat="1" ht="10.5" customHeight="1" x14ac:dyDescent="0.2">
      <c r="A29" s="60" t="s">
        <v>886</v>
      </c>
      <c r="B29" s="476"/>
      <c r="C29" s="435">
        <f t="shared" ref="C29:M29" si="70">C81</f>
        <v>0</v>
      </c>
      <c r="D29" s="435">
        <f t="shared" si="70"/>
        <v>0</v>
      </c>
      <c r="E29" s="435">
        <f t="shared" si="70"/>
        <v>0</v>
      </c>
      <c r="F29" s="435">
        <f t="shared" si="70"/>
        <v>0</v>
      </c>
      <c r="G29" s="435">
        <f t="shared" si="70"/>
        <v>-7.4980000000000002</v>
      </c>
      <c r="H29" s="435">
        <f t="shared" si="70"/>
        <v>2.9980000000000002</v>
      </c>
      <c r="I29" s="435">
        <f t="shared" si="70"/>
        <v>-0.48</v>
      </c>
      <c r="J29" s="435">
        <f t="shared" si="70"/>
        <v>4.9800000000000004</v>
      </c>
      <c r="K29" s="435">
        <f t="shared" si="70"/>
        <v>-23.218</v>
      </c>
      <c r="L29" s="435">
        <f t="shared" si="70"/>
        <v>-81.272999999999996</v>
      </c>
      <c r="M29" s="435">
        <f t="shared" si="70"/>
        <v>44.542999999999999</v>
      </c>
      <c r="N29" s="60"/>
      <c r="O29" s="435">
        <f>O81</f>
        <v>29.204999999999998</v>
      </c>
      <c r="P29" s="435">
        <f t="shared" ref="P29:R32" si="71">P81+O29</f>
        <v>-48.402000000000001</v>
      </c>
      <c r="Q29" s="435">
        <f t="shared" si="71"/>
        <v>-65.683000000000007</v>
      </c>
      <c r="R29" s="435">
        <f t="shared" si="71"/>
        <v>-176.536</v>
      </c>
      <c r="S29" s="60">
        <f>R29</f>
        <v>-176.536</v>
      </c>
      <c r="T29" s="60"/>
      <c r="U29" s="435">
        <f>U81</f>
        <v>-6.468</v>
      </c>
      <c r="V29" s="435">
        <f t="shared" ref="V29:X32" si="72">V81+U29</f>
        <v>41.298000000000002</v>
      </c>
      <c r="W29" s="435">
        <f t="shared" si="72"/>
        <v>-0.86899999999999977</v>
      </c>
      <c r="X29" s="435">
        <f t="shared" si="72"/>
        <v>-238.96000000000004</v>
      </c>
      <c r="Y29" s="60">
        <f>X29</f>
        <v>-238.96000000000004</v>
      </c>
      <c r="Z29" s="60"/>
      <c r="AA29" s="435">
        <f>AA81</f>
        <v>-100.432</v>
      </c>
      <c r="AB29" s="435">
        <f t="shared" ref="AB29:AD32" si="73">AB81+AA29</f>
        <v>-165.07400000000001</v>
      </c>
      <c r="AC29" s="435">
        <f t="shared" si="73"/>
        <v>-170.136</v>
      </c>
      <c r="AD29" s="435">
        <f t="shared" si="73"/>
        <v>-524.31299999999999</v>
      </c>
      <c r="AE29" s="60">
        <f>AD29</f>
        <v>-524.31299999999999</v>
      </c>
      <c r="AF29" s="60"/>
      <c r="AG29" s="435">
        <f>AG81</f>
        <v>-222.988</v>
      </c>
      <c r="AH29" s="435">
        <f t="shared" ref="AH29:AJ32" si="74">AH81+AG29</f>
        <v>-220.63200000000001</v>
      </c>
      <c r="AI29" s="435">
        <f t="shared" si="74"/>
        <v>-182.69800000000001</v>
      </c>
      <c r="AJ29" s="435">
        <f t="shared" si="74"/>
        <v>-1196.066</v>
      </c>
      <c r="AK29" s="60">
        <f>AJ29</f>
        <v>-1196.066</v>
      </c>
      <c r="AL29" s="60"/>
      <c r="AM29" s="435">
        <f>AM81</f>
        <v>-38.719000000000001</v>
      </c>
      <c r="AN29" s="435">
        <f t="shared" ref="AN29:AP32" si="75">AN81+AM29</f>
        <v>120.583</v>
      </c>
      <c r="AO29" s="435">
        <f t="shared" si="75"/>
        <v>-154.77000000000001</v>
      </c>
      <c r="AP29" s="435">
        <f t="shared" si="75"/>
        <v>-1250.5013999999999</v>
      </c>
      <c r="AQ29" s="60">
        <f>AP29</f>
        <v>-1250.5013999999999</v>
      </c>
      <c r="AR29" s="60"/>
      <c r="AS29" s="435">
        <f>AS81</f>
        <v>-579.52599999999995</v>
      </c>
      <c r="AT29" s="435">
        <f t="shared" ref="AT29:AV32" si="76">AT81+AS29</f>
        <v>-780.32600000000002</v>
      </c>
      <c r="AU29" s="435">
        <f t="shared" si="76"/>
        <v>-876.57100000000003</v>
      </c>
      <c r="AV29" s="435">
        <f t="shared" si="76"/>
        <v>-886.57100000000003</v>
      </c>
      <c r="AW29" s="60">
        <f>AV29</f>
        <v>-886.57100000000003</v>
      </c>
      <c r="AX29" s="60"/>
      <c r="AY29" s="435">
        <f>AY81</f>
        <v>-27</v>
      </c>
      <c r="AZ29" s="435">
        <f t="shared" ref="AZ29:BB32" si="77">AZ81+AY29</f>
        <v>-27</v>
      </c>
      <c r="BA29" s="435">
        <f t="shared" si="77"/>
        <v>-782.9</v>
      </c>
      <c r="BB29" s="435">
        <f t="shared" si="77"/>
        <v>-1584</v>
      </c>
      <c r="BC29" s="60">
        <f>BB29</f>
        <v>-1584</v>
      </c>
      <c r="BD29" s="60"/>
      <c r="BE29" s="435">
        <f>BE81</f>
        <v>-1732.5340000000001</v>
      </c>
      <c r="BF29" s="435">
        <f t="shared" ref="BF29:BH32" si="78">BF81+BE29</f>
        <v>-3503</v>
      </c>
      <c r="BG29" s="435">
        <f t="shared" si="78"/>
        <v>-4290</v>
      </c>
      <c r="BH29" s="435">
        <f t="shared" si="78"/>
        <v>-6087</v>
      </c>
      <c r="BI29" s="60">
        <f>BH29</f>
        <v>-6087</v>
      </c>
      <c r="BJ29" s="60"/>
      <c r="BK29" s="435">
        <f>BK81</f>
        <v>-662</v>
      </c>
      <c r="BL29" s="435">
        <f t="shared" ref="BL29:BN32" si="79">BL81+BK29</f>
        <v>-2299</v>
      </c>
      <c r="BM29" s="435">
        <f t="shared" si="79"/>
        <v>-3066</v>
      </c>
      <c r="BN29" s="435">
        <f t="shared" si="79"/>
        <v>-4713</v>
      </c>
      <c r="BO29" s="60">
        <f>BN29</f>
        <v>-4713</v>
      </c>
      <c r="BP29" s="60"/>
      <c r="BQ29" s="435">
        <f>BQ81</f>
        <v>-2471</v>
      </c>
      <c r="BR29" s="435">
        <v>-5252</v>
      </c>
      <c r="BS29" s="435">
        <v>-7578</v>
      </c>
      <c r="BT29" s="435">
        <v>-10310</v>
      </c>
      <c r="BU29" s="60">
        <f t="shared" si="56"/>
        <v>-10310</v>
      </c>
      <c r="BV29" s="60"/>
      <c r="BW29" s="60">
        <v>-3546</v>
      </c>
      <c r="BX29" s="435">
        <v>-5097</v>
      </c>
      <c r="BY29" s="435">
        <v>-6545</v>
      </c>
      <c r="BZ29" s="435">
        <v>-7101</v>
      </c>
      <c r="CA29" s="60">
        <f t="shared" si="57"/>
        <v>-7101</v>
      </c>
      <c r="CB29" s="60"/>
      <c r="CC29" s="435">
        <v>-789</v>
      </c>
      <c r="CD29" s="435">
        <v>-926</v>
      </c>
      <c r="CE29" s="435">
        <v>-1473</v>
      </c>
      <c r="CF29" s="435">
        <v>-2128</v>
      </c>
      <c r="CG29" s="60">
        <f t="shared" si="58"/>
        <v>-2128</v>
      </c>
      <c r="CH29" s="60"/>
      <c r="CI29" s="435">
        <v>-2430</v>
      </c>
      <c r="CJ29" s="435">
        <v>-4246</v>
      </c>
      <c r="CK29" s="435">
        <v>-4681</v>
      </c>
      <c r="CL29" s="435">
        <v>-5383</v>
      </c>
      <c r="CM29" s="174">
        <f t="shared" si="59"/>
        <v>-5383</v>
      </c>
      <c r="CN29" s="60"/>
      <c r="CO29" s="435">
        <f>-896</f>
        <v>-896</v>
      </c>
      <c r="CP29" s="435">
        <v>-1953</v>
      </c>
      <c r="CQ29" s="435">
        <v>-3629</v>
      </c>
      <c r="CR29" s="435">
        <v>-5624</v>
      </c>
      <c r="CS29" s="174">
        <f t="shared" si="60"/>
        <v>-5624</v>
      </c>
      <c r="CT29" s="60"/>
      <c r="CU29" s="435">
        <v>-3188</v>
      </c>
      <c r="CV29" s="435">
        <v>-5105</v>
      </c>
      <c r="CW29" s="435">
        <v>-6906</v>
      </c>
      <c r="CX29" s="435">
        <v>-9315</v>
      </c>
      <c r="CY29" s="174">
        <f t="shared" si="61"/>
        <v>-9315</v>
      </c>
      <c r="CZ29" s="60"/>
      <c r="DA29" s="600">
        <v>-2760</v>
      </c>
      <c r="DB29" s="600">
        <v>-6185</v>
      </c>
      <c r="DC29" s="600">
        <v>-11162</v>
      </c>
      <c r="DD29" s="600">
        <v>-15703</v>
      </c>
      <c r="DE29" s="174">
        <f t="shared" si="62"/>
        <v>-15703</v>
      </c>
      <c r="DF29" s="60"/>
      <c r="DG29" s="600">
        <v>-7650</v>
      </c>
      <c r="DH29" s="600">
        <v>-16802</v>
      </c>
      <c r="DI29" s="600">
        <v>-22861</v>
      </c>
      <c r="DJ29" s="600">
        <v>-31009</v>
      </c>
      <c r="DK29" s="174">
        <f t="shared" si="63"/>
        <v>-31009</v>
      </c>
      <c r="DL29" s="60"/>
      <c r="DM29" s="600">
        <v>-12588</v>
      </c>
      <c r="DN29" s="600">
        <v>-21422</v>
      </c>
      <c r="DO29" s="600">
        <v>-29745</v>
      </c>
      <c r="DP29" s="600">
        <v>-38625</v>
      </c>
      <c r="DQ29" s="174">
        <f t="shared" si="64"/>
        <v>-38625</v>
      </c>
      <c r="DR29" s="60"/>
      <c r="DS29" s="447">
        <v>-6804</v>
      </c>
      <c r="DT29" s="447">
        <v>-17314</v>
      </c>
      <c r="DU29" s="447">
        <f>-24027</f>
        <v>-24027</v>
      </c>
      <c r="DV29" s="447">
        <v>-32160</v>
      </c>
      <c r="DW29" s="174">
        <f t="shared" si="65"/>
        <v>-32160</v>
      </c>
      <c r="DX29" s="60"/>
      <c r="DY29" s="447">
        <v>-8549</v>
      </c>
      <c r="DZ29" s="447">
        <f>-18558</f>
        <v>-18558</v>
      </c>
      <c r="EA29" s="447">
        <v>-25550</v>
      </c>
      <c r="EB29" s="447">
        <v>-32316</v>
      </c>
      <c r="EC29" s="174">
        <f t="shared" si="66"/>
        <v>-32316</v>
      </c>
      <c r="ED29" s="60"/>
      <c r="EE29" s="447">
        <v>-10340</v>
      </c>
      <c r="EF29" s="447">
        <v>-17514</v>
      </c>
      <c r="EG29" s="447">
        <v>-23339</v>
      </c>
      <c r="EH29" s="447">
        <v>-31421</v>
      </c>
      <c r="EI29" s="174">
        <f t="shared" si="67"/>
        <v>-31421</v>
      </c>
      <c r="EJ29" s="60"/>
      <c r="EK29" s="447">
        <v>-11669</v>
      </c>
      <c r="EL29" s="447">
        <v>-17638</v>
      </c>
      <c r="EM29" s="447">
        <v>-21549</v>
      </c>
      <c r="EN29" s="447">
        <v>-24562</v>
      </c>
      <c r="EO29" s="174">
        <f t="shared" si="68"/>
        <v>-24562</v>
      </c>
      <c r="EP29" s="60"/>
      <c r="EQ29" s="447">
        <v>-5513</v>
      </c>
      <c r="ER29" s="447">
        <v>-10090</v>
      </c>
      <c r="ES29" s="447">
        <v>-15571</v>
      </c>
      <c r="ET29" s="447">
        <v>-25867</v>
      </c>
      <c r="EU29" s="174">
        <f t="shared" si="69"/>
        <v>-25867</v>
      </c>
      <c r="EV29" s="60"/>
      <c r="EW29" s="447">
        <v>-7671</v>
      </c>
      <c r="EX29" s="447">
        <v>-18022</v>
      </c>
      <c r="EY29" s="447">
        <v>-24496</v>
      </c>
      <c r="EZ29" s="447">
        <f>IF(('Balance Sheet'!EZ9+'Balance Sheet'!EZ19)&gt;=('Balance Sheet'!EY9+'Balance Sheet'!EY19),'Balance Sheet'!EY9+'Balance Sheet'!EY19-'Balance Sheet'!EZ9-'Balance Sheet'!EZ19,0)+EY29-5000</f>
        <v>-29496</v>
      </c>
      <c r="FA29" s="174">
        <f>EZ29</f>
        <v>-29496</v>
      </c>
      <c r="FB29" s="60"/>
      <c r="FC29" s="447">
        <f>IF(('Balance Sheet'!FC9+'Balance Sheet'!FC19)&gt;=('Balance Sheet'!EZ9+'Balance Sheet'!EZ19),'Balance Sheet'!EZ9+'Balance Sheet'!EZ19-'Balance Sheet'!FC9-'Balance Sheet'!FC19,0)-5000</f>
        <v>-5000</v>
      </c>
      <c r="FD29" s="447">
        <f>IF(('Balance Sheet'!FD9+'Balance Sheet'!FD19)&gt;=('Balance Sheet'!FC9+'Balance Sheet'!FC19),'Balance Sheet'!FC9+'Balance Sheet'!FC19-'Balance Sheet'!FD9-'Balance Sheet'!FD19,0)+FC29-5000</f>
        <v>-10000</v>
      </c>
      <c r="FE29" s="447">
        <f>IF(('Balance Sheet'!FE9+'Balance Sheet'!FE19)&gt;=('Balance Sheet'!FD9+'Balance Sheet'!FD19),'Balance Sheet'!FD9+'Balance Sheet'!FD19-'Balance Sheet'!FE9-'Balance Sheet'!FE19,0)+FD29-5000</f>
        <v>-15000</v>
      </c>
      <c r="FF29" s="447">
        <f>IF(('Balance Sheet'!FF9+'Balance Sheet'!FF19)&gt;=('Balance Sheet'!FE9+'Balance Sheet'!FE19),'Balance Sheet'!FE9+'Balance Sheet'!FE19-'Balance Sheet'!FF9-'Balance Sheet'!FF19,0)+FE29-5000</f>
        <v>-20000</v>
      </c>
      <c r="FG29" s="174">
        <f>FF29</f>
        <v>-20000</v>
      </c>
      <c r="FH29" s="60"/>
      <c r="FI29" s="447">
        <f>IF(('Balance Sheet'!FI9+'Balance Sheet'!FI19)&gt;=('Balance Sheet'!FF9+'Balance Sheet'!FF19),'Balance Sheet'!FF9+'Balance Sheet'!FF19-'Balance Sheet'!FI9-'Balance Sheet'!FI19,0)-5000</f>
        <v>-5000</v>
      </c>
      <c r="FJ29" s="447">
        <f>IF(('Balance Sheet'!FJ9+'Balance Sheet'!FJ19)&gt;=('Balance Sheet'!FI9+'Balance Sheet'!FI19),'Balance Sheet'!FI9+'Balance Sheet'!FI19-'Balance Sheet'!FJ9-'Balance Sheet'!FJ19,0)+FI29-5000</f>
        <v>-10000</v>
      </c>
      <c r="FK29" s="447">
        <f>IF(('Balance Sheet'!FK9+'Balance Sheet'!FK19)&gt;=('Balance Sheet'!FJ9+'Balance Sheet'!FJ19),'Balance Sheet'!FJ9+'Balance Sheet'!FJ19-'Balance Sheet'!FK9-'Balance Sheet'!FK19,0)+FJ29-5000</f>
        <v>-15000</v>
      </c>
      <c r="FL29" s="447">
        <f>IF(('Balance Sheet'!FL9+'Balance Sheet'!FL19)&gt;=('Balance Sheet'!FK9+'Balance Sheet'!FK19),'Balance Sheet'!FK9+'Balance Sheet'!FK19-'Balance Sheet'!FL9-'Balance Sheet'!FL19,0)+FK29-5000</f>
        <v>-20000</v>
      </c>
      <c r="FM29" s="174">
        <f>FL29</f>
        <v>-20000</v>
      </c>
      <c r="FN29" s="242"/>
      <c r="FO29" s="242"/>
      <c r="FP29" s="242"/>
      <c r="FQ29" s="242"/>
      <c r="FR29" s="242"/>
      <c r="FS29"/>
      <c r="FT29"/>
      <c r="FU29"/>
      <c r="FV29"/>
      <c r="FW29"/>
      <c r="FX29"/>
      <c r="FY29" s="242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</row>
    <row r="30" spans="1:274" s="24" customFormat="1" ht="10.5" customHeight="1" x14ac:dyDescent="0.2">
      <c r="A30" s="60" t="s">
        <v>887</v>
      </c>
      <c r="B30" s="476"/>
      <c r="C30" s="435">
        <f t="shared" ref="C30:M30" si="80">C82</f>
        <v>0</v>
      </c>
      <c r="D30" s="435">
        <f t="shared" si="80"/>
        <v>0</v>
      </c>
      <c r="E30" s="435">
        <f t="shared" si="80"/>
        <v>0</v>
      </c>
      <c r="F30" s="435">
        <f t="shared" si="80"/>
        <v>0</v>
      </c>
      <c r="G30" s="435">
        <f t="shared" si="80"/>
        <v>0</v>
      </c>
      <c r="H30" s="435">
        <f t="shared" si="80"/>
        <v>0</v>
      </c>
      <c r="I30" s="435">
        <f t="shared" si="80"/>
        <v>-89.275000000000006</v>
      </c>
      <c r="J30" s="435">
        <f t="shared" si="80"/>
        <v>-60.731999999999999</v>
      </c>
      <c r="K30" s="435">
        <f t="shared" si="80"/>
        <v>-46.631</v>
      </c>
      <c r="L30" s="435">
        <f t="shared" si="80"/>
        <v>0</v>
      </c>
      <c r="M30" s="435">
        <f t="shared" si="80"/>
        <v>0</v>
      </c>
      <c r="N30" s="60"/>
      <c r="O30" s="435">
        <f>O82</f>
        <v>0</v>
      </c>
      <c r="P30" s="435">
        <f t="shared" si="71"/>
        <v>0</v>
      </c>
      <c r="Q30" s="435">
        <f t="shared" si="71"/>
        <v>0</v>
      </c>
      <c r="R30" s="435">
        <f t="shared" si="71"/>
        <v>130.82400000000001</v>
      </c>
      <c r="S30" s="60">
        <f>R30</f>
        <v>130.82400000000001</v>
      </c>
      <c r="T30" s="60"/>
      <c r="U30" s="435">
        <f>U82</f>
        <v>261.64800000000002</v>
      </c>
      <c r="V30" s="435">
        <f t="shared" si="72"/>
        <v>784.94400000000007</v>
      </c>
      <c r="W30" s="435">
        <f t="shared" si="72"/>
        <v>1700.712</v>
      </c>
      <c r="X30" s="435">
        <f t="shared" si="72"/>
        <v>177.49099999999999</v>
      </c>
      <c r="Y30" s="60">
        <f>X30</f>
        <v>177.49099999999999</v>
      </c>
      <c r="Z30" s="60"/>
      <c r="AA30" s="435">
        <f>AA82</f>
        <v>0</v>
      </c>
      <c r="AB30" s="435">
        <f t="shared" si="73"/>
        <v>0</v>
      </c>
      <c r="AC30" s="435">
        <f t="shared" si="73"/>
        <v>0</v>
      </c>
      <c r="AD30" s="435">
        <f t="shared" si="73"/>
        <v>252.077</v>
      </c>
      <c r="AE30" s="60">
        <f>AD30</f>
        <v>252.077</v>
      </c>
      <c r="AF30" s="60"/>
      <c r="AG30" s="435">
        <f>AG82</f>
        <v>0</v>
      </c>
      <c r="AH30" s="435">
        <f t="shared" si="74"/>
        <v>0</v>
      </c>
      <c r="AI30" s="435">
        <f t="shared" si="74"/>
        <v>0</v>
      </c>
      <c r="AJ30" s="435">
        <f t="shared" si="74"/>
        <v>803.40200000000004</v>
      </c>
      <c r="AK30" s="60">
        <f>AJ30</f>
        <v>803.40200000000004</v>
      </c>
      <c r="AL30" s="60"/>
      <c r="AM30" s="435">
        <f>AM82</f>
        <v>0</v>
      </c>
      <c r="AN30" s="435">
        <f t="shared" si="75"/>
        <v>0</v>
      </c>
      <c r="AO30" s="435">
        <f t="shared" si="75"/>
        <v>24.969000000000001</v>
      </c>
      <c r="AP30" s="435">
        <f t="shared" si="75"/>
        <v>1080.9070000000002</v>
      </c>
      <c r="AQ30" s="60">
        <f>AP30</f>
        <v>1080.9070000000002</v>
      </c>
      <c r="AR30" s="60"/>
      <c r="AS30" s="435">
        <f>AS82</f>
        <v>394.07299999999998</v>
      </c>
      <c r="AT30" s="435">
        <f t="shared" si="76"/>
        <v>796.83600000000001</v>
      </c>
      <c r="AU30" s="435">
        <f t="shared" si="76"/>
        <v>1724.63</v>
      </c>
      <c r="AV30" s="435">
        <f t="shared" si="76"/>
        <v>8517.6729999999989</v>
      </c>
      <c r="AW30" s="60">
        <f>AV30</f>
        <v>8517.6729999999989</v>
      </c>
      <c r="AX30" s="60"/>
      <c r="AY30" s="435">
        <f>AY82</f>
        <v>174.31700000000001</v>
      </c>
      <c r="AZ30" s="435">
        <f t="shared" si="77"/>
        <v>249.31700000000001</v>
      </c>
      <c r="BA30" s="435">
        <f t="shared" si="77"/>
        <v>359.79199999999997</v>
      </c>
      <c r="BB30" s="435">
        <f t="shared" si="77"/>
        <v>725</v>
      </c>
      <c r="BC30" s="60">
        <f>BB30</f>
        <v>725</v>
      </c>
      <c r="BD30" s="60"/>
      <c r="BE30" s="435">
        <f>BE82</f>
        <v>749.63300000000004</v>
      </c>
      <c r="BF30" s="435">
        <f t="shared" si="78"/>
        <v>1879</v>
      </c>
      <c r="BG30" s="435">
        <f t="shared" si="78"/>
        <v>3258</v>
      </c>
      <c r="BH30" s="435">
        <f t="shared" si="78"/>
        <v>4384</v>
      </c>
      <c r="BI30" s="60">
        <f>BH30</f>
        <v>4384</v>
      </c>
      <c r="BJ30" s="60"/>
      <c r="BK30" s="435">
        <f>BK82</f>
        <v>1070</v>
      </c>
      <c r="BL30" s="435">
        <f t="shared" si="79"/>
        <v>2574</v>
      </c>
      <c r="BM30" s="435">
        <f t="shared" si="79"/>
        <v>4064</v>
      </c>
      <c r="BN30" s="435">
        <f t="shared" si="79"/>
        <v>5942</v>
      </c>
      <c r="BO30" s="60">
        <f>BN30</f>
        <v>5942</v>
      </c>
      <c r="BP30" s="60"/>
      <c r="BQ30" s="435">
        <f>BQ82</f>
        <v>1068</v>
      </c>
      <c r="BR30" s="435">
        <v>3397</v>
      </c>
      <c r="BS30" s="435">
        <v>5829</v>
      </c>
      <c r="BT30" s="435">
        <v>8009</v>
      </c>
      <c r="BU30" s="60">
        <f t="shared" si="56"/>
        <v>8009</v>
      </c>
      <c r="BV30" s="60"/>
      <c r="BW30" s="60">
        <v>1923</v>
      </c>
      <c r="BX30" s="435">
        <v>6011</v>
      </c>
      <c r="BY30" s="435">
        <v>10537</v>
      </c>
      <c r="BZ30" s="435">
        <v>12194</v>
      </c>
      <c r="CA30" s="60">
        <f t="shared" si="57"/>
        <v>12194</v>
      </c>
      <c r="CB30" s="60"/>
      <c r="CC30" s="435">
        <v>827</v>
      </c>
      <c r="CD30" s="435">
        <v>1203</v>
      </c>
      <c r="CE30" s="435">
        <v>3083</v>
      </c>
      <c r="CF30" s="435">
        <v>3676</v>
      </c>
      <c r="CG30" s="60">
        <f t="shared" si="58"/>
        <v>3676</v>
      </c>
      <c r="CH30" s="60"/>
      <c r="CI30" s="435">
        <v>642</v>
      </c>
      <c r="CJ30" s="435">
        <v>2204</v>
      </c>
      <c r="CK30" s="435">
        <v>4653</v>
      </c>
      <c r="CL30" s="435">
        <v>5756</v>
      </c>
      <c r="CM30" s="174">
        <f t="shared" si="59"/>
        <v>5756</v>
      </c>
      <c r="CN30" s="60"/>
      <c r="CO30" s="435">
        <v>561</v>
      </c>
      <c r="CP30" s="435">
        <v>1273</v>
      </c>
      <c r="CQ30" s="435">
        <v>2532</v>
      </c>
      <c r="CR30" s="435">
        <v>4281</v>
      </c>
      <c r="CS30" s="174">
        <f t="shared" si="60"/>
        <v>4281</v>
      </c>
      <c r="CT30" s="60"/>
      <c r="CU30" s="435">
        <v>1420</v>
      </c>
      <c r="CV30" s="435">
        <v>4362</v>
      </c>
      <c r="CW30" s="435">
        <v>6397</v>
      </c>
      <c r="CX30" s="435">
        <v>8404</v>
      </c>
      <c r="CY30" s="174">
        <f t="shared" si="61"/>
        <v>8404</v>
      </c>
      <c r="CZ30" s="60"/>
      <c r="DA30" s="600">
        <v>1947</v>
      </c>
      <c r="DB30" s="600">
        <v>4088</v>
      </c>
      <c r="DC30" s="600">
        <v>7121</v>
      </c>
      <c r="DD30" s="600">
        <v>11220</v>
      </c>
      <c r="DE30" s="174">
        <f t="shared" si="62"/>
        <v>11220</v>
      </c>
      <c r="DF30" s="60"/>
      <c r="DG30" s="600">
        <v>4684</v>
      </c>
      <c r="DH30" s="600">
        <v>11153</v>
      </c>
      <c r="DI30" s="600">
        <v>19159</v>
      </c>
      <c r="DJ30" s="600">
        <v>27120</v>
      </c>
      <c r="DK30" s="174">
        <f t="shared" si="63"/>
        <v>27120</v>
      </c>
      <c r="DL30" s="60"/>
      <c r="DM30" s="600">
        <v>6768</v>
      </c>
      <c r="DN30" s="600">
        <v>16335</v>
      </c>
      <c r="DO30" s="600">
        <v>26472</v>
      </c>
      <c r="DP30" s="600">
        <v>35594</v>
      </c>
      <c r="DQ30" s="174">
        <f t="shared" si="64"/>
        <v>35594</v>
      </c>
      <c r="DR30" s="60"/>
      <c r="DS30" s="447">
        <v>6794</v>
      </c>
      <c r="DT30" s="447">
        <v>15263</v>
      </c>
      <c r="DU30" s="447">
        <f>22359</f>
        <v>22359</v>
      </c>
      <c r="DV30" s="447">
        <v>30159</v>
      </c>
      <c r="DW30" s="174">
        <f t="shared" si="65"/>
        <v>30159</v>
      </c>
      <c r="DX30" s="60"/>
      <c r="DY30" s="447">
        <v>6515</v>
      </c>
      <c r="DZ30" s="447">
        <v>13955</v>
      </c>
      <c r="EA30" s="447">
        <v>23110</v>
      </c>
      <c r="EB30" s="447">
        <v>28845</v>
      </c>
      <c r="EC30" s="174">
        <f t="shared" si="66"/>
        <v>28845</v>
      </c>
      <c r="ED30" s="60"/>
      <c r="EE30" s="447">
        <v>3878</v>
      </c>
      <c r="EF30" s="447">
        <v>10153</v>
      </c>
      <c r="EG30" s="447">
        <v>15042</v>
      </c>
      <c r="EH30" s="447">
        <v>20004</v>
      </c>
      <c r="EI30" s="174">
        <f t="shared" si="67"/>
        <v>20004</v>
      </c>
      <c r="EJ30" s="60"/>
      <c r="EK30" s="447">
        <v>4644</v>
      </c>
      <c r="EL30" s="447">
        <v>15088</v>
      </c>
      <c r="EM30" s="447">
        <v>18845</v>
      </c>
      <c r="EN30" s="447">
        <v>21247</v>
      </c>
      <c r="EO30" s="174">
        <f t="shared" si="68"/>
        <v>21247</v>
      </c>
      <c r="EP30" s="60"/>
      <c r="EQ30" s="447">
        <v>1752</v>
      </c>
      <c r="ER30" s="447">
        <v>6080</v>
      </c>
      <c r="ES30" s="447">
        <v>11825</v>
      </c>
      <c r="ET30" s="447">
        <v>17615</v>
      </c>
      <c r="EU30" s="174">
        <f t="shared" si="69"/>
        <v>17615</v>
      </c>
      <c r="EV30" s="60"/>
      <c r="EW30" s="447">
        <v>6326</v>
      </c>
      <c r="EX30" s="447">
        <v>11566</v>
      </c>
      <c r="EY30" s="447">
        <v>17069</v>
      </c>
      <c r="EZ30" s="447">
        <f>IF(('Balance Sheet'!EZ9+'Balance Sheet'!EZ19)&lt;('Balance Sheet'!EY9+'Balance Sheet'!EY19),'Balance Sheet'!EY9+'Balance Sheet'!EY19-'Balance Sheet'!EZ9-'Balance Sheet'!EZ19,0)+EY30+5000</f>
        <v>22069</v>
      </c>
      <c r="FA30" s="174">
        <f>EZ30</f>
        <v>22069</v>
      </c>
      <c r="FB30" s="60"/>
      <c r="FC30" s="447">
        <f>IF(('Balance Sheet'!FC9+'Balance Sheet'!EZ19)&lt;('Balance Sheet'!FB9+'Balance Sheet'!EZ19),'Balance Sheet'!EZ9+'Balance Sheet'!EZ19-'Balance Sheet'!FC9-'Balance Sheet'!FC19,0)+FB30+5000</f>
        <v>5000</v>
      </c>
      <c r="FD30" s="447">
        <f>IF(('Balance Sheet'!FD9+'Balance Sheet'!FD19)&lt;('Balance Sheet'!FC9+'Balance Sheet'!FC19),'Balance Sheet'!FC9+'Balance Sheet'!FC19-'Balance Sheet'!FD9-'Balance Sheet'!FD19,0)+FC30+5000</f>
        <v>10000</v>
      </c>
      <c r="FE30" s="447">
        <f>IF(('Balance Sheet'!FE9+'Balance Sheet'!FE19)&lt;('Balance Sheet'!FD9+'Balance Sheet'!FD19),'Balance Sheet'!FD9+'Balance Sheet'!FD19-'Balance Sheet'!FE9-'Balance Sheet'!FE19,0)+FD30+5000</f>
        <v>15000</v>
      </c>
      <c r="FF30" s="447">
        <f>IF(('Balance Sheet'!FF9+'Balance Sheet'!FF19)&lt;('Balance Sheet'!FE9+'Balance Sheet'!FE19),'Balance Sheet'!FE9+'Balance Sheet'!FE19-'Balance Sheet'!FF9-'Balance Sheet'!FF19,0)+FE30+5000</f>
        <v>20000</v>
      </c>
      <c r="FG30" s="174">
        <f>FF30</f>
        <v>20000</v>
      </c>
      <c r="FH30" s="60"/>
      <c r="FI30" s="447">
        <f>IF(('Balance Sheet'!FI9+'Balance Sheet'!FF19)&lt;('Balance Sheet'!FH9+'Balance Sheet'!FF19),'Balance Sheet'!FF9+'Balance Sheet'!FF19-'Balance Sheet'!FI9-'Balance Sheet'!FI19,0)+FH30+5000</f>
        <v>5000</v>
      </c>
      <c r="FJ30" s="447">
        <f>IF(('Balance Sheet'!FJ9+'Balance Sheet'!FJ19)&lt;('Balance Sheet'!FI9+'Balance Sheet'!FI19),'Balance Sheet'!FI9+'Balance Sheet'!FI19-'Balance Sheet'!FJ9-'Balance Sheet'!FJ19,0)+FI30+5000</f>
        <v>10000</v>
      </c>
      <c r="FK30" s="447">
        <f>IF(('Balance Sheet'!FK9+'Balance Sheet'!FK19)&lt;('Balance Sheet'!FJ9+'Balance Sheet'!FJ19),'Balance Sheet'!FJ9+'Balance Sheet'!FJ19-'Balance Sheet'!FK9-'Balance Sheet'!FK19,0)+FJ30+5000</f>
        <v>15000</v>
      </c>
      <c r="FL30" s="447">
        <f>IF(('Balance Sheet'!FL9+'Balance Sheet'!FL19)&lt;('Balance Sheet'!FK9+'Balance Sheet'!FK19),'Balance Sheet'!FK9+'Balance Sheet'!FK19-'Balance Sheet'!FL9-'Balance Sheet'!FL19,0)+FK30+5000</f>
        <v>20000</v>
      </c>
      <c r="FM30" s="174">
        <f>FL30</f>
        <v>20000</v>
      </c>
      <c r="FN30" s="242"/>
      <c r="FO30" s="242"/>
      <c r="FP30" s="242"/>
      <c r="FQ30" s="242"/>
      <c r="FR30" s="242"/>
      <c r="FS30"/>
      <c r="FT30"/>
      <c r="FU30"/>
      <c r="FV30"/>
      <c r="FW30"/>
      <c r="FX30"/>
      <c r="FY30" s="242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</row>
    <row r="31" spans="1:274" s="24" customFormat="1" ht="10.5" customHeight="1" x14ac:dyDescent="0.2">
      <c r="A31" s="60" t="s">
        <v>416</v>
      </c>
      <c r="B31" s="476"/>
      <c r="C31" s="435">
        <f t="shared" ref="C31:M31" si="81">C83</f>
        <v>0</v>
      </c>
      <c r="D31" s="435">
        <f t="shared" si="81"/>
        <v>0</v>
      </c>
      <c r="E31" s="435">
        <f t="shared" si="81"/>
        <v>-11.334</v>
      </c>
      <c r="F31" s="435">
        <f t="shared" si="81"/>
        <v>-15.411</v>
      </c>
      <c r="G31" s="435">
        <f t="shared" si="81"/>
        <v>-30.959</v>
      </c>
      <c r="H31" s="435">
        <f t="shared" si="81"/>
        <v>-68.427999999999997</v>
      </c>
      <c r="I31" s="435">
        <f t="shared" si="81"/>
        <v>-27.638999999999999</v>
      </c>
      <c r="J31" s="435">
        <f t="shared" si="81"/>
        <v>-47.844999999999999</v>
      </c>
      <c r="K31" s="435">
        <f t="shared" si="81"/>
        <v>-41.825000000000003</v>
      </c>
      <c r="L31" s="435">
        <f t="shared" si="81"/>
        <v>-41.313000000000002</v>
      </c>
      <c r="M31" s="435">
        <f t="shared" si="81"/>
        <v>-250.65</v>
      </c>
      <c r="N31" s="60"/>
      <c r="O31" s="435">
        <f>O83</f>
        <v>-30.135000000000002</v>
      </c>
      <c r="P31" s="435">
        <f t="shared" si="71"/>
        <v>-107.94199999999999</v>
      </c>
      <c r="Q31" s="435">
        <f t="shared" si="71"/>
        <v>-179.65299999999999</v>
      </c>
      <c r="R31" s="435">
        <f t="shared" si="71"/>
        <v>-262.04599999999999</v>
      </c>
      <c r="S31" s="60">
        <f>R31</f>
        <v>-262.04599999999999</v>
      </c>
      <c r="T31" s="60"/>
      <c r="U31" s="435">
        <f>U83</f>
        <v>-59.667000000000002</v>
      </c>
      <c r="V31" s="435">
        <f t="shared" si="72"/>
        <v>-140.61699999999999</v>
      </c>
      <c r="W31" s="435">
        <f t="shared" si="72"/>
        <v>-220.02199999999999</v>
      </c>
      <c r="X31" s="435">
        <f t="shared" si="72"/>
        <v>-308.392</v>
      </c>
      <c r="Y31" s="60">
        <f>X31</f>
        <v>-308.392</v>
      </c>
      <c r="Z31" s="60"/>
      <c r="AA31" s="435">
        <f>AA83</f>
        <v>-88.975999999999999</v>
      </c>
      <c r="AB31" s="435">
        <f t="shared" si="73"/>
        <v>-173.85300000000001</v>
      </c>
      <c r="AC31" s="435">
        <f t="shared" si="73"/>
        <v>-240.398</v>
      </c>
      <c r="AD31" s="435">
        <f t="shared" si="73"/>
        <v>-390.74099999999999</v>
      </c>
      <c r="AE31" s="60">
        <f>AD31</f>
        <v>-390.74099999999999</v>
      </c>
      <c r="AF31" s="60"/>
      <c r="AG31" s="435">
        <f>AG83</f>
        <v>-77.483999999999995</v>
      </c>
      <c r="AH31" s="435">
        <f t="shared" si="74"/>
        <v>-155.29400000000001</v>
      </c>
      <c r="AI31" s="435">
        <f t="shared" si="74"/>
        <v>-240.58099999999996</v>
      </c>
      <c r="AJ31" s="435">
        <f t="shared" si="74"/>
        <v>-328.358</v>
      </c>
      <c r="AK31" s="60">
        <f>AJ31</f>
        <v>-328.358</v>
      </c>
      <c r="AL31" s="60"/>
      <c r="AM31" s="435">
        <f>AM83</f>
        <v>-88.319000000000003</v>
      </c>
      <c r="AN31" s="435">
        <f t="shared" si="75"/>
        <v>-172.93199999999999</v>
      </c>
      <c r="AO31" s="435">
        <f t="shared" si="75"/>
        <v>-258.959</v>
      </c>
      <c r="AP31" s="435">
        <f t="shared" si="75"/>
        <v>-346.59199999999998</v>
      </c>
      <c r="AQ31" s="60">
        <f>AP31</f>
        <v>-346.59199999999998</v>
      </c>
      <c r="AR31" s="60"/>
      <c r="AS31" s="435">
        <f>AS83</f>
        <v>-54.892000000000003</v>
      </c>
      <c r="AT31" s="435">
        <f t="shared" si="76"/>
        <v>-124.45999999999998</v>
      </c>
      <c r="AU31" s="435">
        <f t="shared" si="76"/>
        <v>-219.51300000000001</v>
      </c>
      <c r="AV31" s="435">
        <f t="shared" si="76"/>
        <v>-263.44299999999998</v>
      </c>
      <c r="AW31" s="60">
        <f>AV31</f>
        <v>-263.44299999999998</v>
      </c>
      <c r="AX31" s="60"/>
      <c r="AY31" s="435">
        <f>AY83</f>
        <v>-73.397000000000006</v>
      </c>
      <c r="AZ31" s="435">
        <f t="shared" si="77"/>
        <v>-153.99700000000001</v>
      </c>
      <c r="BA31" s="435">
        <f t="shared" si="77"/>
        <v>-216.68900000000002</v>
      </c>
      <c r="BB31" s="435">
        <f t="shared" si="77"/>
        <v>-313</v>
      </c>
      <c r="BC31" s="60">
        <f>BB31</f>
        <v>-313</v>
      </c>
      <c r="BD31" s="60"/>
      <c r="BE31" s="435">
        <f>BE83</f>
        <v>-112.547</v>
      </c>
      <c r="BF31" s="435">
        <f t="shared" si="78"/>
        <v>-160</v>
      </c>
      <c r="BG31" s="435">
        <f t="shared" si="78"/>
        <v>-199</v>
      </c>
      <c r="BH31" s="435">
        <f t="shared" si="78"/>
        <v>-278</v>
      </c>
      <c r="BI31" s="60">
        <f>BH31</f>
        <v>-278</v>
      </c>
      <c r="BJ31" s="60"/>
      <c r="BK31" s="435">
        <f>BK83</f>
        <v>-43</v>
      </c>
      <c r="BL31" s="435">
        <f t="shared" si="79"/>
        <v>-75</v>
      </c>
      <c r="BM31" s="435">
        <f t="shared" si="79"/>
        <v>-88</v>
      </c>
      <c r="BN31" s="435">
        <f t="shared" si="79"/>
        <v>-291</v>
      </c>
      <c r="BO31" s="60">
        <f>BN31</f>
        <v>-291</v>
      </c>
      <c r="BP31" s="60"/>
      <c r="BQ31" s="435">
        <f>BQ83</f>
        <v>-76</v>
      </c>
      <c r="BR31" s="435">
        <v>-103</v>
      </c>
      <c r="BS31" s="435">
        <v>-144</v>
      </c>
      <c r="BT31" s="435">
        <v>-189</v>
      </c>
      <c r="BU31" s="60">
        <f t="shared" si="56"/>
        <v>-189</v>
      </c>
      <c r="BV31" s="60"/>
      <c r="BW31" s="60">
        <v>-34</v>
      </c>
      <c r="BX31" s="435">
        <v>-92</v>
      </c>
      <c r="BY31" s="435">
        <v>-150</v>
      </c>
      <c r="BZ31" s="435">
        <v>-188</v>
      </c>
      <c r="CA31" s="60">
        <f t="shared" si="57"/>
        <v>-188</v>
      </c>
      <c r="CB31" s="60"/>
      <c r="CC31" s="435">
        <v>-52</v>
      </c>
      <c r="CD31" s="435">
        <v>-86</v>
      </c>
      <c r="CE31" s="435">
        <v>-161</v>
      </c>
      <c r="CF31" s="435">
        <v>-236</v>
      </c>
      <c r="CG31" s="60">
        <f t="shared" si="58"/>
        <v>-236</v>
      </c>
      <c r="CH31" s="60"/>
      <c r="CI31" s="435">
        <v>-49</v>
      </c>
      <c r="CJ31" s="435">
        <v>-106</v>
      </c>
      <c r="CK31" s="435">
        <v>-183</v>
      </c>
      <c r="CL31" s="435">
        <v>-319</v>
      </c>
      <c r="CM31" s="174">
        <f t="shared" si="59"/>
        <v>-319</v>
      </c>
      <c r="CN31" s="60"/>
      <c r="CO31" s="435">
        <v>-87</v>
      </c>
      <c r="CP31" s="435">
        <v>-156</v>
      </c>
      <c r="CQ31" s="435">
        <v>-195</v>
      </c>
      <c r="CR31" s="435">
        <v>-243</v>
      </c>
      <c r="CS31" s="174">
        <f t="shared" si="60"/>
        <v>-243</v>
      </c>
      <c r="CT31" s="60"/>
      <c r="CU31" s="435">
        <v>-323</v>
      </c>
      <c r="CV31" s="435">
        <v>-399</v>
      </c>
      <c r="CW31" s="435">
        <v>-491</v>
      </c>
      <c r="CX31" s="435">
        <v>-529</v>
      </c>
      <c r="CY31" s="174">
        <f t="shared" si="61"/>
        <v>-529</v>
      </c>
      <c r="CZ31" s="60"/>
      <c r="DA31" s="435">
        <v>-55</v>
      </c>
      <c r="DB31" s="435">
        <v>-100</v>
      </c>
      <c r="DC31" s="435">
        <v>-161</v>
      </c>
      <c r="DD31" s="435">
        <v>-230</v>
      </c>
      <c r="DE31" s="174">
        <f t="shared" si="62"/>
        <v>-230</v>
      </c>
      <c r="DF31" s="60"/>
      <c r="DG31" s="435">
        <v>-118</v>
      </c>
      <c r="DH31" s="435">
        <v>-239</v>
      </c>
      <c r="DI31" s="435">
        <v>-372</v>
      </c>
      <c r="DJ31" s="435">
        <v>-450</v>
      </c>
      <c r="DK31" s="174">
        <f t="shared" si="63"/>
        <v>-450</v>
      </c>
      <c r="DL31" s="60"/>
      <c r="DM31" s="435">
        <v>-160</v>
      </c>
      <c r="DN31" s="435">
        <v>-269</v>
      </c>
      <c r="DO31" s="435">
        <v>-431</v>
      </c>
      <c r="DP31" s="435">
        <v>-648</v>
      </c>
      <c r="DQ31" s="174">
        <f t="shared" si="64"/>
        <v>-648</v>
      </c>
      <c r="DR31" s="60"/>
      <c r="DS31" s="435">
        <v>-139</v>
      </c>
      <c r="DT31" s="435">
        <v>-351</v>
      </c>
      <c r="DU31" s="435">
        <v>-467</v>
      </c>
      <c r="DV31" s="435">
        <v>-650</v>
      </c>
      <c r="DW31" s="174">
        <f t="shared" si="65"/>
        <v>-650</v>
      </c>
      <c r="DX31" s="60"/>
      <c r="DY31" s="435">
        <v>-153</v>
      </c>
      <c r="DZ31" s="435">
        <v>-279</v>
      </c>
      <c r="EA31" s="435">
        <v>-426</v>
      </c>
      <c r="EB31" s="435">
        <v>-580</v>
      </c>
      <c r="EC31" s="174">
        <f t="shared" si="66"/>
        <v>-580</v>
      </c>
      <c r="ED31" s="60"/>
      <c r="EE31" s="435">
        <v>-201</v>
      </c>
      <c r="EF31" s="435">
        <v>-426</v>
      </c>
      <c r="EG31" s="435">
        <v>-794</v>
      </c>
      <c r="EH31" s="435">
        <v>-1391</v>
      </c>
      <c r="EI31" s="174">
        <f t="shared" si="67"/>
        <v>-1391</v>
      </c>
      <c r="EJ31" s="60"/>
      <c r="EK31" s="435">
        <v>-446</v>
      </c>
      <c r="EL31" s="435">
        <v>-641</v>
      </c>
      <c r="EM31" s="435">
        <v>-1009</v>
      </c>
      <c r="EN31" s="435">
        <v>-1189</v>
      </c>
      <c r="EO31" s="174">
        <f t="shared" si="68"/>
        <v>-1189</v>
      </c>
      <c r="EP31" s="60"/>
      <c r="EQ31" s="435">
        <v>-299</v>
      </c>
      <c r="ER31" s="435">
        <v>-1056</v>
      </c>
      <c r="ES31" s="435">
        <v>-1496</v>
      </c>
      <c r="ET31" s="435">
        <v>-2021</v>
      </c>
      <c r="EU31" s="174">
        <f t="shared" si="69"/>
        <v>-2021</v>
      </c>
      <c r="EV31" s="60"/>
      <c r="EW31" s="435">
        <v>-473</v>
      </c>
      <c r="EX31" s="435">
        <v>-1072</v>
      </c>
      <c r="EY31" s="435">
        <v>-1358</v>
      </c>
      <c r="EZ31" s="435">
        <f>-'Balance Sheet'!EZ144+EY31</f>
        <v>-1835.6920719931727</v>
      </c>
      <c r="FA31" s="174">
        <f>EZ31</f>
        <v>-1835.6920719931727</v>
      </c>
      <c r="FB31" s="60"/>
      <c r="FC31" s="435">
        <f>-'Balance Sheet'!FC144</f>
        <v>-461.66827423997353</v>
      </c>
      <c r="FD31" s="435">
        <f>-'Balance Sheet'!FD144+FC31</f>
        <v>-927.38313434867359</v>
      </c>
      <c r="FE31" s="435">
        <f>-'Balance Sheet'!FE144+FD31</f>
        <v>-1396.7301026103141</v>
      </c>
      <c r="FF31" s="435">
        <f>-'Balance Sheet'!FF144+FE31</f>
        <v>-1868.5358228996911</v>
      </c>
      <c r="FG31" s="174">
        <f>FF31</f>
        <v>-1868.5358228996911</v>
      </c>
      <c r="FH31" s="60"/>
      <c r="FI31" s="435">
        <f>-'Balance Sheet'!FI144</f>
        <v>-476.29301883151368</v>
      </c>
      <c r="FJ31" s="435">
        <f>-'Balance Sheet'!FJ144+FI31</f>
        <v>-956.73726823182233</v>
      </c>
      <c r="FK31" s="435">
        <f>-'Balance Sheet'!FK144+FJ31</f>
        <v>-1441.1855028448822</v>
      </c>
      <c r="FL31" s="435">
        <f>-'Balance Sheet'!FL144+FK31</f>
        <v>-1928.7723461545845</v>
      </c>
      <c r="FM31" s="174">
        <f>FL31</f>
        <v>-1928.7723461545845</v>
      </c>
      <c r="FN31" s="242"/>
      <c r="FO31" s="242"/>
      <c r="FP31" s="242"/>
      <c r="FQ31" s="242"/>
      <c r="FR31" s="242"/>
      <c r="FS31"/>
      <c r="FT31"/>
      <c r="FU31"/>
      <c r="FV31"/>
      <c r="FW31"/>
      <c r="FX31"/>
      <c r="FY31" s="242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</row>
    <row r="32" spans="1:274" s="24" customFormat="1" ht="10.5" customHeight="1" x14ac:dyDescent="0.2">
      <c r="A32" s="60" t="s">
        <v>417</v>
      </c>
      <c r="B32" s="476"/>
      <c r="C32" s="435">
        <f t="shared" ref="C32:M32" si="82">C84</f>
        <v>0</v>
      </c>
      <c r="D32" s="435">
        <f t="shared" si="82"/>
        <v>0</v>
      </c>
      <c r="E32" s="435">
        <f t="shared" si="82"/>
        <v>-0.56200000000000006</v>
      </c>
      <c r="F32" s="435">
        <f t="shared" si="82"/>
        <v>-6.6520000000000001</v>
      </c>
      <c r="G32" s="435">
        <f t="shared" si="82"/>
        <v>-4.9279999999999999</v>
      </c>
      <c r="H32" s="435">
        <f t="shared" si="82"/>
        <v>-19.259999999999998</v>
      </c>
      <c r="I32" s="435">
        <f t="shared" si="82"/>
        <v>-1.1160000000000001</v>
      </c>
      <c r="J32" s="435">
        <f t="shared" si="82"/>
        <v>-2.8239999999999998</v>
      </c>
      <c r="K32" s="435">
        <f t="shared" si="82"/>
        <v>-4.6840000000000002</v>
      </c>
      <c r="L32" s="435">
        <f t="shared" si="82"/>
        <v>-35.435000000000002</v>
      </c>
      <c r="M32" s="435">
        <f t="shared" si="82"/>
        <v>-63.780999999999999</v>
      </c>
      <c r="N32" s="60"/>
      <c r="O32" s="435">
        <f>O84</f>
        <v>-22.606000000000002</v>
      </c>
      <c r="P32" s="435">
        <f t="shared" si="71"/>
        <v>-149.88400000000001</v>
      </c>
      <c r="Q32" s="435">
        <f t="shared" si="71"/>
        <v>-165.72199999999998</v>
      </c>
      <c r="R32" s="435">
        <f t="shared" si="71"/>
        <v>-188.01100000000002</v>
      </c>
      <c r="S32" s="60">
        <f>R32</f>
        <v>-188.01100000000002</v>
      </c>
      <c r="T32" s="60"/>
      <c r="U32" s="435">
        <f>U84</f>
        <v>-120.71</v>
      </c>
      <c r="V32" s="435">
        <f t="shared" si="72"/>
        <v>-132.48699999999999</v>
      </c>
      <c r="W32" s="435">
        <f t="shared" si="72"/>
        <v>-150.255</v>
      </c>
      <c r="X32" s="435">
        <f t="shared" si="72"/>
        <v>-181.62700000000001</v>
      </c>
      <c r="Y32" s="60">
        <f>X32</f>
        <v>-181.62700000000001</v>
      </c>
      <c r="Z32" s="60"/>
      <c r="AA32" s="435">
        <f>AA84</f>
        <v>-27.109000000000002</v>
      </c>
      <c r="AB32" s="435">
        <f t="shared" si="73"/>
        <v>-36.069000000000003</v>
      </c>
      <c r="AC32" s="435">
        <f t="shared" si="73"/>
        <v>-91.24799999999999</v>
      </c>
      <c r="AD32" s="435">
        <f t="shared" si="73"/>
        <v>-114.404</v>
      </c>
      <c r="AE32" s="60">
        <f>AD32</f>
        <v>-114.404</v>
      </c>
      <c r="AF32" s="60"/>
      <c r="AG32" s="435">
        <f>AG84</f>
        <v>-40.290999999999997</v>
      </c>
      <c r="AH32" s="435">
        <f t="shared" si="74"/>
        <v>-187.23499999999999</v>
      </c>
      <c r="AI32" s="435">
        <f t="shared" si="74"/>
        <v>-208.976</v>
      </c>
      <c r="AJ32" s="435">
        <f t="shared" si="74"/>
        <v>-201.499</v>
      </c>
      <c r="AK32" s="60">
        <f>AJ32</f>
        <v>-201.499</v>
      </c>
      <c r="AL32" s="60"/>
      <c r="AM32" s="435">
        <f>AM84</f>
        <v>-47.405000000000001</v>
      </c>
      <c r="AN32" s="435">
        <f t="shared" si="75"/>
        <v>-92.931999999999988</v>
      </c>
      <c r="AO32" s="435">
        <f t="shared" si="75"/>
        <v>-171.666</v>
      </c>
      <c r="AP32" s="435">
        <f t="shared" si="75"/>
        <v>-286.05799999999999</v>
      </c>
      <c r="AQ32" s="60">
        <f>AP32</f>
        <v>-286.05799999999999</v>
      </c>
      <c r="AR32" s="60"/>
      <c r="AS32" s="435">
        <f>AS84</f>
        <v>-12.682</v>
      </c>
      <c r="AT32" s="435">
        <f t="shared" si="76"/>
        <v>-43.19</v>
      </c>
      <c r="AU32" s="435">
        <f t="shared" si="76"/>
        <v>-197.46400000000003</v>
      </c>
      <c r="AV32" s="435">
        <f t="shared" si="76"/>
        <v>-474.60199999999998</v>
      </c>
      <c r="AW32" s="60">
        <f>AV32</f>
        <v>-474.60199999999998</v>
      </c>
      <c r="AX32" s="60"/>
      <c r="AY32" s="435">
        <f>AY84</f>
        <v>73.554000000000002</v>
      </c>
      <c r="AZ32" s="435">
        <f t="shared" si="77"/>
        <v>54.091000000000001</v>
      </c>
      <c r="BA32" s="435">
        <f t="shared" si="77"/>
        <v>26.215999999999994</v>
      </c>
      <c r="BB32" s="435">
        <f t="shared" si="77"/>
        <v>-83</v>
      </c>
      <c r="BC32" s="60">
        <f>BB32</f>
        <v>-83</v>
      </c>
      <c r="BD32" s="60"/>
      <c r="BE32" s="435">
        <f>BE84</f>
        <v>-9.1370000000000005</v>
      </c>
      <c r="BF32" s="435">
        <f t="shared" si="78"/>
        <v>-27</v>
      </c>
      <c r="BG32" s="435">
        <f t="shared" si="78"/>
        <v>-9</v>
      </c>
      <c r="BH32" s="435">
        <f t="shared" si="78"/>
        <v>-49</v>
      </c>
      <c r="BI32" s="60">
        <f>BH32</f>
        <v>-49</v>
      </c>
      <c r="BJ32" s="60"/>
      <c r="BK32" s="435">
        <f>BK84</f>
        <v>-94</v>
      </c>
      <c r="BL32" s="435">
        <f t="shared" si="79"/>
        <v>-68</v>
      </c>
      <c r="BM32" s="435">
        <f t="shared" si="79"/>
        <v>-64</v>
      </c>
      <c r="BN32" s="435">
        <f t="shared" si="79"/>
        <v>-43</v>
      </c>
      <c r="BO32" s="60">
        <f>BN32</f>
        <v>-43</v>
      </c>
      <c r="BP32" s="60"/>
      <c r="BQ32" s="435">
        <f>BQ84</f>
        <v>-12</v>
      </c>
      <c r="BR32" s="435">
        <v>-21</v>
      </c>
      <c r="BS32" s="435">
        <v>-33</v>
      </c>
      <c r="BT32" s="435">
        <f>-21-37</f>
        <v>-58</v>
      </c>
      <c r="BU32" s="60">
        <f t="shared" si="56"/>
        <v>-58</v>
      </c>
      <c r="BV32" s="60"/>
      <c r="BW32" s="60">
        <v>-2</v>
      </c>
      <c r="BX32" s="435">
        <v>-4</v>
      </c>
      <c r="BY32" s="435">
        <v>-5</v>
      </c>
      <c r="BZ32" s="435">
        <v>-2</v>
      </c>
      <c r="CA32" s="60">
        <f t="shared" si="57"/>
        <v>-2</v>
      </c>
      <c r="CB32" s="60"/>
      <c r="CC32" s="435">
        <f>70-2</f>
        <v>68</v>
      </c>
      <c r="CD32" s="435">
        <f>89-3</f>
        <v>86</v>
      </c>
      <c r="CE32" s="435">
        <v>136</v>
      </c>
      <c r="CF32" s="435">
        <v>140</v>
      </c>
      <c r="CG32" s="60">
        <f t="shared" si="58"/>
        <v>140</v>
      </c>
      <c r="CH32" s="60"/>
      <c r="CI32" s="435">
        <v>0</v>
      </c>
      <c r="CJ32" s="435">
        <f>CI32</f>
        <v>0</v>
      </c>
      <c r="CK32" s="435">
        <f>CJ32</f>
        <v>0</v>
      </c>
      <c r="CL32" s="435">
        <f>CK32</f>
        <v>0</v>
      </c>
      <c r="CM32" s="174">
        <f t="shared" si="59"/>
        <v>0</v>
      </c>
      <c r="CN32" s="60"/>
      <c r="CO32" s="435">
        <v>0</v>
      </c>
      <c r="CP32" s="435">
        <f>CO32</f>
        <v>0</v>
      </c>
      <c r="CQ32" s="435">
        <v>153</v>
      </c>
      <c r="CR32" s="435">
        <v>153</v>
      </c>
      <c r="CS32" s="174">
        <f t="shared" si="60"/>
        <v>153</v>
      </c>
      <c r="CT32" s="60"/>
      <c r="CU32" s="435">
        <v>0</v>
      </c>
      <c r="CV32" s="435">
        <v>0</v>
      </c>
      <c r="CW32" s="435">
        <v>0</v>
      </c>
      <c r="CX32" s="435">
        <v>0</v>
      </c>
      <c r="CY32" s="174">
        <f t="shared" si="61"/>
        <v>0</v>
      </c>
      <c r="CZ32" s="60"/>
      <c r="DA32" s="600">
        <v>0</v>
      </c>
      <c r="DB32" s="600">
        <v>0</v>
      </c>
      <c r="DC32" s="600">
        <f>DB32</f>
        <v>0</v>
      </c>
      <c r="DD32" s="600">
        <f>DC32</f>
        <v>0</v>
      </c>
      <c r="DE32" s="174">
        <f t="shared" si="62"/>
        <v>0</v>
      </c>
      <c r="DF32" s="60"/>
      <c r="DG32" s="600">
        <v>0</v>
      </c>
      <c r="DH32" s="447">
        <f>DG32</f>
        <v>0</v>
      </c>
      <c r="DI32" s="600">
        <v>85</v>
      </c>
      <c r="DJ32" s="600">
        <v>105</v>
      </c>
      <c r="DK32" s="174">
        <f t="shared" si="63"/>
        <v>105</v>
      </c>
      <c r="DL32" s="60"/>
      <c r="DM32" s="600">
        <v>0</v>
      </c>
      <c r="DN32" s="447">
        <f>DM32</f>
        <v>0</v>
      </c>
      <c r="DO32" s="600">
        <f>DN32</f>
        <v>0</v>
      </c>
      <c r="DP32" s="600">
        <v>0</v>
      </c>
      <c r="DQ32" s="174">
        <f t="shared" si="64"/>
        <v>0</v>
      </c>
      <c r="DR32" s="60"/>
      <c r="DS32" s="447">
        <v>0</v>
      </c>
      <c r="DT32" s="447">
        <f>DS32</f>
        <v>0</v>
      </c>
      <c r="DU32" s="447">
        <v>0</v>
      </c>
      <c r="DV32" s="447">
        <f>DU32</f>
        <v>0</v>
      </c>
      <c r="DW32" s="174">
        <f t="shared" si="65"/>
        <v>0</v>
      </c>
      <c r="DX32" s="60"/>
      <c r="DY32" s="447">
        <v>0</v>
      </c>
      <c r="DZ32" s="447">
        <v>0</v>
      </c>
      <c r="EA32" s="447">
        <v>0</v>
      </c>
      <c r="EB32" s="447">
        <f>EA32</f>
        <v>0</v>
      </c>
      <c r="EC32" s="174">
        <f t="shared" si="66"/>
        <v>0</v>
      </c>
      <c r="ED32" s="60"/>
      <c r="EE32" s="447">
        <v>0</v>
      </c>
      <c r="EF32" s="447">
        <v>0</v>
      </c>
      <c r="EG32" s="447">
        <v>0</v>
      </c>
      <c r="EH32" s="447">
        <v>0</v>
      </c>
      <c r="EI32" s="174">
        <f t="shared" si="67"/>
        <v>0</v>
      </c>
      <c r="EJ32" s="60"/>
      <c r="EK32" s="447">
        <v>0</v>
      </c>
      <c r="EL32" s="447">
        <v>0</v>
      </c>
      <c r="EM32" s="447">
        <v>0</v>
      </c>
      <c r="EN32" s="447">
        <v>0</v>
      </c>
      <c r="EO32" s="174">
        <f t="shared" si="68"/>
        <v>0</v>
      </c>
      <c r="EP32" s="60"/>
      <c r="EQ32" s="447">
        <v>0</v>
      </c>
      <c r="ER32" s="447">
        <v>0</v>
      </c>
      <c r="ES32" s="447">
        <v>0</v>
      </c>
      <c r="ET32" s="447">
        <v>0</v>
      </c>
      <c r="EU32" s="174">
        <f t="shared" si="69"/>
        <v>0</v>
      </c>
      <c r="EV32" s="60"/>
      <c r="EW32" s="447">
        <v>0</v>
      </c>
      <c r="EX32" s="447">
        <v>0</v>
      </c>
      <c r="EY32" s="447">
        <v>0</v>
      </c>
      <c r="EZ32" s="447">
        <f>EY32</f>
        <v>0</v>
      </c>
      <c r="FA32" s="174">
        <f>EZ32</f>
        <v>0</v>
      </c>
      <c r="FB32" s="60"/>
      <c r="FC32" s="447">
        <v>0</v>
      </c>
      <c r="FD32" s="447">
        <f>FC32</f>
        <v>0</v>
      </c>
      <c r="FE32" s="447">
        <f>FD32</f>
        <v>0</v>
      </c>
      <c r="FF32" s="447">
        <f>FE32</f>
        <v>0</v>
      </c>
      <c r="FG32" s="174">
        <f>FF32</f>
        <v>0</v>
      </c>
      <c r="FH32" s="60"/>
      <c r="FI32" s="447">
        <v>0</v>
      </c>
      <c r="FJ32" s="447">
        <f>FI32</f>
        <v>0</v>
      </c>
      <c r="FK32" s="447">
        <f>FJ32</f>
        <v>0</v>
      </c>
      <c r="FL32" s="447">
        <f>FK32</f>
        <v>0</v>
      </c>
      <c r="FM32" s="174">
        <f>FL32</f>
        <v>0</v>
      </c>
      <c r="FN32" s="242"/>
      <c r="FO32" s="242"/>
      <c r="FP32" s="242"/>
      <c r="FQ32" s="242"/>
      <c r="FR32" s="242"/>
      <c r="FS32"/>
      <c r="FT32"/>
      <c r="FU32"/>
      <c r="FV32"/>
      <c r="FW32"/>
      <c r="FX32"/>
      <c r="FY32" s="24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</row>
    <row r="33" spans="1:274" s="24" customFormat="1" ht="10.5" customHeight="1" x14ac:dyDescent="0.2">
      <c r="A33" s="1376" t="s">
        <v>954</v>
      </c>
      <c r="B33" s="1376"/>
      <c r="C33" s="1376">
        <f t="shared" ref="C33:M33" si="83">SUM(C29:C32)</f>
        <v>0</v>
      </c>
      <c r="D33" s="1376">
        <f t="shared" si="83"/>
        <v>0</v>
      </c>
      <c r="E33" s="1376">
        <f t="shared" si="83"/>
        <v>-11.895999999999999</v>
      </c>
      <c r="F33" s="1376">
        <f t="shared" si="83"/>
        <v>-22.062999999999999</v>
      </c>
      <c r="G33" s="1376">
        <f t="shared" si="83"/>
        <v>-43.384999999999998</v>
      </c>
      <c r="H33" s="1376">
        <f t="shared" si="83"/>
        <v>-84.69</v>
      </c>
      <c r="I33" s="1376">
        <f t="shared" si="83"/>
        <v>-118.51</v>
      </c>
      <c r="J33" s="1376">
        <f t="shared" si="83"/>
        <v>-106.42099999999999</v>
      </c>
      <c r="K33" s="1376">
        <f t="shared" si="83"/>
        <v>-116.358</v>
      </c>
      <c r="L33" s="1376">
        <f t="shared" si="83"/>
        <v>-158.02100000000002</v>
      </c>
      <c r="M33" s="1376">
        <f t="shared" si="83"/>
        <v>-269.88799999999998</v>
      </c>
      <c r="N33" s="1376"/>
      <c r="O33" s="1376">
        <f>SUM(O29:O32)</f>
        <v>-23.536000000000005</v>
      </c>
      <c r="P33" s="1376">
        <f>SUM(P29:P32)</f>
        <v>-306.22800000000001</v>
      </c>
      <c r="Q33" s="1376">
        <f>SUM(Q29:Q32)</f>
        <v>-411.05799999999999</v>
      </c>
      <c r="R33" s="1376">
        <f>SUM(R29:R32)</f>
        <v>-495.76900000000001</v>
      </c>
      <c r="S33" s="1376">
        <f>R33</f>
        <v>-495.76900000000001</v>
      </c>
      <c r="T33" s="1376"/>
      <c r="U33" s="1376">
        <f>SUM(U29:U32)</f>
        <v>74.80300000000004</v>
      </c>
      <c r="V33" s="1376">
        <f>SUM(V29:V32)</f>
        <v>553.13800000000015</v>
      </c>
      <c r="W33" s="1376">
        <f>SUM(W29:W32)</f>
        <v>1329.5660000000003</v>
      </c>
      <c r="X33" s="1376">
        <f>SUM(X29:X32)</f>
        <v>-551.48800000000006</v>
      </c>
      <c r="Y33" s="1376">
        <f>X33</f>
        <v>-551.48800000000006</v>
      </c>
      <c r="Z33" s="1376"/>
      <c r="AA33" s="1376">
        <f>SUM(AA29:AA32)</f>
        <v>-216.51700000000002</v>
      </c>
      <c r="AB33" s="1376">
        <f>SUM(AB29:AB32)</f>
        <v>-374.99600000000004</v>
      </c>
      <c r="AC33" s="1376">
        <f>SUM(AC29:AC32)</f>
        <v>-501.78199999999998</v>
      </c>
      <c r="AD33" s="1376">
        <f>SUM(AD29:AD32)</f>
        <v>-777.38099999999997</v>
      </c>
      <c r="AE33" s="1376">
        <f>AD33</f>
        <v>-777.38099999999997</v>
      </c>
      <c r="AF33" s="1376"/>
      <c r="AG33" s="1376">
        <f>SUM(AG29:AG32)</f>
        <v>-340.76299999999998</v>
      </c>
      <c r="AH33" s="1376">
        <f>SUM(AH29:AH32)</f>
        <v>-563.16100000000006</v>
      </c>
      <c r="AI33" s="1376">
        <f>SUM(AI29:AI32)</f>
        <v>-632.255</v>
      </c>
      <c r="AJ33" s="1376">
        <f>SUM(AJ29:AJ32)</f>
        <v>-922.52099999999996</v>
      </c>
      <c r="AK33" s="1376">
        <f>AJ33</f>
        <v>-922.52099999999996</v>
      </c>
      <c r="AL33" s="1376"/>
      <c r="AM33" s="1376">
        <f>SUM(AM29:AM32)</f>
        <v>-174.44300000000001</v>
      </c>
      <c r="AN33" s="1376">
        <f>SUM(AN29:AN32)</f>
        <v>-145.28099999999998</v>
      </c>
      <c r="AO33" s="1376">
        <f>SUM(AO29:AO32)</f>
        <v>-560.42599999999993</v>
      </c>
      <c r="AP33" s="1376">
        <f>SUM(AP29:AP32)</f>
        <v>-802.2443999999997</v>
      </c>
      <c r="AQ33" s="1376">
        <f>AP33</f>
        <v>-802.2443999999997</v>
      </c>
      <c r="AR33" s="1376"/>
      <c r="AS33" s="1376">
        <f>SUM(AS29:AS32)</f>
        <v>-253.02699999999996</v>
      </c>
      <c r="AT33" s="1376">
        <f>SUM(AT29:AT32)</f>
        <v>-151.13999999999999</v>
      </c>
      <c r="AU33" s="1376">
        <f>SUM(AU29:AU32)</f>
        <v>431.08199999999999</v>
      </c>
      <c r="AV33" s="1376">
        <f>SUM(AV29:AV32)</f>
        <v>6893.0569999999989</v>
      </c>
      <c r="AW33" s="1376">
        <f>AV33</f>
        <v>6893.0569999999989</v>
      </c>
      <c r="AX33" s="1376"/>
      <c r="AY33" s="1376">
        <f>SUM(AY29:AY32)</f>
        <v>147.47399999999999</v>
      </c>
      <c r="AZ33" s="1376">
        <f>SUM(AZ29:AZ32)</f>
        <v>122.411</v>
      </c>
      <c r="BA33" s="1376">
        <f>SUM(BA29:BA32)</f>
        <v>-613.58100000000002</v>
      </c>
      <c r="BB33" s="1376">
        <f>SUM(BB29:BB32)</f>
        <v>-1255</v>
      </c>
      <c r="BC33" s="1376">
        <f>BB33</f>
        <v>-1255</v>
      </c>
      <c r="BD33" s="1376"/>
      <c r="BE33" s="1376">
        <f>SUM(BE29:BE32)</f>
        <v>-1104.585</v>
      </c>
      <c r="BF33" s="1376">
        <f>SUM(BF29:BF32)</f>
        <v>-1811</v>
      </c>
      <c r="BG33" s="1376">
        <f>SUM(BG29:BG32)</f>
        <v>-1240</v>
      </c>
      <c r="BH33" s="1376">
        <f>SUM(BH29:BH32)</f>
        <v>-2030</v>
      </c>
      <c r="BI33" s="1376">
        <f>BH33</f>
        <v>-2030</v>
      </c>
      <c r="BJ33" s="1376"/>
      <c r="BK33" s="1376">
        <f>SUM(BK29:BK32)</f>
        <v>271</v>
      </c>
      <c r="BL33" s="1376">
        <f>SUM(BL29:BL32)</f>
        <v>132</v>
      </c>
      <c r="BM33" s="1376">
        <f>SUM(BM29:BM32)</f>
        <v>846</v>
      </c>
      <c r="BN33" s="1376">
        <f>SUM(BN29:BN32)</f>
        <v>895</v>
      </c>
      <c r="BO33" s="1376">
        <f>BN33</f>
        <v>895</v>
      </c>
      <c r="BP33" s="1376"/>
      <c r="BQ33" s="1376">
        <f>SUM(BQ28:BQ32)</f>
        <v>-1491</v>
      </c>
      <c r="BR33" s="1376">
        <f>SUM(BR28:BR32)</f>
        <v>-1979</v>
      </c>
      <c r="BS33" s="1376">
        <f>SUM(BS28:BS32)</f>
        <v>-1926</v>
      </c>
      <c r="BT33" s="1376">
        <f>SUM(BT28:BT32)</f>
        <v>-2548</v>
      </c>
      <c r="BU33" s="1376">
        <f t="shared" si="56"/>
        <v>-2548</v>
      </c>
      <c r="BV33" s="1376"/>
      <c r="BW33" s="1376">
        <f>SUM(BW28:BW32)</f>
        <v>-1659</v>
      </c>
      <c r="BX33" s="1376">
        <f>SUM(BX28:BX32)</f>
        <v>818</v>
      </c>
      <c r="BY33" s="1376">
        <f>SUM(BY28:BY32)</f>
        <v>-6055</v>
      </c>
      <c r="BZ33" s="1376">
        <f>SUM(BZ28:BZ32)</f>
        <v>-5753</v>
      </c>
      <c r="CA33" s="1376">
        <f t="shared" si="57"/>
        <v>-5753</v>
      </c>
      <c r="CB33" s="1376"/>
      <c r="CC33" s="1376">
        <f>SUM(CC28:CC32)</f>
        <v>-255</v>
      </c>
      <c r="CD33" s="1376">
        <f>SUM(CD28:CD32)</f>
        <v>-826</v>
      </c>
      <c r="CE33" s="1376">
        <f>SUM(CE28:CE32)</f>
        <v>-2952</v>
      </c>
      <c r="CF33" s="1376">
        <f>SUM(CF28:CF32)</f>
        <v>-3359</v>
      </c>
      <c r="CG33" s="1376">
        <f t="shared" si="58"/>
        <v>-3359</v>
      </c>
      <c r="CH33" s="1376"/>
      <c r="CI33" s="1376">
        <f>SUM(CI28:CI32)</f>
        <v>-2062</v>
      </c>
      <c r="CJ33" s="1376">
        <f>SUM(CJ28:CJ32)</f>
        <v>-2641</v>
      </c>
      <c r="CK33" s="1376">
        <f>SUM(CK28:CK32)</f>
        <v>-2504</v>
      </c>
      <c r="CL33" s="1376">
        <f>SUM(CL28:CL32)</f>
        <v>-4971</v>
      </c>
      <c r="CM33" s="1407">
        <f t="shared" si="59"/>
        <v>-4971</v>
      </c>
      <c r="CN33" s="1376"/>
      <c r="CO33" s="1376">
        <f>SUM(CO28:CO32)</f>
        <v>-968</v>
      </c>
      <c r="CP33" s="1376">
        <f>SUM(CP28:CP32)</f>
        <v>-1487</v>
      </c>
      <c r="CQ33" s="1376">
        <f>SUM(CQ28:CQ32)</f>
        <v>-1839</v>
      </c>
      <c r="CR33" s="1376">
        <f>SUM(CR28:CR32)</f>
        <v>-9076</v>
      </c>
      <c r="CS33" s="1407">
        <f t="shared" si="60"/>
        <v>-9076</v>
      </c>
      <c r="CT33" s="1376"/>
      <c r="CU33" s="1376">
        <f>SUM(CU28:CU32)</f>
        <v>-2486</v>
      </c>
      <c r="CV33" s="1376">
        <f>SUM(CV28:CV32)</f>
        <v>-2207</v>
      </c>
      <c r="CW33" s="1376">
        <f>SUM(CW28:CW32)</f>
        <v>-2165</v>
      </c>
      <c r="CX33" s="1376">
        <f>SUM(CX28:CX32)</f>
        <v>-2599</v>
      </c>
      <c r="CY33" s="1407">
        <f t="shared" si="61"/>
        <v>-2599</v>
      </c>
      <c r="CZ33" s="1376"/>
      <c r="DA33" s="1376">
        <f>SUM(DA28:DA32)</f>
        <v>-947</v>
      </c>
      <c r="DB33" s="1376">
        <f>SUM(DB28:DB32)</f>
        <v>-2589</v>
      </c>
      <c r="DC33" s="1376">
        <f>SUM(DC28:DC32)</f>
        <v>-9769</v>
      </c>
      <c r="DD33" s="1376">
        <f>SUM(DD28:DD32)</f>
        <v>-10319</v>
      </c>
      <c r="DE33" s="1407">
        <f t="shared" si="62"/>
        <v>-10319</v>
      </c>
      <c r="DF33" s="1376"/>
      <c r="DG33" s="1376">
        <f>SUM(DG28:DG32)</f>
        <v>-3916</v>
      </c>
      <c r="DH33" s="1376">
        <f>SUM(DH28:DH32)</f>
        <v>-6694</v>
      </c>
      <c r="DI33" s="1376">
        <f>SUM(DI28:DI32)</f>
        <v>-5662</v>
      </c>
      <c r="DJ33" s="1376">
        <f>SUM(DJ28:DJ32)</f>
        <v>-6081</v>
      </c>
      <c r="DK33" s="1407">
        <f t="shared" si="63"/>
        <v>-6081</v>
      </c>
      <c r="DL33" s="1376"/>
      <c r="DM33" s="1376">
        <f>SUM(DM28:DM32)</f>
        <v>-6323</v>
      </c>
      <c r="DN33" s="1376">
        <f>SUM(DN28:DN32)</f>
        <v>-5927</v>
      </c>
      <c r="DO33" s="1376">
        <f>SUM(DO28:DO32)</f>
        <v>-6537</v>
      </c>
      <c r="DP33" s="1376">
        <f>SUM(DP28:DP32)</f>
        <v>-8381</v>
      </c>
      <c r="DQ33" s="1407">
        <f t="shared" si="64"/>
        <v>-8381</v>
      </c>
      <c r="DR33" s="1376"/>
      <c r="DS33" s="1376">
        <f>SUM(DS28:DS32)</f>
        <v>-510</v>
      </c>
      <c r="DT33" s="1376">
        <f>SUM(DT28:DT32)</f>
        <v>-3062</v>
      </c>
      <c r="DU33" s="1376">
        <f>SUM(DU28:DU32)</f>
        <v>-3727</v>
      </c>
      <c r="DV33" s="1376">
        <f>SUM(DV28:DV32)</f>
        <v>-5956</v>
      </c>
      <c r="DW33" s="1407">
        <f t="shared" si="65"/>
        <v>-5956</v>
      </c>
      <c r="DX33" s="1376"/>
      <c r="DY33" s="1376">
        <f>SUM(DY28:DY32)</f>
        <v>-3501</v>
      </c>
      <c r="DZ33" s="1376">
        <f>SUM(DZ28:DZ32)</f>
        <v>-6630</v>
      </c>
      <c r="EA33" s="1376">
        <f>SUM(EA28:EA32)</f>
        <v>-5932</v>
      </c>
      <c r="EB33" s="1376">
        <f>SUM(EB28:EB32)</f>
        <v>-7539</v>
      </c>
      <c r="EC33" s="1407">
        <f t="shared" si="66"/>
        <v>-7539</v>
      </c>
      <c r="ED33" s="1376"/>
      <c r="EE33" s="1376">
        <f>SUM(EE28:EE32)</f>
        <v>-6700</v>
      </c>
      <c r="EF33" s="1376">
        <f>SUM(EF28:EF32)</f>
        <v>-12909</v>
      </c>
      <c r="EG33" s="1376">
        <f>SUM(EG28:EG32)</f>
        <v>-15323</v>
      </c>
      <c r="EH33" s="1376">
        <f>SUM(EH28:EH32)</f>
        <v>-19047</v>
      </c>
      <c r="EI33" s="1407">
        <f t="shared" si="67"/>
        <v>-19047</v>
      </c>
      <c r="EJ33" s="1376"/>
      <c r="EK33" s="1376">
        <f>SUM(EK28:EK32)</f>
        <v>-7471</v>
      </c>
      <c r="EL33" s="1376">
        <f>SUM(EL28:EL32)</f>
        <v>-3338</v>
      </c>
      <c r="EM33" s="1376">
        <f>SUM(EM28:EM32)</f>
        <v>-4026</v>
      </c>
      <c r="EN33" s="1376">
        <f>SUM(EN28:EN32)</f>
        <v>-5154</v>
      </c>
      <c r="EO33" s="1407">
        <f t="shared" si="68"/>
        <v>-5154</v>
      </c>
      <c r="EP33" s="1376"/>
      <c r="EQ33" s="1376">
        <f>SUM(EQ28:EQ32)</f>
        <v>-5203</v>
      </c>
      <c r="ER33" s="1376">
        <f>SUM(ER28:ER32)</f>
        <v>-14920</v>
      </c>
      <c r="ES33" s="1376">
        <f>SUM(ES28:ES32)</f>
        <v>-15648</v>
      </c>
      <c r="ET33" s="1376">
        <f>SUM(ET28:ET32)</f>
        <v>-21494</v>
      </c>
      <c r="EU33" s="1407">
        <f t="shared" si="69"/>
        <v>-21494</v>
      </c>
      <c r="EV33" s="1376"/>
      <c r="EW33" s="1376">
        <f>SUM(EW28:EW32)</f>
        <v>-1818</v>
      </c>
      <c r="EX33" s="1376">
        <f>SUM(EX28:EX32)</f>
        <v>-7528</v>
      </c>
      <c r="EY33" s="1376">
        <f>SUM(EY28:EY32)</f>
        <v>-8785</v>
      </c>
      <c r="EZ33" s="1376">
        <f>SUM(EZ28:EZ32)</f>
        <v>-9262.6920719931732</v>
      </c>
      <c r="FA33" s="1407">
        <f>EZ33</f>
        <v>-9262.6920719931732</v>
      </c>
      <c r="FB33" s="1376"/>
      <c r="FC33" s="1376">
        <f>SUM(FC28:FC32)</f>
        <v>-461.66827423997353</v>
      </c>
      <c r="FD33" s="1376">
        <f>SUM(FD28:FD32)</f>
        <v>-927.38313434867359</v>
      </c>
      <c r="FE33" s="1376">
        <f>SUM(FE28:FE32)</f>
        <v>-1396.7301026103141</v>
      </c>
      <c r="FF33" s="1376">
        <f>SUM(FF28:FF32)</f>
        <v>-1868.5358228996911</v>
      </c>
      <c r="FG33" s="1407">
        <f>FF33</f>
        <v>-1868.5358228996911</v>
      </c>
      <c r="FH33" s="1376"/>
      <c r="FI33" s="1376">
        <f>SUM(FI28:FI32)</f>
        <v>-476.29301883151368</v>
      </c>
      <c r="FJ33" s="1376">
        <f>SUM(FJ28:FJ32)</f>
        <v>-956.73726823182233</v>
      </c>
      <c r="FK33" s="1376">
        <f>SUM(FK28:FK32)</f>
        <v>-1441.1855028448822</v>
      </c>
      <c r="FL33" s="1376">
        <f>SUM(FL28:FL32)</f>
        <v>-1928.7723461545845</v>
      </c>
      <c r="FM33" s="1407">
        <f>FL33</f>
        <v>-1928.7723461545845</v>
      </c>
      <c r="FN33" s="221"/>
      <c r="FO33" s="221"/>
      <c r="FP33" s="261"/>
      <c r="FQ33" s="261"/>
      <c r="FR33" s="261"/>
      <c r="FS33"/>
      <c r="FT33"/>
      <c r="FU33"/>
      <c r="FV33"/>
      <c r="FW33"/>
      <c r="FX33"/>
      <c r="FY33" s="261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</row>
    <row r="34" spans="1:274" s="24" customFormat="1" ht="5.25" customHeight="1" x14ac:dyDescent="0.2">
      <c r="A34" s="599"/>
      <c r="B34" s="476"/>
      <c r="C34" s="599"/>
      <c r="D34" s="599"/>
      <c r="E34" s="599"/>
      <c r="F34" s="599"/>
      <c r="G34" s="599"/>
      <c r="H34" s="599"/>
      <c r="I34" s="599"/>
      <c r="J34" s="599"/>
      <c r="K34" s="599"/>
      <c r="L34" s="599"/>
      <c r="M34" s="599"/>
      <c r="N34" s="599"/>
      <c r="O34" s="599"/>
      <c r="P34" s="599"/>
      <c r="Q34" s="599"/>
      <c r="R34" s="599"/>
      <c r="S34" s="599"/>
      <c r="T34" s="599"/>
      <c r="U34" s="599"/>
      <c r="V34" s="599"/>
      <c r="W34" s="599"/>
      <c r="X34" s="599"/>
      <c r="Y34" s="599"/>
      <c r="Z34" s="599"/>
      <c r="AA34" s="599"/>
      <c r="AB34" s="599"/>
      <c r="AC34" s="599"/>
      <c r="AD34" s="599"/>
      <c r="AE34" s="599"/>
      <c r="AF34" s="599"/>
      <c r="AG34" s="599"/>
      <c r="AH34" s="599"/>
      <c r="AI34" s="599"/>
      <c r="AJ34" s="599"/>
      <c r="AK34" s="599"/>
      <c r="AL34" s="599"/>
      <c r="AM34" s="599"/>
      <c r="AN34" s="599"/>
      <c r="AO34" s="599"/>
      <c r="AP34" s="599"/>
      <c r="AQ34" s="599"/>
      <c r="AR34" s="599"/>
      <c r="AS34" s="599"/>
      <c r="AT34" s="599"/>
      <c r="AU34" s="599"/>
      <c r="AV34" s="599"/>
      <c r="AW34" s="599"/>
      <c r="AX34" s="599"/>
      <c r="AY34" s="599"/>
      <c r="AZ34" s="599"/>
      <c r="BA34" s="599"/>
      <c r="BB34" s="599"/>
      <c r="BC34" s="599"/>
      <c r="BD34" s="599"/>
      <c r="BE34" s="599"/>
      <c r="BF34" s="599"/>
      <c r="BG34" s="599"/>
      <c r="BH34" s="599"/>
      <c r="BI34" s="599"/>
      <c r="BJ34" s="599"/>
      <c r="BK34" s="599"/>
      <c r="BL34" s="599"/>
      <c r="BM34" s="599"/>
      <c r="BN34" s="599"/>
      <c r="BO34" s="599"/>
      <c r="BP34" s="599"/>
      <c r="BQ34" s="599"/>
      <c r="BR34" s="599"/>
      <c r="BS34" s="599"/>
      <c r="BT34" s="599"/>
      <c r="BU34" s="599"/>
      <c r="BV34" s="599"/>
      <c r="BW34" s="599"/>
      <c r="BX34" s="599"/>
      <c r="BY34" s="599"/>
      <c r="BZ34" s="599"/>
      <c r="CA34" s="599"/>
      <c r="CB34" s="599"/>
      <c r="CC34" s="599"/>
      <c r="CD34" s="599"/>
      <c r="CE34" s="599"/>
      <c r="CF34" s="599"/>
      <c r="CG34" s="599"/>
      <c r="CH34" s="599"/>
      <c r="CI34" s="599"/>
      <c r="CJ34" s="599"/>
      <c r="CK34" s="599"/>
      <c r="CL34" s="599"/>
      <c r="CM34" s="1019"/>
      <c r="CN34" s="599"/>
      <c r="CO34" s="599"/>
      <c r="CP34" s="599"/>
      <c r="CQ34" s="599"/>
      <c r="CR34" s="599"/>
      <c r="CS34" s="1019"/>
      <c r="CT34" s="599"/>
      <c r="CU34" s="599"/>
      <c r="CV34" s="599"/>
      <c r="CW34" s="599"/>
      <c r="CX34" s="599"/>
      <c r="CY34" s="1019"/>
      <c r="CZ34" s="599"/>
      <c r="DA34" s="599"/>
      <c r="DB34" s="599"/>
      <c r="DC34" s="599"/>
      <c r="DD34" s="599"/>
      <c r="DE34" s="1019"/>
      <c r="DF34" s="599"/>
      <c r="DG34" s="599"/>
      <c r="DH34" s="599"/>
      <c r="DI34" s="599"/>
      <c r="DJ34" s="599"/>
      <c r="DK34" s="1019"/>
      <c r="DL34" s="599"/>
      <c r="DM34" s="599"/>
      <c r="DN34" s="599"/>
      <c r="DO34" s="599"/>
      <c r="DP34" s="599"/>
      <c r="DQ34" s="1019"/>
      <c r="DR34" s="599"/>
      <c r="DS34" s="599"/>
      <c r="DT34" s="599"/>
      <c r="DU34" s="599"/>
      <c r="DV34" s="599"/>
      <c r="DW34" s="1019"/>
      <c r="DX34" s="599"/>
      <c r="DY34" s="599"/>
      <c r="DZ34" s="599"/>
      <c r="EA34" s="599"/>
      <c r="EB34" s="599"/>
      <c r="EC34" s="1019"/>
      <c r="ED34" s="599"/>
      <c r="EE34" s="599"/>
      <c r="EF34" s="599"/>
      <c r="EG34" s="599"/>
      <c r="EH34" s="599"/>
      <c r="EI34" s="1019"/>
      <c r="EJ34" s="599"/>
      <c r="EK34" s="599"/>
      <c r="EL34" s="599"/>
      <c r="EM34" s="599"/>
      <c r="EN34" s="599"/>
      <c r="EO34" s="1019"/>
      <c r="EP34" s="599"/>
      <c r="EQ34" s="599"/>
      <c r="ER34" s="599"/>
      <c r="ES34" s="599"/>
      <c r="ET34" s="599"/>
      <c r="EU34" s="1019"/>
      <c r="EV34" s="599"/>
      <c r="EW34" s="599"/>
      <c r="EX34" s="599"/>
      <c r="EY34" s="599"/>
      <c r="EZ34" s="599"/>
      <c r="FA34" s="1019"/>
      <c r="FB34" s="599"/>
      <c r="FC34" s="599"/>
      <c r="FD34" s="599"/>
      <c r="FE34" s="599"/>
      <c r="FF34" s="599"/>
      <c r="FG34" s="1019"/>
      <c r="FH34" s="599"/>
      <c r="FI34" s="599"/>
      <c r="FJ34" s="599"/>
      <c r="FK34" s="599"/>
      <c r="FL34" s="599"/>
      <c r="FM34" s="1019"/>
      <c r="FN34" s="12"/>
      <c r="FO34" s="12"/>
      <c r="FP34" s="12"/>
      <c r="FQ34" s="12"/>
      <c r="FR34" s="12"/>
      <c r="FS34"/>
      <c r="FT34"/>
      <c r="FU34"/>
      <c r="FV34"/>
      <c r="FW34"/>
      <c r="FX34"/>
      <c r="FY34" s="12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</row>
    <row r="35" spans="1:274" s="24" customFormat="1" ht="10.5" customHeight="1" x14ac:dyDescent="0.2">
      <c r="A35" s="438" t="s">
        <v>768</v>
      </c>
      <c r="B35" s="476"/>
      <c r="C35" s="435"/>
      <c r="D35" s="435"/>
      <c r="E35" s="435"/>
      <c r="F35" s="435"/>
      <c r="G35" s="435"/>
      <c r="H35" s="435"/>
      <c r="I35" s="435"/>
      <c r="J35" s="435"/>
      <c r="K35" s="435"/>
      <c r="L35" s="435"/>
      <c r="M35" s="435"/>
      <c r="N35" s="276"/>
      <c r="O35" s="435"/>
      <c r="P35" s="435"/>
      <c r="Q35" s="435"/>
      <c r="R35" s="435"/>
      <c r="S35" s="60"/>
      <c r="T35" s="276"/>
      <c r="U35" s="435"/>
      <c r="V35" s="435"/>
      <c r="W35" s="435"/>
      <c r="X35" s="435"/>
      <c r="Y35" s="60"/>
      <c r="Z35" s="276"/>
      <c r="AA35" s="435"/>
      <c r="AB35" s="435"/>
      <c r="AC35" s="435"/>
      <c r="AD35" s="435"/>
      <c r="AE35" s="60"/>
      <c r="AF35" s="276"/>
      <c r="AG35" s="435"/>
      <c r="AH35" s="435"/>
      <c r="AI35" s="435"/>
      <c r="AJ35" s="435"/>
      <c r="AK35" s="60"/>
      <c r="AL35" s="276"/>
      <c r="AM35" s="435"/>
      <c r="AN35" s="435"/>
      <c r="AO35" s="435"/>
      <c r="AP35" s="435"/>
      <c r="AQ35" s="60"/>
      <c r="AR35" s="276"/>
      <c r="AS35" s="435"/>
      <c r="AT35" s="435"/>
      <c r="AU35" s="435"/>
      <c r="AV35" s="435"/>
      <c r="AW35" s="60"/>
      <c r="AX35" s="276"/>
      <c r="AY35" s="435"/>
      <c r="AZ35" s="435"/>
      <c r="BA35" s="435"/>
      <c r="BB35" s="435"/>
      <c r="BC35" s="60"/>
      <c r="BD35" s="276"/>
      <c r="BE35" s="435"/>
      <c r="BF35" s="435"/>
      <c r="BG35" s="435"/>
      <c r="BH35" s="435"/>
      <c r="BI35" s="60">
        <f>BI51/BC51-1</f>
        <v>0.53108252947481249</v>
      </c>
      <c r="BJ35" s="276"/>
      <c r="BK35" s="435"/>
      <c r="BL35" s="435"/>
      <c r="BM35" s="435"/>
      <c r="BN35" s="435"/>
      <c r="BO35" s="60"/>
      <c r="BP35" s="276"/>
      <c r="BQ35" s="435"/>
      <c r="BR35" s="435"/>
      <c r="BS35" s="435"/>
      <c r="BT35" s="435"/>
      <c r="BU35" s="60"/>
      <c r="BV35" s="276"/>
      <c r="BW35" s="60"/>
      <c r="BX35" s="435"/>
      <c r="BY35" s="435"/>
      <c r="BZ35" s="435"/>
      <c r="CA35" s="435"/>
      <c r="CB35" s="276"/>
      <c r="CC35" s="435"/>
      <c r="CD35" s="435"/>
      <c r="CE35" s="435"/>
      <c r="CF35" s="435"/>
      <c r="CG35" s="435"/>
      <c r="CH35" s="276"/>
      <c r="CI35" s="435"/>
      <c r="CJ35" s="435"/>
      <c r="CK35" s="435"/>
      <c r="CL35" s="435"/>
      <c r="CM35" s="436"/>
      <c r="CN35" s="276"/>
      <c r="CO35" s="435"/>
      <c r="CP35" s="435"/>
      <c r="CQ35" s="435"/>
      <c r="CR35" s="435"/>
      <c r="CS35" s="436"/>
      <c r="CT35" s="276"/>
      <c r="CU35" s="435"/>
      <c r="CV35" s="435"/>
      <c r="CW35" s="435"/>
      <c r="CX35" s="435"/>
      <c r="CY35" s="436"/>
      <c r="CZ35" s="276"/>
      <c r="DA35" s="435"/>
      <c r="DB35" s="435"/>
      <c r="DC35" s="435"/>
      <c r="DD35" s="435"/>
      <c r="DE35" s="436"/>
      <c r="DF35" s="276"/>
      <c r="DG35" s="435"/>
      <c r="DH35" s="435"/>
      <c r="DI35" s="435"/>
      <c r="DJ35" s="435"/>
      <c r="DK35" s="436"/>
      <c r="DL35" s="276"/>
      <c r="DM35" s="435"/>
      <c r="DN35" s="435"/>
      <c r="DO35" s="435"/>
      <c r="DP35" s="435"/>
      <c r="DQ35" s="436"/>
      <c r="DR35" s="276"/>
      <c r="DS35" s="435"/>
      <c r="DT35" s="435"/>
      <c r="DU35" s="435"/>
      <c r="DV35" s="435"/>
      <c r="DW35" s="436"/>
      <c r="DX35" s="276"/>
      <c r="DY35" s="435"/>
      <c r="DZ35" s="435"/>
      <c r="EA35" s="435"/>
      <c r="EB35" s="435"/>
      <c r="EC35" s="436"/>
      <c r="ED35" s="276"/>
      <c r="EE35" s="435"/>
      <c r="EF35" s="435"/>
      <c r="EG35" s="435"/>
      <c r="EH35" s="435"/>
      <c r="EI35" s="436"/>
      <c r="EJ35" s="276"/>
      <c r="EK35" s="435"/>
      <c r="EL35" s="435"/>
      <c r="EM35" s="435"/>
      <c r="EN35" s="435"/>
      <c r="EO35" s="436"/>
      <c r="EP35" s="276"/>
      <c r="EQ35" s="435"/>
      <c r="ER35" s="435"/>
      <c r="ES35" s="435"/>
      <c r="ET35" s="435"/>
      <c r="EU35" s="436"/>
      <c r="EV35" s="276"/>
      <c r="EW35" s="435"/>
      <c r="EX35" s="435"/>
      <c r="EY35" s="435"/>
      <c r="EZ35" s="435"/>
      <c r="FA35" s="436"/>
      <c r="FB35" s="276"/>
      <c r="FC35" s="435"/>
      <c r="FD35" s="435"/>
      <c r="FE35" s="435"/>
      <c r="FF35" s="435"/>
      <c r="FG35" s="436"/>
      <c r="FH35" s="276"/>
      <c r="FI35" s="435"/>
      <c r="FJ35" s="435"/>
      <c r="FK35" s="435"/>
      <c r="FL35" s="435"/>
      <c r="FM35" s="436"/>
      <c r="FN35" s="261"/>
      <c r="FO35" s="261"/>
      <c r="FP35" s="242"/>
      <c r="FQ35" s="242"/>
      <c r="FR35" s="242"/>
      <c r="FS35"/>
      <c r="FT35"/>
      <c r="FU35"/>
      <c r="FV35"/>
      <c r="FW35"/>
      <c r="FX35"/>
      <c r="FY35" s="242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</row>
    <row r="36" spans="1:274" s="24" customFormat="1" ht="10.5" customHeight="1" x14ac:dyDescent="0.2">
      <c r="A36" s="273" t="s">
        <v>789</v>
      </c>
      <c r="B36" s="476"/>
      <c r="C36" s="435">
        <f t="shared" ref="C36:M36" si="84">C90</f>
        <v>0</v>
      </c>
      <c r="D36" s="435">
        <f t="shared" si="84"/>
        <v>0</v>
      </c>
      <c r="E36" s="435">
        <f t="shared" si="84"/>
        <v>-5.4979999999999993</v>
      </c>
      <c r="F36" s="435">
        <f t="shared" si="84"/>
        <v>-3.9219999999999997</v>
      </c>
      <c r="G36" s="435">
        <f t="shared" si="84"/>
        <v>0.18500000000000005</v>
      </c>
      <c r="H36" s="435">
        <f t="shared" si="84"/>
        <v>14.693</v>
      </c>
      <c r="I36" s="435">
        <f t="shared" si="84"/>
        <v>55.446999999999996</v>
      </c>
      <c r="J36" s="435">
        <f t="shared" si="84"/>
        <v>53.792999999999999</v>
      </c>
      <c r="K36" s="435">
        <f t="shared" si="84"/>
        <v>-98.638999999999996</v>
      </c>
      <c r="L36" s="435">
        <f t="shared" si="84"/>
        <v>-43.625999999999998</v>
      </c>
      <c r="M36" s="435">
        <f t="shared" si="84"/>
        <v>-81.156999999999996</v>
      </c>
      <c r="N36" s="276"/>
      <c r="O36" s="435">
        <f>O90</f>
        <v>-31.943000000000001</v>
      </c>
      <c r="P36" s="435">
        <f>P90+O36</f>
        <v>-75.855000000000004</v>
      </c>
      <c r="Q36" s="435">
        <f>Q90+P36</f>
        <v>-75.858999999999995</v>
      </c>
      <c r="R36" s="435">
        <f>R90+Q36</f>
        <v>-75.858999999999995</v>
      </c>
      <c r="S36" s="60">
        <f>R36</f>
        <v>-75.858999999999995</v>
      </c>
      <c r="T36" s="435"/>
      <c r="U36" s="435">
        <f>U90</f>
        <v>0</v>
      </c>
      <c r="V36" s="435">
        <f>V90+U36</f>
        <v>-48.58</v>
      </c>
      <c r="W36" s="435">
        <f>W90+V36</f>
        <v>-82.92</v>
      </c>
      <c r="X36" s="435">
        <f>X90+W36</f>
        <v>-113.087</v>
      </c>
      <c r="Y36" s="60">
        <f>X36</f>
        <v>-113.087</v>
      </c>
      <c r="Z36" s="435"/>
      <c r="AA36" s="435">
        <f>AA90</f>
        <v>-11.957000000000001</v>
      </c>
      <c r="AB36" s="435">
        <f>AB90+AA36</f>
        <v>-109.876</v>
      </c>
      <c r="AC36" s="435">
        <f>AC90+AB36</f>
        <v>-347.255</v>
      </c>
      <c r="AD36" s="435">
        <f>AD90+AC36</f>
        <v>-528.20899999999995</v>
      </c>
      <c r="AE36" s="60">
        <f>AD36</f>
        <v>-528.20899999999995</v>
      </c>
      <c r="AF36" s="435"/>
      <c r="AG36" s="435">
        <f>AG90</f>
        <v>-15.563000000000001</v>
      </c>
      <c r="AH36" s="435">
        <f>AH90+AG36</f>
        <v>-62.716999999999999</v>
      </c>
      <c r="AI36" s="435">
        <f>AI90+AH36</f>
        <v>-372.07499999999999</v>
      </c>
      <c r="AJ36" s="435">
        <f>AJ90+AI36</f>
        <v>-489.82299999999998</v>
      </c>
      <c r="AK36" s="60">
        <f>AJ36</f>
        <v>-489.82299999999998</v>
      </c>
      <c r="AL36" s="435"/>
      <c r="AM36" s="435">
        <f>AM90</f>
        <v>-81.063999999999993</v>
      </c>
      <c r="AN36" s="435">
        <f>AN90+AM36</f>
        <v>-560.86599999999999</v>
      </c>
      <c r="AO36" s="435">
        <f>AO90+AN36</f>
        <v>-747.93200000000002</v>
      </c>
      <c r="AP36" s="435">
        <f>AP90+AO36</f>
        <v>-1086.953</v>
      </c>
      <c r="AQ36" s="60">
        <f>AP36</f>
        <v>-1086.953</v>
      </c>
      <c r="AR36" s="435"/>
      <c r="AS36" s="435">
        <f>AS90</f>
        <v>-579.89499999999998</v>
      </c>
      <c r="AT36" s="435">
        <f>AT90+AS36</f>
        <v>-1371.7919999999999</v>
      </c>
      <c r="AU36" s="435">
        <f>AU90+AT36</f>
        <v>-2044.5260000000001</v>
      </c>
      <c r="AV36" s="435">
        <f>AV90+AU36</f>
        <v>-5306.7709999999997</v>
      </c>
      <c r="AW36" s="60">
        <f>AV36</f>
        <v>-5306.7709999999997</v>
      </c>
      <c r="AX36" s="435"/>
      <c r="AY36" s="435">
        <f>AY90</f>
        <v>-1995.423</v>
      </c>
      <c r="AZ36" s="435">
        <f>AZ90+AY36</f>
        <v>-3420.8249999999998</v>
      </c>
      <c r="BA36" s="435">
        <f>BA90+AZ36</f>
        <v>-3771.7370000000001</v>
      </c>
      <c r="BB36" s="435">
        <f>BB90+BA36</f>
        <v>-4341</v>
      </c>
      <c r="BC36" s="60">
        <f>BB36</f>
        <v>-4341</v>
      </c>
      <c r="BD36" s="435"/>
      <c r="BE36" s="435">
        <f>BE90</f>
        <v>-753.79600000000005</v>
      </c>
      <c r="BF36" s="435">
        <f>BF90+BE36</f>
        <v>-1858</v>
      </c>
      <c r="BG36" s="435">
        <f>BG90+BF36</f>
        <v>-2051</v>
      </c>
      <c r="BH36" s="435">
        <f>BH90+BG36</f>
        <v>-2792</v>
      </c>
      <c r="BI36" s="60">
        <f>BH36</f>
        <v>-2792</v>
      </c>
      <c r="BJ36" s="435"/>
      <c r="BK36" s="435">
        <f>BK90</f>
        <v>-768</v>
      </c>
      <c r="BL36" s="435">
        <f>BL90+BK36</f>
        <v>-1707</v>
      </c>
      <c r="BM36" s="435">
        <f>BM90+BL36</f>
        <v>-2196</v>
      </c>
      <c r="BN36" s="435">
        <f>BN90+BM36</f>
        <v>-2653</v>
      </c>
      <c r="BO36" s="60">
        <f>BN36</f>
        <v>-2653</v>
      </c>
      <c r="BP36" s="435"/>
      <c r="BQ36" s="435">
        <f>BQ90</f>
        <v>-200</v>
      </c>
      <c r="BR36" s="435">
        <v>-399</v>
      </c>
      <c r="BS36" s="435">
        <f>-1027</f>
        <v>-1027</v>
      </c>
      <c r="BT36" s="435">
        <v>-1499</v>
      </c>
      <c r="BU36" s="60">
        <f>BT36</f>
        <v>-1499</v>
      </c>
      <c r="BV36" s="435"/>
      <c r="BW36" s="60">
        <v>-543</v>
      </c>
      <c r="BX36" s="435">
        <v>-1095</v>
      </c>
      <c r="BY36" s="435">
        <v>-1095</v>
      </c>
      <c r="BZ36" s="435">
        <v>-1343</v>
      </c>
      <c r="CA36" s="60">
        <f>BZ36</f>
        <v>-1343</v>
      </c>
      <c r="CB36" s="435"/>
      <c r="CC36" s="435">
        <v>-250</v>
      </c>
      <c r="CD36" s="435">
        <v>-324</v>
      </c>
      <c r="CE36" s="435">
        <v>-324</v>
      </c>
      <c r="CF36" s="435">
        <v>-2067</v>
      </c>
      <c r="CG36" s="60">
        <f>CF36</f>
        <v>-2067</v>
      </c>
      <c r="CH36" s="435"/>
      <c r="CI36" s="435">
        <v>-936</v>
      </c>
      <c r="CJ36" s="435">
        <v>-1936</v>
      </c>
      <c r="CK36" s="435">
        <v>-2933</v>
      </c>
      <c r="CL36" s="435">
        <v>-3937</v>
      </c>
      <c r="CM36" s="174">
        <f>CL36</f>
        <v>-3937</v>
      </c>
      <c r="CN36" s="435"/>
      <c r="CO36" s="435">
        <v>-530</v>
      </c>
      <c r="CP36" s="435">
        <v>-1023</v>
      </c>
      <c r="CQ36" s="435">
        <v>-1520</v>
      </c>
      <c r="CR36" s="435">
        <v>-2023</v>
      </c>
      <c r="CS36" s="174">
        <f>CR36</f>
        <v>-2023</v>
      </c>
      <c r="CT36" s="435"/>
      <c r="CU36" s="435">
        <v>-500</v>
      </c>
      <c r="CV36" s="435">
        <v>-2344</v>
      </c>
      <c r="CW36" s="435">
        <v>-3704</v>
      </c>
      <c r="CX36" s="435">
        <v>-3972</v>
      </c>
      <c r="CY36" s="174">
        <f>CX36</f>
        <v>-3972</v>
      </c>
      <c r="CZ36" s="435"/>
      <c r="DA36" s="435">
        <v>-244</v>
      </c>
      <c r="DB36" s="435">
        <v>-496</v>
      </c>
      <c r="DC36" s="435">
        <v>-738</v>
      </c>
      <c r="DD36" s="435">
        <v>-992</v>
      </c>
      <c r="DE36" s="174">
        <f>DD36</f>
        <v>-992</v>
      </c>
      <c r="DF36" s="435"/>
      <c r="DG36" s="435">
        <v>-249</v>
      </c>
      <c r="DH36" s="435">
        <v>-504</v>
      </c>
      <c r="DI36" s="435">
        <v>-749</v>
      </c>
      <c r="DJ36" s="435">
        <v>-1160</v>
      </c>
      <c r="DK36" s="174">
        <f>DJ36</f>
        <v>-1160</v>
      </c>
      <c r="DL36" s="435"/>
      <c r="DM36" s="435">
        <v>-800</v>
      </c>
      <c r="DN36" s="435">
        <v>-1798</v>
      </c>
      <c r="DO36" s="435">
        <v>-3457</v>
      </c>
      <c r="DP36" s="435">
        <v>-5856</v>
      </c>
      <c r="DQ36" s="174">
        <f>DP36</f>
        <v>-5856</v>
      </c>
      <c r="DR36" s="435"/>
      <c r="DS36" s="435">
        <v>-3076</v>
      </c>
      <c r="DT36" s="435">
        <v>-6072</v>
      </c>
      <c r="DU36" s="435">
        <f>-8204</f>
        <v>-8204</v>
      </c>
      <c r="DV36" s="435">
        <v>-11021</v>
      </c>
      <c r="DW36" s="174">
        <f>DV36</f>
        <v>-11021</v>
      </c>
      <c r="DX36" s="435"/>
      <c r="DY36" s="435">
        <v>-2968</v>
      </c>
      <c r="DZ36" s="435">
        <v>-5801</v>
      </c>
      <c r="EA36" s="435">
        <v>-7841</v>
      </c>
      <c r="EB36" s="435">
        <v>-9813</v>
      </c>
      <c r="EC36" s="174">
        <f>EB36</f>
        <v>-9813</v>
      </c>
      <c r="ED36" s="435"/>
      <c r="EE36" s="435">
        <v>-2000</v>
      </c>
      <c r="EF36" s="435">
        <v>-4087</v>
      </c>
      <c r="EG36" s="435">
        <v>-6079</v>
      </c>
      <c r="EH36" s="435">
        <v>-8087</v>
      </c>
      <c r="EI36" s="174">
        <f>EH36</f>
        <v>-8087</v>
      </c>
      <c r="EJ36" s="435"/>
      <c r="EK36" s="435">
        <v>-2846</v>
      </c>
      <c r="EL36" s="435">
        <v>-6258</v>
      </c>
      <c r="EM36" s="435">
        <v>-8467</v>
      </c>
      <c r="EN36" s="435">
        <v>-10440</v>
      </c>
      <c r="EO36" s="174">
        <f>EN36</f>
        <v>-10440</v>
      </c>
      <c r="EP36" s="435"/>
      <c r="EQ36" s="435">
        <v>-2002</v>
      </c>
      <c r="ER36" s="435">
        <v>-2569</v>
      </c>
      <c r="ES36" s="435">
        <v>-3067</v>
      </c>
      <c r="ET36" s="435">
        <v>-3561</v>
      </c>
      <c r="EU36" s="174">
        <f>ET36</f>
        <v>-3561</v>
      </c>
      <c r="EV36" s="435"/>
      <c r="EW36" s="435">
        <v>-502</v>
      </c>
      <c r="EX36" s="435">
        <v>-2454</v>
      </c>
      <c r="EY36" s="435">
        <v>-6421</v>
      </c>
      <c r="EZ36" s="435">
        <f>'Balance Sheet'!EZ198+'Cash Flow'!EY36</f>
        <v>-9421</v>
      </c>
      <c r="FA36" s="174">
        <f>EZ36</f>
        <v>-9421</v>
      </c>
      <c r="FB36" s="435"/>
      <c r="FC36" s="435">
        <f>'Balance Sheet'!FC198+'Cash Flow'!FB36</f>
        <v>-3000</v>
      </c>
      <c r="FD36" s="435">
        <f>'Balance Sheet'!FD198+'Cash Flow'!FC36</f>
        <v>-6000</v>
      </c>
      <c r="FE36" s="435">
        <f>'Balance Sheet'!FE198+'Cash Flow'!FD36</f>
        <v>-9000</v>
      </c>
      <c r="FF36" s="435">
        <f>'Balance Sheet'!FF198+'Cash Flow'!FE36</f>
        <v>-12000</v>
      </c>
      <c r="FG36" s="174">
        <f>FF36</f>
        <v>-12000</v>
      </c>
      <c r="FH36" s="435"/>
      <c r="FI36" s="435">
        <f>'Balance Sheet'!FI198+'Cash Flow'!FH36</f>
        <v>-3000</v>
      </c>
      <c r="FJ36" s="435">
        <f>'Balance Sheet'!FJ198+'Cash Flow'!FI36</f>
        <v>-6000</v>
      </c>
      <c r="FK36" s="435">
        <f>'Balance Sheet'!FK198+'Cash Flow'!FJ36</f>
        <v>-9000</v>
      </c>
      <c r="FL36" s="435">
        <f>'Balance Sheet'!FL198+'Cash Flow'!FK36</f>
        <v>-12000</v>
      </c>
      <c r="FM36" s="174">
        <f>FL36</f>
        <v>-12000</v>
      </c>
      <c r="FN36" s="272"/>
      <c r="FO36" s="272"/>
      <c r="FP36" s="33"/>
      <c r="FQ36" s="33"/>
      <c r="FR36" s="33"/>
      <c r="FS36"/>
      <c r="FT36"/>
      <c r="FU36"/>
      <c r="FV36"/>
      <c r="FW36"/>
      <c r="FX36"/>
      <c r="FY36" s="33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</row>
    <row r="37" spans="1:274" s="24" customFormat="1" ht="10.5" customHeight="1" x14ac:dyDescent="0.2">
      <c r="A37" s="273" t="s">
        <v>0</v>
      </c>
      <c r="B37" s="476"/>
      <c r="C37" s="435"/>
      <c r="D37" s="435"/>
      <c r="E37" s="435"/>
      <c r="F37" s="435"/>
      <c r="G37" s="435"/>
      <c r="H37" s="435"/>
      <c r="I37" s="435"/>
      <c r="J37" s="435"/>
      <c r="K37" s="435"/>
      <c r="L37" s="435"/>
      <c r="M37" s="435"/>
      <c r="N37" s="276"/>
      <c r="O37" s="435"/>
      <c r="P37" s="435"/>
      <c r="Q37" s="435"/>
      <c r="R37" s="435"/>
      <c r="S37" s="60"/>
      <c r="T37" s="435"/>
      <c r="U37" s="435"/>
      <c r="V37" s="435"/>
      <c r="W37" s="435"/>
      <c r="X37" s="435"/>
      <c r="Y37" s="60"/>
      <c r="Z37" s="435"/>
      <c r="AA37" s="435"/>
      <c r="AB37" s="435"/>
      <c r="AC37" s="435"/>
      <c r="AD37" s="435"/>
      <c r="AE37" s="60"/>
      <c r="AF37" s="435"/>
      <c r="AG37" s="435"/>
      <c r="AH37" s="435"/>
      <c r="AI37" s="435"/>
      <c r="AJ37" s="435"/>
      <c r="AK37" s="60"/>
      <c r="AL37" s="435"/>
      <c r="AM37" s="435"/>
      <c r="AN37" s="435"/>
      <c r="AO37" s="435"/>
      <c r="AP37" s="435"/>
      <c r="AQ37" s="60"/>
      <c r="AR37" s="435"/>
      <c r="AS37" s="435"/>
      <c r="AT37" s="435"/>
      <c r="AU37" s="435"/>
      <c r="AV37" s="435"/>
      <c r="AW37" s="60"/>
      <c r="AX37" s="435"/>
      <c r="AY37" s="435"/>
      <c r="AZ37" s="435"/>
      <c r="BA37" s="435"/>
      <c r="BB37" s="435"/>
      <c r="BC37" s="60"/>
      <c r="BD37" s="435"/>
      <c r="BE37" s="435"/>
      <c r="BF37" s="435"/>
      <c r="BG37" s="435"/>
      <c r="BH37" s="435"/>
      <c r="BI37" s="60"/>
      <c r="BJ37" s="435"/>
      <c r="BK37" s="435"/>
      <c r="BL37" s="435"/>
      <c r="BM37" s="435"/>
      <c r="BN37" s="435"/>
      <c r="BO37" s="60"/>
      <c r="BP37" s="435"/>
      <c r="BQ37" s="435"/>
      <c r="BR37" s="435"/>
      <c r="BS37" s="435"/>
      <c r="BT37" s="435"/>
      <c r="BU37" s="60"/>
      <c r="BV37" s="435"/>
      <c r="BW37" s="60"/>
      <c r="BX37" s="435"/>
      <c r="BY37" s="435"/>
      <c r="BZ37" s="435"/>
      <c r="CA37" s="60"/>
      <c r="CB37" s="435"/>
      <c r="CC37" s="435"/>
      <c r="CD37" s="435"/>
      <c r="CE37" s="435"/>
      <c r="CF37" s="435"/>
      <c r="CG37" s="60"/>
      <c r="CH37" s="435"/>
      <c r="CI37" s="435"/>
      <c r="CJ37" s="435"/>
      <c r="CK37" s="435"/>
      <c r="CL37" s="435"/>
      <c r="CM37" s="174">
        <v>0</v>
      </c>
      <c r="CN37" s="435"/>
      <c r="CO37" s="435">
        <v>0</v>
      </c>
      <c r="CP37" s="435">
        <v>0</v>
      </c>
      <c r="CQ37" s="435">
        <v>0</v>
      </c>
      <c r="CR37" s="435">
        <v>0</v>
      </c>
      <c r="CS37" s="174">
        <v>0</v>
      </c>
      <c r="CT37" s="435"/>
      <c r="CU37" s="435">
        <v>0</v>
      </c>
      <c r="CV37" s="435">
        <v>0</v>
      </c>
      <c r="CW37" s="435">
        <v>0</v>
      </c>
      <c r="CX37" s="435">
        <v>-250</v>
      </c>
      <c r="CY37" s="174">
        <f>CX37</f>
        <v>-250</v>
      </c>
      <c r="CZ37" s="435"/>
      <c r="DA37" s="435">
        <v>-251</v>
      </c>
      <c r="DB37" s="435">
        <v>-501</v>
      </c>
      <c r="DC37" s="435">
        <v>-753</v>
      </c>
      <c r="DD37" s="435">
        <v>-1004</v>
      </c>
      <c r="DE37" s="174">
        <f>DD37</f>
        <v>-1004</v>
      </c>
      <c r="DF37" s="435"/>
      <c r="DG37" s="435">
        <v>-251</v>
      </c>
      <c r="DH37" s="435">
        <v>-504</v>
      </c>
      <c r="DI37" s="435">
        <v>-757</v>
      </c>
      <c r="DJ37" s="435">
        <v>-1061</v>
      </c>
      <c r="DK37" s="174">
        <f>DJ37</f>
        <v>-1061</v>
      </c>
      <c r="DL37" s="435"/>
      <c r="DM37" s="435">
        <v>-304</v>
      </c>
      <c r="DN37" s="435">
        <v>-607</v>
      </c>
      <c r="DO37" s="435">
        <v>-909</v>
      </c>
      <c r="DP37" s="435">
        <v>-1205</v>
      </c>
      <c r="DQ37" s="174">
        <f>DP37</f>
        <v>-1205</v>
      </c>
      <c r="DR37" s="435"/>
      <c r="DS37" s="435">
        <v>-292</v>
      </c>
      <c r="DT37" s="435">
        <v>-583</v>
      </c>
      <c r="DU37" s="435">
        <f>-1433</f>
        <v>-1433</v>
      </c>
      <c r="DV37" s="435">
        <v>-1433</v>
      </c>
      <c r="DW37" s="174">
        <f>DV37</f>
        <v>-1433</v>
      </c>
      <c r="DX37" s="435"/>
      <c r="DY37" s="435">
        <v>-554</v>
      </c>
      <c r="DZ37" s="435">
        <v>-1099</v>
      </c>
      <c r="EA37" s="435">
        <v>-1640</v>
      </c>
      <c r="EB37" s="435">
        <v>-2178</v>
      </c>
      <c r="EC37" s="174">
        <f>EB37</f>
        <v>-2178</v>
      </c>
      <c r="ED37" s="435"/>
      <c r="EE37" s="435">
        <v>-537</v>
      </c>
      <c r="EF37" s="435">
        <v>-1070</v>
      </c>
      <c r="EG37" s="435">
        <v>-1600</v>
      </c>
      <c r="EH37" s="435">
        <v>-2255</v>
      </c>
      <c r="EI37" s="174">
        <f>EH37</f>
        <v>-2255</v>
      </c>
      <c r="EJ37" s="435"/>
      <c r="EK37" s="435">
        <v>-650</v>
      </c>
      <c r="EL37" s="435">
        <v>-1286</v>
      </c>
      <c r="EM37" s="435">
        <v>-1918</v>
      </c>
      <c r="EN37" s="435">
        <v>-2541</v>
      </c>
      <c r="EO37" s="174">
        <f>EN37</f>
        <v>-2541</v>
      </c>
      <c r="EP37" s="435"/>
      <c r="EQ37" s="435">
        <v>-618</v>
      </c>
      <c r="ER37" s="435">
        <v>-1232</v>
      </c>
      <c r="ES37" s="435">
        <v>-1844</v>
      </c>
      <c r="ET37" s="435">
        <v>-2631</v>
      </c>
      <c r="EU37" s="174">
        <f>ET37</f>
        <v>-2631</v>
      </c>
      <c r="EV37" s="435"/>
      <c r="EW37" s="435">
        <v>-788</v>
      </c>
      <c r="EX37" s="435">
        <v>-1579</v>
      </c>
      <c r="EY37" s="435">
        <v>-2362</v>
      </c>
      <c r="EZ37" s="435">
        <f>EY37-Model!EZ229</f>
        <v>-3137.1597684238727</v>
      </c>
      <c r="FA37" s="174">
        <f>EZ37</f>
        <v>-3137.1597684238727</v>
      </c>
      <c r="FB37" s="435"/>
      <c r="FC37" s="435">
        <f>-Model!FC229</f>
        <v>-766.38223439494539</v>
      </c>
      <c r="FD37" s="435">
        <f>FC37-Model!FD229</f>
        <v>-1526.7730820852539</v>
      </c>
      <c r="FE37" s="435">
        <f>FD37-Model!FE229</f>
        <v>-2281.3377496472217</v>
      </c>
      <c r="FF37" s="435">
        <f>FE37-Model!FF229</f>
        <v>-3030.2390021806477</v>
      </c>
      <c r="FG37" s="174">
        <f>FF37</f>
        <v>-3030.2390021806477</v>
      </c>
      <c r="FH37" s="435"/>
      <c r="FI37" s="435">
        <f>-Model!FI229</f>
        <v>-743.51127739762796</v>
      </c>
      <c r="FJ37" s="435">
        <f>FI37-Model!FJ229</f>
        <v>-1481.9036497043553</v>
      </c>
      <c r="FK37" s="435">
        <f>FJ37-Model!FK229</f>
        <v>-2215.332771951108</v>
      </c>
      <c r="FL37" s="435">
        <f>FK37-Model!FL229</f>
        <v>-2943.9519988481579</v>
      </c>
      <c r="FM37" s="174">
        <f>FL37</f>
        <v>-2943.9519988481579</v>
      </c>
      <c r="FN37" s="272"/>
      <c r="FO37" s="272"/>
      <c r="FP37" s="33"/>
      <c r="FQ37" s="33"/>
      <c r="FR37" s="33"/>
      <c r="FS37"/>
      <c r="FT37"/>
      <c r="FU37"/>
      <c r="FV37"/>
      <c r="FW37"/>
      <c r="FX37"/>
      <c r="FY37" s="33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</row>
    <row r="38" spans="1:274" s="24" customFormat="1" ht="10.5" customHeight="1" x14ac:dyDescent="0.2">
      <c r="A38" s="60" t="s">
        <v>613</v>
      </c>
      <c r="B38" s="476"/>
      <c r="C38" s="435">
        <f t="shared" ref="C38:M38" si="85">C92</f>
        <v>0</v>
      </c>
      <c r="D38" s="435">
        <f t="shared" si="85"/>
        <v>0</v>
      </c>
      <c r="E38" s="435">
        <f t="shared" si="85"/>
        <v>24.759</v>
      </c>
      <c r="F38" s="435">
        <f t="shared" si="85"/>
        <v>44.334000000000003</v>
      </c>
      <c r="G38" s="435">
        <f t="shared" si="85"/>
        <v>6.157</v>
      </c>
      <c r="H38" s="435">
        <f t="shared" si="85"/>
        <v>48.599000000000004</v>
      </c>
      <c r="I38" s="435">
        <f t="shared" si="85"/>
        <v>18.46</v>
      </c>
      <c r="J38" s="435">
        <f t="shared" si="85"/>
        <v>19.698</v>
      </c>
      <c r="K38" s="435">
        <f t="shared" si="85"/>
        <v>22.239000000000001</v>
      </c>
      <c r="L38" s="435">
        <f t="shared" si="85"/>
        <v>19.355000000000004</v>
      </c>
      <c r="M38" s="435">
        <f t="shared" si="85"/>
        <v>29.852000000000004</v>
      </c>
      <c r="N38" s="276"/>
      <c r="O38" s="435">
        <f>O92</f>
        <v>7.9269999999999996</v>
      </c>
      <c r="P38" s="435">
        <f>P92+O38</f>
        <v>27.13</v>
      </c>
      <c r="Q38" s="435">
        <f>Q92+P38</f>
        <v>33.034999999999997</v>
      </c>
      <c r="R38" s="435">
        <f>R92+Q38</f>
        <v>59.824999999999996</v>
      </c>
      <c r="S38" s="60">
        <f>R38</f>
        <v>59.824999999999996</v>
      </c>
      <c r="T38" s="276"/>
      <c r="U38" s="435">
        <f>U92</f>
        <v>26.28</v>
      </c>
      <c r="V38" s="435">
        <f>V92+U38</f>
        <v>59.587000000000003</v>
      </c>
      <c r="W38" s="435">
        <f>W92+V38</f>
        <v>69.209000000000003</v>
      </c>
      <c r="X38" s="435">
        <f>X92+W38</f>
        <v>24.795999999999992</v>
      </c>
      <c r="Y38" s="60">
        <f>X38</f>
        <v>24.795999999999992</v>
      </c>
      <c r="Z38" s="276"/>
      <c r="AA38" s="435">
        <f>AA92</f>
        <v>15.226999999999999</v>
      </c>
      <c r="AB38" s="435">
        <f>AB92+AA38</f>
        <v>76.349999999999994</v>
      </c>
      <c r="AC38" s="435">
        <f>AC92+AB38</f>
        <v>382.54499999999996</v>
      </c>
      <c r="AD38" s="435">
        <f>AD92+AC38</f>
        <v>471.0870000000001</v>
      </c>
      <c r="AE38" s="60">
        <f>AD38</f>
        <v>471.0870000000001</v>
      </c>
      <c r="AF38" s="276"/>
      <c r="AG38" s="435">
        <f>AG92</f>
        <v>34.228000000000002</v>
      </c>
      <c r="AH38" s="435">
        <f>AH92+AG38</f>
        <v>121.553</v>
      </c>
      <c r="AI38" s="435">
        <f>AI92+AH38</f>
        <v>134.988</v>
      </c>
      <c r="AJ38" s="435">
        <f>AJ92+AI38</f>
        <v>206.977</v>
      </c>
      <c r="AK38" s="60">
        <f>AJ38</f>
        <v>206.977</v>
      </c>
      <c r="AL38" s="276"/>
      <c r="AM38" s="435">
        <f>AM92</f>
        <v>21.238000000000003</v>
      </c>
      <c r="AN38" s="435">
        <f>AN92+AM38</f>
        <v>147.34199999999998</v>
      </c>
      <c r="AO38" s="435">
        <f>AO92+AN38</f>
        <v>468.58199999999999</v>
      </c>
      <c r="AP38" s="435">
        <f>AP92+AO38</f>
        <v>602.24</v>
      </c>
      <c r="AQ38" s="60">
        <f>AP38</f>
        <v>602.24</v>
      </c>
      <c r="AR38" s="276"/>
      <c r="AS38" s="435">
        <f>AS92</f>
        <v>83.557999999999993</v>
      </c>
      <c r="AT38" s="435">
        <f>AT92+AS38</f>
        <v>244.06899999999999</v>
      </c>
      <c r="AU38" s="435">
        <f>AU92+AT38</f>
        <v>323.30599999999998</v>
      </c>
      <c r="AV38" s="435">
        <f>AV92+AU38</f>
        <v>1123.5349999999999</v>
      </c>
      <c r="AW38" s="60">
        <f>AV38</f>
        <v>1123.5349999999999</v>
      </c>
      <c r="AX38" s="276"/>
      <c r="AY38" s="435">
        <f>AY92</f>
        <v>133.04600000000002</v>
      </c>
      <c r="AZ38" s="435">
        <f>AZ92+AY38</f>
        <v>341.66500000000002</v>
      </c>
      <c r="BA38" s="435">
        <f>BA92+AZ38</f>
        <v>409.82400000000001</v>
      </c>
      <c r="BB38" s="435">
        <f>BB92+BA38</f>
        <v>535</v>
      </c>
      <c r="BC38" s="60">
        <f>BB38</f>
        <v>535</v>
      </c>
      <c r="BD38" s="276"/>
      <c r="BE38" s="435">
        <f>BE92</f>
        <v>40.228000000000002</v>
      </c>
      <c r="BF38" s="435">
        <f>BF92+BE38</f>
        <v>188</v>
      </c>
      <c r="BG38" s="435">
        <f>BG92+BF38</f>
        <v>217</v>
      </c>
      <c r="BH38" s="435">
        <f>BH92+BG38</f>
        <v>332</v>
      </c>
      <c r="BI38" s="60">
        <f>BH38</f>
        <v>332</v>
      </c>
      <c r="BJ38" s="276"/>
      <c r="BK38" s="435">
        <f>BK92</f>
        <v>30</v>
      </c>
      <c r="BL38" s="435">
        <f t="shared" ref="BL38:BN40" si="86">BL92+BK38</f>
        <v>147</v>
      </c>
      <c r="BM38" s="435">
        <f t="shared" si="86"/>
        <v>200</v>
      </c>
      <c r="BN38" s="435">
        <f t="shared" si="86"/>
        <v>356</v>
      </c>
      <c r="BO38" s="60">
        <f>BN38</f>
        <v>356</v>
      </c>
      <c r="BP38" s="276"/>
      <c r="BQ38" s="435">
        <f>BQ92</f>
        <v>41</v>
      </c>
      <c r="BR38" s="435">
        <v>176</v>
      </c>
      <c r="BS38" s="435">
        <v>241</v>
      </c>
      <c r="BT38" s="435">
        <v>354</v>
      </c>
      <c r="BU38" s="60">
        <f>BT38</f>
        <v>354</v>
      </c>
      <c r="BV38" s="276"/>
      <c r="BW38" s="60">
        <v>27</v>
      </c>
      <c r="BX38" s="435">
        <v>165</v>
      </c>
      <c r="BY38" s="435">
        <v>360</v>
      </c>
      <c r="BZ38" s="435">
        <v>596</v>
      </c>
      <c r="CA38" s="60">
        <f>BZ38</f>
        <v>596</v>
      </c>
      <c r="CB38" s="276"/>
      <c r="CC38" s="435">
        <v>158</v>
      </c>
      <c r="CD38" s="435">
        <v>245</v>
      </c>
      <c r="CE38" s="435">
        <v>333</v>
      </c>
      <c r="CF38" s="435">
        <v>632</v>
      </c>
      <c r="CG38" s="60">
        <f>CF38</f>
        <v>632</v>
      </c>
      <c r="CH38" s="276"/>
      <c r="CI38" s="435">
        <v>162</v>
      </c>
      <c r="CJ38" s="435">
        <v>566</v>
      </c>
      <c r="CK38" s="435">
        <v>684</v>
      </c>
      <c r="CL38" s="435">
        <v>924</v>
      </c>
      <c r="CM38" s="174">
        <f>CL38</f>
        <v>924</v>
      </c>
      <c r="CN38" s="276"/>
      <c r="CO38" s="435">
        <v>317</v>
      </c>
      <c r="CP38" s="435">
        <v>682</v>
      </c>
      <c r="CQ38" s="435">
        <v>1047</v>
      </c>
      <c r="CR38" s="435">
        <v>1288</v>
      </c>
      <c r="CS38" s="174">
        <f>CR38</f>
        <v>1288</v>
      </c>
      <c r="CT38" s="276"/>
      <c r="CU38" s="435">
        <v>280</v>
      </c>
      <c r="CV38" s="435">
        <v>371</v>
      </c>
      <c r="CW38" s="435">
        <v>448</v>
      </c>
      <c r="CX38" s="435">
        <v>760</v>
      </c>
      <c r="CY38" s="174">
        <f>CX38</f>
        <v>760</v>
      </c>
      <c r="CZ38" s="276"/>
      <c r="DA38" s="435">
        <v>247</v>
      </c>
      <c r="DB38" s="435">
        <v>371</v>
      </c>
      <c r="DC38" s="435">
        <v>602</v>
      </c>
      <c r="DD38" s="435">
        <v>874</v>
      </c>
      <c r="DE38" s="174">
        <f>DD38</f>
        <v>874</v>
      </c>
      <c r="DF38" s="276"/>
      <c r="DG38" s="435">
        <v>169</v>
      </c>
      <c r="DH38" s="435">
        <v>734</v>
      </c>
      <c r="DI38" s="435">
        <v>1028</v>
      </c>
      <c r="DJ38" s="435">
        <v>1376</v>
      </c>
      <c r="DK38" s="174">
        <f>DJ38</f>
        <v>1376</v>
      </c>
      <c r="DL38" s="276"/>
      <c r="DM38" s="435">
        <v>182</v>
      </c>
      <c r="DN38" s="435">
        <v>434</v>
      </c>
      <c r="DO38" s="435">
        <v>513</v>
      </c>
      <c r="DP38" s="435">
        <v>733</v>
      </c>
      <c r="DQ38" s="174">
        <f>DP38</f>
        <v>733</v>
      </c>
      <c r="DR38" s="276"/>
      <c r="DS38" s="435">
        <v>517</v>
      </c>
      <c r="DT38" s="435">
        <v>752</v>
      </c>
      <c r="DU38" s="435">
        <f>1300</f>
        <v>1300</v>
      </c>
      <c r="DV38" s="435">
        <f>1527</f>
        <v>1527</v>
      </c>
      <c r="DW38" s="174">
        <f>DV38</f>
        <v>1527</v>
      </c>
      <c r="DX38" s="276"/>
      <c r="DY38" s="435">
        <v>285</v>
      </c>
      <c r="DZ38" s="435">
        <v>765</v>
      </c>
      <c r="EA38" s="435">
        <v>1519</v>
      </c>
      <c r="EB38" s="435">
        <v>2135</v>
      </c>
      <c r="EC38" s="174">
        <f>EB38</f>
        <v>2135</v>
      </c>
      <c r="ED38" s="276"/>
      <c r="EE38" s="435">
        <v>588</v>
      </c>
      <c r="EF38" s="435">
        <f>900-1500</f>
        <v>-600</v>
      </c>
      <c r="EG38" s="435">
        <v>1445</v>
      </c>
      <c r="EH38" s="435">
        <v>1802</v>
      </c>
      <c r="EI38" s="174">
        <f>EH38</f>
        <v>1802</v>
      </c>
      <c r="EJ38" s="276"/>
      <c r="EK38" s="435">
        <f>296-70</f>
        <v>226</v>
      </c>
      <c r="EL38" s="435">
        <f>640-77</f>
        <v>563</v>
      </c>
      <c r="EM38" s="435">
        <f>802-82</f>
        <v>720</v>
      </c>
      <c r="EN38" s="435">
        <f>1425-89</f>
        <v>1336</v>
      </c>
      <c r="EO38" s="174">
        <f>EN38</f>
        <v>1336</v>
      </c>
      <c r="EP38" s="276"/>
      <c r="EQ38" s="435">
        <f>487-170</f>
        <v>317</v>
      </c>
      <c r="ER38" s="435">
        <v>746</v>
      </c>
      <c r="ES38" s="435">
        <v>1309</v>
      </c>
      <c r="ET38" s="435">
        <f>2181-283</f>
        <v>1898</v>
      </c>
      <c r="EU38" s="174">
        <f>ET38</f>
        <v>1898</v>
      </c>
      <c r="EV38" s="276"/>
      <c r="EW38" s="435">
        <f>1014-331</f>
        <v>683</v>
      </c>
      <c r="EX38" s="435">
        <v>1353</v>
      </c>
      <c r="EY38" s="435">
        <v>2116</v>
      </c>
      <c r="EZ38" s="435">
        <f>'Balance Sheet'!EZ199+'Cash Flow'!EY38</f>
        <v>2101.6672694599984</v>
      </c>
      <c r="FA38" s="174">
        <f>EZ38</f>
        <v>2101.6672694599984</v>
      </c>
      <c r="FB38" s="276"/>
      <c r="FC38" s="435">
        <f>'Balance Sheet'!FC199+'Cash Flow'!FB38</f>
        <v>1612.6311143347427</v>
      </c>
      <c r="FD38" s="435">
        <f>'Balance Sheet'!FD199+'Cash Flow'!FC38</f>
        <v>3225.2622286694855</v>
      </c>
      <c r="FE38" s="435">
        <f>'Balance Sheet'!FE199+'Cash Flow'!FD38</f>
        <v>4837.8933430042289</v>
      </c>
      <c r="FF38" s="435">
        <f>'Balance Sheet'!FF199+'Cash Flow'!FE38</f>
        <v>6450.5244573389718</v>
      </c>
      <c r="FG38" s="174">
        <f>FF38</f>
        <v>6450.5244573389718</v>
      </c>
      <c r="FH38" s="276"/>
      <c r="FI38" s="435">
        <f>'Balance Sheet'!FI199+'Cash Flow'!FH38</f>
        <v>1800.7415663571385</v>
      </c>
      <c r="FJ38" s="435">
        <f>'Balance Sheet'!FJ199+'Cash Flow'!FI38</f>
        <v>3601.483132714277</v>
      </c>
      <c r="FK38" s="435">
        <f>'Balance Sheet'!FK199+'Cash Flow'!FJ38</f>
        <v>5402.2246990714157</v>
      </c>
      <c r="FL38" s="435">
        <f>'Balance Sheet'!FL199+'Cash Flow'!FK38</f>
        <v>7202.9662654285548</v>
      </c>
      <c r="FM38" s="174">
        <f>FL38</f>
        <v>7202.9662654285548</v>
      </c>
      <c r="FN38" s="261"/>
      <c r="FO38" s="261"/>
      <c r="FP38" s="242"/>
      <c r="FQ38" s="242"/>
      <c r="FR38" s="242"/>
      <c r="FS38"/>
      <c r="FT38"/>
      <c r="FU38"/>
      <c r="FV38"/>
      <c r="FW38"/>
      <c r="FX38"/>
      <c r="FY38" s="242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</row>
    <row r="39" spans="1:274" s="24" customFormat="1" ht="10.5" customHeight="1" x14ac:dyDescent="0.2">
      <c r="A39" s="60" t="s">
        <v>940</v>
      </c>
      <c r="B39" s="476"/>
      <c r="C39" s="435"/>
      <c r="D39" s="435"/>
      <c r="E39" s="435"/>
      <c r="F39" s="435"/>
      <c r="G39" s="435"/>
      <c r="H39" s="435"/>
      <c r="I39" s="435"/>
      <c r="J39" s="435"/>
      <c r="K39" s="435"/>
      <c r="L39" s="435"/>
      <c r="M39" s="435"/>
      <c r="N39" s="276"/>
      <c r="O39" s="435"/>
      <c r="P39" s="435"/>
      <c r="Q39" s="435"/>
      <c r="R39" s="435"/>
      <c r="S39" s="60"/>
      <c r="T39" s="276"/>
      <c r="U39" s="435"/>
      <c r="V39" s="435"/>
      <c r="W39" s="435"/>
      <c r="X39" s="435"/>
      <c r="Y39" s="60"/>
      <c r="Z39" s="276"/>
      <c r="AA39" s="435"/>
      <c r="AB39" s="435"/>
      <c r="AC39" s="435"/>
      <c r="AD39" s="435"/>
      <c r="AE39" s="60"/>
      <c r="AF39" s="276"/>
      <c r="AG39" s="435"/>
      <c r="AH39" s="435"/>
      <c r="AI39" s="435"/>
      <c r="AJ39" s="435"/>
      <c r="AK39" s="60"/>
      <c r="AL39" s="276"/>
      <c r="AM39" s="435"/>
      <c r="AN39" s="435"/>
      <c r="AO39" s="435"/>
      <c r="AP39" s="435"/>
      <c r="AQ39" s="60"/>
      <c r="AR39" s="276"/>
      <c r="AS39" s="435"/>
      <c r="AT39" s="435"/>
      <c r="AU39" s="435"/>
      <c r="AV39" s="435"/>
      <c r="AW39" s="60"/>
      <c r="AX39" s="276"/>
      <c r="AY39" s="435"/>
      <c r="AZ39" s="435"/>
      <c r="BA39" s="435"/>
      <c r="BB39" s="435"/>
      <c r="BC39" s="60"/>
      <c r="BD39" s="276"/>
      <c r="BE39" s="435"/>
      <c r="BF39" s="435"/>
      <c r="BG39" s="435"/>
      <c r="BH39" s="435">
        <v>-5</v>
      </c>
      <c r="BI39" s="60">
        <f>BH39</f>
        <v>-5</v>
      </c>
      <c r="BJ39" s="276"/>
      <c r="BK39" s="435">
        <f>BK93</f>
        <v>0</v>
      </c>
      <c r="BL39" s="435">
        <f t="shared" si="86"/>
        <v>0</v>
      </c>
      <c r="BM39" s="435">
        <f t="shared" si="86"/>
        <v>0</v>
      </c>
      <c r="BN39" s="435">
        <f t="shared" si="86"/>
        <v>9</v>
      </c>
      <c r="BO39" s="60">
        <f>BN39</f>
        <v>9</v>
      </c>
      <c r="BP39" s="276"/>
      <c r="BQ39" s="435">
        <v>0</v>
      </c>
      <c r="BR39" s="435">
        <v>0</v>
      </c>
      <c r="BS39" s="435">
        <v>-150</v>
      </c>
      <c r="BT39" s="435">
        <v>-144</v>
      </c>
      <c r="BU39" s="60">
        <f>BT39</f>
        <v>-144</v>
      </c>
      <c r="BV39" s="276"/>
      <c r="BW39" s="60">
        <v>0</v>
      </c>
      <c r="BX39" s="60">
        <v>0</v>
      </c>
      <c r="BY39" s="435">
        <f>9200-2000</f>
        <v>7200</v>
      </c>
      <c r="BZ39" s="435">
        <f>12505-9830</f>
        <v>2675</v>
      </c>
      <c r="CA39" s="60">
        <f>BZ39</f>
        <v>2675</v>
      </c>
      <c r="CB39" s="276"/>
      <c r="CC39" s="435">
        <f>-6590+5408</f>
        <v>-1182</v>
      </c>
      <c r="CD39" s="435">
        <f>-8321+6518</f>
        <v>-1803</v>
      </c>
      <c r="CE39" s="435">
        <f>12636-9446</f>
        <v>3190</v>
      </c>
      <c r="CF39" s="435">
        <f>12636-9635</f>
        <v>3001</v>
      </c>
      <c r="CG39" s="60">
        <f>CF39</f>
        <v>3001</v>
      </c>
      <c r="CH39" s="276"/>
      <c r="CI39" s="435">
        <v>-7</v>
      </c>
      <c r="CJ39" s="435">
        <v>-8</v>
      </c>
      <c r="CK39" s="435">
        <v>-175</v>
      </c>
      <c r="CL39" s="435">
        <f>4079-2418</f>
        <v>1661</v>
      </c>
      <c r="CM39" s="174">
        <f>CL39</f>
        <v>1661</v>
      </c>
      <c r="CN39" s="276"/>
      <c r="CO39" s="435">
        <v>-1361</v>
      </c>
      <c r="CP39" s="435">
        <v>-1362</v>
      </c>
      <c r="CQ39" s="435">
        <v>-1362</v>
      </c>
      <c r="CR39" s="435">
        <f>6171-2560</f>
        <v>3611</v>
      </c>
      <c r="CS39" s="174">
        <f>CR39</f>
        <v>3611</v>
      </c>
      <c r="CT39" s="276"/>
      <c r="CU39" s="435">
        <v>-4</v>
      </c>
      <c r="CV39" s="435">
        <v>-4</v>
      </c>
      <c r="CW39" s="435">
        <v>-4</v>
      </c>
      <c r="CX39" s="435">
        <v>-1004</v>
      </c>
      <c r="CY39" s="174">
        <f>CX39</f>
        <v>-1004</v>
      </c>
      <c r="CZ39" s="276"/>
      <c r="DA39" s="435">
        <v>4461</v>
      </c>
      <c r="DB39" s="435">
        <v>4461</v>
      </c>
      <c r="DC39" s="435">
        <f>6420-1708</f>
        <v>4712</v>
      </c>
      <c r="DD39" s="435">
        <f>7220-3582</f>
        <v>3638</v>
      </c>
      <c r="DE39" s="174">
        <f>DD39</f>
        <v>3638</v>
      </c>
      <c r="DF39" s="276"/>
      <c r="DG39" s="435">
        <f>3204-885</f>
        <v>2319</v>
      </c>
      <c r="DH39" s="435">
        <f>3204-890</f>
        <v>2314</v>
      </c>
      <c r="DI39" s="435">
        <f>3204-3143</f>
        <v>61</v>
      </c>
      <c r="DJ39" s="435">
        <f>4354-3143</f>
        <v>1211</v>
      </c>
      <c r="DK39" s="174">
        <f>DJ39</f>
        <v>1211</v>
      </c>
      <c r="DL39" s="276"/>
      <c r="DM39" s="435">
        <v>-1150</v>
      </c>
      <c r="DN39" s="435">
        <v>-1150</v>
      </c>
      <c r="DO39" s="435">
        <v>-1405</v>
      </c>
      <c r="DP39" s="435">
        <f>-1405+1700</f>
        <v>295</v>
      </c>
      <c r="DQ39" s="174">
        <f>DP39</f>
        <v>295</v>
      </c>
      <c r="DR39" s="276"/>
      <c r="DS39" s="435">
        <f>-1700</f>
        <v>-1700</v>
      </c>
      <c r="DT39" s="435">
        <f>-1700+4974</f>
        <v>3274</v>
      </c>
      <c r="DU39" s="435">
        <f>4974-1700</f>
        <v>3274</v>
      </c>
      <c r="DV39" s="435">
        <f>4974+-2950</f>
        <v>2024</v>
      </c>
      <c r="DW39" s="174">
        <f>DV39</f>
        <v>2024</v>
      </c>
      <c r="DX39" s="276"/>
      <c r="DY39" s="435">
        <f>5566</f>
        <v>5566</v>
      </c>
      <c r="DZ39" s="435">
        <v>5566</v>
      </c>
      <c r="EA39" s="435">
        <v>5566</v>
      </c>
      <c r="EB39" s="435">
        <v>5566</v>
      </c>
      <c r="EC39" s="174">
        <f>EB39</f>
        <v>5566</v>
      </c>
      <c r="ED39" s="276"/>
      <c r="EE39" s="435">
        <f>9945-1500</f>
        <v>8445</v>
      </c>
      <c r="EF39" s="435">
        <v>9945</v>
      </c>
      <c r="EG39" s="435">
        <f>9945-1500</f>
        <v>8445</v>
      </c>
      <c r="EH39" s="435">
        <f>19842-1500</f>
        <v>18342</v>
      </c>
      <c r="EI39" s="174">
        <f>EH39</f>
        <v>18342</v>
      </c>
      <c r="EJ39" s="276"/>
      <c r="EK39" s="435">
        <v>0</v>
      </c>
      <c r="EL39" s="435">
        <v>0</v>
      </c>
      <c r="EM39" s="435">
        <v>-2000</v>
      </c>
      <c r="EN39" s="435">
        <f>3750-2000</f>
        <v>1750</v>
      </c>
      <c r="EO39" s="174">
        <f>EN39</f>
        <v>1750</v>
      </c>
      <c r="EP39" s="276"/>
      <c r="EQ39" s="435">
        <f>13932-3750</f>
        <v>10182</v>
      </c>
      <c r="ER39" s="435">
        <f>13932-3750</f>
        <v>10182</v>
      </c>
      <c r="ES39" s="435">
        <f>13932-4094</f>
        <v>9838</v>
      </c>
      <c r="ET39" s="435">
        <f>17732-4094</f>
        <v>13638</v>
      </c>
      <c r="EU39" s="174">
        <f>ET39</f>
        <v>13638</v>
      </c>
      <c r="EV39" s="276"/>
      <c r="EW39" s="435">
        <v>-4800</v>
      </c>
      <c r="EX39" s="435">
        <f>9945-7300</f>
        <v>2645</v>
      </c>
      <c r="EY39" s="435">
        <f>9945-7300</f>
        <v>2645</v>
      </c>
      <c r="EZ39" s="435">
        <f>'Balance Sheet'!EZ32-'Balance Sheet'!EY32+'Balance Sheet'!EZ25-'Balance Sheet'!EY25+'Cash Flow'!EY39</f>
        <v>2660</v>
      </c>
      <c r="FA39" s="174">
        <f>EZ39</f>
        <v>2660</v>
      </c>
      <c r="FB39" s="276"/>
      <c r="FC39" s="435">
        <f>'Balance Sheet'!FC32-'Balance Sheet'!EZ32+'Balance Sheet'!FC25-'Balance Sheet'!EZ25</f>
        <v>-2500</v>
      </c>
      <c r="FD39" s="435">
        <f>'Balance Sheet'!FD32-'Balance Sheet'!FC32+'Balance Sheet'!FD25-'Balance Sheet'!FC25+'Cash Flow'!FC39</f>
        <v>-2500</v>
      </c>
      <c r="FE39" s="435">
        <f>'Balance Sheet'!FE32-'Balance Sheet'!FD32+'Balance Sheet'!FE25-'Balance Sheet'!FD25+'Cash Flow'!FD39</f>
        <v>-2500</v>
      </c>
      <c r="FF39" s="435">
        <f>'Balance Sheet'!FF32-'Balance Sheet'!FE32+'Balance Sheet'!FF25-'Balance Sheet'!FE25+'Cash Flow'!FE39</f>
        <v>-4500</v>
      </c>
      <c r="FG39" s="174">
        <f>FF39</f>
        <v>-4500</v>
      </c>
      <c r="FH39" s="276"/>
      <c r="FI39" s="435">
        <f>'Balance Sheet'!FI32-'Balance Sheet'!FF32+'Balance Sheet'!FI25-'Balance Sheet'!FF25</f>
        <v>0</v>
      </c>
      <c r="FJ39" s="435">
        <f>'Balance Sheet'!FJ32-'Balance Sheet'!FI32+'Balance Sheet'!FJ25-'Balance Sheet'!FI25+'Cash Flow'!FI39</f>
        <v>-2500</v>
      </c>
      <c r="FK39" s="435">
        <f>'Balance Sheet'!FK32-'Balance Sheet'!FJ32+'Balance Sheet'!FK25-'Balance Sheet'!FJ25+'Cash Flow'!FJ39</f>
        <v>-4500</v>
      </c>
      <c r="FL39" s="435">
        <f>'Balance Sheet'!FL32-'Balance Sheet'!FK32+'Balance Sheet'!FL25-'Balance Sheet'!FK25+'Cash Flow'!FK39</f>
        <v>-4500</v>
      </c>
      <c r="FM39" s="174">
        <f>FL39</f>
        <v>-4500</v>
      </c>
      <c r="FN39" s="261"/>
      <c r="FO39" s="261"/>
      <c r="FP39" s="242"/>
      <c r="FQ39" s="242"/>
      <c r="FR39" s="242"/>
      <c r="FS39"/>
      <c r="FT39"/>
      <c r="FU39"/>
      <c r="FV39"/>
      <c r="FW39"/>
      <c r="FX39"/>
      <c r="FY39" s="242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</row>
    <row r="40" spans="1:274" s="24" customFormat="1" ht="10.5" customHeight="1" x14ac:dyDescent="0.2">
      <c r="A40" s="60" t="s">
        <v>543</v>
      </c>
      <c r="B40" s="476"/>
      <c r="C40" s="435"/>
      <c r="D40" s="435"/>
      <c r="E40" s="435"/>
      <c r="F40" s="435"/>
      <c r="G40" s="435"/>
      <c r="H40" s="435"/>
      <c r="I40" s="435"/>
      <c r="J40" s="435"/>
      <c r="K40" s="435"/>
      <c r="L40" s="435"/>
      <c r="M40" s="435"/>
      <c r="N40" s="276"/>
      <c r="O40" s="435"/>
      <c r="P40" s="435"/>
      <c r="Q40" s="435"/>
      <c r="R40" s="435"/>
      <c r="S40" s="60"/>
      <c r="T40" s="276"/>
      <c r="U40" s="435"/>
      <c r="V40" s="435"/>
      <c r="W40" s="435"/>
      <c r="X40" s="435"/>
      <c r="Y40" s="60"/>
      <c r="Z40" s="276"/>
      <c r="AA40" s="435"/>
      <c r="AB40" s="435"/>
      <c r="AC40" s="435"/>
      <c r="AD40" s="435"/>
      <c r="AE40" s="60"/>
      <c r="AF40" s="276"/>
      <c r="AG40" s="435"/>
      <c r="AH40" s="435"/>
      <c r="AI40" s="435"/>
      <c r="AJ40" s="435"/>
      <c r="AK40" s="60"/>
      <c r="AL40" s="276"/>
      <c r="AM40" s="435"/>
      <c r="AN40" s="435"/>
      <c r="AO40" s="435"/>
      <c r="AP40" s="435"/>
      <c r="AQ40" s="60"/>
      <c r="AR40" s="276"/>
      <c r="AS40" s="435"/>
      <c r="AT40" s="435"/>
      <c r="AU40" s="435"/>
      <c r="AV40" s="435"/>
      <c r="AW40" s="60"/>
      <c r="AX40" s="276"/>
      <c r="AY40" s="435"/>
      <c r="AZ40" s="435"/>
      <c r="BA40" s="435"/>
      <c r="BB40" s="435"/>
      <c r="BC40" s="60"/>
      <c r="BD40" s="276"/>
      <c r="BE40" s="435"/>
      <c r="BF40" s="435"/>
      <c r="BG40" s="435"/>
      <c r="BH40" s="435"/>
      <c r="BI40" s="60"/>
      <c r="BJ40" s="276"/>
      <c r="BK40" s="435">
        <f>BK94</f>
        <v>0</v>
      </c>
      <c r="BL40" s="435">
        <f t="shared" si="86"/>
        <v>-166</v>
      </c>
      <c r="BM40" s="435">
        <f t="shared" si="86"/>
        <v>-166</v>
      </c>
      <c r="BN40" s="435">
        <f t="shared" si="86"/>
        <v>-166</v>
      </c>
      <c r="BO40" s="60">
        <f>BN40</f>
        <v>-166</v>
      </c>
      <c r="BP40" s="276"/>
      <c r="BQ40" s="435">
        <v>0</v>
      </c>
      <c r="BR40" s="435">
        <v>0</v>
      </c>
      <c r="BS40" s="435">
        <v>0</v>
      </c>
      <c r="BT40" s="435">
        <v>-31</v>
      </c>
      <c r="BU40" s="60">
        <f>BT40</f>
        <v>-31</v>
      </c>
      <c r="BV40" s="276"/>
      <c r="BW40" s="60">
        <v>-26</v>
      </c>
      <c r="BX40" s="435">
        <v>-26</v>
      </c>
      <c r="BY40" s="435">
        <v>-44</v>
      </c>
      <c r="BZ40" s="435">
        <v>-44</v>
      </c>
      <c r="CA40" s="60">
        <f>BZ40</f>
        <v>-44</v>
      </c>
      <c r="CB40" s="276"/>
      <c r="CC40" s="435">
        <v>-23</v>
      </c>
      <c r="CD40" s="435">
        <v>-23</v>
      </c>
      <c r="CE40" s="435">
        <v>-39</v>
      </c>
      <c r="CF40" s="435">
        <v>-39</v>
      </c>
      <c r="CG40" s="60">
        <f>CF40</f>
        <v>-39</v>
      </c>
      <c r="CH40" s="276"/>
      <c r="CI40" s="435">
        <f>30-25</f>
        <v>5</v>
      </c>
      <c r="CJ40" s="435">
        <f>159-29</f>
        <v>130</v>
      </c>
      <c r="CK40" s="435">
        <f>204-46</f>
        <v>158</v>
      </c>
      <c r="CL40" s="435">
        <f>259-46</f>
        <v>213</v>
      </c>
      <c r="CM40" s="174">
        <f>CL40</f>
        <v>213</v>
      </c>
      <c r="CN40" s="276"/>
      <c r="CO40" s="435">
        <f>82-28</f>
        <v>54</v>
      </c>
      <c r="CP40" s="435">
        <f>187-28</f>
        <v>159</v>
      </c>
      <c r="CQ40" s="435">
        <f>403-49</f>
        <v>354</v>
      </c>
      <c r="CR40" s="435">
        <f>454-49</f>
        <v>405</v>
      </c>
      <c r="CS40" s="174">
        <f>CR40</f>
        <v>405</v>
      </c>
      <c r="CT40" s="276"/>
      <c r="CU40" s="435">
        <f>65-30</f>
        <v>35</v>
      </c>
      <c r="CV40" s="435">
        <f>79-30</f>
        <v>49</v>
      </c>
      <c r="CW40" s="435">
        <f>92-53</f>
        <v>39</v>
      </c>
      <c r="CX40" s="435">
        <f>97-53</f>
        <v>44</v>
      </c>
      <c r="CY40" s="174">
        <f>CX40</f>
        <v>44</v>
      </c>
      <c r="CZ40" s="276"/>
      <c r="DA40" s="600">
        <f>30-34</f>
        <v>-4</v>
      </c>
      <c r="DB40" s="600">
        <f>42-34</f>
        <v>8</v>
      </c>
      <c r="DC40" s="600">
        <f>71-59</f>
        <v>12</v>
      </c>
      <c r="DD40" s="600">
        <f>110-59+97</f>
        <v>148</v>
      </c>
      <c r="DE40" s="174">
        <f>DD40</f>
        <v>148</v>
      </c>
      <c r="DF40" s="276"/>
      <c r="DG40" s="600">
        <f>10-38</f>
        <v>-28</v>
      </c>
      <c r="DH40" s="600">
        <f>86-38</f>
        <v>48</v>
      </c>
      <c r="DI40" s="600">
        <f>139-65</f>
        <v>74</v>
      </c>
      <c r="DJ40" s="600">
        <f>215-65</f>
        <v>150</v>
      </c>
      <c r="DK40" s="174">
        <f>DJ40</f>
        <v>150</v>
      </c>
      <c r="DL40" s="276"/>
      <c r="DM40" s="600">
        <f>24-163</f>
        <v>-139</v>
      </c>
      <c r="DN40" s="600">
        <f>53-163</f>
        <v>-110</v>
      </c>
      <c r="DO40" s="600">
        <f>71-163</f>
        <v>-92</v>
      </c>
      <c r="DP40" s="600">
        <f>97+-163</f>
        <v>-66</v>
      </c>
      <c r="DQ40" s="174">
        <f>DP40</f>
        <v>-66</v>
      </c>
      <c r="DR40" s="276"/>
      <c r="DS40" s="447">
        <f>62+-31</f>
        <v>31</v>
      </c>
      <c r="DT40" s="447">
        <f>95+-31</f>
        <v>64</v>
      </c>
      <c r="DU40" s="447">
        <f>220+-31</f>
        <v>189</v>
      </c>
      <c r="DV40" s="447">
        <f>241-31+193</f>
        <v>403</v>
      </c>
      <c r="DW40" s="174">
        <f>DV40</f>
        <v>403</v>
      </c>
      <c r="DX40" s="276"/>
      <c r="DY40" s="447">
        <f>40+-28</f>
        <v>12</v>
      </c>
      <c r="DZ40" s="447">
        <f>71-28</f>
        <v>43</v>
      </c>
      <c r="EA40" s="447">
        <f>162-28</f>
        <v>134</v>
      </c>
      <c r="EB40" s="447">
        <f>250-28</f>
        <v>222</v>
      </c>
      <c r="EC40" s="174">
        <f>EB40</f>
        <v>222</v>
      </c>
      <c r="ED40" s="276"/>
      <c r="EE40" s="447">
        <f>51-27</f>
        <v>24</v>
      </c>
      <c r="EF40" s="447">
        <f>74-196</f>
        <v>-122</v>
      </c>
      <c r="EG40" s="447">
        <f>167-196</f>
        <v>-29</v>
      </c>
      <c r="EH40" s="447">
        <f>244-196</f>
        <v>48</v>
      </c>
      <c r="EI40" s="174">
        <f>EH40</f>
        <v>48</v>
      </c>
      <c r="EJ40" s="276"/>
      <c r="EK40" s="447">
        <f>25-25</f>
        <v>0</v>
      </c>
      <c r="EL40" s="447">
        <f>40-85</f>
        <v>-45</v>
      </c>
      <c r="EM40" s="447">
        <f>61-85</f>
        <v>-24</v>
      </c>
      <c r="EN40" s="447">
        <f>124-85</f>
        <v>39</v>
      </c>
      <c r="EO40" s="174">
        <f>EN40</f>
        <v>39</v>
      </c>
      <c r="EP40" s="276"/>
      <c r="EQ40" s="447">
        <v>-167</v>
      </c>
      <c r="ER40" s="447">
        <f>-200-188</f>
        <v>-388</v>
      </c>
      <c r="ES40" s="447">
        <f>-200-237</f>
        <v>-437</v>
      </c>
      <c r="ET40" s="447">
        <v>-258</v>
      </c>
      <c r="EU40" s="174">
        <f>ET40</f>
        <v>-258</v>
      </c>
      <c r="EV40" s="276"/>
      <c r="EW40" s="447">
        <v>-34</v>
      </c>
      <c r="EX40" s="447">
        <f>+-34-434</f>
        <v>-468</v>
      </c>
      <c r="EY40" s="447">
        <f>+-467-34</f>
        <v>-501</v>
      </c>
      <c r="EZ40" s="447">
        <f>EY40</f>
        <v>-501</v>
      </c>
      <c r="FA40" s="174">
        <f>EZ40</f>
        <v>-501</v>
      </c>
      <c r="FB40" s="276"/>
      <c r="FC40" s="447">
        <v>0</v>
      </c>
      <c r="FD40" s="447">
        <f>FC40</f>
        <v>0</v>
      </c>
      <c r="FE40" s="447">
        <f>FD40</f>
        <v>0</v>
      </c>
      <c r="FF40" s="447">
        <f>FE40</f>
        <v>0</v>
      </c>
      <c r="FG40" s="174">
        <f>FF40</f>
        <v>0</v>
      </c>
      <c r="FH40" s="276"/>
      <c r="FI40" s="447">
        <v>0</v>
      </c>
      <c r="FJ40" s="447">
        <f>FI40</f>
        <v>0</v>
      </c>
      <c r="FK40" s="447">
        <f>FJ40</f>
        <v>0</v>
      </c>
      <c r="FL40" s="447">
        <f>FK40</f>
        <v>0</v>
      </c>
      <c r="FM40" s="174">
        <f>FL40</f>
        <v>0</v>
      </c>
      <c r="FN40" s="261"/>
      <c r="FO40" s="261"/>
      <c r="FP40" s="242"/>
      <c r="FQ40" s="242"/>
      <c r="FR40" s="242"/>
      <c r="FS40"/>
      <c r="FT40"/>
      <c r="FU40"/>
      <c r="FV40"/>
      <c r="FW40"/>
      <c r="FX40"/>
      <c r="FY40" s="242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</row>
    <row r="41" spans="1:274" s="24" customFormat="1" ht="10.5" customHeight="1" x14ac:dyDescent="0.2">
      <c r="A41" s="1376" t="s">
        <v>955</v>
      </c>
      <c r="B41" s="1376"/>
      <c r="C41" s="1376">
        <f>SUM(C36:C38)</f>
        <v>0</v>
      </c>
      <c r="D41" s="1376">
        <f>SUM(D36:D38)</f>
        <v>0</v>
      </c>
      <c r="E41" s="1376">
        <f>SUM(E36:E38)</f>
        <v>19.261000000000003</v>
      </c>
      <c r="F41" s="1376">
        <f t="shared" ref="F41:M41" si="87">SUM(F36:F40)</f>
        <v>40.412000000000006</v>
      </c>
      <c r="G41" s="1376">
        <f t="shared" si="87"/>
        <v>6.3420000000000005</v>
      </c>
      <c r="H41" s="1376">
        <f t="shared" si="87"/>
        <v>63.292000000000002</v>
      </c>
      <c r="I41" s="1376">
        <f t="shared" si="87"/>
        <v>73.906999999999996</v>
      </c>
      <c r="J41" s="1376">
        <f t="shared" si="87"/>
        <v>73.491</v>
      </c>
      <c r="K41" s="1376">
        <f t="shared" si="87"/>
        <v>-76.399999999999991</v>
      </c>
      <c r="L41" s="1376">
        <f t="shared" si="87"/>
        <v>-24.270999999999994</v>
      </c>
      <c r="M41" s="1376">
        <f t="shared" si="87"/>
        <v>-51.304999999999993</v>
      </c>
      <c r="N41" s="1376"/>
      <c r="O41" s="1376">
        <f>SUM(O36:O40)</f>
        <v>-24.016000000000002</v>
      </c>
      <c r="P41" s="1376">
        <f>SUM(P36:P40)</f>
        <v>-48.725000000000009</v>
      </c>
      <c r="Q41" s="1376">
        <f>SUM(Q36:Q40)</f>
        <v>-42.823999999999998</v>
      </c>
      <c r="R41" s="1376">
        <f>SUM(R36:R40)</f>
        <v>-16.033999999999999</v>
      </c>
      <c r="S41" s="1376">
        <f>SUM(S36:S40)</f>
        <v>-16.033999999999999</v>
      </c>
      <c r="T41" s="1376"/>
      <c r="U41" s="1376">
        <f>SUM(U36:U40)</f>
        <v>26.28</v>
      </c>
      <c r="V41" s="1376">
        <f>SUM(V36:V40)</f>
        <v>11.007000000000005</v>
      </c>
      <c r="W41" s="1376">
        <f>SUM(W36:W40)</f>
        <v>-13.710999999999999</v>
      </c>
      <c r="X41" s="1376">
        <f>SUM(X36:X40)</f>
        <v>-88.291000000000011</v>
      </c>
      <c r="Y41" s="1376">
        <f>SUM(Y36:Y40)</f>
        <v>-88.291000000000011</v>
      </c>
      <c r="Z41" s="1376"/>
      <c r="AA41" s="1376">
        <f>SUM(AA36:AA40)</f>
        <v>3.2699999999999978</v>
      </c>
      <c r="AB41" s="1376">
        <f>SUM(AB36:AB40)</f>
        <v>-33.52600000000001</v>
      </c>
      <c r="AC41" s="1376">
        <f>SUM(AC36:AC40)</f>
        <v>35.289999999999964</v>
      </c>
      <c r="AD41" s="1376">
        <f>SUM(AD36:AD40)</f>
        <v>-57.121999999999844</v>
      </c>
      <c r="AE41" s="1376">
        <f>SUM(AE36:AE40)</f>
        <v>-57.121999999999844</v>
      </c>
      <c r="AF41" s="1376"/>
      <c r="AG41" s="1376">
        <f>SUM(AG36:AG40)</f>
        <v>18.664999999999999</v>
      </c>
      <c r="AH41" s="1376">
        <f>SUM(AH36:AH40)</f>
        <v>58.835999999999999</v>
      </c>
      <c r="AI41" s="1376">
        <f>SUM(AI36:AI40)</f>
        <v>-237.08699999999999</v>
      </c>
      <c r="AJ41" s="1376">
        <f>SUM(AJ36:AJ40)</f>
        <v>-282.846</v>
      </c>
      <c r="AK41" s="1376">
        <f>SUM(AK36:AK40)</f>
        <v>-282.846</v>
      </c>
      <c r="AL41" s="1376"/>
      <c r="AM41" s="1376">
        <f>SUM(AM36:AM40)</f>
        <v>-59.825999999999993</v>
      </c>
      <c r="AN41" s="1376">
        <f>SUM(AN36:AN40)</f>
        <v>-413.524</v>
      </c>
      <c r="AO41" s="1376">
        <f>SUM(AO36:AO40)</f>
        <v>-279.35000000000002</v>
      </c>
      <c r="AP41" s="1376">
        <f>SUM(AP36:AP40)</f>
        <v>-484.71299999999997</v>
      </c>
      <c r="AQ41" s="1376">
        <f>SUM(AQ36:AQ40)</f>
        <v>-484.71299999999997</v>
      </c>
      <c r="AR41" s="1376"/>
      <c r="AS41" s="1376">
        <f>SUM(AS36:AS40)</f>
        <v>-496.33699999999999</v>
      </c>
      <c r="AT41" s="1376">
        <f>SUM(AT36:AT40)</f>
        <v>-1127.723</v>
      </c>
      <c r="AU41" s="1376">
        <f>SUM(AU36:AU40)</f>
        <v>-1721.22</v>
      </c>
      <c r="AV41" s="1376">
        <f>SUM(AV36:AV40)</f>
        <v>-4183.2359999999999</v>
      </c>
      <c r="AW41" s="1376">
        <f>SUM(AW36:AW40)</f>
        <v>-4183.2359999999999</v>
      </c>
      <c r="AX41" s="1376"/>
      <c r="AY41" s="1376">
        <f>SUM(AY36:AY40)</f>
        <v>-1862.377</v>
      </c>
      <c r="AZ41" s="1376">
        <f>SUM(AZ36:AZ40)</f>
        <v>-3079.16</v>
      </c>
      <c r="BA41" s="1376">
        <f>SUM(BA36:BA40)</f>
        <v>-3361.913</v>
      </c>
      <c r="BB41" s="1376">
        <f>SUM(BB36:BB40)</f>
        <v>-3806</v>
      </c>
      <c r="BC41" s="1376">
        <f>SUM(BC36:BC40)</f>
        <v>-3806</v>
      </c>
      <c r="BD41" s="1376"/>
      <c r="BE41" s="1376">
        <f>SUM(BE36:BE40)</f>
        <v>-713.5680000000001</v>
      </c>
      <c r="BF41" s="1376">
        <f>SUM(BF36:BF40)</f>
        <v>-1670</v>
      </c>
      <c r="BG41" s="1376">
        <f>SUM(BG36:BG40)</f>
        <v>-1834</v>
      </c>
      <c r="BH41" s="1376">
        <f>SUM(BH36:BH40)</f>
        <v>-2465</v>
      </c>
      <c r="BI41" s="1376">
        <f>SUM(BI36:BI40)</f>
        <v>-2465</v>
      </c>
      <c r="BJ41" s="1376"/>
      <c r="BK41" s="1376">
        <f>SUM(BK36:BK40)</f>
        <v>-738</v>
      </c>
      <c r="BL41" s="1376">
        <f>SUM(BL36:BL40)</f>
        <v>-1726</v>
      </c>
      <c r="BM41" s="1376">
        <f>SUM(BM36:BM40)</f>
        <v>-2162</v>
      </c>
      <c r="BN41" s="1376">
        <f>SUM(BN36:BN40)</f>
        <v>-2454</v>
      </c>
      <c r="BO41" s="1376">
        <f>SUM(BO36:BO40)</f>
        <v>-2454</v>
      </c>
      <c r="BP41" s="1376"/>
      <c r="BQ41" s="1376">
        <f>SUM(BQ36:BQ40)</f>
        <v>-159</v>
      </c>
      <c r="BR41" s="1376">
        <f>SUM(BR36:BR40)</f>
        <v>-223</v>
      </c>
      <c r="BS41" s="1376">
        <f>SUM(BS36:BS40)</f>
        <v>-936</v>
      </c>
      <c r="BT41" s="1376">
        <f>SUM(BT36:BT40)</f>
        <v>-1320</v>
      </c>
      <c r="BU41" s="1376">
        <f>SUM(BU36:BU40)</f>
        <v>-1320</v>
      </c>
      <c r="BV41" s="1376"/>
      <c r="BW41" s="1376">
        <f>SUM(BW36:BW40)</f>
        <v>-542</v>
      </c>
      <c r="BX41" s="1376">
        <f>SUM(BX36:BX40)</f>
        <v>-956</v>
      </c>
      <c r="BY41" s="1376">
        <f>SUM(BY36:BY40)</f>
        <v>6421</v>
      </c>
      <c r="BZ41" s="1376">
        <f>SUM(BZ36:BZ40)</f>
        <v>1884</v>
      </c>
      <c r="CA41" s="1376">
        <f>SUM(CA36:CA40)</f>
        <v>1884</v>
      </c>
      <c r="CB41" s="1376"/>
      <c r="CC41" s="1376">
        <f>SUM(CC36:CC40)</f>
        <v>-1297</v>
      </c>
      <c r="CD41" s="1376">
        <f>SUM(CD36:CD40)</f>
        <v>-1905</v>
      </c>
      <c r="CE41" s="1376">
        <f>SUM(CE36:CE40)</f>
        <v>3160</v>
      </c>
      <c r="CF41" s="1376">
        <f>SUM(CF36:CF40)</f>
        <v>1527</v>
      </c>
      <c r="CG41" s="1376">
        <f>SUM(CG36:CG40)</f>
        <v>1527</v>
      </c>
      <c r="CH41" s="1376"/>
      <c r="CI41" s="1376">
        <f>SUM(CI36:CI40)</f>
        <v>-776</v>
      </c>
      <c r="CJ41" s="1376">
        <f>SUM(CJ36:CJ40)</f>
        <v>-1248</v>
      </c>
      <c r="CK41" s="1376">
        <f>SUM(CK36:CK40)</f>
        <v>-2266</v>
      </c>
      <c r="CL41" s="1376">
        <f>SUM(CL36:CL40)</f>
        <v>-1139</v>
      </c>
      <c r="CM41" s="1407">
        <f>SUM(CM36:CM40)</f>
        <v>-1139</v>
      </c>
      <c r="CN41" s="1376"/>
      <c r="CO41" s="1376">
        <f>SUM(CO36:CO40)</f>
        <v>-1520</v>
      </c>
      <c r="CP41" s="1376">
        <f>SUM(CP36:CP40)</f>
        <v>-1544</v>
      </c>
      <c r="CQ41" s="1376">
        <f>SUM(CQ36:CQ40)</f>
        <v>-1481</v>
      </c>
      <c r="CR41" s="1376">
        <f>SUM(CR36:CR40)</f>
        <v>3281</v>
      </c>
      <c r="CS41" s="1407">
        <f>SUM(CS36:CS40)</f>
        <v>3281</v>
      </c>
      <c r="CT41" s="1376"/>
      <c r="CU41" s="1376">
        <f>SUM(CU36:CU40)</f>
        <v>-189</v>
      </c>
      <c r="CV41" s="1376">
        <f>SUM(CV36:CV40)</f>
        <v>-1928</v>
      </c>
      <c r="CW41" s="1376">
        <f>SUM(CW36:CW40)</f>
        <v>-3221</v>
      </c>
      <c r="CX41" s="1376">
        <f>SUM(CX36:CX40)</f>
        <v>-4422</v>
      </c>
      <c r="CY41" s="1407">
        <f>SUM(CY36:CY40)</f>
        <v>-4422</v>
      </c>
      <c r="CZ41" s="1376"/>
      <c r="DA41" s="1376">
        <f>SUM(DA36:DA40)</f>
        <v>4209</v>
      </c>
      <c r="DB41" s="1376">
        <f>SUM(DB36:DB40)</f>
        <v>3843</v>
      </c>
      <c r="DC41" s="1376">
        <f>SUM(DC36:DC40)</f>
        <v>3835</v>
      </c>
      <c r="DD41" s="1376">
        <f>SUM(DD36:DD40)</f>
        <v>2664</v>
      </c>
      <c r="DE41" s="1407">
        <f>SUM(DE36:DE40)</f>
        <v>2664</v>
      </c>
      <c r="DF41" s="1376"/>
      <c r="DG41" s="1376">
        <f>SUM(DG36:DG40)</f>
        <v>1960</v>
      </c>
      <c r="DH41" s="1376">
        <f>SUM(DH36:DH40)</f>
        <v>2088</v>
      </c>
      <c r="DI41" s="1376">
        <f>SUM(DI36:DI40)</f>
        <v>-343</v>
      </c>
      <c r="DJ41" s="1376">
        <f>SUM(DJ36:DJ40)</f>
        <v>516</v>
      </c>
      <c r="DK41" s="1407">
        <f>SUM(DK36:DK40)</f>
        <v>516</v>
      </c>
      <c r="DL41" s="1376"/>
      <c r="DM41" s="1376">
        <f>SUM(DM36:DM40)</f>
        <v>-2211</v>
      </c>
      <c r="DN41" s="1376">
        <f>SUM(DN36:DN40)</f>
        <v>-3231</v>
      </c>
      <c r="DO41" s="1376">
        <f>SUM(DO36:DO40)</f>
        <v>-5350</v>
      </c>
      <c r="DP41" s="1376">
        <f>SUM(DP36:DP40)</f>
        <v>-6099</v>
      </c>
      <c r="DQ41" s="1407">
        <f>SUM(DQ36:DQ40)</f>
        <v>-6099</v>
      </c>
      <c r="DR41" s="1376"/>
      <c r="DS41" s="1376">
        <f>SUM(DS36:DS40)</f>
        <v>-4520</v>
      </c>
      <c r="DT41" s="1376">
        <f>SUM(DT36:DT40)</f>
        <v>-2565</v>
      </c>
      <c r="DU41" s="1376">
        <f>SUM(DU36:DU40)</f>
        <v>-4874</v>
      </c>
      <c r="DV41" s="1376">
        <f>SUM(DV36:DV40)</f>
        <v>-8500</v>
      </c>
      <c r="DW41" s="1407">
        <f>SUM(DW36:DW40)</f>
        <v>-8500</v>
      </c>
      <c r="DX41" s="1376"/>
      <c r="DY41" s="1376">
        <f>SUM(DY36:DY40)</f>
        <v>2341</v>
      </c>
      <c r="DZ41" s="1376">
        <f>SUM(DZ36:DZ40)</f>
        <v>-526</v>
      </c>
      <c r="EA41" s="1376">
        <f>SUM(EA36:EA40)</f>
        <v>-2262</v>
      </c>
      <c r="EB41" s="1376">
        <f>SUM(EB36:EB40)</f>
        <v>-4068</v>
      </c>
      <c r="EC41" s="1407">
        <f>SUM(EC36:EC40)</f>
        <v>-4068</v>
      </c>
      <c r="ED41" s="1376"/>
      <c r="EE41" s="1376">
        <f>SUM(EE36:EE40)</f>
        <v>6520</v>
      </c>
      <c r="EF41" s="1376">
        <f>SUM(EF36:EF40)</f>
        <v>4066</v>
      </c>
      <c r="EG41" s="1376">
        <f>SUM(EG36:EG40)</f>
        <v>2182</v>
      </c>
      <c r="EH41" s="1376">
        <f>SUM(EH36:EH40)</f>
        <v>9850</v>
      </c>
      <c r="EI41" s="1407">
        <f>SUM(EI36:EI40)</f>
        <v>9850</v>
      </c>
      <c r="EJ41" s="1376"/>
      <c r="EK41" s="1376">
        <f>SUM(EK36:EK40)</f>
        <v>-3270</v>
      </c>
      <c r="EL41" s="1376">
        <f>SUM(EL36:EL40)</f>
        <v>-7026</v>
      </c>
      <c r="EM41" s="1376">
        <f>SUM(EM36:EM40)</f>
        <v>-11689</v>
      </c>
      <c r="EN41" s="1376">
        <f>SUM(EN36:EN40)</f>
        <v>-9856</v>
      </c>
      <c r="EO41" s="1407">
        <f>SUM(EO36:EO40)</f>
        <v>-9856</v>
      </c>
      <c r="EP41" s="1376"/>
      <c r="EQ41" s="1376">
        <f>SUM(EQ36:EQ40)</f>
        <v>7712</v>
      </c>
      <c r="ER41" s="1376">
        <f>SUM(ER36:ER40)</f>
        <v>6739</v>
      </c>
      <c r="ES41" s="1376">
        <f>SUM(ES36:ES40)</f>
        <v>5799</v>
      </c>
      <c r="ET41" s="1376">
        <f>SUM(ET36:ET40)</f>
        <v>9086</v>
      </c>
      <c r="EU41" s="1407">
        <f>SUM(EU36:EU40)</f>
        <v>9086</v>
      </c>
      <c r="EV41" s="1376"/>
      <c r="EW41" s="1376">
        <f>SUM(EW36:EW40)</f>
        <v>-5441</v>
      </c>
      <c r="EX41" s="1376">
        <f>SUM(EX36:EX40)</f>
        <v>-503</v>
      </c>
      <c r="EY41" s="1376">
        <f>SUM(EY36:EY40)</f>
        <v>-4523</v>
      </c>
      <c r="EZ41" s="1376">
        <f>SUM(EZ36:EZ40)</f>
        <v>-8297.4924989638748</v>
      </c>
      <c r="FA41" s="1407">
        <f>SUM(FA36:FA40)</f>
        <v>-8297.4924989638748</v>
      </c>
      <c r="FB41" s="1376"/>
      <c r="FC41" s="1376">
        <f>SUM(FC36:FC40)</f>
        <v>-4653.751120060203</v>
      </c>
      <c r="FD41" s="1376">
        <f>SUM(FD36:FD40)</f>
        <v>-6801.510853415768</v>
      </c>
      <c r="FE41" s="1376">
        <f>SUM(FE36:FE40)</f>
        <v>-8943.4444066429933</v>
      </c>
      <c r="FF41" s="1376">
        <f>SUM(FF36:FF40)</f>
        <v>-13079.714544841676</v>
      </c>
      <c r="FG41" s="1407">
        <f>SUM(FG36:FG40)</f>
        <v>-13079.714544841676</v>
      </c>
      <c r="FH41" s="1376"/>
      <c r="FI41" s="1376">
        <f>SUM(FI36:FI40)</f>
        <v>-1942.7697110404895</v>
      </c>
      <c r="FJ41" s="1376">
        <f>SUM(FJ36:FJ40)</f>
        <v>-6380.4205169900779</v>
      </c>
      <c r="FK41" s="1376">
        <f>SUM(FK36:FK40)</f>
        <v>-10313.108072879691</v>
      </c>
      <c r="FL41" s="1376">
        <f>SUM(FL36:FL40)</f>
        <v>-12240.985733419604</v>
      </c>
      <c r="FM41" s="1407">
        <f>SUM(FM36:FM40)</f>
        <v>-12240.985733419604</v>
      </c>
      <c r="FN41" s="261"/>
      <c r="FO41" s="261"/>
      <c r="FP41" s="261"/>
      <c r="FQ41" s="261"/>
      <c r="FR41" s="261"/>
      <c r="FS41"/>
      <c r="FT41"/>
      <c r="FU41"/>
      <c r="FV41"/>
      <c r="FW41"/>
      <c r="FX41"/>
      <c r="FY41" s="26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</row>
    <row r="42" spans="1:274" s="24" customFormat="1" ht="5.25" customHeight="1" x14ac:dyDescent="0.2">
      <c r="A42" s="599"/>
      <c r="B42" s="476"/>
      <c r="C42" s="599"/>
      <c r="D42" s="599"/>
      <c r="E42" s="599"/>
      <c r="F42" s="599"/>
      <c r="G42" s="599"/>
      <c r="H42" s="599"/>
      <c r="I42" s="599"/>
      <c r="J42" s="599"/>
      <c r="K42" s="599"/>
      <c r="L42" s="599"/>
      <c r="M42" s="599"/>
      <c r="N42" s="599"/>
      <c r="O42" s="599"/>
      <c r="P42" s="599"/>
      <c r="Q42" s="599"/>
      <c r="R42" s="599"/>
      <c r="S42" s="599"/>
      <c r="T42" s="599"/>
      <c r="U42" s="599"/>
      <c r="V42" s="599"/>
      <c r="W42" s="599"/>
      <c r="X42" s="599"/>
      <c r="Y42" s="599"/>
      <c r="Z42" s="599"/>
      <c r="AA42" s="599"/>
      <c r="AB42" s="599"/>
      <c r="AC42" s="599"/>
      <c r="AD42" s="599"/>
      <c r="AE42" s="599"/>
      <c r="AF42" s="599"/>
      <c r="AG42" s="599"/>
      <c r="AH42" s="599"/>
      <c r="AI42" s="599"/>
      <c r="AJ42" s="599"/>
      <c r="AK42" s="599"/>
      <c r="AL42" s="599"/>
      <c r="AM42" s="599"/>
      <c r="AN42" s="599"/>
      <c r="AO42" s="599"/>
      <c r="AP42" s="599"/>
      <c r="AQ42" s="599"/>
      <c r="AR42" s="599"/>
      <c r="AS42" s="599"/>
      <c r="AT42" s="599"/>
      <c r="AU42" s="599"/>
      <c r="AV42" s="599"/>
      <c r="AW42" s="599"/>
      <c r="AX42" s="599"/>
      <c r="AY42" s="599"/>
      <c r="AZ42" s="599"/>
      <c r="BA42" s="599"/>
      <c r="BB42" s="599"/>
      <c r="BC42" s="599"/>
      <c r="BD42" s="599"/>
      <c r="BE42" s="599"/>
      <c r="BF42" s="599"/>
      <c r="BG42" s="599"/>
      <c r="BH42" s="599"/>
      <c r="BI42" s="599"/>
      <c r="BJ42" s="599"/>
      <c r="BK42" s="599"/>
      <c r="BL42" s="599"/>
      <c r="BM42" s="599"/>
      <c r="BN42" s="599"/>
      <c r="BO42" s="599"/>
      <c r="BP42" s="599"/>
      <c r="BQ42" s="599"/>
      <c r="BR42" s="599"/>
      <c r="BS42" s="599"/>
      <c r="BT42" s="599"/>
      <c r="BU42" s="599"/>
      <c r="BV42" s="599"/>
      <c r="BW42" s="599"/>
      <c r="BX42" s="599"/>
      <c r="BY42" s="599"/>
      <c r="BZ42" s="599"/>
      <c r="CA42" s="599"/>
      <c r="CB42" s="599"/>
      <c r="CC42" s="599"/>
      <c r="CD42" s="599"/>
      <c r="CE42" s="599"/>
      <c r="CF42" s="599"/>
      <c r="CG42" s="599"/>
      <c r="CH42" s="599"/>
      <c r="CI42" s="599"/>
      <c r="CJ42" s="599"/>
      <c r="CK42" s="599"/>
      <c r="CL42" s="599"/>
      <c r="CM42" s="1019"/>
      <c r="CN42" s="599"/>
      <c r="CO42" s="599"/>
      <c r="CP42" s="599"/>
      <c r="CQ42" s="599"/>
      <c r="CR42" s="599"/>
      <c r="CS42" s="1019"/>
      <c r="CT42" s="599"/>
      <c r="CU42" s="599"/>
      <c r="CV42" s="599"/>
      <c r="CW42" s="599"/>
      <c r="CX42" s="599"/>
      <c r="CY42" s="1019"/>
      <c r="CZ42" s="599"/>
      <c r="DA42" s="599"/>
      <c r="DB42" s="599"/>
      <c r="DC42" s="599"/>
      <c r="DD42" s="599"/>
      <c r="DE42" s="1019"/>
      <c r="DF42" s="599"/>
      <c r="DG42" s="599"/>
      <c r="DH42" s="599"/>
      <c r="DI42" s="599"/>
      <c r="DJ42" s="599"/>
      <c r="DK42" s="1019"/>
      <c r="DL42" s="599"/>
      <c r="DM42" s="599"/>
      <c r="DN42" s="599"/>
      <c r="DO42" s="599"/>
      <c r="DP42" s="599"/>
      <c r="DQ42" s="1019"/>
      <c r="DR42" s="599"/>
      <c r="DS42" s="599"/>
      <c r="DT42" s="599"/>
      <c r="DU42" s="599"/>
      <c r="DV42" s="599"/>
      <c r="DW42" s="1019"/>
      <c r="DX42" s="599"/>
      <c r="DY42" s="599"/>
      <c r="DZ42" s="599"/>
      <c r="EA42" s="599"/>
      <c r="EB42" s="599"/>
      <c r="EC42" s="1019"/>
      <c r="ED42" s="599"/>
      <c r="EE42" s="599"/>
      <c r="EF42" s="599"/>
      <c r="EG42" s="599"/>
      <c r="EH42" s="599"/>
      <c r="EI42" s="1019"/>
      <c r="EJ42" s="599"/>
      <c r="EK42" s="599"/>
      <c r="EL42" s="599"/>
      <c r="EM42" s="599"/>
      <c r="EN42" s="599"/>
      <c r="EO42" s="1019"/>
      <c r="EP42" s="599"/>
      <c r="EQ42" s="599"/>
      <c r="ER42" s="599"/>
      <c r="ES42" s="599"/>
      <c r="ET42" s="599"/>
      <c r="EU42" s="1019"/>
      <c r="EV42" s="599"/>
      <c r="EW42" s="599"/>
      <c r="EX42" s="599"/>
      <c r="EY42" s="599"/>
      <c r="EZ42" s="599"/>
      <c r="FA42" s="1019"/>
      <c r="FB42" s="599"/>
      <c r="FC42" s="599"/>
      <c r="FD42" s="599"/>
      <c r="FE42" s="599"/>
      <c r="FF42" s="599"/>
      <c r="FG42" s="1019"/>
      <c r="FH42" s="599"/>
      <c r="FI42" s="599"/>
      <c r="FJ42" s="599"/>
      <c r="FK42" s="599"/>
      <c r="FL42" s="599"/>
      <c r="FM42" s="1019"/>
      <c r="FN42" s="12"/>
      <c r="FO42" s="12"/>
      <c r="FP42" s="12"/>
      <c r="FQ42" s="12"/>
      <c r="FR42" s="12"/>
      <c r="FS42"/>
      <c r="FT42"/>
      <c r="FU42"/>
      <c r="FV42"/>
      <c r="FW42"/>
      <c r="FX42"/>
      <c r="FY42" s="1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</row>
    <row r="43" spans="1:274" s="24" customFormat="1" ht="10.5" customHeight="1" x14ac:dyDescent="0.2">
      <c r="A43" s="60" t="s">
        <v>257</v>
      </c>
      <c r="B43" s="476"/>
      <c r="C43" s="435">
        <f t="shared" ref="C43:M43" si="88">C97</f>
        <v>0</v>
      </c>
      <c r="D43" s="435">
        <f t="shared" si="88"/>
        <v>0</v>
      </c>
      <c r="E43" s="435">
        <f t="shared" si="88"/>
        <v>0.157</v>
      </c>
      <c r="F43" s="435">
        <f t="shared" si="88"/>
        <v>0.21099999999999999</v>
      </c>
      <c r="G43" s="435">
        <f t="shared" si="88"/>
        <v>6.9000000000000006E-2</v>
      </c>
      <c r="H43" s="435">
        <f t="shared" si="88"/>
        <v>-1.0609999999999999</v>
      </c>
      <c r="I43" s="435">
        <f t="shared" si="88"/>
        <v>0.55200000000000005</v>
      </c>
      <c r="J43" s="435">
        <f t="shared" si="88"/>
        <v>0.185</v>
      </c>
      <c r="K43" s="435">
        <f t="shared" si="88"/>
        <v>2.2400000000000002</v>
      </c>
      <c r="L43" s="435">
        <f t="shared" si="88"/>
        <v>-3.9140000000000001</v>
      </c>
      <c r="M43" s="435">
        <f t="shared" si="88"/>
        <v>-2.008</v>
      </c>
      <c r="N43" s="60"/>
      <c r="O43" s="435">
        <f>O97</f>
        <v>3.488</v>
      </c>
      <c r="P43" s="435">
        <f>P97+O43</f>
        <v>4.7880000000000003</v>
      </c>
      <c r="Q43" s="435">
        <f>Q97+P43</f>
        <v>8.4920000000000009</v>
      </c>
      <c r="R43" s="435">
        <f>R97+Q43</f>
        <v>18.466999999999999</v>
      </c>
      <c r="S43" s="60">
        <f>R43</f>
        <v>18.466999999999999</v>
      </c>
      <c r="T43" s="60"/>
      <c r="U43" s="435">
        <f>U97</f>
        <v>-6.6840000000000002</v>
      </c>
      <c r="V43" s="435">
        <f>V97+U43</f>
        <v>-4.43</v>
      </c>
      <c r="W43" s="435">
        <f>W97+V43</f>
        <v>-7.0339999999999998</v>
      </c>
      <c r="X43" s="435">
        <f>X97+W43</f>
        <v>-13.794000000000002</v>
      </c>
      <c r="Y43" s="60">
        <f>X43</f>
        <v>-13.794000000000002</v>
      </c>
      <c r="Z43" s="60"/>
      <c r="AA43" s="435">
        <f>AA97</f>
        <v>6.6710000000000003</v>
      </c>
      <c r="AB43" s="435">
        <f>AB97+AA43</f>
        <v>3.4209999999999998</v>
      </c>
      <c r="AC43" s="435">
        <f>AC97+AB43</f>
        <v>-16.239999999999998</v>
      </c>
      <c r="AD43" s="435">
        <f>AD97+AC43</f>
        <v>-21.581</v>
      </c>
      <c r="AE43" s="60">
        <f>AD43</f>
        <v>-21.581</v>
      </c>
      <c r="AF43" s="60"/>
      <c r="AG43" s="435">
        <f>AG97</f>
        <v>-8.1910000000000007</v>
      </c>
      <c r="AH43" s="435">
        <f>AH97+AG43</f>
        <v>-9.3919999999999995</v>
      </c>
      <c r="AI43" s="435">
        <f>AI97+AH43</f>
        <v>-22.261000000000003</v>
      </c>
      <c r="AJ43" s="435">
        <f>AJ97+AI43</f>
        <v>-25.693000000000005</v>
      </c>
      <c r="AK43" s="60">
        <f>AJ43</f>
        <v>-25.693000000000005</v>
      </c>
      <c r="AL43" s="60"/>
      <c r="AM43" s="435">
        <f>AM97</f>
        <v>-8.8970000000000002</v>
      </c>
      <c r="AN43" s="435">
        <f>AN97+AM43</f>
        <v>7.4960000000000004</v>
      </c>
      <c r="AO43" s="435">
        <f>AO97+AN43</f>
        <v>-0.75700000000000145</v>
      </c>
      <c r="AP43" s="435">
        <f>AP97+AO43</f>
        <v>-8.1079999999999988</v>
      </c>
      <c r="AQ43" s="60">
        <f>AP43</f>
        <v>-8.1079999999999988</v>
      </c>
      <c r="AR43" s="60"/>
      <c r="AS43" s="435">
        <f>AS97</f>
        <v>25.712</v>
      </c>
      <c r="AT43" s="435">
        <f>AT97+AS43</f>
        <v>42.204999999999998</v>
      </c>
      <c r="AU43" s="435">
        <f>AU97+AT43</f>
        <v>17.623000000000001</v>
      </c>
      <c r="AV43" s="435">
        <f>AV97+AU43</f>
        <v>10.105999999999998</v>
      </c>
      <c r="AW43" s="60">
        <f>AV43</f>
        <v>10.105999999999998</v>
      </c>
      <c r="AX43" s="60"/>
      <c r="AY43" s="435">
        <f>AY97</f>
        <v>-3.399</v>
      </c>
      <c r="AZ43" s="435">
        <f>AZ97+AY43</f>
        <v>-40.930999999999997</v>
      </c>
      <c r="BA43" s="435">
        <f>BA97+AZ43</f>
        <v>-67.260999999999996</v>
      </c>
      <c r="BB43" s="435">
        <f>BB97+BA43</f>
        <v>-98</v>
      </c>
      <c r="BC43" s="60">
        <f>BB43</f>
        <v>-98</v>
      </c>
      <c r="BD43" s="60"/>
      <c r="BE43" s="435">
        <f>BE97</f>
        <v>20.998000000000001</v>
      </c>
      <c r="BF43" s="435">
        <f>BF97+BE43</f>
        <v>-10</v>
      </c>
      <c r="BG43" s="435">
        <f>BG97+BF43</f>
        <v>-73</v>
      </c>
      <c r="BH43" s="435">
        <f>BH97+BG43</f>
        <v>6</v>
      </c>
      <c r="BI43" s="60">
        <f>BH43</f>
        <v>6</v>
      </c>
      <c r="BJ43" s="60"/>
      <c r="BK43" s="435">
        <f>BK97</f>
        <v>29</v>
      </c>
      <c r="BL43" s="435">
        <f>BL97+BK43</f>
        <v>43</v>
      </c>
      <c r="BM43" s="435">
        <f>BM97+BL43</f>
        <v>112</v>
      </c>
      <c r="BN43" s="435">
        <f>BN97+BM43</f>
        <v>178</v>
      </c>
      <c r="BO43" s="60">
        <f>BN43</f>
        <v>178</v>
      </c>
      <c r="BP43" s="60"/>
      <c r="BQ43" s="435">
        <f>BQ97</f>
        <v>-98</v>
      </c>
      <c r="BR43" s="435">
        <v>38</v>
      </c>
      <c r="BS43" s="435">
        <v>158</v>
      </c>
      <c r="BT43" s="435">
        <v>74</v>
      </c>
      <c r="BU43" s="60">
        <f>BT43</f>
        <v>74</v>
      </c>
      <c r="BV43" s="60"/>
      <c r="BW43" s="60">
        <v>-2</v>
      </c>
      <c r="BX43" s="435">
        <v>106</v>
      </c>
      <c r="BY43" s="435">
        <v>160</v>
      </c>
      <c r="BZ43" s="435">
        <v>73</v>
      </c>
      <c r="CA43" s="60">
        <f>BZ43</f>
        <v>73</v>
      </c>
      <c r="CB43" s="60"/>
      <c r="CC43" s="435">
        <v>-10</v>
      </c>
      <c r="CD43" s="435">
        <v>-82</v>
      </c>
      <c r="CE43" s="435">
        <v>-43</v>
      </c>
      <c r="CF43" s="435">
        <v>56</v>
      </c>
      <c r="CG43" s="60">
        <f>CF43</f>
        <v>56</v>
      </c>
      <c r="CH43" s="60"/>
      <c r="CI43" s="435">
        <v>2</v>
      </c>
      <c r="CJ43" s="435">
        <v>48</v>
      </c>
      <c r="CK43" s="435">
        <v>56</v>
      </c>
      <c r="CL43" s="435">
        <v>149</v>
      </c>
      <c r="CM43" s="174">
        <f>CL43</f>
        <v>149</v>
      </c>
      <c r="CN43" s="60"/>
      <c r="CO43" s="435">
        <v>24</v>
      </c>
      <c r="CP43" s="435">
        <v>243</v>
      </c>
      <c r="CQ43" s="435">
        <v>404</v>
      </c>
      <c r="CR43" s="435">
        <v>437</v>
      </c>
      <c r="CS43" s="174">
        <f>CR43</f>
        <v>437</v>
      </c>
      <c r="CT43" s="60"/>
      <c r="CU43" s="435">
        <v>-274</v>
      </c>
      <c r="CV43" s="435">
        <v>-764</v>
      </c>
      <c r="CW43" s="435">
        <v>-912</v>
      </c>
      <c r="CX43" s="435">
        <v>-501</v>
      </c>
      <c r="CY43" s="174">
        <f>CX43</f>
        <v>-501</v>
      </c>
      <c r="CZ43" s="60"/>
      <c r="DA43" s="600">
        <v>103</v>
      </c>
      <c r="DB43" s="600">
        <v>281</v>
      </c>
      <c r="DC43" s="600">
        <v>100</v>
      </c>
      <c r="DD43" s="600">
        <v>-107</v>
      </c>
      <c r="DE43" s="174">
        <f>DD43</f>
        <v>-107</v>
      </c>
      <c r="DF43" s="60"/>
      <c r="DG43" s="600">
        <v>243</v>
      </c>
      <c r="DH43" s="600">
        <v>351</v>
      </c>
      <c r="DI43" s="600">
        <v>518</v>
      </c>
      <c r="DJ43" s="600">
        <v>600</v>
      </c>
      <c r="DK43" s="174">
        <f>DJ43</f>
        <v>600</v>
      </c>
      <c r="DL43" s="60"/>
      <c r="DM43" s="600">
        <v>112</v>
      </c>
      <c r="DN43" s="600">
        <v>-375</v>
      </c>
      <c r="DO43" s="600">
        <v>-181</v>
      </c>
      <c r="DP43" s="600">
        <v>-471</v>
      </c>
      <c r="DQ43" s="174">
        <f>DP43</f>
        <v>-471</v>
      </c>
      <c r="DR43" s="60"/>
      <c r="DS43" s="447">
        <v>71</v>
      </c>
      <c r="DT43" s="447">
        <v>118</v>
      </c>
      <c r="DU43" s="447">
        <v>87</v>
      </c>
      <c r="DV43" s="447">
        <v>-110</v>
      </c>
      <c r="DW43" s="174">
        <f>DV43</f>
        <v>-110</v>
      </c>
      <c r="DX43" s="60"/>
      <c r="DY43" s="447">
        <v>-81</v>
      </c>
      <c r="DZ43" s="447">
        <v>-1</v>
      </c>
      <c r="EA43" s="447">
        <v>-52</v>
      </c>
      <c r="EB43" s="447">
        <v>-158</v>
      </c>
      <c r="EC43" s="174">
        <f>EB43</f>
        <v>-158</v>
      </c>
      <c r="ED43" s="60"/>
      <c r="EE43" s="447">
        <v>-138</v>
      </c>
      <c r="EF43" s="447">
        <v>-563</v>
      </c>
      <c r="EG43" s="447">
        <v>-980</v>
      </c>
      <c r="EH43" s="447">
        <v>-1192</v>
      </c>
      <c r="EI43" s="174">
        <f>EH43</f>
        <v>-1192</v>
      </c>
      <c r="EJ43" s="60"/>
      <c r="EK43" s="447">
        <v>-92</v>
      </c>
      <c r="EL43" s="447">
        <v>-298</v>
      </c>
      <c r="EM43" s="447">
        <v>-249</v>
      </c>
      <c r="EN43" s="447">
        <v>-115</v>
      </c>
      <c r="EO43" s="174">
        <f>EN43</f>
        <v>-115</v>
      </c>
      <c r="EP43" s="60"/>
      <c r="EQ43" s="447">
        <v>78</v>
      </c>
      <c r="ER43" s="447">
        <v>-340</v>
      </c>
      <c r="ES43" s="447">
        <v>-215</v>
      </c>
      <c r="ET43" s="447">
        <v>-86</v>
      </c>
      <c r="EU43" s="174">
        <f>ET43</f>
        <v>-86</v>
      </c>
      <c r="EV43" s="60"/>
      <c r="EW43" s="447">
        <v>230</v>
      </c>
      <c r="EX43" s="447">
        <v>141</v>
      </c>
      <c r="EY43" s="447">
        <v>285</v>
      </c>
      <c r="EZ43" s="447">
        <f>EY43</f>
        <v>285</v>
      </c>
      <c r="FA43" s="174">
        <f>EZ43</f>
        <v>285</v>
      </c>
      <c r="FB43" s="60"/>
      <c r="FC43" s="447">
        <v>0</v>
      </c>
      <c r="FD43" s="447">
        <f>FC43</f>
        <v>0</v>
      </c>
      <c r="FE43" s="447">
        <f>FD43</f>
        <v>0</v>
      </c>
      <c r="FF43" s="447">
        <f>FE43</f>
        <v>0</v>
      </c>
      <c r="FG43" s="174">
        <f>FF43</f>
        <v>0</v>
      </c>
      <c r="FH43" s="60"/>
      <c r="FI43" s="447">
        <v>0</v>
      </c>
      <c r="FJ43" s="447">
        <f>FI43</f>
        <v>0</v>
      </c>
      <c r="FK43" s="447">
        <f>FJ43</f>
        <v>0</v>
      </c>
      <c r="FL43" s="447">
        <f>FK43</f>
        <v>0</v>
      </c>
      <c r="FM43" s="174">
        <f>FL43</f>
        <v>0</v>
      </c>
      <c r="FN43" s="242"/>
      <c r="FO43" s="242"/>
      <c r="FP43" s="242"/>
      <c r="FQ43" s="242"/>
      <c r="FR43" s="242"/>
      <c r="FS43"/>
      <c r="FT43"/>
      <c r="FU43"/>
      <c r="FV43"/>
      <c r="FW43"/>
      <c r="FX43"/>
      <c r="FY43" s="242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</row>
    <row r="44" spans="1:274" s="24" customFormat="1" ht="5.25" customHeight="1" x14ac:dyDescent="0.2">
      <c r="A44" s="599"/>
      <c r="B44" s="476"/>
      <c r="C44" s="599"/>
      <c r="D44" s="599"/>
      <c r="E44" s="599"/>
      <c r="F44" s="599"/>
      <c r="G44" s="599"/>
      <c r="H44" s="599"/>
      <c r="I44" s="599"/>
      <c r="J44" s="599"/>
      <c r="K44" s="599"/>
      <c r="L44" s="599"/>
      <c r="M44" s="599"/>
      <c r="N44" s="599"/>
      <c r="O44" s="599"/>
      <c r="P44" s="599"/>
      <c r="Q44" s="599"/>
      <c r="R44" s="599"/>
      <c r="S44" s="599"/>
      <c r="T44" s="599"/>
      <c r="U44" s="599"/>
      <c r="V44" s="599"/>
      <c r="W44" s="599"/>
      <c r="X44" s="599"/>
      <c r="Y44" s="599"/>
      <c r="Z44" s="599"/>
      <c r="AA44" s="599"/>
      <c r="AB44" s="599"/>
      <c r="AC44" s="599"/>
      <c r="AD44" s="599"/>
      <c r="AE44" s="599"/>
      <c r="AF44" s="599"/>
      <c r="AG44" s="599"/>
      <c r="AH44" s="599"/>
      <c r="AI44" s="599"/>
      <c r="AJ44" s="599"/>
      <c r="AK44" s="599"/>
      <c r="AL44" s="599"/>
      <c r="AM44" s="599"/>
      <c r="AN44" s="599"/>
      <c r="AO44" s="599"/>
      <c r="AP44" s="599"/>
      <c r="AQ44" s="599"/>
      <c r="AR44" s="599"/>
      <c r="AS44" s="599"/>
      <c r="AT44" s="599"/>
      <c r="AU44" s="599"/>
      <c r="AV44" s="599"/>
      <c r="AW44" s="599"/>
      <c r="AX44" s="599"/>
      <c r="AY44" s="599"/>
      <c r="AZ44" s="599"/>
      <c r="BA44" s="599"/>
      <c r="BB44" s="599"/>
      <c r="BC44" s="599"/>
      <c r="BD44" s="599"/>
      <c r="BE44" s="599"/>
      <c r="BF44" s="599"/>
      <c r="BG44" s="599"/>
      <c r="BH44" s="599"/>
      <c r="BI44" s="599"/>
      <c r="BJ44" s="599"/>
      <c r="BK44" s="599"/>
      <c r="BL44" s="599"/>
      <c r="BM44" s="599"/>
      <c r="BN44" s="599"/>
      <c r="BO44" s="599"/>
      <c r="BP44" s="599"/>
      <c r="BQ44" s="599"/>
      <c r="BR44" s="599"/>
      <c r="BS44" s="599"/>
      <c r="BT44" s="599"/>
      <c r="BU44" s="599"/>
      <c r="BV44" s="599"/>
      <c r="BW44" s="599"/>
      <c r="BX44" s="599"/>
      <c r="BY44" s="599"/>
      <c r="BZ44" s="599"/>
      <c r="CA44" s="599"/>
      <c r="CB44" s="599"/>
      <c r="CC44" s="599"/>
      <c r="CD44" s="599"/>
      <c r="CE44" s="599"/>
      <c r="CF44" s="599"/>
      <c r="CG44" s="599"/>
      <c r="CH44" s="599"/>
      <c r="CI44" s="599"/>
      <c r="CJ44" s="599"/>
      <c r="CK44" s="599"/>
      <c r="CL44" s="599"/>
      <c r="CM44" s="1019"/>
      <c r="CN44" s="599"/>
      <c r="CO44" s="599"/>
      <c r="CP44" s="599"/>
      <c r="CQ44" s="599"/>
      <c r="CR44" s="599"/>
      <c r="CS44" s="1019"/>
      <c r="CT44" s="599"/>
      <c r="CU44" s="599"/>
      <c r="CV44" s="599"/>
      <c r="CW44" s="599"/>
      <c r="CX44" s="599"/>
      <c r="CY44" s="1019"/>
      <c r="CZ44" s="599"/>
      <c r="DA44" s="599"/>
      <c r="DB44" s="599"/>
      <c r="DC44" s="599"/>
      <c r="DD44" s="599"/>
      <c r="DE44" s="1019"/>
      <c r="DF44" s="599"/>
      <c r="DG44" s="599"/>
      <c r="DH44" s="599"/>
      <c r="DI44" s="599"/>
      <c r="DJ44" s="599"/>
      <c r="DK44" s="1019"/>
      <c r="DL44" s="599"/>
      <c r="DM44" s="599"/>
      <c r="DN44" s="599"/>
      <c r="DO44" s="599"/>
      <c r="DP44" s="599"/>
      <c r="DQ44" s="1019"/>
      <c r="DR44" s="599"/>
      <c r="DS44" s="599"/>
      <c r="DT44" s="599"/>
      <c r="DU44" s="599"/>
      <c r="DV44" s="599"/>
      <c r="DW44" s="1019"/>
      <c r="DX44" s="599"/>
      <c r="DY44" s="599"/>
      <c r="DZ44" s="599"/>
      <c r="EA44" s="599"/>
      <c r="EB44" s="599"/>
      <c r="EC44" s="1019"/>
      <c r="ED44" s="599"/>
      <c r="EE44" s="599"/>
      <c r="EF44" s="599"/>
      <c r="EG44" s="599"/>
      <c r="EH44" s="599"/>
      <c r="EI44" s="1019"/>
      <c r="EJ44" s="599"/>
      <c r="EK44" s="599"/>
      <c r="EL44" s="599"/>
      <c r="EM44" s="599"/>
      <c r="EN44" s="599"/>
      <c r="EO44" s="1019"/>
      <c r="EP44" s="599"/>
      <c r="EQ44" s="599"/>
      <c r="ER44" s="599"/>
      <c r="ES44" s="599"/>
      <c r="ET44" s="599"/>
      <c r="EU44" s="1019"/>
      <c r="EV44" s="599"/>
      <c r="EW44" s="599"/>
      <c r="EX44" s="599"/>
      <c r="EY44" s="599"/>
      <c r="EZ44" s="599"/>
      <c r="FA44" s="1019"/>
      <c r="FB44" s="599"/>
      <c r="FC44" s="599"/>
      <c r="FD44" s="599"/>
      <c r="FE44" s="599"/>
      <c r="FF44" s="599"/>
      <c r="FG44" s="1019"/>
      <c r="FH44" s="599"/>
      <c r="FI44" s="599"/>
      <c r="FJ44" s="599"/>
      <c r="FK44" s="599"/>
      <c r="FL44" s="599"/>
      <c r="FM44" s="1019"/>
      <c r="FN44" s="12"/>
      <c r="FO44" s="12"/>
      <c r="FP44" s="12"/>
      <c r="FQ44" s="12"/>
      <c r="FR44" s="12"/>
      <c r="FS44"/>
      <c r="FT44"/>
      <c r="FU44"/>
      <c r="FV44"/>
      <c r="FW44"/>
      <c r="FX44"/>
      <c r="FY44" s="12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</row>
    <row r="45" spans="1:274" s="24" customFormat="1" ht="10.5" customHeight="1" x14ac:dyDescent="0.2">
      <c r="A45" s="60" t="s">
        <v>258</v>
      </c>
      <c r="B45" s="476"/>
      <c r="C45" s="60">
        <f t="shared" ref="C45:M45" si="89">C43+C41+C33+C25</f>
        <v>0</v>
      </c>
      <c r="D45" s="60">
        <f t="shared" si="89"/>
        <v>0</v>
      </c>
      <c r="E45" s="60">
        <f t="shared" si="89"/>
        <v>11.925000000000004</v>
      </c>
      <c r="F45" s="60">
        <f t="shared" si="89"/>
        <v>25.033000000000008</v>
      </c>
      <c r="G45" s="60">
        <f t="shared" si="89"/>
        <v>3.5549999999999997</v>
      </c>
      <c r="H45" s="60">
        <f t="shared" si="89"/>
        <v>3.781000000000013</v>
      </c>
      <c r="I45" s="60">
        <f t="shared" si="89"/>
        <v>-4.5000000000030127E-2</v>
      </c>
      <c r="J45" s="60">
        <f t="shared" si="89"/>
        <v>56.632999999999996</v>
      </c>
      <c r="K45" s="60">
        <f t="shared" si="89"/>
        <v>51.801999999999992</v>
      </c>
      <c r="L45" s="60">
        <f t="shared" si="89"/>
        <v>131.27699999999999</v>
      </c>
      <c r="M45" s="60">
        <f t="shared" si="89"/>
        <v>120.25</v>
      </c>
      <c r="N45" s="60"/>
      <c r="O45" s="60">
        <f>O43+O41+O33+O25</f>
        <v>57.737999999999971</v>
      </c>
      <c r="P45" s="60">
        <f>P43+P41+P33+P25</f>
        <v>-183.71299999999999</v>
      </c>
      <c r="Q45" s="60">
        <f>Q43+Q41+Q33+Q25</f>
        <v>-127.89399999999995</v>
      </c>
      <c r="R45" s="60">
        <f>R43+R41+R33+R25</f>
        <v>75.347999999999956</v>
      </c>
      <c r="S45" s="60">
        <f>R45</f>
        <v>75.347999999999956</v>
      </c>
      <c r="T45" s="276"/>
      <c r="U45" s="60">
        <f>U43+U41+U33+U25</f>
        <v>257.07600000000002</v>
      </c>
      <c r="V45" s="60">
        <f>V43+V41+V33+V25</f>
        <v>802.51200000000017</v>
      </c>
      <c r="W45" s="60">
        <f>W43+W41+W33+W25</f>
        <v>1833.2210000000005</v>
      </c>
      <c r="X45" s="60">
        <f>X43+X41+X33+X25</f>
        <v>235.58399999999983</v>
      </c>
      <c r="Y45" s="60">
        <f>X45</f>
        <v>235.58399999999983</v>
      </c>
      <c r="Z45" s="276"/>
      <c r="AA45" s="60">
        <f>AA43+AA41+AA33+AA25</f>
        <v>27.522999999999911</v>
      </c>
      <c r="AB45" s="60">
        <f>AB43+AB41+AB33+AB25</f>
        <v>-156.35800000000006</v>
      </c>
      <c r="AC45" s="60">
        <f>AC43+AC41+AC33+AC25</f>
        <v>20.423999999999978</v>
      </c>
      <c r="AD45" s="60">
        <f>AD43+AD41+AD33+AD25</f>
        <v>174.42000000000007</v>
      </c>
      <c r="AE45" s="60">
        <f>AD45</f>
        <v>174.42000000000007</v>
      </c>
      <c r="AF45" s="276"/>
      <c r="AG45" s="60">
        <f>AG43+AG41+AG33+AG25</f>
        <v>116.54999999999995</v>
      </c>
      <c r="AH45" s="60">
        <f>AH43+AH41+AH33+AH25</f>
        <v>104.09899999999993</v>
      </c>
      <c r="AI45" s="60">
        <f>AI43+AI41+AI33+AI25</f>
        <v>87.33400000000006</v>
      </c>
      <c r="AJ45" s="60">
        <f>AJ43+AJ41+AJ33+AJ25</f>
        <v>383.51900000000023</v>
      </c>
      <c r="AK45" s="60">
        <f>AJ45</f>
        <v>383.51900000000023</v>
      </c>
      <c r="AL45" s="276"/>
      <c r="AM45" s="60">
        <f>AM43+AM41+AM33+AM25</f>
        <v>354.40199999999999</v>
      </c>
      <c r="AN45" s="60">
        <f>AN43+AN41+AN33+AN25</f>
        <v>75.067999999999984</v>
      </c>
      <c r="AO45" s="60">
        <f>AO43+AO41+AO33+AO25</f>
        <v>230.50199999999995</v>
      </c>
      <c r="AP45" s="60">
        <f>AP43+AP41+AP33+AP25</f>
        <v>512.03360000000021</v>
      </c>
      <c r="AQ45" s="60">
        <f>AP45</f>
        <v>512.03360000000021</v>
      </c>
      <c r="AR45" s="276"/>
      <c r="AS45" s="60">
        <f>AS43+AS41+AS33+AS25</f>
        <v>-67.535399999999981</v>
      </c>
      <c r="AT45" s="60">
        <f>AT43+AT41+AT33+AT25</f>
        <v>-468.56600000000003</v>
      </c>
      <c r="AU45" s="60">
        <f>AU43+AU41+AU33+AU25</f>
        <v>481.98999999999933</v>
      </c>
      <c r="AV45" s="60">
        <f>AV43+AV41+AV33+AV25</f>
        <v>5643.4909999999982</v>
      </c>
      <c r="AW45" s="60">
        <f>AV45</f>
        <v>5643.4909999999982</v>
      </c>
      <c r="AX45" s="276"/>
      <c r="AY45" s="60">
        <f>AY43+AY41+AY33+AY25</f>
        <v>-2592.1089999999995</v>
      </c>
      <c r="AZ45" s="60">
        <f>AZ43+AZ41+AZ33+AZ25</f>
        <v>-3263.5159999999996</v>
      </c>
      <c r="BA45" s="60">
        <f>BA43+BA41+BA33+BA25</f>
        <v>-3299.8640000000005</v>
      </c>
      <c r="BB45" s="60">
        <f>BB43+BB41+BB33+BB25</f>
        <v>-2980</v>
      </c>
      <c r="BC45" s="60">
        <f>BB45</f>
        <v>-2980</v>
      </c>
      <c r="BD45" s="276"/>
      <c r="BE45" s="60">
        <f>BE43+BE41+BE33+BE25</f>
        <v>-533.58700000000022</v>
      </c>
      <c r="BF45" s="60">
        <f>BF43+BF41+BF33+BF25</f>
        <v>-1981</v>
      </c>
      <c r="BG45" s="60">
        <f>BG43+BG41+BG33+BG25</f>
        <v>-989</v>
      </c>
      <c r="BH45" s="60">
        <f>BH43+BH41+BH33+BH25</f>
        <v>-1354</v>
      </c>
      <c r="BI45" s="60">
        <f>BH45</f>
        <v>-1354</v>
      </c>
      <c r="BJ45" s="276"/>
      <c r="BK45" s="60">
        <f>BK43+BK41+BK33+BK25</f>
        <v>780</v>
      </c>
      <c r="BL45" s="60">
        <f>BL43+BL41+BL33+BL25</f>
        <v>-82</v>
      </c>
      <c r="BM45" s="60">
        <f>BM43+BM41+BM33+BM25</f>
        <v>993</v>
      </c>
      <c r="BN45" s="60">
        <f>BN43+BN41+BN33+BN25</f>
        <v>1642</v>
      </c>
      <c r="BO45" s="60">
        <f>BN45</f>
        <v>1642</v>
      </c>
      <c r="BP45" s="276"/>
      <c r="BQ45" s="60">
        <f>BQ43+BQ41+BQ33+BQ25</f>
        <v>-497</v>
      </c>
      <c r="BR45" s="60">
        <f>BR43+BR41+BR33+BR25</f>
        <v>-564</v>
      </c>
      <c r="BS45" s="60">
        <f>BS43+BS41+BS33+BS25</f>
        <v>-545</v>
      </c>
      <c r="BT45" s="60">
        <f>BT43+BT41+BT33+BT25</f>
        <v>-599</v>
      </c>
      <c r="BU45" s="60">
        <f>BT45</f>
        <v>-599</v>
      </c>
      <c r="BV45" s="276"/>
      <c r="BW45" s="60">
        <f>BW43+BW41+BW33+BW25</f>
        <v>-789</v>
      </c>
      <c r="BX45" s="60">
        <f>BX43+BX41+BX33+BX25</f>
        <v>1767</v>
      </c>
      <c r="BY45" s="60">
        <f>BY43+BY41+BY33+BY25</f>
        <v>3083</v>
      </c>
      <c r="BZ45" s="60">
        <f>BZ43+BZ41+BZ33+BZ25</f>
        <v>-244.07749999999987</v>
      </c>
      <c r="CA45" s="60">
        <f>BZ45</f>
        <v>-244.07749999999987</v>
      </c>
      <c r="CB45" s="276"/>
      <c r="CC45" s="60">
        <f>CC43+CC41+CC33+CC25</f>
        <v>-104</v>
      </c>
      <c r="CD45" s="60">
        <f>CD43+CD41+CD33+CD25</f>
        <v>-1057</v>
      </c>
      <c r="CE45" s="60">
        <f>CE43+CE41+CE33+CE25</f>
        <v>3027</v>
      </c>
      <c r="CF45" s="60">
        <f>CF43+CF41+CF33+CF25</f>
        <v>2765</v>
      </c>
      <c r="CG45" s="60">
        <f>CF45</f>
        <v>2765</v>
      </c>
      <c r="CH45" s="276"/>
      <c r="CI45" s="60">
        <f>CI43+CI41+CI33+CI25</f>
        <v>-1211</v>
      </c>
      <c r="CJ45" s="60">
        <f>CJ43+CJ41+CJ33+CJ25</f>
        <v>-1975</v>
      </c>
      <c r="CK45" s="60">
        <f>CK43+CK41+CK33+CK25</f>
        <v>-1409</v>
      </c>
      <c r="CL45" s="60">
        <f>CL43+CL41+CL33+CL25</f>
        <v>-441</v>
      </c>
      <c r="CM45" s="174">
        <f>CL45</f>
        <v>-441</v>
      </c>
      <c r="CN45" s="276"/>
      <c r="CO45" s="60">
        <f>CO43+CO41+CO33+CO25</f>
        <v>237</v>
      </c>
      <c r="CP45" s="60">
        <f>CP43+CP41+CP33+CP25</f>
        <v>515</v>
      </c>
      <c r="CQ45" s="60">
        <f>CQ43+CQ41+CQ33+CQ25</f>
        <v>2191</v>
      </c>
      <c r="CR45" s="60">
        <f>CR43+CR41+CR33+CR25</f>
        <v>2044</v>
      </c>
      <c r="CS45" s="174">
        <f>CR45</f>
        <v>2044</v>
      </c>
      <c r="CT45" s="276"/>
      <c r="CU45" s="60">
        <f>CU43+CU41+CU33+CU25</f>
        <v>291</v>
      </c>
      <c r="CV45" s="60">
        <f>CV43+CV41+CV33+CV25</f>
        <v>-909</v>
      </c>
      <c r="CW45" s="60">
        <f>CW43+CW41+CW33+CW25</f>
        <v>-51</v>
      </c>
      <c r="CX45" s="60">
        <f>CX43+CX41+CX33+CX25</f>
        <v>733</v>
      </c>
      <c r="CY45" s="174">
        <f>CX45</f>
        <v>733</v>
      </c>
      <c r="CZ45" s="276"/>
      <c r="DA45" s="60">
        <f>DA43+DA41+DA33+DA25</f>
        <v>7103</v>
      </c>
      <c r="DB45" s="60">
        <f>DB43+DB41+DB33+DB25</f>
        <v>5924</v>
      </c>
      <c r="DC45" s="60">
        <f>DC43+DC41+DC33+DC25</f>
        <v>336</v>
      </c>
      <c r="DD45" s="60">
        <f>DD43+DD41+DD33+DD25</f>
        <v>919</v>
      </c>
      <c r="DE45" s="174">
        <f>DD45</f>
        <v>919</v>
      </c>
      <c r="DF45" s="276"/>
      <c r="DG45" s="60">
        <f>DG43+DG41+DG33+DG25</f>
        <v>2104</v>
      </c>
      <c r="DH45" s="60">
        <f>DH43+DH41+DH33+DH25</f>
        <v>506</v>
      </c>
      <c r="DI45" s="60">
        <f>DI43+DI41+DI33+DI25</f>
        <v>1950</v>
      </c>
      <c r="DJ45" s="60">
        <f>DJ43+DJ41+DJ33+DJ25</f>
        <v>6249</v>
      </c>
      <c r="DK45" s="174">
        <f>DJ45</f>
        <v>6249</v>
      </c>
      <c r="DL45" s="276"/>
      <c r="DM45" s="60">
        <f>DM43+DM41+DM33+DM25</f>
        <v>-3001</v>
      </c>
      <c r="DN45" s="60">
        <f>DN43+DN41+DN33+DN25</f>
        <v>-2857</v>
      </c>
      <c r="DO45" s="60">
        <f>DO43+DO41+DO33+DO25</f>
        <v>-2382</v>
      </c>
      <c r="DP45" s="60">
        <f>DP43+DP41+DP33+DP25</f>
        <v>-1208</v>
      </c>
      <c r="DQ45" s="174">
        <f>DP45</f>
        <v>-1208</v>
      </c>
      <c r="DR45" s="276"/>
      <c r="DS45" s="60">
        <f>DS43+DS41+DS33+DS25</f>
        <v>712</v>
      </c>
      <c r="DT45" s="60">
        <f>DT43+DT41+DT33+DT25</f>
        <v>957</v>
      </c>
      <c r="DU45" s="60">
        <f>DU43+DU41+DU33+DU25</f>
        <v>1146</v>
      </c>
      <c r="DV45" s="60">
        <f>DV43+DV41+DV33+DV25</f>
        <v>-342</v>
      </c>
      <c r="DW45" s="174">
        <f>DV45</f>
        <v>-342</v>
      </c>
      <c r="DX45" s="276"/>
      <c r="DY45" s="60">
        <f>DY43+DY41+DY33+DY25</f>
        <v>5051</v>
      </c>
      <c r="DZ45" s="60">
        <f>DZ43+DZ41+DZ33+DZ25</f>
        <v>281</v>
      </c>
      <c r="EA45" s="60">
        <f>EA43+EA41+EA33+EA25</f>
        <v>2219</v>
      </c>
      <c r="EB45" s="60">
        <f>EB43+EB41+EB33+EB25</f>
        <v>3156</v>
      </c>
      <c r="EC45" s="174">
        <f>EB45</f>
        <v>3156</v>
      </c>
      <c r="ED45" s="276"/>
      <c r="EE45" s="60">
        <f>EE43+EE41+EE33+EE25</f>
        <v>6410</v>
      </c>
      <c r="EF45" s="60">
        <f>EF43+EF41+EF33+EF25</f>
        <v>-1616</v>
      </c>
      <c r="EG45" s="60">
        <f>EG43+EG41+EG33+EG25</f>
        <v>-4068</v>
      </c>
      <c r="EH45" s="60">
        <f>EH43+EH41+EH33+EH25</f>
        <v>3947</v>
      </c>
      <c r="EI45" s="174">
        <f>EH45</f>
        <v>3947</v>
      </c>
      <c r="EJ45" s="276"/>
      <c r="EK45" s="60">
        <f>EK43+EK41+EK33+EK25</f>
        <v>-4977</v>
      </c>
      <c r="EL45" s="60">
        <f>EL43+EL41+EL33+EL25</f>
        <v>-4305</v>
      </c>
      <c r="EM45" s="60">
        <f>EM43+EM41+EM33+EM25</f>
        <v>-6133</v>
      </c>
      <c r="EN45" s="60">
        <f>EN43+EN41+EN33+EN25</f>
        <v>-1564</v>
      </c>
      <c r="EO45" s="174">
        <f>EN45</f>
        <v>-1564</v>
      </c>
      <c r="EP45" s="276"/>
      <c r="EQ45" s="60">
        <f>EQ43+EQ41+EQ33+EQ25</f>
        <v>8462</v>
      </c>
      <c r="ER45" s="60">
        <f>ER43+ER41+ER33+ER25</f>
        <v>-1560</v>
      </c>
      <c r="ES45" s="60">
        <f>ES43+ES41+ES33+ES25</f>
        <v>-404</v>
      </c>
      <c r="ET45" s="60">
        <f>ET43+ET41+ET33+ET25</f>
        <v>1632</v>
      </c>
      <c r="EU45" s="174">
        <f>ET45</f>
        <v>1632</v>
      </c>
      <c r="EV45" s="276"/>
      <c r="EW45" s="60">
        <f>EW43+EW41+EW33+EW25</f>
        <v>-463</v>
      </c>
      <c r="EX45" s="60">
        <f>EX43+EX41+EX33+EX25</f>
        <v>-474</v>
      </c>
      <c r="EY45" s="60">
        <f>EY43+EY41+EY33+EY25</f>
        <v>-2297</v>
      </c>
      <c r="EZ45" s="60">
        <f>EZ43+EZ41+EZ33+EZ25</f>
        <v>-2173.4824704378334</v>
      </c>
      <c r="FA45" s="174">
        <f>EZ45</f>
        <v>-2173.4824704378334</v>
      </c>
      <c r="FB45" s="276"/>
      <c r="FC45" s="60">
        <f>FC43+FC41+FC33+FC25</f>
        <v>781.03644626486312</v>
      </c>
      <c r="FD45" s="60">
        <f>FD43+FD41+FD33+FD25</f>
        <v>-985.85023432050093</v>
      </c>
      <c r="FE45" s="60">
        <f>FE43+FE41+FE33+FE25</f>
        <v>562.72792925505382</v>
      </c>
      <c r="FF45" s="60">
        <f>FF43+FF41+FF33+FF25</f>
        <v>1035.8348433292613</v>
      </c>
      <c r="FG45" s="174">
        <f>FF45</f>
        <v>1035.8348433292613</v>
      </c>
      <c r="FH45" s="276"/>
      <c r="FI45" s="60">
        <f>FI43+FI41+FI33+FI25</f>
        <v>3891.2146669734516</v>
      </c>
      <c r="FJ45" s="60">
        <f>FJ43+FJ41+FJ33+FJ25</f>
        <v>-148.91732954466988</v>
      </c>
      <c r="FK45" s="60">
        <f>FK43+FK41+FK33+FK25</f>
        <v>-317.62846681132578</v>
      </c>
      <c r="FL45" s="60">
        <f>FL43+FL41+FL33+FL25</f>
        <v>3212.1785071745908</v>
      </c>
      <c r="FM45" s="174">
        <f>FL45</f>
        <v>3212.1785071745908</v>
      </c>
      <c r="FN45" s="261"/>
      <c r="FO45" s="261"/>
      <c r="FP45" s="242"/>
      <c r="FQ45" s="242"/>
      <c r="FR45" s="242"/>
      <c r="FS45"/>
      <c r="FT45"/>
      <c r="FU45"/>
      <c r="FV45"/>
      <c r="FW45"/>
      <c r="FX45"/>
      <c r="FY45" s="242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</row>
    <row r="46" spans="1:274" s="24" customFormat="1" ht="5.25" customHeight="1" x14ac:dyDescent="0.2">
      <c r="A46" s="599"/>
      <c r="B46" s="476"/>
      <c r="C46" s="435"/>
      <c r="D46" s="435"/>
      <c r="E46" s="435"/>
      <c r="F46" s="435"/>
      <c r="G46" s="435"/>
      <c r="H46" s="435"/>
      <c r="I46" s="435"/>
      <c r="J46" s="435"/>
      <c r="K46" s="435"/>
      <c r="L46" s="435"/>
      <c r="M46" s="435"/>
      <c r="N46" s="599"/>
      <c r="O46" s="435"/>
      <c r="P46" s="435"/>
      <c r="Q46" s="435"/>
      <c r="R46" s="435"/>
      <c r="S46" s="599"/>
      <c r="T46" s="599"/>
      <c r="U46" s="435"/>
      <c r="V46" s="435"/>
      <c r="W46" s="435"/>
      <c r="X46" s="435"/>
      <c r="Y46" s="599"/>
      <c r="Z46" s="599"/>
      <c r="AA46" s="435"/>
      <c r="AB46" s="435"/>
      <c r="AC46" s="435"/>
      <c r="AD46" s="435"/>
      <c r="AE46" s="599"/>
      <c r="AF46" s="599"/>
      <c r="AG46" s="435"/>
      <c r="AH46" s="435"/>
      <c r="AI46" s="435"/>
      <c r="AJ46" s="435"/>
      <c r="AK46" s="599"/>
      <c r="AL46" s="599"/>
      <c r="AM46" s="435"/>
      <c r="AN46" s="435"/>
      <c r="AO46" s="435"/>
      <c r="AP46" s="435"/>
      <c r="AQ46" s="599"/>
      <c r="AR46" s="599"/>
      <c r="AS46" s="435"/>
      <c r="AT46" s="435"/>
      <c r="AU46" s="435"/>
      <c r="AV46" s="435"/>
      <c r="AW46" s="599"/>
      <c r="AX46" s="599"/>
      <c r="AY46" s="435"/>
      <c r="AZ46" s="435"/>
      <c r="BA46" s="435"/>
      <c r="BB46" s="435"/>
      <c r="BC46" s="599"/>
      <c r="BD46" s="599"/>
      <c r="BE46" s="435"/>
      <c r="BF46" s="435"/>
      <c r="BG46" s="435"/>
      <c r="BH46" s="435"/>
      <c r="BI46" s="599"/>
      <c r="BJ46" s="599"/>
      <c r="BK46" s="435"/>
      <c r="BL46" s="435"/>
      <c r="BM46" s="435"/>
      <c r="BN46" s="435"/>
      <c r="BO46" s="599"/>
      <c r="BP46" s="599"/>
      <c r="BQ46" s="435"/>
      <c r="BR46" s="435"/>
      <c r="BS46" s="435"/>
      <c r="BT46" s="435"/>
      <c r="BU46" s="599"/>
      <c r="BV46" s="599"/>
      <c r="BW46" s="599"/>
      <c r="BX46" s="435"/>
      <c r="BY46" s="435"/>
      <c r="BZ46" s="435"/>
      <c r="CA46" s="599"/>
      <c r="CB46" s="599"/>
      <c r="CC46" s="435"/>
      <c r="CD46" s="435"/>
      <c r="CE46" s="435"/>
      <c r="CF46" s="435"/>
      <c r="CG46" s="599"/>
      <c r="CH46" s="599"/>
      <c r="CI46" s="435"/>
      <c r="CJ46" s="435"/>
      <c r="CK46" s="435"/>
      <c r="CL46" s="435"/>
      <c r="CM46" s="1019"/>
      <c r="CN46" s="599"/>
      <c r="CO46" s="435"/>
      <c r="CP46" s="435"/>
      <c r="CQ46" s="435"/>
      <c r="CR46" s="435"/>
      <c r="CS46" s="1019"/>
      <c r="CT46" s="599"/>
      <c r="CU46" s="435"/>
      <c r="CV46" s="435"/>
      <c r="CW46" s="435"/>
      <c r="CX46" s="435"/>
      <c r="CY46" s="1019"/>
      <c r="CZ46" s="599"/>
      <c r="DA46" s="435"/>
      <c r="DB46" s="435"/>
      <c r="DC46" s="435"/>
      <c r="DD46" s="435"/>
      <c r="DE46" s="1019"/>
      <c r="DF46" s="599"/>
      <c r="DG46" s="435"/>
      <c r="DH46" s="435"/>
      <c r="DI46" s="435"/>
      <c r="DJ46" s="435"/>
      <c r="DK46" s="1019"/>
      <c r="DL46" s="599"/>
      <c r="DM46" s="435"/>
      <c r="DN46" s="435"/>
      <c r="DO46" s="435"/>
      <c r="DP46" s="435"/>
      <c r="DQ46" s="1019"/>
      <c r="DR46" s="599"/>
      <c r="DS46" s="435"/>
      <c r="DT46" s="435"/>
      <c r="DU46" s="435"/>
      <c r="DV46" s="435"/>
      <c r="DW46" s="1019"/>
      <c r="DX46" s="599"/>
      <c r="DY46" s="435"/>
      <c r="DZ46" s="435"/>
      <c r="EA46" s="435"/>
      <c r="EB46" s="435"/>
      <c r="EC46" s="1019"/>
      <c r="ED46" s="599"/>
      <c r="EE46" s="435"/>
      <c r="EF46" s="435"/>
      <c r="EG46" s="435"/>
      <c r="EH46" s="435"/>
      <c r="EI46" s="1019"/>
      <c r="EJ46" s="599"/>
      <c r="EK46" s="435"/>
      <c r="EL46" s="435"/>
      <c r="EM46" s="435"/>
      <c r="EN46" s="435"/>
      <c r="EO46" s="1019"/>
      <c r="EP46" s="599"/>
      <c r="EQ46" s="435"/>
      <c r="ER46" s="435"/>
      <c r="ES46" s="435"/>
      <c r="ET46" s="435"/>
      <c r="EU46" s="1019"/>
      <c r="EV46" s="599"/>
      <c r="EW46" s="435"/>
      <c r="EX46" s="435"/>
      <c r="EY46" s="435"/>
      <c r="EZ46" s="435"/>
      <c r="FA46" s="1019"/>
      <c r="FB46" s="599"/>
      <c r="FC46" s="435"/>
      <c r="FD46" s="435"/>
      <c r="FE46" s="435"/>
      <c r="FF46" s="435"/>
      <c r="FG46" s="1019"/>
      <c r="FH46" s="599"/>
      <c r="FI46" s="435"/>
      <c r="FJ46" s="435"/>
      <c r="FK46" s="435"/>
      <c r="FL46" s="435"/>
      <c r="FM46" s="1019"/>
      <c r="FN46" s="12"/>
      <c r="FO46" s="12"/>
      <c r="FP46" s="12"/>
      <c r="FQ46" s="12"/>
      <c r="FR46" s="12"/>
      <c r="FS46"/>
      <c r="FT46"/>
      <c r="FU46"/>
      <c r="FV46"/>
      <c r="FW46"/>
      <c r="FX46"/>
      <c r="FY46" s="12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</row>
    <row r="47" spans="1:274" s="24" customFormat="1" ht="10.5" customHeight="1" x14ac:dyDescent="0.2">
      <c r="A47" s="60" t="s">
        <v>956</v>
      </c>
      <c r="B47" s="476"/>
      <c r="C47" s="435">
        <f t="shared" ref="C47:M47" si="90">C101</f>
        <v>0</v>
      </c>
      <c r="D47" s="435">
        <f t="shared" si="90"/>
        <v>0</v>
      </c>
      <c r="E47" s="435">
        <f t="shared" si="90"/>
        <v>0.59899999999999998</v>
      </c>
      <c r="F47" s="435">
        <f t="shared" si="90"/>
        <v>12.523999999999999</v>
      </c>
      <c r="G47" s="435">
        <f t="shared" si="90"/>
        <v>37.557000000000002</v>
      </c>
      <c r="H47" s="435">
        <f t="shared" si="90"/>
        <v>41.112000000000002</v>
      </c>
      <c r="I47" s="435">
        <f t="shared" si="90"/>
        <v>44.893000000000001</v>
      </c>
      <c r="J47" s="435">
        <f t="shared" si="90"/>
        <v>44.847999999999999</v>
      </c>
      <c r="K47" s="435">
        <f t="shared" si="90"/>
        <v>101.48099999999999</v>
      </c>
      <c r="L47" s="435">
        <f t="shared" si="90"/>
        <v>153.28299999999999</v>
      </c>
      <c r="M47" s="435">
        <f t="shared" si="90"/>
        <v>284.56</v>
      </c>
      <c r="N47" s="276"/>
      <c r="O47" s="435">
        <f>M49</f>
        <v>404.81</v>
      </c>
      <c r="P47" s="435">
        <f>O47</f>
        <v>404.81</v>
      </c>
      <c r="Q47" s="435">
        <f>P47</f>
        <v>404.81</v>
      </c>
      <c r="R47" s="435">
        <f>Q47</f>
        <v>404.81</v>
      </c>
      <c r="S47" s="60">
        <f>R47</f>
        <v>404.81</v>
      </c>
      <c r="T47" s="60"/>
      <c r="U47" s="435">
        <f>S49</f>
        <v>480.15799999999996</v>
      </c>
      <c r="V47" s="435">
        <f>U47</f>
        <v>480.15799999999996</v>
      </c>
      <c r="W47" s="435">
        <f>V47</f>
        <v>480.15799999999996</v>
      </c>
      <c r="X47" s="435">
        <f>W47</f>
        <v>480.15799999999996</v>
      </c>
      <c r="Y47" s="60">
        <f>X47</f>
        <v>480.15799999999996</v>
      </c>
      <c r="Z47" s="60"/>
      <c r="AA47" s="435">
        <f>Y49</f>
        <v>715.74199999999973</v>
      </c>
      <c r="AB47" s="435">
        <f>AA47</f>
        <v>715.74199999999973</v>
      </c>
      <c r="AC47" s="435">
        <f>AB47</f>
        <v>715.74199999999973</v>
      </c>
      <c r="AD47" s="435">
        <f>AC47</f>
        <v>715.74199999999973</v>
      </c>
      <c r="AE47" s="60">
        <f>AD47</f>
        <v>715.74199999999973</v>
      </c>
      <c r="AF47" s="60"/>
      <c r="AG47" s="435">
        <f>AE49</f>
        <v>890.16199999999981</v>
      </c>
      <c r="AH47" s="435">
        <f>AG47</f>
        <v>890.16199999999981</v>
      </c>
      <c r="AI47" s="435">
        <f>AH47</f>
        <v>890.16199999999981</v>
      </c>
      <c r="AJ47" s="435">
        <f>AI47</f>
        <v>890.16199999999981</v>
      </c>
      <c r="AK47" s="60">
        <f>AJ47</f>
        <v>890.16199999999981</v>
      </c>
      <c r="AL47" s="60"/>
      <c r="AM47" s="435">
        <f>AK49</f>
        <v>1273.681</v>
      </c>
      <c r="AN47" s="435">
        <f>AM47</f>
        <v>1273.681</v>
      </c>
      <c r="AO47" s="435">
        <f>AN47</f>
        <v>1273.681</v>
      </c>
      <c r="AP47" s="435">
        <f>AO47</f>
        <v>1273.681</v>
      </c>
      <c r="AQ47" s="60">
        <f>AP47</f>
        <v>1273.681</v>
      </c>
      <c r="AR47" s="60"/>
      <c r="AS47" s="435">
        <f>AQ49</f>
        <v>1785.7146000000002</v>
      </c>
      <c r="AT47" s="435">
        <f>AS47</f>
        <v>1785.7146000000002</v>
      </c>
      <c r="AU47" s="435">
        <f>AT47</f>
        <v>1785.7146000000002</v>
      </c>
      <c r="AV47" s="435">
        <f>AU47</f>
        <v>1785.7146000000002</v>
      </c>
      <c r="AW47" s="60">
        <f>AV47</f>
        <v>1785.7146000000002</v>
      </c>
      <c r="AX47" s="60"/>
      <c r="AY47" s="435">
        <f>AW49</f>
        <v>7429.2055999999984</v>
      </c>
      <c r="AZ47" s="435">
        <f>AY47</f>
        <v>7429.2055999999984</v>
      </c>
      <c r="BA47" s="435">
        <f>AZ47</f>
        <v>7429.2055999999984</v>
      </c>
      <c r="BB47" s="435">
        <f>BA47</f>
        <v>7429.2055999999984</v>
      </c>
      <c r="BC47" s="60">
        <f>BB47</f>
        <v>7429.2055999999984</v>
      </c>
      <c r="BD47" s="60"/>
      <c r="BE47" s="435">
        <f>BC49</f>
        <v>4449.2055999999984</v>
      </c>
      <c r="BF47" s="435">
        <f>BE47</f>
        <v>4449.2055999999984</v>
      </c>
      <c r="BG47" s="435">
        <f>BF47</f>
        <v>4449.2055999999984</v>
      </c>
      <c r="BH47" s="435">
        <f>BG47</f>
        <v>4449.2055999999984</v>
      </c>
      <c r="BI47" s="60">
        <f>BH47</f>
        <v>4449.2055999999984</v>
      </c>
      <c r="BJ47" s="60"/>
      <c r="BK47" s="435">
        <f>BI49</f>
        <v>3095.2055999999984</v>
      </c>
      <c r="BL47" s="435">
        <f>BK47</f>
        <v>3095.2055999999984</v>
      </c>
      <c r="BM47" s="435">
        <f>BL47</f>
        <v>3095.2055999999984</v>
      </c>
      <c r="BN47" s="435">
        <f>BM47</f>
        <v>3095.2055999999984</v>
      </c>
      <c r="BO47" s="60">
        <f>BN47</f>
        <v>3095.2055999999984</v>
      </c>
      <c r="BP47" s="60"/>
      <c r="BQ47" s="435">
        <f>BO49</f>
        <v>4737.2055999999984</v>
      </c>
      <c r="BR47" s="435">
        <f>BQ47</f>
        <v>4737.2055999999984</v>
      </c>
      <c r="BS47" s="435">
        <f>BR47</f>
        <v>4737.2055999999984</v>
      </c>
      <c r="BT47" s="435">
        <f>BS47</f>
        <v>4737.2055999999984</v>
      </c>
      <c r="BU47" s="60">
        <f>BT47</f>
        <v>4737.2055999999984</v>
      </c>
      <c r="BV47" s="60"/>
      <c r="BW47" s="60">
        <f>BU49</f>
        <v>4138.2055999999984</v>
      </c>
      <c r="BX47" s="435">
        <f>BW47</f>
        <v>4138.2055999999984</v>
      </c>
      <c r="BY47" s="435">
        <f>BX47</f>
        <v>4138.2055999999984</v>
      </c>
      <c r="BZ47" s="435">
        <f>BY47</f>
        <v>4138.2055999999984</v>
      </c>
      <c r="CA47" s="60">
        <f>BZ47</f>
        <v>4138.2055999999984</v>
      </c>
      <c r="CB47" s="60"/>
      <c r="CC47" s="435">
        <f>CA49</f>
        <v>3894.1280999999985</v>
      </c>
      <c r="CD47" s="435">
        <f>CC47</f>
        <v>3894.1280999999985</v>
      </c>
      <c r="CE47" s="435">
        <f>CD47</f>
        <v>3894.1280999999985</v>
      </c>
      <c r="CF47" s="435">
        <f>CE47</f>
        <v>3894.1280999999985</v>
      </c>
      <c r="CG47" s="60">
        <f>CF47</f>
        <v>3894.1280999999985</v>
      </c>
      <c r="CH47" s="60"/>
      <c r="CI47" s="435">
        <f>CG49</f>
        <v>6659.1280999999981</v>
      </c>
      <c r="CJ47" s="435">
        <f>CI47</f>
        <v>6659.1280999999981</v>
      </c>
      <c r="CK47" s="435">
        <f>CJ47</f>
        <v>6659.1280999999981</v>
      </c>
      <c r="CL47" s="435">
        <f>CK47</f>
        <v>6659.1280999999981</v>
      </c>
      <c r="CM47" s="174">
        <f>CL47</f>
        <v>6659.1280999999981</v>
      </c>
      <c r="CN47" s="60"/>
      <c r="CO47" s="435">
        <f>CM49</f>
        <v>6218.1280999999981</v>
      </c>
      <c r="CP47" s="435">
        <f>CO47</f>
        <v>6218.1280999999981</v>
      </c>
      <c r="CQ47" s="435">
        <f>CP47</f>
        <v>6218.1280999999981</v>
      </c>
      <c r="CR47" s="435">
        <f>CQ47</f>
        <v>6218.1280999999981</v>
      </c>
      <c r="CS47" s="174">
        <f>CR47</f>
        <v>6218.1280999999981</v>
      </c>
      <c r="CT47" s="60"/>
      <c r="CU47" s="435">
        <f>CS49</f>
        <v>8262.1280999999981</v>
      </c>
      <c r="CV47" s="435">
        <f>CU47</f>
        <v>8262.1280999999981</v>
      </c>
      <c r="CW47" s="435">
        <f>CV47</f>
        <v>8262.1280999999981</v>
      </c>
      <c r="CX47" s="435">
        <f>CW47</f>
        <v>8262.1280999999981</v>
      </c>
      <c r="CY47" s="174">
        <f>CX47</f>
        <v>8262.1280999999981</v>
      </c>
      <c r="CZ47" s="60"/>
      <c r="DA47" s="435">
        <f>CY49</f>
        <v>8995.1280999999981</v>
      </c>
      <c r="DB47" s="435">
        <v>8995.1280999999981</v>
      </c>
      <c r="DC47" s="435">
        <f>DB47</f>
        <v>8995.1280999999981</v>
      </c>
      <c r="DD47" s="435">
        <f>DC47</f>
        <v>8995.1280999999981</v>
      </c>
      <c r="DE47" s="174">
        <f>DD47</f>
        <v>8995.1280999999981</v>
      </c>
      <c r="DF47" s="60"/>
      <c r="DG47" s="435">
        <f>DE49</f>
        <v>9914.1280999999981</v>
      </c>
      <c r="DH47" s="435">
        <f>DG47</f>
        <v>9914.1280999999981</v>
      </c>
      <c r="DI47" s="435">
        <f>DH47</f>
        <v>9914.1280999999981</v>
      </c>
      <c r="DJ47" s="435">
        <f>DI47</f>
        <v>9914.1280999999981</v>
      </c>
      <c r="DK47" s="174">
        <f>DJ47</f>
        <v>9914.1280999999981</v>
      </c>
      <c r="DL47" s="60"/>
      <c r="DM47" s="435">
        <f>DK49</f>
        <v>16163.128099999998</v>
      </c>
      <c r="DN47" s="435">
        <f>DM47</f>
        <v>16163.128099999998</v>
      </c>
      <c r="DO47" s="435">
        <f>DN47</f>
        <v>16163.128099999998</v>
      </c>
      <c r="DP47" s="435">
        <f>DO47</f>
        <v>16163.128099999998</v>
      </c>
      <c r="DQ47" s="174">
        <f>DP47</f>
        <v>16163.128099999998</v>
      </c>
      <c r="DR47" s="60"/>
      <c r="DS47" s="435">
        <f>DQ49</f>
        <v>14955.128099999998</v>
      </c>
      <c r="DT47" s="435">
        <f>DS47</f>
        <v>14955.128099999998</v>
      </c>
      <c r="DU47" s="435">
        <f>DT47</f>
        <v>14955.128099999998</v>
      </c>
      <c r="DV47" s="435">
        <f>DU47</f>
        <v>14955.128099999998</v>
      </c>
      <c r="DW47" s="174">
        <f>DV47</f>
        <v>14955.128099999998</v>
      </c>
      <c r="DX47" s="60"/>
      <c r="DY47" s="435">
        <f>DW49</f>
        <v>14613.128099999998</v>
      </c>
      <c r="DZ47" s="435">
        <f>DY47</f>
        <v>14613.128099999998</v>
      </c>
      <c r="EA47" s="435">
        <f>DZ47</f>
        <v>14613.128099999998</v>
      </c>
      <c r="EB47" s="435">
        <f>EA47</f>
        <v>14613.128099999998</v>
      </c>
      <c r="EC47" s="174">
        <f>EB47</f>
        <v>14613.128099999998</v>
      </c>
      <c r="ED47" s="60"/>
      <c r="EE47" s="435">
        <f>EC49</f>
        <v>17769.128099999998</v>
      </c>
      <c r="EF47" s="435">
        <f>EE47</f>
        <v>17769.128099999998</v>
      </c>
      <c r="EG47" s="435">
        <f>EF47</f>
        <v>17769.128099999998</v>
      </c>
      <c r="EH47" s="435">
        <f>EG47</f>
        <v>17769.128099999998</v>
      </c>
      <c r="EI47" s="174">
        <f>EH47</f>
        <v>17769.128099999998</v>
      </c>
      <c r="EJ47" s="60"/>
      <c r="EK47" s="435">
        <f>EI49</f>
        <v>21716.128099999998</v>
      </c>
      <c r="EL47" s="435">
        <f>EK47</f>
        <v>21716.128099999998</v>
      </c>
      <c r="EM47" s="435">
        <f>EL47</f>
        <v>21716.128099999998</v>
      </c>
      <c r="EN47" s="435">
        <f>EM47</f>
        <v>21716.128099999998</v>
      </c>
      <c r="EO47" s="174">
        <f>EN47</f>
        <v>21716.128099999998</v>
      </c>
      <c r="EP47" s="60"/>
      <c r="EQ47" s="435">
        <f>EO49</f>
        <v>20152.128099999998</v>
      </c>
      <c r="ER47" s="435">
        <f>EQ47</f>
        <v>20152.128099999998</v>
      </c>
      <c r="ES47" s="435">
        <f>ER47</f>
        <v>20152.128099999998</v>
      </c>
      <c r="ET47" s="435">
        <f>ES47</f>
        <v>20152.128099999998</v>
      </c>
      <c r="EU47" s="174">
        <f>ET47</f>
        <v>20152.128099999998</v>
      </c>
      <c r="EV47" s="60"/>
      <c r="EW47" s="435">
        <f>EU49</f>
        <v>21784.128099999998</v>
      </c>
      <c r="EX47" s="435">
        <f>EW47</f>
        <v>21784.128099999998</v>
      </c>
      <c r="EY47" s="435">
        <f>EX47</f>
        <v>21784.128099999998</v>
      </c>
      <c r="EZ47" s="435">
        <f>EY47</f>
        <v>21784.128099999998</v>
      </c>
      <c r="FA47" s="174">
        <f>EZ47</f>
        <v>21784.128099999998</v>
      </c>
      <c r="FB47" s="60"/>
      <c r="FC47" s="435">
        <f>FA49</f>
        <v>19610.645629562165</v>
      </c>
      <c r="FD47" s="435">
        <f>FC47</f>
        <v>19610.645629562165</v>
      </c>
      <c r="FE47" s="435">
        <f>FD47</f>
        <v>19610.645629562165</v>
      </c>
      <c r="FF47" s="435">
        <f>FE47</f>
        <v>19610.645629562165</v>
      </c>
      <c r="FG47" s="174">
        <f>FF47</f>
        <v>19610.645629562165</v>
      </c>
      <c r="FH47" s="60"/>
      <c r="FI47" s="435">
        <f>FG49</f>
        <v>20646.480472891424</v>
      </c>
      <c r="FJ47" s="435">
        <f>FI47</f>
        <v>20646.480472891424</v>
      </c>
      <c r="FK47" s="435">
        <f>FJ47</f>
        <v>20646.480472891424</v>
      </c>
      <c r="FL47" s="435">
        <f>FK47</f>
        <v>20646.480472891424</v>
      </c>
      <c r="FM47" s="174">
        <f>FL47</f>
        <v>20646.480472891424</v>
      </c>
      <c r="FN47" s="242"/>
      <c r="FO47" s="242"/>
      <c r="FP47" s="242"/>
      <c r="FQ47" s="242"/>
      <c r="FR47" s="242"/>
      <c r="FS47"/>
      <c r="FT47"/>
      <c r="FU47"/>
      <c r="FV47"/>
      <c r="FW47"/>
      <c r="FX47"/>
      <c r="FY47" s="242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</row>
    <row r="48" spans="1:274" s="24" customFormat="1" ht="5.25" customHeight="1" x14ac:dyDescent="0.2">
      <c r="A48" s="599"/>
      <c r="B48" s="476"/>
      <c r="C48" s="599"/>
      <c r="D48" s="599"/>
      <c r="E48" s="599"/>
      <c r="F48" s="599"/>
      <c r="G48" s="599"/>
      <c r="H48" s="599"/>
      <c r="I48" s="599"/>
      <c r="J48" s="599"/>
      <c r="K48" s="599"/>
      <c r="L48" s="599"/>
      <c r="M48" s="599"/>
      <c r="N48" s="599"/>
      <c r="O48" s="599"/>
      <c r="P48" s="599"/>
      <c r="Q48" s="599"/>
      <c r="R48" s="599"/>
      <c r="S48" s="599"/>
      <c r="T48" s="599"/>
      <c r="U48" s="599"/>
      <c r="V48" s="599"/>
      <c r="W48" s="599"/>
      <c r="X48" s="599"/>
      <c r="Y48" s="599"/>
      <c r="Z48" s="599"/>
      <c r="AA48" s="599"/>
      <c r="AB48" s="599"/>
      <c r="AC48" s="599"/>
      <c r="AD48" s="599"/>
      <c r="AE48" s="599"/>
      <c r="AF48" s="599"/>
      <c r="AG48" s="599"/>
      <c r="AH48" s="599"/>
      <c r="AI48" s="599"/>
      <c r="AJ48" s="599"/>
      <c r="AK48" s="599"/>
      <c r="AL48" s="599"/>
      <c r="AM48" s="599"/>
      <c r="AN48" s="599"/>
      <c r="AO48" s="599"/>
      <c r="AP48" s="599"/>
      <c r="AQ48" s="599"/>
      <c r="AR48" s="599"/>
      <c r="AS48" s="599"/>
      <c r="AT48" s="599"/>
      <c r="AU48" s="599"/>
      <c r="AV48" s="599"/>
      <c r="AW48" s="599"/>
      <c r="AX48" s="599"/>
      <c r="AY48" s="599"/>
      <c r="AZ48" s="599"/>
      <c r="BA48" s="599"/>
      <c r="BB48" s="599"/>
      <c r="BC48" s="599"/>
      <c r="BD48" s="599"/>
      <c r="BE48" s="599"/>
      <c r="BF48" s="599"/>
      <c r="BG48" s="599"/>
      <c r="BH48" s="599"/>
      <c r="BI48" s="599"/>
      <c r="BJ48" s="599"/>
      <c r="BK48" s="599"/>
      <c r="BL48" s="599"/>
      <c r="BM48" s="599"/>
      <c r="BN48" s="599"/>
      <c r="BO48" s="599"/>
      <c r="BP48" s="599"/>
      <c r="BQ48" s="599"/>
      <c r="BR48" s="599"/>
      <c r="BS48" s="599"/>
      <c r="BT48" s="599"/>
      <c r="BU48" s="599"/>
      <c r="BV48" s="599"/>
      <c r="BW48" s="599"/>
      <c r="BX48" s="599"/>
      <c r="BY48" s="599"/>
      <c r="BZ48" s="599"/>
      <c r="CA48" s="599"/>
      <c r="CB48" s="599"/>
      <c r="CC48" s="599"/>
      <c r="CD48" s="599"/>
      <c r="CE48" s="599"/>
      <c r="CF48" s="599"/>
      <c r="CG48" s="599"/>
      <c r="CH48" s="599"/>
      <c r="CI48" s="599"/>
      <c r="CJ48" s="599"/>
      <c r="CK48" s="599"/>
      <c r="CL48" s="599"/>
      <c r="CM48" s="1019"/>
      <c r="CN48" s="599"/>
      <c r="CO48" s="599"/>
      <c r="CP48" s="599"/>
      <c r="CQ48" s="599"/>
      <c r="CR48" s="599"/>
      <c r="CS48" s="1019"/>
      <c r="CT48" s="599"/>
      <c r="CU48" s="599"/>
      <c r="CV48" s="599"/>
      <c r="CW48" s="599"/>
      <c r="CX48" s="599"/>
      <c r="CY48" s="1019"/>
      <c r="CZ48" s="599"/>
      <c r="DA48" s="599"/>
      <c r="DB48" s="599"/>
      <c r="DC48" s="599"/>
      <c r="DD48" s="599"/>
      <c r="DE48" s="1019"/>
      <c r="DF48" s="599"/>
      <c r="DG48" s="599"/>
      <c r="DH48" s="599"/>
      <c r="DI48" s="599"/>
      <c r="DJ48" s="599"/>
      <c r="DK48" s="1019"/>
      <c r="DL48" s="599"/>
      <c r="DM48" s="599"/>
      <c r="DN48" s="599"/>
      <c r="DO48" s="599"/>
      <c r="DP48" s="599"/>
      <c r="DQ48" s="1019"/>
      <c r="DR48" s="599"/>
      <c r="DS48" s="599"/>
      <c r="DT48" s="599"/>
      <c r="DU48" s="599"/>
      <c r="DV48" s="599"/>
      <c r="DW48" s="1019"/>
      <c r="DX48" s="599"/>
      <c r="DY48" s="599"/>
      <c r="DZ48" s="599"/>
      <c r="EA48" s="599"/>
      <c r="EB48" s="599"/>
      <c r="EC48" s="1019"/>
      <c r="ED48" s="599"/>
      <c r="EE48" s="599"/>
      <c r="EF48" s="599"/>
      <c r="EG48" s="599"/>
      <c r="EH48" s="599"/>
      <c r="EI48" s="1019"/>
      <c r="EJ48" s="599"/>
      <c r="EK48" s="599"/>
      <c r="EL48" s="599"/>
      <c r="EM48" s="599"/>
      <c r="EN48" s="599"/>
      <c r="EO48" s="1019"/>
      <c r="EP48" s="599"/>
      <c r="EQ48" s="599"/>
      <c r="ER48" s="599"/>
      <c r="ES48" s="599"/>
      <c r="ET48" s="599"/>
      <c r="EU48" s="1019"/>
      <c r="EV48" s="599"/>
      <c r="EW48" s="599"/>
      <c r="EX48" s="599"/>
      <c r="EY48" s="599"/>
      <c r="EZ48" s="599"/>
      <c r="FA48" s="1019"/>
      <c r="FB48" s="599"/>
      <c r="FC48" s="599"/>
      <c r="FD48" s="599"/>
      <c r="FE48" s="599"/>
      <c r="FF48" s="599"/>
      <c r="FG48" s="1019"/>
      <c r="FH48" s="599"/>
      <c r="FI48" s="599"/>
      <c r="FJ48" s="599"/>
      <c r="FK48" s="599"/>
      <c r="FL48" s="599"/>
      <c r="FM48" s="1019"/>
      <c r="FN48" s="12"/>
      <c r="FO48" s="12"/>
      <c r="FP48" s="12"/>
      <c r="FQ48" s="12"/>
      <c r="FR48" s="12"/>
      <c r="FS48"/>
      <c r="FT48"/>
      <c r="FU48"/>
      <c r="FV48"/>
      <c r="FW48"/>
      <c r="FX48"/>
      <c r="FY48" s="12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</row>
    <row r="49" spans="1:274" s="24" customFormat="1" ht="10.5" customHeight="1" x14ac:dyDescent="0.2">
      <c r="A49" s="1376" t="s">
        <v>173</v>
      </c>
      <c r="B49" s="1376"/>
      <c r="C49" s="1376">
        <f t="shared" ref="C49:M49" si="91">C45+C47</f>
        <v>0</v>
      </c>
      <c r="D49" s="1376">
        <f t="shared" si="91"/>
        <v>0</v>
      </c>
      <c r="E49" s="1376">
        <f t="shared" si="91"/>
        <v>12.524000000000004</v>
      </c>
      <c r="F49" s="1376">
        <f t="shared" si="91"/>
        <v>37.557000000000009</v>
      </c>
      <c r="G49" s="1376">
        <f t="shared" si="91"/>
        <v>41.112000000000002</v>
      </c>
      <c r="H49" s="1376">
        <f t="shared" si="91"/>
        <v>44.893000000000015</v>
      </c>
      <c r="I49" s="1376">
        <f t="shared" si="91"/>
        <v>44.847999999999971</v>
      </c>
      <c r="J49" s="1376">
        <f t="shared" si="91"/>
        <v>101.48099999999999</v>
      </c>
      <c r="K49" s="1376">
        <f t="shared" si="91"/>
        <v>153.28299999999999</v>
      </c>
      <c r="L49" s="1376">
        <f t="shared" si="91"/>
        <v>284.55999999999995</v>
      </c>
      <c r="M49" s="1376">
        <f t="shared" si="91"/>
        <v>404.81</v>
      </c>
      <c r="N49" s="1376"/>
      <c r="O49" s="1376">
        <f>O45+O47</f>
        <v>462.548</v>
      </c>
      <c r="P49" s="1376">
        <f>P45+P47</f>
        <v>221.09700000000001</v>
      </c>
      <c r="Q49" s="1376">
        <f>Q45+Q47</f>
        <v>276.91600000000005</v>
      </c>
      <c r="R49" s="1376">
        <f>R45+R47</f>
        <v>480.15799999999996</v>
      </c>
      <c r="S49" s="1376">
        <f>R49</f>
        <v>480.15799999999996</v>
      </c>
      <c r="T49" s="1376"/>
      <c r="U49" s="1376">
        <f>U45+U47</f>
        <v>737.23399999999992</v>
      </c>
      <c r="V49" s="1376">
        <f>V45+V47</f>
        <v>1282.67</v>
      </c>
      <c r="W49" s="1376">
        <f>W45+W47</f>
        <v>2313.3790000000004</v>
      </c>
      <c r="X49" s="1376">
        <f>X45+X47</f>
        <v>715.74199999999973</v>
      </c>
      <c r="Y49" s="1376">
        <f>X49</f>
        <v>715.74199999999973</v>
      </c>
      <c r="Z49" s="1376"/>
      <c r="AA49" s="1376">
        <f>AA45+AA47</f>
        <v>743.26499999999965</v>
      </c>
      <c r="AB49" s="1376">
        <f>AB45+AB47</f>
        <v>559.38399999999967</v>
      </c>
      <c r="AC49" s="1376">
        <f>AC45+AC47</f>
        <v>736.16599999999971</v>
      </c>
      <c r="AD49" s="1376">
        <f>AD45+AD47</f>
        <v>890.16199999999981</v>
      </c>
      <c r="AE49" s="1376">
        <f>AD49</f>
        <v>890.16199999999981</v>
      </c>
      <c r="AF49" s="1376"/>
      <c r="AG49" s="1376">
        <f>AG45+AG47</f>
        <v>1006.7119999999998</v>
      </c>
      <c r="AH49" s="1376">
        <f>AH45+AH47</f>
        <v>994.26099999999974</v>
      </c>
      <c r="AI49" s="1376">
        <f>AI45+AI47</f>
        <v>977.49599999999987</v>
      </c>
      <c r="AJ49" s="1376">
        <f>AJ45+AJ47</f>
        <v>1273.681</v>
      </c>
      <c r="AK49" s="1376">
        <f>AJ49</f>
        <v>1273.681</v>
      </c>
      <c r="AL49" s="1376"/>
      <c r="AM49" s="1376">
        <f>AM45+AM47</f>
        <v>1628.0830000000001</v>
      </c>
      <c r="AN49" s="1376">
        <f>AN45+AN47</f>
        <v>1348.749</v>
      </c>
      <c r="AO49" s="1376">
        <f>AO45+AO47</f>
        <v>1504.183</v>
      </c>
      <c r="AP49" s="1376">
        <f>AP45+AP47</f>
        <v>1785.7146000000002</v>
      </c>
      <c r="AQ49" s="1376">
        <f>AP49</f>
        <v>1785.7146000000002</v>
      </c>
      <c r="AR49" s="1376"/>
      <c r="AS49" s="1376">
        <f>AS45+AS47</f>
        <v>1718.1792000000003</v>
      </c>
      <c r="AT49" s="1376">
        <f>AT45+AT47</f>
        <v>1317.1486000000002</v>
      </c>
      <c r="AU49" s="1376">
        <f>AU45+AU47</f>
        <v>2267.7045999999996</v>
      </c>
      <c r="AV49" s="1376">
        <f>AV45+AV47</f>
        <v>7429.2055999999984</v>
      </c>
      <c r="AW49" s="1376">
        <f>AV49</f>
        <v>7429.2055999999984</v>
      </c>
      <c r="AX49" s="1376"/>
      <c r="AY49" s="1376">
        <f>AY45+AY47</f>
        <v>4837.0965999999989</v>
      </c>
      <c r="AZ49" s="1376">
        <f>AZ45+AZ47</f>
        <v>4165.6895999999988</v>
      </c>
      <c r="BA49" s="1376">
        <f>BA45+BA47</f>
        <v>4129.3415999999979</v>
      </c>
      <c r="BB49" s="1376">
        <f>BB45+BB47</f>
        <v>4449.2055999999984</v>
      </c>
      <c r="BC49" s="1376">
        <f>BB49</f>
        <v>4449.2055999999984</v>
      </c>
      <c r="BD49" s="1376"/>
      <c r="BE49" s="1376">
        <f>BE45+BE47</f>
        <v>3915.618599999998</v>
      </c>
      <c r="BF49" s="1376">
        <f>BF45+BF47</f>
        <v>2468.2055999999984</v>
      </c>
      <c r="BG49" s="1376">
        <f>BG45+BG47</f>
        <v>3460.2055999999984</v>
      </c>
      <c r="BH49" s="1376">
        <f>BH45+BH47</f>
        <v>3095.2055999999984</v>
      </c>
      <c r="BI49" s="1376">
        <f>BH49</f>
        <v>3095.2055999999984</v>
      </c>
      <c r="BJ49" s="1376"/>
      <c r="BK49" s="1376">
        <f>BK45+BK47</f>
        <v>3875.2055999999984</v>
      </c>
      <c r="BL49" s="1376">
        <f>BL45+BL47</f>
        <v>3013.2055999999984</v>
      </c>
      <c r="BM49" s="1376">
        <f>BM45+BM47</f>
        <v>4088.2055999999984</v>
      </c>
      <c r="BN49" s="1376">
        <f>BN45+BN47</f>
        <v>4737.2055999999984</v>
      </c>
      <c r="BO49" s="1376">
        <f>BN49</f>
        <v>4737.2055999999984</v>
      </c>
      <c r="BP49" s="1376"/>
      <c r="BQ49" s="1376">
        <f>BQ45+BQ47</f>
        <v>4240.2055999999984</v>
      </c>
      <c r="BR49" s="1376">
        <f>BR45+BR47</f>
        <v>4173.2055999999984</v>
      </c>
      <c r="BS49" s="1376">
        <f>BS45+BS47</f>
        <v>4192.2055999999984</v>
      </c>
      <c r="BT49" s="1376">
        <f>BT45+BT47</f>
        <v>4138.2055999999984</v>
      </c>
      <c r="BU49" s="1376">
        <f>BT49</f>
        <v>4138.2055999999984</v>
      </c>
      <c r="BV49" s="1376"/>
      <c r="BW49" s="1376">
        <f>BW45+BW47</f>
        <v>3349.2055999999984</v>
      </c>
      <c r="BX49" s="1376">
        <f>BX45+BX47</f>
        <v>5905.2055999999984</v>
      </c>
      <c r="BY49" s="1376">
        <f>BY45+BY47</f>
        <v>7221.2055999999984</v>
      </c>
      <c r="BZ49" s="1376">
        <f>BZ45+BZ47</f>
        <v>3894.1280999999985</v>
      </c>
      <c r="CA49" s="1376">
        <f>BZ49</f>
        <v>3894.1280999999985</v>
      </c>
      <c r="CB49" s="1376"/>
      <c r="CC49" s="1376">
        <f>CC45+CC47</f>
        <v>3790.1280999999985</v>
      </c>
      <c r="CD49" s="1376">
        <f>CD45+CD47</f>
        <v>2837.1280999999985</v>
      </c>
      <c r="CE49" s="1376">
        <f>CE45+CE47</f>
        <v>6921.1280999999981</v>
      </c>
      <c r="CF49" s="1376">
        <f>CF45+CF47</f>
        <v>6659.1280999999981</v>
      </c>
      <c r="CG49" s="1376">
        <f>CF49</f>
        <v>6659.1280999999981</v>
      </c>
      <c r="CH49" s="1376"/>
      <c r="CI49" s="1376">
        <f>CI45+CI47</f>
        <v>5448.1280999999981</v>
      </c>
      <c r="CJ49" s="1376">
        <f>CJ45+CJ47</f>
        <v>4684.1280999999981</v>
      </c>
      <c r="CK49" s="1376">
        <f>CK45+CK47</f>
        <v>5250.1280999999981</v>
      </c>
      <c r="CL49" s="1376">
        <f>CL45+CL47</f>
        <v>6218.1280999999981</v>
      </c>
      <c r="CM49" s="1407">
        <f>CL49</f>
        <v>6218.1280999999981</v>
      </c>
      <c r="CN49" s="1376"/>
      <c r="CO49" s="1376">
        <f>CO45+CO47</f>
        <v>6455.1280999999981</v>
      </c>
      <c r="CP49" s="1376">
        <f>CP45+CP47</f>
        <v>6733.1280999999981</v>
      </c>
      <c r="CQ49" s="1376">
        <f>CQ45+CQ47</f>
        <v>8409.1280999999981</v>
      </c>
      <c r="CR49" s="1376">
        <f>CR45+CR47</f>
        <v>8262.1280999999981</v>
      </c>
      <c r="CS49" s="1407">
        <f>CR49</f>
        <v>8262.1280999999981</v>
      </c>
      <c r="CT49" s="1376"/>
      <c r="CU49" s="1376">
        <f>CU45+CU47</f>
        <v>8553.1280999999981</v>
      </c>
      <c r="CV49" s="1376">
        <f>CV45+CV47</f>
        <v>7353.1280999999981</v>
      </c>
      <c r="CW49" s="1376">
        <f>CW45+CW47</f>
        <v>8211.1280999999981</v>
      </c>
      <c r="CX49" s="1376">
        <f>CX45+CX47</f>
        <v>8995.1280999999981</v>
      </c>
      <c r="CY49" s="1407">
        <f>CX49</f>
        <v>8995.1280999999981</v>
      </c>
      <c r="CZ49" s="1376"/>
      <c r="DA49" s="1376">
        <f>DA45+DA47</f>
        <v>16098.128099999998</v>
      </c>
      <c r="DB49" s="1376">
        <f>DB45+DB47</f>
        <v>14919.128099999998</v>
      </c>
      <c r="DC49" s="1376">
        <f>DC45+DC47</f>
        <v>9331.1280999999981</v>
      </c>
      <c r="DD49" s="1376">
        <f>DD45+DD47</f>
        <v>9914.1280999999981</v>
      </c>
      <c r="DE49" s="1407">
        <f>DD49</f>
        <v>9914.1280999999981</v>
      </c>
      <c r="DF49" s="1376"/>
      <c r="DG49" s="1376">
        <f>DG45+DG47</f>
        <v>12018.128099999998</v>
      </c>
      <c r="DH49" s="1376">
        <f>DH45+DH47</f>
        <v>10420.128099999998</v>
      </c>
      <c r="DI49" s="1376">
        <f>DI45+DI47</f>
        <v>11864.128099999998</v>
      </c>
      <c r="DJ49" s="1376">
        <f>DJ45+DJ47</f>
        <v>16163.128099999998</v>
      </c>
      <c r="DK49" s="1407">
        <f>DJ49</f>
        <v>16163.128099999998</v>
      </c>
      <c r="DL49" s="1376"/>
      <c r="DM49" s="1376">
        <f>DM45+DM47</f>
        <v>13162.128099999998</v>
      </c>
      <c r="DN49" s="1376">
        <f>DN45+DN47</f>
        <v>13306.128099999998</v>
      </c>
      <c r="DO49" s="1376">
        <f>DO45+DO47</f>
        <v>13781.128099999998</v>
      </c>
      <c r="DP49" s="1376">
        <f>DP45+DP47</f>
        <v>14955.128099999998</v>
      </c>
      <c r="DQ49" s="1407">
        <f>DP49</f>
        <v>14955.128099999998</v>
      </c>
      <c r="DR49" s="1376"/>
      <c r="DS49" s="1376">
        <f>DS45+DS47</f>
        <v>15667.128099999998</v>
      </c>
      <c r="DT49" s="1376">
        <f>DT45+DT47</f>
        <v>15912.128099999998</v>
      </c>
      <c r="DU49" s="1376">
        <f>DU45+DU47</f>
        <v>16101.128099999998</v>
      </c>
      <c r="DV49" s="1376">
        <f>DV45+DV47</f>
        <v>14613.128099999998</v>
      </c>
      <c r="DW49" s="1407">
        <f>DV49</f>
        <v>14613.128099999998</v>
      </c>
      <c r="DX49" s="1376"/>
      <c r="DY49" s="1376">
        <f>DY45+DY47</f>
        <v>19664.128099999998</v>
      </c>
      <c r="DZ49" s="1376">
        <f>DZ45+DZ47</f>
        <v>14894.128099999998</v>
      </c>
      <c r="EA49" s="1376">
        <f>EA45+EA47</f>
        <v>16832.128099999998</v>
      </c>
      <c r="EB49" s="1376">
        <f>EB45+EB47</f>
        <v>17769.128099999998</v>
      </c>
      <c r="EC49" s="1407">
        <f>EB49</f>
        <v>17769.128099999998</v>
      </c>
      <c r="ED49" s="1376"/>
      <c r="EE49" s="1376">
        <f>EE45+EE47</f>
        <v>24179.128099999998</v>
      </c>
      <c r="EF49" s="1376">
        <f>EF45+EF47</f>
        <v>16153.128099999998</v>
      </c>
      <c r="EG49" s="1376">
        <f>EG45+EG47</f>
        <v>13701.128099999998</v>
      </c>
      <c r="EH49" s="1376">
        <f>EH45+EH47</f>
        <v>21716.128099999998</v>
      </c>
      <c r="EI49" s="1407">
        <f>EH49</f>
        <v>21716.128099999998</v>
      </c>
      <c r="EJ49" s="1376"/>
      <c r="EK49" s="1376">
        <f>EK45+EK47</f>
        <v>16739.128099999998</v>
      </c>
      <c r="EL49" s="1376">
        <f>EL45+EL47</f>
        <v>17411.128099999998</v>
      </c>
      <c r="EM49" s="1376">
        <f>EM45+EM47</f>
        <v>15583.128099999998</v>
      </c>
      <c r="EN49" s="1376">
        <f>EN45+EN47</f>
        <v>20152.128099999998</v>
      </c>
      <c r="EO49" s="1407">
        <f>EN49</f>
        <v>20152.128099999998</v>
      </c>
      <c r="EP49" s="1376"/>
      <c r="EQ49" s="1376">
        <f>EQ45+EQ47</f>
        <v>28614.128099999998</v>
      </c>
      <c r="ER49" s="1376">
        <f>ER45+ER47</f>
        <v>18592.128099999998</v>
      </c>
      <c r="ES49" s="1376">
        <f>ES45+ES47</f>
        <v>19748.128099999998</v>
      </c>
      <c r="ET49" s="1376">
        <f>ET45+ET47</f>
        <v>21784.128099999998</v>
      </c>
      <c r="EU49" s="1407">
        <f>ET49</f>
        <v>21784.128099999998</v>
      </c>
      <c r="EV49" s="1376"/>
      <c r="EW49" s="1376">
        <f>EW45+EW47</f>
        <v>21321.128099999998</v>
      </c>
      <c r="EX49" s="1376">
        <f>EX45+EX47</f>
        <v>21310.128099999998</v>
      </c>
      <c r="EY49" s="1376">
        <f>EY45+EY47</f>
        <v>19487.128099999998</v>
      </c>
      <c r="EZ49" s="1376">
        <f>EZ45+EZ47</f>
        <v>19610.645629562165</v>
      </c>
      <c r="FA49" s="1407">
        <f>EZ49</f>
        <v>19610.645629562165</v>
      </c>
      <c r="FB49" s="1376"/>
      <c r="FC49" s="1376">
        <f>FC45+FC47</f>
        <v>20391.682075827026</v>
      </c>
      <c r="FD49" s="1376">
        <f>FD45+FD47</f>
        <v>18624.795395241665</v>
      </c>
      <c r="FE49" s="1376">
        <f>FE45+FE47</f>
        <v>20173.37355881722</v>
      </c>
      <c r="FF49" s="1376">
        <f>FF45+FF47</f>
        <v>20646.480472891424</v>
      </c>
      <c r="FG49" s="1407">
        <f>FF49</f>
        <v>20646.480472891424</v>
      </c>
      <c r="FH49" s="1376"/>
      <c r="FI49" s="1376">
        <f>FI45+FI47</f>
        <v>24537.695139864874</v>
      </c>
      <c r="FJ49" s="1376">
        <f>FJ45+FJ47</f>
        <v>20497.563143346753</v>
      </c>
      <c r="FK49" s="1376">
        <f>FK45+FK47</f>
        <v>20328.852006080098</v>
      </c>
      <c r="FL49" s="1376">
        <f>FL45+FL47</f>
        <v>23858.658980066015</v>
      </c>
      <c r="FM49" s="1407">
        <f>FL49</f>
        <v>23858.658980066015</v>
      </c>
      <c r="FN49" s="221"/>
      <c r="FO49" s="221"/>
      <c r="FP49" s="261"/>
      <c r="FQ49" s="261"/>
      <c r="FR49" s="261"/>
      <c r="FS49"/>
      <c r="FT49"/>
      <c r="FU49"/>
      <c r="FV49"/>
      <c r="FW49"/>
      <c r="FX49"/>
      <c r="FY49" s="261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</row>
    <row r="50" spans="1:274" s="24" customFormat="1" ht="5.25" customHeight="1" x14ac:dyDescent="0.2">
      <c r="A50" s="599"/>
      <c r="B50" s="476"/>
      <c r="C50" s="599"/>
      <c r="D50" s="599"/>
      <c r="E50" s="599"/>
      <c r="F50" s="599"/>
      <c r="G50" s="599"/>
      <c r="H50" s="599"/>
      <c r="I50" s="599"/>
      <c r="J50" s="599"/>
      <c r="K50" s="599"/>
      <c r="L50" s="599"/>
      <c r="M50" s="599"/>
      <c r="N50" s="599"/>
      <c r="O50" s="599"/>
      <c r="P50" s="599"/>
      <c r="Q50" s="599"/>
      <c r="R50" s="599"/>
      <c r="S50" s="599"/>
      <c r="T50" s="599"/>
      <c r="U50" s="599"/>
      <c r="V50" s="599"/>
      <c r="W50" s="599"/>
      <c r="X50" s="599"/>
      <c r="Y50" s="599"/>
      <c r="Z50" s="599"/>
      <c r="AA50" s="599"/>
      <c r="AB50" s="599"/>
      <c r="AC50" s="599"/>
      <c r="AD50" s="599"/>
      <c r="AE50" s="599"/>
      <c r="AF50" s="599"/>
      <c r="AG50" s="599"/>
      <c r="AH50" s="599"/>
      <c r="AI50" s="599"/>
      <c r="AJ50" s="599"/>
      <c r="AK50" s="599"/>
      <c r="AL50" s="599"/>
      <c r="AM50" s="599"/>
      <c r="AN50" s="599"/>
      <c r="AO50" s="599"/>
      <c r="AP50" s="599"/>
      <c r="AQ50" s="599"/>
      <c r="AR50" s="599"/>
      <c r="AS50" s="599"/>
      <c r="AT50" s="599"/>
      <c r="AU50" s="599"/>
      <c r="AV50" s="599"/>
      <c r="AW50" s="599"/>
      <c r="AX50" s="599"/>
      <c r="AY50" s="599"/>
      <c r="AZ50" s="599"/>
      <c r="BA50" s="599"/>
      <c r="BB50" s="599"/>
      <c r="BC50" s="599"/>
      <c r="BD50" s="599"/>
      <c r="BE50" s="599"/>
      <c r="BF50" s="599"/>
      <c r="BG50" s="599"/>
      <c r="BH50" s="599"/>
      <c r="BI50" s="599"/>
      <c r="BJ50" s="599"/>
      <c r="BK50" s="599"/>
      <c r="BL50" s="599"/>
      <c r="BM50" s="599"/>
      <c r="BN50" s="599"/>
      <c r="BO50" s="599"/>
      <c r="BP50" s="599"/>
      <c r="BQ50" s="599"/>
      <c r="BR50" s="599"/>
      <c r="BS50" s="599"/>
      <c r="BT50" s="599"/>
      <c r="BU50" s="599"/>
      <c r="BV50" s="599"/>
      <c r="BW50" s="599"/>
      <c r="BX50" s="599"/>
      <c r="BY50" s="599"/>
      <c r="BZ50" s="599"/>
      <c r="CA50" s="599"/>
      <c r="CB50" s="599"/>
      <c r="CC50" s="599"/>
      <c r="CD50" s="599"/>
      <c r="CE50" s="599"/>
      <c r="CF50" s="599"/>
      <c r="CG50" s="599"/>
      <c r="CH50" s="599"/>
      <c r="CI50" s="599"/>
      <c r="CJ50" s="599"/>
      <c r="CK50" s="599"/>
      <c r="CL50" s="599"/>
      <c r="CM50" s="1019"/>
      <c r="CN50" s="599"/>
      <c r="CO50" s="599"/>
      <c r="CP50" s="599"/>
      <c r="CQ50" s="599"/>
      <c r="CR50" s="599"/>
      <c r="CS50" s="1019"/>
      <c r="CT50" s="599"/>
      <c r="CU50" s="599"/>
      <c r="CV50" s="599"/>
      <c r="CW50" s="599"/>
      <c r="CX50" s="599"/>
      <c r="CY50" s="1019"/>
      <c r="CZ50" s="599"/>
      <c r="DA50" s="599"/>
      <c r="DB50" s="599"/>
      <c r="DC50" s="599"/>
      <c r="DD50" s="599"/>
      <c r="DE50" s="1019"/>
      <c r="DF50" s="599"/>
      <c r="DG50" s="599"/>
      <c r="DH50" s="599"/>
      <c r="DI50" s="599"/>
      <c r="DJ50" s="599"/>
      <c r="DK50" s="1019"/>
      <c r="DL50" s="599"/>
      <c r="DM50" s="599"/>
      <c r="DN50" s="599"/>
      <c r="DO50" s="599"/>
      <c r="DP50" s="599"/>
      <c r="DQ50" s="1019"/>
      <c r="DR50" s="599"/>
      <c r="DS50" s="599"/>
      <c r="DT50" s="599"/>
      <c r="DU50" s="599"/>
      <c r="DV50" s="599"/>
      <c r="DW50" s="1019"/>
      <c r="DX50" s="599"/>
      <c r="DY50" s="599"/>
      <c r="DZ50" s="599"/>
      <c r="EA50" s="599"/>
      <c r="EB50" s="599"/>
      <c r="EC50" s="1019"/>
      <c r="ED50" s="599"/>
      <c r="EE50" s="599"/>
      <c r="EF50" s="599"/>
      <c r="EG50" s="599"/>
      <c r="EH50" s="599"/>
      <c r="EI50" s="1019"/>
      <c r="EJ50" s="599"/>
      <c r="EK50" s="599"/>
      <c r="EL50" s="599"/>
      <c r="EM50" s="599"/>
      <c r="EN50" s="599"/>
      <c r="EO50" s="1019"/>
      <c r="EP50" s="599"/>
      <c r="EQ50" s="599"/>
      <c r="ER50" s="599"/>
      <c r="ES50" s="599"/>
      <c r="ET50" s="599"/>
      <c r="EU50" s="1019"/>
      <c r="EV50" s="599"/>
      <c r="EW50" s="599"/>
      <c r="EX50" s="599"/>
      <c r="EY50" s="599"/>
      <c r="EZ50" s="599"/>
      <c r="FA50" s="1019"/>
      <c r="FB50" s="599"/>
      <c r="FC50" s="599"/>
      <c r="FD50" s="599"/>
      <c r="FE50" s="599"/>
      <c r="FF50" s="599"/>
      <c r="FG50" s="1019"/>
      <c r="FH50" s="599"/>
      <c r="FI50" s="599"/>
      <c r="FJ50" s="599"/>
      <c r="FK50" s="599"/>
      <c r="FL50" s="599"/>
      <c r="FM50" s="1019"/>
      <c r="FN50" s="12"/>
      <c r="FO50" s="12"/>
      <c r="FP50" s="12"/>
      <c r="FQ50" s="12"/>
      <c r="FR50" s="12"/>
      <c r="FS50"/>
      <c r="FT50"/>
      <c r="FU50"/>
      <c r="FV50"/>
      <c r="FW50"/>
      <c r="FX50"/>
      <c r="FY50" s="12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</row>
    <row r="51" spans="1:274" s="24" customFormat="1" ht="10.5" customHeight="1" x14ac:dyDescent="0.2">
      <c r="A51" s="276" t="s">
        <v>319</v>
      </c>
      <c r="B51" s="1020"/>
      <c r="C51" s="276">
        <f t="shared" ref="C51:M51" si="92">C25+C31</f>
        <v>0</v>
      </c>
      <c r="D51" s="276">
        <f t="shared" si="92"/>
        <v>0</v>
      </c>
      <c r="E51" s="276">
        <f t="shared" si="92"/>
        <v>-6.931</v>
      </c>
      <c r="F51" s="276">
        <f t="shared" si="92"/>
        <v>-8.9379999999999988</v>
      </c>
      <c r="G51" s="276">
        <f t="shared" si="92"/>
        <v>9.5699999999999967</v>
      </c>
      <c r="H51" s="276">
        <f t="shared" si="92"/>
        <v>-42.187999999999988</v>
      </c>
      <c r="I51" s="276">
        <f t="shared" si="92"/>
        <v>16.366999999999972</v>
      </c>
      <c r="J51" s="276">
        <f t="shared" si="92"/>
        <v>41.532999999999987</v>
      </c>
      <c r="K51" s="276">
        <f t="shared" si="92"/>
        <v>200.495</v>
      </c>
      <c r="L51" s="276">
        <f t="shared" si="92"/>
        <v>276.17</v>
      </c>
      <c r="M51" s="276">
        <f t="shared" si="92"/>
        <v>192.80099999999996</v>
      </c>
      <c r="N51" s="276"/>
      <c r="O51" s="276">
        <f>O25+O31</f>
        <v>71.666999999999973</v>
      </c>
      <c r="P51" s="276">
        <f>P25+P31</f>
        <v>58.510000000000034</v>
      </c>
      <c r="Q51" s="276">
        <f>Q25+Q31</f>
        <v>137.84300000000005</v>
      </c>
      <c r="R51" s="276">
        <f>R25+R31</f>
        <v>306.63799999999998</v>
      </c>
      <c r="S51" s="276">
        <f>R51</f>
        <v>306.63799999999998</v>
      </c>
      <c r="T51" s="276"/>
      <c r="U51" s="276">
        <f>U25+U31</f>
        <v>103.00999999999996</v>
      </c>
      <c r="V51" s="276">
        <f>V25+V31</f>
        <v>102.17999999999998</v>
      </c>
      <c r="W51" s="276">
        <f>W25+W31</f>
        <v>304.3780000000001</v>
      </c>
      <c r="X51" s="276">
        <f>X25+X31</f>
        <v>580.76499999999987</v>
      </c>
      <c r="Y51" s="276">
        <f>X51</f>
        <v>580.76499999999987</v>
      </c>
      <c r="Z51" s="276"/>
      <c r="AA51" s="276">
        <f>AA25+AA31</f>
        <v>145.12299999999993</v>
      </c>
      <c r="AB51" s="276">
        <f>AB25+AB31</f>
        <v>74.889999999999986</v>
      </c>
      <c r="AC51" s="276">
        <f>AC25+AC31</f>
        <v>262.75800000000004</v>
      </c>
      <c r="AD51" s="276">
        <f>AD25+AD31</f>
        <v>639.76299999999992</v>
      </c>
      <c r="AE51" s="276">
        <f>AD51</f>
        <v>639.76299999999992</v>
      </c>
      <c r="AF51" s="276"/>
      <c r="AG51" s="276">
        <f>AG25+AG31</f>
        <v>369.35499999999996</v>
      </c>
      <c r="AH51" s="276">
        <f>AH25+AH31</f>
        <v>462.52200000000005</v>
      </c>
      <c r="AI51" s="276">
        <f>AI25+AI31</f>
        <v>738.35600000000022</v>
      </c>
      <c r="AJ51" s="276">
        <f>AJ25+AJ31</f>
        <v>1286.2210000000002</v>
      </c>
      <c r="AK51" s="276">
        <f>AJ51</f>
        <v>1286.2210000000002</v>
      </c>
      <c r="AL51" s="276"/>
      <c r="AM51" s="276">
        <f>AM25+AM31</f>
        <v>509.24899999999997</v>
      </c>
      <c r="AN51" s="276">
        <f>AN25+AN31</f>
        <v>453.44499999999994</v>
      </c>
      <c r="AO51" s="276">
        <f>AO25+AO31</f>
        <v>812.07599999999979</v>
      </c>
      <c r="AP51" s="276">
        <f>AP25+AP31</f>
        <v>1460.5070000000001</v>
      </c>
      <c r="AQ51" s="276">
        <f>AP51</f>
        <v>1460.5070000000001</v>
      </c>
      <c r="AR51" s="276"/>
      <c r="AS51" s="276">
        <f>AS25+AS31</f>
        <v>601.2245999999999</v>
      </c>
      <c r="AT51" s="276">
        <f>AT25+AT31</f>
        <v>643.63199999999983</v>
      </c>
      <c r="AU51" s="276">
        <f>AU25+AU31</f>
        <v>1534.9919999999993</v>
      </c>
      <c r="AV51" s="276">
        <f>AV25+AV31</f>
        <v>2660.1209999999992</v>
      </c>
      <c r="AW51" s="276">
        <f>AV51</f>
        <v>2660.1209999999992</v>
      </c>
      <c r="AX51" s="276"/>
      <c r="AY51" s="276">
        <f>AY25+AY31</f>
        <v>-947.20399999999984</v>
      </c>
      <c r="AZ51" s="276">
        <f>AZ25+AZ31</f>
        <v>-419.83299999999957</v>
      </c>
      <c r="BA51" s="276">
        <f>BA25+BA31</f>
        <v>526.20199999999954</v>
      </c>
      <c r="BB51" s="276">
        <f>BB25+BB31</f>
        <v>1866</v>
      </c>
      <c r="BC51" s="276">
        <f>BB51</f>
        <v>1866</v>
      </c>
      <c r="BD51" s="276"/>
      <c r="BE51" s="276">
        <f>BE25+BE31</f>
        <v>1151.021</v>
      </c>
      <c r="BF51" s="276">
        <f>BF25+BF31</f>
        <v>1350</v>
      </c>
      <c r="BG51" s="276">
        <f>BG25+BG31</f>
        <v>1959</v>
      </c>
      <c r="BH51" s="276">
        <f>BH25+BH31</f>
        <v>2857</v>
      </c>
      <c r="BI51" s="276">
        <f>BH51</f>
        <v>2857</v>
      </c>
      <c r="BJ51" s="276"/>
      <c r="BK51" s="276">
        <f>BK25+BK31</f>
        <v>1175</v>
      </c>
      <c r="BL51" s="276">
        <f>BL25+BL31</f>
        <v>1394</v>
      </c>
      <c r="BM51" s="276">
        <f>BM25+BM31</f>
        <v>2109</v>
      </c>
      <c r="BN51" s="276">
        <f>BN25+BN31</f>
        <v>2732</v>
      </c>
      <c r="BO51" s="276">
        <f>BN51</f>
        <v>2732</v>
      </c>
      <c r="BP51" s="276"/>
      <c r="BQ51" s="276">
        <f>BQ25+BQ31</f>
        <v>1175</v>
      </c>
      <c r="BR51" s="276">
        <f>BR25+BR31</f>
        <v>1497</v>
      </c>
      <c r="BS51" s="276">
        <f>BS25+BS31</f>
        <v>2015</v>
      </c>
      <c r="BT51" s="276">
        <f>BT25+BT31</f>
        <v>3006</v>
      </c>
      <c r="BU51" s="276">
        <f>BT51</f>
        <v>3006</v>
      </c>
      <c r="BV51" s="276"/>
      <c r="BW51" s="276">
        <f>BW25+BW31</f>
        <v>1380</v>
      </c>
      <c r="BX51" s="276">
        <f>BX25+BX31</f>
        <v>1707</v>
      </c>
      <c r="BY51" s="276">
        <f>BY25+BY31</f>
        <v>2407</v>
      </c>
      <c r="BZ51" s="276">
        <f>BZ25+BZ31</f>
        <v>3363.9225000000001</v>
      </c>
      <c r="CA51" s="276">
        <f>BZ51</f>
        <v>3363.9225000000001</v>
      </c>
      <c r="CB51" s="276"/>
      <c r="CC51" s="276">
        <f>CC25+CC31</f>
        <v>1406</v>
      </c>
      <c r="CD51" s="276">
        <f>CD25+CD31</f>
        <v>1670</v>
      </c>
      <c r="CE51" s="276">
        <f>CE25+CE31</f>
        <v>2701</v>
      </c>
      <c r="CF51" s="276">
        <f>CF25+CF31</f>
        <v>4305</v>
      </c>
      <c r="CG51" s="276">
        <f>CF51</f>
        <v>4305</v>
      </c>
      <c r="CH51" s="276"/>
      <c r="CI51" s="276">
        <f>CI25+CI31</f>
        <v>1576</v>
      </c>
      <c r="CJ51" s="276">
        <f>CJ25+CJ31</f>
        <v>1760</v>
      </c>
      <c r="CK51" s="276">
        <f>CK25+CK31</f>
        <v>3122</v>
      </c>
      <c r="CL51" s="276">
        <f>CL25+CL31</f>
        <v>5201</v>
      </c>
      <c r="CM51" s="446">
        <f>CL51</f>
        <v>5201</v>
      </c>
      <c r="CN51" s="276"/>
      <c r="CO51" s="276">
        <f>CO25+CO31</f>
        <v>2614</v>
      </c>
      <c r="CP51" s="276">
        <f>CP25+CP31</f>
        <v>3147</v>
      </c>
      <c r="CQ51" s="276">
        <f>CQ25+CQ31</f>
        <v>4912</v>
      </c>
      <c r="CR51" s="276">
        <f>CR25+CR31</f>
        <v>7159</v>
      </c>
      <c r="CS51" s="446">
        <f>CR51</f>
        <v>7159</v>
      </c>
      <c r="CT51" s="276"/>
      <c r="CU51" s="276">
        <f>CU25+CU31</f>
        <v>2917</v>
      </c>
      <c r="CV51" s="276">
        <f>CV25+CV31</f>
        <v>3591</v>
      </c>
      <c r="CW51" s="276">
        <f>CW25+CW31</f>
        <v>5756</v>
      </c>
      <c r="CX51" s="276">
        <f>CX25+CX31</f>
        <v>7726</v>
      </c>
      <c r="CY51" s="446">
        <f>CX51</f>
        <v>7726</v>
      </c>
      <c r="CZ51" s="276"/>
      <c r="DA51" s="276">
        <f>DA25+DA31</f>
        <v>3683</v>
      </c>
      <c r="DB51" s="276">
        <f>DB25+DB31</f>
        <v>4289</v>
      </c>
      <c r="DC51" s="276">
        <f>DC25+DC31</f>
        <v>6009</v>
      </c>
      <c r="DD51" s="276">
        <f>DD25+DD31</f>
        <v>8451</v>
      </c>
      <c r="DE51" s="446">
        <f>DD51</f>
        <v>8451</v>
      </c>
      <c r="DF51" s="276"/>
      <c r="DG51" s="276">
        <f>DG25+DG31</f>
        <v>3699</v>
      </c>
      <c r="DH51" s="276">
        <f>DH25+DH31</f>
        <v>4522</v>
      </c>
      <c r="DI51" s="276">
        <f>DI25+DI31</f>
        <v>7065</v>
      </c>
      <c r="DJ51" s="276">
        <f>DJ25+DJ31</f>
        <v>10764</v>
      </c>
      <c r="DK51" s="446">
        <f>DJ51</f>
        <v>10764</v>
      </c>
      <c r="DL51" s="276"/>
      <c r="DM51" s="276">
        <f>DM25+DM31</f>
        <v>5261</v>
      </c>
      <c r="DN51" s="276">
        <f>DN25+DN31</f>
        <v>6407</v>
      </c>
      <c r="DO51" s="276">
        <f>DO25+DO31</f>
        <v>9255</v>
      </c>
      <c r="DP51" s="276">
        <f>DP25+DP31</f>
        <v>13095</v>
      </c>
      <c r="DQ51" s="446">
        <f>DP51</f>
        <v>13095</v>
      </c>
      <c r="DR51" s="276"/>
      <c r="DS51" s="276">
        <f>DS25+DS31</f>
        <v>5532</v>
      </c>
      <c r="DT51" s="276">
        <f>DT25+DT31</f>
        <v>6115</v>
      </c>
      <c r="DU51" s="276">
        <f>DU25+DU31</f>
        <v>9193</v>
      </c>
      <c r="DV51" s="276">
        <f>DV25+DV31</f>
        <v>13574</v>
      </c>
      <c r="DW51" s="446">
        <f>DV51</f>
        <v>13574</v>
      </c>
      <c r="DX51" s="276"/>
      <c r="DY51" s="276">
        <f>DY25+DY31</f>
        <v>6139</v>
      </c>
      <c r="DZ51" s="276">
        <f>DZ25+DZ31</f>
        <v>7159</v>
      </c>
      <c r="EA51" s="276">
        <f>EA25+EA31</f>
        <v>10039</v>
      </c>
      <c r="EB51" s="276">
        <f>EB25+EB31</f>
        <v>14341</v>
      </c>
      <c r="EC51" s="446">
        <f>EB51</f>
        <v>14341</v>
      </c>
      <c r="ED51" s="276"/>
      <c r="EE51" s="276">
        <f>EE25+EE31</f>
        <v>6527</v>
      </c>
      <c r="EF51" s="276">
        <f>EF25+EF31</f>
        <v>7364</v>
      </c>
      <c r="EG51" s="276">
        <f>EG25+EG31</f>
        <v>9259</v>
      </c>
      <c r="EH51" s="276">
        <f>EH25+EH31</f>
        <v>12945</v>
      </c>
      <c r="EI51" s="446">
        <f>EH51</f>
        <v>12945</v>
      </c>
      <c r="EJ51" s="276"/>
      <c r="EK51" s="276">
        <f>EK25+EK31</f>
        <v>5410</v>
      </c>
      <c r="EL51" s="276">
        <f>EL25+EL31</f>
        <v>5716</v>
      </c>
      <c r="EM51" s="276">
        <f>EM25+EM31</f>
        <v>8822</v>
      </c>
      <c r="EN51" s="276">
        <f>EN25+EN31</f>
        <v>12372</v>
      </c>
      <c r="EO51" s="446">
        <f>EN51</f>
        <v>12372</v>
      </c>
      <c r="EP51" s="276"/>
      <c r="EQ51" s="276">
        <f>EQ25+EQ31</f>
        <v>5576</v>
      </c>
      <c r="ER51" s="276">
        <f>ER25+ER31</f>
        <v>5905</v>
      </c>
      <c r="ES51" s="276">
        <f>ES25+ES31</f>
        <v>8164</v>
      </c>
      <c r="ET51" s="276">
        <f>ET25+ET31</f>
        <v>12105</v>
      </c>
      <c r="EU51" s="446">
        <f>ET51</f>
        <v>12105</v>
      </c>
      <c r="EV51" s="276"/>
      <c r="EW51" s="276">
        <f>EW25+EW31</f>
        <v>6093</v>
      </c>
      <c r="EX51" s="276">
        <f>EX25+EX31</f>
        <v>6344</v>
      </c>
      <c r="EY51" s="276">
        <f>EY25+EY31</f>
        <v>9368</v>
      </c>
      <c r="EZ51" s="276">
        <f>EZ25+EZ31</f>
        <v>13266.010028526041</v>
      </c>
      <c r="FA51" s="446">
        <f>EZ51</f>
        <v>13266.010028526041</v>
      </c>
      <c r="FB51" s="276"/>
      <c r="FC51" s="276">
        <f>FC25+FC31</f>
        <v>5434.7875663250661</v>
      </c>
      <c r="FD51" s="276">
        <f>FD25+FD31</f>
        <v>5815.6606190952671</v>
      </c>
      <c r="FE51" s="276">
        <f>FE25+FE31</f>
        <v>9506.1723358980471</v>
      </c>
      <c r="FF51" s="276">
        <f>FF25+FF31</f>
        <v>14115.549388170937</v>
      </c>
      <c r="FG51" s="446">
        <f>FF51</f>
        <v>14115.549388170937</v>
      </c>
      <c r="FH51" s="276"/>
      <c r="FI51" s="276">
        <f>FI25+FI31</f>
        <v>5833.9843780139408</v>
      </c>
      <c r="FJ51" s="276">
        <f>FJ25+FJ31</f>
        <v>6231.5031874454071</v>
      </c>
      <c r="FK51" s="276">
        <f>FK25+FK31</f>
        <v>9995.4796060683657</v>
      </c>
      <c r="FL51" s="276">
        <f>FL25+FL31</f>
        <v>15453.164240594195</v>
      </c>
      <c r="FM51" s="446">
        <f>FL51</f>
        <v>15453.164240594195</v>
      </c>
      <c r="FN51" s="261"/>
      <c r="FO51" s="261"/>
      <c r="FP51" s="261"/>
      <c r="FQ51" s="261"/>
      <c r="FR51" s="261"/>
      <c r="FS51"/>
      <c r="FT51"/>
      <c r="FU51"/>
      <c r="FV51"/>
      <c r="FW51"/>
      <c r="FX51"/>
      <c r="FY51" s="26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</row>
    <row r="52" spans="1:274" s="24" customFormat="1" ht="10.5" customHeight="1" x14ac:dyDescent="0.2">
      <c r="A52" s="389"/>
      <c r="B52" s="604"/>
      <c r="C52" s="389"/>
      <c r="D52" s="389"/>
      <c r="E52" s="389"/>
      <c r="F52" s="389"/>
      <c r="G52" s="389"/>
      <c r="H52" s="389"/>
      <c r="I52" s="389"/>
      <c r="J52" s="389"/>
      <c r="K52" s="389"/>
      <c r="L52" s="389"/>
      <c r="M52" s="389"/>
      <c r="N52" s="389"/>
      <c r="O52" s="389"/>
      <c r="P52" s="389"/>
      <c r="Q52" s="389"/>
      <c r="R52" s="389"/>
      <c r="S52" s="389"/>
      <c r="T52" s="389"/>
      <c r="U52" s="389"/>
      <c r="V52" s="389"/>
      <c r="W52" s="389"/>
      <c r="X52" s="389"/>
      <c r="Y52" s="389"/>
      <c r="Z52" s="389"/>
      <c r="AA52" s="389"/>
      <c r="AB52" s="389"/>
      <c r="AC52" s="389"/>
      <c r="AD52" s="389"/>
      <c r="AE52" s="389"/>
      <c r="AF52" s="389"/>
      <c r="AG52" s="389"/>
      <c r="AH52" s="389"/>
      <c r="AI52" s="389"/>
      <c r="AJ52" s="389"/>
      <c r="AK52" s="389"/>
      <c r="AL52" s="389"/>
      <c r="AM52" s="389"/>
      <c r="AN52" s="389"/>
      <c r="AO52" s="389"/>
      <c r="AP52" s="389"/>
      <c r="AQ52" s="389"/>
      <c r="AR52" s="389"/>
      <c r="AS52" s="389"/>
      <c r="AT52" s="389"/>
      <c r="AU52" s="389"/>
      <c r="AV52" s="389"/>
      <c r="AW52" s="389"/>
      <c r="AX52" s="389"/>
      <c r="AY52" s="389"/>
      <c r="AZ52" s="389"/>
      <c r="BA52" s="389"/>
      <c r="BB52" s="389"/>
      <c r="BC52" s="389"/>
      <c r="BD52" s="389"/>
      <c r="BE52" s="389"/>
      <c r="BF52" s="389"/>
      <c r="BG52" s="389"/>
      <c r="BH52" s="389"/>
      <c r="BI52" s="389"/>
      <c r="BJ52" s="389"/>
      <c r="BK52" s="389"/>
      <c r="BL52" s="389"/>
      <c r="BM52" s="389"/>
      <c r="BN52" s="389"/>
      <c r="BO52" s="389"/>
      <c r="BP52" s="389"/>
      <c r="BQ52" s="389"/>
      <c r="BR52" s="389"/>
      <c r="BS52" s="389"/>
      <c r="BT52" s="389"/>
      <c r="BU52" s="389"/>
      <c r="BV52" s="389"/>
      <c r="BW52" s="389"/>
      <c r="BX52" s="389"/>
      <c r="BY52" s="389"/>
      <c r="BZ52" s="389"/>
      <c r="CA52" s="389"/>
      <c r="CB52" s="389"/>
      <c r="CC52" s="389"/>
      <c r="CD52" s="389"/>
      <c r="CE52" s="389"/>
      <c r="CF52" s="389"/>
      <c r="CG52" s="389"/>
      <c r="CH52" s="389"/>
      <c r="CI52" s="389"/>
      <c r="CJ52" s="389"/>
      <c r="CK52" s="389"/>
      <c r="CL52" s="389"/>
      <c r="CM52" s="605"/>
      <c r="CN52" s="389"/>
      <c r="CO52" s="389"/>
      <c r="CP52" s="389"/>
      <c r="CQ52" s="389"/>
      <c r="CR52" s="389"/>
      <c r="CS52" s="605"/>
      <c r="CT52" s="389"/>
      <c r="CU52" s="389"/>
      <c r="CV52" s="389"/>
      <c r="CW52" s="389"/>
      <c r="CX52" s="389"/>
      <c r="CY52" s="605"/>
      <c r="CZ52" s="389"/>
      <c r="DA52" s="389"/>
      <c r="DB52" s="389"/>
      <c r="DC52" s="389"/>
      <c r="DD52" s="389"/>
      <c r="DE52" s="605"/>
      <c r="DF52" s="389"/>
      <c r="DG52" s="389"/>
      <c r="DH52" s="389"/>
      <c r="DI52" s="389"/>
      <c r="DJ52" s="389"/>
      <c r="DK52" s="605"/>
      <c r="DL52" s="389"/>
      <c r="DM52" s="389"/>
      <c r="DN52" s="389"/>
      <c r="DO52" s="389"/>
      <c r="DP52" s="389"/>
      <c r="DQ52" s="605"/>
      <c r="DR52" s="389"/>
      <c r="DS52" s="389"/>
      <c r="DT52" s="389"/>
      <c r="DU52" s="389"/>
      <c r="DV52" s="389"/>
      <c r="DW52" s="605"/>
      <c r="DX52" s="389"/>
      <c r="DY52" s="389"/>
      <c r="DZ52" s="389"/>
      <c r="EA52" s="389"/>
      <c r="EB52" s="389"/>
      <c r="EC52" s="605"/>
      <c r="ED52" s="389"/>
      <c r="EE52" s="389"/>
      <c r="EF52" s="389"/>
      <c r="EG52" s="389"/>
      <c r="EH52" s="389"/>
      <c r="EI52" s="605"/>
      <c r="EJ52" s="389"/>
      <c r="EK52" s="389"/>
      <c r="EL52" s="389"/>
      <c r="EM52" s="389"/>
      <c r="EN52" s="389"/>
      <c r="EO52" s="605"/>
      <c r="EP52" s="389"/>
      <c r="EQ52" s="389"/>
      <c r="ER52" s="389"/>
      <c r="ES52" s="389"/>
      <c r="ET52" s="389"/>
      <c r="EU52" s="605"/>
      <c r="EV52" s="389"/>
      <c r="EW52" s="389"/>
      <c r="EX52" s="389"/>
      <c r="EY52" s="389"/>
      <c r="EZ52" s="389"/>
      <c r="FA52" s="605"/>
      <c r="FB52" s="389"/>
      <c r="FC52" s="389"/>
      <c r="FD52" s="389"/>
      <c r="FE52" s="389"/>
      <c r="FF52" s="389"/>
      <c r="FG52" s="605"/>
      <c r="FH52" s="389"/>
      <c r="FI52" s="389"/>
      <c r="FJ52" s="389"/>
      <c r="FK52" s="389"/>
      <c r="FL52" s="389"/>
      <c r="FM52" s="605"/>
      <c r="FN52" s="389"/>
      <c r="FO52" s="389"/>
      <c r="FP52" s="389"/>
      <c r="FQ52" s="389"/>
      <c r="FR52" s="389"/>
      <c r="FS52"/>
      <c r="FT52"/>
      <c r="FU52"/>
      <c r="FV52"/>
      <c r="FW52"/>
      <c r="FX52"/>
      <c r="FY52" s="389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</row>
    <row r="53" spans="1:274" s="24" customFormat="1" ht="19.5" customHeight="1" x14ac:dyDescent="0.2">
      <c r="A53" s="392" t="str">
        <f>Model!A1</f>
        <v>Oracle</v>
      </c>
      <c r="B53" s="595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12"/>
      <c r="O53" s="28"/>
      <c r="P53" s="28"/>
      <c r="Q53" s="28"/>
      <c r="R53" s="28"/>
      <c r="S53" s="28"/>
      <c r="T53" s="12"/>
      <c r="U53" s="28"/>
      <c r="V53" s="28"/>
      <c r="W53" s="28"/>
      <c r="X53" s="28"/>
      <c r="Y53" s="28"/>
      <c r="Z53" s="12"/>
      <c r="AA53" s="28"/>
      <c r="AB53" s="28"/>
      <c r="AC53" s="28"/>
      <c r="AD53" s="28"/>
      <c r="AE53" s="28"/>
      <c r="AF53" s="12"/>
      <c r="AG53" s="28"/>
      <c r="AH53" s="28"/>
      <c r="AI53" s="28"/>
      <c r="AJ53" s="28"/>
      <c r="AK53" s="28"/>
      <c r="AL53" s="12"/>
      <c r="AM53" s="28"/>
      <c r="AN53" s="28"/>
      <c r="AO53" s="28"/>
      <c r="AP53" s="28"/>
      <c r="AQ53" s="28"/>
      <c r="AR53" s="12"/>
      <c r="AS53" s="28"/>
      <c r="AT53" s="28"/>
      <c r="AU53" s="28"/>
      <c r="AV53" s="28"/>
      <c r="AW53" s="28"/>
      <c r="AX53" s="12"/>
      <c r="AY53" s="28"/>
      <c r="AZ53" s="28"/>
      <c r="BA53" s="28"/>
      <c r="BB53" s="28"/>
      <c r="BC53" s="28"/>
      <c r="BD53" s="12"/>
      <c r="BE53" s="28"/>
      <c r="BF53" s="28" t="s">
        <v>944</v>
      </c>
      <c r="BG53" s="28"/>
      <c r="BH53" s="28"/>
      <c r="BI53" s="28"/>
      <c r="BJ53" s="12"/>
      <c r="BK53" s="28"/>
      <c r="BL53" s="28"/>
      <c r="BM53" s="28"/>
      <c r="BN53" s="28"/>
      <c r="BO53" s="28"/>
      <c r="BP53" s="12"/>
      <c r="BQ53" s="27"/>
      <c r="BR53" s="27"/>
      <c r="BS53" s="27"/>
      <c r="BT53" s="27"/>
      <c r="BU53" s="27"/>
      <c r="BV53" s="12"/>
      <c r="BW53" s="27"/>
      <c r="BX53" s="27"/>
      <c r="BY53" s="27"/>
      <c r="BZ53" s="27"/>
      <c r="CA53" s="27"/>
      <c r="CB53" s="12"/>
      <c r="CC53" s="27"/>
      <c r="CD53" s="27"/>
      <c r="CE53" s="27"/>
      <c r="CF53" s="27"/>
      <c r="CG53" s="27"/>
      <c r="CH53" s="12"/>
      <c r="CI53" s="27"/>
      <c r="CJ53" s="27"/>
      <c r="CK53" s="27"/>
      <c r="CL53" s="27"/>
      <c r="CM53" s="27"/>
      <c r="CN53" s="12"/>
      <c r="CO53" s="27"/>
      <c r="CP53" s="27"/>
      <c r="CQ53" s="27"/>
      <c r="CR53" s="27"/>
      <c r="CS53" s="27"/>
      <c r="CT53" s="12"/>
      <c r="CU53" s="27"/>
      <c r="CV53" s="27"/>
      <c r="CW53" s="27"/>
      <c r="CX53" s="27"/>
      <c r="CY53" s="27"/>
      <c r="CZ53" s="12"/>
      <c r="DA53" s="27"/>
      <c r="DB53" s="27"/>
      <c r="DC53" s="27"/>
      <c r="DD53" s="27"/>
      <c r="DE53" s="27"/>
      <c r="DF53" s="12"/>
      <c r="DG53" s="27"/>
      <c r="DH53" s="27"/>
      <c r="DI53" s="27"/>
      <c r="DJ53" s="27"/>
      <c r="DK53" s="27"/>
      <c r="DL53" s="27"/>
      <c r="DM53" s="27"/>
      <c r="DN53" s="27"/>
      <c r="DO53" s="27"/>
      <c r="DP53" s="27"/>
      <c r="DQ53" s="27"/>
      <c r="DR53" s="27"/>
      <c r="DS53" s="27"/>
      <c r="DT53" s="27"/>
      <c r="DU53" s="27"/>
      <c r="DV53" s="27"/>
      <c r="DW53" s="27"/>
      <c r="DX53" s="27"/>
      <c r="DY53" s="27"/>
      <c r="DZ53" s="27"/>
      <c r="EA53" s="27"/>
      <c r="EB53" s="27"/>
      <c r="EC53" s="27"/>
      <c r="ED53" s="27"/>
      <c r="EE53" s="27"/>
      <c r="EF53" s="27"/>
      <c r="EG53" s="27"/>
      <c r="EH53" s="27"/>
      <c r="EI53" s="27"/>
      <c r="EJ53" s="27"/>
      <c r="EK53" s="27"/>
      <c r="EL53" s="27"/>
      <c r="EM53" s="27"/>
      <c r="EN53" s="27"/>
      <c r="EO53" s="27"/>
      <c r="EP53" s="27"/>
      <c r="EQ53" s="27"/>
      <c r="ER53" s="27"/>
      <c r="ES53" s="27"/>
      <c r="ET53" s="27"/>
      <c r="EU53" s="27"/>
      <c r="EV53" s="27"/>
      <c r="EW53" s="27"/>
      <c r="EX53" s="27"/>
      <c r="EY53" s="27"/>
      <c r="EZ53" s="27"/>
      <c r="FA53" s="27"/>
      <c r="FB53" s="27"/>
      <c r="FC53" s="27"/>
      <c r="FD53" s="27"/>
      <c r="FE53" s="27"/>
      <c r="FF53" s="27"/>
      <c r="FG53" s="27"/>
      <c r="FH53" s="27"/>
      <c r="FI53" s="27"/>
      <c r="FJ53" s="27"/>
      <c r="FK53" s="27"/>
      <c r="FL53" s="27"/>
      <c r="FM53" s="27"/>
      <c r="FN53" s="12"/>
      <c r="FO53" s="12"/>
      <c r="FP53" s="27"/>
      <c r="FQ53" s="27"/>
      <c r="FR53" s="27"/>
      <c r="FS53"/>
      <c r="FT53"/>
      <c r="FU53"/>
      <c r="FV53"/>
      <c r="FW53"/>
      <c r="FX53"/>
      <c r="FY53" s="27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</row>
    <row r="54" spans="1:274" s="24" customFormat="1" ht="19.5" customHeight="1" x14ac:dyDescent="0.2">
      <c r="A54" s="5" t="s">
        <v>675</v>
      </c>
      <c r="B54" s="1017"/>
      <c r="C54" s="959"/>
      <c r="D54" s="959"/>
      <c r="E54" s="959"/>
      <c r="F54" s="959"/>
      <c r="G54" s="959"/>
      <c r="H54" s="959"/>
      <c r="I54" s="959"/>
      <c r="J54" s="959"/>
      <c r="K54" s="959"/>
      <c r="L54" s="959"/>
      <c r="M54" s="959"/>
      <c r="N54" s="426"/>
      <c r="O54" s="426"/>
      <c r="P54" s="426"/>
      <c r="Q54" s="426"/>
      <c r="R54" s="426"/>
      <c r="S54" s="426"/>
      <c r="T54" s="426"/>
      <c r="U54" s="426"/>
      <c r="V54" s="426"/>
      <c r="W54" s="426"/>
      <c r="X54" s="426"/>
      <c r="Y54" s="426"/>
      <c r="Z54" s="426"/>
      <c r="AA54" s="426"/>
      <c r="AB54" s="426"/>
      <c r="AC54" s="426"/>
      <c r="AD54" s="426"/>
      <c r="AE54" s="426"/>
      <c r="AF54" s="426"/>
      <c r="AG54" s="426"/>
      <c r="AH54" s="426"/>
      <c r="AI54" s="426"/>
      <c r="AJ54" s="426"/>
      <c r="AK54" s="426"/>
      <c r="AL54" s="426"/>
      <c r="AM54" s="426"/>
      <c r="AN54" s="426"/>
      <c r="AO54" s="426"/>
      <c r="AP54" s="426"/>
      <c r="AQ54" s="426"/>
      <c r="AR54" s="426"/>
      <c r="AS54" s="426"/>
      <c r="AT54" s="426"/>
      <c r="AU54" s="426"/>
      <c r="AV54" s="426"/>
      <c r="AW54" s="426"/>
      <c r="AX54" s="426"/>
      <c r="AY54" s="426"/>
      <c r="AZ54" s="426"/>
      <c r="BA54" s="426"/>
      <c r="BB54" s="426"/>
      <c r="BC54" s="426"/>
      <c r="BD54" s="426"/>
      <c r="BE54" s="426"/>
      <c r="BF54" s="426"/>
      <c r="BG54" s="426"/>
      <c r="BH54" s="426"/>
      <c r="BI54" s="426"/>
      <c r="BJ54" s="426"/>
      <c r="BK54" s="426"/>
      <c r="BL54" s="426"/>
      <c r="BM54" s="426"/>
      <c r="BN54" s="426"/>
      <c r="BO54" s="426"/>
      <c r="BP54" s="426"/>
      <c r="BQ54" s="426"/>
      <c r="BR54" s="426"/>
      <c r="BS54" s="426"/>
      <c r="BT54" s="426"/>
      <c r="BU54" s="426"/>
      <c r="BV54" s="426"/>
      <c r="BW54" s="426"/>
      <c r="BX54" s="426"/>
      <c r="BY54" s="426"/>
      <c r="BZ54" s="426"/>
      <c r="CA54" s="426"/>
      <c r="CB54" s="426"/>
      <c r="CC54" s="426"/>
      <c r="CD54" s="426"/>
      <c r="CE54" s="426"/>
      <c r="CF54" s="426"/>
      <c r="CG54" s="426"/>
      <c r="CH54" s="426"/>
      <c r="CI54" s="426"/>
      <c r="CJ54" s="426"/>
      <c r="CK54" s="426"/>
      <c r="CL54" s="426"/>
      <c r="CM54" s="426"/>
      <c r="CN54" s="426"/>
      <c r="CO54" s="426"/>
      <c r="CP54" s="426"/>
      <c r="CQ54" s="426"/>
      <c r="CR54" s="426"/>
      <c r="CS54" s="426"/>
      <c r="CT54" s="426"/>
      <c r="CU54" s="426"/>
      <c r="CV54" s="426"/>
      <c r="CW54" s="426"/>
      <c r="CX54" s="426"/>
      <c r="CY54" s="426"/>
      <c r="CZ54" s="426"/>
      <c r="DA54" s="426"/>
      <c r="DB54" s="426"/>
      <c r="DC54" s="426"/>
      <c r="DD54" s="426"/>
      <c r="DE54" s="426"/>
      <c r="DF54" s="426"/>
      <c r="DG54" s="426"/>
      <c r="DH54" s="426"/>
      <c r="DI54" s="426"/>
      <c r="DJ54" s="426"/>
      <c r="DK54" s="426"/>
      <c r="DL54" s="426"/>
      <c r="DM54" s="426"/>
      <c r="DN54" s="426"/>
      <c r="DO54" s="426"/>
      <c r="DP54" s="426"/>
      <c r="DQ54" s="426"/>
      <c r="DR54" s="426"/>
      <c r="DS54" s="426"/>
      <c r="DT54" s="426"/>
      <c r="DU54" s="426"/>
      <c r="DV54" s="426"/>
      <c r="DW54" s="426"/>
      <c r="DX54" s="426"/>
      <c r="DY54" s="426"/>
      <c r="DZ54" s="426"/>
      <c r="EA54" s="426"/>
      <c r="EB54" s="426"/>
      <c r="EC54" s="426"/>
      <c r="ED54" s="426"/>
      <c r="EE54" s="426"/>
      <c r="EF54" s="426"/>
      <c r="EG54" s="426"/>
      <c r="EH54" s="426"/>
      <c r="EI54" s="426"/>
      <c r="EJ54" s="426"/>
      <c r="EK54" s="426"/>
      <c r="EL54" s="426"/>
      <c r="EM54" s="426"/>
      <c r="EN54" s="426"/>
      <c r="EO54" s="426"/>
      <c r="EP54" s="426"/>
      <c r="EQ54" s="426"/>
      <c r="ER54" s="426"/>
      <c r="ES54" s="1838"/>
      <c r="ET54" s="426"/>
      <c r="EU54" s="426"/>
      <c r="EV54" s="426"/>
      <c r="EW54" s="426"/>
      <c r="EX54" s="426"/>
      <c r="EY54" s="1838"/>
      <c r="EZ54" s="426"/>
      <c r="FA54" s="426"/>
      <c r="FB54" s="426"/>
      <c r="FC54" s="426"/>
      <c r="FD54" s="426"/>
      <c r="FE54" s="426"/>
      <c r="FF54" s="426"/>
      <c r="FG54" s="426"/>
      <c r="FH54" s="426"/>
      <c r="FI54" s="426"/>
      <c r="FJ54" s="426"/>
      <c r="FK54" s="426"/>
      <c r="FL54" s="426"/>
      <c r="FM54" s="426"/>
      <c r="FN54" s="426"/>
      <c r="FO54" s="426"/>
      <c r="FP54" s="426"/>
      <c r="FQ54" s="426"/>
      <c r="FR54" s="426"/>
      <c r="FS54"/>
      <c r="FT54"/>
      <c r="FU54"/>
      <c r="FV54"/>
      <c r="FW54"/>
      <c r="FX54"/>
      <c r="FY54" s="426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</row>
    <row r="55" spans="1:274" s="24" customFormat="1" ht="5.25" customHeight="1" x14ac:dyDescent="0.2">
      <c r="A55" s="9"/>
      <c r="B55" s="20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12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12"/>
      <c r="CF55" s="12"/>
      <c r="CG55" s="12"/>
      <c r="CH55" s="12"/>
      <c r="CI55" s="12"/>
      <c r="CJ55" s="12"/>
      <c r="CK55" s="12"/>
      <c r="CL55" s="12"/>
      <c r="CM55" s="12"/>
      <c r="CN55" s="12"/>
      <c r="CO55" s="12"/>
      <c r="CP55" s="12"/>
      <c r="CQ55" s="12"/>
      <c r="CR55" s="12"/>
      <c r="CS55" s="12"/>
      <c r="CT55" s="12"/>
      <c r="CU55" s="12"/>
      <c r="CV55" s="12"/>
      <c r="CW55" s="12"/>
      <c r="CX55" s="12"/>
      <c r="CY55" s="12"/>
      <c r="CZ55" s="12"/>
      <c r="DA55" s="12"/>
      <c r="DB55" s="12"/>
      <c r="DC55" s="12"/>
      <c r="DD55" s="12"/>
      <c r="DE55" s="12"/>
      <c r="DF55" s="12"/>
      <c r="DG55" s="12"/>
      <c r="DH55" s="12"/>
      <c r="DI55" s="12"/>
      <c r="DJ55" s="12"/>
      <c r="DK55" s="12"/>
      <c r="DL55" s="12"/>
      <c r="DM55" s="12"/>
      <c r="DN55" s="12"/>
      <c r="DO55" s="12"/>
      <c r="DP55" s="12"/>
      <c r="DQ55" s="12"/>
      <c r="DR55" s="12"/>
      <c r="DS55" s="12"/>
      <c r="DT55" s="12"/>
      <c r="DU55" s="12"/>
      <c r="DV55" s="12"/>
      <c r="DW55" s="12"/>
      <c r="DX55" s="12"/>
      <c r="DY55" s="12"/>
      <c r="DZ55" s="12"/>
      <c r="EA55" s="12"/>
      <c r="EB55" s="12"/>
      <c r="EC55" s="12"/>
      <c r="ED55" s="12"/>
      <c r="EE55" s="12"/>
      <c r="EF55" s="12"/>
      <c r="EG55" s="12"/>
      <c r="EH55" s="12"/>
      <c r="EI55" s="12"/>
      <c r="EJ55" s="12"/>
      <c r="EK55" s="12"/>
      <c r="EL55" s="12"/>
      <c r="EM55" s="12"/>
      <c r="EN55" s="12"/>
      <c r="EO55" s="12"/>
      <c r="EP55" s="12"/>
      <c r="EQ55" s="12"/>
      <c r="ER55" s="12"/>
      <c r="ES55" s="12"/>
      <c r="ET55" s="12"/>
      <c r="EU55" s="12"/>
      <c r="EV55" s="12"/>
      <c r="EW55" s="12"/>
      <c r="EX55" s="12"/>
      <c r="EY55" s="12"/>
      <c r="EZ55" s="12"/>
      <c r="FA55" s="12"/>
      <c r="FB55" s="12"/>
      <c r="FC55" s="12"/>
      <c r="FD55" s="12"/>
      <c r="FE55" s="12"/>
      <c r="FF55" s="12"/>
      <c r="FG55" s="12"/>
      <c r="FH55" s="12"/>
      <c r="FI55" s="12"/>
      <c r="FJ55" s="12"/>
      <c r="FK55" s="12"/>
      <c r="FL55" s="12"/>
      <c r="FM55" s="12"/>
      <c r="FN55" s="12"/>
      <c r="FO55" s="12"/>
      <c r="FP55" s="12"/>
      <c r="FQ55" s="12"/>
      <c r="FR55" s="12"/>
      <c r="FS55"/>
      <c r="FT55"/>
      <c r="FU55"/>
      <c r="FV55"/>
      <c r="FW55"/>
      <c r="FX55"/>
      <c r="FY55" s="12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</row>
    <row r="56" spans="1:274" s="24" customFormat="1" ht="10.5" customHeight="1" x14ac:dyDescent="0.2">
      <c r="A56" s="1221" t="s">
        <v>408</v>
      </c>
      <c r="B56" s="1391"/>
      <c r="C56" s="1390"/>
      <c r="D56" s="1390"/>
      <c r="E56" s="1390"/>
      <c r="F56" s="1390"/>
      <c r="G56" s="1390"/>
      <c r="H56" s="1390"/>
      <c r="I56" s="1390"/>
      <c r="J56" s="1390"/>
      <c r="K56" s="1390"/>
      <c r="L56" s="1390"/>
      <c r="M56" s="1390"/>
      <c r="N56" s="1226"/>
      <c r="O56" s="1391"/>
      <c r="P56" s="1391"/>
      <c r="Q56" s="1391"/>
      <c r="R56" s="1391"/>
      <c r="S56" s="1390"/>
      <c r="T56" s="1226"/>
      <c r="U56" s="1391"/>
      <c r="V56" s="1391"/>
      <c r="W56" s="1391"/>
      <c r="X56" s="1391"/>
      <c r="Y56" s="1390"/>
      <c r="Z56" s="1226"/>
      <c r="AA56" s="1391"/>
      <c r="AB56" s="1391"/>
      <c r="AC56" s="1391"/>
      <c r="AD56" s="1391"/>
      <c r="AE56" s="1390"/>
      <c r="AF56" s="1226"/>
      <c r="AG56" s="1391"/>
      <c r="AH56" s="1391"/>
      <c r="AI56" s="1391"/>
      <c r="AJ56" s="1391"/>
      <c r="AK56" s="1390"/>
      <c r="AL56" s="1226"/>
      <c r="AM56" s="1391"/>
      <c r="AN56" s="1391"/>
      <c r="AO56" s="1391"/>
      <c r="AP56" s="1391"/>
      <c r="AQ56" s="1390"/>
      <c r="AR56" s="1226"/>
      <c r="AS56" s="1391"/>
      <c r="AT56" s="1391"/>
      <c r="AU56" s="1391"/>
      <c r="AV56" s="1391"/>
      <c r="AW56" s="1390"/>
      <c r="AX56" s="1226"/>
      <c r="AY56" s="1391"/>
      <c r="AZ56" s="1391"/>
      <c r="BA56" s="1391"/>
      <c r="BB56" s="1391"/>
      <c r="BC56" s="1390"/>
      <c r="BD56" s="1226"/>
      <c r="BE56" s="1391"/>
      <c r="BF56" s="1391"/>
      <c r="BG56" s="1391"/>
      <c r="BH56" s="1391"/>
      <c r="BI56" s="1390"/>
      <c r="BJ56" s="1226"/>
      <c r="BK56" s="1390"/>
      <c r="BL56" s="1390"/>
      <c r="BM56" s="1390"/>
      <c r="BN56" s="1390"/>
      <c r="BO56" s="1390"/>
      <c r="BP56" s="1226"/>
      <c r="BQ56" s="1225"/>
      <c r="BR56" s="1225"/>
      <c r="BS56" s="1225"/>
      <c r="BT56" s="1225"/>
      <c r="BU56" s="1225"/>
      <c r="BV56" s="1226"/>
      <c r="BW56" s="1225"/>
      <c r="BX56" s="1225"/>
      <c r="BY56" s="1225"/>
      <c r="BZ56" s="1225"/>
      <c r="CA56" s="1225"/>
      <c r="CB56" s="1226"/>
      <c r="CC56" s="1225"/>
      <c r="CD56" s="1225"/>
      <c r="CE56" s="1225"/>
      <c r="CF56" s="1225"/>
      <c r="CG56" s="1225"/>
      <c r="CH56" s="1226"/>
      <c r="CI56" s="1225"/>
      <c r="CJ56" s="1225"/>
      <c r="CK56" s="1225"/>
      <c r="CL56" s="1225"/>
      <c r="CM56" s="1225"/>
      <c r="CN56" s="1226"/>
      <c r="CO56" s="1225"/>
      <c r="CP56" s="1225"/>
      <c r="CQ56" s="1225"/>
      <c r="CR56" s="1225"/>
      <c r="CS56" s="1225"/>
      <c r="CT56" s="1226"/>
      <c r="CU56" s="1225"/>
      <c r="CV56" s="1225"/>
      <c r="CW56" s="1225"/>
      <c r="CX56" s="1225"/>
      <c r="CY56" s="1225"/>
      <c r="CZ56" s="1226"/>
      <c r="DA56" s="1225"/>
      <c r="DB56" s="1225"/>
      <c r="DC56" s="1225"/>
      <c r="DD56" s="1225"/>
      <c r="DE56" s="1225"/>
      <c r="DF56" s="1226"/>
      <c r="DG56" s="1225"/>
      <c r="DH56" s="1225"/>
      <c r="DI56" s="1225"/>
      <c r="DJ56" s="1225"/>
      <c r="DK56" s="1225"/>
      <c r="DL56" s="1225"/>
      <c r="DM56" s="1225"/>
      <c r="DN56" s="1225"/>
      <c r="DO56" s="1225"/>
      <c r="DP56" s="1225"/>
      <c r="DQ56" s="1225"/>
      <c r="DR56" s="1225"/>
      <c r="DS56" s="1225"/>
      <c r="DT56" s="1225"/>
      <c r="DU56" s="1225"/>
      <c r="DV56" s="1225"/>
      <c r="DW56" s="1225"/>
      <c r="DX56" s="1225"/>
      <c r="DY56" s="1225"/>
      <c r="DZ56" s="1225"/>
      <c r="EA56" s="1225"/>
      <c r="EB56" s="1225"/>
      <c r="EC56" s="1225"/>
      <c r="ED56" s="1225"/>
      <c r="EE56" s="1225"/>
      <c r="EF56" s="1225"/>
      <c r="EG56" s="1225"/>
      <c r="EH56" s="1225"/>
      <c r="EI56" s="1225"/>
      <c r="EJ56" s="1225"/>
      <c r="EK56" s="1225"/>
      <c r="EL56" s="1225"/>
      <c r="EM56" s="1225"/>
      <c r="EN56" s="1225"/>
      <c r="EO56" s="1225"/>
      <c r="EP56" s="1225"/>
      <c r="EQ56" s="1225"/>
      <c r="ER56" s="1225"/>
      <c r="ES56" s="1225"/>
      <c r="ET56" s="1225"/>
      <c r="EU56" s="1225"/>
      <c r="EV56" s="1225"/>
      <c r="EW56" s="1225"/>
      <c r="EX56" s="1225"/>
      <c r="EY56" s="1225"/>
      <c r="EZ56" s="1225"/>
      <c r="FA56" s="1225"/>
      <c r="FB56" s="1225"/>
      <c r="FC56" s="1225"/>
      <c r="FD56" s="1225"/>
      <c r="FE56" s="1225"/>
      <c r="FF56" s="1225"/>
      <c r="FG56" s="1225"/>
      <c r="FH56" s="1225"/>
      <c r="FI56" s="1225"/>
      <c r="FJ56" s="1225"/>
      <c r="FK56" s="1225"/>
      <c r="FL56" s="1225"/>
      <c r="FM56" s="1225"/>
      <c r="FN56" s="13"/>
      <c r="FO56" s="13"/>
      <c r="FP56" s="27"/>
      <c r="FQ56" s="27"/>
      <c r="FR56" s="27"/>
      <c r="FS56"/>
      <c r="FT56"/>
      <c r="FU56"/>
      <c r="FV56"/>
      <c r="FW56"/>
      <c r="FX56"/>
      <c r="FY56" s="27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</row>
    <row r="57" spans="1:274" s="24" customFormat="1" ht="10.5" customHeight="1" x14ac:dyDescent="0.2">
      <c r="A57" s="1221"/>
      <c r="B57" s="1222"/>
      <c r="C57" s="1224" t="str">
        <f>Model!C6</f>
        <v>Full Year History Only</v>
      </c>
      <c r="D57" s="1224"/>
      <c r="E57" s="1224"/>
      <c r="F57" s="1224"/>
      <c r="G57" s="1224"/>
      <c r="H57" s="1224"/>
      <c r="I57" s="1224"/>
      <c r="J57" s="1224"/>
      <c r="K57" s="1224"/>
      <c r="L57" s="1224"/>
      <c r="M57" s="1224"/>
      <c r="N57" s="1223"/>
      <c r="O57" s="1222" t="str">
        <f>Model!O6</f>
        <v>F1995</v>
      </c>
      <c r="P57" s="1224"/>
      <c r="Q57" s="1224"/>
      <c r="R57" s="1224"/>
      <c r="S57" s="1224"/>
      <c r="T57" s="1223"/>
      <c r="U57" s="1222" t="str">
        <f>Model!U6</f>
        <v>F1996</v>
      </c>
      <c r="V57" s="1224"/>
      <c r="W57" s="1224"/>
      <c r="X57" s="1224"/>
      <c r="Y57" s="1224"/>
      <c r="Z57" s="1223"/>
      <c r="AA57" s="1222" t="str">
        <f>Model!AA6</f>
        <v>F1997</v>
      </c>
      <c r="AB57" s="1224"/>
      <c r="AC57" s="1224"/>
      <c r="AD57" s="1224"/>
      <c r="AE57" s="1224"/>
      <c r="AF57" s="1223"/>
      <c r="AG57" s="1222" t="str">
        <f>Model!AG6</f>
        <v>F1998</v>
      </c>
      <c r="AH57" s="1224"/>
      <c r="AI57" s="1224"/>
      <c r="AJ57" s="1224"/>
      <c r="AK57" s="1224"/>
      <c r="AL57" s="1223"/>
      <c r="AM57" s="1222" t="str">
        <f>Model!AM6</f>
        <v>F1999</v>
      </c>
      <c r="AN57" s="1224"/>
      <c r="AO57" s="1224"/>
      <c r="AP57" s="1224"/>
      <c r="AQ57" s="1224"/>
      <c r="AR57" s="1223"/>
      <c r="AS57" s="1222" t="str">
        <f>Model!AS6</f>
        <v>F2000</v>
      </c>
      <c r="AT57" s="1224"/>
      <c r="AU57" s="1224"/>
      <c r="AV57" s="1224"/>
      <c r="AW57" s="1224"/>
      <c r="AX57" s="1223"/>
      <c r="AY57" s="1222" t="str">
        <f>Model!AY6</f>
        <v>F2001</v>
      </c>
      <c r="AZ57" s="1224"/>
      <c r="BA57" s="1224"/>
      <c r="BB57" s="1224"/>
      <c r="BC57" s="1224"/>
      <c r="BD57" s="1223"/>
      <c r="BE57" s="1222" t="str">
        <f>Model!BE6</f>
        <v>F2002</v>
      </c>
      <c r="BF57" s="1224"/>
      <c r="BG57" s="1224"/>
      <c r="BH57" s="1224"/>
      <c r="BI57" s="1224"/>
      <c r="BJ57" s="1223"/>
      <c r="BK57" s="1222" t="str">
        <f>Model!BK6</f>
        <v>F2003</v>
      </c>
      <c r="BL57" s="1224"/>
      <c r="BM57" s="1224"/>
      <c r="BN57" s="1224"/>
      <c r="BO57" s="1224"/>
      <c r="BP57" s="1223"/>
      <c r="BQ57" s="1222" t="str">
        <f>Model!BQ6</f>
        <v>F2004</v>
      </c>
      <c r="BR57" s="1224"/>
      <c r="BS57" s="1224"/>
      <c r="BT57" s="1224"/>
      <c r="BU57" s="1224"/>
      <c r="BV57" s="1223"/>
      <c r="BW57" s="1222" t="str">
        <f>Model!BW6</f>
        <v>F2005</v>
      </c>
      <c r="BX57" s="1224"/>
      <c r="BY57" s="1224"/>
      <c r="BZ57" s="1224"/>
      <c r="CA57" s="1224"/>
      <c r="CB57" s="1223"/>
      <c r="CC57" s="1222" t="str">
        <f>Model!CC6</f>
        <v>F2006</v>
      </c>
      <c r="CD57" s="1224"/>
      <c r="CE57" s="1224"/>
      <c r="CF57" s="1224"/>
      <c r="CG57" s="1224"/>
      <c r="CH57" s="1223"/>
      <c r="CI57" s="1222" t="str">
        <f>Model!CI6</f>
        <v>F2007</v>
      </c>
      <c r="CJ57" s="1224"/>
      <c r="CK57" s="1224"/>
      <c r="CL57" s="1224"/>
      <c r="CM57" s="1224"/>
      <c r="CN57" s="1223"/>
      <c r="CO57" s="1222" t="str">
        <f>Model!CO6</f>
        <v>F2008</v>
      </c>
      <c r="CP57" s="1224"/>
      <c r="CQ57" s="1224"/>
      <c r="CR57" s="1224"/>
      <c r="CS57" s="1224"/>
      <c r="CT57" s="1223"/>
      <c r="CU57" s="1222" t="str">
        <f>Model!CU6</f>
        <v>F2009</v>
      </c>
      <c r="CV57" s="1224"/>
      <c r="CW57" s="1224"/>
      <c r="CX57" s="1224"/>
      <c r="CY57" s="1224"/>
      <c r="CZ57" s="1223"/>
      <c r="DA57" s="1222" t="str">
        <f>Model!DA6</f>
        <v>F2010</v>
      </c>
      <c r="DB57" s="1224"/>
      <c r="DC57" s="1224"/>
      <c r="DD57" s="1224"/>
      <c r="DE57" s="1500"/>
      <c r="DF57" s="1223"/>
      <c r="DG57" s="1222" t="str">
        <f>Model!DG6</f>
        <v>F2011</v>
      </c>
      <c r="DH57" s="1224"/>
      <c r="DI57" s="1224"/>
      <c r="DJ57" s="1224"/>
      <c r="DK57" s="1500"/>
      <c r="DL57" s="1223"/>
      <c r="DM57" s="1222" t="str">
        <f>Model!DM6</f>
        <v>F2012</v>
      </c>
      <c r="DN57" s="1224"/>
      <c r="DO57" s="1224"/>
      <c r="DP57" s="1224"/>
      <c r="DQ57" s="1500"/>
      <c r="DR57" s="1223"/>
      <c r="DS57" s="1222" t="str">
        <f>Model!DS6</f>
        <v>F2013</v>
      </c>
      <c r="DT57" s="1224"/>
      <c r="DU57" s="1224"/>
      <c r="DV57" s="1224"/>
      <c r="DW57" s="1224"/>
      <c r="DX57" s="1223"/>
      <c r="DY57" s="1222" t="str">
        <f>Model!DY6</f>
        <v>F2014</v>
      </c>
      <c r="DZ57" s="1224"/>
      <c r="EA57" s="1224"/>
      <c r="EB57" s="1224"/>
      <c r="EC57" s="1224"/>
      <c r="ED57" s="1223"/>
      <c r="EE57" s="1222" t="str">
        <f>Model!EE6</f>
        <v>F2015</v>
      </c>
      <c r="EF57" s="1224"/>
      <c r="EG57" s="1224"/>
      <c r="EH57" s="1224"/>
      <c r="EI57" s="1224"/>
      <c r="EJ57" s="1223"/>
      <c r="EK57" s="1222" t="str">
        <f>Model!EK6</f>
        <v>F2016</v>
      </c>
      <c r="EL57" s="1224"/>
      <c r="EM57" s="1224"/>
      <c r="EN57" s="1224"/>
      <c r="EO57" s="1224"/>
      <c r="EP57" s="1223"/>
      <c r="EQ57" s="1222" t="str">
        <f>Model!EQ6</f>
        <v>F2017</v>
      </c>
      <c r="ER57" s="1224"/>
      <c r="ES57" s="1224"/>
      <c r="ET57" s="1224"/>
      <c r="EU57" s="1224"/>
      <c r="EV57" s="1223"/>
      <c r="EW57" s="1222" t="str">
        <f>Model!EW6</f>
        <v>F2018E</v>
      </c>
      <c r="EX57" s="1224"/>
      <c r="EY57" s="1224"/>
      <c r="EZ57" s="1224"/>
      <c r="FA57" s="1224"/>
      <c r="FB57" s="1223"/>
      <c r="FC57" s="1222" t="str">
        <f>Model!FC6</f>
        <v>F2019E</v>
      </c>
      <c r="FD57" s="1224"/>
      <c r="FE57" s="1224"/>
      <c r="FF57" s="1224"/>
      <c r="FG57" s="1224"/>
      <c r="FH57" s="1223"/>
      <c r="FI57" s="1222" t="str">
        <f>Model!FI6</f>
        <v>F2020E</v>
      </c>
      <c r="FJ57" s="1224"/>
      <c r="FK57" s="1224"/>
      <c r="FL57" s="1224"/>
      <c r="FM57" s="1224"/>
      <c r="FN57" s="215"/>
      <c r="FO57" s="215"/>
      <c r="FP57" s="27"/>
      <c r="FQ57" s="27"/>
      <c r="FR57" s="27"/>
      <c r="FS57"/>
      <c r="FT57"/>
      <c r="FU57"/>
      <c r="FV57"/>
      <c r="FW57"/>
      <c r="FX57"/>
      <c r="FY57" s="2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</row>
    <row r="58" spans="1:274" s="24" customFormat="1" ht="10.5" customHeight="1" x14ac:dyDescent="0.2">
      <c r="A58" s="1501"/>
      <c r="B58" s="1230"/>
      <c r="C58" s="1230" t="str">
        <f>Model!C7</f>
        <v>FY84</v>
      </c>
      <c r="D58" s="1230" t="str">
        <f>Model!D7</f>
        <v>FY85</v>
      </c>
      <c r="E58" s="1230" t="str">
        <f>Model!E7</f>
        <v>FY86</v>
      </c>
      <c r="F58" s="1230" t="str">
        <f>Model!F7</f>
        <v>FY87</v>
      </c>
      <c r="G58" s="1230" t="str">
        <f>Model!G7</f>
        <v>FY88</v>
      </c>
      <c r="H58" s="1230" t="str">
        <f>Model!H7</f>
        <v>FY89</v>
      </c>
      <c r="I58" s="1230" t="str">
        <f>Model!I7</f>
        <v>FY90</v>
      </c>
      <c r="J58" s="1230" t="str">
        <f>Model!J7</f>
        <v>FY91</v>
      </c>
      <c r="K58" s="1230" t="str">
        <f>Model!K7</f>
        <v>FY92</v>
      </c>
      <c r="L58" s="1230" t="str">
        <f>Model!L7</f>
        <v>FY93</v>
      </c>
      <c r="M58" s="1230" t="str">
        <f>Model!M7</f>
        <v>FY94</v>
      </c>
      <c r="N58" s="1230"/>
      <c r="O58" s="1230" t="str">
        <f>Model!O7</f>
        <v xml:space="preserve"> 8/94</v>
      </c>
      <c r="P58" s="1230" t="str">
        <f>Model!P7</f>
        <v xml:space="preserve"> 11/94</v>
      </c>
      <c r="Q58" s="1230" t="str">
        <f>Model!Q7</f>
        <v xml:space="preserve"> 2/95</v>
      </c>
      <c r="R58" s="1230" t="str">
        <f>Model!R7</f>
        <v>5/95</v>
      </c>
      <c r="S58" s="1230" t="str">
        <f>Model!S7</f>
        <v>FY95</v>
      </c>
      <c r="T58" s="1230"/>
      <c r="U58" s="1230" t="str">
        <f>Model!U7</f>
        <v xml:space="preserve"> 8/95</v>
      </c>
      <c r="V58" s="1230" t="str">
        <f>Model!V7</f>
        <v xml:space="preserve"> 11/95</v>
      </c>
      <c r="W58" s="1230" t="str">
        <f>Model!W7</f>
        <v xml:space="preserve"> 2/96</v>
      </c>
      <c r="X58" s="1230" t="str">
        <f>Model!X7</f>
        <v>5/96</v>
      </c>
      <c r="Y58" s="1230" t="str">
        <f>Model!Y7</f>
        <v>FY96</v>
      </c>
      <c r="Z58" s="1230"/>
      <c r="AA58" s="1230" t="str">
        <f>Model!AA7</f>
        <v xml:space="preserve"> 8/96</v>
      </c>
      <c r="AB58" s="1230" t="str">
        <f>Model!AB7</f>
        <v xml:space="preserve"> 11/96</v>
      </c>
      <c r="AC58" s="1230" t="str">
        <f>Model!AC7</f>
        <v xml:space="preserve"> 2/97</v>
      </c>
      <c r="AD58" s="1230" t="str">
        <f>Model!AD7</f>
        <v>5/97</v>
      </c>
      <c r="AE58" s="1230" t="str">
        <f>Model!AE7</f>
        <v>FY97</v>
      </c>
      <c r="AF58" s="1230"/>
      <c r="AG58" s="1230" t="str">
        <f>Model!AG7</f>
        <v xml:space="preserve"> 8/97</v>
      </c>
      <c r="AH58" s="1230" t="str">
        <f>Model!AH7</f>
        <v xml:space="preserve"> 11/97</v>
      </c>
      <c r="AI58" s="1230" t="str">
        <f>Model!AI7</f>
        <v xml:space="preserve"> 2/98</v>
      </c>
      <c r="AJ58" s="1230" t="str">
        <f>Model!AJ7</f>
        <v>5/98</v>
      </c>
      <c r="AK58" s="1230" t="str">
        <f>Model!AK7</f>
        <v>FY98</v>
      </c>
      <c r="AL58" s="1230"/>
      <c r="AM58" s="1230" t="str">
        <f>Model!AM7</f>
        <v xml:space="preserve"> 8/98</v>
      </c>
      <c r="AN58" s="1230" t="str">
        <f>Model!AN7</f>
        <v xml:space="preserve"> 11/98</v>
      </c>
      <c r="AO58" s="1230" t="str">
        <f>Model!AO7</f>
        <v xml:space="preserve"> 2/99</v>
      </c>
      <c r="AP58" s="1230" t="str">
        <f>Model!AP7</f>
        <v>5/99</v>
      </c>
      <c r="AQ58" s="1230" t="str">
        <f>Model!AQ7</f>
        <v>FY99</v>
      </c>
      <c r="AR58" s="1230"/>
      <c r="AS58" s="1230" t="str">
        <f>Model!AS7</f>
        <v xml:space="preserve"> 8/99</v>
      </c>
      <c r="AT58" s="1230" t="str">
        <f>Model!AT7</f>
        <v xml:space="preserve"> 11/99</v>
      </c>
      <c r="AU58" s="1230" t="str">
        <f>Model!AU7</f>
        <v xml:space="preserve"> 2/00</v>
      </c>
      <c r="AV58" s="1230" t="str">
        <f>Model!AV7</f>
        <v>5/00</v>
      </c>
      <c r="AW58" s="1230" t="str">
        <f>Model!AW7</f>
        <v>FY00</v>
      </c>
      <c r="AX58" s="1230"/>
      <c r="AY58" s="1230" t="str">
        <f>Model!AY7</f>
        <v xml:space="preserve"> 8/00</v>
      </c>
      <c r="AZ58" s="1230" t="str">
        <f>Model!AZ7</f>
        <v xml:space="preserve"> 11/00</v>
      </c>
      <c r="BA58" s="1230" t="str">
        <f>Model!BA7</f>
        <v xml:space="preserve"> 2/01</v>
      </c>
      <c r="BB58" s="1230" t="str">
        <f>Model!BB7</f>
        <v>5/01</v>
      </c>
      <c r="BC58" s="1230" t="str">
        <f>Model!BC7</f>
        <v>FY01</v>
      </c>
      <c r="BD58" s="1230"/>
      <c r="BE58" s="1230" t="str">
        <f>Model!BE7</f>
        <v xml:space="preserve"> 8/01</v>
      </c>
      <c r="BF58" s="1230" t="str">
        <f>Model!BF7</f>
        <v xml:space="preserve"> 11/01</v>
      </c>
      <c r="BG58" s="1230" t="str">
        <f>Model!BG7</f>
        <v xml:space="preserve"> 2/02</v>
      </c>
      <c r="BH58" s="1230" t="str">
        <f>Model!BH7</f>
        <v>5/02</v>
      </c>
      <c r="BI58" s="1230" t="str">
        <f>Model!BI7</f>
        <v>FY02</v>
      </c>
      <c r="BJ58" s="1230"/>
      <c r="BK58" s="1230" t="str">
        <f>Model!BK7</f>
        <v xml:space="preserve"> 8/02</v>
      </c>
      <c r="BL58" s="1230" t="str">
        <f>Model!BL7</f>
        <v xml:space="preserve"> 11/02</v>
      </c>
      <c r="BM58" s="1230" t="str">
        <f>Model!BM7</f>
        <v xml:space="preserve"> 2/03</v>
      </c>
      <c r="BN58" s="1230" t="str">
        <f>Model!BN7</f>
        <v>5/03</v>
      </c>
      <c r="BO58" s="1230" t="str">
        <f>Model!BO7</f>
        <v>FY03</v>
      </c>
      <c r="BP58" s="1230"/>
      <c r="BQ58" s="1230" t="str">
        <f>Model!BQ7</f>
        <v xml:space="preserve"> 8/03</v>
      </c>
      <c r="BR58" s="1230" t="str">
        <f>Model!BR7</f>
        <v xml:space="preserve"> 11/03</v>
      </c>
      <c r="BS58" s="1230" t="str">
        <f>Model!BS7</f>
        <v xml:space="preserve"> 2/04</v>
      </c>
      <c r="BT58" s="1230" t="str">
        <f>Model!BT7</f>
        <v>5/04</v>
      </c>
      <c r="BU58" s="1230" t="str">
        <f>Model!BU7</f>
        <v>FY04</v>
      </c>
      <c r="BV58" s="1230"/>
      <c r="BW58" s="1230" t="str">
        <f>Model!BW7</f>
        <v xml:space="preserve"> 8/04</v>
      </c>
      <c r="BX58" s="1230" t="str">
        <f>Model!BX7</f>
        <v xml:space="preserve"> 11/04</v>
      </c>
      <c r="BY58" s="1230" t="str">
        <f>Model!BY7</f>
        <v xml:space="preserve"> 2/05</v>
      </c>
      <c r="BZ58" s="1230" t="str">
        <f>Model!BZ7</f>
        <v>5/05</v>
      </c>
      <c r="CA58" s="1230" t="str">
        <f>Model!CA7</f>
        <v>FY05</v>
      </c>
      <c r="CB58" s="1230"/>
      <c r="CC58" s="1230" t="str">
        <f>Model!CC7</f>
        <v xml:space="preserve"> 8/05</v>
      </c>
      <c r="CD58" s="1230" t="str">
        <f>Model!CD7</f>
        <v xml:space="preserve"> 11/05</v>
      </c>
      <c r="CE58" s="1230" t="str">
        <f>Model!CE7</f>
        <v xml:space="preserve"> 2/06</v>
      </c>
      <c r="CF58" s="1230" t="str">
        <f>Model!CF7</f>
        <v>5/06</v>
      </c>
      <c r="CG58" s="1230" t="str">
        <f>Model!CG7</f>
        <v>FY06</v>
      </c>
      <c r="CH58" s="1230"/>
      <c r="CI58" s="1230" t="str">
        <f>Model!CI7</f>
        <v xml:space="preserve"> 8/06</v>
      </c>
      <c r="CJ58" s="1230" t="str">
        <f>Model!CJ7</f>
        <v xml:space="preserve"> 11/06</v>
      </c>
      <c r="CK58" s="1230" t="str">
        <f>Model!CK7</f>
        <v xml:space="preserve"> 2/07</v>
      </c>
      <c r="CL58" s="1230" t="str">
        <f>Model!CL7</f>
        <v>5/07</v>
      </c>
      <c r="CM58" s="1232" t="str">
        <f>Model!CM7</f>
        <v>FY07</v>
      </c>
      <c r="CN58" s="1230"/>
      <c r="CO58" s="1230" t="str">
        <f>Model!CO7</f>
        <v xml:space="preserve"> 8/07</v>
      </c>
      <c r="CP58" s="1230" t="str">
        <f>Model!CP7</f>
        <v xml:space="preserve"> 11/07</v>
      </c>
      <c r="CQ58" s="1230" t="str">
        <f>Model!CQ7</f>
        <v xml:space="preserve"> 2/08</v>
      </c>
      <c r="CR58" s="1230" t="str">
        <f>Model!CR7</f>
        <v>5/08</v>
      </c>
      <c r="CS58" s="1232" t="str">
        <f>Model!CS7</f>
        <v>FY08</v>
      </c>
      <c r="CT58" s="1230"/>
      <c r="CU58" s="1230" t="str">
        <f>Model!CU7</f>
        <v xml:space="preserve"> 8/08</v>
      </c>
      <c r="CV58" s="1230" t="str">
        <f>Model!CV7</f>
        <v xml:space="preserve"> 11/08</v>
      </c>
      <c r="CW58" s="1230" t="str">
        <f>Model!CW7</f>
        <v xml:space="preserve"> 2/09</v>
      </c>
      <c r="CX58" s="1230" t="str">
        <f>Model!CX7</f>
        <v>5/09</v>
      </c>
      <c r="CY58" s="1232" t="str">
        <f>Model!CY7</f>
        <v>FY09</v>
      </c>
      <c r="CZ58" s="1230"/>
      <c r="DA58" s="1230" t="str">
        <f>Model!DA7</f>
        <v>8/09</v>
      </c>
      <c r="DB58" s="1230" t="str">
        <f>Model!DB7</f>
        <v>11/09</v>
      </c>
      <c r="DC58" s="1230" t="str">
        <f>Model!DC7</f>
        <v>2/10</v>
      </c>
      <c r="DD58" s="1230" t="str">
        <f>Model!DD7</f>
        <v>5/10</v>
      </c>
      <c r="DE58" s="1232" t="str">
        <f>Model!DE7</f>
        <v>FY10</v>
      </c>
      <c r="DF58" s="1230"/>
      <c r="DG58" s="1230" t="str">
        <f>Model!DG7</f>
        <v>8/10</v>
      </c>
      <c r="DH58" s="1230" t="str">
        <f>Model!DH7</f>
        <v>11/10</v>
      </c>
      <c r="DI58" s="1230" t="str">
        <f>Model!DI7</f>
        <v>2/11</v>
      </c>
      <c r="DJ58" s="1230" t="str">
        <f>Model!DJ7</f>
        <v>5/11</v>
      </c>
      <c r="DK58" s="1232" t="str">
        <f>Model!DK7</f>
        <v>FY11</v>
      </c>
      <c r="DL58" s="1230"/>
      <c r="DM58" s="1230" t="str">
        <f>Model!DM7</f>
        <v>8/11</v>
      </c>
      <c r="DN58" s="1230" t="str">
        <f>Model!DN7</f>
        <v>11/11</v>
      </c>
      <c r="DO58" s="1230" t="str">
        <f>Model!DO7</f>
        <v xml:space="preserve"> 2/12</v>
      </c>
      <c r="DP58" s="1230" t="str">
        <f>Model!DP7</f>
        <v>5/12</v>
      </c>
      <c r="DQ58" s="1232" t="str">
        <f>Model!DQ7</f>
        <v>FY12</v>
      </c>
      <c r="DR58" s="1230"/>
      <c r="DS58" s="1230" t="str">
        <f>Model!DS7</f>
        <v>8/12</v>
      </c>
      <c r="DT58" s="1230" t="str">
        <f>Model!DT7</f>
        <v>11/12</v>
      </c>
      <c r="DU58" s="1230" t="str">
        <f>Model!DU7</f>
        <v xml:space="preserve"> 2/13</v>
      </c>
      <c r="DV58" s="1230" t="str">
        <f>Model!DV7</f>
        <v>5/13</v>
      </c>
      <c r="DW58" s="1232" t="str">
        <f>Model!DW7</f>
        <v>FY13</v>
      </c>
      <c r="DX58" s="1230"/>
      <c r="DY58" s="1230" t="str">
        <f>Model!DY7</f>
        <v>8/13</v>
      </c>
      <c r="DZ58" s="1230" t="str">
        <f>Model!DZ7</f>
        <v>11/13</v>
      </c>
      <c r="EA58" s="1230" t="str">
        <f>Model!EA7</f>
        <v>2/14</v>
      </c>
      <c r="EB58" s="1230" t="str">
        <f>Model!EB7</f>
        <v>5/14</v>
      </c>
      <c r="EC58" s="1232" t="str">
        <f>Model!EC7</f>
        <v>FY14</v>
      </c>
      <c r="ED58" s="1230"/>
      <c r="EE58" s="1230" t="str">
        <f>Model!EE7</f>
        <v>8/14</v>
      </c>
      <c r="EF58" s="1230" t="str">
        <f>Model!EF7</f>
        <v>11/14</v>
      </c>
      <c r="EG58" s="1230" t="str">
        <f>Model!EG7</f>
        <v>2/15</v>
      </c>
      <c r="EH58" s="1230" t="str">
        <f>Model!EH7</f>
        <v>5/15</v>
      </c>
      <c r="EI58" s="1232" t="str">
        <f>Model!EI7</f>
        <v>FY15</v>
      </c>
      <c r="EJ58" s="1230"/>
      <c r="EK58" s="1230" t="str">
        <f>Model!EK7</f>
        <v xml:space="preserve"> 8/15</v>
      </c>
      <c r="EL58" s="1230" t="str">
        <f>Model!EL7</f>
        <v xml:space="preserve"> 11/15</v>
      </c>
      <c r="EM58" s="1230" t="str">
        <f>Model!EM7</f>
        <v>2/16</v>
      </c>
      <c r="EN58" s="1230" t="str">
        <f>Model!EN7</f>
        <v>5/16</v>
      </c>
      <c r="EO58" s="1232" t="str">
        <f>Model!EO7</f>
        <v>FY16</v>
      </c>
      <c r="EP58" s="1230"/>
      <c r="EQ58" s="1230" t="str">
        <f>Model!EQ7</f>
        <v xml:space="preserve"> 8/16</v>
      </c>
      <c r="ER58" s="1230" t="str">
        <f>Model!ER7</f>
        <v xml:space="preserve"> 11/16</v>
      </c>
      <c r="ES58" s="1230" t="str">
        <f>Model!ES7</f>
        <v xml:space="preserve"> 2/17</v>
      </c>
      <c r="ET58" s="1230" t="str">
        <f>Model!ET7</f>
        <v>5/17</v>
      </c>
      <c r="EU58" s="1232" t="str">
        <f>Model!EU7</f>
        <v>FY17</v>
      </c>
      <c r="EV58" s="1230"/>
      <c r="EW58" s="1230" t="str">
        <f>Model!EW7</f>
        <v xml:space="preserve"> 8/17</v>
      </c>
      <c r="EX58" s="1230" t="str">
        <f>Model!EX7</f>
        <v xml:space="preserve"> 11/17</v>
      </c>
      <c r="EY58" s="1230" t="str">
        <f>Model!EY7</f>
        <v xml:space="preserve"> 2/18</v>
      </c>
      <c r="EZ58" s="1230" t="str">
        <f>Model!EZ7</f>
        <v>5/18E</v>
      </c>
      <c r="FA58" s="1232" t="str">
        <f>Model!FA7</f>
        <v>FY18E</v>
      </c>
      <c r="FB58" s="1230"/>
      <c r="FC58" s="1230" t="str">
        <f>Model!FC7</f>
        <v xml:space="preserve"> 8/18E</v>
      </c>
      <c r="FD58" s="1230" t="str">
        <f>Model!FD7</f>
        <v xml:space="preserve"> 11/18E</v>
      </c>
      <c r="FE58" s="1230" t="str">
        <f>Model!FE7</f>
        <v xml:space="preserve"> 2/19E</v>
      </c>
      <c r="FF58" s="1230" t="str">
        <f>Model!FF7</f>
        <v>5/19E</v>
      </c>
      <c r="FG58" s="1232" t="str">
        <f>Model!FG7</f>
        <v>FY19E</v>
      </c>
      <c r="FH58" s="1230"/>
      <c r="FI58" s="1230" t="str">
        <f>Model!FI7</f>
        <v xml:space="preserve"> 8/19E</v>
      </c>
      <c r="FJ58" s="1230" t="str">
        <f>Model!FJ7</f>
        <v xml:space="preserve"> 11/19E</v>
      </c>
      <c r="FK58" s="1230" t="str">
        <f>Model!FK7</f>
        <v xml:space="preserve"> 2/20E</v>
      </c>
      <c r="FL58" s="1230" t="str">
        <f>Model!FL7</f>
        <v>5/20E</v>
      </c>
      <c r="FM58" s="1232" t="str">
        <f>Model!FM7</f>
        <v>FY20E</v>
      </c>
      <c r="FN58" s="16"/>
      <c r="FO58" s="16"/>
      <c r="FP58" s="27"/>
      <c r="FQ58" s="27"/>
      <c r="FR58" s="27"/>
      <c r="FS58"/>
      <c r="FT58"/>
      <c r="FU58"/>
      <c r="FV58"/>
      <c r="FW58"/>
      <c r="FX58"/>
      <c r="FY58" s="27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</row>
    <row r="59" spans="1:274" s="24" customFormat="1" ht="10.5" customHeight="1" x14ac:dyDescent="0.2">
      <c r="A59" s="596" t="s">
        <v>112</v>
      </c>
      <c r="B59" s="597"/>
      <c r="C59" s="221"/>
      <c r="D59" s="221"/>
      <c r="E59" s="221"/>
      <c r="F59" s="221"/>
      <c r="G59" s="221"/>
      <c r="H59" s="221"/>
      <c r="I59" s="221"/>
      <c r="J59" s="221"/>
      <c r="K59" s="221"/>
      <c r="L59" s="221"/>
      <c r="M59" s="222"/>
      <c r="N59" s="37"/>
      <c r="O59" s="222"/>
      <c r="P59" s="222"/>
      <c r="Q59" s="222"/>
      <c r="R59" s="222"/>
      <c r="S59" s="222"/>
      <c r="T59" s="222"/>
      <c r="U59" s="222"/>
      <c r="V59" s="222"/>
      <c r="W59" s="222"/>
      <c r="X59" s="222"/>
      <c r="Y59" s="222"/>
      <c r="Z59" s="222"/>
      <c r="AA59" s="222"/>
      <c r="AB59" s="222"/>
      <c r="AC59" s="222"/>
      <c r="AD59" s="222"/>
      <c r="AE59" s="222"/>
      <c r="AF59" s="222"/>
      <c r="AG59" s="222"/>
      <c r="AH59" s="222"/>
      <c r="AI59" s="222"/>
      <c r="AJ59" s="222"/>
      <c r="AK59" s="222"/>
      <c r="AL59" s="222"/>
      <c r="AM59" s="222"/>
      <c r="AN59" s="222"/>
      <c r="AO59" s="222"/>
      <c r="AP59" s="222"/>
      <c r="AQ59" s="222"/>
      <c r="AR59" s="222"/>
      <c r="AS59" s="222"/>
      <c r="AT59" s="222"/>
      <c r="AU59" s="222"/>
      <c r="AV59" s="222"/>
      <c r="AW59" s="222"/>
      <c r="AX59" s="222"/>
      <c r="AY59" s="222"/>
      <c r="AZ59" s="222"/>
      <c r="BA59" s="222"/>
      <c r="BB59" s="222"/>
      <c r="BC59" s="222"/>
      <c r="BD59" s="222"/>
      <c r="BE59" s="222"/>
      <c r="BF59" s="222"/>
      <c r="BG59" s="222"/>
      <c r="BH59" s="222"/>
      <c r="BI59" s="222"/>
      <c r="BJ59" s="222"/>
      <c r="BK59" s="222"/>
      <c r="BL59" s="222"/>
      <c r="BM59" s="222"/>
      <c r="BN59" s="222"/>
      <c r="BO59" s="222"/>
      <c r="BP59" s="222"/>
      <c r="BQ59" s="222"/>
      <c r="BR59" s="222"/>
      <c r="BS59" s="222"/>
      <c r="BT59" s="222"/>
      <c r="BU59" s="222"/>
      <c r="BV59" s="222"/>
      <c r="BW59" s="261"/>
      <c r="BX59" s="261"/>
      <c r="BY59" s="261"/>
      <c r="BZ59" s="261"/>
      <c r="CA59" s="261"/>
      <c r="CB59" s="222"/>
      <c r="CC59" s="261"/>
      <c r="CD59" s="261"/>
      <c r="CE59" s="261"/>
      <c r="CF59" s="261"/>
      <c r="CG59" s="261"/>
      <c r="CH59" s="222"/>
      <c r="CI59" s="261"/>
      <c r="CJ59" s="261"/>
      <c r="CK59" s="261"/>
      <c r="CL59" s="261"/>
      <c r="CM59" s="598"/>
      <c r="CN59" s="222"/>
      <c r="CO59" s="261"/>
      <c r="CP59" s="261"/>
      <c r="CQ59" s="261"/>
      <c r="CR59" s="261"/>
      <c r="CS59" s="598"/>
      <c r="CT59" s="222"/>
      <c r="CU59" s="261"/>
      <c r="CV59" s="261"/>
      <c r="CW59" s="261"/>
      <c r="CX59" s="261"/>
      <c r="CY59" s="598"/>
      <c r="CZ59" s="222"/>
      <c r="DA59" s="261"/>
      <c r="DB59" s="261"/>
      <c r="DC59" s="261"/>
      <c r="DD59" s="261"/>
      <c r="DE59" s="598"/>
      <c r="DF59" s="222"/>
      <c r="DG59" s="261"/>
      <c r="DH59" s="261"/>
      <c r="DI59" s="261"/>
      <c r="DJ59" s="261"/>
      <c r="DK59" s="598"/>
      <c r="DL59" s="222"/>
      <c r="DM59" s="261"/>
      <c r="DN59" s="261"/>
      <c r="DO59" s="261"/>
      <c r="DP59" s="261"/>
      <c r="DQ59" s="598"/>
      <c r="DR59" s="222"/>
      <c r="DS59" s="261"/>
      <c r="DT59" s="261"/>
      <c r="DU59" s="261"/>
      <c r="DV59" s="261"/>
      <c r="DW59" s="598"/>
      <c r="DX59" s="222"/>
      <c r="DY59" s="261"/>
      <c r="DZ59" s="261"/>
      <c r="EA59" s="261"/>
      <c r="EB59" s="261"/>
      <c r="EC59" s="598"/>
      <c r="ED59" s="222"/>
      <c r="EE59" s="261"/>
      <c r="EF59" s="261"/>
      <c r="EG59" s="261"/>
      <c r="EH59" s="261"/>
      <c r="EI59" s="598"/>
      <c r="EJ59" s="222"/>
      <c r="EK59" s="261"/>
      <c r="EL59" s="261"/>
      <c r="EM59" s="261"/>
      <c r="EN59" s="261"/>
      <c r="EO59" s="598"/>
      <c r="EP59" s="222"/>
      <c r="EQ59" s="261"/>
      <c r="ER59" s="261"/>
      <c r="ES59" s="261"/>
      <c r="ET59" s="261"/>
      <c r="EU59" s="598"/>
      <c r="EV59" s="222"/>
      <c r="EW59" s="261"/>
      <c r="EX59" s="261"/>
      <c r="EY59" s="261"/>
      <c r="EZ59" s="261"/>
      <c r="FA59" s="598"/>
      <c r="FB59" s="222"/>
      <c r="FC59" s="261"/>
      <c r="FD59" s="261"/>
      <c r="FE59" s="261"/>
      <c r="FF59" s="261"/>
      <c r="FG59" s="598"/>
      <c r="FH59" s="222"/>
      <c r="FI59" s="261"/>
      <c r="FJ59" s="261"/>
      <c r="FK59" s="261"/>
      <c r="FL59" s="261"/>
      <c r="FM59" s="598"/>
      <c r="FN59" s="222"/>
      <c r="FO59" s="222"/>
      <c r="FP59" s="261"/>
      <c r="FQ59" s="261"/>
      <c r="FR59" s="261"/>
      <c r="FS59"/>
      <c r="FT59"/>
      <c r="FU59"/>
      <c r="FV59"/>
      <c r="FW59"/>
      <c r="FX59"/>
      <c r="FY59" s="261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</row>
    <row r="60" spans="1:274" s="1523" customFormat="1" ht="10.5" customHeight="1" x14ac:dyDescent="0.2">
      <c r="A60" s="1540" t="s">
        <v>45</v>
      </c>
      <c r="B60" s="1563"/>
      <c r="C60" s="1564">
        <v>0</v>
      </c>
      <c r="D60" s="1564">
        <v>0</v>
      </c>
      <c r="E60" s="1564">
        <v>0</v>
      </c>
      <c r="F60" s="1564">
        <v>15.622999999999999</v>
      </c>
      <c r="G60" s="1564">
        <v>42.886000000000003</v>
      </c>
      <c r="H60" s="1564">
        <f>81.766</f>
        <v>81.766000000000005</v>
      </c>
      <c r="I60" s="1564">
        <v>80.876999999999995</v>
      </c>
      <c r="J60" s="1564">
        <v>-12.401</v>
      </c>
      <c r="K60" s="1564">
        <v>61.51</v>
      </c>
      <c r="L60" s="1564">
        <f>98.256+43.47</f>
        <v>141.726</v>
      </c>
      <c r="M60" s="1540">
        <f>283.72</f>
        <v>283.72000000000003</v>
      </c>
      <c r="N60" s="1534"/>
      <c r="O60" s="1540">
        <f>61.2</f>
        <v>61.2</v>
      </c>
      <c r="P60" s="1540">
        <f>155.066-O60</f>
        <v>93.866</v>
      </c>
      <c r="Q60" s="1540">
        <f>259.843-P60-O60</f>
        <v>104.77700000000003</v>
      </c>
      <c r="R60" s="1540">
        <f>441.518-Q60-P60-O60</f>
        <v>181.67499999999995</v>
      </c>
      <c r="S60" s="1540">
        <f t="shared" ref="S60:S76" si="93">SUM(O60:R60)</f>
        <v>441.51799999999997</v>
      </c>
      <c r="T60" s="1534"/>
      <c r="U60" s="1540">
        <v>53.762999999999998</v>
      </c>
      <c r="V60" s="1540">
        <f>190.664-U60</f>
        <v>136.90099999999998</v>
      </c>
      <c r="W60" s="1540">
        <f>336.954-V60-U60</f>
        <v>146.29000000000002</v>
      </c>
      <c r="X60" s="1540">
        <f>603.279-W60-V60-U60</f>
        <v>266.32499999999999</v>
      </c>
      <c r="Y60" s="1540">
        <f t="shared" ref="Y60:Y76" si="94">SUM(U60:X60)</f>
        <v>603.279</v>
      </c>
      <c r="Z60" s="1534"/>
      <c r="AA60" s="1540">
        <v>112.771</v>
      </c>
      <c r="AB60" s="1540">
        <f>292.267-AA60</f>
        <v>179.49599999999998</v>
      </c>
      <c r="AC60" s="1540">
        <f>461.52-AB60-AA60</f>
        <v>169.25299999999999</v>
      </c>
      <c r="AD60" s="1540">
        <f>821.457-AC60-AB60-AA60</f>
        <v>359.93699999999995</v>
      </c>
      <c r="AE60" s="1540">
        <f t="shared" ref="AE60:AE76" si="95">SUM(AA60:AD60)</f>
        <v>821.45699999999988</v>
      </c>
      <c r="AF60" s="1534"/>
      <c r="AG60" s="1540">
        <f>8.471</f>
        <v>8.4710000000000001</v>
      </c>
      <c r="AH60" s="1540">
        <f>195.795-AG60</f>
        <v>187.32399999999998</v>
      </c>
      <c r="AI60" s="1540">
        <f>410.872-AH60-AG60</f>
        <v>215.07700000000003</v>
      </c>
      <c r="AJ60" s="1540">
        <f>813.695-AI60-AH60-AG60</f>
        <v>402.82300000000009</v>
      </c>
      <c r="AK60" s="1540">
        <f t="shared" ref="AK60:AK76" si="96">SUM(AG60:AJ60)</f>
        <v>813.69500000000016</v>
      </c>
      <c r="AL60" s="1534"/>
      <c r="AM60" s="1540">
        <v>195.00200000000001</v>
      </c>
      <c r="AN60" s="1540">
        <f>469.077-AM60</f>
        <v>274.07499999999999</v>
      </c>
      <c r="AO60" s="1540">
        <f>762.338-AN60-AM60</f>
        <v>293.26099999999997</v>
      </c>
      <c r="AP60" s="1540">
        <f>1289.758-AO60-AN60-AM60</f>
        <v>527.42000000000007</v>
      </c>
      <c r="AQ60" s="1540">
        <f t="shared" ref="AQ60:AQ76" si="97">SUM(AM60:AP60)</f>
        <v>1289.758</v>
      </c>
      <c r="AR60" s="1534"/>
      <c r="AS60" s="1540">
        <f>236.736</f>
        <v>236.73599999999999</v>
      </c>
      <c r="AT60" s="1540">
        <f>621.22-AS60</f>
        <v>384.48400000000004</v>
      </c>
      <c r="AU60" s="1540">
        <f>1384.396-AT60-AS60</f>
        <v>763.17599999999993</v>
      </c>
      <c r="AV60" s="1540">
        <f>6296.803-AU60-AT60-AS60</f>
        <v>4912.4070000000002</v>
      </c>
      <c r="AW60" s="1540">
        <f t="shared" ref="AW60:AW76" si="98">AS60+AT60+AU60+AV60</f>
        <v>6296.8029999999999</v>
      </c>
      <c r="AX60" s="1534"/>
      <c r="AY60" s="1540">
        <v>500.67700000000002</v>
      </c>
      <c r="AZ60" s="1540">
        <f>1123.489-AY60</f>
        <v>622.81200000000001</v>
      </c>
      <c r="BA60" s="1540">
        <f>1706.202-AZ60-AY60</f>
        <v>582.71299999999985</v>
      </c>
      <c r="BB60" s="1540">
        <f>2561-BA60-AZ60-AY60</f>
        <v>854.79800000000034</v>
      </c>
      <c r="BC60" s="1540">
        <f t="shared" ref="BC60:BC76" si="99">SUM(AY60:BB60)</f>
        <v>2561</v>
      </c>
      <c r="BD60" s="1534"/>
      <c r="BE60" s="1540">
        <v>510.64699999999999</v>
      </c>
      <c r="BF60" s="1540">
        <f>1060-BE60</f>
        <v>549.35300000000007</v>
      </c>
      <c r="BG60" s="1540">
        <f>1568-BF60-BE60</f>
        <v>507.99999999999994</v>
      </c>
      <c r="BH60" s="1540">
        <f>2224-BG60-BF60-BE60</f>
        <v>656</v>
      </c>
      <c r="BI60" s="1540">
        <f t="shared" ref="BI60:BI76" si="100">SUM(BE60:BH60)</f>
        <v>2224</v>
      </c>
      <c r="BJ60" s="1534"/>
      <c r="BK60" s="1540">
        <v>343</v>
      </c>
      <c r="BL60" s="1540">
        <f>878-BK60</f>
        <v>535</v>
      </c>
      <c r="BM60" s="1540">
        <f>1449-BL60-BK60</f>
        <v>571</v>
      </c>
      <c r="BN60" s="1540">
        <f>2307-BM60-BL60-BK60</f>
        <v>858</v>
      </c>
      <c r="BO60" s="1540">
        <f t="shared" ref="BO60:BO76" si="101">SUM(BK60:BN60)</f>
        <v>2307</v>
      </c>
      <c r="BP60" s="1534"/>
      <c r="BQ60" s="1540">
        <v>440</v>
      </c>
      <c r="BR60" s="1540">
        <f>BR9-BQ9</f>
        <v>617</v>
      </c>
      <c r="BS60" s="1540">
        <f>BS9-BR9</f>
        <v>634</v>
      </c>
      <c r="BT60" s="1540">
        <f>BT9-BS9</f>
        <v>990</v>
      </c>
      <c r="BU60" s="1540">
        <f>SUM(BQ60:BT60)</f>
        <v>2681</v>
      </c>
      <c r="BV60" s="1534"/>
      <c r="BW60" s="1540">
        <v>509</v>
      </c>
      <c r="BX60" s="1540">
        <f>BX9-BW9</f>
        <v>815</v>
      </c>
      <c r="BY60" s="1540">
        <f>BY9-BX9</f>
        <v>540</v>
      </c>
      <c r="BZ60" s="1540">
        <f>BZ9-BY9</f>
        <v>1021.9225000000001</v>
      </c>
      <c r="CA60" s="1540">
        <f>SUM(BW60:BZ60)</f>
        <v>2885.9225000000001</v>
      </c>
      <c r="CB60" s="1534"/>
      <c r="CC60" s="1540">
        <f>CC9</f>
        <v>519</v>
      </c>
      <c r="CD60" s="1540">
        <f>CD9-CC9</f>
        <v>797</v>
      </c>
      <c r="CE60" s="1540">
        <f>CE9-CD9</f>
        <v>765</v>
      </c>
      <c r="CF60" s="1540">
        <f>CF9-CE9</f>
        <v>1300</v>
      </c>
      <c r="CG60" s="1540">
        <f>SUM(CC60:CF60)</f>
        <v>3381</v>
      </c>
      <c r="CH60" s="1534"/>
      <c r="CI60" s="1540">
        <f>CI9</f>
        <v>672</v>
      </c>
      <c r="CJ60" s="1540">
        <f>CJ9-CI9</f>
        <v>965</v>
      </c>
      <c r="CK60" s="1540">
        <f>CK9-CJ9</f>
        <v>1033</v>
      </c>
      <c r="CL60" s="1540">
        <f>CL9-CK9</f>
        <v>1604</v>
      </c>
      <c r="CM60" s="1545">
        <f>SUM(CI60:CL60)</f>
        <v>4274</v>
      </c>
      <c r="CN60" s="1534"/>
      <c r="CO60" s="1540">
        <f>CO9</f>
        <v>840</v>
      </c>
      <c r="CP60" s="1540">
        <f>CP9-CO9</f>
        <v>1304</v>
      </c>
      <c r="CQ60" s="1540">
        <f>CQ9-CP9</f>
        <v>1340</v>
      </c>
      <c r="CR60" s="1540">
        <f>CR9-CQ9</f>
        <v>2037</v>
      </c>
      <c r="CS60" s="1545">
        <f>SUM(CO60:CR60)</f>
        <v>5521</v>
      </c>
      <c r="CT60" s="1534"/>
      <c r="CU60" s="1540">
        <f>CU9</f>
        <v>1077</v>
      </c>
      <c r="CV60" s="1540">
        <f>CV9-CU9</f>
        <v>1296</v>
      </c>
      <c r="CW60" s="1540">
        <f>CW9-CV9</f>
        <v>1329</v>
      </c>
      <c r="CX60" s="1540">
        <f>CX9-CW9</f>
        <v>1891</v>
      </c>
      <c r="CY60" s="1545">
        <f>SUM(CU60:CX60)</f>
        <v>5593</v>
      </c>
      <c r="CZ60" s="1534"/>
      <c r="DA60" s="1540">
        <f>DA9</f>
        <v>1124</v>
      </c>
      <c r="DB60" s="1540">
        <f>DB9-DA9</f>
        <v>1458</v>
      </c>
      <c r="DC60" s="1540">
        <f>DC9-DB9</f>
        <v>1190</v>
      </c>
      <c r="DD60" s="1540">
        <f>DD9-DC9</f>
        <v>2363</v>
      </c>
      <c r="DE60" s="1545">
        <f>SUM(DA60:DD60)</f>
        <v>6135</v>
      </c>
      <c r="DF60" s="1534"/>
      <c r="DG60" s="1540">
        <f>DG9</f>
        <v>1352</v>
      </c>
      <c r="DH60" s="1540">
        <f>DH9-DG9</f>
        <v>1871</v>
      </c>
      <c r="DI60" s="1540">
        <f>DI9-DH9</f>
        <v>2115</v>
      </c>
      <c r="DJ60" s="1540">
        <f>DJ9-DI9</f>
        <v>3209</v>
      </c>
      <c r="DK60" s="1545">
        <f>SUM(DG60:DJ60)</f>
        <v>8547</v>
      </c>
      <c r="DL60" s="1534"/>
      <c r="DM60" s="1540">
        <f>DM9</f>
        <v>1840</v>
      </c>
      <c r="DN60" s="1540">
        <f>DN9-DM9</f>
        <v>2192</v>
      </c>
      <c r="DO60" s="1540">
        <f>DO9-DN9</f>
        <v>2497</v>
      </c>
      <c r="DP60" s="1540">
        <f>DP9-DO9</f>
        <v>3452</v>
      </c>
      <c r="DQ60" s="1545">
        <f>SUM(DM60:DP60)</f>
        <v>9981</v>
      </c>
      <c r="DR60" s="1534"/>
      <c r="DS60" s="1540">
        <f>DS9</f>
        <v>2034</v>
      </c>
      <c r="DT60" s="1540">
        <f>DT9-DS9</f>
        <v>2581</v>
      </c>
      <c r="DU60" s="1540">
        <f>DU9-DT9</f>
        <v>2504</v>
      </c>
      <c r="DV60" s="1540">
        <f>DV9-DU9</f>
        <v>3806</v>
      </c>
      <c r="DW60" s="1545">
        <f>SUM(DS60:DV60)</f>
        <v>10925</v>
      </c>
      <c r="DX60" s="1534"/>
      <c r="DY60" s="1540">
        <f>DY9</f>
        <v>2191</v>
      </c>
      <c r="DZ60" s="1540">
        <f>DZ9-DY9</f>
        <v>2553</v>
      </c>
      <c r="EA60" s="1540">
        <f>EA9-DZ9</f>
        <v>2565</v>
      </c>
      <c r="EB60" s="1540">
        <f>EB9-EA9</f>
        <v>3646</v>
      </c>
      <c r="EC60" s="1545">
        <f>SUM(DY60:EB60)</f>
        <v>10955</v>
      </c>
      <c r="ED60" s="1534"/>
      <c r="EE60" s="1540">
        <f>EE9</f>
        <v>2184</v>
      </c>
      <c r="EF60" s="1540">
        <f>EF9-EE9</f>
        <v>2501</v>
      </c>
      <c r="EG60" s="1540">
        <f>EG9-EF9</f>
        <v>2496</v>
      </c>
      <c r="EH60" s="1540">
        <f>EH9-EG9</f>
        <v>2757</v>
      </c>
      <c r="EI60" s="1545">
        <f>SUM(EE60:EH60)</f>
        <v>9938</v>
      </c>
      <c r="EJ60" s="1534"/>
      <c r="EK60" s="1540">
        <f>EK9</f>
        <v>1747</v>
      </c>
      <c r="EL60" s="1540">
        <f>EL9-EK9</f>
        <v>2198</v>
      </c>
      <c r="EM60" s="1540">
        <f>EM9-EL9</f>
        <v>2142</v>
      </c>
      <c r="EN60" s="1540">
        <f>EN9-EM9</f>
        <v>2814</v>
      </c>
      <c r="EO60" s="1545">
        <f>SUM(EK60:EN60)</f>
        <v>8901</v>
      </c>
      <c r="EP60" s="1534"/>
      <c r="EQ60" s="1540">
        <f>EQ9</f>
        <v>1832</v>
      </c>
      <c r="ER60" s="1540">
        <f>ER9-EQ9</f>
        <v>2032</v>
      </c>
      <c r="ES60" s="1540">
        <f>ES9-ER9</f>
        <v>2239</v>
      </c>
      <c r="ET60" s="1540">
        <f>ET9-ES9</f>
        <v>3232</v>
      </c>
      <c r="EU60" s="1545">
        <f>SUM(EQ60:ET60)</f>
        <v>9335</v>
      </c>
      <c r="EV60" s="1534"/>
      <c r="EW60" s="1540">
        <f>EW9</f>
        <v>2210</v>
      </c>
      <c r="EX60" s="1540">
        <f>EX9-EW9</f>
        <v>2232</v>
      </c>
      <c r="EY60" s="1540">
        <f>EY9-EX9</f>
        <v>-4024</v>
      </c>
      <c r="EZ60" s="1540">
        <f>EZ9-EY9</f>
        <v>3210.4716849674414</v>
      </c>
      <c r="FA60" s="1545">
        <f>SUM(EW60:EZ60)</f>
        <v>3628.4716849674414</v>
      </c>
      <c r="FB60" s="1534"/>
      <c r="FC60" s="1540">
        <f>FC9</f>
        <v>2382.410122191643</v>
      </c>
      <c r="FD60" s="1540">
        <f>FD9-FC9</f>
        <v>2710.4249584144031</v>
      </c>
      <c r="FE60" s="1540">
        <f>FE9-FD9</f>
        <v>2776.272987749956</v>
      </c>
      <c r="FF60" s="1540">
        <f>FF9-FE9</f>
        <v>3424.6532466497638</v>
      </c>
      <c r="FG60" s="1545">
        <f>SUM(FC60:FF60)</f>
        <v>11293.761315005766</v>
      </c>
      <c r="FH60" s="1534"/>
      <c r="FI60" s="1540">
        <f>FI9</f>
        <v>2591.7941958350602</v>
      </c>
      <c r="FJ60" s="1540">
        <f>FJ9-FI9</f>
        <v>2909.4418418130526</v>
      </c>
      <c r="FK60" s="1540">
        <f>FK9-FJ9</f>
        <v>2951.361964120978</v>
      </c>
      <c r="FL60" s="1540">
        <f>FL9-FK9</f>
        <v>3501.591655922115</v>
      </c>
      <c r="FM60" s="1545">
        <f>SUM(FI60:FL60)</f>
        <v>11954.189657691206</v>
      </c>
      <c r="FN60" s="1533"/>
      <c r="FO60" s="1533"/>
      <c r="FP60" s="1539"/>
      <c r="FQ60" s="1539"/>
      <c r="FR60" s="1539"/>
      <c r="FS60"/>
      <c r="FT60"/>
      <c r="FU60"/>
      <c r="FV60"/>
      <c r="FW60"/>
      <c r="FX60"/>
      <c r="FY60" s="1539"/>
      <c r="FZ60" s="1522"/>
      <c r="GA60" s="1522"/>
      <c r="GB60" s="1522"/>
      <c r="GC60" s="1522"/>
      <c r="GD60" s="1522"/>
      <c r="GE60" s="1522"/>
      <c r="GF60" s="1522"/>
      <c r="GG60" s="1522"/>
      <c r="GH60" s="1522"/>
      <c r="GI60" s="1522"/>
      <c r="GJ60" s="1522"/>
      <c r="GK60" s="1522"/>
      <c r="GL60" s="1522"/>
      <c r="GM60" s="1522"/>
      <c r="GN60" s="1522"/>
      <c r="GO60" s="1522"/>
      <c r="GP60" s="1522"/>
      <c r="GQ60" s="1522"/>
      <c r="GR60" s="1522"/>
      <c r="GS60" s="1522"/>
      <c r="GT60" s="1522"/>
      <c r="GU60" s="1522"/>
      <c r="GV60" s="1522"/>
      <c r="GW60" s="1522"/>
      <c r="GX60" s="1522"/>
      <c r="GY60" s="1522"/>
      <c r="GZ60" s="1522"/>
      <c r="HA60" s="1522"/>
      <c r="HB60" s="1522"/>
      <c r="HC60" s="1522"/>
      <c r="HD60" s="1522"/>
      <c r="HE60" s="1522"/>
      <c r="HF60" s="1522"/>
      <c r="HG60" s="1522"/>
      <c r="HH60" s="1522"/>
      <c r="HI60" s="1522"/>
      <c r="HJ60" s="1522"/>
      <c r="HK60" s="1522"/>
      <c r="HL60" s="1522"/>
      <c r="HM60" s="1522"/>
      <c r="HN60" s="1522"/>
      <c r="HO60" s="1522"/>
      <c r="HP60" s="1522"/>
      <c r="HQ60" s="1522"/>
      <c r="HR60" s="1522"/>
      <c r="HS60" s="1522"/>
      <c r="HT60" s="1522"/>
      <c r="HU60" s="1522"/>
      <c r="HV60" s="1522"/>
      <c r="HW60" s="1522"/>
      <c r="HX60" s="1522"/>
      <c r="HY60" s="1522"/>
      <c r="HZ60" s="1522"/>
      <c r="IA60" s="1522"/>
      <c r="IB60" s="1522"/>
      <c r="IC60" s="1522"/>
      <c r="ID60" s="1522"/>
      <c r="IE60" s="1522"/>
      <c r="IF60" s="1522"/>
      <c r="IG60" s="1522"/>
      <c r="IH60" s="1522"/>
      <c r="II60" s="1522"/>
      <c r="IJ60" s="1522"/>
      <c r="IK60" s="1522"/>
      <c r="IL60" s="1522"/>
      <c r="IM60" s="1522"/>
      <c r="IN60" s="1522"/>
      <c r="IO60" s="1522"/>
      <c r="IP60" s="1522"/>
      <c r="IQ60" s="1522"/>
      <c r="IR60" s="1522"/>
      <c r="IS60" s="1522"/>
      <c r="IT60" s="1522"/>
      <c r="IU60" s="1522"/>
      <c r="IV60" s="1522"/>
      <c r="IW60" s="1522"/>
      <c r="IX60" s="1522"/>
      <c r="IY60" s="1522"/>
      <c r="IZ60" s="1522"/>
      <c r="JA60" s="1522"/>
      <c r="JB60" s="1522"/>
      <c r="JC60" s="1522"/>
      <c r="JD60" s="1522"/>
      <c r="JE60" s="1522"/>
      <c r="JF60" s="1522"/>
      <c r="JG60" s="1522"/>
      <c r="JH60" s="1522"/>
      <c r="JI60" s="1522"/>
      <c r="JJ60" s="1522"/>
      <c r="JK60" s="1522"/>
      <c r="JL60" s="1522"/>
      <c r="JM60" s="1522"/>
      <c r="JN60" s="1522"/>
    </row>
    <row r="61" spans="1:274" s="1523" customFormat="1" ht="5.25" customHeight="1" x14ac:dyDescent="0.2">
      <c r="A61" s="1565"/>
      <c r="B61" s="1529"/>
      <c r="C61" s="1565"/>
      <c r="D61" s="1565"/>
      <c r="E61" s="1565"/>
      <c r="F61" s="1565"/>
      <c r="G61" s="1565"/>
      <c r="H61" s="1565"/>
      <c r="I61" s="1565"/>
      <c r="J61" s="1565"/>
      <c r="K61" s="1565"/>
      <c r="L61" s="1565"/>
      <c r="M61" s="1565"/>
      <c r="N61" s="1565"/>
      <c r="O61" s="1565"/>
      <c r="P61" s="1565"/>
      <c r="Q61" s="1565"/>
      <c r="R61" s="1565"/>
      <c r="S61" s="1565"/>
      <c r="T61" s="1565"/>
      <c r="U61" s="1565"/>
      <c r="V61" s="1565"/>
      <c r="W61" s="1565"/>
      <c r="X61" s="1565"/>
      <c r="Y61" s="1565"/>
      <c r="Z61" s="1565"/>
      <c r="AA61" s="1565"/>
      <c r="AB61" s="1565"/>
      <c r="AC61" s="1565"/>
      <c r="AD61" s="1565"/>
      <c r="AE61" s="1565"/>
      <c r="AF61" s="1565"/>
      <c r="AG61" s="1565"/>
      <c r="AH61" s="1565"/>
      <c r="AI61" s="1565"/>
      <c r="AJ61" s="1565"/>
      <c r="AK61" s="1565"/>
      <c r="AL61" s="1565"/>
      <c r="AM61" s="1565"/>
      <c r="AN61" s="1565"/>
      <c r="AO61" s="1565"/>
      <c r="AP61" s="1565"/>
      <c r="AQ61" s="1565"/>
      <c r="AR61" s="1565"/>
      <c r="AS61" s="1565"/>
      <c r="AT61" s="1565"/>
      <c r="AU61" s="1565"/>
      <c r="AV61" s="1565"/>
      <c r="AW61" s="1565"/>
      <c r="AX61" s="1565"/>
      <c r="AY61" s="1565"/>
      <c r="AZ61" s="1565"/>
      <c r="BA61" s="1565"/>
      <c r="BB61" s="1565"/>
      <c r="BC61" s="1565"/>
      <c r="BD61" s="1565"/>
      <c r="BE61" s="1565"/>
      <c r="BF61" s="1565"/>
      <c r="BG61" s="1565"/>
      <c r="BH61" s="1565"/>
      <c r="BI61" s="1565"/>
      <c r="BJ61" s="1565"/>
      <c r="BK61" s="1565"/>
      <c r="BL61" s="1565"/>
      <c r="BM61" s="1565"/>
      <c r="BN61" s="1565"/>
      <c r="BO61" s="1565"/>
      <c r="BP61" s="1565"/>
      <c r="BQ61" s="1565"/>
      <c r="BR61" s="1565"/>
      <c r="BS61" s="1565"/>
      <c r="BT61" s="1565"/>
      <c r="BU61" s="1565"/>
      <c r="BV61" s="1565"/>
      <c r="BW61" s="1565"/>
      <c r="BX61" s="1565"/>
      <c r="BY61" s="1565"/>
      <c r="BZ61" s="1565"/>
      <c r="CA61" s="1565"/>
      <c r="CB61" s="1565"/>
      <c r="CC61" s="1565"/>
      <c r="CD61" s="1565"/>
      <c r="CE61" s="1565"/>
      <c r="CF61" s="1565"/>
      <c r="CG61" s="1565"/>
      <c r="CH61" s="1565"/>
      <c r="CI61" s="1565"/>
      <c r="CJ61" s="1565"/>
      <c r="CK61" s="1565"/>
      <c r="CL61" s="1565"/>
      <c r="CM61" s="1566"/>
      <c r="CN61" s="1565"/>
      <c r="CO61" s="1565"/>
      <c r="CP61" s="1565"/>
      <c r="CQ61" s="1565"/>
      <c r="CR61" s="1565"/>
      <c r="CS61" s="1566"/>
      <c r="CT61" s="1565"/>
      <c r="CU61" s="1565"/>
      <c r="CV61" s="1565"/>
      <c r="CW61" s="1565"/>
      <c r="CX61" s="1565"/>
      <c r="CY61" s="1566"/>
      <c r="CZ61" s="1565"/>
      <c r="DA61" s="1565"/>
      <c r="DB61" s="1565"/>
      <c r="DC61" s="1565"/>
      <c r="DD61" s="1565"/>
      <c r="DE61" s="1566"/>
      <c r="DF61" s="1565"/>
      <c r="DG61" s="1565"/>
      <c r="DH61" s="1565"/>
      <c r="DI61" s="1565"/>
      <c r="DJ61" s="1565"/>
      <c r="DK61" s="1566"/>
      <c r="DL61" s="1565"/>
      <c r="DM61" s="1565"/>
      <c r="DN61" s="1565"/>
      <c r="DO61" s="1565"/>
      <c r="DP61" s="1565"/>
      <c r="DQ61" s="1566"/>
      <c r="DR61" s="1565"/>
      <c r="DS61" s="1565"/>
      <c r="DT61" s="1565"/>
      <c r="DU61" s="1565"/>
      <c r="DV61" s="1565"/>
      <c r="DW61" s="1566"/>
      <c r="DX61" s="1565"/>
      <c r="DY61" s="1565"/>
      <c r="DZ61" s="1565"/>
      <c r="EA61" s="1565"/>
      <c r="EB61" s="1565"/>
      <c r="EC61" s="1566"/>
      <c r="ED61" s="1565"/>
      <c r="EE61" s="1565"/>
      <c r="EF61" s="1565"/>
      <c r="EG61" s="1565"/>
      <c r="EH61" s="1565"/>
      <c r="EI61" s="1566"/>
      <c r="EJ61" s="1565"/>
      <c r="EK61" s="1565"/>
      <c r="EL61" s="1565"/>
      <c r="EM61" s="1565"/>
      <c r="EN61" s="1565"/>
      <c r="EO61" s="1566"/>
      <c r="EP61" s="1565"/>
      <c r="EQ61" s="1565"/>
      <c r="ER61" s="1565"/>
      <c r="ES61" s="1565"/>
      <c r="ET61" s="1565"/>
      <c r="EU61" s="1566"/>
      <c r="EV61" s="1565"/>
      <c r="EW61" s="1565"/>
      <c r="EX61" s="1565"/>
      <c r="EY61" s="1565"/>
      <c r="EZ61" s="1565"/>
      <c r="FA61" s="1566"/>
      <c r="FB61" s="1565"/>
      <c r="FC61" s="1565"/>
      <c r="FD61" s="1565"/>
      <c r="FE61" s="1565"/>
      <c r="FF61" s="1565"/>
      <c r="FG61" s="1566"/>
      <c r="FH61" s="1565"/>
      <c r="FI61" s="1565"/>
      <c r="FJ61" s="1565"/>
      <c r="FK61" s="1565"/>
      <c r="FL61" s="1565"/>
      <c r="FM61" s="1566"/>
      <c r="FN61" s="1567"/>
      <c r="FO61" s="1567"/>
      <c r="FP61" s="1567"/>
      <c r="FQ61" s="1567"/>
      <c r="FR61" s="1567"/>
      <c r="FS61"/>
      <c r="FT61"/>
      <c r="FU61"/>
      <c r="FV61"/>
      <c r="FW61"/>
      <c r="FX61"/>
      <c r="FY61" s="1567"/>
      <c r="FZ61" s="1522"/>
      <c r="GA61" s="1522"/>
      <c r="GB61" s="1522"/>
      <c r="GC61" s="1522"/>
      <c r="GD61" s="1522"/>
      <c r="GE61" s="1522"/>
      <c r="GF61" s="1522"/>
      <c r="GG61" s="1522"/>
      <c r="GH61" s="1522"/>
      <c r="GI61" s="1522"/>
      <c r="GJ61" s="1522"/>
      <c r="GK61" s="1522"/>
      <c r="GL61" s="1522"/>
      <c r="GM61" s="1522"/>
      <c r="GN61" s="1522"/>
      <c r="GO61" s="1522"/>
      <c r="GP61" s="1522"/>
      <c r="GQ61" s="1522"/>
      <c r="GR61" s="1522"/>
      <c r="GS61" s="1522"/>
      <c r="GT61" s="1522"/>
      <c r="GU61" s="1522"/>
      <c r="GV61" s="1522"/>
      <c r="GW61" s="1522"/>
      <c r="GX61" s="1522"/>
      <c r="GY61" s="1522"/>
      <c r="GZ61" s="1522"/>
      <c r="HA61" s="1522"/>
      <c r="HB61" s="1522"/>
      <c r="HC61" s="1522"/>
      <c r="HD61" s="1522"/>
      <c r="HE61" s="1522"/>
      <c r="HF61" s="1522"/>
      <c r="HG61" s="1522"/>
      <c r="HH61" s="1522"/>
      <c r="HI61" s="1522"/>
      <c r="HJ61" s="1522"/>
      <c r="HK61" s="1522"/>
      <c r="HL61" s="1522"/>
      <c r="HM61" s="1522"/>
      <c r="HN61" s="1522"/>
      <c r="HO61" s="1522"/>
      <c r="HP61" s="1522"/>
      <c r="HQ61" s="1522"/>
      <c r="HR61" s="1522"/>
      <c r="HS61" s="1522"/>
      <c r="HT61" s="1522"/>
      <c r="HU61" s="1522"/>
      <c r="HV61" s="1522"/>
      <c r="HW61" s="1522"/>
      <c r="HX61" s="1522"/>
      <c r="HY61" s="1522"/>
      <c r="HZ61" s="1522"/>
      <c r="IA61" s="1522"/>
      <c r="IB61" s="1522"/>
      <c r="IC61" s="1522"/>
      <c r="ID61" s="1522"/>
      <c r="IE61" s="1522"/>
      <c r="IF61" s="1522"/>
      <c r="IG61" s="1522"/>
      <c r="IH61" s="1522"/>
      <c r="II61" s="1522"/>
      <c r="IJ61" s="1522"/>
      <c r="IK61" s="1522"/>
      <c r="IL61" s="1522"/>
      <c r="IM61" s="1522"/>
      <c r="IN61" s="1522"/>
      <c r="IO61" s="1522"/>
      <c r="IP61" s="1522"/>
      <c r="IQ61" s="1522"/>
      <c r="IR61" s="1522"/>
      <c r="IS61" s="1522"/>
      <c r="IT61" s="1522"/>
      <c r="IU61" s="1522"/>
      <c r="IV61" s="1522"/>
      <c r="IW61" s="1522"/>
      <c r="IX61" s="1522"/>
      <c r="IY61" s="1522"/>
      <c r="IZ61" s="1522"/>
      <c r="JA61" s="1522"/>
      <c r="JB61" s="1522"/>
      <c r="JC61" s="1522"/>
      <c r="JD61" s="1522"/>
      <c r="JE61" s="1522"/>
      <c r="JF61" s="1522"/>
      <c r="JG61" s="1522"/>
      <c r="JH61" s="1522"/>
      <c r="JI61" s="1522"/>
      <c r="JJ61" s="1522"/>
      <c r="JK61" s="1522"/>
      <c r="JL61" s="1522"/>
      <c r="JM61" s="1522"/>
      <c r="JN61" s="1522"/>
    </row>
    <row r="62" spans="1:274" s="1523" customFormat="1" ht="10.5" customHeight="1" x14ac:dyDescent="0.2">
      <c r="A62" s="1540" t="s">
        <v>1069</v>
      </c>
      <c r="B62" s="1529"/>
      <c r="C62" s="1527"/>
      <c r="D62" s="1527"/>
      <c r="E62" s="1527"/>
      <c r="F62" s="1527"/>
      <c r="G62" s="1527"/>
      <c r="H62" s="1527"/>
      <c r="I62" s="1527"/>
      <c r="J62" s="1527"/>
      <c r="K62" s="1527"/>
      <c r="L62" s="1527"/>
      <c r="M62" s="1529"/>
      <c r="N62" s="1528"/>
      <c r="O62" s="1529"/>
      <c r="P62" s="1529"/>
      <c r="Q62" s="1529"/>
      <c r="R62" s="1529"/>
      <c r="S62" s="1529"/>
      <c r="T62" s="1528"/>
      <c r="U62" s="1529"/>
      <c r="V62" s="1529"/>
      <c r="W62" s="1529"/>
      <c r="X62" s="1529"/>
      <c r="Y62" s="1529"/>
      <c r="Z62" s="1528"/>
      <c r="AA62" s="1529"/>
      <c r="AB62" s="1529"/>
      <c r="AC62" s="1529"/>
      <c r="AD62" s="1529"/>
      <c r="AE62" s="1529"/>
      <c r="AF62" s="1528"/>
      <c r="AG62" s="1529"/>
      <c r="AH62" s="1529"/>
      <c r="AI62" s="1529"/>
      <c r="AJ62" s="1529"/>
      <c r="AK62" s="1529"/>
      <c r="AL62" s="1528"/>
      <c r="AM62" s="1529"/>
      <c r="AN62" s="1529"/>
      <c r="AO62" s="1529"/>
      <c r="AP62" s="1529"/>
      <c r="AQ62" s="1529"/>
      <c r="AR62" s="1528"/>
      <c r="AS62" s="1529"/>
      <c r="AT62" s="1529"/>
      <c r="AU62" s="1529"/>
      <c r="AV62" s="1529"/>
      <c r="AW62" s="1529"/>
      <c r="AX62" s="1528"/>
      <c r="AY62" s="1529"/>
      <c r="AZ62" s="1529"/>
      <c r="BA62" s="1529"/>
      <c r="BB62" s="1529"/>
      <c r="BC62" s="1529"/>
      <c r="BD62" s="1528"/>
      <c r="BE62" s="1529"/>
      <c r="BF62" s="1529"/>
      <c r="BG62" s="1529"/>
      <c r="BH62" s="1529"/>
      <c r="BI62" s="1529"/>
      <c r="BJ62" s="1528"/>
      <c r="BK62" s="1529"/>
      <c r="BL62" s="1529"/>
      <c r="BM62" s="1529"/>
      <c r="BN62" s="1529"/>
      <c r="BO62" s="1529"/>
      <c r="BP62" s="1528"/>
      <c r="BQ62" s="1529"/>
      <c r="BR62" s="1529"/>
      <c r="BS62" s="1529"/>
      <c r="BT62" s="1529"/>
      <c r="BU62" s="1529"/>
      <c r="BV62" s="1528"/>
      <c r="BW62" s="1529"/>
      <c r="BX62" s="1529"/>
      <c r="BY62" s="1529"/>
      <c r="BZ62" s="1529"/>
      <c r="CA62" s="1529"/>
      <c r="CB62" s="1528"/>
      <c r="CC62" s="1529"/>
      <c r="CD62" s="1529"/>
      <c r="CE62" s="1529"/>
      <c r="CF62" s="1529"/>
      <c r="CG62" s="1529"/>
      <c r="CH62" s="1528"/>
      <c r="CI62" s="1529"/>
      <c r="CJ62" s="1529"/>
      <c r="CK62" s="1529"/>
      <c r="CL62" s="1529"/>
      <c r="CM62" s="1536"/>
      <c r="CN62" s="1528"/>
      <c r="CO62" s="1529"/>
      <c r="CP62" s="1529"/>
      <c r="CQ62" s="1529"/>
      <c r="CR62" s="1529"/>
      <c r="CS62" s="1536"/>
      <c r="CT62" s="1528"/>
      <c r="CU62" s="1529"/>
      <c r="CV62" s="1529"/>
      <c r="CW62" s="1529"/>
      <c r="CX62" s="1529"/>
      <c r="CY62" s="1536"/>
      <c r="CZ62" s="1528"/>
      <c r="DA62" s="1529"/>
      <c r="DB62" s="1529"/>
      <c r="DC62" s="1529"/>
      <c r="DD62" s="1529"/>
      <c r="DE62" s="1536"/>
      <c r="DF62" s="1528"/>
      <c r="DG62" s="1529"/>
      <c r="DH62" s="1529"/>
      <c r="DI62" s="1529"/>
      <c r="DJ62" s="1529"/>
      <c r="DK62" s="1536"/>
      <c r="DL62" s="1528"/>
      <c r="DM62" s="1529"/>
      <c r="DN62" s="1529"/>
      <c r="DO62" s="1529"/>
      <c r="DP62" s="1529"/>
      <c r="DQ62" s="1572"/>
      <c r="DR62" s="1528"/>
      <c r="DS62" s="1529"/>
      <c r="DT62" s="1529"/>
      <c r="DU62" s="1529"/>
      <c r="DV62" s="1529"/>
      <c r="DW62" s="1572"/>
      <c r="DX62" s="1528"/>
      <c r="DY62" s="1529"/>
      <c r="DZ62" s="1529"/>
      <c r="EA62" s="1529"/>
      <c r="EB62" s="1529"/>
      <c r="EC62" s="1572"/>
      <c r="ED62" s="1528"/>
      <c r="EE62" s="1529"/>
      <c r="EF62" s="1529"/>
      <c r="EG62" s="1529"/>
      <c r="EH62" s="1529"/>
      <c r="EI62" s="1572"/>
      <c r="EJ62" s="1528"/>
      <c r="EK62" s="1529"/>
      <c r="EL62" s="1529"/>
      <c r="EM62" s="1529"/>
      <c r="EN62" s="1529"/>
      <c r="EO62" s="1572"/>
      <c r="EP62" s="1528"/>
      <c r="EQ62" s="1529"/>
      <c r="ER62" s="1529"/>
      <c r="ES62" s="1529"/>
      <c r="ET62" s="1529"/>
      <c r="EU62" s="1572"/>
      <c r="EV62" s="1528"/>
      <c r="EW62" s="1529"/>
      <c r="EX62" s="1529"/>
      <c r="EY62" s="1529"/>
      <c r="EZ62" s="1529"/>
      <c r="FA62" s="1572"/>
      <c r="FB62" s="1528"/>
      <c r="FC62" s="1529"/>
      <c r="FD62" s="1529"/>
      <c r="FE62" s="1529"/>
      <c r="FF62" s="1529"/>
      <c r="FG62" s="1572"/>
      <c r="FH62" s="1528"/>
      <c r="FI62" s="1529"/>
      <c r="FJ62" s="1529"/>
      <c r="FK62" s="1529"/>
      <c r="FL62" s="1529"/>
      <c r="FM62" s="1572"/>
      <c r="FN62" s="1526"/>
      <c r="FO62" s="1526"/>
      <c r="FP62" s="1524"/>
      <c r="FQ62" s="1524"/>
      <c r="FR62" s="1524"/>
      <c r="FS62"/>
      <c r="FT62"/>
      <c r="FU62"/>
      <c r="FV62"/>
      <c r="FW62"/>
      <c r="FX62"/>
      <c r="FY62" s="1524"/>
      <c r="FZ62" s="1522"/>
      <c r="GA62" s="1522"/>
      <c r="GB62" s="1522"/>
      <c r="GC62" s="1522"/>
      <c r="GD62" s="1522"/>
      <c r="GE62" s="1522"/>
      <c r="GF62" s="1522"/>
      <c r="GG62" s="1522"/>
      <c r="GH62" s="1522"/>
      <c r="GI62" s="1522"/>
      <c r="GJ62" s="1522"/>
      <c r="GK62" s="1522"/>
      <c r="GL62" s="1522"/>
      <c r="GM62" s="1522"/>
      <c r="GN62" s="1522"/>
      <c r="GO62" s="1522"/>
      <c r="GP62" s="1522"/>
      <c r="GQ62" s="1522"/>
      <c r="GR62" s="1522"/>
      <c r="GS62" s="1522"/>
      <c r="GT62" s="1522"/>
      <c r="GU62" s="1522"/>
      <c r="GV62" s="1522"/>
      <c r="GW62" s="1522"/>
      <c r="GX62" s="1522"/>
      <c r="GY62" s="1522"/>
      <c r="GZ62" s="1522"/>
      <c r="HA62" s="1522"/>
      <c r="HB62" s="1522"/>
      <c r="HC62" s="1522"/>
      <c r="HD62" s="1522"/>
      <c r="HE62" s="1522"/>
      <c r="HF62" s="1522"/>
      <c r="HG62" s="1522"/>
      <c r="HH62" s="1522"/>
      <c r="HI62" s="1522"/>
      <c r="HJ62" s="1522"/>
      <c r="HK62" s="1522"/>
      <c r="HL62" s="1522"/>
      <c r="HM62" s="1522"/>
      <c r="HN62" s="1522"/>
      <c r="HO62" s="1522"/>
      <c r="HP62" s="1522"/>
      <c r="HQ62" s="1522"/>
      <c r="HR62" s="1522"/>
      <c r="HS62" s="1522"/>
      <c r="HT62" s="1522"/>
      <c r="HU62" s="1522"/>
      <c r="HV62" s="1522"/>
      <c r="HW62" s="1522"/>
      <c r="HX62" s="1522"/>
      <c r="HY62" s="1522"/>
      <c r="HZ62" s="1522"/>
      <c r="IA62" s="1522"/>
      <c r="IB62" s="1522"/>
      <c r="IC62" s="1522"/>
      <c r="ID62" s="1522"/>
      <c r="IE62" s="1522"/>
      <c r="IF62" s="1522"/>
      <c r="IG62" s="1522"/>
      <c r="IH62" s="1522"/>
      <c r="II62" s="1522"/>
      <c r="IJ62" s="1522"/>
      <c r="IK62" s="1522"/>
      <c r="IL62" s="1522"/>
      <c r="IM62" s="1522"/>
      <c r="IN62" s="1522"/>
      <c r="IO62" s="1522"/>
      <c r="IP62" s="1522"/>
      <c r="IQ62" s="1522"/>
      <c r="IR62" s="1522"/>
      <c r="IS62" s="1522"/>
      <c r="IT62" s="1522"/>
      <c r="IU62" s="1522"/>
      <c r="IV62" s="1522"/>
      <c r="IW62" s="1522"/>
      <c r="IX62" s="1522"/>
      <c r="IY62" s="1522"/>
      <c r="IZ62" s="1522"/>
      <c r="JA62" s="1522"/>
      <c r="JB62" s="1522"/>
      <c r="JC62" s="1522"/>
      <c r="JD62" s="1522"/>
      <c r="JE62" s="1522"/>
      <c r="JF62" s="1522"/>
      <c r="JG62" s="1522"/>
      <c r="JH62" s="1522"/>
      <c r="JI62" s="1522"/>
      <c r="JJ62" s="1522"/>
      <c r="JK62" s="1522"/>
      <c r="JL62" s="1522"/>
      <c r="JM62" s="1522"/>
      <c r="JN62" s="1522"/>
    </row>
    <row r="63" spans="1:274" s="1523" customFormat="1" ht="10.5" customHeight="1" x14ac:dyDescent="0.2">
      <c r="A63" s="1529" t="s">
        <v>678</v>
      </c>
      <c r="B63" s="1529"/>
      <c r="C63" s="1569">
        <v>0</v>
      </c>
      <c r="D63" s="1569">
        <v>0</v>
      </c>
      <c r="E63" s="1569">
        <v>0</v>
      </c>
      <c r="F63" s="1569">
        <v>5.3330000000000002</v>
      </c>
      <c r="G63" s="1569">
        <v>12.973000000000001</v>
      </c>
      <c r="H63" s="1569">
        <v>23.155999999999999</v>
      </c>
      <c r="I63" s="1569">
        <v>44.078000000000003</v>
      </c>
      <c r="J63" s="1569">
        <v>70.727000000000004</v>
      </c>
      <c r="K63" s="1569">
        <v>65.778000000000006</v>
      </c>
      <c r="L63" s="1569">
        <v>79.203999999999994</v>
      </c>
      <c r="M63" s="1529">
        <v>104.563</v>
      </c>
      <c r="N63" s="1534"/>
      <c r="O63" s="1529">
        <f>30.639</f>
        <v>30.638999999999999</v>
      </c>
      <c r="P63" s="1529">
        <f>65.108-O63</f>
        <v>34.469000000000008</v>
      </c>
      <c r="Q63" s="1529">
        <f>102.255-P63-O63</f>
        <v>37.146999999999991</v>
      </c>
      <c r="R63" s="1529">
        <f>147.772-Q63-P63-O63</f>
        <v>45.516999999999996</v>
      </c>
      <c r="S63" s="1529">
        <f t="shared" si="93"/>
        <v>147.77199999999999</v>
      </c>
      <c r="T63" s="1534"/>
      <c r="U63" s="1529">
        <v>50.338999999999999</v>
      </c>
      <c r="V63" s="1529">
        <f>104.847-U63</f>
        <v>54.507999999999996</v>
      </c>
      <c r="W63" s="1529">
        <f>159.715-V63-U63</f>
        <v>54.868000000000009</v>
      </c>
      <c r="X63" s="1529">
        <f>219.494-W63-V63-U63</f>
        <v>59.778999999999982</v>
      </c>
      <c r="Y63" s="1529">
        <f t="shared" si="94"/>
        <v>219.49399999999997</v>
      </c>
      <c r="Z63" s="1534"/>
      <c r="AA63" s="1529">
        <v>62.765000000000001</v>
      </c>
      <c r="AB63" s="1529">
        <f>126.68-AA63</f>
        <v>63.915000000000006</v>
      </c>
      <c r="AC63" s="1529">
        <f>192.427-AB63-AA63</f>
        <v>65.747</v>
      </c>
      <c r="AD63" s="1529">
        <f>264.773-AC63-AB63-AA63</f>
        <v>72.345999999999989</v>
      </c>
      <c r="AE63" s="1529">
        <f t="shared" si="95"/>
        <v>264.77300000000002</v>
      </c>
      <c r="AF63" s="1534"/>
      <c r="AG63" s="1529">
        <f>71.137</f>
        <v>71.137</v>
      </c>
      <c r="AH63" s="1529">
        <f>155.694-AG63</f>
        <v>84.556999999999988</v>
      </c>
      <c r="AI63" s="1529">
        <f>210.979-AH63-AG63</f>
        <v>55.285000000000025</v>
      </c>
      <c r="AJ63" s="1529">
        <f>328.563-AI63-AH63-AG63</f>
        <v>117.58399999999997</v>
      </c>
      <c r="AK63" s="1529">
        <f t="shared" si="96"/>
        <v>328.56299999999999</v>
      </c>
      <c r="AL63" s="1534"/>
      <c r="AM63" s="1529">
        <v>81.406000000000006</v>
      </c>
      <c r="AN63" s="1529">
        <f>170.264-AM63</f>
        <v>88.858000000000004</v>
      </c>
      <c r="AO63" s="1529">
        <f>233.918-AN63-AM63</f>
        <v>63.653999999999996</v>
      </c>
      <c r="AP63" s="1529">
        <f>319.823-AO63-AN63-AM63</f>
        <v>85.904999999999973</v>
      </c>
      <c r="AQ63" s="1529">
        <f t="shared" si="97"/>
        <v>319.82299999999998</v>
      </c>
      <c r="AR63" s="1534"/>
      <c r="AS63" s="1529">
        <f>76.813</f>
        <v>76.813000000000002</v>
      </c>
      <c r="AT63" s="1529">
        <f>154.166-AS63</f>
        <v>77.352999999999994</v>
      </c>
      <c r="AU63" s="1529">
        <f>236.389-AT63-AS63</f>
        <v>82.222999999999999</v>
      </c>
      <c r="AV63" s="1529">
        <f>314.315-AU63-AT63-AS63</f>
        <v>77.925999999999974</v>
      </c>
      <c r="AW63" s="1529">
        <f t="shared" si="98"/>
        <v>314.315</v>
      </c>
      <c r="AX63" s="1534"/>
      <c r="AY63" s="1529">
        <v>73.16</v>
      </c>
      <c r="AZ63" s="1529">
        <f>139.239-AY63</f>
        <v>66.079000000000008</v>
      </c>
      <c r="BA63" s="1529">
        <f>206.399-AZ63-AY63</f>
        <v>67.16</v>
      </c>
      <c r="BB63" s="1529">
        <f>275-BA63-AZ63-AY63</f>
        <v>68.600999999999999</v>
      </c>
      <c r="BC63" s="1529">
        <f t="shared" si="99"/>
        <v>275</v>
      </c>
      <c r="BD63" s="1534"/>
      <c r="BE63" s="1529">
        <v>65.641000000000005</v>
      </c>
      <c r="BF63" s="1529">
        <f>124-BE63</f>
        <v>58.358999999999995</v>
      </c>
      <c r="BG63" s="1529">
        <f>194-BF63-BE63</f>
        <v>70.000000000000014</v>
      </c>
      <c r="BH63" s="1529">
        <f>273-BG63-BF63-BE63</f>
        <v>79.000000000000014</v>
      </c>
      <c r="BI63" s="1529">
        <f t="shared" si="100"/>
        <v>273</v>
      </c>
      <c r="BJ63" s="1534"/>
      <c r="BK63" s="1529">
        <v>62</v>
      </c>
      <c r="BL63" s="1529">
        <f>122-BK63</f>
        <v>60</v>
      </c>
      <c r="BM63" s="1529">
        <f>193-BL63-BK63</f>
        <v>71</v>
      </c>
      <c r="BN63" s="1529">
        <f>243-BM63-BL63-BK63</f>
        <v>50</v>
      </c>
      <c r="BO63" s="1529">
        <f t="shared" si="101"/>
        <v>243</v>
      </c>
      <c r="BP63" s="1534"/>
      <c r="BQ63" s="1529">
        <v>50</v>
      </c>
      <c r="BR63" s="1529">
        <f>BR12-BQ12</f>
        <v>50</v>
      </c>
      <c r="BS63" s="1529">
        <f>BS12-BR12</f>
        <v>50</v>
      </c>
      <c r="BT63" s="1529">
        <f>BT12-BS12</f>
        <v>48</v>
      </c>
      <c r="BU63" s="1529">
        <f>SUM(BQ63:BT63)</f>
        <v>198</v>
      </c>
      <c r="BV63" s="1534"/>
      <c r="BW63" s="1529">
        <v>44</v>
      </c>
      <c r="BX63" s="1529">
        <f t="shared" ref="BX63:BZ64" si="102">BX12-BW12</f>
        <v>45</v>
      </c>
      <c r="BY63" s="1529">
        <f t="shared" si="102"/>
        <v>53</v>
      </c>
      <c r="BZ63" s="1529">
        <f t="shared" si="102"/>
        <v>64</v>
      </c>
      <c r="CA63" s="1529">
        <f>SUM(BW63:BZ63)</f>
        <v>206</v>
      </c>
      <c r="CB63" s="1534"/>
      <c r="CC63" s="1529">
        <f>CC12</f>
        <v>57</v>
      </c>
      <c r="CD63" s="1529">
        <f t="shared" ref="CD63:CF64" si="103">CD12-CC12</f>
        <v>53</v>
      </c>
      <c r="CE63" s="1529">
        <f t="shared" si="103"/>
        <v>50</v>
      </c>
      <c r="CF63" s="1529">
        <f t="shared" si="103"/>
        <v>63</v>
      </c>
      <c r="CG63" s="1529">
        <f>SUM(CC63:CF63)</f>
        <v>223</v>
      </c>
      <c r="CH63" s="1534"/>
      <c r="CI63" s="1529">
        <f>CI12</f>
        <v>59</v>
      </c>
      <c r="CJ63" s="1529">
        <f t="shared" ref="CJ63:CL64" si="104">CJ12-CI12</f>
        <v>65</v>
      </c>
      <c r="CK63" s="1529">
        <f t="shared" si="104"/>
        <v>60</v>
      </c>
      <c r="CL63" s="1529">
        <f t="shared" si="104"/>
        <v>65</v>
      </c>
      <c r="CM63" s="1536">
        <f>SUM(CI63:CL63)</f>
        <v>249</v>
      </c>
      <c r="CN63" s="1534"/>
      <c r="CO63" s="1529">
        <f>CO12</f>
        <v>67</v>
      </c>
      <c r="CP63" s="1529">
        <f t="shared" ref="CP63:CR64" si="105">CP12-CO12</f>
        <v>70</v>
      </c>
      <c r="CQ63" s="1529">
        <f t="shared" si="105"/>
        <v>65</v>
      </c>
      <c r="CR63" s="1529">
        <f t="shared" si="105"/>
        <v>66</v>
      </c>
      <c r="CS63" s="1536">
        <f>SUM(CO63:CR63)</f>
        <v>268</v>
      </c>
      <c r="CT63" s="1534"/>
      <c r="CU63" s="1529">
        <f>CU12</f>
        <v>64</v>
      </c>
      <c r="CV63" s="1529">
        <f t="shared" ref="CV63:CX67" si="106">CV12-CU12</f>
        <v>70</v>
      </c>
      <c r="CW63" s="1529">
        <f t="shared" si="106"/>
        <v>64</v>
      </c>
      <c r="CX63" s="1529">
        <f t="shared" si="106"/>
        <v>65</v>
      </c>
      <c r="CY63" s="1536">
        <f>SUM(CU63:CX63)</f>
        <v>263</v>
      </c>
      <c r="CZ63" s="1534"/>
      <c r="DA63" s="1529">
        <f>DA12</f>
        <v>61</v>
      </c>
      <c r="DB63" s="1529">
        <f t="shared" ref="DB63:DD67" si="107">DB12-DA12</f>
        <v>62</v>
      </c>
      <c r="DC63" s="1529">
        <f t="shared" si="107"/>
        <v>73</v>
      </c>
      <c r="DD63" s="1529">
        <f t="shared" si="107"/>
        <v>102</v>
      </c>
      <c r="DE63" s="1536">
        <f>SUM(DA63:DD63)</f>
        <v>298</v>
      </c>
      <c r="DF63" s="1534"/>
      <c r="DG63" s="1529">
        <f>DG12</f>
        <v>99</v>
      </c>
      <c r="DH63" s="1529">
        <f t="shared" ref="DH63:DJ67" si="108">DH12-DG12</f>
        <v>95</v>
      </c>
      <c r="DI63" s="1529">
        <f t="shared" si="108"/>
        <v>89</v>
      </c>
      <c r="DJ63" s="1529">
        <f t="shared" si="108"/>
        <v>85</v>
      </c>
      <c r="DK63" s="1536">
        <f>SUM(DG63:DJ63)</f>
        <v>368</v>
      </c>
      <c r="DL63" s="1534"/>
      <c r="DM63" s="1529">
        <f>DM12</f>
        <v>117</v>
      </c>
      <c r="DN63" s="1529">
        <f t="shared" ref="DN63:DP67" si="109">DN12-DM12</f>
        <v>109</v>
      </c>
      <c r="DO63" s="1529">
        <f t="shared" si="109"/>
        <v>124</v>
      </c>
      <c r="DP63" s="1529">
        <f t="shared" si="109"/>
        <v>136</v>
      </c>
      <c r="DQ63" s="1536">
        <f>SUM(DM63:DP63)</f>
        <v>486</v>
      </c>
      <c r="DR63" s="1534"/>
      <c r="DS63" s="1529">
        <f>DS12</f>
        <v>127</v>
      </c>
      <c r="DT63" s="1529">
        <f t="shared" ref="DT63:DV67" si="110">DT12-DS12</f>
        <v>134</v>
      </c>
      <c r="DU63" s="1529">
        <f t="shared" si="110"/>
        <v>139</v>
      </c>
      <c r="DV63" s="1529">
        <f t="shared" si="110"/>
        <v>146</v>
      </c>
      <c r="DW63" s="1536">
        <f>SUM(DS63:DV63)</f>
        <v>546</v>
      </c>
      <c r="DX63" s="1534"/>
      <c r="DY63" s="1529">
        <f>DY12</f>
        <v>150</v>
      </c>
      <c r="DZ63" s="1529">
        <f t="shared" ref="DZ63:EB67" si="111">DZ12-DY12</f>
        <v>152</v>
      </c>
      <c r="EA63" s="1529">
        <f t="shared" si="111"/>
        <v>150</v>
      </c>
      <c r="EB63" s="1529">
        <f t="shared" si="111"/>
        <v>156</v>
      </c>
      <c r="EC63" s="1536">
        <f>SUM(DY63:EB63)</f>
        <v>608</v>
      </c>
      <c r="ED63" s="1534"/>
      <c r="EE63" s="1529">
        <f>EE12</f>
        <v>160</v>
      </c>
      <c r="EF63" s="1529">
        <f t="shared" ref="EF63:EH67" si="112">EF12-EE12</f>
        <v>164</v>
      </c>
      <c r="EG63" s="1529">
        <f t="shared" si="112"/>
        <v>178</v>
      </c>
      <c r="EH63" s="1529">
        <f t="shared" si="112"/>
        <v>210</v>
      </c>
      <c r="EI63" s="1536">
        <f>SUM(EE63:EH63)</f>
        <v>712</v>
      </c>
      <c r="EJ63" s="1534"/>
      <c r="EK63" s="1529">
        <f>EK12</f>
        <v>219</v>
      </c>
      <c r="EL63" s="1529">
        <f t="shared" ref="EL63:EN67" si="113">EL12-EK12</f>
        <v>210</v>
      </c>
      <c r="EM63" s="1529">
        <f t="shared" si="113"/>
        <v>214</v>
      </c>
      <c r="EN63" s="1529">
        <f t="shared" si="113"/>
        <v>228</v>
      </c>
      <c r="EO63" s="1536">
        <f>SUM(EK63:EN63)</f>
        <v>871</v>
      </c>
      <c r="EP63" s="1534"/>
      <c r="EQ63" s="1529">
        <f>EQ12</f>
        <v>222</v>
      </c>
      <c r="ER63" s="1529">
        <f t="shared" ref="ER63:ET67" si="114">ER12-EQ12</f>
        <v>241</v>
      </c>
      <c r="ES63" s="1529">
        <f t="shared" si="114"/>
        <v>259</v>
      </c>
      <c r="ET63" s="1529">
        <f t="shared" si="114"/>
        <v>278</v>
      </c>
      <c r="EU63" s="1536">
        <f>SUM(EQ63:ET63)</f>
        <v>1000</v>
      </c>
      <c r="EV63" s="1534"/>
      <c r="EW63" s="1529">
        <f>EW12</f>
        <v>285</v>
      </c>
      <c r="EX63" s="1529">
        <f t="shared" ref="EX63:EY67" si="115">EX12-EW12</f>
        <v>288</v>
      </c>
      <c r="EY63" s="1529">
        <f t="shared" si="115"/>
        <v>305</v>
      </c>
      <c r="EZ63" s="1529">
        <f t="shared" ref="EZ63:EZ67" si="116">EZ12-EY12</f>
        <v>294.48384994880394</v>
      </c>
      <c r="FA63" s="1536">
        <f>SUM(EW63:EZ63)</f>
        <v>1172.4838499488039</v>
      </c>
      <c r="FB63" s="1534"/>
      <c r="FC63" s="1529">
        <f>FC12</f>
        <v>285.94925186011488</v>
      </c>
      <c r="FD63" s="1529">
        <f t="shared" ref="FD63:FF67" si="117">FD12-FC12</f>
        <v>289.70264881406632</v>
      </c>
      <c r="FE63" s="1529">
        <f t="shared" si="117"/>
        <v>619.4067158806813</v>
      </c>
      <c r="FF63" s="1529">
        <f t="shared" si="117"/>
        <v>330.60144670708246</v>
      </c>
      <c r="FG63" s="1536">
        <f>SUM(FC63:FF63)</f>
        <v>1525.660063261945</v>
      </c>
      <c r="FH63" s="1534"/>
      <c r="FI63" s="1529">
        <f>FI12</f>
        <v>338.39441965381172</v>
      </c>
      <c r="FJ63" s="1529">
        <f t="shared" ref="FJ63:FJ67" si="118">FJ12-FI12</f>
        <v>339.38087946437088</v>
      </c>
      <c r="FK63" s="1529">
        <f t="shared" ref="FK63:FK67" si="119">FK12-FJ12</f>
        <v>719.04481725071969</v>
      </c>
      <c r="FL63" s="1529">
        <f t="shared" ref="FL63:FL67" si="120">FL12-FK12</f>
        <v>380.65629175664071</v>
      </c>
      <c r="FM63" s="1536">
        <f>SUM(FI63:FL63)</f>
        <v>1777.476408125543</v>
      </c>
      <c r="FN63" s="1526"/>
      <c r="FO63" s="1526"/>
      <c r="FP63" s="1524"/>
      <c r="FQ63" s="1524"/>
      <c r="FR63" s="1524"/>
      <c r="FS63"/>
      <c r="FT63"/>
      <c r="FU63"/>
      <c r="FV63"/>
      <c r="FW63"/>
      <c r="FX63"/>
      <c r="FY63" s="1524"/>
      <c r="FZ63" s="1522"/>
      <c r="GA63" s="1522"/>
      <c r="GB63" s="1522"/>
      <c r="GC63" s="1522"/>
      <c r="GD63" s="1522"/>
      <c r="GE63" s="1522"/>
      <c r="GF63" s="1522"/>
      <c r="GG63" s="1522"/>
      <c r="GH63" s="1522"/>
      <c r="GI63" s="1522"/>
      <c r="GJ63" s="1522"/>
      <c r="GK63" s="1522"/>
      <c r="GL63" s="1522"/>
      <c r="GM63" s="1522"/>
      <c r="GN63" s="1522"/>
      <c r="GO63" s="1522"/>
      <c r="GP63" s="1522"/>
      <c r="GQ63" s="1522"/>
      <c r="GR63" s="1522"/>
      <c r="GS63" s="1522"/>
      <c r="GT63" s="1522"/>
      <c r="GU63" s="1522"/>
      <c r="GV63" s="1522"/>
      <c r="GW63" s="1522"/>
      <c r="GX63" s="1522"/>
      <c r="GY63" s="1522"/>
      <c r="GZ63" s="1522"/>
      <c r="HA63" s="1522"/>
      <c r="HB63" s="1522"/>
      <c r="HC63" s="1522"/>
      <c r="HD63" s="1522"/>
      <c r="HE63" s="1522"/>
      <c r="HF63" s="1522"/>
      <c r="HG63" s="1522"/>
      <c r="HH63" s="1522"/>
      <c r="HI63" s="1522"/>
      <c r="HJ63" s="1522"/>
      <c r="HK63" s="1522"/>
      <c r="HL63" s="1522"/>
      <c r="HM63" s="1522"/>
      <c r="HN63" s="1522"/>
      <c r="HO63" s="1522"/>
      <c r="HP63" s="1522"/>
      <c r="HQ63" s="1522"/>
      <c r="HR63" s="1522"/>
      <c r="HS63" s="1522"/>
      <c r="HT63" s="1522"/>
      <c r="HU63" s="1522"/>
      <c r="HV63" s="1522"/>
      <c r="HW63" s="1522"/>
      <c r="HX63" s="1522"/>
      <c r="HY63" s="1522"/>
      <c r="HZ63" s="1522"/>
      <c r="IA63" s="1522"/>
      <c r="IB63" s="1522"/>
      <c r="IC63" s="1522"/>
      <c r="ID63" s="1522"/>
      <c r="IE63" s="1522"/>
      <c r="IF63" s="1522"/>
      <c r="IG63" s="1522"/>
      <c r="IH63" s="1522"/>
      <c r="II63" s="1522"/>
      <c r="IJ63" s="1522"/>
      <c r="IK63" s="1522"/>
      <c r="IL63" s="1522"/>
      <c r="IM63" s="1522"/>
      <c r="IN63" s="1522"/>
      <c r="IO63" s="1522"/>
      <c r="IP63" s="1522"/>
      <c r="IQ63" s="1522"/>
      <c r="IR63" s="1522"/>
      <c r="IS63" s="1522"/>
      <c r="IT63" s="1522"/>
      <c r="IU63" s="1522"/>
      <c r="IV63" s="1522"/>
      <c r="IW63" s="1522"/>
      <c r="IX63" s="1522"/>
      <c r="IY63" s="1522"/>
      <c r="IZ63" s="1522"/>
      <c r="JA63" s="1522"/>
      <c r="JB63" s="1522"/>
      <c r="JC63" s="1522"/>
      <c r="JD63" s="1522"/>
      <c r="JE63" s="1522"/>
      <c r="JF63" s="1522"/>
      <c r="JG63" s="1522"/>
      <c r="JH63" s="1522"/>
      <c r="JI63" s="1522"/>
      <c r="JJ63" s="1522"/>
      <c r="JK63" s="1522"/>
      <c r="JL63" s="1522"/>
      <c r="JM63" s="1522"/>
      <c r="JN63" s="1522"/>
    </row>
    <row r="64" spans="1:274" s="1523" customFormat="1" ht="10.5" customHeight="1" x14ac:dyDescent="0.2">
      <c r="A64" s="1529" t="s">
        <v>94</v>
      </c>
      <c r="B64" s="1563"/>
      <c r="C64" s="1564"/>
      <c r="D64" s="1564"/>
      <c r="E64" s="1564"/>
      <c r="F64" s="1564"/>
      <c r="G64" s="1564"/>
      <c r="H64" s="1564"/>
      <c r="I64" s="1564"/>
      <c r="J64" s="1564"/>
      <c r="K64" s="1564"/>
      <c r="L64" s="1564"/>
      <c r="M64" s="1540"/>
      <c r="N64" s="1534"/>
      <c r="O64" s="1540"/>
      <c r="P64" s="1540"/>
      <c r="Q64" s="1540"/>
      <c r="R64" s="1540"/>
      <c r="S64" s="1540"/>
      <c r="T64" s="1534"/>
      <c r="U64" s="1540"/>
      <c r="V64" s="1540"/>
      <c r="W64" s="1540"/>
      <c r="X64" s="1540"/>
      <c r="Y64" s="1540"/>
      <c r="Z64" s="1534"/>
      <c r="AA64" s="1540"/>
      <c r="AB64" s="1540"/>
      <c r="AC64" s="1540"/>
      <c r="AD64" s="1540"/>
      <c r="AE64" s="1540"/>
      <c r="AF64" s="1534"/>
      <c r="AG64" s="1540"/>
      <c r="AH64" s="1540"/>
      <c r="AI64" s="1540"/>
      <c r="AJ64" s="1540"/>
      <c r="AK64" s="1540"/>
      <c r="AL64" s="1534"/>
      <c r="AM64" s="1540"/>
      <c r="AN64" s="1540"/>
      <c r="AO64" s="1540"/>
      <c r="AP64" s="1540"/>
      <c r="AQ64" s="1540"/>
      <c r="AR64" s="1534"/>
      <c r="AS64" s="1540"/>
      <c r="AT64" s="1540"/>
      <c r="AU64" s="1540"/>
      <c r="AV64" s="1540"/>
      <c r="AW64" s="1540"/>
      <c r="AX64" s="1534"/>
      <c r="AY64" s="1540"/>
      <c r="AZ64" s="1540"/>
      <c r="BA64" s="1540"/>
      <c r="BB64" s="1540"/>
      <c r="BC64" s="1540"/>
      <c r="BD64" s="1534"/>
      <c r="BE64" s="1540"/>
      <c r="BF64" s="1540"/>
      <c r="BG64" s="1540"/>
      <c r="BH64" s="1540"/>
      <c r="BI64" s="1540"/>
      <c r="BJ64" s="1534"/>
      <c r="BK64" s="1540"/>
      <c r="BL64" s="1540"/>
      <c r="BM64" s="1540"/>
      <c r="BN64" s="1540"/>
      <c r="BO64" s="1540"/>
      <c r="BP64" s="1534"/>
      <c r="BQ64" s="1540"/>
      <c r="BR64" s="1540"/>
      <c r="BS64" s="1540"/>
      <c r="BT64" s="1540"/>
      <c r="BU64" s="1540"/>
      <c r="BV64" s="1534"/>
      <c r="BW64" s="1529">
        <f>BW13</f>
        <v>0</v>
      </c>
      <c r="BX64" s="1529">
        <f t="shared" si="102"/>
        <v>0</v>
      </c>
      <c r="BY64" s="1529">
        <f t="shared" si="102"/>
        <v>0</v>
      </c>
      <c r="BZ64" s="1529">
        <f t="shared" si="102"/>
        <v>0</v>
      </c>
      <c r="CA64" s="1529">
        <f>SUM(BW64:BZ64)</f>
        <v>0</v>
      </c>
      <c r="CB64" s="1534"/>
      <c r="CC64" s="1529">
        <f>CC13</f>
        <v>0</v>
      </c>
      <c r="CD64" s="1529">
        <f t="shared" si="103"/>
        <v>0</v>
      </c>
      <c r="CE64" s="1529">
        <f t="shared" si="103"/>
        <v>33</v>
      </c>
      <c r="CF64" s="1529">
        <f t="shared" si="103"/>
        <v>16</v>
      </c>
      <c r="CG64" s="1529">
        <f>SUM(CC64:CF64)</f>
        <v>49</v>
      </c>
      <c r="CH64" s="1534"/>
      <c r="CI64" s="1529">
        <f>CI13</f>
        <v>50</v>
      </c>
      <c r="CJ64" s="1529">
        <f t="shared" si="104"/>
        <v>48</v>
      </c>
      <c r="CK64" s="1529">
        <f t="shared" si="104"/>
        <v>48</v>
      </c>
      <c r="CL64" s="1529">
        <f t="shared" si="104"/>
        <v>61</v>
      </c>
      <c r="CM64" s="1536">
        <f>SUM(CI64:CL64)</f>
        <v>207</v>
      </c>
      <c r="CN64" s="1528"/>
      <c r="CO64" s="1529">
        <f>CO13</f>
        <v>148</v>
      </c>
      <c r="CP64" s="1529">
        <f t="shared" si="105"/>
        <v>20</v>
      </c>
      <c r="CQ64" s="1529">
        <f t="shared" si="105"/>
        <v>65</v>
      </c>
      <c r="CR64" s="1529">
        <f t="shared" si="105"/>
        <v>136</v>
      </c>
      <c r="CS64" s="1536">
        <f>SUM(CO64:CR64)</f>
        <v>369</v>
      </c>
      <c r="CT64" s="1528"/>
      <c r="CU64" s="1529">
        <f>CU13</f>
        <v>91</v>
      </c>
      <c r="CV64" s="1529">
        <f t="shared" si="106"/>
        <v>95</v>
      </c>
      <c r="CW64" s="1529">
        <f t="shared" si="106"/>
        <v>88</v>
      </c>
      <c r="CX64" s="1529">
        <f t="shared" si="106"/>
        <v>81</v>
      </c>
      <c r="CY64" s="1536">
        <f>SUM(CU64:CX64)</f>
        <v>355</v>
      </c>
      <c r="CZ64" s="1528"/>
      <c r="DA64" s="1529">
        <f>DA13</f>
        <v>84</v>
      </c>
      <c r="DB64" s="1529">
        <f t="shared" si="107"/>
        <v>104</v>
      </c>
      <c r="DC64" s="1529">
        <f t="shared" si="107"/>
        <v>122</v>
      </c>
      <c r="DD64" s="1529">
        <f t="shared" si="107"/>
        <v>126</v>
      </c>
      <c r="DE64" s="1536">
        <f>SUM(DA64:DD64)</f>
        <v>436</v>
      </c>
      <c r="DF64" s="1528"/>
      <c r="DG64" s="1529">
        <f>DG13</f>
        <v>130</v>
      </c>
      <c r="DH64" s="1529">
        <f t="shared" si="108"/>
        <v>124</v>
      </c>
      <c r="DI64" s="1529">
        <f t="shared" si="108"/>
        <v>129</v>
      </c>
      <c r="DJ64" s="1529">
        <f t="shared" si="108"/>
        <v>127</v>
      </c>
      <c r="DK64" s="1536">
        <f>SUM(DG64:DJ64)</f>
        <v>510</v>
      </c>
      <c r="DL64" s="1528"/>
      <c r="DM64" s="1529">
        <f>DM13</f>
        <v>148</v>
      </c>
      <c r="DN64" s="1529">
        <f t="shared" si="109"/>
        <v>150</v>
      </c>
      <c r="DO64" s="1529">
        <f t="shared" si="109"/>
        <v>176</v>
      </c>
      <c r="DP64" s="1529">
        <f t="shared" si="109"/>
        <v>185</v>
      </c>
      <c r="DQ64" s="1536">
        <f>SUM(DM64:DP64)</f>
        <v>659</v>
      </c>
      <c r="DR64" s="1528"/>
      <c r="DS64" s="1529">
        <f>DS13</f>
        <v>193</v>
      </c>
      <c r="DT64" s="1529">
        <f t="shared" si="110"/>
        <v>193</v>
      </c>
      <c r="DU64" s="1529">
        <f t="shared" si="110"/>
        <v>180</v>
      </c>
      <c r="DV64" s="1529">
        <f t="shared" si="110"/>
        <v>189</v>
      </c>
      <c r="DW64" s="1536">
        <f>SUM(DS64:DV64)</f>
        <v>755</v>
      </c>
      <c r="DX64" s="1528"/>
      <c r="DY64" s="1529">
        <f>DY13</f>
        <v>200</v>
      </c>
      <c r="DZ64" s="1529">
        <f t="shared" si="111"/>
        <v>182</v>
      </c>
      <c r="EA64" s="1529">
        <f t="shared" si="111"/>
        <v>201</v>
      </c>
      <c r="EB64" s="1529">
        <f t="shared" si="111"/>
        <v>222</v>
      </c>
      <c r="EC64" s="1536">
        <f>SUM(DY64:EB64)</f>
        <v>805</v>
      </c>
      <c r="ED64" s="1528"/>
      <c r="EE64" s="1529">
        <f>EE13</f>
        <v>215</v>
      </c>
      <c r="EF64" s="1529">
        <f t="shared" si="112"/>
        <v>240</v>
      </c>
      <c r="EG64" s="1529">
        <f t="shared" si="112"/>
        <v>234</v>
      </c>
      <c r="EH64" s="1529">
        <f t="shared" si="112"/>
        <v>244</v>
      </c>
      <c r="EI64" s="1536">
        <f>SUM(EE64:EH64)</f>
        <v>933</v>
      </c>
      <c r="EJ64" s="1528"/>
      <c r="EK64" s="1529">
        <f>EK13</f>
        <v>253</v>
      </c>
      <c r="EL64" s="1529">
        <f t="shared" si="113"/>
        <v>254</v>
      </c>
      <c r="EM64" s="1529">
        <f t="shared" si="113"/>
        <v>261</v>
      </c>
      <c r="EN64" s="1529">
        <f t="shared" si="113"/>
        <v>269</v>
      </c>
      <c r="EO64" s="1536">
        <f>SUM(EK64:EN64)</f>
        <v>1037</v>
      </c>
      <c r="EP64" s="1528"/>
      <c r="EQ64" s="1529">
        <f>EQ13</f>
        <v>319</v>
      </c>
      <c r="ER64" s="1529">
        <f t="shared" si="114"/>
        <v>327</v>
      </c>
      <c r="ES64" s="1529">
        <f t="shared" si="114"/>
        <v>371</v>
      </c>
      <c r="ET64" s="1529">
        <f t="shared" si="114"/>
        <v>333</v>
      </c>
      <c r="EU64" s="1536">
        <f>SUM(EQ64:ET64)</f>
        <v>1350</v>
      </c>
      <c r="EV64" s="1528"/>
      <c r="EW64" s="1529">
        <f>EW13</f>
        <v>403</v>
      </c>
      <c r="EX64" s="1529">
        <f t="shared" si="115"/>
        <v>419</v>
      </c>
      <c r="EY64" s="1529">
        <f t="shared" si="115"/>
        <v>389</v>
      </c>
      <c r="EZ64" s="1529">
        <f t="shared" si="116"/>
        <v>368.37485726736122</v>
      </c>
      <c r="FA64" s="1536">
        <f>SUM(EW64:EZ64)</f>
        <v>1579.3748572673612</v>
      </c>
      <c r="FB64" s="1528"/>
      <c r="FC64" s="1529">
        <f>FC13</f>
        <v>402.96541119750179</v>
      </c>
      <c r="FD64" s="1529">
        <f t="shared" si="117"/>
        <v>402.96541119750179</v>
      </c>
      <c r="FE64" s="1529">
        <f t="shared" si="117"/>
        <v>402.96541119750168</v>
      </c>
      <c r="FF64" s="1529">
        <f t="shared" si="117"/>
        <v>402.96541119750191</v>
      </c>
      <c r="FG64" s="1536">
        <f>SUM(FC64:FF64)</f>
        <v>1611.8616447900072</v>
      </c>
      <c r="FH64" s="1528"/>
      <c r="FI64" s="1529">
        <f>FI13</f>
        <v>442.929379426048</v>
      </c>
      <c r="FJ64" s="1529">
        <f t="shared" si="118"/>
        <v>442.929379426048</v>
      </c>
      <c r="FK64" s="1529">
        <f t="shared" si="119"/>
        <v>442.92937942604806</v>
      </c>
      <c r="FL64" s="1529">
        <f t="shared" si="120"/>
        <v>442.92937942604794</v>
      </c>
      <c r="FM64" s="1536">
        <f>SUM(FI64:FL64)</f>
        <v>1771.717517704192</v>
      </c>
      <c r="FN64" s="1533"/>
      <c r="FO64" s="1533"/>
      <c r="FP64" s="1539"/>
      <c r="FQ64" s="1539"/>
      <c r="FR64" s="1539"/>
      <c r="FS64"/>
      <c r="FT64"/>
      <c r="FU64"/>
      <c r="FV64"/>
      <c r="FW64"/>
      <c r="FX64"/>
      <c r="FY64" s="1539"/>
      <c r="FZ64" s="1522"/>
      <c r="GA64" s="1522"/>
      <c r="GB64" s="1522"/>
      <c r="GC64" s="1522"/>
      <c r="GD64" s="1522"/>
      <c r="GE64" s="1522"/>
      <c r="GF64" s="1522"/>
      <c r="GG64" s="1522"/>
      <c r="GH64" s="1522"/>
      <c r="GI64" s="1522"/>
      <c r="GJ64" s="1522"/>
      <c r="GK64" s="1522"/>
      <c r="GL64" s="1522"/>
      <c r="GM64" s="1522"/>
      <c r="GN64" s="1522"/>
      <c r="GO64" s="1522"/>
      <c r="GP64" s="1522"/>
      <c r="GQ64" s="1522"/>
      <c r="GR64" s="1522"/>
      <c r="GS64" s="1522"/>
      <c r="GT64" s="1522"/>
      <c r="GU64" s="1522"/>
      <c r="GV64" s="1522"/>
      <c r="GW64" s="1522"/>
      <c r="GX64" s="1522"/>
      <c r="GY64" s="1522"/>
      <c r="GZ64" s="1522"/>
      <c r="HA64" s="1522"/>
      <c r="HB64" s="1522"/>
      <c r="HC64" s="1522"/>
      <c r="HD64" s="1522"/>
      <c r="HE64" s="1522"/>
      <c r="HF64" s="1522"/>
      <c r="HG64" s="1522"/>
      <c r="HH64" s="1522"/>
      <c r="HI64" s="1522"/>
      <c r="HJ64" s="1522"/>
      <c r="HK64" s="1522"/>
      <c r="HL64" s="1522"/>
      <c r="HM64" s="1522"/>
      <c r="HN64" s="1522"/>
      <c r="HO64" s="1522"/>
      <c r="HP64" s="1522"/>
      <c r="HQ64" s="1522"/>
      <c r="HR64" s="1522"/>
      <c r="HS64" s="1522"/>
      <c r="HT64" s="1522"/>
      <c r="HU64" s="1522"/>
      <c r="HV64" s="1522"/>
      <c r="HW64" s="1522"/>
      <c r="HX64" s="1522"/>
      <c r="HY64" s="1522"/>
      <c r="HZ64" s="1522"/>
      <c r="IA64" s="1522"/>
      <c r="IB64" s="1522"/>
      <c r="IC64" s="1522"/>
      <c r="ID64" s="1522"/>
      <c r="IE64" s="1522"/>
      <c r="IF64" s="1522"/>
      <c r="IG64" s="1522"/>
      <c r="IH64" s="1522"/>
      <c r="II64" s="1522"/>
      <c r="IJ64" s="1522"/>
      <c r="IK64" s="1522"/>
      <c r="IL64" s="1522"/>
      <c r="IM64" s="1522"/>
      <c r="IN64" s="1522"/>
      <c r="IO64" s="1522"/>
      <c r="IP64" s="1522"/>
      <c r="IQ64" s="1522"/>
      <c r="IR64" s="1522"/>
      <c r="IS64" s="1522"/>
      <c r="IT64" s="1522"/>
      <c r="IU64" s="1522"/>
      <c r="IV64" s="1522"/>
      <c r="IW64" s="1522"/>
      <c r="IX64" s="1522"/>
      <c r="IY64" s="1522"/>
      <c r="IZ64" s="1522"/>
      <c r="JA64" s="1522"/>
      <c r="JB64" s="1522"/>
      <c r="JC64" s="1522"/>
      <c r="JD64" s="1522"/>
      <c r="JE64" s="1522"/>
      <c r="JF64" s="1522"/>
      <c r="JG64" s="1522"/>
      <c r="JH64" s="1522"/>
      <c r="JI64" s="1522"/>
      <c r="JJ64" s="1522"/>
      <c r="JK64" s="1522"/>
      <c r="JL64" s="1522"/>
      <c r="JM64" s="1522"/>
      <c r="JN64" s="1522"/>
    </row>
    <row r="65" spans="1:274" s="1523" customFormat="1" ht="10.5" customHeight="1" x14ac:dyDescent="0.2">
      <c r="A65" s="1529" t="s">
        <v>679</v>
      </c>
      <c r="B65" s="1529"/>
      <c r="C65" s="1527">
        <v>0</v>
      </c>
      <c r="D65" s="1527">
        <v>0</v>
      </c>
      <c r="E65" s="1527">
        <v>0</v>
      </c>
      <c r="F65" s="1527">
        <v>0</v>
      </c>
      <c r="G65" s="1527">
        <v>0</v>
      </c>
      <c r="H65" s="1527">
        <v>0</v>
      </c>
      <c r="I65" s="1527">
        <v>0</v>
      </c>
      <c r="J65" s="1527">
        <v>0</v>
      </c>
      <c r="K65" s="1527">
        <v>0</v>
      </c>
      <c r="L65" s="1527">
        <v>0</v>
      </c>
      <c r="M65" s="1529">
        <v>0</v>
      </c>
      <c r="N65" s="1534"/>
      <c r="O65" s="1529">
        <v>0</v>
      </c>
      <c r="P65" s="1529">
        <v>0</v>
      </c>
      <c r="Q65" s="1529">
        <v>0</v>
      </c>
      <c r="R65" s="1529">
        <v>0</v>
      </c>
      <c r="S65" s="1529">
        <f t="shared" si="93"/>
        <v>0</v>
      </c>
      <c r="T65" s="1528"/>
      <c r="U65" s="1529">
        <v>50.930999999999997</v>
      </c>
      <c r="V65" s="1529">
        <f>50.931-U65</f>
        <v>0</v>
      </c>
      <c r="W65" s="1529">
        <f>50.931-V65-U65</f>
        <v>0</v>
      </c>
      <c r="X65" s="1529">
        <f>50.931-W65-V65-U65</f>
        <v>0</v>
      </c>
      <c r="Y65" s="1529">
        <f t="shared" si="94"/>
        <v>50.930999999999997</v>
      </c>
      <c r="Z65" s="1528"/>
      <c r="AA65" s="1529">
        <v>0</v>
      </c>
      <c r="AB65" s="1529">
        <v>0</v>
      </c>
      <c r="AC65" s="1529">
        <f>36.8-AB65-AA65</f>
        <v>36.799999999999997</v>
      </c>
      <c r="AD65" s="1529">
        <f>36.8-AC65-AB65-AA65</f>
        <v>0</v>
      </c>
      <c r="AE65" s="1529">
        <f t="shared" si="95"/>
        <v>36.799999999999997</v>
      </c>
      <c r="AF65" s="1528"/>
      <c r="AG65" s="1529">
        <f>167.054</f>
        <v>167.054</v>
      </c>
      <c r="AH65" s="1529">
        <f>167.054-AG65</f>
        <v>0</v>
      </c>
      <c r="AI65" s="1529">
        <f>29.656-AH65-AG65+167.054</f>
        <v>29.656000000000006</v>
      </c>
      <c r="AJ65" s="1529">
        <f>167.054-AI65-AH65-AG65</f>
        <v>-29.656000000000006</v>
      </c>
      <c r="AK65" s="1529">
        <f t="shared" si="96"/>
        <v>167.054</v>
      </c>
      <c r="AL65" s="1528"/>
      <c r="AM65" s="1529">
        <v>0</v>
      </c>
      <c r="AN65" s="1529">
        <v>0</v>
      </c>
      <c r="AO65" s="1529">
        <f>35.72-AN65-AM65</f>
        <v>35.72</v>
      </c>
      <c r="AP65" s="1529">
        <f>55.561-AO65-AN65-AM65</f>
        <v>19.841000000000001</v>
      </c>
      <c r="AQ65" s="1529">
        <f t="shared" si="97"/>
        <v>55.561</v>
      </c>
      <c r="AR65" s="1528"/>
      <c r="AS65" s="1529">
        <v>18.308</v>
      </c>
      <c r="AT65" s="1529">
        <f>37.377-AS65</f>
        <v>19.069000000000003</v>
      </c>
      <c r="AU65" s="1529">
        <f>56.646-AT65-AS65</f>
        <v>19.268999999999998</v>
      </c>
      <c r="AV65" s="1529">
        <f>76.61-AU65-AT65-AS65</f>
        <v>19.963999999999999</v>
      </c>
      <c r="AW65" s="1529">
        <f t="shared" si="98"/>
        <v>76.61</v>
      </c>
      <c r="AX65" s="1528"/>
      <c r="AY65" s="1529">
        <v>18.997</v>
      </c>
      <c r="AZ65" s="1529">
        <f>36.804-AY65</f>
        <v>17.807000000000002</v>
      </c>
      <c r="BA65" s="1529">
        <f>53.091-AZ65-AY65</f>
        <v>16.286999999999999</v>
      </c>
      <c r="BB65" s="1529">
        <f>71-BA65-AZ65-AY65</f>
        <v>17.908999999999999</v>
      </c>
      <c r="BC65" s="1529">
        <f t="shared" si="99"/>
        <v>71</v>
      </c>
      <c r="BD65" s="1528"/>
      <c r="BE65" s="1529">
        <v>15.36</v>
      </c>
      <c r="BF65" s="1529">
        <f>37-BE65</f>
        <v>21.64</v>
      </c>
      <c r="BG65" s="1529">
        <f>40-BF65-BE65</f>
        <v>3</v>
      </c>
      <c r="BH65" s="1529">
        <f>90-BG65-BF65-BE65</f>
        <v>50</v>
      </c>
      <c r="BI65" s="1529">
        <f t="shared" si="100"/>
        <v>90</v>
      </c>
      <c r="BJ65" s="1528"/>
      <c r="BK65" s="1529">
        <v>22</v>
      </c>
      <c r="BL65" s="1529">
        <f>44-BK65</f>
        <v>22</v>
      </c>
      <c r="BM65" s="1529">
        <f>65-BL65-BK65</f>
        <v>21</v>
      </c>
      <c r="BN65" s="1529">
        <f>84-BM65-BL65-BK65</f>
        <v>19</v>
      </c>
      <c r="BO65" s="1529">
        <f t="shared" si="101"/>
        <v>84</v>
      </c>
      <c r="BP65" s="1528"/>
      <c r="BQ65" s="1529">
        <v>11</v>
      </c>
      <c r="BR65" s="1529">
        <f t="shared" ref="BR65:BT67" si="121">BR14-BQ14</f>
        <v>10</v>
      </c>
      <c r="BS65" s="1529">
        <f t="shared" si="121"/>
        <v>8</v>
      </c>
      <c r="BT65" s="1529">
        <f t="shared" si="121"/>
        <v>7</v>
      </c>
      <c r="BU65" s="1529">
        <f>SUM(BQ65:BT65)</f>
        <v>36</v>
      </c>
      <c r="BV65" s="1528"/>
      <c r="BW65" s="1529">
        <v>9</v>
      </c>
      <c r="BX65" s="1529">
        <f t="shared" ref="BX65:BZ67" si="122">BX14-BW14</f>
        <v>7</v>
      </c>
      <c r="BY65" s="1529">
        <f t="shared" si="122"/>
        <v>81</v>
      </c>
      <c r="BZ65" s="1529">
        <f t="shared" si="122"/>
        <v>122</v>
      </c>
      <c r="CA65" s="1529">
        <f>SUM(BW65:BZ65)</f>
        <v>219</v>
      </c>
      <c r="CB65" s="1528"/>
      <c r="CC65" s="1529">
        <f>CC14</f>
        <v>123</v>
      </c>
      <c r="CD65" s="1529">
        <f t="shared" ref="CD65:CF67" si="123">CD14-CC14</f>
        <v>126</v>
      </c>
      <c r="CE65" s="1529">
        <f t="shared" si="123"/>
        <v>235</v>
      </c>
      <c r="CF65" s="1529">
        <f>CF14-CE14</f>
        <v>177</v>
      </c>
      <c r="CG65" s="1529">
        <f>SUM(CC65:CF65)</f>
        <v>661</v>
      </c>
      <c r="CH65" s="1528"/>
      <c r="CI65" s="1529">
        <f>CI14</f>
        <v>198</v>
      </c>
      <c r="CJ65" s="1529">
        <f t="shared" ref="CJ65:CL67" si="124">CJ14-CI14</f>
        <v>203</v>
      </c>
      <c r="CK65" s="1529">
        <f t="shared" si="124"/>
        <v>222</v>
      </c>
      <c r="CL65" s="1529">
        <f t="shared" si="124"/>
        <v>255</v>
      </c>
      <c r="CM65" s="1536">
        <f>SUM(CI65:CL65)</f>
        <v>878</v>
      </c>
      <c r="CN65" s="1528"/>
      <c r="CO65" s="1529">
        <f>CO14</f>
        <v>285</v>
      </c>
      <c r="CP65" s="1529">
        <f t="shared" ref="CP65:CR67" si="125">CP14-CO14</f>
        <v>290</v>
      </c>
      <c r="CQ65" s="1529">
        <f t="shared" si="125"/>
        <v>292</v>
      </c>
      <c r="CR65" s="1529">
        <f t="shared" si="125"/>
        <v>345</v>
      </c>
      <c r="CS65" s="1536">
        <f>SUM(CO65:CR65)</f>
        <v>1212</v>
      </c>
      <c r="CT65" s="1528"/>
      <c r="CU65" s="1529">
        <f>CU14</f>
        <v>413</v>
      </c>
      <c r="CV65" s="1529">
        <f t="shared" si="106"/>
        <v>426</v>
      </c>
      <c r="CW65" s="1529">
        <f t="shared" si="106"/>
        <v>437</v>
      </c>
      <c r="CX65" s="1529">
        <f t="shared" si="106"/>
        <v>437</v>
      </c>
      <c r="CY65" s="1536">
        <f>SUM(CU65:CX65)</f>
        <v>1713</v>
      </c>
      <c r="CZ65" s="1528"/>
      <c r="DA65" s="1529">
        <f>DA14</f>
        <v>431</v>
      </c>
      <c r="DB65" s="1529">
        <f t="shared" si="107"/>
        <v>436</v>
      </c>
      <c r="DC65" s="1529">
        <f t="shared" si="107"/>
        <v>502</v>
      </c>
      <c r="DD65" s="1529">
        <f t="shared" si="107"/>
        <v>604</v>
      </c>
      <c r="DE65" s="1536">
        <f>SUM(DA65:DD65)</f>
        <v>1973</v>
      </c>
      <c r="DF65" s="1528"/>
      <c r="DG65" s="1529">
        <f>DG14</f>
        <v>603</v>
      </c>
      <c r="DH65" s="1529">
        <f t="shared" si="108"/>
        <v>614</v>
      </c>
      <c r="DI65" s="1529">
        <f t="shared" si="108"/>
        <v>612</v>
      </c>
      <c r="DJ65" s="1529">
        <f t="shared" si="108"/>
        <v>599</v>
      </c>
      <c r="DK65" s="1536">
        <f>SUM(DG65:DJ65)</f>
        <v>2428</v>
      </c>
      <c r="DL65" s="1528"/>
      <c r="DM65" s="1529">
        <f>DM14</f>
        <v>592</v>
      </c>
      <c r="DN65" s="1529">
        <f t="shared" si="109"/>
        <v>592</v>
      </c>
      <c r="DO65" s="1529">
        <f t="shared" si="109"/>
        <v>606</v>
      </c>
      <c r="DP65" s="1529">
        <f t="shared" si="109"/>
        <v>640</v>
      </c>
      <c r="DQ65" s="1536">
        <f>SUM(DM65:DP65)</f>
        <v>2430</v>
      </c>
      <c r="DR65" s="1528"/>
      <c r="DS65" s="1529">
        <f>DS14</f>
        <v>619</v>
      </c>
      <c r="DT65" s="1529">
        <f t="shared" si="110"/>
        <v>584</v>
      </c>
      <c r="DU65" s="1529">
        <f t="shared" si="110"/>
        <v>586</v>
      </c>
      <c r="DV65" s="1529">
        <f t="shared" si="110"/>
        <v>596</v>
      </c>
      <c r="DW65" s="1536">
        <f>SUM(DS65:DV65)</f>
        <v>2385</v>
      </c>
      <c r="DX65" s="1528"/>
      <c r="DY65" s="1529">
        <f>DY14</f>
        <v>595</v>
      </c>
      <c r="DZ65" s="1529">
        <f t="shared" si="111"/>
        <v>577</v>
      </c>
      <c r="EA65" s="1529">
        <f t="shared" si="111"/>
        <v>560</v>
      </c>
      <c r="EB65" s="1529">
        <f t="shared" si="111"/>
        <v>568</v>
      </c>
      <c r="EC65" s="1536">
        <f>SUM(DY65:EB65)</f>
        <v>2300</v>
      </c>
      <c r="ED65" s="1528"/>
      <c r="EE65" s="1529">
        <f>EE14</f>
        <v>547</v>
      </c>
      <c r="EF65" s="1529">
        <f t="shared" si="112"/>
        <v>569</v>
      </c>
      <c r="EG65" s="1529">
        <f t="shared" si="112"/>
        <v>526</v>
      </c>
      <c r="EH65" s="1529">
        <f t="shared" si="112"/>
        <v>507</v>
      </c>
      <c r="EI65" s="1536">
        <f>SUM(EE65:EH65)</f>
        <v>2149</v>
      </c>
      <c r="EJ65" s="1528"/>
      <c r="EK65" s="1529">
        <f>EK14</f>
        <v>452</v>
      </c>
      <c r="EL65" s="1529">
        <f t="shared" si="113"/>
        <v>423</v>
      </c>
      <c r="EM65" s="1529">
        <f t="shared" si="113"/>
        <v>408</v>
      </c>
      <c r="EN65" s="1529">
        <f t="shared" si="113"/>
        <v>355</v>
      </c>
      <c r="EO65" s="1536">
        <f>SUM(EK65:EN65)</f>
        <v>1638</v>
      </c>
      <c r="EP65" s="1528"/>
      <c r="EQ65" s="1529">
        <f>EQ14</f>
        <v>311</v>
      </c>
      <c r="ER65" s="1529">
        <f t="shared" si="114"/>
        <v>302</v>
      </c>
      <c r="ES65" s="1529">
        <f t="shared" si="114"/>
        <v>397</v>
      </c>
      <c r="ET65" s="1529">
        <f t="shared" si="114"/>
        <v>441</v>
      </c>
      <c r="EU65" s="1536">
        <f>SUM(EQ65:ET65)</f>
        <v>1451</v>
      </c>
      <c r="EV65" s="1528"/>
      <c r="EW65" s="1529">
        <f>EW14</f>
        <v>411</v>
      </c>
      <c r="EX65" s="1529">
        <f t="shared" si="115"/>
        <v>400</v>
      </c>
      <c r="EY65" s="1529">
        <f t="shared" si="115"/>
        <v>394</v>
      </c>
      <c r="EZ65" s="1529">
        <f t="shared" si="116"/>
        <v>390.88809839623764</v>
      </c>
      <c r="FA65" s="1536">
        <f>SUM(EW65:EZ65)</f>
        <v>1595.8880983962376</v>
      </c>
      <c r="FB65" s="1528"/>
      <c r="FC65" s="1529">
        <f>FC14</f>
        <v>269.3576154588207</v>
      </c>
      <c r="FD65" s="1529">
        <f t="shared" si="117"/>
        <v>267.87614857379714</v>
      </c>
      <c r="FE65" s="1529">
        <f t="shared" si="117"/>
        <v>266.40282975664127</v>
      </c>
      <c r="FF65" s="1529">
        <f t="shared" si="117"/>
        <v>264.93761419297982</v>
      </c>
      <c r="FG65" s="1536">
        <f>SUM(FC65:FF65)</f>
        <v>1068.5742079822389</v>
      </c>
      <c r="FH65" s="1528"/>
      <c r="FI65" s="1529">
        <f>FI14</f>
        <v>263.48045731491834</v>
      </c>
      <c r="FJ65" s="1529">
        <f t="shared" si="118"/>
        <v>262.03131479968624</v>
      </c>
      <c r="FK65" s="1529">
        <f t="shared" si="119"/>
        <v>260.590142568288</v>
      </c>
      <c r="FL65" s="1529">
        <f t="shared" si="120"/>
        <v>259.15689678416243</v>
      </c>
      <c r="FM65" s="1536">
        <f>SUM(FI65:FL65)</f>
        <v>1045.258811467055</v>
      </c>
      <c r="FN65" s="1526"/>
      <c r="FO65" s="1526"/>
      <c r="FP65" s="1524"/>
      <c r="FQ65" s="1524"/>
      <c r="FR65" s="1524"/>
      <c r="FS65"/>
      <c r="FT65"/>
      <c r="FU65"/>
      <c r="FV65"/>
      <c r="FW65"/>
      <c r="FX65"/>
      <c r="FY65" s="1524"/>
      <c r="FZ65" s="1522"/>
      <c r="GA65" s="1522"/>
      <c r="GB65" s="1522"/>
      <c r="GC65" s="1522"/>
      <c r="GD65" s="1522"/>
      <c r="GE65" s="1522"/>
      <c r="GF65" s="1522"/>
      <c r="GG65" s="1522"/>
      <c r="GH65" s="1522"/>
      <c r="GI65" s="1522"/>
      <c r="GJ65" s="1522"/>
      <c r="GK65" s="1522"/>
      <c r="GL65" s="1522"/>
      <c r="GM65" s="1522"/>
      <c r="GN65" s="1522"/>
      <c r="GO65" s="1522"/>
      <c r="GP65" s="1522"/>
      <c r="GQ65" s="1522"/>
      <c r="GR65" s="1522"/>
      <c r="GS65" s="1522"/>
      <c r="GT65" s="1522"/>
      <c r="GU65" s="1522"/>
      <c r="GV65" s="1522"/>
      <c r="GW65" s="1522"/>
      <c r="GX65" s="1522"/>
      <c r="GY65" s="1522"/>
      <c r="GZ65" s="1522"/>
      <c r="HA65" s="1522"/>
      <c r="HB65" s="1522"/>
      <c r="HC65" s="1522"/>
      <c r="HD65" s="1522"/>
      <c r="HE65" s="1522"/>
      <c r="HF65" s="1522"/>
      <c r="HG65" s="1522"/>
      <c r="HH65" s="1522"/>
      <c r="HI65" s="1522"/>
      <c r="HJ65" s="1522"/>
      <c r="HK65" s="1522"/>
      <c r="HL65" s="1522"/>
      <c r="HM65" s="1522"/>
      <c r="HN65" s="1522"/>
      <c r="HO65" s="1522"/>
      <c r="HP65" s="1522"/>
      <c r="HQ65" s="1522"/>
      <c r="HR65" s="1522"/>
      <c r="HS65" s="1522"/>
      <c r="HT65" s="1522"/>
      <c r="HU65" s="1522"/>
      <c r="HV65" s="1522"/>
      <c r="HW65" s="1522"/>
      <c r="HX65" s="1522"/>
      <c r="HY65" s="1522"/>
      <c r="HZ65" s="1522"/>
      <c r="IA65" s="1522"/>
      <c r="IB65" s="1522"/>
      <c r="IC65" s="1522"/>
      <c r="ID65" s="1522"/>
      <c r="IE65" s="1522"/>
      <c r="IF65" s="1522"/>
      <c r="IG65" s="1522"/>
      <c r="IH65" s="1522"/>
      <c r="II65" s="1522"/>
      <c r="IJ65" s="1522"/>
      <c r="IK65" s="1522"/>
      <c r="IL65" s="1522"/>
      <c r="IM65" s="1522"/>
      <c r="IN65" s="1522"/>
      <c r="IO65" s="1522"/>
      <c r="IP65" s="1522"/>
      <c r="IQ65" s="1522"/>
      <c r="IR65" s="1522"/>
      <c r="IS65" s="1522"/>
      <c r="IT65" s="1522"/>
      <c r="IU65" s="1522"/>
      <c r="IV65" s="1522"/>
      <c r="IW65" s="1522"/>
      <c r="IX65" s="1522"/>
      <c r="IY65" s="1522"/>
      <c r="IZ65" s="1522"/>
      <c r="JA65" s="1522"/>
      <c r="JB65" s="1522"/>
      <c r="JC65" s="1522"/>
      <c r="JD65" s="1522"/>
      <c r="JE65" s="1522"/>
      <c r="JF65" s="1522"/>
      <c r="JG65" s="1522"/>
      <c r="JH65" s="1522"/>
      <c r="JI65" s="1522"/>
      <c r="JJ65" s="1522"/>
      <c r="JK65" s="1522"/>
      <c r="JL65" s="1522"/>
      <c r="JM65" s="1522"/>
      <c r="JN65" s="1522"/>
    </row>
    <row r="66" spans="1:274" s="1523" customFormat="1" ht="10.5" customHeight="1" x14ac:dyDescent="0.2">
      <c r="A66" s="1529" t="s">
        <v>918</v>
      </c>
      <c r="B66" s="1529"/>
      <c r="C66" s="1527">
        <v>0</v>
      </c>
      <c r="D66" s="1527">
        <v>0</v>
      </c>
      <c r="E66" s="1527">
        <v>0</v>
      </c>
      <c r="F66" s="1527">
        <v>0</v>
      </c>
      <c r="G66" s="1527">
        <v>0</v>
      </c>
      <c r="H66" s="1527">
        <v>0</v>
      </c>
      <c r="I66" s="1527">
        <v>0</v>
      </c>
      <c r="J66" s="1527">
        <v>0</v>
      </c>
      <c r="K66" s="1527">
        <v>0</v>
      </c>
      <c r="L66" s="1527">
        <v>0</v>
      </c>
      <c r="M66" s="1529">
        <v>0</v>
      </c>
      <c r="N66" s="1529"/>
      <c r="O66" s="1529">
        <v>0</v>
      </c>
      <c r="P66" s="1529">
        <v>0</v>
      </c>
      <c r="Q66" s="1529">
        <v>0</v>
      </c>
      <c r="R66" s="1529">
        <v>0</v>
      </c>
      <c r="S66" s="1529">
        <f t="shared" si="93"/>
        <v>0</v>
      </c>
      <c r="T66" s="1534"/>
      <c r="U66" s="1529">
        <v>0</v>
      </c>
      <c r="V66" s="1529">
        <v>0</v>
      </c>
      <c r="W66" s="1529">
        <v>0</v>
      </c>
      <c r="X66" s="1529">
        <v>0</v>
      </c>
      <c r="Y66" s="1529">
        <f t="shared" si="94"/>
        <v>0</v>
      </c>
      <c r="Z66" s="1534"/>
      <c r="AA66" s="1529">
        <v>0</v>
      </c>
      <c r="AB66" s="1529">
        <v>0</v>
      </c>
      <c r="AC66" s="1529">
        <v>0</v>
      </c>
      <c r="AD66" s="1529">
        <v>0</v>
      </c>
      <c r="AE66" s="1529">
        <f t="shared" si="95"/>
        <v>0</v>
      </c>
      <c r="AF66" s="1534"/>
      <c r="AG66" s="1529">
        <v>0</v>
      </c>
      <c r="AH66" s="1529">
        <v>0</v>
      </c>
      <c r="AI66" s="1529">
        <v>0</v>
      </c>
      <c r="AJ66" s="1529">
        <v>0</v>
      </c>
      <c r="AK66" s="1529">
        <f t="shared" si="96"/>
        <v>0</v>
      </c>
      <c r="AL66" s="1534"/>
      <c r="AM66" s="1529">
        <v>0</v>
      </c>
      <c r="AN66" s="1529">
        <v>0</v>
      </c>
      <c r="AO66" s="1529">
        <f>-24.457-AN66-AM66</f>
        <v>-24.457000000000001</v>
      </c>
      <c r="AP66" s="1529">
        <f>-24.457-AO66-AN66-AM66</f>
        <v>0</v>
      </c>
      <c r="AQ66" s="1529">
        <f t="shared" si="97"/>
        <v>-24.457000000000001</v>
      </c>
      <c r="AR66" s="1534"/>
      <c r="AS66" s="1529">
        <v>0</v>
      </c>
      <c r="AT66" s="1529">
        <v>0</v>
      </c>
      <c r="AU66" s="1529">
        <f>-415.459-AT66-AS66</f>
        <v>-415.459</v>
      </c>
      <c r="AV66" s="1529">
        <f>-6936.955-AU66-AT66-AS66</f>
        <v>-6521.4960000000001</v>
      </c>
      <c r="AW66" s="1529">
        <f t="shared" si="98"/>
        <v>-6936.9549999999999</v>
      </c>
      <c r="AX66" s="1534"/>
      <c r="AY66" s="1529">
        <v>-15.433</v>
      </c>
      <c r="AZ66" s="1529">
        <f>-1.965-AY66</f>
        <v>13.468</v>
      </c>
      <c r="BA66" s="1529">
        <f>20.472-AZ66-AY66</f>
        <v>22.437000000000001</v>
      </c>
      <c r="BB66" s="1529">
        <f>17-BA66-AZ66-AY66</f>
        <v>-3.4720000000000013</v>
      </c>
      <c r="BC66" s="1529">
        <f t="shared" si="99"/>
        <v>17</v>
      </c>
      <c r="BD66" s="1534"/>
      <c r="BE66" s="1529">
        <v>3.3010000000000002</v>
      </c>
      <c r="BF66" s="1529">
        <f>7-BE66</f>
        <v>3.6989999999999998</v>
      </c>
      <c r="BG66" s="1529">
        <f>14-BF66-BE66</f>
        <v>7</v>
      </c>
      <c r="BH66" s="1529">
        <f>244-BG66-BF66-BE66</f>
        <v>230</v>
      </c>
      <c r="BI66" s="1529">
        <f t="shared" si="100"/>
        <v>244</v>
      </c>
      <c r="BJ66" s="1534"/>
      <c r="BK66" s="1529">
        <v>81</v>
      </c>
      <c r="BL66" s="1529">
        <f>102-BK66</f>
        <v>21</v>
      </c>
      <c r="BM66" s="1529">
        <f>108-BL66-BK66</f>
        <v>6</v>
      </c>
      <c r="BN66" s="1529">
        <f>111-BM66-BL66-BK66</f>
        <v>3</v>
      </c>
      <c r="BO66" s="1529">
        <f t="shared" si="101"/>
        <v>111</v>
      </c>
      <c r="BP66" s="1534"/>
      <c r="BQ66" s="1529">
        <v>-36</v>
      </c>
      <c r="BR66" s="1529">
        <f t="shared" si="121"/>
        <v>4</v>
      </c>
      <c r="BS66" s="1529">
        <f t="shared" si="121"/>
        <v>2</v>
      </c>
      <c r="BT66" s="1529">
        <f t="shared" si="121"/>
        <v>1</v>
      </c>
      <c r="BU66" s="1529">
        <f>SUM(BQ66:BT66)</f>
        <v>-29</v>
      </c>
      <c r="BV66" s="1534"/>
      <c r="BW66" s="1529">
        <v>0</v>
      </c>
      <c r="BX66" s="1529">
        <f t="shared" si="122"/>
        <v>-1</v>
      </c>
      <c r="BY66" s="1529">
        <f t="shared" si="122"/>
        <v>0</v>
      </c>
      <c r="BZ66" s="1529">
        <f t="shared" si="122"/>
        <v>-1</v>
      </c>
      <c r="CA66" s="1529">
        <f>SUM(BW66:BZ66)</f>
        <v>-2</v>
      </c>
      <c r="CB66" s="1534"/>
      <c r="CC66" s="1529">
        <f>CC15</f>
        <v>25</v>
      </c>
      <c r="CD66" s="1529">
        <f t="shared" si="123"/>
        <v>24</v>
      </c>
      <c r="CE66" s="1529">
        <f t="shared" si="123"/>
        <v>-22</v>
      </c>
      <c r="CF66" s="1529">
        <f t="shared" si="123"/>
        <v>-66</v>
      </c>
      <c r="CG66" s="1529">
        <f>SUM(CC66:CF66)</f>
        <v>-39</v>
      </c>
      <c r="CH66" s="1534"/>
      <c r="CI66" s="1529">
        <f>CI15</f>
        <v>-15</v>
      </c>
      <c r="CJ66" s="1529">
        <f t="shared" si="124"/>
        <v>29</v>
      </c>
      <c r="CK66" s="1529">
        <f t="shared" si="124"/>
        <v>18</v>
      </c>
      <c r="CL66" s="1529">
        <f t="shared" si="124"/>
        <v>17</v>
      </c>
      <c r="CM66" s="1536">
        <f>SUM(CI66:CL66)</f>
        <v>49</v>
      </c>
      <c r="CN66" s="1534"/>
      <c r="CO66" s="1529">
        <f>CO15</f>
        <v>0</v>
      </c>
      <c r="CP66" s="1529">
        <f t="shared" si="125"/>
        <v>0</v>
      </c>
      <c r="CQ66" s="1529">
        <f t="shared" si="125"/>
        <v>0</v>
      </c>
      <c r="CR66" s="1529">
        <f t="shared" si="125"/>
        <v>0</v>
      </c>
      <c r="CS66" s="1536">
        <f>SUM(CO66:CR66)</f>
        <v>0</v>
      </c>
      <c r="CT66" s="1534"/>
      <c r="CU66" s="1529">
        <f>CU15</f>
        <v>0</v>
      </c>
      <c r="CV66" s="1529">
        <f t="shared" si="106"/>
        <v>0</v>
      </c>
      <c r="CW66" s="1529">
        <f t="shared" si="106"/>
        <v>0</v>
      </c>
      <c r="CX66" s="1529">
        <f t="shared" si="106"/>
        <v>0</v>
      </c>
      <c r="CY66" s="1536">
        <f>SUM(CU66:CX66)</f>
        <v>0</v>
      </c>
      <c r="CZ66" s="1534"/>
      <c r="DA66" s="1529">
        <f>DA15</f>
        <v>0</v>
      </c>
      <c r="DB66" s="1529">
        <f t="shared" si="107"/>
        <v>0</v>
      </c>
      <c r="DC66" s="1529">
        <f t="shared" si="107"/>
        <v>0</v>
      </c>
      <c r="DD66" s="1529">
        <f t="shared" si="107"/>
        <v>0</v>
      </c>
      <c r="DE66" s="1536">
        <f>SUM(DA66:DD66)</f>
        <v>0</v>
      </c>
      <c r="DF66" s="1534"/>
      <c r="DG66" s="1529">
        <f>DG15</f>
        <v>0</v>
      </c>
      <c r="DH66" s="1529">
        <f t="shared" si="108"/>
        <v>0</v>
      </c>
      <c r="DI66" s="1529">
        <f t="shared" si="108"/>
        <v>0</v>
      </c>
      <c r="DJ66" s="1529">
        <f t="shared" si="108"/>
        <v>0</v>
      </c>
      <c r="DK66" s="1536">
        <f>SUM(DG66:DJ66)</f>
        <v>0</v>
      </c>
      <c r="DL66" s="1534"/>
      <c r="DM66" s="1529">
        <f>DM15</f>
        <v>0</v>
      </c>
      <c r="DN66" s="1529">
        <f t="shared" si="109"/>
        <v>0</v>
      </c>
      <c r="DO66" s="1529">
        <f t="shared" si="109"/>
        <v>0</v>
      </c>
      <c r="DP66" s="1529">
        <f t="shared" si="109"/>
        <v>0</v>
      </c>
      <c r="DQ66" s="1536">
        <f>SUM(DM66:DP66)</f>
        <v>0</v>
      </c>
      <c r="DR66" s="1534"/>
      <c r="DS66" s="1529">
        <f>DS15</f>
        <v>0</v>
      </c>
      <c r="DT66" s="1529">
        <f t="shared" si="110"/>
        <v>0</v>
      </c>
      <c r="DU66" s="1529">
        <f t="shared" si="110"/>
        <v>0</v>
      </c>
      <c r="DV66" s="1529">
        <f t="shared" si="110"/>
        <v>0</v>
      </c>
      <c r="DW66" s="1536">
        <f>SUM(DS66:DV66)</f>
        <v>0</v>
      </c>
      <c r="DX66" s="1534"/>
      <c r="DY66" s="1529">
        <f>DY15</f>
        <v>0</v>
      </c>
      <c r="DZ66" s="1529">
        <f t="shared" si="111"/>
        <v>0</v>
      </c>
      <c r="EA66" s="1529">
        <f t="shared" si="111"/>
        <v>0</v>
      </c>
      <c r="EB66" s="1529">
        <f t="shared" si="111"/>
        <v>0</v>
      </c>
      <c r="EC66" s="1536">
        <f>SUM(DY66:EB66)</f>
        <v>0</v>
      </c>
      <c r="ED66" s="1534"/>
      <c r="EE66" s="1529">
        <f>EE15</f>
        <v>0</v>
      </c>
      <c r="EF66" s="1529">
        <f t="shared" si="112"/>
        <v>0</v>
      </c>
      <c r="EG66" s="1529">
        <f t="shared" si="112"/>
        <v>0</v>
      </c>
      <c r="EH66" s="1529">
        <f t="shared" si="112"/>
        <v>0</v>
      </c>
      <c r="EI66" s="1536">
        <f>SUM(EE66:EH66)</f>
        <v>0</v>
      </c>
      <c r="EJ66" s="1534"/>
      <c r="EK66" s="1529">
        <f>EK15</f>
        <v>0</v>
      </c>
      <c r="EL66" s="1529">
        <f t="shared" si="113"/>
        <v>0</v>
      </c>
      <c r="EM66" s="1529">
        <f t="shared" si="113"/>
        <v>0</v>
      </c>
      <c r="EN66" s="1529">
        <f t="shared" si="113"/>
        <v>0</v>
      </c>
      <c r="EO66" s="1536">
        <f>SUM(EK66:EN66)</f>
        <v>0</v>
      </c>
      <c r="EP66" s="1534"/>
      <c r="EQ66" s="1529">
        <f>EQ15</f>
        <v>0</v>
      </c>
      <c r="ER66" s="1529">
        <f t="shared" si="114"/>
        <v>0</v>
      </c>
      <c r="ES66" s="1529">
        <f t="shared" si="114"/>
        <v>0</v>
      </c>
      <c r="ET66" s="1529">
        <f t="shared" si="114"/>
        <v>0</v>
      </c>
      <c r="EU66" s="1536">
        <f>SUM(EQ66:ET66)</f>
        <v>0</v>
      </c>
      <c r="EV66" s="1534"/>
      <c r="EW66" s="1529">
        <f>EW15</f>
        <v>0</v>
      </c>
      <c r="EX66" s="1529">
        <f t="shared" si="115"/>
        <v>0</v>
      </c>
      <c r="EY66" s="1529">
        <f t="shared" si="115"/>
        <v>0</v>
      </c>
      <c r="EZ66" s="1529">
        <f t="shared" si="116"/>
        <v>0</v>
      </c>
      <c r="FA66" s="1536">
        <f>SUM(EW66:EZ66)</f>
        <v>0</v>
      </c>
      <c r="FB66" s="1534"/>
      <c r="FC66" s="1529">
        <f>FC15</f>
        <v>0</v>
      </c>
      <c r="FD66" s="1529">
        <f t="shared" si="117"/>
        <v>0</v>
      </c>
      <c r="FE66" s="1529">
        <f t="shared" si="117"/>
        <v>0</v>
      </c>
      <c r="FF66" s="1529">
        <f t="shared" si="117"/>
        <v>0</v>
      </c>
      <c r="FG66" s="1536">
        <f>SUM(FC66:FF66)</f>
        <v>0</v>
      </c>
      <c r="FH66" s="1534"/>
      <c r="FI66" s="1529">
        <f>FI15</f>
        <v>0</v>
      </c>
      <c r="FJ66" s="1529">
        <f t="shared" si="118"/>
        <v>0</v>
      </c>
      <c r="FK66" s="1529">
        <f t="shared" si="119"/>
        <v>0</v>
      </c>
      <c r="FL66" s="1529">
        <f t="shared" si="120"/>
        <v>0</v>
      </c>
      <c r="FM66" s="1536">
        <f>SUM(FI66:FL66)</f>
        <v>0</v>
      </c>
      <c r="FN66" s="1533"/>
      <c r="FO66" s="1533"/>
      <c r="FP66" s="1524"/>
      <c r="FQ66" s="1524"/>
      <c r="FR66" s="1524"/>
      <c r="FS66"/>
      <c r="FT66"/>
      <c r="FU66"/>
      <c r="FV66"/>
      <c r="FW66"/>
      <c r="FX66"/>
      <c r="FY66" s="1524"/>
      <c r="FZ66" s="1522"/>
      <c r="GA66" s="1522"/>
      <c r="GB66" s="1522"/>
      <c r="GC66" s="1522"/>
      <c r="GD66" s="1522"/>
      <c r="GE66" s="1522"/>
      <c r="GF66" s="1522"/>
      <c r="GG66" s="1522"/>
      <c r="GH66" s="1522"/>
      <c r="GI66" s="1522"/>
      <c r="GJ66" s="1522"/>
      <c r="GK66" s="1522"/>
      <c r="GL66" s="1522"/>
      <c r="GM66" s="1522"/>
      <c r="GN66" s="1522"/>
      <c r="GO66" s="1522"/>
      <c r="GP66" s="1522"/>
      <c r="GQ66" s="1522"/>
      <c r="GR66" s="1522"/>
      <c r="GS66" s="1522"/>
      <c r="GT66" s="1522"/>
      <c r="GU66" s="1522"/>
      <c r="GV66" s="1522"/>
      <c r="GW66" s="1522"/>
      <c r="GX66" s="1522"/>
      <c r="GY66" s="1522"/>
      <c r="GZ66" s="1522"/>
      <c r="HA66" s="1522"/>
      <c r="HB66" s="1522"/>
      <c r="HC66" s="1522"/>
      <c r="HD66" s="1522"/>
      <c r="HE66" s="1522"/>
      <c r="HF66" s="1522"/>
      <c r="HG66" s="1522"/>
      <c r="HH66" s="1522"/>
      <c r="HI66" s="1522"/>
      <c r="HJ66" s="1522"/>
      <c r="HK66" s="1522"/>
      <c r="HL66" s="1522"/>
      <c r="HM66" s="1522"/>
      <c r="HN66" s="1522"/>
      <c r="HO66" s="1522"/>
      <c r="HP66" s="1522"/>
      <c r="HQ66" s="1522"/>
      <c r="HR66" s="1522"/>
      <c r="HS66" s="1522"/>
      <c r="HT66" s="1522"/>
      <c r="HU66" s="1522"/>
      <c r="HV66" s="1522"/>
      <c r="HW66" s="1522"/>
      <c r="HX66" s="1522"/>
      <c r="HY66" s="1522"/>
      <c r="HZ66" s="1522"/>
      <c r="IA66" s="1522"/>
      <c r="IB66" s="1522"/>
      <c r="IC66" s="1522"/>
      <c r="ID66" s="1522"/>
      <c r="IE66" s="1522"/>
      <c r="IF66" s="1522"/>
      <c r="IG66" s="1522"/>
      <c r="IH66" s="1522"/>
      <c r="II66" s="1522"/>
      <c r="IJ66" s="1522"/>
      <c r="IK66" s="1522"/>
      <c r="IL66" s="1522"/>
      <c r="IM66" s="1522"/>
      <c r="IN66" s="1522"/>
      <c r="IO66" s="1522"/>
      <c r="IP66" s="1522"/>
      <c r="IQ66" s="1522"/>
      <c r="IR66" s="1522"/>
      <c r="IS66" s="1522"/>
      <c r="IT66" s="1522"/>
      <c r="IU66" s="1522"/>
      <c r="IV66" s="1522"/>
      <c r="IW66" s="1522"/>
      <c r="IX66" s="1522"/>
      <c r="IY66" s="1522"/>
      <c r="IZ66" s="1522"/>
      <c r="JA66" s="1522"/>
      <c r="JB66" s="1522"/>
      <c r="JC66" s="1522"/>
      <c r="JD66" s="1522"/>
      <c r="JE66" s="1522"/>
      <c r="JF66" s="1522"/>
      <c r="JG66" s="1522"/>
      <c r="JH66" s="1522"/>
      <c r="JI66" s="1522"/>
      <c r="JJ66" s="1522"/>
      <c r="JK66" s="1522"/>
      <c r="JL66" s="1522"/>
      <c r="JM66" s="1522"/>
      <c r="JN66" s="1522"/>
    </row>
    <row r="67" spans="1:274" s="1523" customFormat="1" ht="10.5" customHeight="1" x14ac:dyDescent="0.2">
      <c r="A67" s="1529" t="s">
        <v>919</v>
      </c>
      <c r="B67" s="1529"/>
      <c r="C67" s="1527">
        <v>0</v>
      </c>
      <c r="D67" s="1527">
        <v>0</v>
      </c>
      <c r="E67" s="1527">
        <v>0</v>
      </c>
      <c r="F67" s="1527">
        <f>0.089+10.687</f>
        <v>10.776</v>
      </c>
      <c r="G67" s="1527">
        <f>7.94+8.17</f>
        <v>16.11</v>
      </c>
      <c r="H67" s="1527">
        <f>6.821-10.857</f>
        <v>-4.0359999999999996</v>
      </c>
      <c r="I67" s="1527">
        <f>24.368+7.728</f>
        <v>32.095999999999997</v>
      </c>
      <c r="J67" s="1527">
        <f>-0.978-15.394</f>
        <v>-16.372</v>
      </c>
      <c r="K67" s="1527">
        <f>24.23+3.655</f>
        <v>27.885000000000002</v>
      </c>
      <c r="L67" s="1527">
        <f>11.553+18.539+0.401</f>
        <v>30.493000000000002</v>
      </c>
      <c r="M67" s="1529">
        <f>-4.608+30.334+28.752</f>
        <v>54.477999999999994</v>
      </c>
      <c r="N67" s="1529"/>
      <c r="O67" s="1529">
        <f>-6.256-12.959+1.866</f>
        <v>-17.349</v>
      </c>
      <c r="P67" s="1529">
        <f>-14.209-8.055-5.036-O67</f>
        <v>-9.950999999999997</v>
      </c>
      <c r="Q67" s="1529">
        <f>-34.848+16.603-16.006-P67-O67</f>
        <v>-6.9510000000000005</v>
      </c>
      <c r="R67" s="1529">
        <f>-80.183+90.713-13.341-Q67-P67-O67</f>
        <v>31.439999999999984</v>
      </c>
      <c r="S67" s="1529">
        <f t="shared" si="93"/>
        <v>-2.8110000000000142</v>
      </c>
      <c r="T67" s="1529"/>
      <c r="U67" s="1529">
        <f>12.375-64.408+10.825</f>
        <v>-41.207999999999998</v>
      </c>
      <c r="V67" s="1529">
        <f>3.263-42.407-8.09-U67</f>
        <v>-6.0259999999999962</v>
      </c>
      <c r="W67" s="1529">
        <f>-7.535-20.777-17.916-V67-U67</f>
        <v>1.0059999999999931</v>
      </c>
      <c r="X67" s="1529">
        <f>-20.377+86.367-25.351-W67-V67-U67</f>
        <v>86.867000000000019</v>
      </c>
      <c r="Y67" s="1529">
        <f t="shared" si="94"/>
        <v>40.639000000000017</v>
      </c>
      <c r="Z67" s="1529"/>
      <c r="AA67" s="1529">
        <f>-53.321-4.483</f>
        <v>-57.803999999999995</v>
      </c>
      <c r="AB67" s="1529">
        <f>-97.671-4.621-AA67</f>
        <v>-44.488000000000007</v>
      </c>
      <c r="AC67" s="1529">
        <f>-46.677-112.704+1.887-AB67-AA67</f>
        <v>-55.202000000000005</v>
      </c>
      <c r="AD67" s="1529">
        <f>-102.864+78.05+6.286-AC67-AB67-AA67</f>
        <v>138.96600000000001</v>
      </c>
      <c r="AE67" s="1529">
        <f t="shared" si="95"/>
        <v>-18.527999999999992</v>
      </c>
      <c r="AF67" s="1529"/>
      <c r="AG67" s="1529">
        <f>7.194-47.461+0.598</f>
        <v>-39.668999999999997</v>
      </c>
      <c r="AH67" s="1529">
        <f>6.961-75.79+14.495-AG67</f>
        <v>-14.665000000000013</v>
      </c>
      <c r="AI67" s="1529">
        <f>10.375-105.359-45.423+15.262-AH67-AG67</f>
        <v>-70.810999999999964</v>
      </c>
      <c r="AJ67" s="1529">
        <f>10.37+12.64+23.086-AI67-AH67-AG67</f>
        <v>171.24099999999999</v>
      </c>
      <c r="AK67" s="1529">
        <f t="shared" si="96"/>
        <v>46.096000000000004</v>
      </c>
      <c r="AL67" s="1529"/>
      <c r="AM67" s="1529">
        <f>5.101-57.815-5.319</f>
        <v>-58.033000000000001</v>
      </c>
      <c r="AN67" s="1529">
        <f>-53.327+56.01-81.984-0.887-AM67</f>
        <v>-22.154999999999987</v>
      </c>
      <c r="AO67" s="1529">
        <f>-52.138-44.096-58.927+7.304-AN67-AM67</f>
        <v>-67.669000000000011</v>
      </c>
      <c r="AP67" s="1529">
        <f>-39.683+153.376+10.076+20.367-AO67-AN67-AM67</f>
        <v>291.99299999999999</v>
      </c>
      <c r="AQ67" s="1529">
        <f t="shared" si="97"/>
        <v>144.136</v>
      </c>
      <c r="AR67" s="1529"/>
      <c r="AS67" s="1529">
        <f>-1.326+4.747-123.032-109.442</f>
        <v>-229.053</v>
      </c>
      <c r="AT67" s="1529">
        <f>-166.924-76.528-11.24-AS67</f>
        <v>-25.63900000000001</v>
      </c>
      <c r="AU67" s="1529">
        <f>59.838-44.155+231.211-10.042-AT67-AS67</f>
        <v>491.54399999999998</v>
      </c>
      <c r="AV67" s="1529">
        <f>87.398+3036.143+35.646-16.728-AU67-AT67-AS67</f>
        <v>2905.6070000000004</v>
      </c>
      <c r="AW67" s="1529">
        <f t="shared" si="98"/>
        <v>3142.4590000000003</v>
      </c>
      <c r="AX67" s="1529"/>
      <c r="AY67" s="1529">
        <f>-1.122-2117.814-81.35</f>
        <v>-2200.2859999999996</v>
      </c>
      <c r="AZ67" s="1529">
        <f>32.755-1847.776-61.29-16.04-AY67</f>
        <v>307.93499999999972</v>
      </c>
      <c r="BA67" s="1529">
        <f>59.679-1669.877-24.734+14.042-AZ67-AY67</f>
        <v>271.46100000000001</v>
      </c>
      <c r="BB67" s="1529">
        <f>-56-869-BA67-AZ67-AY67</f>
        <v>695.88999999999987</v>
      </c>
      <c r="BC67" s="1529">
        <f t="shared" si="99"/>
        <v>-925</v>
      </c>
      <c r="BD67" s="1529"/>
      <c r="BE67" s="1529">
        <f>-20.249+322.737-101.333-9.772</f>
        <v>191.38300000000001</v>
      </c>
      <c r="BF67" s="1529">
        <f>-199+188-BE67</f>
        <v>-202.38300000000001</v>
      </c>
      <c r="BG67" s="1529">
        <f>-27+254-BF67-BE67</f>
        <v>238.00000000000003</v>
      </c>
      <c r="BH67" s="1529">
        <f>-160+384-BG67-BF67-BE67</f>
        <v>-3.0000000000000284</v>
      </c>
      <c r="BI67" s="1529">
        <f t="shared" si="100"/>
        <v>224</v>
      </c>
      <c r="BJ67" s="1529"/>
      <c r="BK67" s="1529">
        <f>-36-109</f>
        <v>-145</v>
      </c>
      <c r="BL67" s="1529">
        <f>10-185-BK67</f>
        <v>-30</v>
      </c>
      <c r="BM67" s="1529">
        <f>-19-105-BL67-BK67</f>
        <v>51</v>
      </c>
      <c r="BN67" s="1529">
        <f>90-81-BM67-BL67-BK67</f>
        <v>133</v>
      </c>
      <c r="BO67" s="1529">
        <f t="shared" si="101"/>
        <v>9</v>
      </c>
      <c r="BP67" s="1529"/>
      <c r="BQ67" s="1529">
        <f>-26+130</f>
        <v>104</v>
      </c>
      <c r="BR67" s="1529">
        <f>BR16-BQ16</f>
        <v>-84</v>
      </c>
      <c r="BS67" s="1529">
        <f t="shared" si="121"/>
        <v>25</v>
      </c>
      <c r="BT67" s="1529">
        <f t="shared" si="121"/>
        <v>13</v>
      </c>
      <c r="BU67" s="1529">
        <f>SUM(BQ67:BT67)</f>
        <v>58</v>
      </c>
      <c r="BV67" s="1529"/>
      <c r="BW67" s="1529">
        <v>-11</v>
      </c>
      <c r="BX67" s="1529">
        <f t="shared" si="122"/>
        <v>-17</v>
      </c>
      <c r="BY67" s="1529">
        <f t="shared" si="122"/>
        <v>-89</v>
      </c>
      <c r="BZ67" s="1529">
        <f t="shared" si="122"/>
        <v>51</v>
      </c>
      <c r="CA67" s="1529">
        <f>SUM(BW67:BZ67)</f>
        <v>-66</v>
      </c>
      <c r="CB67" s="1529"/>
      <c r="CC67" s="1529">
        <f>CC16</f>
        <v>-46</v>
      </c>
      <c r="CD67" s="1529">
        <f t="shared" si="123"/>
        <v>-19</v>
      </c>
      <c r="CE67" s="1529">
        <f t="shared" si="123"/>
        <v>-50</v>
      </c>
      <c r="CF67" s="1529">
        <f t="shared" si="123"/>
        <v>357</v>
      </c>
      <c r="CG67" s="1529">
        <f>SUM(CC67:CF67)</f>
        <v>242</v>
      </c>
      <c r="CH67" s="1529"/>
      <c r="CI67" s="1529">
        <f>CI16</f>
        <v>68</v>
      </c>
      <c r="CJ67" s="1529">
        <f t="shared" si="124"/>
        <v>33</v>
      </c>
      <c r="CK67" s="1529">
        <f t="shared" si="124"/>
        <v>29</v>
      </c>
      <c r="CL67" s="1529">
        <f t="shared" si="124"/>
        <v>400</v>
      </c>
      <c r="CM67" s="1536">
        <f>SUM(CI67:CL67)</f>
        <v>530</v>
      </c>
      <c r="CN67" s="1529"/>
      <c r="CO67" s="1529">
        <f>CO16</f>
        <v>24</v>
      </c>
      <c r="CP67" s="1529">
        <f t="shared" si="125"/>
        <v>13</v>
      </c>
      <c r="CQ67" s="1529">
        <f t="shared" si="125"/>
        <v>-90</v>
      </c>
      <c r="CR67" s="1529">
        <f t="shared" si="125"/>
        <v>70</v>
      </c>
      <c r="CS67" s="1536">
        <f>SUM(CO67:CR67)</f>
        <v>17</v>
      </c>
      <c r="CT67" s="1529"/>
      <c r="CU67" s="1529">
        <f>CU16</f>
        <v>2</v>
      </c>
      <c r="CV67" s="1529">
        <f t="shared" si="106"/>
        <v>-72</v>
      </c>
      <c r="CW67" s="1529">
        <f t="shared" si="106"/>
        <v>-115</v>
      </c>
      <c r="CX67" s="1529">
        <f t="shared" si="106"/>
        <v>33</v>
      </c>
      <c r="CY67" s="1536">
        <f>SUM(CU67:CX67)</f>
        <v>-152</v>
      </c>
      <c r="CZ67" s="1529"/>
      <c r="DA67" s="1529">
        <f>DA16</f>
        <v>-14</v>
      </c>
      <c r="DB67" s="1529">
        <f t="shared" si="107"/>
        <v>-117</v>
      </c>
      <c r="DC67" s="1529">
        <f t="shared" si="107"/>
        <v>-106</v>
      </c>
      <c r="DD67" s="1529">
        <f t="shared" si="107"/>
        <v>-168</v>
      </c>
      <c r="DE67" s="1536">
        <f>SUM(DA67:DD67)</f>
        <v>-405</v>
      </c>
      <c r="DF67" s="1529"/>
      <c r="DG67" s="1529">
        <f>DG16</f>
        <v>25</v>
      </c>
      <c r="DH67" s="1529">
        <f t="shared" si="108"/>
        <v>-21</v>
      </c>
      <c r="DI67" s="1529">
        <f t="shared" si="108"/>
        <v>-53</v>
      </c>
      <c r="DJ67" s="1529">
        <f t="shared" si="108"/>
        <v>-26</v>
      </c>
      <c r="DK67" s="1536">
        <f>SUM(DG67:DJ67)</f>
        <v>-75</v>
      </c>
      <c r="DL67" s="1529"/>
      <c r="DM67" s="1529">
        <f>DM16</f>
        <v>-74</v>
      </c>
      <c r="DN67" s="1529">
        <f t="shared" si="109"/>
        <v>31</v>
      </c>
      <c r="DO67" s="1529">
        <f t="shared" si="109"/>
        <v>-38</v>
      </c>
      <c r="DP67" s="1529">
        <f t="shared" si="109"/>
        <v>259</v>
      </c>
      <c r="DQ67" s="1536">
        <f>SUM(DM67:DP67)</f>
        <v>178</v>
      </c>
      <c r="DR67" s="1529"/>
      <c r="DS67" s="1529">
        <f>DS16</f>
        <v>159</v>
      </c>
      <c r="DT67" s="1529">
        <f t="shared" si="110"/>
        <v>-35</v>
      </c>
      <c r="DU67" s="1529">
        <f t="shared" si="110"/>
        <v>256</v>
      </c>
      <c r="DV67" s="1529">
        <f t="shared" si="110"/>
        <v>-173</v>
      </c>
      <c r="DW67" s="1536">
        <f>SUM(DS67:DV67)</f>
        <v>207</v>
      </c>
      <c r="DX67" s="1529"/>
      <c r="DY67" s="1529">
        <f>DY16</f>
        <v>-57</v>
      </c>
      <c r="DZ67" s="1529">
        <f t="shared" si="111"/>
        <v>-41</v>
      </c>
      <c r="EA67" s="1529">
        <f t="shared" si="111"/>
        <v>-11</v>
      </c>
      <c r="EB67" s="1529">
        <f t="shared" si="111"/>
        <v>402</v>
      </c>
      <c r="EC67" s="1536">
        <f>SUM(DY67:EB67)</f>
        <v>293</v>
      </c>
      <c r="ED67" s="1529"/>
      <c r="EE67" s="1529">
        <f>EE16</f>
        <v>23</v>
      </c>
      <c r="EF67" s="1529">
        <f t="shared" si="112"/>
        <v>-179</v>
      </c>
      <c r="EG67" s="1529">
        <f t="shared" si="112"/>
        <v>-87</v>
      </c>
      <c r="EH67" s="1529">
        <f t="shared" si="112"/>
        <v>174</v>
      </c>
      <c r="EI67" s="1536">
        <f>SUM(EE67:EH67)</f>
        <v>-69</v>
      </c>
      <c r="EJ67" s="1529"/>
      <c r="EK67" s="1529">
        <f>EK16</f>
        <v>92</v>
      </c>
      <c r="EL67" s="1529">
        <f t="shared" si="113"/>
        <v>9</v>
      </c>
      <c r="EM67" s="1529">
        <f t="shared" si="113"/>
        <v>-1</v>
      </c>
      <c r="EN67" s="1529">
        <f t="shared" si="113"/>
        <v>125</v>
      </c>
      <c r="EO67" s="1536">
        <f>SUM(EK67:EN67)</f>
        <v>225</v>
      </c>
      <c r="EP67" s="1529"/>
      <c r="EQ67" s="1529">
        <f>EQ16</f>
        <v>399</v>
      </c>
      <c r="ER67" s="1529">
        <f t="shared" si="114"/>
        <v>38</v>
      </c>
      <c r="ES67" s="1529">
        <f t="shared" si="114"/>
        <v>148</v>
      </c>
      <c r="ET67" s="1529">
        <f t="shared" si="114"/>
        <v>-334</v>
      </c>
      <c r="EU67" s="1536">
        <f>SUM(EQ67:ET67)</f>
        <v>251</v>
      </c>
      <c r="EV67" s="1529"/>
      <c r="EW67" s="1529">
        <f>EW16</f>
        <v>206</v>
      </c>
      <c r="EX67" s="1529">
        <f t="shared" si="115"/>
        <v>-30</v>
      </c>
      <c r="EY67" s="1529">
        <f t="shared" si="115"/>
        <v>-852</v>
      </c>
      <c r="EZ67" s="1529">
        <f t="shared" si="116"/>
        <v>0</v>
      </c>
      <c r="FA67" s="1536">
        <f>SUM(EW67:EZ67)</f>
        <v>-676</v>
      </c>
      <c r="FB67" s="1529"/>
      <c r="FC67" s="1529">
        <f>FC16</f>
        <v>0</v>
      </c>
      <c r="FD67" s="1529">
        <f t="shared" si="117"/>
        <v>0</v>
      </c>
      <c r="FE67" s="1529">
        <f t="shared" si="117"/>
        <v>0</v>
      </c>
      <c r="FF67" s="1529">
        <f t="shared" si="117"/>
        <v>0</v>
      </c>
      <c r="FG67" s="1536">
        <f>SUM(FC67:FF67)</f>
        <v>0</v>
      </c>
      <c r="FH67" s="1529"/>
      <c r="FI67" s="1529">
        <f>FI16</f>
        <v>0</v>
      </c>
      <c r="FJ67" s="1529">
        <f t="shared" si="118"/>
        <v>0</v>
      </c>
      <c r="FK67" s="1529">
        <f t="shared" si="119"/>
        <v>0</v>
      </c>
      <c r="FL67" s="1529">
        <f t="shared" si="120"/>
        <v>0</v>
      </c>
      <c r="FM67" s="1536">
        <f>SUM(FI67:FL67)</f>
        <v>0</v>
      </c>
      <c r="FN67" s="1524"/>
      <c r="FO67" s="1524"/>
      <c r="FP67" s="1524"/>
      <c r="FQ67" s="1524"/>
      <c r="FR67" s="1524"/>
      <c r="FS67"/>
      <c r="FT67"/>
      <c r="FU67"/>
      <c r="FV67"/>
      <c r="FW67"/>
      <c r="FX67"/>
      <c r="FY67" s="1524"/>
      <c r="FZ67" s="1522"/>
      <c r="GA67" s="1522"/>
      <c r="GB67" s="1522"/>
      <c r="GC67" s="1522"/>
      <c r="GD67" s="1522"/>
      <c r="GE67" s="1522"/>
      <c r="GF67" s="1522"/>
      <c r="GG67" s="1522"/>
      <c r="GH67" s="1522"/>
      <c r="GI67" s="1522"/>
      <c r="GJ67" s="1522"/>
      <c r="GK67" s="1522"/>
      <c r="GL67" s="1522"/>
      <c r="GM67" s="1522"/>
      <c r="GN67" s="1522"/>
      <c r="GO67" s="1522"/>
      <c r="GP67" s="1522"/>
      <c r="GQ67" s="1522"/>
      <c r="GR67" s="1522"/>
      <c r="GS67" s="1522"/>
      <c r="GT67" s="1522"/>
      <c r="GU67" s="1522"/>
      <c r="GV67" s="1522"/>
      <c r="GW67" s="1522"/>
      <c r="GX67" s="1522"/>
      <c r="GY67" s="1522"/>
      <c r="GZ67" s="1522"/>
      <c r="HA67" s="1522"/>
      <c r="HB67" s="1522"/>
      <c r="HC67" s="1522"/>
      <c r="HD67" s="1522"/>
      <c r="HE67" s="1522"/>
      <c r="HF67" s="1522"/>
      <c r="HG67" s="1522"/>
      <c r="HH67" s="1522"/>
      <c r="HI67" s="1522"/>
      <c r="HJ67" s="1522"/>
      <c r="HK67" s="1522"/>
      <c r="HL67" s="1522"/>
      <c r="HM67" s="1522"/>
      <c r="HN67" s="1522"/>
      <c r="HO67" s="1522"/>
      <c r="HP67" s="1522"/>
      <c r="HQ67" s="1522"/>
      <c r="HR67" s="1522"/>
      <c r="HS67" s="1522"/>
      <c r="HT67" s="1522"/>
      <c r="HU67" s="1522"/>
      <c r="HV67" s="1522"/>
      <c r="HW67" s="1522"/>
      <c r="HX67" s="1522"/>
      <c r="HY67" s="1522"/>
      <c r="HZ67" s="1522"/>
      <c r="IA67" s="1522"/>
      <c r="IB67" s="1522"/>
      <c r="IC67" s="1522"/>
      <c r="ID67" s="1522"/>
      <c r="IE67" s="1522"/>
      <c r="IF67" s="1522"/>
      <c r="IG67" s="1522"/>
      <c r="IH67" s="1522"/>
      <c r="II67" s="1522"/>
      <c r="IJ67" s="1522"/>
      <c r="IK67" s="1522"/>
      <c r="IL67" s="1522"/>
      <c r="IM67" s="1522"/>
      <c r="IN67" s="1522"/>
      <c r="IO67" s="1522"/>
      <c r="IP67" s="1522"/>
      <c r="IQ67" s="1522"/>
      <c r="IR67" s="1522"/>
      <c r="IS67" s="1522"/>
      <c r="IT67" s="1522"/>
      <c r="IU67" s="1522"/>
      <c r="IV67" s="1522"/>
      <c r="IW67" s="1522"/>
      <c r="IX67" s="1522"/>
      <c r="IY67" s="1522"/>
      <c r="IZ67" s="1522"/>
      <c r="JA67" s="1522"/>
      <c r="JB67" s="1522"/>
      <c r="JC67" s="1522"/>
      <c r="JD67" s="1522"/>
      <c r="JE67" s="1522"/>
      <c r="JF67" s="1522"/>
      <c r="JG67" s="1522"/>
      <c r="JH67" s="1522"/>
      <c r="JI67" s="1522"/>
      <c r="JJ67" s="1522"/>
      <c r="JK67" s="1522"/>
      <c r="JL67" s="1522"/>
      <c r="JM67" s="1522"/>
      <c r="JN67" s="1522"/>
    </row>
    <row r="68" spans="1:274" s="1523" customFormat="1" ht="5.25" customHeight="1" x14ac:dyDescent="0.2">
      <c r="A68" s="1565"/>
      <c r="B68" s="1529"/>
      <c r="C68" s="1565"/>
      <c r="D68" s="1565"/>
      <c r="E68" s="1565"/>
      <c r="F68" s="1565"/>
      <c r="G68" s="1565"/>
      <c r="H68" s="1565"/>
      <c r="I68" s="1565"/>
      <c r="J68" s="1565"/>
      <c r="K68" s="1565"/>
      <c r="L68" s="1565"/>
      <c r="M68" s="1565"/>
      <c r="N68" s="1565"/>
      <c r="O68" s="1565"/>
      <c r="P68" s="1565"/>
      <c r="Q68" s="1565"/>
      <c r="R68" s="1565"/>
      <c r="S68" s="1565"/>
      <c r="T68" s="1565"/>
      <c r="U68" s="1565"/>
      <c r="V68" s="1565"/>
      <c r="W68" s="1565"/>
      <c r="X68" s="1565"/>
      <c r="Y68" s="1565"/>
      <c r="Z68" s="1565"/>
      <c r="AA68" s="1565"/>
      <c r="AB68" s="1565"/>
      <c r="AC68" s="1565"/>
      <c r="AD68" s="1565"/>
      <c r="AE68" s="1565"/>
      <c r="AF68" s="1565"/>
      <c r="AG68" s="1565"/>
      <c r="AH68" s="1565"/>
      <c r="AI68" s="1565"/>
      <c r="AJ68" s="1565"/>
      <c r="AK68" s="1565"/>
      <c r="AL68" s="1565"/>
      <c r="AM68" s="1565"/>
      <c r="AN68" s="1565"/>
      <c r="AO68" s="1565"/>
      <c r="AP68" s="1565"/>
      <c r="AQ68" s="1565"/>
      <c r="AR68" s="1565"/>
      <c r="AS68" s="1565"/>
      <c r="AT68" s="1565"/>
      <c r="AU68" s="1565"/>
      <c r="AV68" s="1565"/>
      <c r="AW68" s="1565"/>
      <c r="AX68" s="1565"/>
      <c r="AY68" s="1565"/>
      <c r="AZ68" s="1565"/>
      <c r="BA68" s="1565"/>
      <c r="BB68" s="1565"/>
      <c r="BC68" s="1565"/>
      <c r="BD68" s="1565"/>
      <c r="BE68" s="1565"/>
      <c r="BF68" s="1565"/>
      <c r="BG68" s="1565"/>
      <c r="BH68" s="1565"/>
      <c r="BI68" s="1565"/>
      <c r="BJ68" s="1565"/>
      <c r="BK68" s="1565"/>
      <c r="BL68" s="1565"/>
      <c r="BM68" s="1565"/>
      <c r="BN68" s="1565"/>
      <c r="BO68" s="1565"/>
      <c r="BP68" s="1565"/>
      <c r="BQ68" s="1565"/>
      <c r="BR68" s="1565"/>
      <c r="BS68" s="1565"/>
      <c r="BT68" s="1565"/>
      <c r="BU68" s="1565"/>
      <c r="BV68" s="1565"/>
      <c r="BW68" s="1565"/>
      <c r="BX68" s="1565"/>
      <c r="BY68" s="1565"/>
      <c r="BZ68" s="1565"/>
      <c r="CA68" s="1565"/>
      <c r="CB68" s="1565"/>
      <c r="CC68" s="1565"/>
      <c r="CD68" s="1565"/>
      <c r="CE68" s="1565"/>
      <c r="CF68" s="1565"/>
      <c r="CG68" s="1565"/>
      <c r="CH68" s="1565"/>
      <c r="CI68" s="1565"/>
      <c r="CJ68" s="1565"/>
      <c r="CK68" s="1565"/>
      <c r="CL68" s="1565"/>
      <c r="CM68" s="1566"/>
      <c r="CN68" s="1565"/>
      <c r="CO68" s="1565"/>
      <c r="CP68" s="1565"/>
      <c r="CQ68" s="1565"/>
      <c r="CR68" s="1565"/>
      <c r="CS68" s="1566"/>
      <c r="CT68" s="1565"/>
      <c r="CU68" s="1565"/>
      <c r="CV68" s="1565"/>
      <c r="CW68" s="1565"/>
      <c r="CX68" s="1565"/>
      <c r="CY68" s="1566"/>
      <c r="CZ68" s="1565"/>
      <c r="DA68" s="1565"/>
      <c r="DB68" s="1565"/>
      <c r="DC68" s="1565"/>
      <c r="DD68" s="1565"/>
      <c r="DE68" s="1566"/>
      <c r="DF68" s="1565"/>
      <c r="DG68" s="1565"/>
      <c r="DH68" s="1565"/>
      <c r="DI68" s="1565"/>
      <c r="DJ68" s="1565"/>
      <c r="DK68" s="1566"/>
      <c r="DL68" s="1565"/>
      <c r="DM68" s="1565"/>
      <c r="DN68" s="1565"/>
      <c r="DO68" s="1565"/>
      <c r="DP68" s="1565"/>
      <c r="DQ68" s="1566"/>
      <c r="DR68" s="1565"/>
      <c r="DS68" s="1565"/>
      <c r="DT68" s="1565"/>
      <c r="DU68" s="1565"/>
      <c r="DV68" s="1565"/>
      <c r="DW68" s="1566"/>
      <c r="DX68" s="1565"/>
      <c r="DY68" s="1565"/>
      <c r="DZ68" s="1565"/>
      <c r="EA68" s="1565"/>
      <c r="EB68" s="1565"/>
      <c r="EC68" s="1566"/>
      <c r="ED68" s="1565"/>
      <c r="EE68" s="1565"/>
      <c r="EF68" s="1565"/>
      <c r="EG68" s="1565"/>
      <c r="EH68" s="1565"/>
      <c r="EI68" s="1566"/>
      <c r="EJ68" s="1565"/>
      <c r="EK68" s="1565"/>
      <c r="EL68" s="1565"/>
      <c r="EM68" s="1565"/>
      <c r="EN68" s="1565"/>
      <c r="EO68" s="1566"/>
      <c r="EP68" s="1565"/>
      <c r="EQ68" s="1565"/>
      <c r="ER68" s="1565"/>
      <c r="ES68" s="1565"/>
      <c r="ET68" s="1565"/>
      <c r="EU68" s="1566"/>
      <c r="EV68" s="1565"/>
      <c r="EW68" s="1565"/>
      <c r="EX68" s="1565"/>
      <c r="EY68" s="1565"/>
      <c r="EZ68" s="1565"/>
      <c r="FA68" s="1566"/>
      <c r="FB68" s="1565"/>
      <c r="FC68" s="1565"/>
      <c r="FD68" s="1565"/>
      <c r="FE68" s="1565"/>
      <c r="FF68" s="1565"/>
      <c r="FG68" s="1566"/>
      <c r="FH68" s="1565"/>
      <c r="FI68" s="1565"/>
      <c r="FJ68" s="1565"/>
      <c r="FK68" s="1565"/>
      <c r="FL68" s="1565"/>
      <c r="FM68" s="1566"/>
      <c r="FN68" s="1567"/>
      <c r="FO68" s="1567"/>
      <c r="FP68" s="1567"/>
      <c r="FQ68" s="1567"/>
      <c r="FR68" s="1567"/>
      <c r="FS68"/>
      <c r="FT68"/>
      <c r="FU68"/>
      <c r="FV68"/>
      <c r="FW68"/>
      <c r="FX68"/>
      <c r="FY68" s="1567"/>
      <c r="FZ68" s="1522"/>
      <c r="GA68" s="1522"/>
      <c r="GB68" s="1522"/>
      <c r="GC68" s="1522"/>
      <c r="GD68" s="1522"/>
      <c r="GE68" s="1522"/>
      <c r="GF68" s="1522"/>
      <c r="GG68" s="1522"/>
      <c r="GH68" s="1522"/>
      <c r="GI68" s="1522"/>
      <c r="GJ68" s="1522"/>
      <c r="GK68" s="1522"/>
      <c r="GL68" s="1522"/>
      <c r="GM68" s="1522"/>
      <c r="GN68" s="1522"/>
      <c r="GO68" s="1522"/>
      <c r="GP68" s="1522"/>
      <c r="GQ68" s="1522"/>
      <c r="GR68" s="1522"/>
      <c r="GS68" s="1522"/>
      <c r="GT68" s="1522"/>
      <c r="GU68" s="1522"/>
      <c r="GV68" s="1522"/>
      <c r="GW68" s="1522"/>
      <c r="GX68" s="1522"/>
      <c r="GY68" s="1522"/>
      <c r="GZ68" s="1522"/>
      <c r="HA68" s="1522"/>
      <c r="HB68" s="1522"/>
      <c r="HC68" s="1522"/>
      <c r="HD68" s="1522"/>
      <c r="HE68" s="1522"/>
      <c r="HF68" s="1522"/>
      <c r="HG68" s="1522"/>
      <c r="HH68" s="1522"/>
      <c r="HI68" s="1522"/>
      <c r="HJ68" s="1522"/>
      <c r="HK68" s="1522"/>
      <c r="HL68" s="1522"/>
      <c r="HM68" s="1522"/>
      <c r="HN68" s="1522"/>
      <c r="HO68" s="1522"/>
      <c r="HP68" s="1522"/>
      <c r="HQ68" s="1522"/>
      <c r="HR68" s="1522"/>
      <c r="HS68" s="1522"/>
      <c r="HT68" s="1522"/>
      <c r="HU68" s="1522"/>
      <c r="HV68" s="1522"/>
      <c r="HW68" s="1522"/>
      <c r="HX68" s="1522"/>
      <c r="HY68" s="1522"/>
      <c r="HZ68" s="1522"/>
      <c r="IA68" s="1522"/>
      <c r="IB68" s="1522"/>
      <c r="IC68" s="1522"/>
      <c r="ID68" s="1522"/>
      <c r="IE68" s="1522"/>
      <c r="IF68" s="1522"/>
      <c r="IG68" s="1522"/>
      <c r="IH68" s="1522"/>
      <c r="II68" s="1522"/>
      <c r="IJ68" s="1522"/>
      <c r="IK68" s="1522"/>
      <c r="IL68" s="1522"/>
      <c r="IM68" s="1522"/>
      <c r="IN68" s="1522"/>
      <c r="IO68" s="1522"/>
      <c r="IP68" s="1522"/>
      <c r="IQ68" s="1522"/>
      <c r="IR68" s="1522"/>
      <c r="IS68" s="1522"/>
      <c r="IT68" s="1522"/>
      <c r="IU68" s="1522"/>
      <c r="IV68" s="1522"/>
      <c r="IW68" s="1522"/>
      <c r="IX68" s="1522"/>
      <c r="IY68" s="1522"/>
      <c r="IZ68" s="1522"/>
      <c r="JA68" s="1522"/>
      <c r="JB68" s="1522"/>
      <c r="JC68" s="1522"/>
      <c r="JD68" s="1522"/>
      <c r="JE68" s="1522"/>
      <c r="JF68" s="1522"/>
      <c r="JG68" s="1522"/>
      <c r="JH68" s="1522"/>
      <c r="JI68" s="1522"/>
      <c r="JJ68" s="1522"/>
      <c r="JK68" s="1522"/>
      <c r="JL68" s="1522"/>
      <c r="JM68" s="1522"/>
      <c r="JN68" s="1522"/>
    </row>
    <row r="69" spans="1:274" s="1523" customFormat="1" ht="10.5" customHeight="1" x14ac:dyDescent="0.2">
      <c r="A69" s="1540" t="s">
        <v>766</v>
      </c>
      <c r="B69" s="1529"/>
      <c r="C69" s="1527"/>
      <c r="D69" s="1527"/>
      <c r="E69" s="1527"/>
      <c r="F69" s="1527"/>
      <c r="G69" s="1527"/>
      <c r="H69" s="1527"/>
      <c r="I69" s="1527"/>
      <c r="J69" s="1527"/>
      <c r="K69" s="1527"/>
      <c r="L69" s="1527"/>
      <c r="M69" s="1529"/>
      <c r="N69" s="1528"/>
      <c r="O69" s="1529"/>
      <c r="P69" s="1529"/>
      <c r="Q69" s="1529"/>
      <c r="R69" s="1529"/>
      <c r="S69" s="1529"/>
      <c r="T69" s="1528"/>
      <c r="U69" s="1529"/>
      <c r="V69" s="1529"/>
      <c r="W69" s="1529"/>
      <c r="X69" s="1529"/>
      <c r="Y69" s="1529"/>
      <c r="Z69" s="1528"/>
      <c r="AA69" s="1529"/>
      <c r="AB69" s="1529"/>
      <c r="AC69" s="1529"/>
      <c r="AD69" s="1529"/>
      <c r="AE69" s="1529"/>
      <c r="AF69" s="1528"/>
      <c r="AG69" s="1529"/>
      <c r="AH69" s="1529"/>
      <c r="AI69" s="1529"/>
      <c r="AJ69" s="1529"/>
      <c r="AK69" s="1529"/>
      <c r="AL69" s="1528"/>
      <c r="AM69" s="1529"/>
      <c r="AN69" s="1529"/>
      <c r="AO69" s="1529"/>
      <c r="AP69" s="1529"/>
      <c r="AQ69" s="1529"/>
      <c r="AR69" s="1528"/>
      <c r="AS69" s="1529"/>
      <c r="AT69" s="1529"/>
      <c r="AU69" s="1529"/>
      <c r="AV69" s="1529"/>
      <c r="AW69" s="1529"/>
      <c r="AX69" s="1528"/>
      <c r="AY69" s="1529"/>
      <c r="AZ69" s="1529"/>
      <c r="BA69" s="1529"/>
      <c r="BB69" s="1529"/>
      <c r="BC69" s="1529"/>
      <c r="BD69" s="1528"/>
      <c r="BE69" s="1529"/>
      <c r="BF69" s="1529"/>
      <c r="BG69" s="1529"/>
      <c r="BH69" s="1529"/>
      <c r="BI69" s="1529"/>
      <c r="BJ69" s="1528"/>
      <c r="BK69" s="1529"/>
      <c r="BL69" s="1529"/>
      <c r="BM69" s="1529"/>
      <c r="BN69" s="1529"/>
      <c r="BO69" s="1529"/>
      <c r="BP69" s="1528"/>
      <c r="BQ69" s="1529"/>
      <c r="BR69" s="1529"/>
      <c r="BS69" s="1529"/>
      <c r="BT69" s="1529"/>
      <c r="BU69" s="1529"/>
      <c r="BV69" s="1528"/>
      <c r="BW69" s="1529"/>
      <c r="BX69" s="1529"/>
      <c r="BY69" s="1529"/>
      <c r="BZ69" s="1529"/>
      <c r="CA69" s="1529"/>
      <c r="CB69" s="1528"/>
      <c r="CC69" s="1529"/>
      <c r="CD69" s="1529"/>
      <c r="CE69" s="1529"/>
      <c r="CF69" s="1529"/>
      <c r="CG69" s="1529"/>
      <c r="CH69" s="1528"/>
      <c r="CI69" s="1529"/>
      <c r="CJ69" s="1529"/>
      <c r="CK69" s="1529"/>
      <c r="CL69" s="1529"/>
      <c r="CM69" s="1536"/>
      <c r="CN69" s="1528"/>
      <c r="CO69" s="1529"/>
      <c r="CP69" s="1529"/>
      <c r="CQ69" s="1529"/>
      <c r="CR69" s="1529"/>
      <c r="CS69" s="1536"/>
      <c r="CT69" s="1528"/>
      <c r="CU69" s="1529"/>
      <c r="CV69" s="1529"/>
      <c r="CW69" s="1529"/>
      <c r="CX69" s="1529"/>
      <c r="CY69" s="1536"/>
      <c r="CZ69" s="1528"/>
      <c r="DA69" s="1529"/>
      <c r="DB69" s="1529"/>
      <c r="DC69" s="1529"/>
      <c r="DD69" s="1529"/>
      <c r="DE69" s="1536"/>
      <c r="DF69" s="1528"/>
      <c r="DG69" s="1529"/>
      <c r="DH69" s="1529"/>
      <c r="DI69" s="1529"/>
      <c r="DJ69" s="1529"/>
      <c r="DK69" s="1536"/>
      <c r="DL69" s="1528"/>
      <c r="DM69" s="1529"/>
      <c r="DN69" s="1529"/>
      <c r="DO69" s="1529"/>
      <c r="DP69" s="1529"/>
      <c r="DQ69" s="1536"/>
      <c r="DR69" s="1528"/>
      <c r="DS69" s="1529"/>
      <c r="DT69" s="1529"/>
      <c r="DU69" s="1529"/>
      <c r="DV69" s="1529"/>
      <c r="DW69" s="1536"/>
      <c r="DX69" s="1528"/>
      <c r="DY69" s="1529"/>
      <c r="DZ69" s="1529"/>
      <c r="EA69" s="1529"/>
      <c r="EB69" s="1529"/>
      <c r="EC69" s="1536"/>
      <c r="ED69" s="1528"/>
      <c r="EE69" s="1529"/>
      <c r="EF69" s="1529"/>
      <c r="EG69" s="1529"/>
      <c r="EH69" s="1529"/>
      <c r="EI69" s="1536"/>
      <c r="EJ69" s="1528"/>
      <c r="EK69" s="1529"/>
      <c r="EL69" s="1529"/>
      <c r="EM69" s="1529"/>
      <c r="EN69" s="1529"/>
      <c r="EO69" s="1536"/>
      <c r="EP69" s="1528"/>
      <c r="EQ69" s="1529"/>
      <c r="ER69" s="1529"/>
      <c r="ES69" s="1529"/>
      <c r="ET69" s="1529"/>
      <c r="EU69" s="1536"/>
      <c r="EV69" s="1528"/>
      <c r="EW69" s="1529"/>
      <c r="EX69" s="1529"/>
      <c r="EY69" s="1529"/>
      <c r="EZ69" s="1529"/>
      <c r="FA69" s="1536"/>
      <c r="FB69" s="1528"/>
      <c r="FC69" s="1529"/>
      <c r="FD69" s="1529"/>
      <c r="FE69" s="1529"/>
      <c r="FF69" s="1529"/>
      <c r="FG69" s="1536"/>
      <c r="FH69" s="1528"/>
      <c r="FI69" s="1529"/>
      <c r="FJ69" s="1529"/>
      <c r="FK69" s="1529"/>
      <c r="FL69" s="1529"/>
      <c r="FM69" s="1536"/>
      <c r="FN69" s="1526"/>
      <c r="FO69" s="1526"/>
      <c r="FP69" s="1524"/>
      <c r="FQ69" s="1524"/>
      <c r="FR69" s="1524"/>
      <c r="FS69"/>
      <c r="FT69"/>
      <c r="FU69"/>
      <c r="FV69"/>
      <c r="FW69"/>
      <c r="FX69"/>
      <c r="FY69" s="1524"/>
      <c r="FZ69" s="1522"/>
      <c r="GA69" s="1522"/>
      <c r="GB69" s="1522"/>
      <c r="GC69" s="1522"/>
      <c r="GD69" s="1522"/>
      <c r="GE69" s="1522"/>
      <c r="GF69" s="1522"/>
      <c r="GG69" s="1522"/>
      <c r="GH69" s="1522"/>
      <c r="GI69" s="1522"/>
      <c r="GJ69" s="1522"/>
      <c r="GK69" s="1522"/>
      <c r="GL69" s="1522"/>
      <c r="GM69" s="1522"/>
      <c r="GN69" s="1522"/>
      <c r="GO69" s="1522"/>
      <c r="GP69" s="1522"/>
      <c r="GQ69" s="1522"/>
      <c r="GR69" s="1522"/>
      <c r="GS69" s="1522"/>
      <c r="GT69" s="1522"/>
      <c r="GU69" s="1522"/>
      <c r="GV69" s="1522"/>
      <c r="GW69" s="1522"/>
      <c r="GX69" s="1522"/>
      <c r="GY69" s="1522"/>
      <c r="GZ69" s="1522"/>
      <c r="HA69" s="1522"/>
      <c r="HB69" s="1522"/>
      <c r="HC69" s="1522"/>
      <c r="HD69" s="1522"/>
      <c r="HE69" s="1522"/>
      <c r="HF69" s="1522"/>
      <c r="HG69" s="1522"/>
      <c r="HH69" s="1522"/>
      <c r="HI69" s="1522"/>
      <c r="HJ69" s="1522"/>
      <c r="HK69" s="1522"/>
      <c r="HL69" s="1522"/>
      <c r="HM69" s="1522"/>
      <c r="HN69" s="1522"/>
      <c r="HO69" s="1522"/>
      <c r="HP69" s="1522"/>
      <c r="HQ69" s="1522"/>
      <c r="HR69" s="1522"/>
      <c r="HS69" s="1522"/>
      <c r="HT69" s="1522"/>
      <c r="HU69" s="1522"/>
      <c r="HV69" s="1522"/>
      <c r="HW69" s="1522"/>
      <c r="HX69" s="1522"/>
      <c r="HY69" s="1522"/>
      <c r="HZ69" s="1522"/>
      <c r="IA69" s="1522"/>
      <c r="IB69" s="1522"/>
      <c r="IC69" s="1522"/>
      <c r="ID69" s="1522"/>
      <c r="IE69" s="1522"/>
      <c r="IF69" s="1522"/>
      <c r="IG69" s="1522"/>
      <c r="IH69" s="1522"/>
      <c r="II69" s="1522"/>
      <c r="IJ69" s="1522"/>
      <c r="IK69" s="1522"/>
      <c r="IL69" s="1522"/>
      <c r="IM69" s="1522"/>
      <c r="IN69" s="1522"/>
      <c r="IO69" s="1522"/>
      <c r="IP69" s="1522"/>
      <c r="IQ69" s="1522"/>
      <c r="IR69" s="1522"/>
      <c r="IS69" s="1522"/>
      <c r="IT69" s="1522"/>
      <c r="IU69" s="1522"/>
      <c r="IV69" s="1522"/>
      <c r="IW69" s="1522"/>
      <c r="IX69" s="1522"/>
      <c r="IY69" s="1522"/>
      <c r="IZ69" s="1522"/>
      <c r="JA69" s="1522"/>
      <c r="JB69" s="1522"/>
      <c r="JC69" s="1522"/>
      <c r="JD69" s="1522"/>
      <c r="JE69" s="1522"/>
      <c r="JF69" s="1522"/>
      <c r="JG69" s="1522"/>
      <c r="JH69" s="1522"/>
      <c r="JI69" s="1522"/>
      <c r="JJ69" s="1522"/>
      <c r="JK69" s="1522"/>
      <c r="JL69" s="1522"/>
      <c r="JM69" s="1522"/>
      <c r="JN69" s="1522"/>
    </row>
    <row r="70" spans="1:274" s="1523" customFormat="1" ht="10.5" customHeight="1" x14ac:dyDescent="0.2">
      <c r="A70" s="1529" t="s">
        <v>399</v>
      </c>
      <c r="B70" s="1529"/>
      <c r="C70" s="1527">
        <v>0</v>
      </c>
      <c r="D70" s="1527">
        <v>0</v>
      </c>
      <c r="E70" s="1527">
        <v>0</v>
      </c>
      <c r="F70" s="1527">
        <f>6.15-45.943</f>
        <v>-39.792999999999999</v>
      </c>
      <c r="G70" s="1527">
        <f>4.839-74.777</f>
        <v>-69.938000000000002</v>
      </c>
      <c r="H70" s="1527">
        <f>9.211-149.9</f>
        <v>-140.68899999999999</v>
      </c>
      <c r="I70" s="1527">
        <f>-223.163+54.625</f>
        <v>-168.53800000000001</v>
      </c>
      <c r="J70" s="1527">
        <f>-3.097+30.397</f>
        <v>27.299999999999997</v>
      </c>
      <c r="K70" s="1527">
        <f>-4.122+32.665</f>
        <v>28.542999999999999</v>
      </c>
      <c r="L70" s="1527">
        <f>26.059-39.186</f>
        <v>-13.126999999999999</v>
      </c>
      <c r="M70" s="1529">
        <f>33.83-147.502</f>
        <v>-113.67200000000001</v>
      </c>
      <c r="N70" s="1529"/>
      <c r="O70" s="1529">
        <f>8+33.571</f>
        <v>41.570999999999998</v>
      </c>
      <c r="P70" s="1529">
        <f>20.965-88.858-O70</f>
        <v>-109.464</v>
      </c>
      <c r="Q70" s="1529">
        <f>35.857-119.586-P70-O70</f>
        <v>-15.835999999999999</v>
      </c>
      <c r="R70" s="1529">
        <f>53.784-347.311-Q70-P70-O70</f>
        <v>-209.79799999999997</v>
      </c>
      <c r="S70" s="1529">
        <f t="shared" si="93"/>
        <v>-293.52699999999999</v>
      </c>
      <c r="T70" s="1529"/>
      <c r="U70" s="1529">
        <f>11.5+147.988</f>
        <v>159.488</v>
      </c>
      <c r="V70" s="1529">
        <f>27.991-36.522-U70</f>
        <v>-168.01900000000001</v>
      </c>
      <c r="W70" s="1529">
        <f>41.844-65.74-V70-U70</f>
        <v>-15.364999999999981</v>
      </c>
      <c r="X70" s="1529">
        <f>64.412-449.78-W70-V70-U70</f>
        <v>-361.47199999999992</v>
      </c>
      <c r="Y70" s="1529">
        <f t="shared" si="94"/>
        <v>-385.36799999999994</v>
      </c>
      <c r="Z70" s="1529"/>
      <c r="AA70" s="1529">
        <f>214.306+10.365</f>
        <v>224.67100000000002</v>
      </c>
      <c r="AB70" s="1529">
        <f>28.203-1.892-AA70</f>
        <v>-198.36</v>
      </c>
      <c r="AC70" s="1529">
        <f>49.371-86.999-AB70-AA70</f>
        <v>-63.938999999999993</v>
      </c>
      <c r="AD70" s="1529">
        <f>92.635-628.025-AC70-AB70-AA70</f>
        <v>-497.76200000000006</v>
      </c>
      <c r="AE70" s="1529">
        <f t="shared" si="95"/>
        <v>-535.3900000000001</v>
      </c>
      <c r="AF70" s="1529"/>
      <c r="AG70" s="1529">
        <f>21.604+319.896</f>
        <v>341.5</v>
      </c>
      <c r="AH70" s="1529">
        <f>53.523+149.176-AG70</f>
        <v>-138.80100000000002</v>
      </c>
      <c r="AI70" s="1529">
        <f>63.686+119.901-AH70-AG70</f>
        <v>-19.111999999999966</v>
      </c>
      <c r="AJ70" s="1529">
        <f>106.915-464.994-AI70-AH70-AG70</f>
        <v>-541.66600000000005</v>
      </c>
      <c r="AK70" s="1529">
        <f t="shared" si="96"/>
        <v>-358.07900000000006</v>
      </c>
      <c r="AL70" s="1529"/>
      <c r="AM70" s="1529">
        <f>474.912+19.89</f>
        <v>494.80199999999996</v>
      </c>
      <c r="AN70" s="1529">
        <f>207.863+56.696-AM70</f>
        <v>-230.24299999999999</v>
      </c>
      <c r="AO70" s="1529">
        <f>65.311+227.465-AN70-AM70</f>
        <v>28.217000000000041</v>
      </c>
      <c r="AP70" s="1529">
        <f>96.989-486.431-AO70-AN70-AM70</f>
        <v>-682.21800000000007</v>
      </c>
      <c r="AQ70" s="1529">
        <f t="shared" si="97"/>
        <v>-389.44200000000006</v>
      </c>
      <c r="AR70" s="1529"/>
      <c r="AS70" s="1529">
        <f>728.9916+15.789</f>
        <v>744.78059999999994</v>
      </c>
      <c r="AT70" s="1529">
        <f>466.07+40.217-AS70</f>
        <v>-238.49359999999996</v>
      </c>
      <c r="AU70" s="1529">
        <f>324.318+79.733-AT70-AS70</f>
        <v>-102.23599999999999</v>
      </c>
      <c r="AV70" s="1529">
        <f>-421.513+135.312-AU70-AT70-AS70</f>
        <v>-690.25199999999995</v>
      </c>
      <c r="AW70" s="1529">
        <f t="shared" si="98"/>
        <v>-286.20099999999996</v>
      </c>
      <c r="AX70" s="1529"/>
      <c r="AY70" s="1529">
        <f>776.348+58.993</f>
        <v>835.34100000000001</v>
      </c>
      <c r="AZ70" s="1529">
        <f>474.535+94.371-AY70</f>
        <v>-266.43499999999995</v>
      </c>
      <c r="BA70" s="1529">
        <f>432.926+115.482-AZ70-AY70</f>
        <v>-20.498000000000047</v>
      </c>
      <c r="BB70" s="1529">
        <f>-199+256-BA70-AZ70-AY70</f>
        <v>-491.40800000000002</v>
      </c>
      <c r="BC70" s="1529">
        <f t="shared" si="99"/>
        <v>57</v>
      </c>
      <c r="BD70" s="1529"/>
      <c r="BE70" s="1529">
        <f>648.461+30.472</f>
        <v>678.93299999999999</v>
      </c>
      <c r="BF70" s="1529">
        <f>616-BE70</f>
        <v>-62.932999999999993</v>
      </c>
      <c r="BG70" s="1529">
        <f>789-BF70-BE70</f>
        <v>173</v>
      </c>
      <c r="BH70" s="1529">
        <f>230+195-BG70-BF70-BE70</f>
        <v>-364</v>
      </c>
      <c r="BI70" s="1529">
        <f t="shared" si="100"/>
        <v>425</v>
      </c>
      <c r="BJ70" s="1529"/>
      <c r="BK70" s="1529">
        <v>688</v>
      </c>
      <c r="BL70" s="1529">
        <f>528-BK70</f>
        <v>-160</v>
      </c>
      <c r="BM70" s="1529">
        <f>665-BL70-BK70</f>
        <v>137</v>
      </c>
      <c r="BN70" s="1529">
        <f>119+128-BM70-BL70-BK70</f>
        <v>-418</v>
      </c>
      <c r="BO70" s="1529">
        <f t="shared" si="101"/>
        <v>247</v>
      </c>
      <c r="BP70" s="1529"/>
      <c r="BQ70" s="1529">
        <v>544</v>
      </c>
      <c r="BR70" s="1529">
        <f>BR19-BQ19</f>
        <v>-155</v>
      </c>
      <c r="BS70" s="1529">
        <f>BS19-BR19</f>
        <v>43</v>
      </c>
      <c r="BT70" s="1529">
        <f>BT19-BS19</f>
        <v>-504</v>
      </c>
      <c r="BU70" s="1529">
        <f>SUM(BQ70:BT70)</f>
        <v>-72</v>
      </c>
      <c r="BV70" s="1529"/>
      <c r="BW70" s="1529">
        <v>747</v>
      </c>
      <c r="BX70" s="1529">
        <f>BX19-BW19</f>
        <v>-220</v>
      </c>
      <c r="BY70" s="1529">
        <f>BY19-BX19</f>
        <v>297</v>
      </c>
      <c r="BZ70" s="1529">
        <f>BZ19-BY19</f>
        <v>-715</v>
      </c>
      <c r="CA70" s="1529">
        <f>SUM(BW70:BZ70)</f>
        <v>109</v>
      </c>
      <c r="CB70" s="1529"/>
      <c r="CC70" s="1529">
        <f>CC19</f>
        <v>913</v>
      </c>
      <c r="CD70" s="1529">
        <f>CD19-CC19</f>
        <v>-355</v>
      </c>
      <c r="CE70" s="1529">
        <f>CE19-CD19</f>
        <v>112</v>
      </c>
      <c r="CF70" s="1529">
        <f>CF19-CE19</f>
        <v>-1025</v>
      </c>
      <c r="CG70" s="1529">
        <f>SUM(CC70:CF70)</f>
        <v>-355</v>
      </c>
      <c r="CH70" s="1529"/>
      <c r="CI70" s="1529">
        <f>CI19</f>
        <v>1040</v>
      </c>
      <c r="CJ70" s="1529">
        <f>CJ19-CI19</f>
        <v>-359</v>
      </c>
      <c r="CK70" s="1529">
        <f>CK19-CJ19</f>
        <v>-180</v>
      </c>
      <c r="CL70" s="1529">
        <f>CL19-CK19</f>
        <v>-1224</v>
      </c>
      <c r="CM70" s="1536">
        <f>SUM(CI70:CL70)</f>
        <v>-723</v>
      </c>
      <c r="CN70" s="1529"/>
      <c r="CO70" s="1529">
        <f>CO19</f>
        <v>1381</v>
      </c>
      <c r="CP70" s="1529">
        <f>CP19-CO19</f>
        <v>-444</v>
      </c>
      <c r="CQ70" s="1529">
        <f>CQ19-CP19</f>
        <v>43</v>
      </c>
      <c r="CR70" s="1529">
        <f>CR19-CQ19</f>
        <v>-1641</v>
      </c>
      <c r="CS70" s="1536">
        <f>SUM(CO70:CR70)</f>
        <v>-661</v>
      </c>
      <c r="CT70" s="1529"/>
      <c r="CU70" s="1529">
        <f>CU19</f>
        <v>1812</v>
      </c>
      <c r="CV70" s="1529">
        <f>CV19-CU19</f>
        <v>-170</v>
      </c>
      <c r="CW70" s="1529">
        <f>CW19-CV19</f>
        <v>206</v>
      </c>
      <c r="CX70" s="1529">
        <f>CX19-CW19</f>
        <v>-1394</v>
      </c>
      <c r="CY70" s="1536">
        <f>SUM(CU70:CX70)</f>
        <v>454</v>
      </c>
      <c r="CZ70" s="1529"/>
      <c r="DA70" s="1529">
        <f t="shared" ref="DA70:DA75" si="126">DA19</f>
        <v>1870</v>
      </c>
      <c r="DB70" s="1529">
        <f t="shared" ref="DB70:DD71" si="127">DB19-DA19</f>
        <v>-433</v>
      </c>
      <c r="DC70" s="1529">
        <f t="shared" si="127"/>
        <v>177</v>
      </c>
      <c r="DD70" s="1529">
        <f t="shared" si="127"/>
        <v>-1833</v>
      </c>
      <c r="DE70" s="1536">
        <f t="shared" ref="DE70:DE75" si="128">SUM(DA70:DD70)</f>
        <v>-219</v>
      </c>
      <c r="DF70" s="1529"/>
      <c r="DG70" s="1529">
        <f t="shared" ref="DG70:DG75" si="129">DG19</f>
        <v>1942</v>
      </c>
      <c r="DH70" s="1529">
        <f t="shared" ref="DH70:DJ71" si="130">DH19-DG19</f>
        <v>-599</v>
      </c>
      <c r="DI70" s="1529">
        <f t="shared" si="130"/>
        <v>34</v>
      </c>
      <c r="DJ70" s="1529">
        <f t="shared" si="130"/>
        <v>-1942</v>
      </c>
      <c r="DK70" s="1536">
        <f t="shared" ref="DK70:DK75" si="131">SUM(DG70:DJ70)</f>
        <v>-565</v>
      </c>
      <c r="DL70" s="1529"/>
      <c r="DM70" s="1529">
        <f t="shared" ref="DM70:DM75" si="132">DM19</f>
        <v>2483</v>
      </c>
      <c r="DN70" s="1529">
        <f t="shared" ref="DN70:DP71" si="133">DN19-DM19</f>
        <v>-355</v>
      </c>
      <c r="DO70" s="1529">
        <f t="shared" si="133"/>
        <v>-100</v>
      </c>
      <c r="DP70" s="1529">
        <f t="shared" si="133"/>
        <v>-1944</v>
      </c>
      <c r="DQ70" s="1536">
        <f t="shared" ref="DQ70:DQ75" si="134">SUM(DM70:DP70)</f>
        <v>84</v>
      </c>
      <c r="DR70" s="1529"/>
      <c r="DS70" s="1529">
        <f t="shared" ref="DS70:DS75" si="135">DS19</f>
        <v>2630</v>
      </c>
      <c r="DT70" s="1529">
        <f t="shared" ref="DT70:DT75" si="136">DT19-DS19</f>
        <v>-592</v>
      </c>
      <c r="DU70" s="1529">
        <f t="shared" ref="DU70:DU75" si="137">DU19-DT19</f>
        <v>231</v>
      </c>
      <c r="DV70" s="1529">
        <f t="shared" ref="DV70:DV75" si="138">DV19-DU19</f>
        <v>-1884</v>
      </c>
      <c r="DW70" s="1536">
        <f t="shared" ref="DW70:DW75" si="139">SUM(DS70:DV70)</f>
        <v>385</v>
      </c>
      <c r="DX70" s="1529"/>
      <c r="DY70" s="1529">
        <f t="shared" ref="DY70:DY75" si="140">DY19</f>
        <v>2707</v>
      </c>
      <c r="DZ70" s="1529">
        <f t="shared" ref="DZ70:DZ75" si="141">DZ19-DY19</f>
        <v>-718</v>
      </c>
      <c r="EA70" s="1529">
        <f t="shared" ref="EA70:EA75" si="142">EA19-DZ19</f>
        <v>17</v>
      </c>
      <c r="EB70" s="1529">
        <f t="shared" ref="EB70:EB75" si="143">EB19-EA19</f>
        <v>-1860</v>
      </c>
      <c r="EC70" s="1536">
        <f t="shared" ref="EC70:EC75" si="144">SUM(DY70:EB70)</f>
        <v>146</v>
      </c>
      <c r="ED70" s="1529"/>
      <c r="EE70" s="1529">
        <f t="shared" ref="EE70:EE75" si="145">EE19</f>
        <v>2506</v>
      </c>
      <c r="EF70" s="1529">
        <f t="shared" ref="EF70:EF75" si="146">EF19-EE19</f>
        <v>-693</v>
      </c>
      <c r="EG70" s="1529">
        <f t="shared" ref="EG70:EG75" si="147">EG19-EF19</f>
        <v>54</v>
      </c>
      <c r="EH70" s="1529">
        <f t="shared" ref="EH70:EH75" si="148">EH19-EG19</f>
        <v>-1603</v>
      </c>
      <c r="EI70" s="1536">
        <f t="shared" ref="EI70:EI75" si="149">SUM(EE70:EH70)</f>
        <v>264</v>
      </c>
      <c r="EJ70" s="1529"/>
      <c r="EK70" s="1529">
        <f t="shared" ref="EK70:EK75" si="150">EK19</f>
        <v>2150</v>
      </c>
      <c r="EL70" s="1529">
        <f t="shared" ref="EL70:EL75" si="151">EL19-EK19</f>
        <v>-536</v>
      </c>
      <c r="EM70" s="1529">
        <f t="shared" ref="EM70:EN75" si="152">EM19-EL19</f>
        <v>132</v>
      </c>
      <c r="EN70" s="1529">
        <f t="shared" si="152"/>
        <v>-1520</v>
      </c>
      <c r="EO70" s="1536">
        <f t="shared" ref="EO70:EO75" si="153">SUM(EK70:EN70)</f>
        <v>226</v>
      </c>
      <c r="EP70" s="1529"/>
      <c r="EQ70" s="1529">
        <f t="shared" ref="EQ70:EQ75" si="154">EQ19</f>
        <v>1993</v>
      </c>
      <c r="ER70" s="1529">
        <f t="shared" ref="ER70:ET75" si="155">ER19-EQ19</f>
        <v>-313</v>
      </c>
      <c r="ES70" s="1529">
        <f t="shared" si="155"/>
        <v>-7</v>
      </c>
      <c r="ET70" s="1529">
        <f t="shared" si="155"/>
        <v>-1526</v>
      </c>
      <c r="EU70" s="1536">
        <f t="shared" ref="EU70:EU75" si="156">SUM(EQ70:ET70)</f>
        <v>147</v>
      </c>
      <c r="EV70" s="1529"/>
      <c r="EW70" s="1529">
        <f t="shared" ref="EW70:EW75" si="157">EW19</f>
        <v>1752</v>
      </c>
      <c r="EX70" s="1529">
        <f t="shared" ref="EX70:EY75" si="158">EX19-EW19</f>
        <v>-223</v>
      </c>
      <c r="EY70" s="1529">
        <f t="shared" si="158"/>
        <v>-45</v>
      </c>
      <c r="EZ70" s="1529">
        <f t="shared" ref="EZ70:EZ75" si="159">EZ19-EY19</f>
        <v>-1642.7908177887321</v>
      </c>
      <c r="FA70" s="1536">
        <f t="shared" ref="FA70:FA75" si="160">SUM(EW70:EZ70)</f>
        <v>-158.79081778873206</v>
      </c>
      <c r="FB70" s="1529"/>
      <c r="FC70" s="1529">
        <f t="shared" ref="FC70:FC75" si="161">FC19</f>
        <v>1716.1640465725259</v>
      </c>
      <c r="FD70" s="1529">
        <f t="shared" ref="FD70:FD75" si="162">FD19-FC19</f>
        <v>-219.06064417389962</v>
      </c>
      <c r="FE70" s="1529">
        <f t="shared" ref="FE70:FE75" si="163">FE19-FD19</f>
        <v>-92.506905954163358</v>
      </c>
      <c r="FF70" s="1529">
        <f t="shared" ref="FF70:FF75" si="164">FF19-FE19</f>
        <v>-1637.247825550352</v>
      </c>
      <c r="FG70" s="1536">
        <f t="shared" ref="FG70:FG75" si="165">SUM(FC70:FF70)</f>
        <v>-232.65132910588909</v>
      </c>
      <c r="FH70" s="1529"/>
      <c r="FI70" s="1529">
        <f t="shared" ref="FI70:FI75" si="166">FI19</f>
        <v>1681.9330927948158</v>
      </c>
      <c r="FJ70" s="1529">
        <f t="shared" ref="FJ70:FJ75" si="167">FJ19-FI19</f>
        <v>-213.47626846407275</v>
      </c>
      <c r="FK70" s="1529">
        <f t="shared" ref="FK70:FK75" si="168">FK19-FJ19</f>
        <v>-90.047558281015881</v>
      </c>
      <c r="FL70" s="1529">
        <f t="shared" ref="FL70:FL75" si="169">FL19-FK19</f>
        <v>-1646.4201215377916</v>
      </c>
      <c r="FM70" s="1536">
        <f t="shared" ref="FM70:FM75" si="170">SUM(FI70:FL70)</f>
        <v>-268.01085548806441</v>
      </c>
      <c r="FN70" s="1524"/>
      <c r="FO70" s="1524"/>
      <c r="FP70" s="1524"/>
      <c r="FQ70" s="1524"/>
      <c r="FR70" s="1524"/>
      <c r="FS70"/>
      <c r="FT70"/>
      <c r="FU70"/>
      <c r="FV70"/>
      <c r="FW70"/>
      <c r="FX70"/>
      <c r="FY70" s="1524"/>
      <c r="FZ70" s="1522"/>
      <c r="GA70" s="1522"/>
      <c r="GB70" s="1522"/>
      <c r="GC70" s="1522"/>
      <c r="GD70" s="1522"/>
      <c r="GE70" s="1522"/>
      <c r="GF70" s="1522"/>
      <c r="GG70" s="1522"/>
      <c r="GH70" s="1522"/>
      <c r="GI70" s="1522"/>
      <c r="GJ70" s="1522"/>
      <c r="GK70" s="1522"/>
      <c r="GL70" s="1522"/>
      <c r="GM70" s="1522"/>
      <c r="GN70" s="1522"/>
      <c r="GO70" s="1522"/>
      <c r="GP70" s="1522"/>
      <c r="GQ70" s="1522"/>
      <c r="GR70" s="1522"/>
      <c r="GS70" s="1522"/>
      <c r="GT70" s="1522"/>
      <c r="GU70" s="1522"/>
      <c r="GV70" s="1522"/>
      <c r="GW70" s="1522"/>
      <c r="GX70" s="1522"/>
      <c r="GY70" s="1522"/>
      <c r="GZ70" s="1522"/>
      <c r="HA70" s="1522"/>
      <c r="HB70" s="1522"/>
      <c r="HC70" s="1522"/>
      <c r="HD70" s="1522"/>
      <c r="HE70" s="1522"/>
      <c r="HF70" s="1522"/>
      <c r="HG70" s="1522"/>
      <c r="HH70" s="1522"/>
      <c r="HI70" s="1522"/>
      <c r="HJ70" s="1522"/>
      <c r="HK70" s="1522"/>
      <c r="HL70" s="1522"/>
      <c r="HM70" s="1522"/>
      <c r="HN70" s="1522"/>
      <c r="HO70" s="1522"/>
      <c r="HP70" s="1522"/>
      <c r="HQ70" s="1522"/>
      <c r="HR70" s="1522"/>
      <c r="HS70" s="1522"/>
      <c r="HT70" s="1522"/>
      <c r="HU70" s="1522"/>
      <c r="HV70" s="1522"/>
      <c r="HW70" s="1522"/>
      <c r="HX70" s="1522"/>
      <c r="HY70" s="1522"/>
      <c r="HZ70" s="1522"/>
      <c r="IA70" s="1522"/>
      <c r="IB70" s="1522"/>
      <c r="IC70" s="1522"/>
      <c r="ID70" s="1522"/>
      <c r="IE70" s="1522"/>
      <c r="IF70" s="1522"/>
      <c r="IG70" s="1522"/>
      <c r="IH70" s="1522"/>
      <c r="II70" s="1522"/>
      <c r="IJ70" s="1522"/>
      <c r="IK70" s="1522"/>
      <c r="IL70" s="1522"/>
      <c r="IM70" s="1522"/>
      <c r="IN70" s="1522"/>
      <c r="IO70" s="1522"/>
      <c r="IP70" s="1522"/>
      <c r="IQ70" s="1522"/>
      <c r="IR70" s="1522"/>
      <c r="IS70" s="1522"/>
      <c r="IT70" s="1522"/>
      <c r="IU70" s="1522"/>
      <c r="IV70" s="1522"/>
      <c r="IW70" s="1522"/>
      <c r="IX70" s="1522"/>
      <c r="IY70" s="1522"/>
      <c r="IZ70" s="1522"/>
      <c r="JA70" s="1522"/>
      <c r="JB70" s="1522"/>
      <c r="JC70" s="1522"/>
      <c r="JD70" s="1522"/>
      <c r="JE70" s="1522"/>
      <c r="JF70" s="1522"/>
      <c r="JG70" s="1522"/>
      <c r="JH70" s="1522"/>
      <c r="JI70" s="1522"/>
      <c r="JJ70" s="1522"/>
      <c r="JK70" s="1522"/>
      <c r="JL70" s="1522"/>
      <c r="JM70" s="1522"/>
      <c r="JN70" s="1522"/>
    </row>
    <row r="71" spans="1:274" s="1523" customFormat="1" ht="10.5" customHeight="1" x14ac:dyDescent="0.2">
      <c r="A71" s="1529" t="s">
        <v>222</v>
      </c>
      <c r="B71" s="1529"/>
      <c r="C71" s="1527"/>
      <c r="D71" s="1527"/>
      <c r="E71" s="1527"/>
      <c r="F71" s="1527"/>
      <c r="G71" s="1527"/>
      <c r="H71" s="1527"/>
      <c r="I71" s="1527"/>
      <c r="J71" s="1527"/>
      <c r="K71" s="1527"/>
      <c r="L71" s="1527"/>
      <c r="M71" s="1529"/>
      <c r="N71" s="1529"/>
      <c r="O71" s="1529"/>
      <c r="P71" s="1529"/>
      <c r="Q71" s="1529"/>
      <c r="R71" s="1529"/>
      <c r="S71" s="1529"/>
      <c r="T71" s="1529"/>
      <c r="U71" s="1529"/>
      <c r="V71" s="1529"/>
      <c r="W71" s="1529"/>
      <c r="X71" s="1529"/>
      <c r="Y71" s="1529"/>
      <c r="Z71" s="1529"/>
      <c r="AA71" s="1529"/>
      <c r="AB71" s="1529"/>
      <c r="AC71" s="1529"/>
      <c r="AD71" s="1529"/>
      <c r="AE71" s="1529"/>
      <c r="AF71" s="1529"/>
      <c r="AG71" s="1529"/>
      <c r="AH71" s="1529"/>
      <c r="AI71" s="1529"/>
      <c r="AJ71" s="1529"/>
      <c r="AK71" s="1529"/>
      <c r="AL71" s="1529"/>
      <c r="AM71" s="1529"/>
      <c r="AN71" s="1529"/>
      <c r="AO71" s="1529"/>
      <c r="AP71" s="1529"/>
      <c r="AQ71" s="1529"/>
      <c r="AR71" s="1529"/>
      <c r="AS71" s="1529"/>
      <c r="AT71" s="1529"/>
      <c r="AU71" s="1529"/>
      <c r="AV71" s="1529"/>
      <c r="AW71" s="1529"/>
      <c r="AX71" s="1529"/>
      <c r="AY71" s="1529"/>
      <c r="AZ71" s="1529"/>
      <c r="BA71" s="1529"/>
      <c r="BB71" s="1529"/>
      <c r="BC71" s="1529"/>
      <c r="BD71" s="1529"/>
      <c r="BE71" s="1529"/>
      <c r="BF71" s="1529"/>
      <c r="BG71" s="1529"/>
      <c r="BH71" s="1529"/>
      <c r="BI71" s="1529"/>
      <c r="BJ71" s="1529"/>
      <c r="BK71" s="1529"/>
      <c r="BL71" s="1529"/>
      <c r="BM71" s="1529"/>
      <c r="BN71" s="1529"/>
      <c r="BO71" s="1529"/>
      <c r="BP71" s="1529"/>
      <c r="BQ71" s="1529"/>
      <c r="BR71" s="1529"/>
      <c r="BS71" s="1529"/>
      <c r="BT71" s="1529"/>
      <c r="BU71" s="1529"/>
      <c r="BV71" s="1529"/>
      <c r="BW71" s="1529"/>
      <c r="BX71" s="1529"/>
      <c r="BY71" s="1529"/>
      <c r="BZ71" s="1529"/>
      <c r="CA71" s="1529"/>
      <c r="CB71" s="1529"/>
      <c r="CC71" s="1529"/>
      <c r="CD71" s="1529"/>
      <c r="CE71" s="1529"/>
      <c r="CF71" s="1529"/>
      <c r="CG71" s="1529"/>
      <c r="CH71" s="1529"/>
      <c r="CI71" s="1529"/>
      <c r="CJ71" s="1529"/>
      <c r="CK71" s="1529"/>
      <c r="CL71" s="1529"/>
      <c r="CM71" s="1536"/>
      <c r="CN71" s="1529"/>
      <c r="CO71" s="1529"/>
      <c r="CP71" s="1529"/>
      <c r="CQ71" s="1529"/>
      <c r="CR71" s="1529"/>
      <c r="CS71" s="1536"/>
      <c r="CT71" s="1529"/>
      <c r="CU71" s="1529"/>
      <c r="CV71" s="1529"/>
      <c r="CW71" s="1529"/>
      <c r="CX71" s="1529"/>
      <c r="CY71" s="1536"/>
      <c r="CZ71" s="1529"/>
      <c r="DA71" s="1529">
        <f t="shared" si="126"/>
        <v>0</v>
      </c>
      <c r="DB71" s="1529">
        <f t="shared" si="127"/>
        <v>0</v>
      </c>
      <c r="DC71" s="1529">
        <f t="shared" si="127"/>
        <v>18</v>
      </c>
      <c r="DD71" s="1529">
        <f t="shared" si="127"/>
        <v>55</v>
      </c>
      <c r="DE71" s="1536">
        <f t="shared" si="128"/>
        <v>73</v>
      </c>
      <c r="DF71" s="1529"/>
      <c r="DG71" s="1529">
        <f t="shared" si="129"/>
        <v>11</v>
      </c>
      <c r="DH71" s="1529">
        <f t="shared" si="130"/>
        <v>14</v>
      </c>
      <c r="DI71" s="1529">
        <f t="shared" si="130"/>
        <v>-34</v>
      </c>
      <c r="DJ71" s="1529">
        <f t="shared" si="130"/>
        <v>-19</v>
      </c>
      <c r="DK71" s="1536">
        <f t="shared" si="131"/>
        <v>-28</v>
      </c>
      <c r="DL71" s="1529"/>
      <c r="DM71" s="1529">
        <f t="shared" si="132"/>
        <v>57</v>
      </c>
      <c r="DN71" s="1529">
        <f t="shared" si="133"/>
        <v>36</v>
      </c>
      <c r="DO71" s="1529">
        <f t="shared" si="133"/>
        <v>46</v>
      </c>
      <c r="DP71" s="1529">
        <f t="shared" si="133"/>
        <v>11</v>
      </c>
      <c r="DQ71" s="1536">
        <f t="shared" si="134"/>
        <v>150</v>
      </c>
      <c r="DR71" s="1529"/>
      <c r="DS71" s="1529">
        <f t="shared" si="135"/>
        <v>10</v>
      </c>
      <c r="DT71" s="1529">
        <f t="shared" si="136"/>
        <v>-10</v>
      </c>
      <c r="DU71" s="1529">
        <f t="shared" si="137"/>
        <v>-48</v>
      </c>
      <c r="DV71" s="1529">
        <f t="shared" si="138"/>
        <v>-18</v>
      </c>
      <c r="DW71" s="1536">
        <f t="shared" si="139"/>
        <v>-66</v>
      </c>
      <c r="DX71" s="1529"/>
      <c r="DY71" s="1529">
        <f t="shared" si="140"/>
        <v>5</v>
      </c>
      <c r="DZ71" s="1529">
        <f t="shared" si="141"/>
        <v>8</v>
      </c>
      <c r="EA71" s="1529">
        <f t="shared" si="142"/>
        <v>7</v>
      </c>
      <c r="EB71" s="1529">
        <f t="shared" si="143"/>
        <v>37</v>
      </c>
      <c r="EC71" s="1536">
        <f t="shared" si="144"/>
        <v>57</v>
      </c>
      <c r="ED71" s="1529"/>
      <c r="EE71" s="1529">
        <f t="shared" si="145"/>
        <v>10</v>
      </c>
      <c r="EF71" s="1529">
        <f t="shared" si="146"/>
        <v>4</v>
      </c>
      <c r="EG71" s="1529">
        <f t="shared" si="147"/>
        <v>-92</v>
      </c>
      <c r="EH71" s="1529">
        <f t="shared" si="148"/>
        <v>-18</v>
      </c>
      <c r="EI71" s="1536">
        <f t="shared" si="149"/>
        <v>-96</v>
      </c>
      <c r="EJ71" s="1529"/>
      <c r="EK71" s="1529">
        <f t="shared" si="150"/>
        <v>50</v>
      </c>
      <c r="EL71" s="1529">
        <f t="shared" si="151"/>
        <v>11</v>
      </c>
      <c r="EM71" s="1529">
        <f t="shared" si="152"/>
        <v>26</v>
      </c>
      <c r="EN71" s="1529">
        <f t="shared" si="152"/>
        <v>1</v>
      </c>
      <c r="EO71" s="1536">
        <f t="shared" si="153"/>
        <v>88</v>
      </c>
      <c r="EP71" s="1529"/>
      <c r="EQ71" s="1529">
        <f t="shared" si="154"/>
        <v>-75</v>
      </c>
      <c r="ER71" s="1529">
        <f t="shared" si="155"/>
        <v>-41</v>
      </c>
      <c r="ES71" s="1529">
        <f t="shared" si="155"/>
        <v>-62</v>
      </c>
      <c r="ET71" s="1529">
        <f t="shared" si="155"/>
        <v>90</v>
      </c>
      <c r="EU71" s="1536">
        <f t="shared" si="156"/>
        <v>-88</v>
      </c>
      <c r="EV71" s="1529"/>
      <c r="EW71" s="1529">
        <f t="shared" si="157"/>
        <v>-11</v>
      </c>
      <c r="EX71" s="1529">
        <f t="shared" si="158"/>
        <v>-124</v>
      </c>
      <c r="EY71" s="1529">
        <f t="shared" si="158"/>
        <v>-60</v>
      </c>
      <c r="EZ71" s="1529">
        <f>EZ20-EY20</f>
        <v>229.40918423213799</v>
      </c>
      <c r="FA71" s="1536">
        <f t="shared" si="160"/>
        <v>34.409184232137989</v>
      </c>
      <c r="FB71" s="1529"/>
      <c r="FC71" s="1529">
        <f t="shared" si="161"/>
        <v>1.3908157678620228</v>
      </c>
      <c r="FD71" s="1529">
        <f t="shared" si="162"/>
        <v>-105.40000000000003</v>
      </c>
      <c r="FE71" s="1529">
        <f t="shared" si="163"/>
        <v>-51.000000000000057</v>
      </c>
      <c r="FF71" s="1529">
        <f t="shared" si="164"/>
        <v>194.99780659731735</v>
      </c>
      <c r="FG71" s="1536">
        <f t="shared" si="165"/>
        <v>39.988622365179282</v>
      </c>
      <c r="FH71" s="1529"/>
      <c r="FI71" s="1529">
        <f t="shared" si="166"/>
        <v>1.1821934026827421</v>
      </c>
      <c r="FJ71" s="1529">
        <f t="shared" si="167"/>
        <v>-89.59</v>
      </c>
      <c r="FK71" s="1529">
        <f t="shared" si="168"/>
        <v>-43.350000000000023</v>
      </c>
      <c r="FL71" s="1529">
        <f t="shared" si="169"/>
        <v>165.74813560771969</v>
      </c>
      <c r="FM71" s="1536">
        <f t="shared" si="170"/>
        <v>33.990329010402405</v>
      </c>
      <c r="FN71" s="1524"/>
      <c r="FO71" s="1524"/>
      <c r="FP71" s="1524"/>
      <c r="FQ71" s="1524"/>
      <c r="FR71" s="1524"/>
      <c r="FS71"/>
      <c r="FT71"/>
      <c r="FU71"/>
      <c r="FV71"/>
      <c r="FW71"/>
      <c r="FX71"/>
      <c r="FY71" s="1524"/>
      <c r="FZ71" s="1522"/>
      <c r="GA71" s="1522"/>
      <c r="GB71" s="1522"/>
      <c r="GC71" s="1522"/>
      <c r="GD71" s="1522"/>
      <c r="GE71" s="1522"/>
      <c r="GF71" s="1522"/>
      <c r="GG71" s="1522"/>
      <c r="GH71" s="1522"/>
      <c r="GI71" s="1522"/>
      <c r="GJ71" s="1522"/>
      <c r="GK71" s="1522"/>
      <c r="GL71" s="1522"/>
      <c r="GM71" s="1522"/>
      <c r="GN71" s="1522"/>
      <c r="GO71" s="1522"/>
      <c r="GP71" s="1522"/>
      <c r="GQ71" s="1522"/>
      <c r="GR71" s="1522"/>
      <c r="GS71" s="1522"/>
      <c r="GT71" s="1522"/>
      <c r="GU71" s="1522"/>
      <c r="GV71" s="1522"/>
      <c r="GW71" s="1522"/>
      <c r="GX71" s="1522"/>
      <c r="GY71" s="1522"/>
      <c r="GZ71" s="1522"/>
      <c r="HA71" s="1522"/>
      <c r="HB71" s="1522"/>
      <c r="HC71" s="1522"/>
      <c r="HD71" s="1522"/>
      <c r="HE71" s="1522"/>
      <c r="HF71" s="1522"/>
      <c r="HG71" s="1522"/>
      <c r="HH71" s="1522"/>
      <c r="HI71" s="1522"/>
      <c r="HJ71" s="1522"/>
      <c r="HK71" s="1522"/>
      <c r="HL71" s="1522"/>
      <c r="HM71" s="1522"/>
      <c r="HN71" s="1522"/>
      <c r="HO71" s="1522"/>
      <c r="HP71" s="1522"/>
      <c r="HQ71" s="1522"/>
      <c r="HR71" s="1522"/>
      <c r="HS71" s="1522"/>
      <c r="HT71" s="1522"/>
      <c r="HU71" s="1522"/>
      <c r="HV71" s="1522"/>
      <c r="HW71" s="1522"/>
      <c r="HX71" s="1522"/>
      <c r="HY71" s="1522"/>
      <c r="HZ71" s="1522"/>
      <c r="IA71" s="1522"/>
      <c r="IB71" s="1522"/>
      <c r="IC71" s="1522"/>
      <c r="ID71" s="1522"/>
      <c r="IE71" s="1522"/>
      <c r="IF71" s="1522"/>
      <c r="IG71" s="1522"/>
      <c r="IH71" s="1522"/>
      <c r="II71" s="1522"/>
      <c r="IJ71" s="1522"/>
      <c r="IK71" s="1522"/>
      <c r="IL71" s="1522"/>
      <c r="IM71" s="1522"/>
      <c r="IN71" s="1522"/>
      <c r="IO71" s="1522"/>
      <c r="IP71" s="1522"/>
      <c r="IQ71" s="1522"/>
      <c r="IR71" s="1522"/>
      <c r="IS71" s="1522"/>
      <c r="IT71" s="1522"/>
      <c r="IU71" s="1522"/>
      <c r="IV71" s="1522"/>
      <c r="IW71" s="1522"/>
      <c r="IX71" s="1522"/>
      <c r="IY71" s="1522"/>
      <c r="IZ71" s="1522"/>
      <c r="JA71" s="1522"/>
      <c r="JB71" s="1522"/>
      <c r="JC71" s="1522"/>
      <c r="JD71" s="1522"/>
      <c r="JE71" s="1522"/>
      <c r="JF71" s="1522"/>
      <c r="JG71" s="1522"/>
      <c r="JH71" s="1522"/>
      <c r="JI71" s="1522"/>
      <c r="JJ71" s="1522"/>
      <c r="JK71" s="1522"/>
      <c r="JL71" s="1522"/>
      <c r="JM71" s="1522"/>
      <c r="JN71" s="1522"/>
    </row>
    <row r="72" spans="1:274" s="1523" customFormat="1" ht="10.5" customHeight="1" x14ac:dyDescent="0.2">
      <c r="A72" s="1529" t="s">
        <v>920</v>
      </c>
      <c r="B72" s="1529"/>
      <c r="C72" s="1527">
        <v>0</v>
      </c>
      <c r="D72" s="1527">
        <v>0</v>
      </c>
      <c r="E72" s="1527">
        <v>0</v>
      </c>
      <c r="F72" s="1529">
        <v>-1.018</v>
      </c>
      <c r="G72" s="1529">
        <v>-1.458</v>
      </c>
      <c r="H72" s="1529">
        <f>-5.684</f>
        <v>-5.6840000000000002</v>
      </c>
      <c r="I72" s="1529">
        <f>-23.92-12.834</f>
        <v>-36.754000000000005</v>
      </c>
      <c r="J72" s="1529">
        <f>-10.625+8.872-4.057</f>
        <v>-5.8100000000000005</v>
      </c>
      <c r="K72" s="1529">
        <f>-1.713-1.762</f>
        <v>-3.4750000000000001</v>
      </c>
      <c r="L72" s="1529">
        <f>24+8.652</f>
        <v>32.652000000000001</v>
      </c>
      <c r="M72" s="1529">
        <f>-11.887</f>
        <v>-11.887</v>
      </c>
      <c r="N72" s="1564"/>
      <c r="O72" s="1529">
        <v>-7.5129999999999999</v>
      </c>
      <c r="P72" s="1529">
        <f>-2.184-O72</f>
        <v>5.3289999999999997</v>
      </c>
      <c r="Q72" s="1529">
        <f>-3.258-P72-O72</f>
        <v>-1.0739999999999998</v>
      </c>
      <c r="R72" s="1529">
        <f>-5.464-Q72-P72-O72</f>
        <v>-2.2060000000000013</v>
      </c>
      <c r="S72" s="1529">
        <f t="shared" si="93"/>
        <v>-5.4640000000000013</v>
      </c>
      <c r="T72" s="1529"/>
      <c r="U72" s="1529">
        <f>-15.106</f>
        <v>-15.106</v>
      </c>
      <c r="V72" s="1529">
        <f>-13.127-U72</f>
        <v>1.9789999999999992</v>
      </c>
      <c r="W72" s="1529">
        <f>-20.988-V72-U72</f>
        <v>-7.8609999999999989</v>
      </c>
      <c r="X72" s="1529">
        <f>-37.685-W72-V72-U72</f>
        <v>-16.697000000000003</v>
      </c>
      <c r="Y72" s="1529">
        <f t="shared" si="94"/>
        <v>-37.685000000000002</v>
      </c>
      <c r="Z72" s="1529"/>
      <c r="AA72" s="1529">
        <f>2.15-7.887</f>
        <v>-5.7370000000000001</v>
      </c>
      <c r="AB72" s="1529">
        <f>-7.326-16.043-AA72</f>
        <v>-17.631999999999998</v>
      </c>
      <c r="AC72" s="1529">
        <f>-29.05-AB72-AA72</f>
        <v>-5.6810000000000027</v>
      </c>
      <c r="AD72" s="1529">
        <f>-8.893-AC72-AB72-AA72</f>
        <v>20.157</v>
      </c>
      <c r="AE72" s="1529">
        <f t="shared" si="95"/>
        <v>-8.8930000000000042</v>
      </c>
      <c r="AF72" s="1529"/>
      <c r="AG72" s="1529">
        <f>42.237</f>
        <v>42.237000000000002</v>
      </c>
      <c r="AH72" s="1529">
        <f>28.842-AG72</f>
        <v>-13.395000000000003</v>
      </c>
      <c r="AI72" s="1529">
        <f>1.1-AH72-AG72</f>
        <v>-27.741999999999997</v>
      </c>
      <c r="AJ72" s="1529">
        <f>-52.301-AI72-AH72-AG72</f>
        <v>-53.401000000000003</v>
      </c>
      <c r="AK72" s="1529">
        <f t="shared" si="96"/>
        <v>-52.301000000000002</v>
      </c>
      <c r="AL72" s="1529"/>
      <c r="AM72" s="1529">
        <f>56.665</f>
        <v>56.664999999999999</v>
      </c>
      <c r="AN72" s="1529">
        <f>27.703-AM72</f>
        <v>-28.962</v>
      </c>
      <c r="AO72" s="1529">
        <f>14.492-AN72-AM72</f>
        <v>-13.210999999999999</v>
      </c>
      <c r="AP72" s="1529">
        <f>-62.856-AO72-AN72-AM72</f>
        <v>-77.347999999999999</v>
      </c>
      <c r="AQ72" s="1529">
        <f t="shared" si="97"/>
        <v>-62.855999999999995</v>
      </c>
      <c r="AR72" s="1529"/>
      <c r="AS72" s="1529">
        <v>100.253</v>
      </c>
      <c r="AT72" s="1529">
        <f>73.091-AS72</f>
        <v>-27.162000000000006</v>
      </c>
      <c r="AU72" s="1529">
        <f>52.206-AT72-AS72</f>
        <v>-20.884999999999991</v>
      </c>
      <c r="AV72" s="1529">
        <f>-27.578-AU72-AT72-AS72</f>
        <v>-79.784000000000006</v>
      </c>
      <c r="AW72" s="1529">
        <f t="shared" si="98"/>
        <v>-27.578000000000003</v>
      </c>
      <c r="AX72" s="1529"/>
      <c r="AY72" s="1529">
        <v>-323.51299999999998</v>
      </c>
      <c r="AZ72" s="1529">
        <f>48.469-AY72</f>
        <v>371.98199999999997</v>
      </c>
      <c r="BA72" s="1529">
        <f>56.295-AZ72-AY72</f>
        <v>7.8260000000000218</v>
      </c>
      <c r="BB72" s="1529">
        <f>-68-BA72-AZ72-AY72</f>
        <v>-124.29500000000002</v>
      </c>
      <c r="BC72" s="1529">
        <f t="shared" si="99"/>
        <v>-68</v>
      </c>
      <c r="BD72" s="1529"/>
      <c r="BE72" s="1529">
        <f>-120.823-241.53</f>
        <v>-362.35300000000001</v>
      </c>
      <c r="BF72" s="1529">
        <f>5-BE72</f>
        <v>367.35300000000001</v>
      </c>
      <c r="BG72" s="1529">
        <f>-153-BF72-BE72</f>
        <v>-158.00000000000006</v>
      </c>
      <c r="BH72" s="1529">
        <f>-23-BG72-BF72-BE72</f>
        <v>130.00000000000006</v>
      </c>
      <c r="BI72" s="1529">
        <f t="shared" si="100"/>
        <v>-23</v>
      </c>
      <c r="BJ72" s="1529"/>
      <c r="BK72" s="1529">
        <v>88</v>
      </c>
      <c r="BL72" s="1529">
        <f>86-BK72</f>
        <v>-2</v>
      </c>
      <c r="BM72" s="1529">
        <f>104-BL72-BK72</f>
        <v>18</v>
      </c>
      <c r="BN72" s="1529">
        <f>41-BM72-BL72-BK72</f>
        <v>-63</v>
      </c>
      <c r="BO72" s="1529">
        <f t="shared" si="101"/>
        <v>41</v>
      </c>
      <c r="BP72" s="1529"/>
      <c r="BQ72" s="1529">
        <v>109</v>
      </c>
      <c r="BR72" s="1529">
        <f t="shared" ref="BR72:BT75" si="171">BR21-BQ21</f>
        <v>-16</v>
      </c>
      <c r="BS72" s="1529">
        <f t="shared" si="171"/>
        <v>2</v>
      </c>
      <c r="BT72" s="1529">
        <f t="shared" si="171"/>
        <v>-125</v>
      </c>
      <c r="BU72" s="1529">
        <f>SUM(BQ72:BT72)</f>
        <v>-30</v>
      </c>
      <c r="BV72" s="1529"/>
      <c r="BW72" s="1529">
        <v>139</v>
      </c>
      <c r="BX72" s="1529">
        <f t="shared" ref="BX72:BZ75" si="172">BX21-BW21</f>
        <v>14</v>
      </c>
      <c r="BY72" s="1529">
        <f t="shared" si="172"/>
        <v>43</v>
      </c>
      <c r="BZ72" s="1529">
        <f t="shared" si="172"/>
        <v>-32</v>
      </c>
      <c r="CA72" s="1529">
        <f>SUM(BW72:BZ72)</f>
        <v>164</v>
      </c>
      <c r="CB72" s="1529"/>
      <c r="CC72" s="1529">
        <f>CC21</f>
        <v>154</v>
      </c>
      <c r="CD72" s="1529">
        <f t="shared" ref="CD72:CF75" si="173">CD21-CC21</f>
        <v>4</v>
      </c>
      <c r="CE72" s="1529">
        <f t="shared" si="173"/>
        <v>-35</v>
      </c>
      <c r="CF72" s="1529">
        <f t="shared" si="173"/>
        <v>-109</v>
      </c>
      <c r="CG72" s="1529">
        <f>SUM(CC72:CF72)</f>
        <v>14</v>
      </c>
      <c r="CH72" s="1529"/>
      <c r="CI72" s="1529">
        <f>CI21</f>
        <v>86</v>
      </c>
      <c r="CJ72" s="1529">
        <f t="shared" ref="CJ72:CL75" si="174">CJ21-CI21</f>
        <v>-63</v>
      </c>
      <c r="CK72" s="1529">
        <f t="shared" si="174"/>
        <v>-56</v>
      </c>
      <c r="CL72" s="1529">
        <f t="shared" si="174"/>
        <v>-120</v>
      </c>
      <c r="CM72" s="1536">
        <f>SUM(CI72:CL72)</f>
        <v>-153</v>
      </c>
      <c r="CN72" s="1529"/>
      <c r="CO72" s="1529">
        <f>CO21</f>
        <v>161</v>
      </c>
      <c r="CP72" s="1529">
        <f t="shared" ref="CP72:CR74" si="175">CP21-CO21</f>
        <v>-134</v>
      </c>
      <c r="CQ72" s="1529">
        <f t="shared" si="175"/>
        <v>34</v>
      </c>
      <c r="CR72" s="1529">
        <f t="shared" si="175"/>
        <v>-252</v>
      </c>
      <c r="CS72" s="1536">
        <f>SUM(CO72:CR72)</f>
        <v>-191</v>
      </c>
      <c r="CT72" s="1529"/>
      <c r="CU72" s="1529">
        <f>CU21</f>
        <v>397</v>
      </c>
      <c r="CV72" s="1529">
        <f t="shared" ref="CV72:CX75" si="176">CV21-CU21</f>
        <v>-9</v>
      </c>
      <c r="CW72" s="1529">
        <f t="shared" si="176"/>
        <v>-52</v>
      </c>
      <c r="CX72" s="1529">
        <f t="shared" si="176"/>
        <v>-191</v>
      </c>
      <c r="CY72" s="1536">
        <f>SUM(CU72:CX72)</f>
        <v>145</v>
      </c>
      <c r="CZ72" s="1529"/>
      <c r="DA72" s="1529">
        <f t="shared" si="126"/>
        <v>251</v>
      </c>
      <c r="DB72" s="1529">
        <f t="shared" ref="DB72:DD75" si="177">DB21-DA21</f>
        <v>-16</v>
      </c>
      <c r="DC72" s="1529">
        <f t="shared" si="177"/>
        <v>140</v>
      </c>
      <c r="DD72" s="1529">
        <f t="shared" si="177"/>
        <v>-35</v>
      </c>
      <c r="DE72" s="1536">
        <f t="shared" si="128"/>
        <v>340</v>
      </c>
      <c r="DF72" s="1529"/>
      <c r="DG72" s="1529">
        <f t="shared" si="129"/>
        <v>348</v>
      </c>
      <c r="DH72" s="1529">
        <f t="shared" ref="DH72:DJ75" si="178">DH21-DG21</f>
        <v>-68</v>
      </c>
      <c r="DI72" s="1529">
        <f t="shared" si="178"/>
        <v>-19</v>
      </c>
      <c r="DJ72" s="1529">
        <f t="shared" si="178"/>
        <v>-247</v>
      </c>
      <c r="DK72" s="1536">
        <f t="shared" si="131"/>
        <v>14</v>
      </c>
      <c r="DL72" s="1529"/>
      <c r="DM72" s="1529">
        <f t="shared" si="132"/>
        <v>469</v>
      </c>
      <c r="DN72" s="1529">
        <f t="shared" ref="DN72:DP75" si="179">DN21-DM21</f>
        <v>-45</v>
      </c>
      <c r="DO72" s="1529">
        <f t="shared" si="179"/>
        <v>-337</v>
      </c>
      <c r="DP72" s="1529">
        <f t="shared" si="179"/>
        <v>-138</v>
      </c>
      <c r="DQ72" s="1536">
        <f t="shared" si="134"/>
        <v>-51</v>
      </c>
      <c r="DR72" s="1529"/>
      <c r="DS72" s="1529">
        <f t="shared" si="135"/>
        <v>-72</v>
      </c>
      <c r="DT72" s="1529">
        <f t="shared" si="136"/>
        <v>-141</v>
      </c>
      <c r="DU72" s="1529">
        <f t="shared" si="137"/>
        <v>-28</v>
      </c>
      <c r="DV72" s="1529">
        <f>DV21-DU21</f>
        <v>-314</v>
      </c>
      <c r="DW72" s="1536">
        <f t="shared" si="139"/>
        <v>-555</v>
      </c>
      <c r="DX72" s="1529"/>
      <c r="DY72" s="1529">
        <f t="shared" si="140"/>
        <v>366</v>
      </c>
      <c r="DZ72" s="1529">
        <f t="shared" si="141"/>
        <v>-119</v>
      </c>
      <c r="EA72" s="1529">
        <f t="shared" si="142"/>
        <v>-66</v>
      </c>
      <c r="EB72" s="1529">
        <f t="shared" si="143"/>
        <v>-324</v>
      </c>
      <c r="EC72" s="1536">
        <f t="shared" si="144"/>
        <v>-143</v>
      </c>
      <c r="ED72" s="1529"/>
      <c r="EE72" s="1529">
        <f t="shared" si="145"/>
        <v>275</v>
      </c>
      <c r="EF72" s="1529">
        <f t="shared" si="146"/>
        <v>164</v>
      </c>
      <c r="EG72" s="1529">
        <f t="shared" si="147"/>
        <v>-77</v>
      </c>
      <c r="EH72" s="1529">
        <f t="shared" si="148"/>
        <v>-749</v>
      </c>
      <c r="EI72" s="1536">
        <f t="shared" si="149"/>
        <v>-387</v>
      </c>
      <c r="EJ72" s="1529"/>
      <c r="EK72" s="1529">
        <f t="shared" si="150"/>
        <v>379</v>
      </c>
      <c r="EL72" s="1529">
        <f t="shared" si="151"/>
        <v>-240</v>
      </c>
      <c r="EM72" s="1529">
        <f t="shared" si="152"/>
        <v>-44</v>
      </c>
      <c r="EN72" s="1529">
        <f t="shared" si="152"/>
        <v>-185</v>
      </c>
      <c r="EO72" s="1536">
        <f t="shared" si="153"/>
        <v>-90</v>
      </c>
      <c r="EP72" s="1529"/>
      <c r="EQ72" s="1529">
        <f t="shared" si="154"/>
        <v>435</v>
      </c>
      <c r="ER72" s="1529">
        <f t="shared" si="155"/>
        <v>-114</v>
      </c>
      <c r="ES72" s="1529">
        <f t="shared" si="155"/>
        <v>-13</v>
      </c>
      <c r="ET72" s="1529">
        <f t="shared" si="155"/>
        <v>-244</v>
      </c>
      <c r="EU72" s="1536">
        <f t="shared" si="156"/>
        <v>64</v>
      </c>
      <c r="EV72" s="1529"/>
      <c r="EW72" s="1529">
        <f t="shared" si="157"/>
        <v>555</v>
      </c>
      <c r="EX72" s="1529">
        <f t="shared" si="158"/>
        <v>-417</v>
      </c>
      <c r="EY72" s="1529">
        <f t="shared" si="158"/>
        <v>-62</v>
      </c>
      <c r="EZ72" s="1529">
        <f t="shared" si="159"/>
        <v>-18.097742756271145</v>
      </c>
      <c r="FA72" s="1536">
        <f t="shared" si="160"/>
        <v>57.902257243728855</v>
      </c>
      <c r="FB72" s="1529"/>
      <c r="FC72" s="1529">
        <f t="shared" si="161"/>
        <v>-24.554696114636499</v>
      </c>
      <c r="FD72" s="1529">
        <f t="shared" si="162"/>
        <v>-25.608685136376153</v>
      </c>
      <c r="FE72" s="1529">
        <f t="shared" si="163"/>
        <v>-22.985676589431478</v>
      </c>
      <c r="FF72" s="1529">
        <f t="shared" si="164"/>
        <v>-15.560131070824809</v>
      </c>
      <c r="FG72" s="1536">
        <f t="shared" si="165"/>
        <v>-88.709188911268939</v>
      </c>
      <c r="FH72" s="1529"/>
      <c r="FI72" s="1529">
        <f t="shared" si="166"/>
        <v>-28.397720746911546</v>
      </c>
      <c r="FJ72" s="1529">
        <f t="shared" si="167"/>
        <v>-26.27092566757392</v>
      </c>
      <c r="FK72" s="1529">
        <f t="shared" si="168"/>
        <v>-25.33908829082111</v>
      </c>
      <c r="FL72" s="1529">
        <f t="shared" si="169"/>
        <v>-19.862581565309029</v>
      </c>
      <c r="FM72" s="1536">
        <f t="shared" si="170"/>
        <v>-99.870316270615604</v>
      </c>
      <c r="FN72" s="1524"/>
      <c r="FO72" s="1524"/>
      <c r="FP72" s="1524"/>
      <c r="FQ72" s="1524"/>
      <c r="FR72" s="1524"/>
      <c r="FS72"/>
      <c r="FT72"/>
      <c r="FU72"/>
      <c r="FV72"/>
      <c r="FW72"/>
      <c r="FX72"/>
      <c r="FY72" s="1524"/>
      <c r="FZ72" s="1522"/>
      <c r="GA72" s="1522"/>
      <c r="GB72" s="1522"/>
      <c r="GC72" s="1522"/>
      <c r="GD72" s="1522"/>
      <c r="GE72" s="1522"/>
      <c r="GF72" s="1522"/>
      <c r="GG72" s="1522"/>
      <c r="GH72" s="1522"/>
      <c r="GI72" s="1522"/>
      <c r="GJ72" s="1522"/>
      <c r="GK72" s="1522"/>
      <c r="GL72" s="1522"/>
      <c r="GM72" s="1522"/>
      <c r="GN72" s="1522"/>
      <c r="GO72" s="1522"/>
      <c r="GP72" s="1522"/>
      <c r="GQ72" s="1522"/>
      <c r="GR72" s="1522"/>
      <c r="GS72" s="1522"/>
      <c r="GT72" s="1522"/>
      <c r="GU72" s="1522"/>
      <c r="GV72" s="1522"/>
      <c r="GW72" s="1522"/>
      <c r="GX72" s="1522"/>
      <c r="GY72" s="1522"/>
      <c r="GZ72" s="1522"/>
      <c r="HA72" s="1522"/>
      <c r="HB72" s="1522"/>
      <c r="HC72" s="1522"/>
      <c r="HD72" s="1522"/>
      <c r="HE72" s="1522"/>
      <c r="HF72" s="1522"/>
      <c r="HG72" s="1522"/>
      <c r="HH72" s="1522"/>
      <c r="HI72" s="1522"/>
      <c r="HJ72" s="1522"/>
      <c r="HK72" s="1522"/>
      <c r="HL72" s="1522"/>
      <c r="HM72" s="1522"/>
      <c r="HN72" s="1522"/>
      <c r="HO72" s="1522"/>
      <c r="HP72" s="1522"/>
      <c r="HQ72" s="1522"/>
      <c r="HR72" s="1522"/>
      <c r="HS72" s="1522"/>
      <c r="HT72" s="1522"/>
      <c r="HU72" s="1522"/>
      <c r="HV72" s="1522"/>
      <c r="HW72" s="1522"/>
      <c r="HX72" s="1522"/>
      <c r="HY72" s="1522"/>
      <c r="HZ72" s="1522"/>
      <c r="IA72" s="1522"/>
      <c r="IB72" s="1522"/>
      <c r="IC72" s="1522"/>
      <c r="ID72" s="1522"/>
      <c r="IE72" s="1522"/>
      <c r="IF72" s="1522"/>
      <c r="IG72" s="1522"/>
      <c r="IH72" s="1522"/>
      <c r="II72" s="1522"/>
      <c r="IJ72" s="1522"/>
      <c r="IK72" s="1522"/>
      <c r="IL72" s="1522"/>
      <c r="IM72" s="1522"/>
      <c r="IN72" s="1522"/>
      <c r="IO72" s="1522"/>
      <c r="IP72" s="1522"/>
      <c r="IQ72" s="1522"/>
      <c r="IR72" s="1522"/>
      <c r="IS72" s="1522"/>
      <c r="IT72" s="1522"/>
      <c r="IU72" s="1522"/>
      <c r="IV72" s="1522"/>
      <c r="IW72" s="1522"/>
      <c r="IX72" s="1522"/>
      <c r="IY72" s="1522"/>
      <c r="IZ72" s="1522"/>
      <c r="JA72" s="1522"/>
      <c r="JB72" s="1522"/>
      <c r="JC72" s="1522"/>
      <c r="JD72" s="1522"/>
      <c r="JE72" s="1522"/>
      <c r="JF72" s="1522"/>
      <c r="JG72" s="1522"/>
      <c r="JH72" s="1522"/>
      <c r="JI72" s="1522"/>
      <c r="JJ72" s="1522"/>
      <c r="JK72" s="1522"/>
      <c r="JL72" s="1522"/>
      <c r="JM72" s="1522"/>
      <c r="JN72" s="1522"/>
    </row>
    <row r="73" spans="1:274" s="1523" customFormat="1" ht="10.5" customHeight="1" x14ac:dyDescent="0.2">
      <c r="A73" s="1571" t="s">
        <v>884</v>
      </c>
      <c r="B73" s="1529"/>
      <c r="C73" s="1527">
        <v>0</v>
      </c>
      <c r="D73" s="1527">
        <v>0</v>
      </c>
      <c r="E73" s="1527">
        <v>0</v>
      </c>
      <c r="F73" s="1529">
        <v>5.5510000000000002</v>
      </c>
      <c r="G73" s="1529">
        <v>12.853999999999999</v>
      </c>
      <c r="H73" s="1529">
        <f>25.236</f>
        <v>25.236000000000001</v>
      </c>
      <c r="I73" s="1529">
        <v>12.491</v>
      </c>
      <c r="J73" s="1529">
        <v>-15.337</v>
      </c>
      <c r="K73" s="1529">
        <v>12.26</v>
      </c>
      <c r="L73" s="1529">
        <v>11.339</v>
      </c>
      <c r="M73" s="1529">
        <v>23.465</v>
      </c>
      <c r="N73" s="1540"/>
      <c r="O73" s="1527">
        <f>6.371</f>
        <v>6.3710000000000004</v>
      </c>
      <c r="P73" s="1527">
        <f>30.053-O73</f>
        <v>23.682000000000002</v>
      </c>
      <c r="Q73" s="1527">
        <f>16.948-P73-O73</f>
        <v>-13.105000000000002</v>
      </c>
      <c r="R73" s="1527">
        <f>24.113-Q73-P73-O73</f>
        <v>7.1650000000000009</v>
      </c>
      <c r="S73" s="1529">
        <f t="shared" si="93"/>
        <v>24.113</v>
      </c>
      <c r="T73" s="1527"/>
      <c r="U73" s="1527">
        <v>-8.9969999999999999</v>
      </c>
      <c r="V73" s="1527">
        <f>5.879-U73</f>
        <v>14.875999999999999</v>
      </c>
      <c r="W73" s="1527">
        <f>30.949-V73-U73</f>
        <v>25.07</v>
      </c>
      <c r="X73" s="1527">
        <f>48.392-W73-V73-U73</f>
        <v>17.443000000000005</v>
      </c>
      <c r="Y73" s="1529">
        <f t="shared" si="94"/>
        <v>48.392000000000003</v>
      </c>
      <c r="Z73" s="1527"/>
      <c r="AA73" s="1527">
        <v>-5.5110000000000001</v>
      </c>
      <c r="AB73" s="1527">
        <f>-7.056-AA73</f>
        <v>-1.5449999999999999</v>
      </c>
      <c r="AC73" s="1527">
        <f>-21.799-AB73-AA73</f>
        <v>-14.742999999999999</v>
      </c>
      <c r="AD73" s="1527">
        <f>16.807-AC73-AB73-AA73</f>
        <v>38.606000000000002</v>
      </c>
      <c r="AE73" s="1529">
        <f t="shared" si="95"/>
        <v>16.807000000000002</v>
      </c>
      <c r="AF73" s="1527"/>
      <c r="AG73" s="1527">
        <f>-9.238</f>
        <v>-9.2379999999999995</v>
      </c>
      <c r="AH73" s="1529">
        <f>22.903-AG73</f>
        <v>32.140999999999998</v>
      </c>
      <c r="AI73" s="1529">
        <f>20.897-AH73-AG73</f>
        <v>-2.0060000000000002</v>
      </c>
      <c r="AJ73" s="1527">
        <f>58.68-AI73-AH73-AG73</f>
        <v>37.783000000000001</v>
      </c>
      <c r="AK73" s="1529">
        <f t="shared" si="96"/>
        <v>58.68</v>
      </c>
      <c r="AL73" s="1527"/>
      <c r="AM73" s="1527">
        <f>7.527</f>
        <v>7.5270000000000001</v>
      </c>
      <c r="AN73" s="1527">
        <f>-144.181-AM73</f>
        <v>-151.708</v>
      </c>
      <c r="AO73" s="1527">
        <f>15.786-AN73-AM73</f>
        <v>159.96700000000001</v>
      </c>
      <c r="AP73" s="1527">
        <f>45.098-AO73-AN73-AM73</f>
        <v>29.311999999999983</v>
      </c>
      <c r="AQ73" s="1529">
        <f t="shared" si="97"/>
        <v>45.097999999999985</v>
      </c>
      <c r="AR73" s="1527"/>
      <c r="AS73" s="1529">
        <v>-30.827000000000002</v>
      </c>
      <c r="AT73" s="1529">
        <f>-42.924-AS73</f>
        <v>-12.096999999999998</v>
      </c>
      <c r="AU73" s="1529">
        <f>-60.698-AT73-AS73</f>
        <v>-17.773999999999997</v>
      </c>
      <c r="AV73" s="1527">
        <f>2.839-AU73-AT73-AS73</f>
        <v>63.536999999999992</v>
      </c>
      <c r="AW73" s="1529">
        <f t="shared" si="98"/>
        <v>2.8389999999999986</v>
      </c>
      <c r="AX73" s="1527"/>
      <c r="AY73" s="1527">
        <f>88.142-34.038</f>
        <v>54.103999999999999</v>
      </c>
      <c r="AZ73" s="1527">
        <f>-2.425-AY73</f>
        <v>-56.528999999999996</v>
      </c>
      <c r="BA73" s="1527">
        <f>-7.16-AZ73-AY73</f>
        <v>-4.7349999999999994</v>
      </c>
      <c r="BB73" s="1527">
        <f>64-BA73-AZ73-AY73</f>
        <v>71.16</v>
      </c>
      <c r="BC73" s="1529">
        <f t="shared" si="99"/>
        <v>64</v>
      </c>
      <c r="BD73" s="1527"/>
      <c r="BE73" s="1527">
        <f>-33.787+56.384</f>
        <v>22.597000000000001</v>
      </c>
      <c r="BF73" s="1527">
        <f>-208-BE73</f>
        <v>-230.59700000000001</v>
      </c>
      <c r="BG73" s="1527">
        <f>-337-BF73-BE73</f>
        <v>-129</v>
      </c>
      <c r="BH73" s="1527">
        <f>-341-BG73-BF73-BE73</f>
        <v>-3.9999999999999929</v>
      </c>
      <c r="BI73" s="1529">
        <f t="shared" si="100"/>
        <v>-341</v>
      </c>
      <c r="BJ73" s="1527"/>
      <c r="BK73" s="1527">
        <v>-164</v>
      </c>
      <c r="BL73" s="1527">
        <f>-95-BK73</f>
        <v>69</v>
      </c>
      <c r="BM73" s="1529">
        <f>-182-BL73-BK73</f>
        <v>-87</v>
      </c>
      <c r="BN73" s="1528">
        <f>-88-BM73-BL73-BK73</f>
        <v>94</v>
      </c>
      <c r="BO73" s="1529">
        <f t="shared" si="101"/>
        <v>-88</v>
      </c>
      <c r="BP73" s="1527"/>
      <c r="BQ73" s="1528">
        <v>-183</v>
      </c>
      <c r="BR73" s="1529">
        <f t="shared" si="171"/>
        <v>44</v>
      </c>
      <c r="BS73" s="1529">
        <f t="shared" si="171"/>
        <v>44</v>
      </c>
      <c r="BT73" s="1529">
        <f t="shared" si="171"/>
        <v>120</v>
      </c>
      <c r="BU73" s="1529">
        <f>SUM(BQ73:BT73)</f>
        <v>25</v>
      </c>
      <c r="BV73" s="1527"/>
      <c r="BW73" s="1529">
        <v>-335</v>
      </c>
      <c r="BX73" s="1529">
        <f t="shared" si="172"/>
        <v>60</v>
      </c>
      <c r="BY73" s="1529">
        <f t="shared" si="172"/>
        <v>-180</v>
      </c>
      <c r="BZ73" s="1529">
        <f t="shared" si="172"/>
        <v>-78</v>
      </c>
      <c r="CA73" s="1529">
        <f>SUM(BW73:BZ73)</f>
        <v>-533</v>
      </c>
      <c r="CB73" s="1527"/>
      <c r="CC73" s="1529">
        <f>CC22</f>
        <v>-451</v>
      </c>
      <c r="CD73" s="1529">
        <f t="shared" si="173"/>
        <v>143</v>
      </c>
      <c r="CE73" s="1529">
        <f t="shared" si="173"/>
        <v>-74</v>
      </c>
      <c r="CF73" s="1529">
        <f t="shared" si="173"/>
        <v>405</v>
      </c>
      <c r="CG73" s="1529">
        <f>SUM(CC73:CF73)</f>
        <v>23</v>
      </c>
      <c r="CH73" s="1527"/>
      <c r="CI73" s="1529">
        <f>CI22</f>
        <v>-900</v>
      </c>
      <c r="CJ73" s="1529">
        <f t="shared" si="174"/>
        <v>45</v>
      </c>
      <c r="CK73" s="1529">
        <f t="shared" si="174"/>
        <v>38</v>
      </c>
      <c r="CL73" s="1529">
        <f t="shared" si="174"/>
        <v>472</v>
      </c>
      <c r="CM73" s="1536">
        <f>SUM(CI73:CL73)</f>
        <v>-345</v>
      </c>
      <c r="CN73" s="1527"/>
      <c r="CO73" s="1529">
        <f>CO22</f>
        <v>-679</v>
      </c>
      <c r="CP73" s="1529">
        <f t="shared" si="175"/>
        <v>128</v>
      </c>
      <c r="CQ73" s="1529">
        <f t="shared" si="175"/>
        <v>69</v>
      </c>
      <c r="CR73" s="1529">
        <f t="shared" si="175"/>
        <v>329</v>
      </c>
      <c r="CS73" s="1536">
        <f>SUM(CO73:CR73)</f>
        <v>-153</v>
      </c>
      <c r="CT73" s="1527"/>
      <c r="CU73" s="1529">
        <f>CU22</f>
        <v>-906</v>
      </c>
      <c r="CV73" s="1529">
        <f t="shared" si="176"/>
        <v>-116</v>
      </c>
      <c r="CW73" s="1529">
        <f t="shared" si="176"/>
        <v>-75</v>
      </c>
      <c r="CX73" s="1529">
        <f t="shared" si="176"/>
        <v>406</v>
      </c>
      <c r="CY73" s="1536">
        <f>SUM(CU73:CX73)</f>
        <v>-691</v>
      </c>
      <c r="CZ73" s="1527"/>
      <c r="DA73" s="1529">
        <f t="shared" si="126"/>
        <v>-642</v>
      </c>
      <c r="DB73" s="1529">
        <f t="shared" si="177"/>
        <v>119</v>
      </c>
      <c r="DC73" s="1529">
        <f t="shared" si="177"/>
        <v>-319</v>
      </c>
      <c r="DD73" s="1529">
        <f t="shared" si="177"/>
        <v>482</v>
      </c>
      <c r="DE73" s="1536">
        <f t="shared" si="128"/>
        <v>-360</v>
      </c>
      <c r="DF73" s="1527"/>
      <c r="DG73" s="1529">
        <f t="shared" si="129"/>
        <v>-898</v>
      </c>
      <c r="DH73" s="1529">
        <f t="shared" si="178"/>
        <v>278</v>
      </c>
      <c r="DI73" s="1529">
        <f t="shared" si="178"/>
        <v>-201</v>
      </c>
      <c r="DJ73" s="1529">
        <f t="shared" si="178"/>
        <v>701</v>
      </c>
      <c r="DK73" s="1536">
        <f t="shared" si="131"/>
        <v>-120</v>
      </c>
      <c r="DL73" s="1527"/>
      <c r="DM73" s="1529">
        <f t="shared" si="132"/>
        <v>-1374</v>
      </c>
      <c r="DN73" s="1529">
        <f t="shared" si="179"/>
        <v>68</v>
      </c>
      <c r="DO73" s="1529">
        <f t="shared" si="179"/>
        <v>-47</v>
      </c>
      <c r="DP73" s="1529">
        <f t="shared" si="179"/>
        <v>633</v>
      </c>
      <c r="DQ73" s="1536">
        <f t="shared" si="134"/>
        <v>-720</v>
      </c>
      <c r="DR73" s="1527"/>
      <c r="DS73" s="1529">
        <f t="shared" si="135"/>
        <v>-943</v>
      </c>
      <c r="DT73" s="1529">
        <f t="shared" si="136"/>
        <v>153</v>
      </c>
      <c r="DU73" s="1529">
        <f t="shared" si="137"/>
        <v>-122</v>
      </c>
      <c r="DV73" s="1529">
        <f t="shared" si="138"/>
        <v>371</v>
      </c>
      <c r="DW73" s="1536">
        <f t="shared" si="139"/>
        <v>-541</v>
      </c>
      <c r="DX73" s="1527"/>
      <c r="DY73" s="1529">
        <f t="shared" si="140"/>
        <v>-994</v>
      </c>
      <c r="DZ73" s="1529">
        <f t="shared" si="141"/>
        <v>461</v>
      </c>
      <c r="EA73" s="1529">
        <f t="shared" si="142"/>
        <v>-197</v>
      </c>
      <c r="EB73" s="1529">
        <f t="shared" si="143"/>
        <v>778</v>
      </c>
      <c r="EC73" s="1536">
        <f t="shared" si="144"/>
        <v>48</v>
      </c>
      <c r="ED73" s="1527"/>
      <c r="EE73" s="1529">
        <f t="shared" si="145"/>
        <v>-1088</v>
      </c>
      <c r="EF73" s="1529">
        <f t="shared" si="146"/>
        <v>227</v>
      </c>
      <c r="EG73" s="1529">
        <f t="shared" si="147"/>
        <v>-343</v>
      </c>
      <c r="EH73" s="1529">
        <f t="shared" si="148"/>
        <v>1451</v>
      </c>
      <c r="EI73" s="1536">
        <f t="shared" si="149"/>
        <v>247</v>
      </c>
      <c r="EJ73" s="1527"/>
      <c r="EK73" s="1529">
        <f t="shared" si="150"/>
        <v>-1353</v>
      </c>
      <c r="EL73" s="1529">
        <f t="shared" si="151"/>
        <v>393</v>
      </c>
      <c r="EM73" s="1529">
        <f t="shared" si="152"/>
        <v>70</v>
      </c>
      <c r="EN73" s="1529">
        <f t="shared" si="152"/>
        <v>877</v>
      </c>
      <c r="EO73" s="1536">
        <f t="shared" si="153"/>
        <v>-13</v>
      </c>
      <c r="EP73" s="1527"/>
      <c r="EQ73" s="1529">
        <f t="shared" si="154"/>
        <v>-1013</v>
      </c>
      <c r="ER73" s="1529">
        <f t="shared" si="155"/>
        <v>514</v>
      </c>
      <c r="ES73" s="1529">
        <f t="shared" si="155"/>
        <v>-363</v>
      </c>
      <c r="ET73" s="1529">
        <f t="shared" si="155"/>
        <v>825</v>
      </c>
      <c r="EU73" s="1536">
        <f t="shared" si="156"/>
        <v>-37</v>
      </c>
      <c r="EV73" s="1527"/>
      <c r="EW73" s="1529">
        <f t="shared" si="157"/>
        <v>-1062</v>
      </c>
      <c r="EX73" s="1529">
        <f t="shared" si="158"/>
        <v>444</v>
      </c>
      <c r="EY73" s="1529">
        <f t="shared" si="158"/>
        <v>12</v>
      </c>
      <c r="EZ73" s="1529">
        <f t="shared" si="159"/>
        <v>718.17128962396419</v>
      </c>
      <c r="FA73" s="1536">
        <f t="shared" si="160"/>
        <v>112.17128962396419</v>
      </c>
      <c r="FB73" s="1527"/>
      <c r="FC73" s="1529">
        <f t="shared" si="161"/>
        <v>-1471.9611462968423</v>
      </c>
      <c r="FD73" s="1529">
        <f t="shared" si="162"/>
        <v>-12.048948338044283</v>
      </c>
      <c r="FE73" s="1529">
        <f t="shared" si="163"/>
        <v>579.75517866382597</v>
      </c>
      <c r="FF73" s="1529">
        <f t="shared" si="164"/>
        <v>776.79076796634126</v>
      </c>
      <c r="FG73" s="1536">
        <f t="shared" si="165"/>
        <v>-127.46414800471939</v>
      </c>
      <c r="FH73" s="1527"/>
      <c r="FI73" s="1529">
        <f t="shared" si="166"/>
        <v>-1514.2293064661544</v>
      </c>
      <c r="FJ73" s="1529">
        <f t="shared" si="167"/>
        <v>-11.673776649766296</v>
      </c>
      <c r="FK73" s="1529">
        <f t="shared" si="168"/>
        <v>601.77023992706108</v>
      </c>
      <c r="FL73" s="1529">
        <f t="shared" si="169"/>
        <v>820.94714095012023</v>
      </c>
      <c r="FM73" s="1536">
        <f t="shared" si="170"/>
        <v>-103.1857022387394</v>
      </c>
      <c r="FN73" s="1525"/>
      <c r="FO73" s="1525"/>
      <c r="FP73" s="1526"/>
      <c r="FQ73" s="1526"/>
      <c r="FR73" s="1526"/>
      <c r="FS73"/>
      <c r="FT73"/>
      <c r="FU73"/>
      <c r="FV73"/>
      <c r="FW73"/>
      <c r="FX73"/>
      <c r="FY73" s="1526"/>
      <c r="FZ73" s="1522"/>
      <c r="GA73" s="1522"/>
      <c r="GB73" s="1522"/>
      <c r="GC73" s="1522"/>
      <c r="GD73" s="1522"/>
      <c r="GE73" s="1522"/>
      <c r="GF73" s="1522"/>
      <c r="GG73" s="1522"/>
      <c r="GH73" s="1522"/>
      <c r="GI73" s="1522"/>
      <c r="GJ73" s="1522"/>
      <c r="GK73" s="1522"/>
      <c r="GL73" s="1522"/>
      <c r="GM73" s="1522"/>
      <c r="GN73" s="1522"/>
      <c r="GO73" s="1522"/>
      <c r="GP73" s="1522"/>
      <c r="GQ73" s="1522"/>
      <c r="GR73" s="1522"/>
      <c r="GS73" s="1522"/>
      <c r="GT73" s="1522"/>
      <c r="GU73" s="1522"/>
      <c r="GV73" s="1522"/>
      <c r="GW73" s="1522"/>
      <c r="GX73" s="1522"/>
      <c r="GY73" s="1522"/>
      <c r="GZ73" s="1522"/>
      <c r="HA73" s="1522"/>
      <c r="HB73" s="1522"/>
      <c r="HC73" s="1522"/>
      <c r="HD73" s="1522"/>
      <c r="HE73" s="1522"/>
      <c r="HF73" s="1522"/>
      <c r="HG73" s="1522"/>
      <c r="HH73" s="1522"/>
      <c r="HI73" s="1522"/>
      <c r="HJ73" s="1522"/>
      <c r="HK73" s="1522"/>
      <c r="HL73" s="1522"/>
      <c r="HM73" s="1522"/>
      <c r="HN73" s="1522"/>
      <c r="HO73" s="1522"/>
      <c r="HP73" s="1522"/>
      <c r="HQ73" s="1522"/>
      <c r="HR73" s="1522"/>
      <c r="HS73" s="1522"/>
      <c r="HT73" s="1522"/>
      <c r="HU73" s="1522"/>
      <c r="HV73" s="1522"/>
      <c r="HW73" s="1522"/>
      <c r="HX73" s="1522"/>
      <c r="HY73" s="1522"/>
      <c r="HZ73" s="1522"/>
      <c r="IA73" s="1522"/>
      <c r="IB73" s="1522"/>
      <c r="IC73" s="1522"/>
      <c r="ID73" s="1522"/>
      <c r="IE73" s="1522"/>
      <c r="IF73" s="1522"/>
      <c r="IG73" s="1522"/>
      <c r="IH73" s="1522"/>
      <c r="II73" s="1522"/>
      <c r="IJ73" s="1522"/>
      <c r="IK73" s="1522"/>
      <c r="IL73" s="1522"/>
      <c r="IM73" s="1522"/>
      <c r="IN73" s="1522"/>
      <c r="IO73" s="1522"/>
      <c r="IP73" s="1522"/>
      <c r="IQ73" s="1522"/>
      <c r="IR73" s="1522"/>
      <c r="IS73" s="1522"/>
      <c r="IT73" s="1522"/>
      <c r="IU73" s="1522"/>
      <c r="IV73" s="1522"/>
      <c r="IW73" s="1522"/>
      <c r="IX73" s="1522"/>
      <c r="IY73" s="1522"/>
      <c r="IZ73" s="1522"/>
      <c r="JA73" s="1522"/>
      <c r="JB73" s="1522"/>
      <c r="JC73" s="1522"/>
      <c r="JD73" s="1522"/>
      <c r="JE73" s="1522"/>
      <c r="JF73" s="1522"/>
      <c r="JG73" s="1522"/>
      <c r="JH73" s="1522"/>
      <c r="JI73" s="1522"/>
      <c r="JJ73" s="1522"/>
      <c r="JK73" s="1522"/>
      <c r="JL73" s="1522"/>
      <c r="JM73" s="1522"/>
      <c r="JN73" s="1522"/>
    </row>
    <row r="74" spans="1:274" s="1523" customFormat="1" ht="10.5" customHeight="1" x14ac:dyDescent="0.2">
      <c r="A74" s="1529" t="s">
        <v>542</v>
      </c>
      <c r="B74" s="1529"/>
      <c r="C74" s="1527">
        <v>0</v>
      </c>
      <c r="D74" s="1527">
        <v>0</v>
      </c>
      <c r="E74" s="1527">
        <v>0</v>
      </c>
      <c r="F74" s="1527">
        <v>0.76500000000000001</v>
      </c>
      <c r="G74" s="1527">
        <f>5.682</f>
        <v>5.6820000000000004</v>
      </c>
      <c r="H74" s="1527">
        <v>6.4960000000000004</v>
      </c>
      <c r="I74" s="1527">
        <f>38.356</f>
        <v>38.356000000000002</v>
      </c>
      <c r="J74" s="1527">
        <f>34.355</f>
        <v>34.354999999999997</v>
      </c>
      <c r="K74" s="1527">
        <f>13.137</f>
        <v>13.137</v>
      </c>
      <c r="L74" s="1527">
        <v>-3.46</v>
      </c>
      <c r="M74" s="1529">
        <v>35.048999999999999</v>
      </c>
      <c r="N74" s="1540"/>
      <c r="O74" s="1529">
        <f>14.51</f>
        <v>14.51</v>
      </c>
      <c r="P74" s="1529">
        <f>6.534-O74</f>
        <v>-7.976</v>
      </c>
      <c r="Q74" s="1529">
        <f>28.972-P74-O74</f>
        <v>22.438000000000002</v>
      </c>
      <c r="R74" s="1529">
        <f>77.223-Q74-P74-O74</f>
        <v>48.250999999999998</v>
      </c>
      <c r="S74" s="1529">
        <f t="shared" si="93"/>
        <v>77.222999999999999</v>
      </c>
      <c r="T74" s="1540"/>
      <c r="U74" s="1529">
        <v>15.952999999999999</v>
      </c>
      <c r="V74" s="1529">
        <f>-11.343-U74</f>
        <v>-27.295999999999999</v>
      </c>
      <c r="W74" s="1529">
        <f>38.907-V74-U74</f>
        <v>50.25</v>
      </c>
      <c r="X74" s="1529">
        <f>127.126-W74-V74-U74</f>
        <v>88.218999999999994</v>
      </c>
      <c r="Y74" s="1529">
        <f t="shared" si="94"/>
        <v>127.12599999999999</v>
      </c>
      <c r="Z74" s="1540"/>
      <c r="AA74" s="1529">
        <v>35.78</v>
      </c>
      <c r="AB74" s="1529">
        <f>6.985-AA74</f>
        <v>-28.795000000000002</v>
      </c>
      <c r="AC74" s="1529">
        <f>45.143-AB74-AA74</f>
        <v>38.158000000000001</v>
      </c>
      <c r="AD74" s="1529">
        <f>175.657-AC74-AB74-AA74</f>
        <v>130.51400000000004</v>
      </c>
      <c r="AE74" s="1529">
        <f t="shared" si="95"/>
        <v>175.65700000000004</v>
      </c>
      <c r="AF74" s="1540"/>
      <c r="AG74" s="1529">
        <f>98.039</f>
        <v>98.039000000000001</v>
      </c>
      <c r="AH74" s="1529">
        <f>19.306-AG74</f>
        <v>-78.733000000000004</v>
      </c>
      <c r="AI74" s="1529">
        <f>75.352-AH74-AG74</f>
        <v>56.046000000000006</v>
      </c>
      <c r="AJ74" s="1529">
        <f>292.323-AI74-AH74-AG74</f>
        <v>216.971</v>
      </c>
      <c r="AK74" s="1529">
        <f t="shared" si="96"/>
        <v>292.32299999999998</v>
      </c>
      <c r="AL74" s="1540"/>
      <c r="AM74" s="1529">
        <v>85.402000000000001</v>
      </c>
      <c r="AN74" s="1529">
        <f>-81.96-AM74</f>
        <v>-167.36199999999999</v>
      </c>
      <c r="AO74" s="1529">
        <f>-58.79-AN74-AM74</f>
        <v>23.17</v>
      </c>
      <c r="AP74" s="1529">
        <f>134.317-AO74-AN74-AM74</f>
        <v>193.10700000000003</v>
      </c>
      <c r="AQ74" s="1529">
        <f t="shared" si="97"/>
        <v>134.31700000000004</v>
      </c>
      <c r="AR74" s="1540"/>
      <c r="AS74" s="1529">
        <f>70.703</f>
        <v>70.703000000000003</v>
      </c>
      <c r="AT74" s="1529">
        <f>-100.294-AS74</f>
        <v>-170.99700000000001</v>
      </c>
      <c r="AU74" s="1529">
        <f>4.628-AT74-AS74</f>
        <v>104.922</v>
      </c>
      <c r="AV74" s="1529">
        <f>122.145-AU74-AT74-AS74</f>
        <v>117.51700000000002</v>
      </c>
      <c r="AW74" s="1529">
        <f t="shared" si="98"/>
        <v>122.14500000000001</v>
      </c>
      <c r="AX74" s="1540"/>
      <c r="AY74" s="1529">
        <f>137.486</f>
        <v>137.48599999999999</v>
      </c>
      <c r="AZ74" s="1529">
        <f>-64.075-AY74</f>
        <v>-201.56099999999998</v>
      </c>
      <c r="BA74" s="1529">
        <f>-74.484-AZ74-AY74</f>
        <v>-10.409000000000006</v>
      </c>
      <c r="BB74" s="1529">
        <f>105-BA74-AZ74-AY74</f>
        <v>179.48399999999998</v>
      </c>
      <c r="BC74" s="1529">
        <f t="shared" si="99"/>
        <v>104.99999999999999</v>
      </c>
      <c r="BD74" s="1540"/>
      <c r="BE74" s="1529">
        <v>149.25700000000001</v>
      </c>
      <c r="BF74" s="1529">
        <f>-127-BE74</f>
        <v>-276.25700000000001</v>
      </c>
      <c r="BG74" s="1529">
        <f>-187-BF74-BE74</f>
        <v>-60</v>
      </c>
      <c r="BH74" s="1529">
        <f>5-BG74-BF74-BE74</f>
        <v>192</v>
      </c>
      <c r="BI74" s="1529">
        <f t="shared" si="100"/>
        <v>5</v>
      </c>
      <c r="BJ74" s="1540"/>
      <c r="BK74" s="1529">
        <v>255</v>
      </c>
      <c r="BL74" s="1529">
        <f>-13-BK74</f>
        <v>-268</v>
      </c>
      <c r="BM74" s="1529">
        <f>-68-BL74-BK74</f>
        <v>-55</v>
      </c>
      <c r="BN74" s="1529">
        <f>65-BM74-BL74-BK74</f>
        <v>133</v>
      </c>
      <c r="BO74" s="1529">
        <f t="shared" si="101"/>
        <v>65</v>
      </c>
      <c r="BP74" s="1540"/>
      <c r="BQ74" s="1529">
        <v>228</v>
      </c>
      <c r="BR74" s="1529">
        <f t="shared" si="171"/>
        <v>-282</v>
      </c>
      <c r="BS74" s="1529">
        <f t="shared" si="171"/>
        <v>-14</v>
      </c>
      <c r="BT74" s="1529">
        <f t="shared" si="171"/>
        <v>159</v>
      </c>
      <c r="BU74" s="1529">
        <f>SUM(BQ74:BT74)</f>
        <v>91</v>
      </c>
      <c r="BV74" s="1540"/>
      <c r="BW74" s="1529">
        <v>278</v>
      </c>
      <c r="BX74" s="1529">
        <f t="shared" si="172"/>
        <v>-327</v>
      </c>
      <c r="BY74" s="1529">
        <f t="shared" si="172"/>
        <v>73</v>
      </c>
      <c r="BZ74" s="1529">
        <f t="shared" si="172"/>
        <v>370</v>
      </c>
      <c r="CA74" s="1529">
        <f>SUM(BW74:BZ74)</f>
        <v>394</v>
      </c>
      <c r="CB74" s="1540"/>
      <c r="CC74" s="1529">
        <f>CC23</f>
        <v>336</v>
      </c>
      <c r="CD74" s="1529">
        <f t="shared" si="173"/>
        <v>-428</v>
      </c>
      <c r="CE74" s="1529">
        <f t="shared" si="173"/>
        <v>74</v>
      </c>
      <c r="CF74" s="1529">
        <f t="shared" si="173"/>
        <v>296</v>
      </c>
      <c r="CG74" s="1529">
        <f>SUM(CC74:CF74)</f>
        <v>278</v>
      </c>
      <c r="CH74" s="1540"/>
      <c r="CI74" s="1529">
        <f>CI23</f>
        <v>373</v>
      </c>
      <c r="CJ74" s="1529">
        <f t="shared" si="174"/>
        <v>-569</v>
      </c>
      <c r="CK74" s="1529">
        <f t="shared" si="174"/>
        <v>86</v>
      </c>
      <c r="CL74" s="1529">
        <f t="shared" si="174"/>
        <v>497</v>
      </c>
      <c r="CM74" s="1536">
        <f>SUM(CI74:CL74)</f>
        <v>387</v>
      </c>
      <c r="CN74" s="1540"/>
      <c r="CO74" s="1529">
        <f>CO23</f>
        <v>756</v>
      </c>
      <c r="CP74" s="1529">
        <f t="shared" si="175"/>
        <v>-686</v>
      </c>
      <c r="CQ74" s="1529">
        <f t="shared" si="175"/>
        <v>18</v>
      </c>
      <c r="CR74" s="1529">
        <f t="shared" si="175"/>
        <v>564</v>
      </c>
      <c r="CS74" s="1536">
        <f>SUM(CO74:CR74)</f>
        <v>652</v>
      </c>
      <c r="CT74" s="1540"/>
      <c r="CU74" s="1529">
        <f>CU23</f>
        <v>651</v>
      </c>
      <c r="CV74" s="1529">
        <f t="shared" si="176"/>
        <v>-858</v>
      </c>
      <c r="CW74" s="1529">
        <f t="shared" si="176"/>
        <v>153</v>
      </c>
      <c r="CX74" s="1529">
        <f t="shared" si="176"/>
        <v>487</v>
      </c>
      <c r="CY74" s="1536">
        <f>SUM(CU74:CX74)</f>
        <v>433</v>
      </c>
      <c r="CZ74" s="1540"/>
      <c r="DA74" s="1529">
        <f t="shared" si="126"/>
        <v>582</v>
      </c>
      <c r="DB74" s="1529">
        <f t="shared" si="177"/>
        <v>-1030</v>
      </c>
      <c r="DC74" s="1529">
        <f t="shared" si="177"/>
        <v>312</v>
      </c>
      <c r="DD74" s="1529">
        <f t="shared" si="177"/>
        <v>625</v>
      </c>
      <c r="DE74" s="1536">
        <f t="shared" si="128"/>
        <v>489</v>
      </c>
      <c r="DF74" s="1540"/>
      <c r="DG74" s="1529">
        <f t="shared" si="129"/>
        <v>734</v>
      </c>
      <c r="DH74" s="1529">
        <f t="shared" si="178"/>
        <v>-1280</v>
      </c>
      <c r="DI74" s="1529">
        <f t="shared" si="178"/>
        <v>-18</v>
      </c>
      <c r="DJ74" s="1529">
        <f t="shared" si="178"/>
        <v>795</v>
      </c>
      <c r="DK74" s="1536">
        <f t="shared" si="131"/>
        <v>231</v>
      </c>
      <c r="DL74" s="1540"/>
      <c r="DM74" s="1529">
        <f t="shared" si="132"/>
        <v>1004</v>
      </c>
      <c r="DN74" s="1529">
        <f t="shared" si="179"/>
        <v>-1548</v>
      </c>
      <c r="DO74" s="1529">
        <f t="shared" si="179"/>
        <v>8</v>
      </c>
      <c r="DP74" s="1529">
        <f t="shared" si="179"/>
        <v>1028</v>
      </c>
      <c r="DQ74" s="1536">
        <f t="shared" si="134"/>
        <v>492</v>
      </c>
      <c r="DR74" s="1540"/>
      <c r="DS74" s="1529">
        <f t="shared" si="135"/>
        <v>1243</v>
      </c>
      <c r="DT74" s="1529">
        <f>DT23-DS23</f>
        <v>-1842</v>
      </c>
      <c r="DU74" s="1529">
        <f t="shared" si="137"/>
        <v>-254</v>
      </c>
      <c r="DV74" s="1529">
        <f t="shared" si="138"/>
        <v>1001</v>
      </c>
      <c r="DW74" s="1536">
        <f t="shared" si="139"/>
        <v>148</v>
      </c>
      <c r="DX74" s="1540"/>
      <c r="DY74" s="1529">
        <f t="shared" si="140"/>
        <v>1442</v>
      </c>
      <c r="DZ74" s="1529">
        <f t="shared" si="141"/>
        <v>-1879</v>
      </c>
      <c r="EA74" s="1529">
        <f t="shared" si="142"/>
        <v>-85</v>
      </c>
      <c r="EB74" s="1529">
        <f t="shared" si="143"/>
        <v>694</v>
      </c>
      <c r="EC74" s="1536">
        <f t="shared" si="144"/>
        <v>172</v>
      </c>
      <c r="ED74" s="1540"/>
      <c r="EE74" s="1529">
        <f t="shared" si="145"/>
        <v>1816</v>
      </c>
      <c r="EF74" s="1529">
        <f t="shared" si="146"/>
        <v>-2046</v>
      </c>
      <c r="EG74" s="1529">
        <f t="shared" si="147"/>
        <v>-66</v>
      </c>
      <c r="EH74" s="1529">
        <f t="shared" si="148"/>
        <v>951</v>
      </c>
      <c r="EI74" s="1536">
        <f t="shared" si="149"/>
        <v>655</v>
      </c>
      <c r="EJ74" s="1540"/>
      <c r="EK74" s="1529">
        <f t="shared" si="150"/>
        <v>2071</v>
      </c>
      <c r="EL74" s="1529">
        <f t="shared" si="151"/>
        <v>-2058</v>
      </c>
      <c r="EM74" s="1529">
        <f t="shared" si="152"/>
        <v>11</v>
      </c>
      <c r="EN74" s="1529">
        <f t="shared" si="152"/>
        <v>652</v>
      </c>
      <c r="EO74" s="1536">
        <f t="shared" si="153"/>
        <v>676</v>
      </c>
      <c r="EP74" s="1540"/>
      <c r="EQ74" s="1529">
        <f t="shared" si="154"/>
        <v>1761</v>
      </c>
      <c r="ER74" s="1529">
        <f t="shared" si="155"/>
        <v>-1969</v>
      </c>
      <c r="ES74" s="1529">
        <f t="shared" si="155"/>
        <v>-180</v>
      </c>
      <c r="ET74" s="1529">
        <f t="shared" si="155"/>
        <v>923</v>
      </c>
      <c r="EU74" s="1536">
        <f t="shared" si="156"/>
        <v>535</v>
      </c>
      <c r="EV74" s="1540"/>
      <c r="EW74" s="1529">
        <f t="shared" si="157"/>
        <v>1785</v>
      </c>
      <c r="EX74" s="1529">
        <f t="shared" si="158"/>
        <v>-2129</v>
      </c>
      <c r="EY74" s="1529">
        <f t="shared" si="158"/>
        <v>-169</v>
      </c>
      <c r="EZ74" s="1529">
        <f t="shared" si="159"/>
        <v>1016.3025865447416</v>
      </c>
      <c r="FA74" s="1536">
        <f t="shared" si="160"/>
        <v>503.30258654474164</v>
      </c>
      <c r="FB74" s="1540"/>
      <c r="FC74" s="1529">
        <f t="shared" si="161"/>
        <v>2379.2874134552585</v>
      </c>
      <c r="FD74" s="1529">
        <f t="shared" si="162"/>
        <v>-2434.2299999999996</v>
      </c>
      <c r="FE74" s="1529">
        <f t="shared" si="163"/>
        <v>-295.16549539794323</v>
      </c>
      <c r="FF74" s="1529">
        <f t="shared" si="164"/>
        <v>1391.8934963153642</v>
      </c>
      <c r="FG74" s="1536">
        <f t="shared" si="165"/>
        <v>1041.78541437268</v>
      </c>
      <c r="FH74" s="1540"/>
      <c r="FI74" s="1529">
        <f t="shared" si="166"/>
        <v>2591.3468990825804</v>
      </c>
      <c r="FJ74" s="1529">
        <f t="shared" si="167"/>
        <v>-2701.9953000000005</v>
      </c>
      <c r="FK74" s="1529">
        <f t="shared" si="168"/>
        <v>-559.59449708578177</v>
      </c>
      <c r="FL74" s="1529">
        <f t="shared" si="169"/>
        <v>2033.5827521314368</v>
      </c>
      <c r="FM74" s="1536">
        <f t="shared" si="170"/>
        <v>1363.3398541282349</v>
      </c>
      <c r="FN74" s="1539"/>
      <c r="FO74" s="1539"/>
      <c r="FP74" s="1524"/>
      <c r="FQ74" s="1524"/>
      <c r="FR74" s="1524"/>
      <c r="FS74"/>
      <c r="FT74"/>
      <c r="FU74"/>
      <c r="FV74"/>
      <c r="FW74"/>
      <c r="FX74"/>
      <c r="FY74" s="1524"/>
      <c r="FZ74" s="1522"/>
      <c r="GA74" s="1522"/>
      <c r="GB74" s="1522"/>
      <c r="GC74" s="1522"/>
      <c r="GD74" s="1522"/>
      <c r="GE74" s="1522"/>
      <c r="GF74" s="1522"/>
      <c r="GG74" s="1522"/>
      <c r="GH74" s="1522"/>
      <c r="GI74" s="1522"/>
      <c r="GJ74" s="1522"/>
      <c r="GK74" s="1522"/>
      <c r="GL74" s="1522"/>
      <c r="GM74" s="1522"/>
      <c r="GN74" s="1522"/>
      <c r="GO74" s="1522"/>
      <c r="GP74" s="1522"/>
      <c r="GQ74" s="1522"/>
      <c r="GR74" s="1522"/>
      <c r="GS74" s="1522"/>
      <c r="GT74" s="1522"/>
      <c r="GU74" s="1522"/>
      <c r="GV74" s="1522"/>
      <c r="GW74" s="1522"/>
      <c r="GX74" s="1522"/>
      <c r="GY74" s="1522"/>
      <c r="GZ74" s="1522"/>
      <c r="HA74" s="1522"/>
      <c r="HB74" s="1522"/>
      <c r="HC74" s="1522"/>
      <c r="HD74" s="1522"/>
      <c r="HE74" s="1522"/>
      <c r="HF74" s="1522"/>
      <c r="HG74" s="1522"/>
      <c r="HH74" s="1522"/>
      <c r="HI74" s="1522"/>
      <c r="HJ74" s="1522"/>
      <c r="HK74" s="1522"/>
      <c r="HL74" s="1522"/>
      <c r="HM74" s="1522"/>
      <c r="HN74" s="1522"/>
      <c r="HO74" s="1522"/>
      <c r="HP74" s="1522"/>
      <c r="HQ74" s="1522"/>
      <c r="HR74" s="1522"/>
      <c r="HS74" s="1522"/>
      <c r="HT74" s="1522"/>
      <c r="HU74" s="1522"/>
      <c r="HV74" s="1522"/>
      <c r="HW74" s="1522"/>
      <c r="HX74" s="1522"/>
      <c r="HY74" s="1522"/>
      <c r="HZ74" s="1522"/>
      <c r="IA74" s="1522"/>
      <c r="IB74" s="1522"/>
      <c r="IC74" s="1522"/>
      <c r="ID74" s="1522"/>
      <c r="IE74" s="1522"/>
      <c r="IF74" s="1522"/>
      <c r="IG74" s="1522"/>
      <c r="IH74" s="1522"/>
      <c r="II74" s="1522"/>
      <c r="IJ74" s="1522"/>
      <c r="IK74" s="1522"/>
      <c r="IL74" s="1522"/>
      <c r="IM74" s="1522"/>
      <c r="IN74" s="1522"/>
      <c r="IO74" s="1522"/>
      <c r="IP74" s="1522"/>
      <c r="IQ74" s="1522"/>
      <c r="IR74" s="1522"/>
      <c r="IS74" s="1522"/>
      <c r="IT74" s="1522"/>
      <c r="IU74" s="1522"/>
      <c r="IV74" s="1522"/>
      <c r="IW74" s="1522"/>
      <c r="IX74" s="1522"/>
      <c r="IY74" s="1522"/>
      <c r="IZ74" s="1522"/>
      <c r="JA74" s="1522"/>
      <c r="JB74" s="1522"/>
      <c r="JC74" s="1522"/>
      <c r="JD74" s="1522"/>
      <c r="JE74" s="1522"/>
      <c r="JF74" s="1522"/>
      <c r="JG74" s="1522"/>
      <c r="JH74" s="1522"/>
      <c r="JI74" s="1522"/>
      <c r="JJ74" s="1522"/>
      <c r="JK74" s="1522"/>
      <c r="JL74" s="1522"/>
      <c r="JM74" s="1522"/>
      <c r="JN74" s="1522"/>
    </row>
    <row r="75" spans="1:274" s="1523" customFormat="1" ht="10.5" customHeight="1" x14ac:dyDescent="0.2">
      <c r="A75" s="1529" t="s">
        <v>885</v>
      </c>
      <c r="B75" s="1529"/>
      <c r="C75" s="1527">
        <v>0</v>
      </c>
      <c r="D75" s="1527">
        <v>0</v>
      </c>
      <c r="E75" s="1527">
        <v>0</v>
      </c>
      <c r="F75" s="1527">
        <f>9.236</f>
        <v>9.2360000000000007</v>
      </c>
      <c r="G75" s="1527">
        <f>21.42</f>
        <v>21.42</v>
      </c>
      <c r="H75" s="1527">
        <f>38.057+1.938</f>
        <v>39.995000000000005</v>
      </c>
      <c r="I75" s="1527">
        <f>42.166-0.766</f>
        <v>41.4</v>
      </c>
      <c r="J75" s="1527">
        <f>6.416+0.5</f>
        <v>6.9160000000000004</v>
      </c>
      <c r="K75" s="1527">
        <f>37.489-0.807</f>
        <v>36.681999999999995</v>
      </c>
      <c r="L75" s="1527">
        <f>37.145+1.511</f>
        <v>38.656000000000006</v>
      </c>
      <c r="M75" s="1529">
        <f>65.632+2.103</f>
        <v>67.734999999999999</v>
      </c>
      <c r="N75" s="1540"/>
      <c r="O75" s="1529">
        <f>-24.435-3.192</f>
        <v>-27.626999999999999</v>
      </c>
      <c r="P75" s="1529">
        <f>10.125-3.057-O75</f>
        <v>34.695</v>
      </c>
      <c r="Q75" s="1529">
        <f>34.05-3.334-P75-O75</f>
        <v>23.647999999999996</v>
      </c>
      <c r="R75" s="1529">
        <f>181.638-1.778-Q75-P75-O75</f>
        <v>149.14400000000003</v>
      </c>
      <c r="S75" s="1529">
        <f t="shared" si="93"/>
        <v>179.86000000000004</v>
      </c>
      <c r="T75" s="1540"/>
      <c r="U75" s="1529">
        <f>-102.46-0.026</f>
        <v>-102.48599999999999</v>
      </c>
      <c r="V75" s="1529">
        <f>-30.365+1.076-U75</f>
        <v>73.196999999999989</v>
      </c>
      <c r="W75" s="1529">
        <f>-3.385+1.441-V75-U75</f>
        <v>27.344999999999999</v>
      </c>
      <c r="X75" s="1529">
        <f>210.984+11.365-W75-V75-U75</f>
        <v>224.29300000000001</v>
      </c>
      <c r="Y75" s="1529">
        <f t="shared" si="94"/>
        <v>222.34899999999999</v>
      </c>
      <c r="Z75" s="1540"/>
      <c r="AA75" s="1529">
        <f>-133.122+0.286</f>
        <v>-132.83600000000001</v>
      </c>
      <c r="AB75" s="1529">
        <f>-71.868+1.085-AA75</f>
        <v>62.053000000000011</v>
      </c>
      <c r="AC75" s="1529">
        <f>11.148+2.089-AB75-AA75</f>
        <v>84.02000000000001</v>
      </c>
      <c r="AD75" s="1529">
        <f>275.534+2.287-AC75-AB75-AA75</f>
        <v>264.58399999999995</v>
      </c>
      <c r="AE75" s="1529">
        <f t="shared" si="95"/>
        <v>277.82099999999997</v>
      </c>
      <c r="AF75" s="1540"/>
      <c r="AG75" s="1529">
        <f>-238.177+5.485</f>
        <v>-232.69199999999998</v>
      </c>
      <c r="AH75" s="1529">
        <f>-153.278+33.135-AG75</f>
        <v>112.54899999999998</v>
      </c>
      <c r="AI75" s="1529">
        <f>-86.981-AH75-AG75+59.219+32.347</f>
        <v>124.72800000000001</v>
      </c>
      <c r="AJ75" s="1529">
        <f>285.493-AI75-AH75-AG75+33.055</f>
        <v>313.96300000000002</v>
      </c>
      <c r="AK75" s="1529">
        <f t="shared" si="96"/>
        <v>318.548</v>
      </c>
      <c r="AL75" s="1540"/>
      <c r="AM75" s="1529">
        <f>-263.892-1.311</f>
        <v>-265.20299999999997</v>
      </c>
      <c r="AN75" s="1529">
        <f>1.103-AM75</f>
        <v>266.30599999999998</v>
      </c>
      <c r="AO75" s="1529">
        <f>-99.328+46.087+0.35-AN75-AM75</f>
        <v>-53.994000000000028</v>
      </c>
      <c r="AP75" s="1529">
        <f>154.465+136.703+3.993-AO75-AN75-AM75</f>
        <v>348.05200000000002</v>
      </c>
      <c r="AQ75" s="1529">
        <f t="shared" si="97"/>
        <v>295.161</v>
      </c>
      <c r="AR75" s="1540"/>
      <c r="AS75" s="1529">
        <f>-313.563-6.879-11.155</f>
        <v>-331.59699999999998</v>
      </c>
      <c r="AT75" s="1529">
        <f>3.635-192.466-32.881-4.427-AS75</f>
        <v>105.45799999999997</v>
      </c>
      <c r="AU75" s="1529">
        <f>-197.093+57.99-5.403-AT75-AS75</f>
        <v>81.633000000000038</v>
      </c>
      <c r="AV75" s="1529">
        <f>29.758+81.167+108.202-AU75-AT75-AS75</f>
        <v>363.63299999999998</v>
      </c>
      <c r="AW75" s="1529">
        <f t="shared" si="98"/>
        <v>219.12700000000001</v>
      </c>
      <c r="AX75" s="1540"/>
      <c r="AY75" s="1529">
        <f>56.44-10.036-0.744</f>
        <v>45.66</v>
      </c>
      <c r="AZ75" s="1529">
        <f>-199.093-28.085+5.251-AY75</f>
        <v>-267.58699999999999</v>
      </c>
      <c r="BA75" s="1529">
        <f>-180.899+8.891+26.566-AZ75-AY75</f>
        <v>76.484999999999985</v>
      </c>
      <c r="BB75" s="1529">
        <f>22-BA75-AZ75-AY75</f>
        <v>167.44200000000001</v>
      </c>
      <c r="BC75" s="1529">
        <f t="shared" si="99"/>
        <v>22</v>
      </c>
      <c r="BD75" s="1540"/>
      <c r="BE75" s="1529">
        <v>-11.198</v>
      </c>
      <c r="BF75" s="1529">
        <f>7-BE75</f>
        <v>18.198</v>
      </c>
      <c r="BG75" s="1529">
        <f>3-BF75-BE75</f>
        <v>-4</v>
      </c>
      <c r="BH75" s="1529">
        <f>14-BG75-BF75-BE75</f>
        <v>11</v>
      </c>
      <c r="BI75" s="1529">
        <f t="shared" si="100"/>
        <v>14</v>
      </c>
      <c r="BJ75" s="1540"/>
      <c r="BK75" s="1529">
        <v>-12</v>
      </c>
      <c r="BL75" s="1529">
        <f>-8-BK75</f>
        <v>4</v>
      </c>
      <c r="BM75" s="1529">
        <f>-13-BL75-BK75</f>
        <v>-5</v>
      </c>
      <c r="BN75" s="1529">
        <f>4-BM75-BL75-BK75</f>
        <v>17</v>
      </c>
      <c r="BO75" s="1529">
        <f t="shared" si="101"/>
        <v>4</v>
      </c>
      <c r="BP75" s="1540"/>
      <c r="BQ75" s="1529">
        <v>-16</v>
      </c>
      <c r="BR75" s="1529">
        <f t="shared" si="171"/>
        <v>161</v>
      </c>
      <c r="BS75" s="1529">
        <f t="shared" si="171"/>
        <v>-235</v>
      </c>
      <c r="BT75" s="1529">
        <f t="shared" si="171"/>
        <v>327</v>
      </c>
      <c r="BU75" s="1529">
        <f>SUM(BQ75:BT75)</f>
        <v>237</v>
      </c>
      <c r="BV75" s="1540"/>
      <c r="BW75" s="1529">
        <f>25+9</f>
        <v>34</v>
      </c>
      <c r="BX75" s="1529">
        <f t="shared" si="172"/>
        <v>9</v>
      </c>
      <c r="BY75" s="1529">
        <f t="shared" si="172"/>
        <v>-60</v>
      </c>
      <c r="BZ75" s="1529">
        <f t="shared" si="172"/>
        <v>192</v>
      </c>
      <c r="CA75" s="1529">
        <f>SUM(BW75:BZ75)</f>
        <v>175</v>
      </c>
      <c r="CB75" s="1540"/>
      <c r="CC75" s="1529">
        <f>CC24</f>
        <v>-172</v>
      </c>
      <c r="CD75" s="1529">
        <f t="shared" si="173"/>
        <v>-47</v>
      </c>
      <c r="CE75" s="1529">
        <f t="shared" si="173"/>
        <v>18</v>
      </c>
      <c r="CF75" s="1529">
        <f t="shared" si="173"/>
        <v>265</v>
      </c>
      <c r="CG75" s="1529">
        <f>SUM(CC75:CF75)</f>
        <v>64</v>
      </c>
      <c r="CH75" s="1540"/>
      <c r="CI75" s="1529">
        <f>CI24</f>
        <v>-6</v>
      </c>
      <c r="CJ75" s="1529">
        <f t="shared" si="174"/>
        <v>-156</v>
      </c>
      <c r="CK75" s="1529">
        <f t="shared" si="174"/>
        <v>141</v>
      </c>
      <c r="CL75" s="1529">
        <f t="shared" si="174"/>
        <v>188</v>
      </c>
      <c r="CM75" s="1536">
        <f>SUM(CI75:CL75)</f>
        <v>167</v>
      </c>
      <c r="CN75" s="1540"/>
      <c r="CO75" s="1529">
        <f>CO24</f>
        <v>-282</v>
      </c>
      <c r="CP75" s="1529">
        <f>CP24-CO24</f>
        <v>41</v>
      </c>
      <c r="CQ75" s="1529">
        <f>CQ24-CP24</f>
        <v>-32</v>
      </c>
      <c r="CR75" s="1529">
        <f>CR24-CQ24</f>
        <v>641</v>
      </c>
      <c r="CS75" s="1536">
        <f>SUM(CO75:CR75)</f>
        <v>368</v>
      </c>
      <c r="CT75" s="1540"/>
      <c r="CU75" s="1529">
        <f>CU24</f>
        <v>-361</v>
      </c>
      <c r="CV75" s="1529">
        <f t="shared" si="176"/>
        <v>88</v>
      </c>
      <c r="CW75" s="1529">
        <f t="shared" si="176"/>
        <v>222</v>
      </c>
      <c r="CX75" s="1529">
        <f t="shared" si="176"/>
        <v>193</v>
      </c>
      <c r="CY75" s="1536">
        <f>SUM(CU75:CX75)</f>
        <v>142</v>
      </c>
      <c r="CZ75" s="1540"/>
      <c r="DA75" s="1529">
        <f t="shared" si="126"/>
        <v>-9</v>
      </c>
      <c r="DB75" s="1529">
        <f t="shared" si="177"/>
        <v>68</v>
      </c>
      <c r="DC75" s="1529">
        <f t="shared" si="177"/>
        <v>-328</v>
      </c>
      <c r="DD75" s="1529">
        <f t="shared" si="177"/>
        <v>190</v>
      </c>
      <c r="DE75" s="1536">
        <f t="shared" si="128"/>
        <v>-79</v>
      </c>
      <c r="DF75" s="1540"/>
      <c r="DG75" s="1529">
        <f t="shared" si="129"/>
        <v>-529</v>
      </c>
      <c r="DH75" s="1529">
        <f t="shared" si="178"/>
        <v>-84</v>
      </c>
      <c r="DI75" s="1529">
        <f t="shared" si="178"/>
        <v>22</v>
      </c>
      <c r="DJ75" s="1529">
        <f t="shared" si="178"/>
        <v>495</v>
      </c>
      <c r="DK75" s="1536">
        <f t="shared" si="131"/>
        <v>-96</v>
      </c>
      <c r="DL75" s="1540"/>
      <c r="DM75" s="1529">
        <f t="shared" si="132"/>
        <v>159</v>
      </c>
      <c r="DN75" s="1529">
        <f t="shared" si="179"/>
        <v>25</v>
      </c>
      <c r="DO75" s="1529">
        <f>DO24-DN24</f>
        <v>75</v>
      </c>
      <c r="DP75" s="1529">
        <f t="shared" si="179"/>
        <v>-205</v>
      </c>
      <c r="DQ75" s="1536">
        <f t="shared" si="134"/>
        <v>54</v>
      </c>
      <c r="DR75" s="1540"/>
      <c r="DS75" s="1529">
        <f t="shared" si="135"/>
        <v>-329</v>
      </c>
      <c r="DT75" s="1529">
        <f t="shared" si="136"/>
        <v>-230</v>
      </c>
      <c r="DU75" s="1529">
        <f t="shared" si="137"/>
        <v>-250</v>
      </c>
      <c r="DV75" s="1529">
        <f t="shared" si="138"/>
        <v>844</v>
      </c>
      <c r="DW75" s="1536">
        <f t="shared" si="139"/>
        <v>35</v>
      </c>
      <c r="DX75" s="1540"/>
      <c r="DY75" s="1529">
        <f t="shared" si="140"/>
        <v>-313</v>
      </c>
      <c r="DZ75" s="1529">
        <f t="shared" si="141"/>
        <v>-30</v>
      </c>
      <c r="EA75" s="1529">
        <f t="shared" si="142"/>
        <v>-114</v>
      </c>
      <c r="EB75" s="1529">
        <f t="shared" si="143"/>
        <v>137</v>
      </c>
      <c r="EC75" s="1536">
        <f t="shared" si="144"/>
        <v>-320</v>
      </c>
      <c r="ED75" s="1540"/>
      <c r="EE75" s="1529">
        <f t="shared" si="145"/>
        <v>80</v>
      </c>
      <c r="EF75" s="1529">
        <f t="shared" si="146"/>
        <v>111</v>
      </c>
      <c r="EG75" s="1529">
        <f t="shared" si="147"/>
        <v>-560</v>
      </c>
      <c r="EH75" s="1529">
        <f t="shared" si="148"/>
        <v>359</v>
      </c>
      <c r="EI75" s="1536">
        <f t="shared" si="149"/>
        <v>-10</v>
      </c>
      <c r="EJ75" s="1540"/>
      <c r="EK75" s="1529">
        <f t="shared" si="150"/>
        <v>-204</v>
      </c>
      <c r="EL75" s="1529">
        <f t="shared" si="151"/>
        <v>-163</v>
      </c>
      <c r="EM75" s="1529">
        <f t="shared" si="152"/>
        <v>255</v>
      </c>
      <c r="EN75" s="1529">
        <f t="shared" si="152"/>
        <v>114</v>
      </c>
      <c r="EO75" s="1536">
        <f t="shared" si="153"/>
        <v>2</v>
      </c>
      <c r="EP75" s="1540"/>
      <c r="EQ75" s="1529">
        <f t="shared" si="154"/>
        <v>-309</v>
      </c>
      <c r="ER75" s="1529">
        <f t="shared" si="155"/>
        <v>69</v>
      </c>
      <c r="ES75" s="1529">
        <f t="shared" si="155"/>
        <v>-90</v>
      </c>
      <c r="ET75" s="1529">
        <f t="shared" si="155"/>
        <v>448</v>
      </c>
      <c r="EU75" s="1536">
        <f t="shared" si="156"/>
        <v>118</v>
      </c>
      <c r="EV75" s="1540"/>
      <c r="EW75" s="1529">
        <f t="shared" si="157"/>
        <v>32</v>
      </c>
      <c r="EX75" s="1529">
        <f t="shared" si="158"/>
        <v>-10</v>
      </c>
      <c r="EY75" s="1529">
        <f>EY24-EX24</f>
        <v>7422</v>
      </c>
      <c r="EZ75" s="1529">
        <f t="shared" si="159"/>
        <v>-191.51088991646975</v>
      </c>
      <c r="FA75" s="1536">
        <f t="shared" si="160"/>
        <v>7252.4891100835302</v>
      </c>
      <c r="FB75" s="1540"/>
      <c r="FC75" s="1529">
        <f t="shared" si="161"/>
        <v>-44.552993527207946</v>
      </c>
      <c r="FD75" s="1529">
        <f t="shared" si="162"/>
        <v>-28.032976472548398</v>
      </c>
      <c r="FE75" s="1529">
        <f t="shared" si="163"/>
        <v>-23.286360242645969</v>
      </c>
      <c r="FF75" s="1529">
        <f t="shared" si="164"/>
        <v>-52.849060442909831</v>
      </c>
      <c r="FG75" s="1536">
        <f t="shared" si="165"/>
        <v>-148.72139068531214</v>
      </c>
      <c r="FH75" s="1540"/>
      <c r="FI75" s="1529">
        <f t="shared" si="166"/>
        <v>-58.15621345139698</v>
      </c>
      <c r="FJ75" s="1529">
        <f t="shared" si="167"/>
        <v>-32.814085889967828</v>
      </c>
      <c r="FK75" s="1529">
        <f t="shared" si="168"/>
        <v>-8.9407463994575664</v>
      </c>
      <c r="FL75" s="1529">
        <f t="shared" si="169"/>
        <v>6.9419283603820077</v>
      </c>
      <c r="FM75" s="1536">
        <f t="shared" si="170"/>
        <v>-92.969117380440366</v>
      </c>
      <c r="FN75" s="1539"/>
      <c r="FO75" s="1539"/>
      <c r="FP75" s="1524"/>
      <c r="FQ75" s="1524"/>
      <c r="FR75" s="1524"/>
      <c r="FS75"/>
      <c r="FT75"/>
      <c r="FU75"/>
      <c r="FV75"/>
      <c r="FW75"/>
      <c r="FX75"/>
      <c r="FY75" s="1524"/>
      <c r="FZ75" s="1522"/>
      <c r="GA75" s="1522"/>
      <c r="GB75" s="1522"/>
      <c r="GC75" s="1522"/>
      <c r="GD75" s="1522"/>
      <c r="GE75" s="1522"/>
      <c r="GF75" s="1522"/>
      <c r="GG75" s="1522"/>
      <c r="GH75" s="1522"/>
      <c r="GI75" s="1522"/>
      <c r="GJ75" s="1522"/>
      <c r="GK75" s="1522"/>
      <c r="GL75" s="1522"/>
      <c r="GM75" s="1522"/>
      <c r="GN75" s="1522"/>
      <c r="GO75" s="1522"/>
      <c r="GP75" s="1522"/>
      <c r="GQ75" s="1522"/>
      <c r="GR75" s="1522"/>
      <c r="GS75" s="1522"/>
      <c r="GT75" s="1522"/>
      <c r="GU75" s="1522"/>
      <c r="GV75" s="1522"/>
      <c r="GW75" s="1522"/>
      <c r="GX75" s="1522"/>
      <c r="GY75" s="1522"/>
      <c r="GZ75" s="1522"/>
      <c r="HA75" s="1522"/>
      <c r="HB75" s="1522"/>
      <c r="HC75" s="1522"/>
      <c r="HD75" s="1522"/>
      <c r="HE75" s="1522"/>
      <c r="HF75" s="1522"/>
      <c r="HG75" s="1522"/>
      <c r="HH75" s="1522"/>
      <c r="HI75" s="1522"/>
      <c r="HJ75" s="1522"/>
      <c r="HK75" s="1522"/>
      <c r="HL75" s="1522"/>
      <c r="HM75" s="1522"/>
      <c r="HN75" s="1522"/>
      <c r="HO75" s="1522"/>
      <c r="HP75" s="1522"/>
      <c r="HQ75" s="1522"/>
      <c r="HR75" s="1522"/>
      <c r="HS75" s="1522"/>
      <c r="HT75" s="1522"/>
      <c r="HU75" s="1522"/>
      <c r="HV75" s="1522"/>
      <c r="HW75" s="1522"/>
      <c r="HX75" s="1522"/>
      <c r="HY75" s="1522"/>
      <c r="HZ75" s="1522"/>
      <c r="IA75" s="1522"/>
      <c r="IB75" s="1522"/>
      <c r="IC75" s="1522"/>
      <c r="ID75" s="1522"/>
      <c r="IE75" s="1522"/>
      <c r="IF75" s="1522"/>
      <c r="IG75" s="1522"/>
      <c r="IH75" s="1522"/>
      <c r="II75" s="1522"/>
      <c r="IJ75" s="1522"/>
      <c r="IK75" s="1522"/>
      <c r="IL75" s="1522"/>
      <c r="IM75" s="1522"/>
      <c r="IN75" s="1522"/>
      <c r="IO75" s="1522"/>
      <c r="IP75" s="1522"/>
      <c r="IQ75" s="1522"/>
      <c r="IR75" s="1522"/>
      <c r="IS75" s="1522"/>
      <c r="IT75" s="1522"/>
      <c r="IU75" s="1522"/>
      <c r="IV75" s="1522"/>
      <c r="IW75" s="1522"/>
      <c r="IX75" s="1522"/>
      <c r="IY75" s="1522"/>
      <c r="IZ75" s="1522"/>
      <c r="JA75" s="1522"/>
      <c r="JB75" s="1522"/>
      <c r="JC75" s="1522"/>
      <c r="JD75" s="1522"/>
      <c r="JE75" s="1522"/>
      <c r="JF75" s="1522"/>
      <c r="JG75" s="1522"/>
      <c r="JH75" s="1522"/>
      <c r="JI75" s="1522"/>
      <c r="JJ75" s="1522"/>
      <c r="JK75" s="1522"/>
      <c r="JL75" s="1522"/>
      <c r="JM75" s="1522"/>
      <c r="JN75" s="1522"/>
    </row>
    <row r="76" spans="1:274" s="24" customFormat="1" ht="10.5" customHeight="1" x14ac:dyDescent="0.2">
      <c r="A76" s="1358" t="s">
        <v>104</v>
      </c>
      <c r="B76" s="1360"/>
      <c r="C76" s="1360">
        <f>SUM(C60:C75)</f>
        <v>0</v>
      </c>
      <c r="D76" s="1360">
        <f>SUM(D60:D75)</f>
        <v>0</v>
      </c>
      <c r="E76" s="1360">
        <v>4.4029999999999996</v>
      </c>
      <c r="F76" s="1360">
        <f t="shared" ref="F76:M76" si="180">SUM(F60:F75)</f>
        <v>6.4730000000000008</v>
      </c>
      <c r="G76" s="1360">
        <f t="shared" si="180"/>
        <v>40.528999999999996</v>
      </c>
      <c r="H76" s="1360">
        <f t="shared" si="180"/>
        <v>26.240000000000009</v>
      </c>
      <c r="I76" s="1360">
        <f t="shared" si="180"/>
        <v>44.005999999999972</v>
      </c>
      <c r="J76" s="1360">
        <f t="shared" si="180"/>
        <v>89.377999999999986</v>
      </c>
      <c r="K76" s="1360">
        <f t="shared" si="180"/>
        <v>242.32</v>
      </c>
      <c r="L76" s="1360">
        <f t="shared" si="180"/>
        <v>317.483</v>
      </c>
      <c r="M76" s="1360">
        <f t="shared" si="180"/>
        <v>443.45099999999996</v>
      </c>
      <c r="N76" s="1420"/>
      <c r="O76" s="1360">
        <f>SUM(O60:O75)</f>
        <v>101.80199999999998</v>
      </c>
      <c r="P76" s="1360">
        <f>SUM(P60:P75)</f>
        <v>64.65000000000002</v>
      </c>
      <c r="Q76" s="1360">
        <f>SUM(Q60:Q75)</f>
        <v>151.04400000000004</v>
      </c>
      <c r="R76" s="1360">
        <f>SUM(R60:R75)</f>
        <v>251.18799999999999</v>
      </c>
      <c r="S76" s="1360">
        <f t="shared" si="93"/>
        <v>568.68399999999997</v>
      </c>
      <c r="T76" s="1421"/>
      <c r="U76" s="1360">
        <f>SUM(U60:U75)</f>
        <v>162.67699999999996</v>
      </c>
      <c r="V76" s="1360">
        <f>SUM(V60:V75)</f>
        <v>80.119999999999962</v>
      </c>
      <c r="W76" s="1360">
        <f>SUM(W60:W75)</f>
        <v>281.60300000000007</v>
      </c>
      <c r="X76" s="1360">
        <f>SUM(X60:X75)</f>
        <v>364.75700000000006</v>
      </c>
      <c r="Y76" s="1360">
        <f t="shared" si="94"/>
        <v>889.15700000000004</v>
      </c>
      <c r="Z76" s="1421"/>
      <c r="AA76" s="1360">
        <f>SUM(AA60:AA75)</f>
        <v>234.09899999999993</v>
      </c>
      <c r="AB76" s="1360">
        <f>SUM(AB60:AB75)</f>
        <v>14.643999999999998</v>
      </c>
      <c r="AC76" s="1360">
        <f>SUM(AC60:AC75)</f>
        <v>254.41300000000004</v>
      </c>
      <c r="AD76" s="1360">
        <f>SUM(AD60:AD75)</f>
        <v>527.34799999999996</v>
      </c>
      <c r="AE76" s="1360">
        <f t="shared" si="95"/>
        <v>1030.5039999999999</v>
      </c>
      <c r="AF76" s="1421"/>
      <c r="AG76" s="1360">
        <f>SUM(AG60:AG75)</f>
        <v>446.83899999999994</v>
      </c>
      <c r="AH76" s="1360">
        <f>SUM(AH60:AH75)</f>
        <v>170.97699999999989</v>
      </c>
      <c r="AI76" s="1360">
        <f>SUM(AI60:AI75)</f>
        <v>361.12100000000015</v>
      </c>
      <c r="AJ76" s="1360">
        <f>SUM(AJ60:AJ75)</f>
        <v>635.64199999999994</v>
      </c>
      <c r="AK76" s="1360">
        <f t="shared" si="96"/>
        <v>1614.5789999999997</v>
      </c>
      <c r="AL76" s="1421"/>
      <c r="AM76" s="1360">
        <f>SUM(AM60:AM75)</f>
        <v>597.56799999999998</v>
      </c>
      <c r="AN76" s="1360">
        <f>SUM(AN60:AN75)</f>
        <v>28.809000000000026</v>
      </c>
      <c r="AO76" s="1360">
        <f>SUM(AO60:AO75)</f>
        <v>444.65800000000007</v>
      </c>
      <c r="AP76" s="1360">
        <f>SUM(AP60:AP75)</f>
        <v>736.06400000000008</v>
      </c>
      <c r="AQ76" s="1360">
        <f t="shared" si="97"/>
        <v>1807.0990000000002</v>
      </c>
      <c r="AR76" s="1421"/>
      <c r="AS76" s="1360">
        <f>SUM(AS60:AS75)</f>
        <v>656.11659999999995</v>
      </c>
      <c r="AT76" s="1360">
        <f>SUM(AT60:AT75)</f>
        <v>111.97540000000004</v>
      </c>
      <c r="AU76" s="1360">
        <f>SUM(AU60:AU75)</f>
        <v>986.41300000000001</v>
      </c>
      <c r="AV76" s="1360">
        <f>SUM(AV60:AV75)</f>
        <v>1169.0590000000009</v>
      </c>
      <c r="AW76" s="1360">
        <f t="shared" si="98"/>
        <v>2923.5640000000012</v>
      </c>
      <c r="AX76" s="1421"/>
      <c r="AY76" s="1360">
        <f>SUM(AY60:AY75)</f>
        <v>-873.80699999999979</v>
      </c>
      <c r="AZ76" s="1360">
        <f>SUM(AZ60:AZ75)</f>
        <v>607.97099999999978</v>
      </c>
      <c r="BA76" s="1360">
        <f>SUM(BA60:BA75)</f>
        <v>1008.7269999999999</v>
      </c>
      <c r="BB76" s="1360">
        <f>SUM(BB60:BB75)</f>
        <v>1436.1090000000002</v>
      </c>
      <c r="BC76" s="1360">
        <f t="shared" si="99"/>
        <v>2179</v>
      </c>
      <c r="BD76" s="1421"/>
      <c r="BE76" s="1360">
        <f>SUM(BE60:BE75)</f>
        <v>1263.568</v>
      </c>
      <c r="BF76" s="1360">
        <f>SUM(BF60:BF75)</f>
        <v>246.43199999999999</v>
      </c>
      <c r="BG76" s="1360">
        <f>SUM(BG60:BG75)</f>
        <v>648</v>
      </c>
      <c r="BH76" s="1360">
        <f>SUM(BH60:BH75)</f>
        <v>977</v>
      </c>
      <c r="BI76" s="1360">
        <f t="shared" si="100"/>
        <v>3135</v>
      </c>
      <c r="BJ76" s="1421"/>
      <c r="BK76" s="1360">
        <f>SUM(BK60:BK75)</f>
        <v>1218</v>
      </c>
      <c r="BL76" s="1360">
        <f>SUM(BL60:BL75)</f>
        <v>251</v>
      </c>
      <c r="BM76" s="1360">
        <f>SUM(BM60:BM75)</f>
        <v>728</v>
      </c>
      <c r="BN76" s="1360">
        <f>SUM(BN60:BN75)</f>
        <v>826</v>
      </c>
      <c r="BO76" s="1360">
        <f t="shared" si="101"/>
        <v>3023</v>
      </c>
      <c r="BP76" s="1421"/>
      <c r="BQ76" s="1360">
        <f>SUM(BQ60:BQ75)</f>
        <v>1251</v>
      </c>
      <c r="BR76" s="1360">
        <f>SUM(BR60:BR75)</f>
        <v>349</v>
      </c>
      <c r="BS76" s="1360">
        <f>SUM(BS60:BS75)</f>
        <v>559</v>
      </c>
      <c r="BT76" s="1360">
        <f>SUM(BT60:BT75)</f>
        <v>1036</v>
      </c>
      <c r="BU76" s="1360">
        <f>SUM(BU60:BU75)</f>
        <v>3195</v>
      </c>
      <c r="BV76" s="1421"/>
      <c r="BW76" s="1360">
        <f>SUM(BW60:BW75)</f>
        <v>1414</v>
      </c>
      <c r="BX76" s="1360">
        <f>SUM(BX60:BX75)</f>
        <v>385</v>
      </c>
      <c r="BY76" s="1360">
        <f>SUM(BY60:BY75)</f>
        <v>758</v>
      </c>
      <c r="BZ76" s="1360">
        <f>SUM(BZ60:BZ75)</f>
        <v>994.92250000000013</v>
      </c>
      <c r="CA76" s="1360">
        <f>SUM(CA60:CA75)</f>
        <v>3551.9225000000001</v>
      </c>
      <c r="CB76" s="1360"/>
      <c r="CC76" s="1360">
        <f>SUM(CC60:CC75)</f>
        <v>1458</v>
      </c>
      <c r="CD76" s="1360">
        <f>SUM(CD60:CD75)</f>
        <v>298</v>
      </c>
      <c r="CE76" s="1360">
        <f>SUM(CE60:CE75)</f>
        <v>1106</v>
      </c>
      <c r="CF76" s="1360">
        <f>SUM(CF60:CF75)</f>
        <v>1679</v>
      </c>
      <c r="CG76" s="1360">
        <f>SUM(CG60:CG75)</f>
        <v>4541</v>
      </c>
      <c r="CH76" s="1360"/>
      <c r="CI76" s="1360">
        <f>SUM(CI60:CI75)</f>
        <v>1625</v>
      </c>
      <c r="CJ76" s="1360">
        <f>SUM(CJ60:CJ75)</f>
        <v>241</v>
      </c>
      <c r="CK76" s="1360">
        <f>SUM(CK60:CK75)</f>
        <v>1439</v>
      </c>
      <c r="CL76" s="1360">
        <f>SUM(CL60:CL75)</f>
        <v>2215</v>
      </c>
      <c r="CM76" s="1361">
        <f>SUM(CM60:CM75)</f>
        <v>5520</v>
      </c>
      <c r="CN76" s="1360"/>
      <c r="CO76" s="1360">
        <f>SUM(CO60:CO75)</f>
        <v>2701</v>
      </c>
      <c r="CP76" s="1360">
        <f>SUM(CP60:CP75)</f>
        <v>602</v>
      </c>
      <c r="CQ76" s="1360">
        <f>SUM(CQ60:CQ75)</f>
        <v>1804</v>
      </c>
      <c r="CR76" s="1360">
        <f>SUM(CR60:CR75)</f>
        <v>2295</v>
      </c>
      <c r="CS76" s="1361">
        <f>SUM(CS60:CS75)</f>
        <v>7402</v>
      </c>
      <c r="CT76" s="1360"/>
      <c r="CU76" s="1360">
        <f>SUM(CU60:CU75)</f>
        <v>3240</v>
      </c>
      <c r="CV76" s="1360">
        <f>SUM(CV60:CV75)</f>
        <v>750</v>
      </c>
      <c r="CW76" s="1360">
        <f>SUM(CW60:CW75)</f>
        <v>2257</v>
      </c>
      <c r="CX76" s="1360">
        <f>SUM(CX60:CX75)</f>
        <v>2008</v>
      </c>
      <c r="CY76" s="1361">
        <f>SUM(CY60:CY75)</f>
        <v>8255</v>
      </c>
      <c r="CZ76" s="1360"/>
      <c r="DA76" s="1360">
        <f>SUM(DA60:DA75)</f>
        <v>3738</v>
      </c>
      <c r="DB76" s="1360">
        <f>SUM(DB60:DB75)</f>
        <v>651</v>
      </c>
      <c r="DC76" s="1360">
        <f>SUM(DC60:DC75)</f>
        <v>1781</v>
      </c>
      <c r="DD76" s="1360">
        <f>SUM(DD60:DD75)</f>
        <v>2511</v>
      </c>
      <c r="DE76" s="1361">
        <f>SUM(DE60:DE75)</f>
        <v>8681</v>
      </c>
      <c r="DF76" s="1360"/>
      <c r="DG76" s="1360">
        <f>SUM(DG60:DG75)</f>
        <v>3817</v>
      </c>
      <c r="DH76" s="1360">
        <f>SUM(DH60:DH75)</f>
        <v>944</v>
      </c>
      <c r="DI76" s="1360">
        <f>SUM(DI60:DI75)</f>
        <v>2676</v>
      </c>
      <c r="DJ76" s="1360">
        <f>SUM(DJ60:DJ75)</f>
        <v>3777</v>
      </c>
      <c r="DK76" s="1361">
        <f>SUM(DK60:DK75)</f>
        <v>11214</v>
      </c>
      <c r="DL76" s="1360"/>
      <c r="DM76" s="1360">
        <f>SUM(DM60:DM75)</f>
        <v>5421</v>
      </c>
      <c r="DN76" s="1360">
        <f>SUM(DN60:DN75)</f>
        <v>1255</v>
      </c>
      <c r="DO76" s="1360">
        <f>SUM(DO60:DO75)</f>
        <v>3010</v>
      </c>
      <c r="DP76" s="1360">
        <f>SUM(DP60:DP75)</f>
        <v>4057</v>
      </c>
      <c r="DQ76" s="1361">
        <f>SUM(DQ60:DQ75)</f>
        <v>13743</v>
      </c>
      <c r="DR76" s="1360"/>
      <c r="DS76" s="1360">
        <f>SUM(DS60:DS75)</f>
        <v>5671</v>
      </c>
      <c r="DT76" s="1360">
        <f>SUM(DT60:DT75)</f>
        <v>795</v>
      </c>
      <c r="DU76" s="1360">
        <f>SUM(DU60:DU75)</f>
        <v>3194</v>
      </c>
      <c r="DV76" s="1360">
        <f>SUM(DV60:DV75)</f>
        <v>4564</v>
      </c>
      <c r="DW76" s="1361">
        <f>SUM(DW60:DW75)</f>
        <v>14224</v>
      </c>
      <c r="DX76" s="1360"/>
      <c r="DY76" s="1360">
        <f>SUM(DY60:DY75)</f>
        <v>6292</v>
      </c>
      <c r="DZ76" s="1360">
        <f>SUM(DZ60:DZ75)</f>
        <v>1146</v>
      </c>
      <c r="EA76" s="1360">
        <f>SUM(EA60:EA75)</f>
        <v>3027</v>
      </c>
      <c r="EB76" s="1360">
        <f>SUM(EB60:EB75)</f>
        <v>4456</v>
      </c>
      <c r="EC76" s="1361">
        <f>SUM(EC60:EC75)</f>
        <v>14921</v>
      </c>
      <c r="ED76" s="1360"/>
      <c r="EE76" s="1360">
        <f>SUM(EE60:EE75)</f>
        <v>6728</v>
      </c>
      <c r="EF76" s="1360">
        <f>SUM(EF60:EF75)</f>
        <v>1062</v>
      </c>
      <c r="EG76" s="1360">
        <f>SUM(EG60:EG75)</f>
        <v>2263</v>
      </c>
      <c r="EH76" s="1360">
        <f>SUM(EH60:EH75)</f>
        <v>4283</v>
      </c>
      <c r="EI76" s="1361">
        <f>SUM(EI60:EI75)</f>
        <v>14336</v>
      </c>
      <c r="EJ76" s="1360"/>
      <c r="EK76" s="1360">
        <f>SUM(EK60:EK75)</f>
        <v>5856</v>
      </c>
      <c r="EL76" s="1360">
        <f>SUM(EL60:EL75)</f>
        <v>501</v>
      </c>
      <c r="EM76" s="1360">
        <f>SUM(EM60:EM75)</f>
        <v>3474</v>
      </c>
      <c r="EN76" s="1360">
        <f>SUM(EN60:EN75)</f>
        <v>3730</v>
      </c>
      <c r="EO76" s="1361">
        <f>SUM(EO60:EO75)</f>
        <v>13561</v>
      </c>
      <c r="EP76" s="1360"/>
      <c r="EQ76" s="1360">
        <f>SUM(EQ60:EQ75)</f>
        <v>5875</v>
      </c>
      <c r="ER76" s="1360">
        <f>SUM(ER60:ER75)</f>
        <v>1086</v>
      </c>
      <c r="ES76" s="1360">
        <f>SUM(ES60:ES75)</f>
        <v>2699</v>
      </c>
      <c r="ET76" s="1360">
        <f>SUM(ET60:ET75)</f>
        <v>4466</v>
      </c>
      <c r="EU76" s="1361">
        <f>SUM(EU60:EU75)</f>
        <v>14126</v>
      </c>
      <c r="EV76" s="1360"/>
      <c r="EW76" s="1360">
        <f>SUM(EW60:EW75)</f>
        <v>6566</v>
      </c>
      <c r="EX76" s="1360">
        <f>SUM(EX60:EX75)</f>
        <v>850</v>
      </c>
      <c r="EY76" s="1360">
        <f>SUM(EY60:EY75)</f>
        <v>3310</v>
      </c>
      <c r="EZ76" s="1360">
        <f>SUM(EZ60:EZ75)</f>
        <v>4375.7021005192146</v>
      </c>
      <c r="FA76" s="1361">
        <f>SUM(FA60:FA75)</f>
        <v>15101.702100519215</v>
      </c>
      <c r="FB76" s="1360"/>
      <c r="FC76" s="1360">
        <f>SUM(FC60:FC75)</f>
        <v>5896.4558405650396</v>
      </c>
      <c r="FD76" s="1360">
        <f>SUM(FD60:FD75)</f>
        <v>846.58791287890062</v>
      </c>
      <c r="FE76" s="1360">
        <f>SUM(FE60:FE75)</f>
        <v>4159.8586850644215</v>
      </c>
      <c r="FF76" s="1360">
        <f>SUM(FF60:FF75)</f>
        <v>5081.1827725622643</v>
      </c>
      <c r="FG76" s="1361">
        <f>SUM(FG60:FG75)</f>
        <v>15984.085211070627</v>
      </c>
      <c r="FH76" s="1360"/>
      <c r="FI76" s="1360">
        <f>SUM(FI60:FI75)</f>
        <v>6310.2773968454549</v>
      </c>
      <c r="FJ76" s="1360">
        <f>SUM(FJ60:FJ75)</f>
        <v>877.96305883177638</v>
      </c>
      <c r="FK76" s="1360">
        <f>SUM(FK60:FK75)</f>
        <v>4248.4246532360185</v>
      </c>
      <c r="FL76" s="1360">
        <f>SUM(FL60:FL75)</f>
        <v>5945.2714778355239</v>
      </c>
      <c r="FM76" s="1361">
        <f>SUM(FM60:FM75)</f>
        <v>17381.93658674878</v>
      </c>
      <c r="FN76" s="261"/>
      <c r="FO76" s="261"/>
      <c r="FP76" s="261"/>
      <c r="FQ76" s="261"/>
      <c r="FR76" s="261"/>
      <c r="FS76"/>
      <c r="FT76"/>
      <c r="FU76"/>
      <c r="FV76"/>
      <c r="FW76"/>
      <c r="FX76"/>
      <c r="FY76" s="261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</row>
    <row r="77" spans="1:274" s="614" customFormat="1" ht="10.5" customHeight="1" x14ac:dyDescent="0.2">
      <c r="A77" s="1408" t="s">
        <v>519</v>
      </c>
      <c r="B77" s="1408"/>
      <c r="C77" s="1408"/>
      <c r="D77" s="1408"/>
      <c r="E77" s="1408"/>
      <c r="F77" s="1408"/>
      <c r="G77" s="1408"/>
      <c r="H77" s="1408"/>
      <c r="I77" s="1408"/>
      <c r="J77" s="1408"/>
      <c r="K77" s="1408"/>
      <c r="L77" s="1408"/>
      <c r="M77" s="1408"/>
      <c r="N77" s="1408"/>
      <c r="O77" s="1408"/>
      <c r="P77" s="1408"/>
      <c r="Q77" s="1408"/>
      <c r="R77" s="1408"/>
      <c r="S77" s="1408"/>
      <c r="T77" s="1408"/>
      <c r="U77" s="1408"/>
      <c r="V77" s="1408"/>
      <c r="W77" s="1408"/>
      <c r="X77" s="1408"/>
      <c r="Y77" s="1408"/>
      <c r="Z77" s="1408"/>
      <c r="AA77" s="1408"/>
      <c r="AB77" s="1408"/>
      <c r="AC77" s="1408"/>
      <c r="AD77" s="1408"/>
      <c r="AE77" s="1408"/>
      <c r="AF77" s="1408"/>
      <c r="AG77" s="1408"/>
      <c r="AH77" s="1408"/>
      <c r="AI77" s="1408"/>
      <c r="AJ77" s="1408"/>
      <c r="AK77" s="1408"/>
      <c r="AL77" s="1408"/>
      <c r="AM77" s="1408"/>
      <c r="AN77" s="1408"/>
      <c r="AO77" s="1408"/>
      <c r="AP77" s="1408"/>
      <c r="AQ77" s="1408"/>
      <c r="AR77" s="1408"/>
      <c r="AS77" s="1408"/>
      <c r="AT77" s="1408"/>
      <c r="AU77" s="1408"/>
      <c r="AV77" s="1408"/>
      <c r="AW77" s="1408"/>
      <c r="AX77" s="1408"/>
      <c r="AY77" s="1408"/>
      <c r="AZ77" s="1408"/>
      <c r="BA77" s="1408"/>
      <c r="BB77" s="1408"/>
      <c r="BC77" s="1408"/>
      <c r="BD77" s="1408"/>
      <c r="BE77" s="1408"/>
      <c r="BF77" s="1408"/>
      <c r="BG77" s="1408"/>
      <c r="BH77" s="1408"/>
      <c r="BI77" s="1408"/>
      <c r="BJ77" s="1408"/>
      <c r="BK77" s="1408"/>
      <c r="BL77" s="1408"/>
      <c r="BM77" s="1408"/>
      <c r="BN77" s="1408"/>
      <c r="BO77" s="1408"/>
      <c r="BP77" s="1408"/>
      <c r="BQ77" s="1408"/>
      <c r="BR77" s="1408"/>
      <c r="BS77" s="1408"/>
      <c r="BT77" s="1408"/>
      <c r="BU77" s="1408"/>
      <c r="BV77" s="1408"/>
      <c r="BW77" s="1408"/>
      <c r="BX77" s="1408"/>
      <c r="BY77" s="1408"/>
      <c r="BZ77" s="1408"/>
      <c r="CA77" s="1408"/>
      <c r="CB77" s="1408"/>
      <c r="CC77" s="1408"/>
      <c r="CD77" s="1408"/>
      <c r="CE77" s="1408"/>
      <c r="CF77" s="1408"/>
      <c r="CG77" s="1408"/>
      <c r="CH77" s="1408"/>
      <c r="CI77" s="1408"/>
      <c r="CJ77" s="1408"/>
      <c r="CK77" s="1408"/>
      <c r="CL77" s="1408"/>
      <c r="CM77" s="1409"/>
      <c r="CN77" s="1408"/>
      <c r="CO77" s="1408"/>
      <c r="CP77" s="1408"/>
      <c r="CQ77" s="1408"/>
      <c r="CR77" s="1408"/>
      <c r="CS77" s="1409"/>
      <c r="CT77" s="1408"/>
      <c r="CU77" s="1408"/>
      <c r="CV77" s="1408"/>
      <c r="CW77" s="1408"/>
      <c r="CX77" s="1408"/>
      <c r="CY77" s="1409"/>
      <c r="CZ77" s="1408"/>
      <c r="DA77" s="1408"/>
      <c r="DB77" s="1408"/>
      <c r="DC77" s="1408"/>
      <c r="DD77" s="1408"/>
      <c r="DE77" s="1410">
        <f>DE76/CY76-1</f>
        <v>5.1605087825560281E-2</v>
      </c>
      <c r="DF77" s="1408"/>
      <c r="DG77" s="1411">
        <f>DG76/DA76-1</f>
        <v>2.1134296415195264E-2</v>
      </c>
      <c r="DH77" s="1411">
        <f>DH76/DB76-1</f>
        <v>0.45007680491551461</v>
      </c>
      <c r="DI77" s="1411">
        <f>DI76/DC76-1</f>
        <v>0.50252667040988208</v>
      </c>
      <c r="DJ77" s="1411">
        <f>DJ76/DD76-1</f>
        <v>0.50418160095579445</v>
      </c>
      <c r="DK77" s="1410">
        <f>DK76/DE76-1</f>
        <v>0.2917866605229813</v>
      </c>
      <c r="DL77" s="1408"/>
      <c r="DM77" s="1411">
        <f>DM76/DG76-1</f>
        <v>0.42022530783337708</v>
      </c>
      <c r="DN77" s="1411">
        <f>DN76/DH76-1</f>
        <v>0.32944915254237284</v>
      </c>
      <c r="DO77" s="1411">
        <f>DO76/DI76-1</f>
        <v>0.12481315396113613</v>
      </c>
      <c r="DP77" s="1411">
        <f>DP76/DJ76-1</f>
        <v>7.4132909716706274E-2</v>
      </c>
      <c r="DQ77" s="1410">
        <f>DQ76/DK76-1</f>
        <v>0.22552166934189399</v>
      </c>
      <c r="DR77" s="1408"/>
      <c r="DS77" s="1411">
        <f>DS76/DM76-1</f>
        <v>4.6116952591772842E-2</v>
      </c>
      <c r="DT77" s="1411">
        <f>DT76/DN76-1</f>
        <v>-0.36653386454183268</v>
      </c>
      <c r="DU77" s="1411">
        <f>DU76/DO76-1</f>
        <v>6.1129568106312204E-2</v>
      </c>
      <c r="DV77" s="1411">
        <f>DV76/DP76-1</f>
        <v>0.12496918905595278</v>
      </c>
      <c r="DW77" s="1410">
        <f>DW76/DQ76-1</f>
        <v>3.499963617841817E-2</v>
      </c>
      <c r="DX77" s="1408"/>
      <c r="DY77" s="1411">
        <f>DY76/DS76-1</f>
        <v>0.10950449656145311</v>
      </c>
      <c r="DZ77" s="1411">
        <f>DZ76/DT76-1</f>
        <v>0.44150943396226405</v>
      </c>
      <c r="EA77" s="1411">
        <f>EA76/DU76-1</f>
        <v>-5.2285535378835291E-2</v>
      </c>
      <c r="EB77" s="1411">
        <f>EB76/DV76-1</f>
        <v>-2.366345311130591E-2</v>
      </c>
      <c r="EC77" s="1410">
        <f>EC76/DW76-1</f>
        <v>4.9001687289088824E-2</v>
      </c>
      <c r="ED77" s="1408"/>
      <c r="EE77" s="1411">
        <f>EE76/DY76-1</f>
        <v>6.9294342021614774E-2</v>
      </c>
      <c r="EF77" s="1411">
        <f>EF76/DZ76-1</f>
        <v>-7.3298429319371694E-2</v>
      </c>
      <c r="EG77" s="1411">
        <f>EG76/EA76-1</f>
        <v>-0.25239511067063103</v>
      </c>
      <c r="EH77" s="1411">
        <f>EH76/EB76-1</f>
        <v>-3.8824057450628335E-2</v>
      </c>
      <c r="EI77" s="1410">
        <f>EI76/EC76-1</f>
        <v>-3.9206487500837772E-2</v>
      </c>
      <c r="EJ77" s="1408"/>
      <c r="EK77" s="1411">
        <f>EK76/EE76-1</f>
        <v>-0.12960760998810938</v>
      </c>
      <c r="EL77" s="1411">
        <f>EL76/EF76-1</f>
        <v>-0.52824858757062154</v>
      </c>
      <c r="EM77" s="1411">
        <f>EM76/EG76-1</f>
        <v>0.53513035793194863</v>
      </c>
      <c r="EN77" s="1411">
        <f>EN76/EH76-1</f>
        <v>-0.12911510623394817</v>
      </c>
      <c r="EO77" s="1703">
        <f>EO76/EI76-1</f>
        <v>-5.4059709821428603E-2</v>
      </c>
      <c r="EP77" s="1408"/>
      <c r="EQ77" s="1411">
        <f>EQ76/EK76-1</f>
        <v>3.2445355191257352E-3</v>
      </c>
      <c r="ER77" s="1411">
        <f>ER76/EL76-1</f>
        <v>1.1676646706586826</v>
      </c>
      <c r="ES77" s="1411">
        <f>ES76/EM76-1</f>
        <v>-0.22308578008059876</v>
      </c>
      <c r="ET77" s="1411">
        <f>ET76/EN76-1</f>
        <v>0.19731903485254687</v>
      </c>
      <c r="EU77" s="1410">
        <f>EU76/EO76-1</f>
        <v>4.1663594130226356E-2</v>
      </c>
      <c r="EV77" s="1408"/>
      <c r="EW77" s="1411">
        <f>EW76/EQ76-1</f>
        <v>0.11761702127659568</v>
      </c>
      <c r="EX77" s="1411">
        <f>EX76/ER76-1</f>
        <v>-0.21731123388581952</v>
      </c>
      <c r="EY77" s="1411">
        <f>EY76/ES76-1</f>
        <v>0.22638014079288626</v>
      </c>
      <c r="EZ77" s="1411">
        <f>EZ76/ET76-1</f>
        <v>-2.0218965400982003E-2</v>
      </c>
      <c r="FA77" s="1410">
        <f>FA76/EU76-1</f>
        <v>6.9071364895880949E-2</v>
      </c>
      <c r="FB77" s="1408"/>
      <c r="FC77" s="1411">
        <f>FC76/EW76-1</f>
        <v>-0.10197139193343896</v>
      </c>
      <c r="FD77" s="1411">
        <f>FD76/EX76-1</f>
        <v>-4.014220142469882E-3</v>
      </c>
      <c r="FE77" s="1411">
        <f>FE76/EY76-1</f>
        <v>0.25675488974755933</v>
      </c>
      <c r="FF77" s="1411">
        <f>FF76/EZ76-1</f>
        <v>0.16122685133417525</v>
      </c>
      <c r="FG77" s="1410">
        <f>FG76/FA76-1</f>
        <v>5.8429381315969309E-2</v>
      </c>
      <c r="FH77" s="1408"/>
      <c r="FI77" s="1411">
        <f>FI76/FC76-1</f>
        <v>7.0181405147394349E-2</v>
      </c>
      <c r="FJ77" s="1411">
        <f>FJ76/FD76-1</f>
        <v>3.706070624866542E-2</v>
      </c>
      <c r="FK77" s="1411">
        <f>FK76/FE76-1</f>
        <v>2.1290619436084457E-2</v>
      </c>
      <c r="FL77" s="1411">
        <f>FL76/FF76-1</f>
        <v>0.17005660767395092</v>
      </c>
      <c r="FM77" s="1410">
        <f>FM76/FG76-1</f>
        <v>8.745269793168986E-2</v>
      </c>
      <c r="FN77" s="261"/>
      <c r="FO77" s="261"/>
      <c r="FP77" s="261"/>
      <c r="FQ77" s="261"/>
      <c r="FR77" s="261"/>
      <c r="FS77"/>
      <c r="FT77"/>
      <c r="FU77"/>
      <c r="FV77"/>
      <c r="FW77"/>
      <c r="FX77"/>
      <c r="FY77" s="261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</row>
    <row r="78" spans="1:274" s="24" customFormat="1" ht="5.25" customHeight="1" x14ac:dyDescent="0.2">
      <c r="A78" s="599"/>
      <c r="B78" s="476"/>
      <c r="C78" s="599"/>
      <c r="D78" s="599"/>
      <c r="E78" s="599"/>
      <c r="F78" s="599"/>
      <c r="G78" s="599"/>
      <c r="H78" s="599"/>
      <c r="I78" s="599"/>
      <c r="J78" s="599"/>
      <c r="K78" s="599"/>
      <c r="L78" s="599"/>
      <c r="M78" s="599"/>
      <c r="N78" s="599"/>
      <c r="O78" s="599"/>
      <c r="P78" s="599"/>
      <c r="Q78" s="599"/>
      <c r="R78" s="599"/>
      <c r="S78" s="599"/>
      <c r="T78" s="599"/>
      <c r="U78" s="599"/>
      <c r="V78" s="599"/>
      <c r="W78" s="599"/>
      <c r="X78" s="599"/>
      <c r="Y78" s="599"/>
      <c r="Z78" s="599"/>
      <c r="AA78" s="599"/>
      <c r="AB78" s="599"/>
      <c r="AC78" s="599"/>
      <c r="AD78" s="599"/>
      <c r="AE78" s="599"/>
      <c r="AF78" s="599"/>
      <c r="AG78" s="599"/>
      <c r="AH78" s="599"/>
      <c r="AI78" s="599"/>
      <c r="AJ78" s="599"/>
      <c r="AK78" s="599"/>
      <c r="AL78" s="599"/>
      <c r="AM78" s="599"/>
      <c r="AN78" s="599"/>
      <c r="AO78" s="599"/>
      <c r="AP78" s="599"/>
      <c r="AQ78" s="599"/>
      <c r="AR78" s="599"/>
      <c r="AS78" s="599"/>
      <c r="AT78" s="599"/>
      <c r="AU78" s="599"/>
      <c r="AV78" s="599"/>
      <c r="AW78" s="599"/>
      <c r="AX78" s="599"/>
      <c r="AY78" s="599"/>
      <c r="AZ78" s="599"/>
      <c r="BA78" s="599"/>
      <c r="BB78" s="599"/>
      <c r="BC78" s="599"/>
      <c r="BD78" s="599"/>
      <c r="BE78" s="599"/>
      <c r="BF78" s="599"/>
      <c r="BG78" s="599"/>
      <c r="BH78" s="599"/>
      <c r="BI78" s="599"/>
      <c r="BJ78" s="599"/>
      <c r="BK78" s="599"/>
      <c r="BL78" s="599"/>
      <c r="BM78" s="599"/>
      <c r="BN78" s="599"/>
      <c r="BO78" s="599"/>
      <c r="BP78" s="599"/>
      <c r="BQ78" s="599"/>
      <c r="BR78" s="599"/>
      <c r="BS78" s="599"/>
      <c r="BT78" s="599"/>
      <c r="BU78" s="599"/>
      <c r="BV78" s="599"/>
      <c r="BW78" s="599"/>
      <c r="BX78" s="599"/>
      <c r="BY78" s="599"/>
      <c r="BZ78" s="599"/>
      <c r="CA78" s="599"/>
      <c r="CB78" s="599"/>
      <c r="CC78" s="599"/>
      <c r="CD78" s="599"/>
      <c r="CE78" s="599"/>
      <c r="CF78" s="599"/>
      <c r="CG78" s="599"/>
      <c r="CH78" s="599"/>
      <c r="CI78" s="599"/>
      <c r="CJ78" s="599"/>
      <c r="CK78" s="599"/>
      <c r="CL78" s="599"/>
      <c r="CM78" s="1019"/>
      <c r="CN78" s="599"/>
      <c r="CO78" s="599"/>
      <c r="CP78" s="599"/>
      <c r="CQ78" s="599"/>
      <c r="CR78" s="599"/>
      <c r="CS78" s="1019"/>
      <c r="CT78" s="599"/>
      <c r="CU78" s="599"/>
      <c r="CV78" s="599"/>
      <c r="CW78" s="599"/>
      <c r="CX78" s="599"/>
      <c r="CY78" s="1019"/>
      <c r="CZ78" s="599"/>
      <c r="DA78" s="599"/>
      <c r="DB78" s="599"/>
      <c r="DC78" s="599"/>
      <c r="DD78" s="599"/>
      <c r="DE78" s="1019"/>
      <c r="DF78" s="599"/>
      <c r="DG78" s="599"/>
      <c r="DH78" s="599"/>
      <c r="DI78" s="599"/>
      <c r="DJ78" s="599"/>
      <c r="DK78" s="1019"/>
      <c r="DL78" s="599"/>
      <c r="DM78" s="599"/>
      <c r="DN78" s="599"/>
      <c r="DO78" s="599"/>
      <c r="DP78" s="599"/>
      <c r="DQ78" s="1019"/>
      <c r="DR78" s="599"/>
      <c r="DS78" s="599"/>
      <c r="DT78" s="599"/>
      <c r="DU78" s="599"/>
      <c r="DV78" s="599"/>
      <c r="DW78" s="1019"/>
      <c r="DX78" s="599"/>
      <c r="DY78" s="599"/>
      <c r="DZ78" s="599"/>
      <c r="EA78" s="599"/>
      <c r="EB78" s="599"/>
      <c r="EC78" s="1019"/>
      <c r="ED78" s="599"/>
      <c r="EE78" s="599"/>
      <c r="EF78" s="599"/>
      <c r="EG78" s="599"/>
      <c r="EH78" s="599"/>
      <c r="EI78" s="1019"/>
      <c r="EJ78" s="599"/>
      <c r="EK78" s="599"/>
      <c r="EL78" s="599"/>
      <c r="EM78" s="599"/>
      <c r="EN78" s="599"/>
      <c r="EO78" s="1019"/>
      <c r="EP78" s="599"/>
      <c r="EQ78" s="599"/>
      <c r="ER78" s="599"/>
      <c r="ES78" s="599"/>
      <c r="ET78" s="599"/>
      <c r="EU78" s="1019"/>
      <c r="EV78" s="599"/>
      <c r="EW78" s="599"/>
      <c r="EX78" s="599"/>
      <c r="EY78" s="599"/>
      <c r="EZ78" s="599"/>
      <c r="FA78" s="1019"/>
      <c r="FB78" s="599"/>
      <c r="FC78" s="599"/>
      <c r="FD78" s="599"/>
      <c r="FE78" s="599"/>
      <c r="FF78" s="599"/>
      <c r="FG78" s="1019"/>
      <c r="FH78" s="599"/>
      <c r="FI78" s="599"/>
      <c r="FJ78" s="599"/>
      <c r="FK78" s="599"/>
      <c r="FL78" s="599"/>
      <c r="FM78" s="1019"/>
      <c r="FN78" s="12"/>
      <c r="FO78" s="12"/>
      <c r="FP78" s="12"/>
      <c r="FQ78" s="12"/>
      <c r="FR78" s="12"/>
      <c r="FS78"/>
      <c r="FT78"/>
      <c r="FU78"/>
      <c r="FV78"/>
      <c r="FW78"/>
      <c r="FX78"/>
      <c r="FY78" s="12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</row>
    <row r="79" spans="1:274" s="1523" customFormat="1" ht="10.5" customHeight="1" x14ac:dyDescent="0.2">
      <c r="A79" s="1535" t="s">
        <v>767</v>
      </c>
      <c r="B79" s="1563"/>
      <c r="C79" s="1527"/>
      <c r="D79" s="1527"/>
      <c r="E79" s="1527"/>
      <c r="F79" s="1527"/>
      <c r="G79" s="1527"/>
      <c r="H79" s="1527"/>
      <c r="I79" s="1527"/>
      <c r="J79" s="1527"/>
      <c r="K79" s="1527"/>
      <c r="L79" s="1527"/>
      <c r="M79" s="1540"/>
      <c r="N79" s="1529"/>
      <c r="O79" s="1564"/>
      <c r="P79" s="1564"/>
      <c r="Q79" s="1564"/>
      <c r="R79" s="1564"/>
      <c r="S79" s="1540"/>
      <c r="T79" s="1529"/>
      <c r="U79" s="1564"/>
      <c r="V79" s="1564"/>
      <c r="W79" s="1564"/>
      <c r="X79" s="1564"/>
      <c r="Y79" s="1540"/>
      <c r="Z79" s="1529"/>
      <c r="AA79" s="1540"/>
      <c r="AB79" s="1540"/>
      <c r="AC79" s="1540"/>
      <c r="AD79" s="1540"/>
      <c r="AE79" s="1540"/>
      <c r="AF79" s="1529"/>
      <c r="AG79" s="1540"/>
      <c r="AH79" s="1540"/>
      <c r="AI79" s="1540"/>
      <c r="AJ79" s="1540"/>
      <c r="AK79" s="1540"/>
      <c r="AL79" s="1529"/>
      <c r="AM79" s="1540"/>
      <c r="AN79" s="1540"/>
      <c r="AO79" s="1540"/>
      <c r="AP79" s="1540"/>
      <c r="AQ79" s="1540"/>
      <c r="AR79" s="1529"/>
      <c r="AS79" s="1540"/>
      <c r="AT79" s="1540"/>
      <c r="AU79" s="1540"/>
      <c r="AV79" s="1540"/>
      <c r="AW79" s="1540"/>
      <c r="AX79" s="1529"/>
      <c r="AY79" s="1540"/>
      <c r="AZ79" s="1540"/>
      <c r="BA79" s="1540"/>
      <c r="BB79" s="1540"/>
      <c r="BC79" s="1540"/>
      <c r="BD79" s="1529"/>
      <c r="BE79" s="1540"/>
      <c r="BF79" s="1540"/>
      <c r="BG79" s="1540"/>
      <c r="BH79" s="1540"/>
      <c r="BI79" s="1540"/>
      <c r="BJ79" s="1529"/>
      <c r="BK79" s="1540"/>
      <c r="BL79" s="1540"/>
      <c r="BM79" s="1540"/>
      <c r="BN79" s="1540"/>
      <c r="BO79" s="1540"/>
      <c r="BP79" s="1529"/>
      <c r="BQ79" s="1540"/>
      <c r="BR79" s="1540"/>
      <c r="BS79" s="1540"/>
      <c r="BT79" s="1540"/>
      <c r="BU79" s="1573"/>
      <c r="BV79" s="1529"/>
      <c r="BW79" s="1573"/>
      <c r="BX79" s="1540"/>
      <c r="BY79" s="1540"/>
      <c r="BZ79" s="1540"/>
      <c r="CA79" s="1573"/>
      <c r="CB79" s="1529"/>
      <c r="CC79" s="1573"/>
      <c r="CD79" s="1540"/>
      <c r="CE79" s="1540"/>
      <c r="CF79" s="1540"/>
      <c r="CG79" s="1573"/>
      <c r="CH79" s="1529"/>
      <c r="CI79" s="1573"/>
      <c r="CJ79" s="1540"/>
      <c r="CK79" s="1540"/>
      <c r="CL79" s="1540"/>
      <c r="CM79" s="1574"/>
      <c r="CN79" s="1529"/>
      <c r="CO79" s="1573"/>
      <c r="CP79" s="1540"/>
      <c r="CQ79" s="1540"/>
      <c r="CR79" s="1540"/>
      <c r="CS79" s="1574"/>
      <c r="CT79" s="1529"/>
      <c r="CU79" s="1573"/>
      <c r="CV79" s="1540"/>
      <c r="CW79" s="1540"/>
      <c r="CX79" s="1540"/>
      <c r="CY79" s="1574"/>
      <c r="CZ79" s="1529"/>
      <c r="DA79" s="1573"/>
      <c r="DB79" s="1540"/>
      <c r="DC79" s="1540"/>
      <c r="DD79" s="1540"/>
      <c r="DE79" s="1574"/>
      <c r="DF79" s="1529"/>
      <c r="DG79" s="1573"/>
      <c r="DH79" s="1540"/>
      <c r="DI79" s="1540"/>
      <c r="DJ79" s="1540"/>
      <c r="DK79" s="1575"/>
      <c r="DL79" s="1529"/>
      <c r="DM79" s="1573"/>
      <c r="DN79" s="1540"/>
      <c r="DO79" s="1540"/>
      <c r="DP79" s="1540"/>
      <c r="DQ79" s="1576"/>
      <c r="DR79" s="1529"/>
      <c r="DS79" s="1573"/>
      <c r="DT79" s="1540"/>
      <c r="DU79" s="1540"/>
      <c r="DV79" s="1540"/>
      <c r="DW79" s="1576"/>
      <c r="DX79" s="1529"/>
      <c r="DY79" s="1573"/>
      <c r="DZ79" s="1540"/>
      <c r="EA79" s="1540"/>
      <c r="EB79" s="1540"/>
      <c r="EC79" s="1576"/>
      <c r="ED79" s="1529"/>
      <c r="EE79" s="1573"/>
      <c r="EF79" s="1540"/>
      <c r="EG79" s="1540"/>
      <c r="EH79" s="1540"/>
      <c r="EI79" s="1576"/>
      <c r="EJ79" s="1529"/>
      <c r="EK79" s="1573"/>
      <c r="EL79" s="1540"/>
      <c r="EM79" s="1540"/>
      <c r="EN79" s="1540"/>
      <c r="EO79" s="1576"/>
      <c r="EP79" s="1529"/>
      <c r="EQ79" s="1573"/>
      <c r="ER79" s="1540"/>
      <c r="ES79" s="1540"/>
      <c r="ET79" s="1540"/>
      <c r="EU79" s="1576"/>
      <c r="EV79" s="1529"/>
      <c r="EW79" s="1573"/>
      <c r="EX79" s="1540"/>
      <c r="EY79" s="1540"/>
      <c r="EZ79" s="1540"/>
      <c r="FA79" s="1576"/>
      <c r="FB79" s="1529"/>
      <c r="FC79" s="1573"/>
      <c r="FD79" s="1540"/>
      <c r="FE79" s="1540"/>
      <c r="FF79" s="1540"/>
      <c r="FG79" s="1576"/>
      <c r="FH79" s="1529"/>
      <c r="FI79" s="1573"/>
      <c r="FJ79" s="1540"/>
      <c r="FK79" s="1540"/>
      <c r="FL79" s="1540"/>
      <c r="FM79" s="1576"/>
      <c r="FN79" s="1524"/>
      <c r="FO79" s="1524"/>
      <c r="FP79" s="1533"/>
      <c r="FQ79" s="1533"/>
      <c r="FR79" s="1533"/>
      <c r="FS79"/>
      <c r="FT79"/>
      <c r="FU79"/>
      <c r="FV79"/>
      <c r="FW79"/>
      <c r="FX79"/>
      <c r="FY79" s="1533"/>
      <c r="FZ79" s="1522"/>
      <c r="GA79" s="1522"/>
      <c r="GB79" s="1522"/>
      <c r="GC79" s="1522"/>
      <c r="GD79" s="1522"/>
      <c r="GE79" s="1522"/>
      <c r="GF79" s="1522"/>
      <c r="GG79" s="1522"/>
      <c r="GH79" s="1522"/>
      <c r="GI79" s="1522"/>
      <c r="GJ79" s="1522"/>
      <c r="GK79" s="1522"/>
      <c r="GL79" s="1522"/>
      <c r="GM79" s="1522"/>
      <c r="GN79" s="1522"/>
      <c r="GO79" s="1522"/>
      <c r="GP79" s="1522"/>
      <c r="GQ79" s="1522"/>
      <c r="GR79" s="1522"/>
      <c r="GS79" s="1522"/>
      <c r="GT79" s="1522"/>
      <c r="GU79" s="1522"/>
      <c r="GV79" s="1522"/>
      <c r="GW79" s="1522"/>
      <c r="GX79" s="1522"/>
      <c r="GY79" s="1522"/>
      <c r="GZ79" s="1522"/>
      <c r="HA79" s="1522"/>
      <c r="HB79" s="1522"/>
      <c r="HC79" s="1522"/>
      <c r="HD79" s="1522"/>
      <c r="HE79" s="1522"/>
      <c r="HF79" s="1522"/>
      <c r="HG79" s="1522"/>
      <c r="HH79" s="1522"/>
      <c r="HI79" s="1522"/>
      <c r="HJ79" s="1522"/>
      <c r="HK79" s="1522"/>
      <c r="HL79" s="1522"/>
      <c r="HM79" s="1522"/>
      <c r="HN79" s="1522"/>
      <c r="HO79" s="1522"/>
      <c r="HP79" s="1522"/>
      <c r="HQ79" s="1522"/>
      <c r="HR79" s="1522"/>
      <c r="HS79" s="1522"/>
      <c r="HT79" s="1522"/>
      <c r="HU79" s="1522"/>
      <c r="HV79" s="1522"/>
      <c r="HW79" s="1522"/>
      <c r="HX79" s="1522"/>
      <c r="HY79" s="1522"/>
      <c r="HZ79" s="1522"/>
      <c r="IA79" s="1522"/>
      <c r="IB79" s="1522"/>
      <c r="IC79" s="1522"/>
      <c r="ID79" s="1522"/>
      <c r="IE79" s="1522"/>
      <c r="IF79" s="1522"/>
      <c r="IG79" s="1522"/>
      <c r="IH79" s="1522"/>
      <c r="II79" s="1522"/>
      <c r="IJ79" s="1522"/>
      <c r="IK79" s="1522"/>
      <c r="IL79" s="1522"/>
      <c r="IM79" s="1522"/>
      <c r="IN79" s="1522"/>
      <c r="IO79" s="1522"/>
      <c r="IP79" s="1522"/>
      <c r="IQ79" s="1522"/>
      <c r="IR79" s="1522"/>
      <c r="IS79" s="1522"/>
      <c r="IT79" s="1522"/>
      <c r="IU79" s="1522"/>
      <c r="IV79" s="1522"/>
      <c r="IW79" s="1522"/>
      <c r="IX79" s="1522"/>
      <c r="IY79" s="1522"/>
      <c r="IZ79" s="1522"/>
      <c r="JA79" s="1522"/>
      <c r="JB79" s="1522"/>
      <c r="JC79" s="1522"/>
      <c r="JD79" s="1522"/>
      <c r="JE79" s="1522"/>
      <c r="JF79" s="1522"/>
      <c r="JG79" s="1522"/>
      <c r="JH79" s="1522"/>
      <c r="JI79" s="1522"/>
      <c r="JJ79" s="1522"/>
      <c r="JK79" s="1522"/>
      <c r="JL79" s="1522"/>
      <c r="JM79" s="1522"/>
      <c r="JN79" s="1522"/>
    </row>
    <row r="80" spans="1:274" s="1523" customFormat="1" ht="10.5" customHeight="1" x14ac:dyDescent="0.2">
      <c r="A80" s="1571" t="s">
        <v>419</v>
      </c>
      <c r="B80" s="1563"/>
      <c r="C80" s="1527" t="s">
        <v>943</v>
      </c>
      <c r="D80" s="1527" t="s">
        <v>943</v>
      </c>
      <c r="E80" s="1527" t="s">
        <v>943</v>
      </c>
      <c r="F80" s="1527" t="s">
        <v>943</v>
      </c>
      <c r="G80" s="1527" t="s">
        <v>943</v>
      </c>
      <c r="H80" s="1527" t="s">
        <v>943</v>
      </c>
      <c r="I80" s="1527" t="s">
        <v>943</v>
      </c>
      <c r="J80" s="1527" t="s">
        <v>943</v>
      </c>
      <c r="K80" s="1527" t="s">
        <v>943</v>
      </c>
      <c r="L80" s="1527" t="s">
        <v>943</v>
      </c>
      <c r="M80" s="1527" t="s">
        <v>943</v>
      </c>
      <c r="N80" s="1529"/>
      <c r="O80" s="1527" t="s">
        <v>943</v>
      </c>
      <c r="P80" s="1527" t="s">
        <v>943</v>
      </c>
      <c r="Q80" s="1527" t="s">
        <v>943</v>
      </c>
      <c r="R80" s="1527" t="s">
        <v>943</v>
      </c>
      <c r="S80" s="1527" t="s">
        <v>943</v>
      </c>
      <c r="T80" s="1529"/>
      <c r="U80" s="1527" t="s">
        <v>943</v>
      </c>
      <c r="V80" s="1527" t="s">
        <v>943</v>
      </c>
      <c r="W80" s="1527" t="s">
        <v>943</v>
      </c>
      <c r="X80" s="1527" t="s">
        <v>943</v>
      </c>
      <c r="Y80" s="1527" t="s">
        <v>943</v>
      </c>
      <c r="Z80" s="1529"/>
      <c r="AA80" s="1527" t="s">
        <v>943</v>
      </c>
      <c r="AB80" s="1527" t="s">
        <v>943</v>
      </c>
      <c r="AC80" s="1527" t="s">
        <v>943</v>
      </c>
      <c r="AD80" s="1527" t="s">
        <v>943</v>
      </c>
      <c r="AE80" s="1527" t="s">
        <v>943</v>
      </c>
      <c r="AF80" s="1529"/>
      <c r="AG80" s="1527" t="s">
        <v>943</v>
      </c>
      <c r="AH80" s="1527" t="s">
        <v>943</v>
      </c>
      <c r="AI80" s="1527" t="s">
        <v>943</v>
      </c>
      <c r="AJ80" s="1527" t="s">
        <v>943</v>
      </c>
      <c r="AK80" s="1527" t="s">
        <v>943</v>
      </c>
      <c r="AL80" s="1529"/>
      <c r="AM80" s="1527" t="s">
        <v>943</v>
      </c>
      <c r="AN80" s="1527" t="s">
        <v>943</v>
      </c>
      <c r="AO80" s="1527" t="s">
        <v>943</v>
      </c>
      <c r="AP80" s="1527" t="s">
        <v>943</v>
      </c>
      <c r="AQ80" s="1527" t="s">
        <v>943</v>
      </c>
      <c r="AR80" s="1529"/>
      <c r="AS80" s="1527" t="s">
        <v>943</v>
      </c>
      <c r="AT80" s="1527" t="s">
        <v>943</v>
      </c>
      <c r="AU80" s="1527" t="s">
        <v>943</v>
      </c>
      <c r="AV80" s="1527" t="s">
        <v>943</v>
      </c>
      <c r="AW80" s="1527" t="s">
        <v>943</v>
      </c>
      <c r="AX80" s="1529"/>
      <c r="AY80" s="1527" t="s">
        <v>943</v>
      </c>
      <c r="AZ80" s="1527" t="s">
        <v>943</v>
      </c>
      <c r="BA80" s="1527" t="s">
        <v>943</v>
      </c>
      <c r="BB80" s="1527" t="s">
        <v>943</v>
      </c>
      <c r="BC80" s="1527" t="s">
        <v>943</v>
      </c>
      <c r="BD80" s="1529"/>
      <c r="BE80" s="1527" t="s">
        <v>943</v>
      </c>
      <c r="BF80" s="1527" t="s">
        <v>943</v>
      </c>
      <c r="BG80" s="1527" t="s">
        <v>943</v>
      </c>
      <c r="BH80" s="1527" t="s">
        <v>943</v>
      </c>
      <c r="BI80" s="1527" t="s">
        <v>943</v>
      </c>
      <c r="BJ80" s="1529"/>
      <c r="BK80" s="1527" t="s">
        <v>943</v>
      </c>
      <c r="BL80" s="1527" t="s">
        <v>943</v>
      </c>
      <c r="BM80" s="1527" t="s">
        <v>943</v>
      </c>
      <c r="BN80" s="1527" t="s">
        <v>943</v>
      </c>
      <c r="BO80" s="1527" t="s">
        <v>943</v>
      </c>
      <c r="BP80" s="1529"/>
      <c r="BQ80" s="1527">
        <f>BQ28</f>
        <v>0</v>
      </c>
      <c r="BR80" s="1529">
        <f>BR28-BQ28</f>
        <v>0</v>
      </c>
      <c r="BS80" s="1529">
        <f>BS28-BR28</f>
        <v>0</v>
      </c>
      <c r="BT80" s="1529">
        <f>BT28-BS28</f>
        <v>0</v>
      </c>
      <c r="BU80" s="1529">
        <f>SUM(BQ80:BT80)</f>
        <v>0</v>
      </c>
      <c r="BV80" s="1529"/>
      <c r="BW80" s="1527">
        <f>BW28</f>
        <v>0</v>
      </c>
      <c r="BX80" s="1529">
        <f>BX28-BW28</f>
        <v>0</v>
      </c>
      <c r="BY80" s="1529">
        <f>BY28-BX28</f>
        <v>-9892</v>
      </c>
      <c r="BZ80" s="1529">
        <f>BZ28-BY28</f>
        <v>-764</v>
      </c>
      <c r="CA80" s="1529">
        <f>SUM(BW80:BZ80)</f>
        <v>-10656</v>
      </c>
      <c r="CB80" s="1529"/>
      <c r="CC80" s="1527">
        <f>CC28</f>
        <v>-309</v>
      </c>
      <c r="CD80" s="1529">
        <f>CD28-CC28</f>
        <v>-794</v>
      </c>
      <c r="CE80" s="1529">
        <f>CE28-CD28</f>
        <v>-3434</v>
      </c>
      <c r="CF80" s="1529">
        <f>CF28-CE28</f>
        <v>-274</v>
      </c>
      <c r="CG80" s="1529">
        <f>SUM(CC80:CF80)</f>
        <v>-4811</v>
      </c>
      <c r="CH80" s="1529"/>
      <c r="CI80" s="1527">
        <v>-225</v>
      </c>
      <c r="CJ80" s="1529">
        <f>CJ28-CI28</f>
        <v>-268</v>
      </c>
      <c r="CK80" s="1529">
        <f>CK28-CJ28</f>
        <v>-1800</v>
      </c>
      <c r="CL80" s="1529">
        <f>CL28-CK28</f>
        <v>-2732</v>
      </c>
      <c r="CM80" s="1536">
        <f>SUM(CI80:CL80)</f>
        <v>-5025</v>
      </c>
      <c r="CN80" s="1529"/>
      <c r="CO80" s="1527">
        <f>CO28</f>
        <v>-546</v>
      </c>
      <c r="CP80" s="1529">
        <f t="shared" ref="CP80:CR84" si="181">CP28-CO28</f>
        <v>-105</v>
      </c>
      <c r="CQ80" s="1529">
        <f t="shared" si="181"/>
        <v>-49</v>
      </c>
      <c r="CR80" s="1529">
        <f t="shared" si="181"/>
        <v>-6943</v>
      </c>
      <c r="CS80" s="1536">
        <f>SUM(CO80:CR80)</f>
        <v>-7643</v>
      </c>
      <c r="CT80" s="1529"/>
      <c r="CU80" s="1527">
        <f>CU28</f>
        <v>-395</v>
      </c>
      <c r="CV80" s="1529">
        <f t="shared" ref="CV80:CX84" si="182">CV28-CU28</f>
        <v>-670</v>
      </c>
      <c r="CW80" s="1529">
        <f t="shared" si="182"/>
        <v>-100</v>
      </c>
      <c r="CX80" s="1529">
        <f t="shared" si="182"/>
        <v>6</v>
      </c>
      <c r="CY80" s="1536">
        <f>SUM(CU80:CX80)</f>
        <v>-1159</v>
      </c>
      <c r="CZ80" s="1529"/>
      <c r="DA80" s="1569">
        <f>DA28</f>
        <v>-79</v>
      </c>
      <c r="DB80" s="1529">
        <f t="shared" ref="DB80:DD84" si="183">DB28-DA28</f>
        <v>-313</v>
      </c>
      <c r="DC80" s="1529">
        <f t="shared" si="183"/>
        <v>-5175</v>
      </c>
      <c r="DD80" s="1529">
        <f t="shared" si="183"/>
        <v>-39</v>
      </c>
      <c r="DE80" s="1536">
        <f>SUM(DA80:DD80)</f>
        <v>-5606</v>
      </c>
      <c r="DF80" s="1529"/>
      <c r="DG80" s="1569">
        <f>DG28</f>
        <v>-832</v>
      </c>
      <c r="DH80" s="1529">
        <f t="shared" ref="DH80:DJ84" si="184">DH28-DG28</f>
        <v>26</v>
      </c>
      <c r="DI80" s="1529">
        <f t="shared" si="184"/>
        <v>-867</v>
      </c>
      <c r="DJ80" s="1529">
        <f t="shared" si="184"/>
        <v>-174</v>
      </c>
      <c r="DK80" s="1536">
        <f>SUM(DG80:DJ80)</f>
        <v>-1847</v>
      </c>
      <c r="DL80" s="1529"/>
      <c r="DM80" s="1569">
        <f>DM28</f>
        <v>-343</v>
      </c>
      <c r="DN80" s="1529">
        <f t="shared" ref="DN80:DP84" si="185">DN28-DM28</f>
        <v>-228</v>
      </c>
      <c r="DO80" s="1529">
        <f t="shared" si="185"/>
        <v>-2262</v>
      </c>
      <c r="DP80" s="1529">
        <f>DP28-DO28</f>
        <v>-1869</v>
      </c>
      <c r="DQ80" s="1536">
        <f>SUM(DM80:DP80)</f>
        <v>-4702</v>
      </c>
      <c r="DR80" s="1529"/>
      <c r="DS80" s="1569">
        <f>DS28</f>
        <v>-361</v>
      </c>
      <c r="DT80" s="1529">
        <f t="shared" ref="DT80:DV84" si="186">DT28-DS28</f>
        <v>-299</v>
      </c>
      <c r="DU80" s="1529">
        <f t="shared" si="186"/>
        <v>-932</v>
      </c>
      <c r="DV80" s="1529">
        <f t="shared" si="186"/>
        <v>-1713</v>
      </c>
      <c r="DW80" s="1536">
        <f>SUM(DS80:DV80)</f>
        <v>-3305</v>
      </c>
      <c r="DX80" s="1529"/>
      <c r="DY80" s="1569">
        <f>DY28</f>
        <v>-1314</v>
      </c>
      <c r="DZ80" s="1529">
        <f t="shared" ref="DZ80:EB84" si="187">DZ28-DY28</f>
        <v>-434</v>
      </c>
      <c r="EA80" s="1529">
        <f t="shared" si="187"/>
        <v>-1318</v>
      </c>
      <c r="EB80" s="1529">
        <f t="shared" si="187"/>
        <v>-422</v>
      </c>
      <c r="EC80" s="1536">
        <f>SUM(DY80:EB80)</f>
        <v>-3488</v>
      </c>
      <c r="ED80" s="1529"/>
      <c r="EE80" s="1569">
        <f>EE28</f>
        <v>-37</v>
      </c>
      <c r="EF80" s="1529">
        <f t="shared" ref="EF80:EH84" si="188">EF28-EE28</f>
        <v>-5085</v>
      </c>
      <c r="EG80" s="1529">
        <f t="shared" si="188"/>
        <v>-1110</v>
      </c>
      <c r="EH80" s="1529">
        <f t="shared" si="188"/>
        <v>-7</v>
      </c>
      <c r="EI80" s="1536">
        <f>SUM(EE80:EH80)</f>
        <v>-6239</v>
      </c>
      <c r="EJ80" s="1529"/>
      <c r="EK80" s="1569">
        <f>EK28</f>
        <v>0</v>
      </c>
      <c r="EL80" s="1529">
        <f t="shared" ref="EL80:EN84" si="189">EL28-EK28</f>
        <v>-147</v>
      </c>
      <c r="EM80" s="1529">
        <f t="shared" si="189"/>
        <v>-166</v>
      </c>
      <c r="EN80" s="1529">
        <f t="shared" si="189"/>
        <v>-337</v>
      </c>
      <c r="EO80" s="1536">
        <f>SUM(EK80:EN80)</f>
        <v>-650</v>
      </c>
      <c r="EP80" s="1529"/>
      <c r="EQ80" s="1569">
        <f>EQ28</f>
        <v>-1143</v>
      </c>
      <c r="ER80" s="1529">
        <f t="shared" ref="ER80:ET84" si="190">ER28-EQ28</f>
        <v>-8711</v>
      </c>
      <c r="ES80" s="1529">
        <f t="shared" si="190"/>
        <v>-552</v>
      </c>
      <c r="ET80" s="1529">
        <f t="shared" si="190"/>
        <v>-815</v>
      </c>
      <c r="EU80" s="1536">
        <f>SUM(EQ80:ET80)</f>
        <v>-11221</v>
      </c>
      <c r="EV80" s="1529"/>
      <c r="EW80" s="1569">
        <f>EW28</f>
        <v>0</v>
      </c>
      <c r="EX80" s="1529">
        <f t="shared" ref="EX80:EY84" si="191">EX28-EW28</f>
        <v>0</v>
      </c>
      <c r="EY80" s="1529">
        <f t="shared" si="191"/>
        <v>0</v>
      </c>
      <c r="EZ80" s="1529">
        <f t="shared" ref="EZ80:EZ84" si="192">EZ28-EY28</f>
        <v>0</v>
      </c>
      <c r="FA80" s="1536">
        <f>SUM(EW80:EZ80)</f>
        <v>0</v>
      </c>
      <c r="FB80" s="1529"/>
      <c r="FC80" s="1569">
        <f>FC28</f>
        <v>0</v>
      </c>
      <c r="FD80" s="1529">
        <f t="shared" ref="FD80:FF84" si="193">FD28-FC28</f>
        <v>0</v>
      </c>
      <c r="FE80" s="1529">
        <f t="shared" si="193"/>
        <v>0</v>
      </c>
      <c r="FF80" s="1529">
        <f t="shared" si="193"/>
        <v>0</v>
      </c>
      <c r="FG80" s="1536">
        <f>SUM(FC80:FF80)</f>
        <v>0</v>
      </c>
      <c r="FH80" s="1529"/>
      <c r="FI80" s="1569">
        <f>FI28</f>
        <v>0</v>
      </c>
      <c r="FJ80" s="1529">
        <f t="shared" ref="FJ80:FJ84" si="194">FJ28-FI28</f>
        <v>0</v>
      </c>
      <c r="FK80" s="1529">
        <f t="shared" ref="FK80:FK84" si="195">FK28-FJ28</f>
        <v>0</v>
      </c>
      <c r="FL80" s="1529">
        <f t="shared" ref="FL80:FL84" si="196">FL28-FK28</f>
        <v>0</v>
      </c>
      <c r="FM80" s="1536">
        <f>SUM(FI80:FL80)</f>
        <v>0</v>
      </c>
      <c r="FN80" s="1524"/>
      <c r="FO80" s="1524"/>
      <c r="FP80" s="1533"/>
      <c r="FQ80" s="1533"/>
      <c r="FR80" s="1533"/>
      <c r="FS80"/>
      <c r="FT80"/>
      <c r="FU80"/>
      <c r="FV80"/>
      <c r="FW80"/>
      <c r="FX80"/>
      <c r="FY80" s="1533"/>
      <c r="FZ80" s="1522"/>
      <c r="GA80" s="1522"/>
      <c r="GB80" s="1522"/>
      <c r="GC80" s="1522"/>
      <c r="GD80" s="1522"/>
      <c r="GE80" s="1522"/>
      <c r="GF80" s="1522"/>
      <c r="GG80" s="1522"/>
      <c r="GH80" s="1522"/>
      <c r="GI80" s="1522"/>
      <c r="GJ80" s="1522"/>
      <c r="GK80" s="1522"/>
      <c r="GL80" s="1522"/>
      <c r="GM80" s="1522"/>
      <c r="GN80" s="1522"/>
      <c r="GO80" s="1522"/>
      <c r="GP80" s="1522"/>
      <c r="GQ80" s="1522"/>
      <c r="GR80" s="1522"/>
      <c r="GS80" s="1522"/>
      <c r="GT80" s="1522"/>
      <c r="GU80" s="1522"/>
      <c r="GV80" s="1522"/>
      <c r="GW80" s="1522"/>
      <c r="GX80" s="1522"/>
      <c r="GY80" s="1522"/>
      <c r="GZ80" s="1522"/>
      <c r="HA80" s="1522"/>
      <c r="HB80" s="1522"/>
      <c r="HC80" s="1522"/>
      <c r="HD80" s="1522"/>
      <c r="HE80" s="1522"/>
      <c r="HF80" s="1522"/>
      <c r="HG80" s="1522"/>
      <c r="HH80" s="1522"/>
      <c r="HI80" s="1522"/>
      <c r="HJ80" s="1522"/>
      <c r="HK80" s="1522"/>
      <c r="HL80" s="1522"/>
      <c r="HM80" s="1522"/>
      <c r="HN80" s="1522"/>
      <c r="HO80" s="1522"/>
      <c r="HP80" s="1522"/>
      <c r="HQ80" s="1522"/>
      <c r="HR80" s="1522"/>
      <c r="HS80" s="1522"/>
      <c r="HT80" s="1522"/>
      <c r="HU80" s="1522"/>
      <c r="HV80" s="1522"/>
      <c r="HW80" s="1522"/>
      <c r="HX80" s="1522"/>
      <c r="HY80" s="1522"/>
      <c r="HZ80" s="1522"/>
      <c r="IA80" s="1522"/>
      <c r="IB80" s="1522"/>
      <c r="IC80" s="1522"/>
      <c r="ID80" s="1522"/>
      <c r="IE80" s="1522"/>
      <c r="IF80" s="1522"/>
      <c r="IG80" s="1522"/>
      <c r="IH80" s="1522"/>
      <c r="II80" s="1522"/>
      <c r="IJ80" s="1522"/>
      <c r="IK80" s="1522"/>
      <c r="IL80" s="1522"/>
      <c r="IM80" s="1522"/>
      <c r="IN80" s="1522"/>
      <c r="IO80" s="1522"/>
      <c r="IP80" s="1522"/>
      <c r="IQ80" s="1522"/>
      <c r="IR80" s="1522"/>
      <c r="IS80" s="1522"/>
      <c r="IT80" s="1522"/>
      <c r="IU80" s="1522"/>
      <c r="IV80" s="1522"/>
      <c r="IW80" s="1522"/>
      <c r="IX80" s="1522"/>
      <c r="IY80" s="1522"/>
      <c r="IZ80" s="1522"/>
      <c r="JA80" s="1522"/>
      <c r="JB80" s="1522"/>
      <c r="JC80" s="1522"/>
      <c r="JD80" s="1522"/>
      <c r="JE80" s="1522"/>
      <c r="JF80" s="1522"/>
      <c r="JG80" s="1522"/>
      <c r="JH80" s="1522"/>
      <c r="JI80" s="1522"/>
      <c r="JJ80" s="1522"/>
      <c r="JK80" s="1522"/>
      <c r="JL80" s="1522"/>
      <c r="JM80" s="1522"/>
      <c r="JN80" s="1522"/>
    </row>
    <row r="81" spans="1:274" s="1523" customFormat="1" ht="10.5" customHeight="1" x14ac:dyDescent="0.2">
      <c r="A81" s="1529" t="s">
        <v>886</v>
      </c>
      <c r="B81" s="1529"/>
      <c r="C81" s="1527">
        <v>0</v>
      </c>
      <c r="D81" s="1527">
        <v>0</v>
      </c>
      <c r="E81" s="1527">
        <v>0</v>
      </c>
      <c r="F81" s="1527">
        <v>0</v>
      </c>
      <c r="G81" s="1527">
        <v>-7.4980000000000002</v>
      </c>
      <c r="H81" s="1527">
        <v>2.9980000000000002</v>
      </c>
      <c r="I81" s="1527">
        <v>-0.48</v>
      </c>
      <c r="J81" s="1527">
        <v>4.9800000000000004</v>
      </c>
      <c r="K81" s="1527">
        <v>-23.218</v>
      </c>
      <c r="L81" s="1527">
        <v>-81.272999999999996</v>
      </c>
      <c r="M81" s="1529">
        <v>44.542999999999999</v>
      </c>
      <c r="N81" s="1529"/>
      <c r="O81" s="1529">
        <v>29.204999999999998</v>
      </c>
      <c r="P81" s="1529">
        <f>-48.402-O81</f>
        <v>-77.606999999999999</v>
      </c>
      <c r="Q81" s="1529">
        <f>-65.683-P81-O81</f>
        <v>-17.281000000000006</v>
      </c>
      <c r="R81" s="1529">
        <f>-176.536-Q81-P81-O81</f>
        <v>-110.85299999999999</v>
      </c>
      <c r="S81" s="1529">
        <f>SUM(O81:R81)</f>
        <v>-176.536</v>
      </c>
      <c r="T81" s="1529"/>
      <c r="U81" s="1529">
        <v>-6.468</v>
      </c>
      <c r="V81" s="1529">
        <f>41.298-U81</f>
        <v>47.766000000000005</v>
      </c>
      <c r="W81" s="1529">
        <f>-0.869-V81-U81</f>
        <v>-42.167000000000002</v>
      </c>
      <c r="X81" s="1529">
        <f>-238.96-W81-V81-U81</f>
        <v>-238.09100000000004</v>
      </c>
      <c r="Y81" s="1529">
        <f>SUM(U81:X81)</f>
        <v>-238.96000000000004</v>
      </c>
      <c r="Z81" s="1529"/>
      <c r="AA81" s="1529">
        <v>-100.432</v>
      </c>
      <c r="AB81" s="1529">
        <f>-165.074-AA81</f>
        <v>-64.64200000000001</v>
      </c>
      <c r="AC81" s="1529">
        <f>-170.136-AB81-AA81</f>
        <v>-5.0619999999999834</v>
      </c>
      <c r="AD81" s="1529">
        <f>-524.313-AC81-AB81-AA81</f>
        <v>-354.17699999999996</v>
      </c>
      <c r="AE81" s="1529">
        <f>SUM(AA81:AD81)</f>
        <v>-524.31299999999999</v>
      </c>
      <c r="AF81" s="1529"/>
      <c r="AG81" s="1529">
        <f>-222.988</f>
        <v>-222.988</v>
      </c>
      <c r="AH81" s="1529">
        <f>-220.632-AG81</f>
        <v>2.3559999999999945</v>
      </c>
      <c r="AI81" s="1529">
        <f>-182.698-AH81-AG81</f>
        <v>37.933999999999997</v>
      </c>
      <c r="AJ81" s="1529">
        <f>-1196.066-AI81-AH81-AG81</f>
        <v>-1013.3679999999999</v>
      </c>
      <c r="AK81" s="1529">
        <f>SUM(AG81:AJ81)</f>
        <v>-1196.066</v>
      </c>
      <c r="AL81" s="1529"/>
      <c r="AM81" s="1529">
        <v>-38.719000000000001</v>
      </c>
      <c r="AN81" s="1529">
        <f>120.583-AM81</f>
        <v>159.30199999999999</v>
      </c>
      <c r="AO81" s="1529">
        <f>-154.77-AN81-AM81</f>
        <v>-275.35300000000001</v>
      </c>
      <c r="AP81" s="1529">
        <f>-1250.5014-AO81-AM81-AN81</f>
        <v>-1095.7313999999999</v>
      </c>
      <c r="AQ81" s="1529">
        <f>SUM(AM81:AP81)</f>
        <v>-1250.5013999999999</v>
      </c>
      <c r="AR81" s="1529"/>
      <c r="AS81" s="1529">
        <f>-579.526</f>
        <v>-579.52599999999995</v>
      </c>
      <c r="AT81" s="1529">
        <f>-780.326-AS81</f>
        <v>-200.80000000000007</v>
      </c>
      <c r="AU81" s="1529">
        <f>-876.571-AS81-AT81</f>
        <v>-96.245000000000005</v>
      </c>
      <c r="AV81" s="1529">
        <f>-886.571-AU81-AT81-AS81</f>
        <v>-10</v>
      </c>
      <c r="AW81" s="1529">
        <f>AS81+AT81+AU81+AV81</f>
        <v>-886.57100000000003</v>
      </c>
      <c r="AX81" s="1529"/>
      <c r="AY81" s="1529">
        <v>-27</v>
      </c>
      <c r="AZ81" s="1529">
        <f>-27-AY81</f>
        <v>0</v>
      </c>
      <c r="BA81" s="1529">
        <f>-782.9-AZ81-AY81</f>
        <v>-755.9</v>
      </c>
      <c r="BB81" s="1529">
        <f>-1584-BA81-AZ81-AY81</f>
        <v>-801.1</v>
      </c>
      <c r="BC81" s="1529">
        <f>SUM(AY81:BB81)</f>
        <v>-1584</v>
      </c>
      <c r="BD81" s="1529"/>
      <c r="BE81" s="1529">
        <v>-1732.5340000000001</v>
      </c>
      <c r="BF81" s="1529">
        <f>-3503-BE81</f>
        <v>-1770.4659999999999</v>
      </c>
      <c r="BG81" s="1529">
        <f>-4290-BF81-BE81</f>
        <v>-787</v>
      </c>
      <c r="BH81" s="1529">
        <f>-6087-BG81-BF81-BE81</f>
        <v>-1797</v>
      </c>
      <c r="BI81" s="1529">
        <f>SUM(BE81:BH81)</f>
        <v>-6087</v>
      </c>
      <c r="BJ81" s="1529"/>
      <c r="BK81" s="1529">
        <v>-662</v>
      </c>
      <c r="BL81" s="1529">
        <f>-2299-BK81</f>
        <v>-1637</v>
      </c>
      <c r="BM81" s="1529">
        <f>-3066-BL81-BK81</f>
        <v>-767</v>
      </c>
      <c r="BN81" s="1529">
        <f>-4713-BM81-BL81-BK81</f>
        <v>-1647</v>
      </c>
      <c r="BO81" s="1529">
        <f>SUM(BK81:BN81)</f>
        <v>-4713</v>
      </c>
      <c r="BP81" s="1529"/>
      <c r="BQ81" s="1529">
        <v>-2471</v>
      </c>
      <c r="BR81" s="1529">
        <f t="shared" ref="BR81:BT84" si="197">BR29-BQ29</f>
        <v>-2781</v>
      </c>
      <c r="BS81" s="1529">
        <f t="shared" si="197"/>
        <v>-2326</v>
      </c>
      <c r="BT81" s="1529">
        <f t="shared" si="197"/>
        <v>-2732</v>
      </c>
      <c r="BU81" s="1529">
        <f>SUM(BQ81:BT81)</f>
        <v>-10310</v>
      </c>
      <c r="BV81" s="1529"/>
      <c r="BW81" s="1529">
        <v>-3546</v>
      </c>
      <c r="BX81" s="1529">
        <f t="shared" ref="BX81:BZ84" si="198">BX29-BW29</f>
        <v>-1551</v>
      </c>
      <c r="BY81" s="1529">
        <f t="shared" si="198"/>
        <v>-1448</v>
      </c>
      <c r="BZ81" s="1529">
        <f t="shared" si="198"/>
        <v>-556</v>
      </c>
      <c r="CA81" s="1529">
        <f>SUM(BW81:BZ81)</f>
        <v>-7101</v>
      </c>
      <c r="CB81" s="1529"/>
      <c r="CC81" s="1529">
        <f>CC29</f>
        <v>-789</v>
      </c>
      <c r="CD81" s="1529">
        <f t="shared" ref="CD81:CF84" si="199">CD29-CC29</f>
        <v>-137</v>
      </c>
      <c r="CE81" s="1529">
        <f t="shared" si="199"/>
        <v>-547</v>
      </c>
      <c r="CF81" s="1529">
        <f t="shared" si="199"/>
        <v>-655</v>
      </c>
      <c r="CG81" s="1529">
        <f>SUM(CC81:CF81)</f>
        <v>-2128</v>
      </c>
      <c r="CH81" s="1529"/>
      <c r="CI81" s="1529">
        <f>CI29</f>
        <v>-2430</v>
      </c>
      <c r="CJ81" s="1529">
        <f t="shared" ref="CJ81:CL84" si="200">CJ29-CI29</f>
        <v>-1816</v>
      </c>
      <c r="CK81" s="1529">
        <f t="shared" si="200"/>
        <v>-435</v>
      </c>
      <c r="CL81" s="1529">
        <f t="shared" si="200"/>
        <v>-702</v>
      </c>
      <c r="CM81" s="1536">
        <f>SUM(CI81:CL81)</f>
        <v>-5383</v>
      </c>
      <c r="CN81" s="1529"/>
      <c r="CO81" s="1529">
        <f>CO29</f>
        <v>-896</v>
      </c>
      <c r="CP81" s="1529">
        <f t="shared" si="181"/>
        <v>-1057</v>
      </c>
      <c r="CQ81" s="1529">
        <f t="shared" si="181"/>
        <v>-1676</v>
      </c>
      <c r="CR81" s="1529">
        <f t="shared" si="181"/>
        <v>-1995</v>
      </c>
      <c r="CS81" s="1536">
        <f>SUM(CO81:CR81)</f>
        <v>-5624</v>
      </c>
      <c r="CT81" s="1529"/>
      <c r="CU81" s="1529">
        <f>CU29</f>
        <v>-3188</v>
      </c>
      <c r="CV81" s="1529">
        <f t="shared" si="182"/>
        <v>-1917</v>
      </c>
      <c r="CW81" s="1529">
        <f t="shared" si="182"/>
        <v>-1801</v>
      </c>
      <c r="CX81" s="1529">
        <f t="shared" si="182"/>
        <v>-2409</v>
      </c>
      <c r="CY81" s="1536">
        <f>SUM(CU81:CX81)</f>
        <v>-9315</v>
      </c>
      <c r="CZ81" s="1529"/>
      <c r="DA81" s="1529">
        <f>DA29</f>
        <v>-2760</v>
      </c>
      <c r="DB81" s="1529">
        <f t="shared" si="183"/>
        <v>-3425</v>
      </c>
      <c r="DC81" s="1529">
        <f t="shared" si="183"/>
        <v>-4977</v>
      </c>
      <c r="DD81" s="1529">
        <f t="shared" si="183"/>
        <v>-4541</v>
      </c>
      <c r="DE81" s="1536">
        <f>SUM(DA81:DD81)</f>
        <v>-15703</v>
      </c>
      <c r="DF81" s="1529"/>
      <c r="DG81" s="1529">
        <f>DG29</f>
        <v>-7650</v>
      </c>
      <c r="DH81" s="1529">
        <f t="shared" si="184"/>
        <v>-9152</v>
      </c>
      <c r="DI81" s="1529">
        <f t="shared" si="184"/>
        <v>-6059</v>
      </c>
      <c r="DJ81" s="1529">
        <f t="shared" si="184"/>
        <v>-8148</v>
      </c>
      <c r="DK81" s="1536">
        <f>SUM(DG81:DJ81)</f>
        <v>-31009</v>
      </c>
      <c r="DL81" s="1529"/>
      <c r="DM81" s="1529">
        <f>DM29</f>
        <v>-12588</v>
      </c>
      <c r="DN81" s="1529">
        <f t="shared" si="185"/>
        <v>-8834</v>
      </c>
      <c r="DO81" s="1529">
        <f t="shared" si="185"/>
        <v>-8323</v>
      </c>
      <c r="DP81" s="1529">
        <f t="shared" si="185"/>
        <v>-8880</v>
      </c>
      <c r="DQ81" s="1536">
        <f>SUM(DM81:DP81)</f>
        <v>-38625</v>
      </c>
      <c r="DR81" s="1529"/>
      <c r="DS81" s="1529">
        <f>DS29</f>
        <v>-6804</v>
      </c>
      <c r="DT81" s="1529">
        <f t="shared" si="186"/>
        <v>-10510</v>
      </c>
      <c r="DU81" s="1529">
        <f t="shared" si="186"/>
        <v>-6713</v>
      </c>
      <c r="DV81" s="1529">
        <f t="shared" si="186"/>
        <v>-8133</v>
      </c>
      <c r="DW81" s="1536">
        <f>SUM(DS81:DV81)</f>
        <v>-32160</v>
      </c>
      <c r="DX81" s="1529"/>
      <c r="DY81" s="1529">
        <f>DY29</f>
        <v>-8549</v>
      </c>
      <c r="DZ81" s="1529">
        <f t="shared" si="187"/>
        <v>-10009</v>
      </c>
      <c r="EA81" s="1529">
        <f t="shared" si="187"/>
        <v>-6992</v>
      </c>
      <c r="EB81" s="1529">
        <f t="shared" si="187"/>
        <v>-6766</v>
      </c>
      <c r="EC81" s="1536">
        <f>SUM(DY81:EB81)</f>
        <v>-32316</v>
      </c>
      <c r="ED81" s="1529"/>
      <c r="EE81" s="1529">
        <f>EE29</f>
        <v>-10340</v>
      </c>
      <c r="EF81" s="1529">
        <f t="shared" si="188"/>
        <v>-7174</v>
      </c>
      <c r="EG81" s="1529">
        <f t="shared" si="188"/>
        <v>-5825</v>
      </c>
      <c r="EH81" s="1529">
        <f t="shared" si="188"/>
        <v>-8082</v>
      </c>
      <c r="EI81" s="1536">
        <f>SUM(EE81:EH81)</f>
        <v>-31421</v>
      </c>
      <c r="EJ81" s="1529"/>
      <c r="EK81" s="1529">
        <f>EK29</f>
        <v>-11669</v>
      </c>
      <c r="EL81" s="1529">
        <f t="shared" si="189"/>
        <v>-5969</v>
      </c>
      <c r="EM81" s="1529">
        <f t="shared" si="189"/>
        <v>-3911</v>
      </c>
      <c r="EN81" s="1529">
        <f t="shared" si="189"/>
        <v>-3013</v>
      </c>
      <c r="EO81" s="1536">
        <f>SUM(EK81:EN81)</f>
        <v>-24562</v>
      </c>
      <c r="EP81" s="1529"/>
      <c r="EQ81" s="1529">
        <f>EQ29</f>
        <v>-5513</v>
      </c>
      <c r="ER81" s="1529">
        <f t="shared" si="190"/>
        <v>-4577</v>
      </c>
      <c r="ES81" s="1529">
        <f t="shared" si="190"/>
        <v>-5481</v>
      </c>
      <c r="ET81" s="1529">
        <f t="shared" si="190"/>
        <v>-10296</v>
      </c>
      <c r="EU81" s="1536">
        <f>SUM(EQ81:ET81)</f>
        <v>-25867</v>
      </c>
      <c r="EV81" s="1529"/>
      <c r="EW81" s="1529">
        <f>EW29</f>
        <v>-7671</v>
      </c>
      <c r="EX81" s="1529">
        <f t="shared" si="191"/>
        <v>-10351</v>
      </c>
      <c r="EY81" s="1529">
        <f t="shared" si="191"/>
        <v>-6474</v>
      </c>
      <c r="EZ81" s="1529">
        <f t="shared" si="192"/>
        <v>-5000</v>
      </c>
      <c r="FA81" s="1536">
        <f>SUM(EW81:EZ81)</f>
        <v>-29496</v>
      </c>
      <c r="FB81" s="1529"/>
      <c r="FC81" s="1529">
        <f>FC29</f>
        <v>-5000</v>
      </c>
      <c r="FD81" s="1529">
        <f t="shared" si="193"/>
        <v>-5000</v>
      </c>
      <c r="FE81" s="1529">
        <f t="shared" si="193"/>
        <v>-5000</v>
      </c>
      <c r="FF81" s="1529">
        <f t="shared" si="193"/>
        <v>-5000</v>
      </c>
      <c r="FG81" s="1536">
        <f>SUM(FC81:FF81)</f>
        <v>-20000</v>
      </c>
      <c r="FH81" s="1529"/>
      <c r="FI81" s="1529">
        <f>FI29</f>
        <v>-5000</v>
      </c>
      <c r="FJ81" s="1529">
        <f t="shared" si="194"/>
        <v>-5000</v>
      </c>
      <c r="FK81" s="1529">
        <f t="shared" si="195"/>
        <v>-5000</v>
      </c>
      <c r="FL81" s="1529">
        <f t="shared" si="196"/>
        <v>-5000</v>
      </c>
      <c r="FM81" s="1536">
        <f>SUM(FI81:FL81)</f>
        <v>-20000</v>
      </c>
      <c r="FN81" s="1524"/>
      <c r="FO81" s="1524"/>
      <c r="FP81" s="1524"/>
      <c r="FQ81" s="1524"/>
      <c r="FR81" s="1524"/>
      <c r="FS81"/>
      <c r="FT81"/>
      <c r="FU81"/>
      <c r="FV81"/>
      <c r="FW81"/>
      <c r="FX81"/>
      <c r="FY81" s="1524"/>
      <c r="FZ81" s="1522"/>
      <c r="GA81" s="1522"/>
      <c r="GB81" s="1522"/>
      <c r="GC81" s="1522"/>
      <c r="GD81" s="1522"/>
      <c r="GE81" s="1522"/>
      <c r="GF81" s="1522"/>
      <c r="GG81" s="1522"/>
      <c r="GH81" s="1522"/>
      <c r="GI81" s="1522"/>
      <c r="GJ81" s="1522"/>
      <c r="GK81" s="1522"/>
      <c r="GL81" s="1522"/>
      <c r="GM81" s="1522"/>
      <c r="GN81" s="1522"/>
      <c r="GO81" s="1522"/>
      <c r="GP81" s="1522"/>
      <c r="GQ81" s="1522"/>
      <c r="GR81" s="1522"/>
      <c r="GS81" s="1522"/>
      <c r="GT81" s="1522"/>
      <c r="GU81" s="1522"/>
      <c r="GV81" s="1522"/>
      <c r="GW81" s="1522"/>
      <c r="GX81" s="1522"/>
      <c r="GY81" s="1522"/>
      <c r="GZ81" s="1522"/>
      <c r="HA81" s="1522"/>
      <c r="HB81" s="1522"/>
      <c r="HC81" s="1522"/>
      <c r="HD81" s="1522"/>
      <c r="HE81" s="1522"/>
      <c r="HF81" s="1522"/>
      <c r="HG81" s="1522"/>
      <c r="HH81" s="1522"/>
      <c r="HI81" s="1522"/>
      <c r="HJ81" s="1522"/>
      <c r="HK81" s="1522"/>
      <c r="HL81" s="1522"/>
      <c r="HM81" s="1522"/>
      <c r="HN81" s="1522"/>
      <c r="HO81" s="1522"/>
      <c r="HP81" s="1522"/>
      <c r="HQ81" s="1522"/>
      <c r="HR81" s="1522"/>
      <c r="HS81" s="1522"/>
      <c r="HT81" s="1522"/>
      <c r="HU81" s="1522"/>
      <c r="HV81" s="1522"/>
      <c r="HW81" s="1522"/>
      <c r="HX81" s="1522"/>
      <c r="HY81" s="1522"/>
      <c r="HZ81" s="1522"/>
      <c r="IA81" s="1522"/>
      <c r="IB81" s="1522"/>
      <c r="IC81" s="1522"/>
      <c r="ID81" s="1522"/>
      <c r="IE81" s="1522"/>
      <c r="IF81" s="1522"/>
      <c r="IG81" s="1522"/>
      <c r="IH81" s="1522"/>
      <c r="II81" s="1522"/>
      <c r="IJ81" s="1522"/>
      <c r="IK81" s="1522"/>
      <c r="IL81" s="1522"/>
      <c r="IM81" s="1522"/>
      <c r="IN81" s="1522"/>
      <c r="IO81" s="1522"/>
      <c r="IP81" s="1522"/>
      <c r="IQ81" s="1522"/>
      <c r="IR81" s="1522"/>
      <c r="IS81" s="1522"/>
      <c r="IT81" s="1522"/>
      <c r="IU81" s="1522"/>
      <c r="IV81" s="1522"/>
      <c r="IW81" s="1522"/>
      <c r="IX81" s="1522"/>
      <c r="IY81" s="1522"/>
      <c r="IZ81" s="1522"/>
      <c r="JA81" s="1522"/>
      <c r="JB81" s="1522"/>
      <c r="JC81" s="1522"/>
      <c r="JD81" s="1522"/>
      <c r="JE81" s="1522"/>
      <c r="JF81" s="1522"/>
      <c r="JG81" s="1522"/>
      <c r="JH81" s="1522"/>
      <c r="JI81" s="1522"/>
      <c r="JJ81" s="1522"/>
      <c r="JK81" s="1522"/>
      <c r="JL81" s="1522"/>
      <c r="JM81" s="1522"/>
      <c r="JN81" s="1522"/>
    </row>
    <row r="82" spans="1:274" s="1523" customFormat="1" ht="10.5" customHeight="1" x14ac:dyDescent="0.2">
      <c r="A82" s="1529" t="s">
        <v>887</v>
      </c>
      <c r="B82" s="1529"/>
      <c r="C82" s="1527">
        <v>0</v>
      </c>
      <c r="D82" s="1527">
        <v>0</v>
      </c>
      <c r="E82" s="1527">
        <v>0</v>
      </c>
      <c r="F82" s="1527">
        <v>0</v>
      </c>
      <c r="G82" s="1527">
        <v>0</v>
      </c>
      <c r="H82" s="1527">
        <v>0</v>
      </c>
      <c r="I82" s="1527">
        <v>-89.275000000000006</v>
      </c>
      <c r="J82" s="1527">
        <v>-60.731999999999999</v>
      </c>
      <c r="K82" s="1527">
        <v>-46.631</v>
      </c>
      <c r="L82" s="1527"/>
      <c r="M82" s="1529">
        <v>0</v>
      </c>
      <c r="N82" s="1529"/>
      <c r="O82" s="1529">
        <v>0</v>
      </c>
      <c r="P82" s="1529">
        <v>0</v>
      </c>
      <c r="Q82" s="1529">
        <v>0</v>
      </c>
      <c r="R82" s="1529">
        <f>130.824-Q82-P82-O82</f>
        <v>130.82400000000001</v>
      </c>
      <c r="S82" s="1529">
        <f>SUM(O82:R82)</f>
        <v>130.82400000000001</v>
      </c>
      <c r="T82" s="1529"/>
      <c r="U82" s="1529">
        <f>SUM(Q82:T82)</f>
        <v>261.64800000000002</v>
      </c>
      <c r="V82" s="1529">
        <f>SUM(R82:U82)</f>
        <v>523.29600000000005</v>
      </c>
      <c r="W82" s="1529">
        <f>SUM(S82:V82)</f>
        <v>915.76800000000003</v>
      </c>
      <c r="X82" s="1529">
        <f>177.491-W82-V82-U82</f>
        <v>-1523.221</v>
      </c>
      <c r="Y82" s="1529">
        <f>SUM(U82:X82)</f>
        <v>177.49099999999999</v>
      </c>
      <c r="Z82" s="1529"/>
      <c r="AA82" s="1529"/>
      <c r="AB82" s="1529"/>
      <c r="AC82" s="1529"/>
      <c r="AD82" s="1529">
        <f>252.077-AC82-AB82-AA82</f>
        <v>252.077</v>
      </c>
      <c r="AE82" s="1529">
        <f>SUM(AA82:AD82)</f>
        <v>252.077</v>
      </c>
      <c r="AF82" s="1529"/>
      <c r="AG82" s="1529">
        <v>0</v>
      </c>
      <c r="AH82" s="1529">
        <f>0-AG82</f>
        <v>0</v>
      </c>
      <c r="AI82" s="1529">
        <f>0-AH82-AG82</f>
        <v>0</v>
      </c>
      <c r="AJ82" s="1529">
        <f>803.402-AI82-AH82-AG82</f>
        <v>803.40200000000004</v>
      </c>
      <c r="AK82" s="1529">
        <f>SUM(AG82:AJ82)</f>
        <v>803.40200000000004</v>
      </c>
      <c r="AL82" s="1529"/>
      <c r="AM82" s="1529">
        <v>0</v>
      </c>
      <c r="AN82" s="1529">
        <v>0</v>
      </c>
      <c r="AO82" s="1529">
        <f>24.969-AN82-AM82</f>
        <v>24.969000000000001</v>
      </c>
      <c r="AP82" s="1529">
        <f>1055.938-AO82-AN82-AM241+24.969</f>
        <v>1055.9380000000001</v>
      </c>
      <c r="AQ82" s="1529">
        <f>SUM(AM82:AP82)</f>
        <v>1080.9070000000002</v>
      </c>
      <c r="AR82" s="1529"/>
      <c r="AS82" s="1529">
        <v>394.07299999999998</v>
      </c>
      <c r="AT82" s="1529">
        <f>796.836-AS82</f>
        <v>402.76300000000003</v>
      </c>
      <c r="AU82" s="1529">
        <f>1283.267+441.363-AT82-AS82</f>
        <v>927.79400000000021</v>
      </c>
      <c r="AV82" s="1529">
        <f>1470.375+7047.298-AU82-AT82-AS82</f>
        <v>6793.0429999999988</v>
      </c>
      <c r="AW82" s="1529">
        <f>AS82+AT82+AU82+AV82</f>
        <v>8517.6729999999989</v>
      </c>
      <c r="AX82" s="1529"/>
      <c r="AY82" s="1529">
        <f>174.317</f>
        <v>174.31700000000001</v>
      </c>
      <c r="AZ82" s="1529">
        <f>249.317-AY82</f>
        <v>75</v>
      </c>
      <c r="BA82" s="1529">
        <f>359.792-AZ82-AY82</f>
        <v>110.47499999999997</v>
      </c>
      <c r="BB82" s="1529">
        <f>588+137-BA82-AZ82-AY82</f>
        <v>365.20800000000008</v>
      </c>
      <c r="BC82" s="1529">
        <f>SUM(AY82:BB82)</f>
        <v>725</v>
      </c>
      <c r="BD82" s="1529"/>
      <c r="BE82" s="1529">
        <v>749.63300000000004</v>
      </c>
      <c r="BF82" s="1529">
        <f>1879-BE82</f>
        <v>1129.367</v>
      </c>
      <c r="BG82" s="1529">
        <f>3258-BF82-BE82</f>
        <v>1378.9999999999998</v>
      </c>
      <c r="BH82" s="1529">
        <f>4384-BG82-BF82-BE82</f>
        <v>1126</v>
      </c>
      <c r="BI82" s="1529">
        <f>SUM(BE82:BH82)</f>
        <v>4384</v>
      </c>
      <c r="BJ82" s="1529"/>
      <c r="BK82" s="1529">
        <v>1070</v>
      </c>
      <c r="BL82" s="1529">
        <f>2574-BK82</f>
        <v>1504</v>
      </c>
      <c r="BM82" s="1529">
        <f>4064-BL82-BK82</f>
        <v>1490</v>
      </c>
      <c r="BN82" s="1529">
        <f>5942-BM82-BL82-BK82</f>
        <v>1878</v>
      </c>
      <c r="BO82" s="1529">
        <f>SUM(BK82:BN82)</f>
        <v>5942</v>
      </c>
      <c r="BP82" s="1529"/>
      <c r="BQ82" s="1529">
        <v>1068</v>
      </c>
      <c r="BR82" s="1529">
        <f t="shared" si="197"/>
        <v>2329</v>
      </c>
      <c r="BS82" s="1529">
        <f t="shared" si="197"/>
        <v>2432</v>
      </c>
      <c r="BT82" s="1529">
        <f t="shared" si="197"/>
        <v>2180</v>
      </c>
      <c r="BU82" s="1529">
        <f>SUM(BQ82:BT82)</f>
        <v>8009</v>
      </c>
      <c r="BV82" s="1529"/>
      <c r="BW82" s="1529">
        <v>1923</v>
      </c>
      <c r="BX82" s="1529">
        <f t="shared" si="198"/>
        <v>4088</v>
      </c>
      <c r="BY82" s="1529">
        <f t="shared" si="198"/>
        <v>4526</v>
      </c>
      <c r="BZ82" s="1529">
        <f t="shared" si="198"/>
        <v>1657</v>
      </c>
      <c r="CA82" s="1529">
        <f>SUM(BW82:BZ82)</f>
        <v>12194</v>
      </c>
      <c r="CB82" s="1529"/>
      <c r="CC82" s="1529">
        <f>CC30</f>
        <v>827</v>
      </c>
      <c r="CD82" s="1529">
        <f t="shared" si="199"/>
        <v>376</v>
      </c>
      <c r="CE82" s="1529">
        <f t="shared" si="199"/>
        <v>1880</v>
      </c>
      <c r="CF82" s="1529">
        <f t="shared" si="199"/>
        <v>593</v>
      </c>
      <c r="CG82" s="1529">
        <f>SUM(CC82:CF82)</f>
        <v>3676</v>
      </c>
      <c r="CH82" s="1529"/>
      <c r="CI82" s="1529">
        <f>CI30</f>
        <v>642</v>
      </c>
      <c r="CJ82" s="1529">
        <f t="shared" si="200"/>
        <v>1562</v>
      </c>
      <c r="CK82" s="1529">
        <f t="shared" si="200"/>
        <v>2449</v>
      </c>
      <c r="CL82" s="1529">
        <f t="shared" si="200"/>
        <v>1103</v>
      </c>
      <c r="CM82" s="1536">
        <f>SUM(CI82:CL82)</f>
        <v>5756</v>
      </c>
      <c r="CN82" s="1529"/>
      <c r="CO82" s="1529">
        <f>CO30</f>
        <v>561</v>
      </c>
      <c r="CP82" s="1529">
        <f t="shared" si="181"/>
        <v>712</v>
      </c>
      <c r="CQ82" s="1529">
        <f t="shared" si="181"/>
        <v>1259</v>
      </c>
      <c r="CR82" s="1529">
        <f t="shared" si="181"/>
        <v>1749</v>
      </c>
      <c r="CS82" s="1536">
        <f>SUM(CO82:CR82)</f>
        <v>4281</v>
      </c>
      <c r="CT82" s="1529"/>
      <c r="CU82" s="1529">
        <f>CU30</f>
        <v>1420</v>
      </c>
      <c r="CV82" s="1529">
        <f t="shared" si="182"/>
        <v>2942</v>
      </c>
      <c r="CW82" s="1529">
        <f t="shared" si="182"/>
        <v>2035</v>
      </c>
      <c r="CX82" s="1529">
        <f t="shared" si="182"/>
        <v>2007</v>
      </c>
      <c r="CY82" s="1536">
        <f>SUM(CU82:CX82)</f>
        <v>8404</v>
      </c>
      <c r="CZ82" s="1529"/>
      <c r="DA82" s="1529">
        <f>DA30</f>
        <v>1947</v>
      </c>
      <c r="DB82" s="1529">
        <f t="shared" si="183"/>
        <v>2141</v>
      </c>
      <c r="DC82" s="1529">
        <f t="shared" si="183"/>
        <v>3033</v>
      </c>
      <c r="DD82" s="1529">
        <f t="shared" si="183"/>
        <v>4099</v>
      </c>
      <c r="DE82" s="1536">
        <f>SUM(DA82:DD82)</f>
        <v>11220</v>
      </c>
      <c r="DF82" s="1529"/>
      <c r="DG82" s="1529">
        <f>DG30</f>
        <v>4684</v>
      </c>
      <c r="DH82" s="1529">
        <f t="shared" si="184"/>
        <v>6469</v>
      </c>
      <c r="DI82" s="1529">
        <f t="shared" si="184"/>
        <v>8006</v>
      </c>
      <c r="DJ82" s="1529">
        <f t="shared" si="184"/>
        <v>7961</v>
      </c>
      <c r="DK82" s="1536">
        <f>SUM(DG82:DJ82)</f>
        <v>27120</v>
      </c>
      <c r="DL82" s="1529"/>
      <c r="DM82" s="1529">
        <f>DM30</f>
        <v>6768</v>
      </c>
      <c r="DN82" s="1529">
        <f t="shared" si="185"/>
        <v>9567</v>
      </c>
      <c r="DO82" s="1529">
        <f t="shared" si="185"/>
        <v>10137</v>
      </c>
      <c r="DP82" s="1529">
        <f t="shared" si="185"/>
        <v>9122</v>
      </c>
      <c r="DQ82" s="1536">
        <f>SUM(DM82:DP82)</f>
        <v>35594</v>
      </c>
      <c r="DR82" s="1529"/>
      <c r="DS82" s="1529">
        <f>DS30</f>
        <v>6794</v>
      </c>
      <c r="DT82" s="1529">
        <f t="shared" si="186"/>
        <v>8469</v>
      </c>
      <c r="DU82" s="1529">
        <f t="shared" si="186"/>
        <v>7096</v>
      </c>
      <c r="DV82" s="1529">
        <f t="shared" si="186"/>
        <v>7800</v>
      </c>
      <c r="DW82" s="1536">
        <f>SUM(DS82:DV82)</f>
        <v>30159</v>
      </c>
      <c r="DX82" s="1529"/>
      <c r="DY82" s="1529">
        <f>DY30</f>
        <v>6515</v>
      </c>
      <c r="DZ82" s="1529">
        <f t="shared" si="187"/>
        <v>7440</v>
      </c>
      <c r="EA82" s="1529">
        <f t="shared" si="187"/>
        <v>9155</v>
      </c>
      <c r="EB82" s="1529">
        <f t="shared" si="187"/>
        <v>5735</v>
      </c>
      <c r="EC82" s="1536">
        <f>SUM(DY82:EB82)</f>
        <v>28845</v>
      </c>
      <c r="ED82" s="1529"/>
      <c r="EE82" s="1529">
        <f>EE30</f>
        <v>3878</v>
      </c>
      <c r="EF82" s="1529">
        <f t="shared" si="188"/>
        <v>6275</v>
      </c>
      <c r="EG82" s="1529">
        <f t="shared" si="188"/>
        <v>4889</v>
      </c>
      <c r="EH82" s="1529">
        <f t="shared" si="188"/>
        <v>4962</v>
      </c>
      <c r="EI82" s="1536">
        <f>SUM(EE82:EH82)</f>
        <v>20004</v>
      </c>
      <c r="EJ82" s="1529"/>
      <c r="EK82" s="1529">
        <f>EK30</f>
        <v>4644</v>
      </c>
      <c r="EL82" s="1529">
        <f t="shared" si="189"/>
        <v>10444</v>
      </c>
      <c r="EM82" s="1529">
        <f t="shared" si="189"/>
        <v>3757</v>
      </c>
      <c r="EN82" s="1529">
        <f t="shared" si="189"/>
        <v>2402</v>
      </c>
      <c r="EO82" s="1536">
        <f>SUM(EK82:EN82)</f>
        <v>21247</v>
      </c>
      <c r="EP82" s="1529"/>
      <c r="EQ82" s="1529">
        <f>EQ30</f>
        <v>1752</v>
      </c>
      <c r="ER82" s="1529">
        <f t="shared" si="190"/>
        <v>4328</v>
      </c>
      <c r="ES82" s="1529">
        <f t="shared" si="190"/>
        <v>5745</v>
      </c>
      <c r="ET82" s="1529">
        <f t="shared" si="190"/>
        <v>5790</v>
      </c>
      <c r="EU82" s="1536">
        <f>SUM(EQ82:ET82)</f>
        <v>17615</v>
      </c>
      <c r="EV82" s="1529"/>
      <c r="EW82" s="1529">
        <f>EW30</f>
        <v>6326</v>
      </c>
      <c r="EX82" s="1529">
        <f t="shared" si="191"/>
        <v>5240</v>
      </c>
      <c r="EY82" s="1529">
        <f t="shared" si="191"/>
        <v>5503</v>
      </c>
      <c r="EZ82" s="1529">
        <f t="shared" si="192"/>
        <v>5000</v>
      </c>
      <c r="FA82" s="1536">
        <f>SUM(EW82:EZ82)</f>
        <v>22069</v>
      </c>
      <c r="FB82" s="1529"/>
      <c r="FC82" s="1529">
        <f>FC30</f>
        <v>5000</v>
      </c>
      <c r="FD82" s="1529">
        <f t="shared" si="193"/>
        <v>5000</v>
      </c>
      <c r="FE82" s="1529">
        <f t="shared" si="193"/>
        <v>5000</v>
      </c>
      <c r="FF82" s="1529">
        <f t="shared" si="193"/>
        <v>5000</v>
      </c>
      <c r="FG82" s="1536">
        <f>SUM(FC82:FF82)</f>
        <v>20000</v>
      </c>
      <c r="FH82" s="1529"/>
      <c r="FI82" s="1529">
        <f>FI30</f>
        <v>5000</v>
      </c>
      <c r="FJ82" s="1529">
        <f t="shared" si="194"/>
        <v>5000</v>
      </c>
      <c r="FK82" s="1529">
        <f t="shared" si="195"/>
        <v>5000</v>
      </c>
      <c r="FL82" s="1529">
        <f t="shared" si="196"/>
        <v>5000</v>
      </c>
      <c r="FM82" s="1536">
        <f>SUM(FI82:FL82)</f>
        <v>20000</v>
      </c>
      <c r="FN82" s="1524"/>
      <c r="FO82" s="1524"/>
      <c r="FP82" s="1524"/>
      <c r="FQ82" s="1524"/>
      <c r="FR82" s="1524"/>
      <c r="FS82"/>
      <c r="FT82"/>
      <c r="FU82"/>
      <c r="FV82"/>
      <c r="FW82"/>
      <c r="FX82"/>
      <c r="FY82" s="1524"/>
      <c r="FZ82" s="1522"/>
      <c r="GA82" s="1522"/>
      <c r="GB82" s="1522"/>
      <c r="GC82" s="1522"/>
      <c r="GD82" s="1522"/>
      <c r="GE82" s="1522"/>
      <c r="GF82" s="1522"/>
      <c r="GG82" s="1522"/>
      <c r="GH82" s="1522"/>
      <c r="GI82" s="1522"/>
      <c r="GJ82" s="1522"/>
      <c r="GK82" s="1522"/>
      <c r="GL82" s="1522"/>
      <c r="GM82" s="1522"/>
      <c r="GN82" s="1522"/>
      <c r="GO82" s="1522"/>
      <c r="GP82" s="1522"/>
      <c r="GQ82" s="1522"/>
      <c r="GR82" s="1522"/>
      <c r="GS82" s="1522"/>
      <c r="GT82" s="1522"/>
      <c r="GU82" s="1522"/>
      <c r="GV82" s="1522"/>
      <c r="GW82" s="1522"/>
      <c r="GX82" s="1522"/>
      <c r="GY82" s="1522"/>
      <c r="GZ82" s="1522"/>
      <c r="HA82" s="1522"/>
      <c r="HB82" s="1522"/>
      <c r="HC82" s="1522"/>
      <c r="HD82" s="1522"/>
      <c r="HE82" s="1522"/>
      <c r="HF82" s="1522"/>
      <c r="HG82" s="1522"/>
      <c r="HH82" s="1522"/>
      <c r="HI82" s="1522"/>
      <c r="HJ82" s="1522"/>
      <c r="HK82" s="1522"/>
      <c r="HL82" s="1522"/>
      <c r="HM82" s="1522"/>
      <c r="HN82" s="1522"/>
      <c r="HO82" s="1522"/>
      <c r="HP82" s="1522"/>
      <c r="HQ82" s="1522"/>
      <c r="HR82" s="1522"/>
      <c r="HS82" s="1522"/>
      <c r="HT82" s="1522"/>
      <c r="HU82" s="1522"/>
      <c r="HV82" s="1522"/>
      <c r="HW82" s="1522"/>
      <c r="HX82" s="1522"/>
      <c r="HY82" s="1522"/>
      <c r="HZ82" s="1522"/>
      <c r="IA82" s="1522"/>
      <c r="IB82" s="1522"/>
      <c r="IC82" s="1522"/>
      <c r="ID82" s="1522"/>
      <c r="IE82" s="1522"/>
      <c r="IF82" s="1522"/>
      <c r="IG82" s="1522"/>
      <c r="IH82" s="1522"/>
      <c r="II82" s="1522"/>
      <c r="IJ82" s="1522"/>
      <c r="IK82" s="1522"/>
      <c r="IL82" s="1522"/>
      <c r="IM82" s="1522"/>
      <c r="IN82" s="1522"/>
      <c r="IO82" s="1522"/>
      <c r="IP82" s="1522"/>
      <c r="IQ82" s="1522"/>
      <c r="IR82" s="1522"/>
      <c r="IS82" s="1522"/>
      <c r="IT82" s="1522"/>
      <c r="IU82" s="1522"/>
      <c r="IV82" s="1522"/>
      <c r="IW82" s="1522"/>
      <c r="IX82" s="1522"/>
      <c r="IY82" s="1522"/>
      <c r="IZ82" s="1522"/>
      <c r="JA82" s="1522"/>
      <c r="JB82" s="1522"/>
      <c r="JC82" s="1522"/>
      <c r="JD82" s="1522"/>
      <c r="JE82" s="1522"/>
      <c r="JF82" s="1522"/>
      <c r="JG82" s="1522"/>
      <c r="JH82" s="1522"/>
      <c r="JI82" s="1522"/>
      <c r="JJ82" s="1522"/>
      <c r="JK82" s="1522"/>
      <c r="JL82" s="1522"/>
      <c r="JM82" s="1522"/>
      <c r="JN82" s="1522"/>
    </row>
    <row r="83" spans="1:274" s="1523" customFormat="1" ht="10.5" customHeight="1" x14ac:dyDescent="0.2">
      <c r="A83" s="1529" t="s">
        <v>416</v>
      </c>
      <c r="B83" s="1529"/>
      <c r="C83" s="1527">
        <v>0</v>
      </c>
      <c r="D83" s="1527">
        <v>0</v>
      </c>
      <c r="E83" s="1527">
        <f>0.138-11.472</f>
        <v>-11.334</v>
      </c>
      <c r="F83" s="1527">
        <v>-15.411</v>
      </c>
      <c r="G83" s="1527">
        <v>-30.959</v>
      </c>
      <c r="H83" s="1527">
        <v>-68.427999999999997</v>
      </c>
      <c r="I83" s="1527">
        <v>-27.638999999999999</v>
      </c>
      <c r="J83" s="1527">
        <v>-47.844999999999999</v>
      </c>
      <c r="K83" s="1527">
        <f>-41.825</f>
        <v>-41.825000000000003</v>
      </c>
      <c r="L83" s="1527">
        <v>-41.313000000000002</v>
      </c>
      <c r="M83" s="1529">
        <v>-250.65</v>
      </c>
      <c r="N83" s="1529"/>
      <c r="O83" s="1529">
        <v>-30.135000000000002</v>
      </c>
      <c r="P83" s="1529">
        <f>-107.942-O83</f>
        <v>-77.806999999999988</v>
      </c>
      <c r="Q83" s="1529">
        <f>-179.653-P83-O83</f>
        <v>-71.710999999999999</v>
      </c>
      <c r="R83" s="1529">
        <f>-262.046-Q83-P83-O83</f>
        <v>-82.392999999999986</v>
      </c>
      <c r="S83" s="1529">
        <f>SUM(O83:R83)</f>
        <v>-262.04599999999999</v>
      </c>
      <c r="T83" s="1529"/>
      <c r="U83" s="1529">
        <v>-59.667000000000002</v>
      </c>
      <c r="V83" s="1529">
        <f>-140.617-U83</f>
        <v>-80.949999999999989</v>
      </c>
      <c r="W83" s="1529">
        <f>-220.022-V83-U83</f>
        <v>-79.405000000000001</v>
      </c>
      <c r="X83" s="1529">
        <f>-308.392-W83-V83-U83</f>
        <v>-88.37</v>
      </c>
      <c r="Y83" s="1529">
        <f>SUM(U83:X83)</f>
        <v>-308.392</v>
      </c>
      <c r="Z83" s="1529"/>
      <c r="AA83" s="1529">
        <f>-88.976</f>
        <v>-88.975999999999999</v>
      </c>
      <c r="AB83" s="1529">
        <f>-173.853-AA83</f>
        <v>-84.87700000000001</v>
      </c>
      <c r="AC83" s="1529">
        <f>-240.398-AB83-AA83</f>
        <v>-66.544999999999987</v>
      </c>
      <c r="AD83" s="1529">
        <f>-390.741-AC83-AB83-AA83</f>
        <v>-150.34300000000002</v>
      </c>
      <c r="AE83" s="1529">
        <f>SUM(AA83:AD83)</f>
        <v>-390.74099999999999</v>
      </c>
      <c r="AF83" s="1529"/>
      <c r="AG83" s="1529">
        <f>-77.484</f>
        <v>-77.483999999999995</v>
      </c>
      <c r="AH83" s="1529">
        <f>-155.294-AG83</f>
        <v>-77.810000000000016</v>
      </c>
      <c r="AI83" s="1529">
        <f>-240.581-AH83-AG83</f>
        <v>-85.286999999999964</v>
      </c>
      <c r="AJ83" s="1529">
        <f>-328.358-AI83-AH83-AG83</f>
        <v>-87.777000000000029</v>
      </c>
      <c r="AK83" s="1529">
        <f>SUM(AG83:AJ83)</f>
        <v>-328.358</v>
      </c>
      <c r="AL83" s="1529"/>
      <c r="AM83" s="1529">
        <v>-88.319000000000003</v>
      </c>
      <c r="AN83" s="1529">
        <f>-172.932-AM83</f>
        <v>-84.612999999999985</v>
      </c>
      <c r="AO83" s="1529">
        <f>-258.959-AN83-AM83</f>
        <v>-86.027000000000001</v>
      </c>
      <c r="AP83" s="1529">
        <f>-346.592-AO83-AN83-AM83</f>
        <v>-87.632999999999996</v>
      </c>
      <c r="AQ83" s="1529">
        <f>SUM(AM83:AP83)</f>
        <v>-346.59199999999998</v>
      </c>
      <c r="AR83" s="1529"/>
      <c r="AS83" s="1529">
        <f>-54.892</f>
        <v>-54.892000000000003</v>
      </c>
      <c r="AT83" s="1529">
        <f>-124.46-AS83</f>
        <v>-69.567999999999984</v>
      </c>
      <c r="AU83" s="1529">
        <f>-219.513-AT83-AS83</f>
        <v>-95.053000000000026</v>
      </c>
      <c r="AV83" s="1529">
        <f>-263.443-AU83-AT83-AS83</f>
        <v>-43.929999999999971</v>
      </c>
      <c r="AW83" s="1529">
        <f>AS83+AT83+AU83+AV83</f>
        <v>-263.44299999999998</v>
      </c>
      <c r="AX83" s="1529"/>
      <c r="AY83" s="1529">
        <v>-73.397000000000006</v>
      </c>
      <c r="AZ83" s="1529">
        <f>-153.997-AY83</f>
        <v>-80.600000000000009</v>
      </c>
      <c r="BA83" s="1529">
        <f>-216.689-AZ83-AY83</f>
        <v>-62.691999999999993</v>
      </c>
      <c r="BB83" s="1529">
        <f>-313-BA83-AZ83-AY83</f>
        <v>-96.310999999999964</v>
      </c>
      <c r="BC83" s="1529">
        <f>SUM(AY83:BB83)</f>
        <v>-313</v>
      </c>
      <c r="BD83" s="1529"/>
      <c r="BE83" s="1529">
        <v>-112.547</v>
      </c>
      <c r="BF83" s="1529">
        <f>-160-BE83</f>
        <v>-47.453000000000003</v>
      </c>
      <c r="BG83" s="1529">
        <f>-199-BF83-BE83</f>
        <v>-39</v>
      </c>
      <c r="BH83" s="1529">
        <f>-278-BG83-BF83-BE83</f>
        <v>-79</v>
      </c>
      <c r="BI83" s="1529">
        <f>SUM(BE83:BH83)</f>
        <v>-278</v>
      </c>
      <c r="BJ83" s="1529"/>
      <c r="BK83" s="1529">
        <v>-43</v>
      </c>
      <c r="BL83" s="1529">
        <f>-75-BK83</f>
        <v>-32</v>
      </c>
      <c r="BM83" s="1529">
        <f>-88-BL83-BK83</f>
        <v>-13</v>
      </c>
      <c r="BN83" s="1529">
        <f>-291-BM83-BL83-BK83</f>
        <v>-203</v>
      </c>
      <c r="BO83" s="1529">
        <f>SUM(BK83:BN83)</f>
        <v>-291</v>
      </c>
      <c r="BP83" s="1529"/>
      <c r="BQ83" s="1529">
        <v>-76</v>
      </c>
      <c r="BR83" s="1529">
        <f t="shared" si="197"/>
        <v>-27</v>
      </c>
      <c r="BS83" s="1529">
        <f t="shared" si="197"/>
        <v>-41</v>
      </c>
      <c r="BT83" s="1529">
        <f t="shared" si="197"/>
        <v>-45</v>
      </c>
      <c r="BU83" s="1529">
        <f>SUM(BQ83:BT83)</f>
        <v>-189</v>
      </c>
      <c r="BV83" s="1529"/>
      <c r="BW83" s="1529">
        <v>-34</v>
      </c>
      <c r="BX83" s="1529">
        <f t="shared" si="198"/>
        <v>-58</v>
      </c>
      <c r="BY83" s="1529">
        <f t="shared" si="198"/>
        <v>-58</v>
      </c>
      <c r="BZ83" s="1529">
        <f t="shared" si="198"/>
        <v>-38</v>
      </c>
      <c r="CA83" s="1529">
        <f>SUM(BW83:BZ83)</f>
        <v>-188</v>
      </c>
      <c r="CB83" s="1529"/>
      <c r="CC83" s="1529">
        <f>CC31</f>
        <v>-52</v>
      </c>
      <c r="CD83" s="1529">
        <f t="shared" si="199"/>
        <v>-34</v>
      </c>
      <c r="CE83" s="1529">
        <f t="shared" si="199"/>
        <v>-75</v>
      </c>
      <c r="CF83" s="1529">
        <f t="shared" si="199"/>
        <v>-75</v>
      </c>
      <c r="CG83" s="1529">
        <f>SUM(CC83:CF83)</f>
        <v>-236</v>
      </c>
      <c r="CH83" s="1529"/>
      <c r="CI83" s="1529">
        <f>CI31</f>
        <v>-49</v>
      </c>
      <c r="CJ83" s="1529">
        <f t="shared" si="200"/>
        <v>-57</v>
      </c>
      <c r="CK83" s="1529">
        <f t="shared" si="200"/>
        <v>-77</v>
      </c>
      <c r="CL83" s="1529">
        <f t="shared" si="200"/>
        <v>-136</v>
      </c>
      <c r="CM83" s="1536">
        <f>SUM(CI83:CL83)</f>
        <v>-319</v>
      </c>
      <c r="CN83" s="1529"/>
      <c r="CO83" s="1529">
        <f>CO31</f>
        <v>-87</v>
      </c>
      <c r="CP83" s="1529">
        <f t="shared" si="181"/>
        <v>-69</v>
      </c>
      <c r="CQ83" s="1529">
        <f t="shared" si="181"/>
        <v>-39</v>
      </c>
      <c r="CR83" s="1529">
        <f t="shared" si="181"/>
        <v>-48</v>
      </c>
      <c r="CS83" s="1536">
        <f>SUM(CO83:CR83)</f>
        <v>-243</v>
      </c>
      <c r="CT83" s="1529"/>
      <c r="CU83" s="1529">
        <f>CU31</f>
        <v>-323</v>
      </c>
      <c r="CV83" s="1529">
        <f t="shared" si="182"/>
        <v>-76</v>
      </c>
      <c r="CW83" s="1529">
        <f t="shared" si="182"/>
        <v>-92</v>
      </c>
      <c r="CX83" s="1529">
        <f t="shared" si="182"/>
        <v>-38</v>
      </c>
      <c r="CY83" s="1536">
        <f>SUM(CU83:CX83)</f>
        <v>-529</v>
      </c>
      <c r="CZ83" s="1529"/>
      <c r="DA83" s="1529">
        <f>DA31</f>
        <v>-55</v>
      </c>
      <c r="DB83" s="1529">
        <f t="shared" si="183"/>
        <v>-45</v>
      </c>
      <c r="DC83" s="1529">
        <f t="shared" si="183"/>
        <v>-61</v>
      </c>
      <c r="DD83" s="1529">
        <f t="shared" si="183"/>
        <v>-69</v>
      </c>
      <c r="DE83" s="1536">
        <f>SUM(DA83:DD83)</f>
        <v>-230</v>
      </c>
      <c r="DF83" s="1529"/>
      <c r="DG83" s="1529">
        <f>DG31</f>
        <v>-118</v>
      </c>
      <c r="DH83" s="1529">
        <f t="shared" si="184"/>
        <v>-121</v>
      </c>
      <c r="DI83" s="1529">
        <f t="shared" si="184"/>
        <v>-133</v>
      </c>
      <c r="DJ83" s="1529">
        <f t="shared" si="184"/>
        <v>-78</v>
      </c>
      <c r="DK83" s="1536">
        <f>SUM(DG83:DJ83)</f>
        <v>-450</v>
      </c>
      <c r="DL83" s="1529"/>
      <c r="DM83" s="1529">
        <f>DM31</f>
        <v>-160</v>
      </c>
      <c r="DN83" s="1529">
        <f t="shared" si="185"/>
        <v>-109</v>
      </c>
      <c r="DO83" s="1529">
        <f t="shared" si="185"/>
        <v>-162</v>
      </c>
      <c r="DP83" s="1529">
        <f t="shared" si="185"/>
        <v>-217</v>
      </c>
      <c r="DQ83" s="1536">
        <f>SUM(DM83:DP83)</f>
        <v>-648</v>
      </c>
      <c r="DR83" s="1529"/>
      <c r="DS83" s="1529">
        <f>DS31</f>
        <v>-139</v>
      </c>
      <c r="DT83" s="1529">
        <f t="shared" si="186"/>
        <v>-212</v>
      </c>
      <c r="DU83" s="1529">
        <f t="shared" si="186"/>
        <v>-116</v>
      </c>
      <c r="DV83" s="1529">
        <f t="shared" si="186"/>
        <v>-183</v>
      </c>
      <c r="DW83" s="1536">
        <f>SUM(DS83:DV83)</f>
        <v>-650</v>
      </c>
      <c r="DX83" s="1529"/>
      <c r="DY83" s="1529">
        <f>DY31</f>
        <v>-153</v>
      </c>
      <c r="DZ83" s="1529">
        <f t="shared" si="187"/>
        <v>-126</v>
      </c>
      <c r="EA83" s="1529">
        <f t="shared" si="187"/>
        <v>-147</v>
      </c>
      <c r="EB83" s="1529">
        <f t="shared" si="187"/>
        <v>-154</v>
      </c>
      <c r="EC83" s="1536">
        <f>SUM(DY83:EB83)</f>
        <v>-580</v>
      </c>
      <c r="ED83" s="1529"/>
      <c r="EE83" s="1529">
        <f>EE31</f>
        <v>-201</v>
      </c>
      <c r="EF83" s="1529">
        <f t="shared" si="188"/>
        <v>-225</v>
      </c>
      <c r="EG83" s="1529">
        <f t="shared" si="188"/>
        <v>-368</v>
      </c>
      <c r="EH83" s="1529">
        <f t="shared" si="188"/>
        <v>-597</v>
      </c>
      <c r="EI83" s="1536">
        <f>SUM(EE83:EH83)</f>
        <v>-1391</v>
      </c>
      <c r="EJ83" s="1529"/>
      <c r="EK83" s="1529">
        <f>EK31</f>
        <v>-446</v>
      </c>
      <c r="EL83" s="1529">
        <f t="shared" si="189"/>
        <v>-195</v>
      </c>
      <c r="EM83" s="1529">
        <f t="shared" si="189"/>
        <v>-368</v>
      </c>
      <c r="EN83" s="1529">
        <f t="shared" si="189"/>
        <v>-180</v>
      </c>
      <c r="EO83" s="1536">
        <f>SUM(EK83:EN83)</f>
        <v>-1189</v>
      </c>
      <c r="EP83" s="1529"/>
      <c r="EQ83" s="1529">
        <f>EQ31</f>
        <v>-299</v>
      </c>
      <c r="ER83" s="1529">
        <f t="shared" si="190"/>
        <v>-757</v>
      </c>
      <c r="ES83" s="1529">
        <f t="shared" si="190"/>
        <v>-440</v>
      </c>
      <c r="ET83" s="1529">
        <f t="shared" si="190"/>
        <v>-525</v>
      </c>
      <c r="EU83" s="1536">
        <f>SUM(EQ83:ET83)</f>
        <v>-2021</v>
      </c>
      <c r="EV83" s="1529"/>
      <c r="EW83" s="1529">
        <f>EW31</f>
        <v>-473</v>
      </c>
      <c r="EX83" s="1529">
        <f t="shared" si="191"/>
        <v>-599</v>
      </c>
      <c r="EY83" s="1529">
        <f t="shared" si="191"/>
        <v>-286</v>
      </c>
      <c r="EZ83" s="1529">
        <f>EZ31-EY31</f>
        <v>-477.6920719931727</v>
      </c>
      <c r="FA83" s="1536">
        <f>SUM(EW83:EZ83)</f>
        <v>-1835.6920719931727</v>
      </c>
      <c r="FB83" s="1529"/>
      <c r="FC83" s="1529">
        <f>FC31</f>
        <v>-461.66827423997353</v>
      </c>
      <c r="FD83" s="1529">
        <f t="shared" si="193"/>
        <v>-465.71486010870007</v>
      </c>
      <c r="FE83" s="1529">
        <f t="shared" si="193"/>
        <v>-469.34696826164054</v>
      </c>
      <c r="FF83" s="1529">
        <f t="shared" si="193"/>
        <v>-471.80572028937695</v>
      </c>
      <c r="FG83" s="1536">
        <f>SUM(FC83:FF83)</f>
        <v>-1868.5358228996911</v>
      </c>
      <c r="FH83" s="1529"/>
      <c r="FI83" s="1529">
        <f>FI31</f>
        <v>-476.29301883151368</v>
      </c>
      <c r="FJ83" s="1529">
        <f t="shared" si="194"/>
        <v>-480.44424940030865</v>
      </c>
      <c r="FK83" s="1529">
        <f t="shared" si="195"/>
        <v>-484.44823461305987</v>
      </c>
      <c r="FL83" s="1529">
        <f t="shared" si="196"/>
        <v>-487.58684330970232</v>
      </c>
      <c r="FM83" s="1536">
        <f>SUM(FI83:FL83)</f>
        <v>-1928.7723461545845</v>
      </c>
      <c r="FN83" s="1524"/>
      <c r="FO83" s="1524"/>
      <c r="FP83" s="1524"/>
      <c r="FQ83" s="1524"/>
      <c r="FR83" s="1524"/>
      <c r="FS83"/>
      <c r="FT83"/>
      <c r="FU83"/>
      <c r="FV83"/>
      <c r="FW83"/>
      <c r="FX83"/>
      <c r="FY83" s="1524"/>
      <c r="FZ83" s="1522"/>
      <c r="GA83" s="1522"/>
      <c r="GB83" s="1522"/>
      <c r="GC83" s="1522"/>
      <c r="GD83" s="1522"/>
      <c r="GE83" s="1522"/>
      <c r="GF83" s="1522"/>
      <c r="GG83" s="1522"/>
      <c r="GH83" s="1522"/>
      <c r="GI83" s="1522"/>
      <c r="GJ83" s="1522"/>
      <c r="GK83" s="1522"/>
      <c r="GL83" s="1522"/>
      <c r="GM83" s="1522"/>
      <c r="GN83" s="1522"/>
      <c r="GO83" s="1522"/>
      <c r="GP83" s="1522"/>
      <c r="GQ83" s="1522"/>
      <c r="GR83" s="1522"/>
      <c r="GS83" s="1522"/>
      <c r="GT83" s="1522"/>
      <c r="GU83" s="1522"/>
      <c r="GV83" s="1522"/>
      <c r="GW83" s="1522"/>
      <c r="GX83" s="1522"/>
      <c r="GY83" s="1522"/>
      <c r="GZ83" s="1522"/>
      <c r="HA83" s="1522"/>
      <c r="HB83" s="1522"/>
      <c r="HC83" s="1522"/>
      <c r="HD83" s="1522"/>
      <c r="HE83" s="1522"/>
      <c r="HF83" s="1522"/>
      <c r="HG83" s="1522"/>
      <c r="HH83" s="1522"/>
      <c r="HI83" s="1522"/>
      <c r="HJ83" s="1522"/>
      <c r="HK83" s="1522"/>
      <c r="HL83" s="1522"/>
      <c r="HM83" s="1522"/>
      <c r="HN83" s="1522"/>
      <c r="HO83" s="1522"/>
      <c r="HP83" s="1522"/>
      <c r="HQ83" s="1522"/>
      <c r="HR83" s="1522"/>
      <c r="HS83" s="1522"/>
      <c r="HT83" s="1522"/>
      <c r="HU83" s="1522"/>
      <c r="HV83" s="1522"/>
      <c r="HW83" s="1522"/>
      <c r="HX83" s="1522"/>
      <c r="HY83" s="1522"/>
      <c r="HZ83" s="1522"/>
      <c r="IA83" s="1522"/>
      <c r="IB83" s="1522"/>
      <c r="IC83" s="1522"/>
      <c r="ID83" s="1522"/>
      <c r="IE83" s="1522"/>
      <c r="IF83" s="1522"/>
      <c r="IG83" s="1522"/>
      <c r="IH83" s="1522"/>
      <c r="II83" s="1522"/>
      <c r="IJ83" s="1522"/>
      <c r="IK83" s="1522"/>
      <c r="IL83" s="1522"/>
      <c r="IM83" s="1522"/>
      <c r="IN83" s="1522"/>
      <c r="IO83" s="1522"/>
      <c r="IP83" s="1522"/>
      <c r="IQ83" s="1522"/>
      <c r="IR83" s="1522"/>
      <c r="IS83" s="1522"/>
      <c r="IT83" s="1522"/>
      <c r="IU83" s="1522"/>
      <c r="IV83" s="1522"/>
      <c r="IW83" s="1522"/>
      <c r="IX83" s="1522"/>
      <c r="IY83" s="1522"/>
      <c r="IZ83" s="1522"/>
      <c r="JA83" s="1522"/>
      <c r="JB83" s="1522"/>
      <c r="JC83" s="1522"/>
      <c r="JD83" s="1522"/>
      <c r="JE83" s="1522"/>
      <c r="JF83" s="1522"/>
      <c r="JG83" s="1522"/>
      <c r="JH83" s="1522"/>
      <c r="JI83" s="1522"/>
      <c r="JJ83" s="1522"/>
      <c r="JK83" s="1522"/>
      <c r="JL83" s="1522"/>
      <c r="JM83" s="1522"/>
      <c r="JN83" s="1522"/>
    </row>
    <row r="84" spans="1:274" s="1523" customFormat="1" ht="10.5" customHeight="1" x14ac:dyDescent="0.2">
      <c r="A84" s="1529" t="s">
        <v>417</v>
      </c>
      <c r="B84" s="1529"/>
      <c r="C84" s="1527">
        <v>0</v>
      </c>
      <c r="D84" s="1527">
        <v>0</v>
      </c>
      <c r="E84" s="1527">
        <v>-0.56200000000000006</v>
      </c>
      <c r="F84" s="1527">
        <f>-5.149-0.747-0.756</f>
        <v>-6.6520000000000001</v>
      </c>
      <c r="G84" s="1527">
        <f>-4.447-0.481</f>
        <v>-4.9279999999999999</v>
      </c>
      <c r="H84" s="1527">
        <f>-10.526-2.084-6.65</f>
        <v>-19.259999999999998</v>
      </c>
      <c r="I84" s="1527">
        <v>-1.1160000000000001</v>
      </c>
      <c r="J84" s="1527">
        <v>-2.8239999999999998</v>
      </c>
      <c r="K84" s="1527">
        <v>-4.6840000000000002</v>
      </c>
      <c r="L84" s="1527">
        <f>-30.647-4.788</f>
        <v>-35.435000000000002</v>
      </c>
      <c r="M84" s="1529">
        <f>-38.067-25.714</f>
        <v>-63.780999999999999</v>
      </c>
      <c r="N84" s="1529"/>
      <c r="O84" s="1529">
        <f>-10.816-11.79</f>
        <v>-22.606000000000002</v>
      </c>
      <c r="P84" s="1529">
        <f>-22.585-127.299-O84</f>
        <v>-127.27800000000002</v>
      </c>
      <c r="Q84" s="1529">
        <f>-34.681-131.041-P84-O84</f>
        <v>-15.837999999999958</v>
      </c>
      <c r="R84" s="1529">
        <f>-48.187-139.824-Q84-P84-O84</f>
        <v>-22.289000000000037</v>
      </c>
      <c r="S84" s="1529">
        <f>SUM(O84:R84)</f>
        <v>-188.01100000000002</v>
      </c>
      <c r="T84" s="1529"/>
      <c r="U84" s="1529">
        <f>-12.586-108.124</f>
        <v>-120.71</v>
      </c>
      <c r="V84" s="1529">
        <f>-25.35-107.137-U84</f>
        <v>-11.777000000000001</v>
      </c>
      <c r="W84" s="1529">
        <f>-36.478-113.777-V84-U84</f>
        <v>-17.768000000000015</v>
      </c>
      <c r="X84" s="1529">
        <f>-48.031-133.596-W84-V84-U84</f>
        <v>-31.372</v>
      </c>
      <c r="Y84" s="1529">
        <f>SUM(U84:X84)</f>
        <v>-181.62700000000001</v>
      </c>
      <c r="Z84" s="1529"/>
      <c r="AA84" s="1529">
        <f>-9.509-17.6</f>
        <v>-27.109000000000002</v>
      </c>
      <c r="AB84" s="1529">
        <f>-16.891-19.178-AA84</f>
        <v>-8.9600000000000009</v>
      </c>
      <c r="AC84" s="1529">
        <f>-22.424-68.824-AB84-AA84</f>
        <v>-55.178999999999981</v>
      </c>
      <c r="AD84" s="1529">
        <f>-28.064-86.34-AC84-AB84-AA84</f>
        <v>-23.156000000000013</v>
      </c>
      <c r="AE84" s="1529">
        <f>SUM(AA84:AD84)</f>
        <v>-114.404</v>
      </c>
      <c r="AF84" s="1529"/>
      <c r="AG84" s="1529">
        <f>-4.442-35.849</f>
        <v>-40.290999999999997</v>
      </c>
      <c r="AH84" s="1529">
        <f>-169.898-17.337-AG84</f>
        <v>-146.94399999999999</v>
      </c>
      <c r="AI84" s="1529">
        <f>-29.863-179.113-AH84-AG84</f>
        <v>-21.741000000000014</v>
      </c>
      <c r="AJ84" s="1529">
        <f>-38.079-163.42-AI84-AH84-AG84</f>
        <v>7.4770000000000039</v>
      </c>
      <c r="AK84" s="1529">
        <f>SUM(AG84:AJ84)</f>
        <v>-201.499</v>
      </c>
      <c r="AL84" s="1529"/>
      <c r="AM84" s="1529">
        <f>-7.14-40.265</f>
        <v>-47.405000000000001</v>
      </c>
      <c r="AN84" s="1529">
        <f>-14.924-78.008-AM84</f>
        <v>-45.526999999999987</v>
      </c>
      <c r="AO84" s="1529">
        <f>-24.186-147.48-AN84-AM84</f>
        <v>-78.734000000000009</v>
      </c>
      <c r="AP84" s="1529">
        <f>-32.855-253.203-AO84-AN84-AM84</f>
        <v>-114.392</v>
      </c>
      <c r="AQ84" s="1529">
        <f>SUM(AM84:AP84)</f>
        <v>-286.05799999999999</v>
      </c>
      <c r="AR84" s="1529"/>
      <c r="AS84" s="1529">
        <f>-8.875-3.807</f>
        <v>-12.682</v>
      </c>
      <c r="AT84" s="1529">
        <f>-7.754-35.436-AS84</f>
        <v>-30.507999999999996</v>
      </c>
      <c r="AU84" s="1529">
        <f>-197.464-AT84-AS84</f>
        <v>-154.27400000000003</v>
      </c>
      <c r="AV84" s="1529">
        <f>-474.602-AU84-AT84-AS84</f>
        <v>-277.13799999999998</v>
      </c>
      <c r="AW84" s="1529">
        <f>AS84+AT84+AU84+AV84</f>
        <v>-474.60199999999998</v>
      </c>
      <c r="AX84" s="1529"/>
      <c r="AY84" s="1529">
        <f>36.252+37.302</f>
        <v>73.554000000000002</v>
      </c>
      <c r="AZ84" s="1529">
        <f>51.731+2.36-AY84</f>
        <v>-19.463000000000001</v>
      </c>
      <c r="BA84" s="1529">
        <f>126.988-100.772-AZ84-AY84</f>
        <v>-27.875000000000007</v>
      </c>
      <c r="BB84" s="1529">
        <f>-83-BA84-AZ84-AY84</f>
        <v>-109.21599999999999</v>
      </c>
      <c r="BC84" s="1529">
        <f>SUM(AY84:BB84)</f>
        <v>-83</v>
      </c>
      <c r="BD84" s="1529"/>
      <c r="BE84" s="1529">
        <f>9.389-18.526</f>
        <v>-9.1370000000000005</v>
      </c>
      <c r="BF84" s="1529">
        <f>-27-BE84</f>
        <v>-17.863</v>
      </c>
      <c r="BG84" s="1529">
        <f>-9-BF84-BE84</f>
        <v>18</v>
      </c>
      <c r="BH84" s="1529">
        <f>-49-BG84-BF84-BE84</f>
        <v>-40</v>
      </c>
      <c r="BI84" s="1529">
        <f>SUM(BE84:BH84)</f>
        <v>-49</v>
      </c>
      <c r="BJ84" s="1529"/>
      <c r="BK84" s="1529">
        <v>-94</v>
      </c>
      <c r="BL84" s="1529">
        <f>-68-BK84</f>
        <v>26</v>
      </c>
      <c r="BM84" s="1529">
        <f>-64-BL84-BK84</f>
        <v>4</v>
      </c>
      <c r="BN84" s="1529">
        <f>-43-BM84-BL84-BK84</f>
        <v>21</v>
      </c>
      <c r="BO84" s="1529">
        <f>SUM(BK84:BN84)</f>
        <v>-43</v>
      </c>
      <c r="BP84" s="1529"/>
      <c r="BQ84" s="1529">
        <v>-12</v>
      </c>
      <c r="BR84" s="1529">
        <f t="shared" si="197"/>
        <v>-9</v>
      </c>
      <c r="BS84" s="1529">
        <f t="shared" si="197"/>
        <v>-12</v>
      </c>
      <c r="BT84" s="1529">
        <f t="shared" si="197"/>
        <v>-25</v>
      </c>
      <c r="BU84" s="1529">
        <f>SUM(BQ84:BT84)</f>
        <v>-58</v>
      </c>
      <c r="BV84" s="1529"/>
      <c r="BW84" s="1529">
        <v>-2</v>
      </c>
      <c r="BX84" s="1529">
        <f t="shared" si="198"/>
        <v>-2</v>
      </c>
      <c r="BY84" s="1529">
        <f t="shared" si="198"/>
        <v>-1</v>
      </c>
      <c r="BZ84" s="1529">
        <f t="shared" si="198"/>
        <v>3</v>
      </c>
      <c r="CA84" s="1529">
        <f>SUM(BW84:BZ84)</f>
        <v>-2</v>
      </c>
      <c r="CB84" s="1529"/>
      <c r="CC84" s="1529">
        <f>CC32</f>
        <v>68</v>
      </c>
      <c r="CD84" s="1529">
        <f t="shared" si="199"/>
        <v>18</v>
      </c>
      <c r="CE84" s="1529">
        <f t="shared" si="199"/>
        <v>50</v>
      </c>
      <c r="CF84" s="1529">
        <f t="shared" si="199"/>
        <v>4</v>
      </c>
      <c r="CG84" s="1529">
        <f>SUM(CC84:CF84)</f>
        <v>140</v>
      </c>
      <c r="CH84" s="1529"/>
      <c r="CI84" s="1529">
        <f>CI32</f>
        <v>0</v>
      </c>
      <c r="CJ84" s="1529">
        <f t="shared" si="200"/>
        <v>0</v>
      </c>
      <c r="CK84" s="1529">
        <f t="shared" si="200"/>
        <v>0</v>
      </c>
      <c r="CL84" s="1529">
        <f t="shared" si="200"/>
        <v>0</v>
      </c>
      <c r="CM84" s="1536">
        <f>SUM(CI84:CL84)</f>
        <v>0</v>
      </c>
      <c r="CN84" s="1529"/>
      <c r="CO84" s="1529">
        <f>CO32</f>
        <v>0</v>
      </c>
      <c r="CP84" s="1529">
        <f t="shared" si="181"/>
        <v>0</v>
      </c>
      <c r="CQ84" s="1529">
        <f t="shared" si="181"/>
        <v>153</v>
      </c>
      <c r="CR84" s="1529">
        <f t="shared" si="181"/>
        <v>0</v>
      </c>
      <c r="CS84" s="1536">
        <f>SUM(CO84:CR84)</f>
        <v>153</v>
      </c>
      <c r="CT84" s="1529"/>
      <c r="CU84" s="1529">
        <f>CU32</f>
        <v>0</v>
      </c>
      <c r="CV84" s="1529">
        <f t="shared" si="182"/>
        <v>0</v>
      </c>
      <c r="CW84" s="1529">
        <f t="shared" si="182"/>
        <v>0</v>
      </c>
      <c r="CX84" s="1529">
        <f t="shared" si="182"/>
        <v>0</v>
      </c>
      <c r="CY84" s="1536">
        <f>SUM(CU84:CX84)</f>
        <v>0</v>
      </c>
      <c r="CZ84" s="1529"/>
      <c r="DA84" s="1529">
        <f>DA32</f>
        <v>0</v>
      </c>
      <c r="DB84" s="1529">
        <f t="shared" si="183"/>
        <v>0</v>
      </c>
      <c r="DC84" s="1529">
        <f t="shared" si="183"/>
        <v>0</v>
      </c>
      <c r="DD84" s="1529">
        <f t="shared" si="183"/>
        <v>0</v>
      </c>
      <c r="DE84" s="1536">
        <f>SUM(DA84:DD84)</f>
        <v>0</v>
      </c>
      <c r="DF84" s="1529"/>
      <c r="DG84" s="1529">
        <f>DG32</f>
        <v>0</v>
      </c>
      <c r="DH84" s="1529">
        <f t="shared" si="184"/>
        <v>0</v>
      </c>
      <c r="DI84" s="1529">
        <f t="shared" si="184"/>
        <v>85</v>
      </c>
      <c r="DJ84" s="1529">
        <f t="shared" si="184"/>
        <v>20</v>
      </c>
      <c r="DK84" s="1536">
        <f>SUM(DG84:DJ84)</f>
        <v>105</v>
      </c>
      <c r="DL84" s="1529"/>
      <c r="DM84" s="1529">
        <f>DM32</f>
        <v>0</v>
      </c>
      <c r="DN84" s="1529">
        <f t="shared" si="185"/>
        <v>0</v>
      </c>
      <c r="DO84" s="1529">
        <f t="shared" si="185"/>
        <v>0</v>
      </c>
      <c r="DP84" s="1529">
        <f t="shared" si="185"/>
        <v>0</v>
      </c>
      <c r="DQ84" s="1536">
        <f>SUM(DM84:DP84)</f>
        <v>0</v>
      </c>
      <c r="DR84" s="1529"/>
      <c r="DS84" s="1529">
        <f>DS32</f>
        <v>0</v>
      </c>
      <c r="DT84" s="1529">
        <f t="shared" si="186"/>
        <v>0</v>
      </c>
      <c r="DU84" s="1529">
        <f t="shared" si="186"/>
        <v>0</v>
      </c>
      <c r="DV84" s="1529">
        <f t="shared" si="186"/>
        <v>0</v>
      </c>
      <c r="DW84" s="1536">
        <f>SUM(DS84:DV84)</f>
        <v>0</v>
      </c>
      <c r="DX84" s="1529"/>
      <c r="DY84" s="1529">
        <f>DY32</f>
        <v>0</v>
      </c>
      <c r="DZ84" s="1529">
        <f t="shared" si="187"/>
        <v>0</v>
      </c>
      <c r="EA84" s="1529">
        <f t="shared" si="187"/>
        <v>0</v>
      </c>
      <c r="EB84" s="1529">
        <f t="shared" si="187"/>
        <v>0</v>
      </c>
      <c r="EC84" s="1536">
        <f>SUM(DY84:EB84)</f>
        <v>0</v>
      </c>
      <c r="ED84" s="1529"/>
      <c r="EE84" s="1529">
        <f>EE32</f>
        <v>0</v>
      </c>
      <c r="EF84" s="1529">
        <f t="shared" si="188"/>
        <v>0</v>
      </c>
      <c r="EG84" s="1529">
        <f t="shared" si="188"/>
        <v>0</v>
      </c>
      <c r="EH84" s="1529">
        <f t="shared" si="188"/>
        <v>0</v>
      </c>
      <c r="EI84" s="1536">
        <f>SUM(EE84:EH84)</f>
        <v>0</v>
      </c>
      <c r="EJ84" s="1529"/>
      <c r="EK84" s="1529">
        <f>EK32</f>
        <v>0</v>
      </c>
      <c r="EL84" s="1529">
        <f t="shared" si="189"/>
        <v>0</v>
      </c>
      <c r="EM84" s="1529">
        <f t="shared" si="189"/>
        <v>0</v>
      </c>
      <c r="EN84" s="1529">
        <f t="shared" si="189"/>
        <v>0</v>
      </c>
      <c r="EO84" s="1536">
        <f>SUM(EK84:EN84)</f>
        <v>0</v>
      </c>
      <c r="EP84" s="1529"/>
      <c r="EQ84" s="1529">
        <f>EQ32</f>
        <v>0</v>
      </c>
      <c r="ER84" s="1529">
        <f t="shared" si="190"/>
        <v>0</v>
      </c>
      <c r="ES84" s="1529">
        <f t="shared" si="190"/>
        <v>0</v>
      </c>
      <c r="ET84" s="1529">
        <f t="shared" si="190"/>
        <v>0</v>
      </c>
      <c r="EU84" s="1536">
        <f>SUM(EQ84:ET84)</f>
        <v>0</v>
      </c>
      <c r="EV84" s="1529"/>
      <c r="EW84" s="1529">
        <f>EW32</f>
        <v>0</v>
      </c>
      <c r="EX84" s="1529">
        <f t="shared" si="191"/>
        <v>0</v>
      </c>
      <c r="EY84" s="1529">
        <f t="shared" si="191"/>
        <v>0</v>
      </c>
      <c r="EZ84" s="1529">
        <f t="shared" si="192"/>
        <v>0</v>
      </c>
      <c r="FA84" s="1536">
        <f>SUM(EW84:EZ84)</f>
        <v>0</v>
      </c>
      <c r="FB84" s="1529"/>
      <c r="FC84" s="1529">
        <f>FC32</f>
        <v>0</v>
      </c>
      <c r="FD84" s="1529">
        <f t="shared" si="193"/>
        <v>0</v>
      </c>
      <c r="FE84" s="1529">
        <f t="shared" si="193"/>
        <v>0</v>
      </c>
      <c r="FF84" s="1529">
        <f t="shared" si="193"/>
        <v>0</v>
      </c>
      <c r="FG84" s="1536">
        <f>SUM(FC84:FF84)</f>
        <v>0</v>
      </c>
      <c r="FH84" s="1529"/>
      <c r="FI84" s="1529">
        <f>FI32</f>
        <v>0</v>
      </c>
      <c r="FJ84" s="1529">
        <f t="shared" si="194"/>
        <v>0</v>
      </c>
      <c r="FK84" s="1529">
        <f t="shared" si="195"/>
        <v>0</v>
      </c>
      <c r="FL84" s="1529">
        <f t="shared" si="196"/>
        <v>0</v>
      </c>
      <c r="FM84" s="1536">
        <f>SUM(FI84:FL84)</f>
        <v>0</v>
      </c>
      <c r="FN84" s="1524"/>
      <c r="FO84" s="1524"/>
      <c r="FP84" s="1524"/>
      <c r="FQ84" s="1524"/>
      <c r="FR84" s="1524"/>
      <c r="FS84"/>
      <c r="FT84"/>
      <c r="FU84"/>
      <c r="FV84"/>
      <c r="FW84"/>
      <c r="FX84"/>
      <c r="FY84" s="1524"/>
      <c r="FZ84" s="1522"/>
      <c r="GA84" s="1522"/>
      <c r="GB84" s="1522"/>
      <c r="GC84" s="1522"/>
      <c r="GD84" s="1522"/>
      <c r="GE84" s="1522"/>
      <c r="GF84" s="1522"/>
      <c r="GG84" s="1522"/>
      <c r="GH84" s="1522"/>
      <c r="GI84" s="1522"/>
      <c r="GJ84" s="1522"/>
      <c r="GK84" s="1522"/>
      <c r="GL84" s="1522"/>
      <c r="GM84" s="1522"/>
      <c r="GN84" s="1522"/>
      <c r="GO84" s="1522"/>
      <c r="GP84" s="1522"/>
      <c r="GQ84" s="1522"/>
      <c r="GR84" s="1522"/>
      <c r="GS84" s="1522"/>
      <c r="GT84" s="1522"/>
      <c r="GU84" s="1522"/>
      <c r="GV84" s="1522"/>
      <c r="GW84" s="1522"/>
      <c r="GX84" s="1522"/>
      <c r="GY84" s="1522"/>
      <c r="GZ84" s="1522"/>
      <c r="HA84" s="1522"/>
      <c r="HB84" s="1522"/>
      <c r="HC84" s="1522"/>
      <c r="HD84" s="1522"/>
      <c r="HE84" s="1522"/>
      <c r="HF84" s="1522"/>
      <c r="HG84" s="1522"/>
      <c r="HH84" s="1522"/>
      <c r="HI84" s="1522"/>
      <c r="HJ84" s="1522"/>
      <c r="HK84" s="1522"/>
      <c r="HL84" s="1522"/>
      <c r="HM84" s="1522"/>
      <c r="HN84" s="1522"/>
      <c r="HO84" s="1522"/>
      <c r="HP84" s="1522"/>
      <c r="HQ84" s="1522"/>
      <c r="HR84" s="1522"/>
      <c r="HS84" s="1522"/>
      <c r="HT84" s="1522"/>
      <c r="HU84" s="1522"/>
      <c r="HV84" s="1522"/>
      <c r="HW84" s="1522"/>
      <c r="HX84" s="1522"/>
      <c r="HY84" s="1522"/>
      <c r="HZ84" s="1522"/>
      <c r="IA84" s="1522"/>
      <c r="IB84" s="1522"/>
      <c r="IC84" s="1522"/>
      <c r="ID84" s="1522"/>
      <c r="IE84" s="1522"/>
      <c r="IF84" s="1522"/>
      <c r="IG84" s="1522"/>
      <c r="IH84" s="1522"/>
      <c r="II84" s="1522"/>
      <c r="IJ84" s="1522"/>
      <c r="IK84" s="1522"/>
      <c r="IL84" s="1522"/>
      <c r="IM84" s="1522"/>
      <c r="IN84" s="1522"/>
      <c r="IO84" s="1522"/>
      <c r="IP84" s="1522"/>
      <c r="IQ84" s="1522"/>
      <c r="IR84" s="1522"/>
      <c r="IS84" s="1522"/>
      <c r="IT84" s="1522"/>
      <c r="IU84" s="1522"/>
      <c r="IV84" s="1522"/>
      <c r="IW84" s="1522"/>
      <c r="IX84" s="1522"/>
      <c r="IY84" s="1522"/>
      <c r="IZ84" s="1522"/>
      <c r="JA84" s="1522"/>
      <c r="JB84" s="1522"/>
      <c r="JC84" s="1522"/>
      <c r="JD84" s="1522"/>
      <c r="JE84" s="1522"/>
      <c r="JF84" s="1522"/>
      <c r="JG84" s="1522"/>
      <c r="JH84" s="1522"/>
      <c r="JI84" s="1522"/>
      <c r="JJ84" s="1522"/>
      <c r="JK84" s="1522"/>
      <c r="JL84" s="1522"/>
      <c r="JM84" s="1522"/>
      <c r="JN84" s="1522"/>
    </row>
    <row r="85" spans="1:274" s="24" customFormat="1" ht="10.5" customHeight="1" x14ac:dyDescent="0.2">
      <c r="A85" s="1358" t="s">
        <v>105</v>
      </c>
      <c r="B85" s="1360"/>
      <c r="C85" s="1360">
        <f t="shared" ref="C85:M85" si="201">SUM(C81:C84)</f>
        <v>0</v>
      </c>
      <c r="D85" s="1360">
        <f t="shared" si="201"/>
        <v>0</v>
      </c>
      <c r="E85" s="1360">
        <f t="shared" si="201"/>
        <v>-11.895999999999999</v>
      </c>
      <c r="F85" s="1360">
        <f t="shared" si="201"/>
        <v>-22.062999999999999</v>
      </c>
      <c r="G85" s="1360">
        <f t="shared" si="201"/>
        <v>-43.384999999999998</v>
      </c>
      <c r="H85" s="1360">
        <f t="shared" si="201"/>
        <v>-84.69</v>
      </c>
      <c r="I85" s="1360">
        <f t="shared" si="201"/>
        <v>-118.51</v>
      </c>
      <c r="J85" s="1360">
        <f t="shared" si="201"/>
        <v>-106.42099999999999</v>
      </c>
      <c r="K85" s="1360">
        <f t="shared" si="201"/>
        <v>-116.358</v>
      </c>
      <c r="L85" s="1360">
        <f t="shared" si="201"/>
        <v>-158.02100000000002</v>
      </c>
      <c r="M85" s="1360">
        <f t="shared" si="201"/>
        <v>-269.88799999999998</v>
      </c>
      <c r="N85" s="1420"/>
      <c r="O85" s="1360">
        <f>SUM(O81:O84)</f>
        <v>-23.536000000000005</v>
      </c>
      <c r="P85" s="1360">
        <f>SUM(P81:P84)</f>
        <v>-282.69200000000001</v>
      </c>
      <c r="Q85" s="1360">
        <f>SUM(Q81:Q84)</f>
        <v>-104.82999999999996</v>
      </c>
      <c r="R85" s="1360">
        <f>SUM(R81:R84)</f>
        <v>-84.711000000000013</v>
      </c>
      <c r="S85" s="1360">
        <f>SUM(O85:R85)</f>
        <v>-495.76900000000001</v>
      </c>
      <c r="T85" s="1421"/>
      <c r="U85" s="1360">
        <f>SUM(U81:U84)</f>
        <v>74.80300000000004</v>
      </c>
      <c r="V85" s="1360">
        <f>SUM(V81:V84)</f>
        <v>478.33500000000004</v>
      </c>
      <c r="W85" s="1360">
        <f>SUM(W81:W84)</f>
        <v>776.428</v>
      </c>
      <c r="X85" s="1360">
        <f>SUM(X81:X84)</f>
        <v>-1881.0540000000003</v>
      </c>
      <c r="Y85" s="1360">
        <f>SUM(U85:X85)</f>
        <v>-551.48800000000028</v>
      </c>
      <c r="Z85" s="1421"/>
      <c r="AA85" s="1360">
        <f>SUM(AA81:AA84)</f>
        <v>-216.51700000000002</v>
      </c>
      <c r="AB85" s="1360">
        <f>SUM(AB81:AB84)</f>
        <v>-158.47900000000001</v>
      </c>
      <c r="AC85" s="1360">
        <f>SUM(AC81:AC84)</f>
        <v>-126.78599999999994</v>
      </c>
      <c r="AD85" s="1360">
        <f>SUM(AD81:AD84)</f>
        <v>-275.59899999999999</v>
      </c>
      <c r="AE85" s="1360">
        <f>SUM(AA85:AD85)</f>
        <v>-777.38099999999997</v>
      </c>
      <c r="AF85" s="1421"/>
      <c r="AG85" s="1360">
        <f>SUM(AG81:AG84)</f>
        <v>-340.76299999999998</v>
      </c>
      <c r="AH85" s="1360">
        <f>SUM(AH81:AH84)</f>
        <v>-222.39800000000002</v>
      </c>
      <c r="AI85" s="1360">
        <f>SUM(AI81:AI84)</f>
        <v>-69.09399999999998</v>
      </c>
      <c r="AJ85" s="1360">
        <f>SUM(AJ81:AJ84)</f>
        <v>-290.26599999999996</v>
      </c>
      <c r="AK85" s="1360">
        <f>SUM(AG85:AJ85)</f>
        <v>-922.52099999999996</v>
      </c>
      <c r="AL85" s="1421"/>
      <c r="AM85" s="1360">
        <f>SUM(AM81:AM84)</f>
        <v>-174.44300000000001</v>
      </c>
      <c r="AN85" s="1360">
        <f>SUM(AN81:AN84)</f>
        <v>29.16200000000002</v>
      </c>
      <c r="AO85" s="1360">
        <f>SUM(AO81:AO84)</f>
        <v>-415.14499999999998</v>
      </c>
      <c r="AP85" s="1360">
        <f>SUM(AP81:AP84)</f>
        <v>-241.81839999999977</v>
      </c>
      <c r="AQ85" s="1360">
        <f>SUM(AM85:AP85)</f>
        <v>-802.2443999999997</v>
      </c>
      <c r="AR85" s="1421"/>
      <c r="AS85" s="1360">
        <f>SUM(AS81:AS84)</f>
        <v>-253.02699999999996</v>
      </c>
      <c r="AT85" s="1360">
        <f>SUM(AT81:AT84)</f>
        <v>101.88699999999999</v>
      </c>
      <c r="AU85" s="1360">
        <f>SUM(AU81:AU84)</f>
        <v>582.22200000000021</v>
      </c>
      <c r="AV85" s="1360">
        <f>SUM(AV81:AV84)</f>
        <v>6461.9749999999985</v>
      </c>
      <c r="AW85" s="1360">
        <f>AS85+AT85+AU85+AV85</f>
        <v>6893.0569999999989</v>
      </c>
      <c r="AX85" s="1421"/>
      <c r="AY85" s="1360">
        <f>SUM(AY81:AY84)</f>
        <v>147.47399999999999</v>
      </c>
      <c r="AZ85" s="1360">
        <f>SUM(AZ81:AZ84)</f>
        <v>-25.063000000000009</v>
      </c>
      <c r="BA85" s="1360">
        <f>SUM(BA81:BA84)</f>
        <v>-735.99199999999996</v>
      </c>
      <c r="BB85" s="1360">
        <f>SUM(BB81:BB84)</f>
        <v>-641.41899999999987</v>
      </c>
      <c r="BC85" s="1360">
        <f>SUM(AY85:BB85)</f>
        <v>-1255</v>
      </c>
      <c r="BD85" s="1421"/>
      <c r="BE85" s="1360">
        <f>SUM(BE81:BE84)</f>
        <v>-1104.585</v>
      </c>
      <c r="BF85" s="1360">
        <f>SUM(BF81:BF84)</f>
        <v>-706.41499999999996</v>
      </c>
      <c r="BG85" s="1360">
        <f>SUM(BG81:BG84)</f>
        <v>570.99999999999977</v>
      </c>
      <c r="BH85" s="1360">
        <f>SUM(BH81:BH84)</f>
        <v>-790</v>
      </c>
      <c r="BI85" s="1360">
        <f>SUM(BE85:BH85)</f>
        <v>-2030.0000000000002</v>
      </c>
      <c r="BJ85" s="1421"/>
      <c r="BK85" s="1360">
        <f>SUM(BK81:BK84)</f>
        <v>271</v>
      </c>
      <c r="BL85" s="1360">
        <f>SUM(BL81:BL84)</f>
        <v>-139</v>
      </c>
      <c r="BM85" s="1360">
        <f>SUM(BM81:BM84)</f>
        <v>714</v>
      </c>
      <c r="BN85" s="1360">
        <f>SUM(BN81:BN84)</f>
        <v>49</v>
      </c>
      <c r="BO85" s="1360">
        <f>SUM(BK85:BN85)</f>
        <v>895</v>
      </c>
      <c r="BP85" s="1421"/>
      <c r="BQ85" s="1360">
        <f>SUM(BQ81:BQ84)</f>
        <v>-1491</v>
      </c>
      <c r="BR85" s="1360">
        <f>SUM(BR81:BR84)</f>
        <v>-488</v>
      </c>
      <c r="BS85" s="1360">
        <f>SUM(BS81:BS84)</f>
        <v>53</v>
      </c>
      <c r="BT85" s="1360">
        <f>SUM(BT80:BT84)</f>
        <v>-622</v>
      </c>
      <c r="BU85" s="1360">
        <f>SUM(BU81:BU84)</f>
        <v>-2548</v>
      </c>
      <c r="BV85" s="1421"/>
      <c r="BW85" s="1360">
        <f>SUM(BW80:BW84)</f>
        <v>-1659</v>
      </c>
      <c r="BX85" s="1360">
        <f>SUM(BX80:BX84)</f>
        <v>2477</v>
      </c>
      <c r="BY85" s="1360">
        <f>SUM(BY80:BY84)</f>
        <v>-6873</v>
      </c>
      <c r="BZ85" s="1360">
        <f>SUM(BZ80:BZ84)</f>
        <v>302</v>
      </c>
      <c r="CA85" s="1360">
        <f>SUM(CA80:CA84)</f>
        <v>-5753</v>
      </c>
      <c r="CB85" s="1360"/>
      <c r="CC85" s="1360">
        <f>SUM(CC80:CC84)</f>
        <v>-255</v>
      </c>
      <c r="CD85" s="1360">
        <f>SUM(CD80:CD84)</f>
        <v>-571</v>
      </c>
      <c r="CE85" s="1360">
        <f>SUM(CE80:CE84)</f>
        <v>-2126</v>
      </c>
      <c r="CF85" s="1360">
        <f>SUM(CF80:CF84)</f>
        <v>-407</v>
      </c>
      <c r="CG85" s="1360">
        <f>SUM(CG80:CG84)</f>
        <v>-3359</v>
      </c>
      <c r="CH85" s="1360"/>
      <c r="CI85" s="1360">
        <f>SUM(CI80:CI84)</f>
        <v>-2062</v>
      </c>
      <c r="CJ85" s="1360">
        <f>SUM(CJ80:CJ84)</f>
        <v>-579</v>
      </c>
      <c r="CK85" s="1360">
        <f>SUM(CK80:CK84)</f>
        <v>137</v>
      </c>
      <c r="CL85" s="1360">
        <f>SUM(CL80:CL84)</f>
        <v>-2467</v>
      </c>
      <c r="CM85" s="1361">
        <f>SUM(CM80:CM84)</f>
        <v>-4971</v>
      </c>
      <c r="CN85" s="1360"/>
      <c r="CO85" s="1360">
        <f>SUM(CO80:CO84)</f>
        <v>-968</v>
      </c>
      <c r="CP85" s="1360">
        <f>SUM(CP80:CP84)</f>
        <v>-519</v>
      </c>
      <c r="CQ85" s="1360">
        <f>SUM(CQ80:CQ84)</f>
        <v>-352</v>
      </c>
      <c r="CR85" s="1360">
        <f>SUM(CR80:CR84)</f>
        <v>-7237</v>
      </c>
      <c r="CS85" s="1361">
        <f>SUM(CS80:CS84)</f>
        <v>-9076</v>
      </c>
      <c r="CT85" s="1360"/>
      <c r="CU85" s="1360">
        <f>SUM(CU80:CU84)</f>
        <v>-2486</v>
      </c>
      <c r="CV85" s="1360">
        <f>SUM(CV80:CV84)</f>
        <v>279</v>
      </c>
      <c r="CW85" s="1360">
        <f>SUM(CW80:CW84)</f>
        <v>42</v>
      </c>
      <c r="CX85" s="1360">
        <f>SUM(CX80:CX84)</f>
        <v>-434</v>
      </c>
      <c r="CY85" s="1361">
        <f>SUM(CY80:CY84)</f>
        <v>-2599</v>
      </c>
      <c r="CZ85" s="1360"/>
      <c r="DA85" s="1360">
        <f>SUM(DA80:DA84)</f>
        <v>-947</v>
      </c>
      <c r="DB85" s="1360">
        <f>SUM(DB80:DB84)</f>
        <v>-1642</v>
      </c>
      <c r="DC85" s="1360">
        <f>SUM(DC80:DC84)</f>
        <v>-7180</v>
      </c>
      <c r="DD85" s="1360">
        <f>SUM(DD80:DD84)</f>
        <v>-550</v>
      </c>
      <c r="DE85" s="1361">
        <f>SUM(DE80:DE84)</f>
        <v>-10319</v>
      </c>
      <c r="DF85" s="1360"/>
      <c r="DG85" s="1360">
        <f>SUM(DG80:DG84)</f>
        <v>-3916</v>
      </c>
      <c r="DH85" s="1360">
        <f>SUM(DH80:DH84)</f>
        <v>-2778</v>
      </c>
      <c r="DI85" s="1360">
        <f>SUM(DI80:DI84)</f>
        <v>1032</v>
      </c>
      <c r="DJ85" s="1360">
        <f>SUM(DJ80:DJ84)</f>
        <v>-419</v>
      </c>
      <c r="DK85" s="1361">
        <f>SUM(DK80:DK84)</f>
        <v>-6081</v>
      </c>
      <c r="DL85" s="1360"/>
      <c r="DM85" s="1360">
        <f>SUM(DM80:DM84)</f>
        <v>-6323</v>
      </c>
      <c r="DN85" s="1360">
        <f>SUM(DN80:DN84)</f>
        <v>396</v>
      </c>
      <c r="DO85" s="1360">
        <f>SUM(DO80:DO84)</f>
        <v>-610</v>
      </c>
      <c r="DP85" s="1360">
        <f>SUM(DP80:DP84)</f>
        <v>-1844</v>
      </c>
      <c r="DQ85" s="1361">
        <f>SUM(DQ80:DQ84)</f>
        <v>-8381</v>
      </c>
      <c r="DR85" s="1360"/>
      <c r="DS85" s="1360">
        <f>SUM(DS80:DS84)</f>
        <v>-510</v>
      </c>
      <c r="DT85" s="1360">
        <f>SUM(DT80:DT84)</f>
        <v>-2552</v>
      </c>
      <c r="DU85" s="1360">
        <f>SUM(DU80:DU84)</f>
        <v>-665</v>
      </c>
      <c r="DV85" s="1360">
        <f>SUM(DV80:DV84)</f>
        <v>-2229</v>
      </c>
      <c r="DW85" s="1361">
        <f>SUM(DW80:DW84)</f>
        <v>-5956</v>
      </c>
      <c r="DX85" s="1360"/>
      <c r="DY85" s="1360">
        <f>SUM(DY80:DY84)</f>
        <v>-3501</v>
      </c>
      <c r="DZ85" s="1360">
        <f>SUM(DZ80:DZ84)</f>
        <v>-3129</v>
      </c>
      <c r="EA85" s="1360">
        <f>SUM(EA80:EA84)</f>
        <v>698</v>
      </c>
      <c r="EB85" s="1360">
        <f>SUM(EB80:EB84)</f>
        <v>-1607</v>
      </c>
      <c r="EC85" s="1361">
        <f>SUM(EC80:EC84)</f>
        <v>-7539</v>
      </c>
      <c r="ED85" s="1360"/>
      <c r="EE85" s="1360">
        <f>SUM(EE80:EE84)</f>
        <v>-6700</v>
      </c>
      <c r="EF85" s="1360">
        <f>SUM(EF80:EF84)</f>
        <v>-6209</v>
      </c>
      <c r="EG85" s="1360">
        <f>SUM(EG80:EG84)</f>
        <v>-2414</v>
      </c>
      <c r="EH85" s="1360">
        <f>SUM(EH80:EH84)</f>
        <v>-3724</v>
      </c>
      <c r="EI85" s="1361">
        <f>SUM(EI80:EI84)</f>
        <v>-19047</v>
      </c>
      <c r="EJ85" s="1360"/>
      <c r="EK85" s="1360">
        <f>SUM(EK80:EK84)</f>
        <v>-7471</v>
      </c>
      <c r="EL85" s="1360">
        <f>SUM(EL80:EL84)</f>
        <v>4133</v>
      </c>
      <c r="EM85" s="1360">
        <f>SUM(EM80:EM84)</f>
        <v>-688</v>
      </c>
      <c r="EN85" s="1360">
        <f>SUM(EN80:EN84)</f>
        <v>-1128</v>
      </c>
      <c r="EO85" s="1361">
        <f>SUM(EO80:EO84)</f>
        <v>-5154</v>
      </c>
      <c r="EP85" s="1360"/>
      <c r="EQ85" s="1360">
        <f>SUM(EQ80:EQ84)</f>
        <v>-5203</v>
      </c>
      <c r="ER85" s="1360">
        <f>SUM(ER80:ER84)</f>
        <v>-9717</v>
      </c>
      <c r="ES85" s="1360">
        <f>SUM(ES80:ES84)</f>
        <v>-728</v>
      </c>
      <c r="ET85" s="1360">
        <f>SUM(ET80:ET84)</f>
        <v>-5846</v>
      </c>
      <c r="EU85" s="1361">
        <f>SUM(EU80:EU84)</f>
        <v>-21494</v>
      </c>
      <c r="EV85" s="1360"/>
      <c r="EW85" s="1360">
        <f>SUM(EW80:EW84)</f>
        <v>-1818</v>
      </c>
      <c r="EX85" s="1360">
        <f>SUM(EX80:EX84)</f>
        <v>-5710</v>
      </c>
      <c r="EY85" s="1360">
        <f>SUM(EY80:EY84)</f>
        <v>-1257</v>
      </c>
      <c r="EZ85" s="1360">
        <f>SUM(EZ80:EZ84)</f>
        <v>-477.6920719931727</v>
      </c>
      <c r="FA85" s="1361">
        <f>SUM(FA80:FA84)</f>
        <v>-9262.6920719931732</v>
      </c>
      <c r="FB85" s="1360"/>
      <c r="FC85" s="1360">
        <f>SUM(FC80:FC84)</f>
        <v>-461.66827423997353</v>
      </c>
      <c r="FD85" s="1360">
        <f>SUM(FD80:FD84)</f>
        <v>-465.71486010870007</v>
      </c>
      <c r="FE85" s="1360">
        <f>SUM(FE80:FE84)</f>
        <v>-469.34696826164054</v>
      </c>
      <c r="FF85" s="1360">
        <f>SUM(FF80:FF84)</f>
        <v>-471.80572028937695</v>
      </c>
      <c r="FG85" s="1361">
        <f>SUM(FG80:FG84)</f>
        <v>-1868.5358228996911</v>
      </c>
      <c r="FH85" s="1360"/>
      <c r="FI85" s="1360">
        <f>SUM(FI80:FI84)</f>
        <v>-476.29301883151368</v>
      </c>
      <c r="FJ85" s="1360">
        <f>SUM(FJ80:FJ84)</f>
        <v>-480.44424940030865</v>
      </c>
      <c r="FK85" s="1360">
        <f>SUM(FK80:FK84)</f>
        <v>-484.44823461305987</v>
      </c>
      <c r="FL85" s="1360">
        <f>SUM(FL80:FL84)</f>
        <v>-487.58684330970232</v>
      </c>
      <c r="FM85" s="1361">
        <f>SUM(FM80:FM84)</f>
        <v>-1928.7723461545845</v>
      </c>
      <c r="FN85" s="221"/>
      <c r="FO85" s="221"/>
      <c r="FP85" s="261"/>
      <c r="FQ85" s="261"/>
      <c r="FR85" s="261"/>
      <c r="FS85"/>
      <c r="FT85"/>
      <c r="FU85"/>
      <c r="FV85"/>
      <c r="FW85"/>
      <c r="FX85"/>
      <c r="FY85" s="261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</row>
    <row r="86" spans="1:274" s="24" customFormat="1" ht="5.25" customHeight="1" x14ac:dyDescent="0.2">
      <c r="A86" s="599"/>
      <c r="B86" s="476"/>
      <c r="C86" s="599"/>
      <c r="D86" s="599"/>
      <c r="E86" s="599"/>
      <c r="F86" s="599"/>
      <c r="G86" s="599"/>
      <c r="H86" s="599"/>
      <c r="I86" s="599"/>
      <c r="J86" s="599"/>
      <c r="K86" s="599"/>
      <c r="L86" s="599"/>
      <c r="M86" s="599"/>
      <c r="N86" s="599"/>
      <c r="O86" s="599"/>
      <c r="P86" s="599"/>
      <c r="Q86" s="599"/>
      <c r="R86" s="599"/>
      <c r="S86" s="599"/>
      <c r="T86" s="599"/>
      <c r="U86" s="599"/>
      <c r="V86" s="599"/>
      <c r="W86" s="599"/>
      <c r="X86" s="599"/>
      <c r="Y86" s="599"/>
      <c r="Z86" s="599"/>
      <c r="AA86" s="599"/>
      <c r="AB86" s="599"/>
      <c r="AC86" s="599"/>
      <c r="AD86" s="599"/>
      <c r="AE86" s="599"/>
      <c r="AF86" s="599"/>
      <c r="AG86" s="599"/>
      <c r="AH86" s="599"/>
      <c r="AI86" s="599"/>
      <c r="AJ86" s="599"/>
      <c r="AK86" s="599"/>
      <c r="AL86" s="599"/>
      <c r="AM86" s="599"/>
      <c r="AN86" s="599"/>
      <c r="AO86" s="599"/>
      <c r="AP86" s="599"/>
      <c r="AQ86" s="599"/>
      <c r="AR86" s="599"/>
      <c r="AS86" s="599"/>
      <c r="AT86" s="599"/>
      <c r="AU86" s="599"/>
      <c r="AV86" s="599"/>
      <c r="AW86" s="599"/>
      <c r="AX86" s="599"/>
      <c r="AY86" s="599"/>
      <c r="AZ86" s="599"/>
      <c r="BA86" s="599"/>
      <c r="BB86" s="599"/>
      <c r="BC86" s="599"/>
      <c r="BD86" s="599"/>
      <c r="BE86" s="599"/>
      <c r="BF86" s="599"/>
      <c r="BG86" s="599"/>
      <c r="BH86" s="599"/>
      <c r="BI86" s="599"/>
      <c r="BJ86" s="599"/>
      <c r="BK86" s="599"/>
      <c r="BL86" s="599"/>
      <c r="BM86" s="599"/>
      <c r="BN86" s="599"/>
      <c r="BO86" s="599"/>
      <c r="BP86" s="599"/>
      <c r="BQ86" s="599"/>
      <c r="BR86" s="599"/>
      <c r="BS86" s="599"/>
      <c r="BT86" s="599"/>
      <c r="BU86" s="599"/>
      <c r="BV86" s="599"/>
      <c r="BW86" s="599"/>
      <c r="BX86" s="599"/>
      <c r="BY86" s="599"/>
      <c r="BZ86" s="599"/>
      <c r="CA86" s="599"/>
      <c r="CB86" s="599"/>
      <c r="CC86" s="599"/>
      <c r="CD86" s="599"/>
      <c r="CE86" s="599"/>
      <c r="CF86" s="599"/>
      <c r="CG86" s="599"/>
      <c r="CH86" s="599"/>
      <c r="CI86" s="599"/>
      <c r="CJ86" s="599"/>
      <c r="CK86" s="599"/>
      <c r="CL86" s="599"/>
      <c r="CM86" s="1019"/>
      <c r="CN86" s="599"/>
      <c r="CO86" s="599"/>
      <c r="CP86" s="599"/>
      <c r="CQ86" s="599"/>
      <c r="CR86" s="599"/>
      <c r="CS86" s="1019"/>
      <c r="CT86" s="599"/>
      <c r="CU86" s="599"/>
      <c r="CV86" s="599"/>
      <c r="CW86" s="599"/>
      <c r="CX86" s="599"/>
      <c r="CY86" s="1019"/>
      <c r="CZ86" s="599"/>
      <c r="DA86" s="599"/>
      <c r="DB86" s="599"/>
      <c r="DC86" s="599"/>
      <c r="DD86" s="599"/>
      <c r="DE86" s="1019"/>
      <c r="DF86" s="599"/>
      <c r="DG86" s="599"/>
      <c r="DH86" s="599"/>
      <c r="DI86" s="599"/>
      <c r="DJ86" s="599"/>
      <c r="DK86" s="1019"/>
      <c r="DL86" s="599"/>
      <c r="DM86" s="599"/>
      <c r="DN86" s="599"/>
      <c r="DO86" s="599"/>
      <c r="DP86" s="599"/>
      <c r="DQ86" s="1019"/>
      <c r="DR86" s="599"/>
      <c r="DS86" s="599"/>
      <c r="DT86" s="599"/>
      <c r="DU86" s="599"/>
      <c r="DV86" s="599"/>
      <c r="DW86" s="1019"/>
      <c r="DX86" s="599"/>
      <c r="DY86" s="599"/>
      <c r="DZ86" s="599"/>
      <c r="EA86" s="599"/>
      <c r="EB86" s="599"/>
      <c r="EC86" s="1019"/>
      <c r="ED86" s="599"/>
      <c r="EE86" s="599"/>
      <c r="EF86" s="599"/>
      <c r="EG86" s="599"/>
      <c r="EH86" s="599"/>
      <c r="EI86" s="1019"/>
      <c r="EJ86" s="599"/>
      <c r="EK86" s="599"/>
      <c r="EL86" s="599"/>
      <c r="EM86" s="599"/>
      <c r="EN86" s="599"/>
      <c r="EO86" s="1019"/>
      <c r="EP86" s="599"/>
      <c r="EQ86" s="599"/>
      <c r="ER86" s="599"/>
      <c r="ES86" s="599"/>
      <c r="ET86" s="599"/>
      <c r="EU86" s="1019"/>
      <c r="EV86" s="599"/>
      <c r="EW86" s="599"/>
      <c r="EX86" s="599"/>
      <c r="EY86" s="599"/>
      <c r="EZ86" s="599"/>
      <c r="FA86" s="1019"/>
      <c r="FB86" s="599"/>
      <c r="FC86" s="599"/>
      <c r="FD86" s="599"/>
      <c r="FE86" s="599"/>
      <c r="FF86" s="599"/>
      <c r="FG86" s="1019"/>
      <c r="FH86" s="599"/>
      <c r="FI86" s="599"/>
      <c r="FJ86" s="599"/>
      <c r="FK86" s="599"/>
      <c r="FL86" s="599"/>
      <c r="FM86" s="1019"/>
      <c r="FN86" s="12"/>
      <c r="FO86" s="12"/>
      <c r="FP86" s="12"/>
      <c r="FQ86" s="12"/>
      <c r="FR86" s="12"/>
      <c r="FS86"/>
      <c r="FT86"/>
      <c r="FU86"/>
      <c r="FV86"/>
      <c r="FW86"/>
      <c r="FX86"/>
      <c r="FY86" s="12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</row>
    <row r="87" spans="1:274" s="24" customFormat="1" ht="10.5" hidden="1" customHeight="1" outlineLevel="1" x14ac:dyDescent="0.2">
      <c r="A87" s="276" t="s">
        <v>319</v>
      </c>
      <c r="B87" s="440"/>
      <c r="C87" s="276">
        <f t="shared" ref="C87:M87" si="202">C76+C83</f>
        <v>0</v>
      </c>
      <c r="D87" s="276">
        <f t="shared" si="202"/>
        <v>0</v>
      </c>
      <c r="E87" s="276">
        <f t="shared" si="202"/>
        <v>-6.931</v>
      </c>
      <c r="F87" s="276">
        <f t="shared" si="202"/>
        <v>-8.9379999999999988</v>
      </c>
      <c r="G87" s="276">
        <f t="shared" si="202"/>
        <v>9.5699999999999967</v>
      </c>
      <c r="H87" s="276">
        <f t="shared" si="202"/>
        <v>-42.187999999999988</v>
      </c>
      <c r="I87" s="276">
        <f t="shared" si="202"/>
        <v>16.366999999999972</v>
      </c>
      <c r="J87" s="276">
        <f t="shared" si="202"/>
        <v>41.532999999999987</v>
      </c>
      <c r="K87" s="276">
        <f t="shared" si="202"/>
        <v>200.495</v>
      </c>
      <c r="L87" s="276">
        <f t="shared" si="202"/>
        <v>276.17</v>
      </c>
      <c r="M87" s="276">
        <f t="shared" si="202"/>
        <v>192.80099999999996</v>
      </c>
      <c r="N87" s="276"/>
      <c r="O87" s="276">
        <f>O76+O83</f>
        <v>71.666999999999973</v>
      </c>
      <c r="P87" s="276">
        <f>P76+P83</f>
        <v>-13.156999999999968</v>
      </c>
      <c r="Q87" s="276">
        <f>Q76+Q83</f>
        <v>79.333000000000041</v>
      </c>
      <c r="R87" s="276">
        <f>R76+R83</f>
        <v>168.79500000000002</v>
      </c>
      <c r="S87" s="276">
        <f>SUM(O87:R87)</f>
        <v>306.63800000000003</v>
      </c>
      <c r="T87" s="438"/>
      <c r="U87" s="276">
        <f>U76+U83</f>
        <v>103.00999999999996</v>
      </c>
      <c r="V87" s="276">
        <f>V76+V83</f>
        <v>-0.83000000000002672</v>
      </c>
      <c r="W87" s="276">
        <f>W76+W83</f>
        <v>202.19800000000006</v>
      </c>
      <c r="X87" s="276">
        <f>X76+X83</f>
        <v>276.38700000000006</v>
      </c>
      <c r="Y87" s="276">
        <f>SUM(U87:X87)</f>
        <v>580.7650000000001</v>
      </c>
      <c r="Z87" s="438"/>
      <c r="AA87" s="276">
        <f>AA76+AA83</f>
        <v>145.12299999999993</v>
      </c>
      <c r="AB87" s="276">
        <f>AB76+AB83</f>
        <v>-70.233000000000004</v>
      </c>
      <c r="AC87" s="276">
        <f>AC76+AC83</f>
        <v>187.86800000000005</v>
      </c>
      <c r="AD87" s="276">
        <f>AD76+AD83</f>
        <v>377.00499999999994</v>
      </c>
      <c r="AE87" s="276">
        <f>SUM(AA87:AD87)</f>
        <v>639.76299999999992</v>
      </c>
      <c r="AF87" s="438"/>
      <c r="AG87" s="276">
        <f>AG76+AG83</f>
        <v>369.35499999999996</v>
      </c>
      <c r="AH87" s="276">
        <f>AH76+AH83</f>
        <v>93.166999999999874</v>
      </c>
      <c r="AI87" s="276">
        <f>AI76+AI83</f>
        <v>275.83400000000017</v>
      </c>
      <c r="AJ87" s="276">
        <f>AJ76+AJ83</f>
        <v>547.8649999999999</v>
      </c>
      <c r="AK87" s="276">
        <f>SUM(AG87:AJ87)</f>
        <v>1286.221</v>
      </c>
      <c r="AL87" s="438"/>
      <c r="AM87" s="276">
        <f>AM76+AM83</f>
        <v>509.24899999999997</v>
      </c>
      <c r="AN87" s="276">
        <f>AN76+AN83</f>
        <v>-55.803999999999959</v>
      </c>
      <c r="AO87" s="276">
        <f>AO76+AO83</f>
        <v>358.63100000000009</v>
      </c>
      <c r="AP87" s="276">
        <f>AP76+AP83</f>
        <v>648.43100000000004</v>
      </c>
      <c r="AQ87" s="276">
        <f>SUM(AM87:AP87)</f>
        <v>1460.5070000000001</v>
      </c>
      <c r="AR87" s="438"/>
      <c r="AS87" s="276">
        <f>AS76+AS83</f>
        <v>601.2245999999999</v>
      </c>
      <c r="AT87" s="276">
        <f>AT76+AT83</f>
        <v>42.407400000000052</v>
      </c>
      <c r="AU87" s="276">
        <f>AU76+AU83</f>
        <v>891.36</v>
      </c>
      <c r="AV87" s="276">
        <f>AV76+AV83</f>
        <v>1125.1290000000008</v>
      </c>
      <c r="AW87" s="276">
        <f>AS87+AT87+AU87+AV87</f>
        <v>2660.121000000001</v>
      </c>
      <c r="AX87" s="438"/>
      <c r="AY87" s="276">
        <f>AY76+AY83</f>
        <v>-947.20399999999984</v>
      </c>
      <c r="AZ87" s="276">
        <f>AZ76+AZ83</f>
        <v>527.37099999999975</v>
      </c>
      <c r="BA87" s="276">
        <f>BA76+BA83</f>
        <v>946.03499999999985</v>
      </c>
      <c r="BB87" s="276">
        <f>BB76+BB83</f>
        <v>1339.7980000000002</v>
      </c>
      <c r="BC87" s="276">
        <f>SUM(AY87:BB87)</f>
        <v>1866</v>
      </c>
      <c r="BD87" s="438"/>
      <c r="BE87" s="276">
        <f>BE76+BE83</f>
        <v>1151.021</v>
      </c>
      <c r="BF87" s="276">
        <f>BF76+BF83</f>
        <v>198.97899999999998</v>
      </c>
      <c r="BG87" s="276">
        <f>BG76+BG83</f>
        <v>609</v>
      </c>
      <c r="BH87" s="276">
        <f>BH76+BH83</f>
        <v>898</v>
      </c>
      <c r="BI87" s="276">
        <f>SUM(BE87:BH87)</f>
        <v>2857</v>
      </c>
      <c r="BJ87" s="438"/>
      <c r="BK87" s="276">
        <f>BK76+BK83</f>
        <v>1175</v>
      </c>
      <c r="BL87" s="276">
        <f>BL76+BL83</f>
        <v>219</v>
      </c>
      <c r="BM87" s="276">
        <f>BM76+BM83</f>
        <v>715</v>
      </c>
      <c r="BN87" s="276">
        <f>BN76+BN83</f>
        <v>623</v>
      </c>
      <c r="BO87" s="276">
        <f>SUM(BK87:BN87)</f>
        <v>2732</v>
      </c>
      <c r="BP87" s="438"/>
      <c r="BQ87" s="276">
        <f>BQ76+BQ83</f>
        <v>1175</v>
      </c>
      <c r="BR87" s="276">
        <f>BR76+BR83</f>
        <v>322</v>
      </c>
      <c r="BS87" s="276">
        <f>BS76+BS83</f>
        <v>518</v>
      </c>
      <c r="BT87" s="276">
        <f>BT76+BT83</f>
        <v>991</v>
      </c>
      <c r="BU87" s="276">
        <f>SUM(BQ87:BT87)</f>
        <v>3006</v>
      </c>
      <c r="BV87" s="438"/>
      <c r="BW87" s="276">
        <f>BW51</f>
        <v>1380</v>
      </c>
      <c r="BX87" s="276">
        <f>BX76+BX83</f>
        <v>327</v>
      </c>
      <c r="BY87" s="276">
        <f>BY76+BY83</f>
        <v>700</v>
      </c>
      <c r="BZ87" s="276">
        <f>BZ76+BZ83</f>
        <v>956.92250000000013</v>
      </c>
      <c r="CA87" s="276">
        <f>SUM(BW87:BZ87)</f>
        <v>3363.9225000000001</v>
      </c>
      <c r="CB87" s="276"/>
      <c r="CC87" s="276">
        <f>CC51</f>
        <v>1406</v>
      </c>
      <c r="CD87" s="276">
        <f>CD76+CD83</f>
        <v>264</v>
      </c>
      <c r="CE87" s="276">
        <f>CE76+CE83</f>
        <v>1031</v>
      </c>
      <c r="CF87" s="276">
        <f>CF76+CF83</f>
        <v>1604</v>
      </c>
      <c r="CG87" s="276">
        <f>SUM(CC87:CF87)</f>
        <v>4305</v>
      </c>
      <c r="CH87" s="276"/>
      <c r="CI87" s="276">
        <f>CI51</f>
        <v>1576</v>
      </c>
      <c r="CJ87" s="276">
        <f>CJ76+CJ83</f>
        <v>184</v>
      </c>
      <c r="CK87" s="276">
        <f>CK76+CK83</f>
        <v>1362</v>
      </c>
      <c r="CL87" s="276">
        <f>CL76+CL83</f>
        <v>2079</v>
      </c>
      <c r="CM87" s="446">
        <f>SUM(CI87:CL87)</f>
        <v>5201</v>
      </c>
      <c r="CN87" s="276"/>
      <c r="CO87" s="276">
        <f>CO51</f>
        <v>2614</v>
      </c>
      <c r="CP87" s="276">
        <f>CP76+CP83</f>
        <v>533</v>
      </c>
      <c r="CQ87" s="276">
        <f>CQ76+CQ83</f>
        <v>1765</v>
      </c>
      <c r="CR87" s="276">
        <f>CR76+CR83</f>
        <v>2247</v>
      </c>
      <c r="CS87" s="446">
        <f>SUM(CO87:CR87)</f>
        <v>7159</v>
      </c>
      <c r="CT87" s="276"/>
      <c r="CU87" s="276">
        <f>CU51</f>
        <v>2917</v>
      </c>
      <c r="CV87" s="276">
        <f>CV76+CV83</f>
        <v>674</v>
      </c>
      <c r="CW87" s="276">
        <f>CW76+CW83</f>
        <v>2165</v>
      </c>
      <c r="CX87" s="276">
        <f>CX76+CX83</f>
        <v>1970</v>
      </c>
      <c r="CY87" s="446">
        <f>SUM(CU87:CX87)</f>
        <v>7726</v>
      </c>
      <c r="CZ87" s="276"/>
      <c r="DA87" s="276">
        <f>DA51</f>
        <v>3683</v>
      </c>
      <c r="DB87" s="276">
        <f>DB76+DB83</f>
        <v>606</v>
      </c>
      <c r="DC87" s="276">
        <f>DC76+DC83</f>
        <v>1720</v>
      </c>
      <c r="DD87" s="276">
        <f>DD76+DD83</f>
        <v>2442</v>
      </c>
      <c r="DE87" s="446">
        <f>SUM(DA87:DD87)</f>
        <v>8451</v>
      </c>
      <c r="DF87" s="276"/>
      <c r="DG87" s="276">
        <f>DG51</f>
        <v>3699</v>
      </c>
      <c r="DH87" s="276">
        <f>DH76+DH83</f>
        <v>823</v>
      </c>
      <c r="DI87" s="276">
        <f>DI76+DI83</f>
        <v>2543</v>
      </c>
      <c r="DJ87" s="276">
        <f>DJ76+DJ83</f>
        <v>3699</v>
      </c>
      <c r="DK87" s="446">
        <f>SUM(DG87:DJ87)</f>
        <v>10764</v>
      </c>
      <c r="DL87" s="276"/>
      <c r="DM87" s="276">
        <f>DM51</f>
        <v>5261</v>
      </c>
      <c r="DN87" s="276">
        <f>DN76+DN83</f>
        <v>1146</v>
      </c>
      <c r="DO87" s="276">
        <f>DO76+DO83</f>
        <v>2848</v>
      </c>
      <c r="DP87" s="276">
        <f>DP76+DP83</f>
        <v>3840</v>
      </c>
      <c r="DQ87" s="446">
        <f>SUM(DM87:DP87)</f>
        <v>13095</v>
      </c>
      <c r="DR87" s="276"/>
      <c r="DS87" s="276">
        <f>DS51</f>
        <v>5532</v>
      </c>
      <c r="DT87" s="276">
        <f>DT76+DT83</f>
        <v>583</v>
      </c>
      <c r="DU87" s="276">
        <f>DU76+DU83</f>
        <v>3078</v>
      </c>
      <c r="DV87" s="276">
        <f>DV76+DV83</f>
        <v>4381</v>
      </c>
      <c r="DW87" s="446">
        <f>SUM(DS87:DV87)</f>
        <v>13574</v>
      </c>
      <c r="DX87" s="276"/>
      <c r="DY87" s="276">
        <f>DY51</f>
        <v>6139</v>
      </c>
      <c r="DZ87" s="276">
        <f>DZ76+DZ83</f>
        <v>1020</v>
      </c>
      <c r="EA87" s="276">
        <f>EA76+EA83</f>
        <v>2880</v>
      </c>
      <c r="EB87" s="276">
        <f>EB76+EB83</f>
        <v>4302</v>
      </c>
      <c r="EC87" s="446">
        <f>SUM(DY87:EB87)</f>
        <v>14341</v>
      </c>
      <c r="ED87" s="276"/>
      <c r="EE87" s="276">
        <f>EE51</f>
        <v>6527</v>
      </c>
      <c r="EF87" s="276">
        <f>EF76+EF83</f>
        <v>837</v>
      </c>
      <c r="EG87" s="276">
        <f>EG76+EG83</f>
        <v>1895</v>
      </c>
      <c r="EH87" s="276">
        <f>EH76+EH83</f>
        <v>3686</v>
      </c>
      <c r="EI87" s="446">
        <f>SUM(EE87:EH87)</f>
        <v>12945</v>
      </c>
      <c r="EJ87" s="276"/>
      <c r="EK87" s="276">
        <f>EK51</f>
        <v>5410</v>
      </c>
      <c r="EL87" s="276">
        <f>EL76+EL83</f>
        <v>306</v>
      </c>
      <c r="EM87" s="276">
        <f>EM76+EM83</f>
        <v>3106</v>
      </c>
      <c r="EN87" s="276">
        <f>EN76+EN83</f>
        <v>3550</v>
      </c>
      <c r="EO87" s="446">
        <f>SUM(EK87:EN87)</f>
        <v>12372</v>
      </c>
      <c r="EP87" s="276"/>
      <c r="EQ87" s="276">
        <f>EQ51</f>
        <v>5576</v>
      </c>
      <c r="ER87" s="276">
        <f>ER76+ER83</f>
        <v>329</v>
      </c>
      <c r="ES87" s="276">
        <f>ES76+ES83</f>
        <v>2259</v>
      </c>
      <c r="ET87" s="276">
        <f>ET76+ET83</f>
        <v>3941</v>
      </c>
      <c r="EU87" s="446">
        <f>SUM(EQ87:ET87)</f>
        <v>12105</v>
      </c>
      <c r="EV87" s="276"/>
      <c r="EW87" s="276">
        <f>EW51</f>
        <v>6093</v>
      </c>
      <c r="EX87" s="276">
        <f>EX76+EX83</f>
        <v>251</v>
      </c>
      <c r="EY87" s="276">
        <f>EY76+EY83</f>
        <v>3024</v>
      </c>
      <c r="EZ87" s="276">
        <f>EZ76+EZ83</f>
        <v>3898.0100285260419</v>
      </c>
      <c r="FA87" s="446">
        <f>SUM(EW87:EZ87)</f>
        <v>13266.010028526041</v>
      </c>
      <c r="FB87" s="276"/>
      <c r="FC87" s="276">
        <f>FC51</f>
        <v>5434.7875663250661</v>
      </c>
      <c r="FD87" s="276">
        <f>FD76+FD83</f>
        <v>380.87305277020056</v>
      </c>
      <c r="FE87" s="276">
        <f>FE76+FE83</f>
        <v>3690.5117168027809</v>
      </c>
      <c r="FF87" s="276">
        <f>FF76+FF83</f>
        <v>4609.3770522728873</v>
      </c>
      <c r="FG87" s="446">
        <f>SUM(FC87:FF87)</f>
        <v>14115.549388170937</v>
      </c>
      <c r="FH87" s="276"/>
      <c r="FI87" s="276">
        <f>FI51</f>
        <v>5833.9843780139408</v>
      </c>
      <c r="FJ87" s="276">
        <f>FJ76+FJ83</f>
        <v>397.51880943146773</v>
      </c>
      <c r="FK87" s="276">
        <f>FK76+FK83</f>
        <v>3763.9764186229586</v>
      </c>
      <c r="FL87" s="276">
        <f>FL76+FL83</f>
        <v>5457.6846345258218</v>
      </c>
      <c r="FM87" s="446">
        <f>SUM(FI87:FL87)</f>
        <v>15453.164240594189</v>
      </c>
      <c r="FN87" s="261"/>
      <c r="FO87" s="261"/>
      <c r="FP87" s="261"/>
      <c r="FQ87" s="261"/>
      <c r="FR87" s="261"/>
      <c r="FS87"/>
      <c r="FT87"/>
      <c r="FU87"/>
      <c r="FV87"/>
      <c r="FW87"/>
      <c r="FX87"/>
      <c r="FY87" s="261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</row>
    <row r="88" spans="1:274" s="24" customFormat="1" ht="5.25" hidden="1" customHeight="1" outlineLevel="1" x14ac:dyDescent="0.2">
      <c r="A88" s="599"/>
      <c r="B88" s="476"/>
      <c r="C88" s="599"/>
      <c r="D88" s="599"/>
      <c r="E88" s="599"/>
      <c r="F88" s="599"/>
      <c r="G88" s="599"/>
      <c r="H88" s="599"/>
      <c r="I88" s="599"/>
      <c r="J88" s="599"/>
      <c r="K88" s="599"/>
      <c r="L88" s="599"/>
      <c r="M88" s="599"/>
      <c r="N88" s="599"/>
      <c r="O88" s="599"/>
      <c r="P88" s="599"/>
      <c r="Q88" s="599"/>
      <c r="R88" s="599"/>
      <c r="S88" s="599"/>
      <c r="T88" s="599"/>
      <c r="U88" s="599"/>
      <c r="V88" s="599"/>
      <c r="W88" s="599"/>
      <c r="X88" s="599"/>
      <c r="Y88" s="599"/>
      <c r="Z88" s="599"/>
      <c r="AA88" s="599"/>
      <c r="AB88" s="599"/>
      <c r="AC88" s="599"/>
      <c r="AD88" s="599"/>
      <c r="AE88" s="599"/>
      <c r="AF88" s="599"/>
      <c r="AG88" s="599"/>
      <c r="AH88" s="599"/>
      <c r="AI88" s="599"/>
      <c r="AJ88" s="599"/>
      <c r="AK88" s="599"/>
      <c r="AL88" s="599"/>
      <c r="AM88" s="599"/>
      <c r="AN88" s="599"/>
      <c r="AO88" s="599"/>
      <c r="AP88" s="599"/>
      <c r="AQ88" s="599"/>
      <c r="AR88" s="599"/>
      <c r="AS88" s="599"/>
      <c r="AT88" s="599"/>
      <c r="AU88" s="599"/>
      <c r="AV88" s="599"/>
      <c r="AW88" s="599"/>
      <c r="AX88" s="599"/>
      <c r="AY88" s="599"/>
      <c r="AZ88" s="599"/>
      <c r="BA88" s="599"/>
      <c r="BB88" s="599"/>
      <c r="BC88" s="599"/>
      <c r="BD88" s="599"/>
      <c r="BE88" s="599"/>
      <c r="BF88" s="599"/>
      <c r="BG88" s="599"/>
      <c r="BH88" s="599"/>
      <c r="BI88" s="599"/>
      <c r="BJ88" s="599"/>
      <c r="BK88" s="599"/>
      <c r="BL88" s="599"/>
      <c r="BM88" s="599"/>
      <c r="BN88" s="599"/>
      <c r="BO88" s="599"/>
      <c r="BP88" s="599"/>
      <c r="BQ88" s="599"/>
      <c r="BR88" s="599"/>
      <c r="BS88" s="599"/>
      <c r="BT88" s="599"/>
      <c r="BU88" s="599"/>
      <c r="BV88" s="599"/>
      <c r="BW88" s="599"/>
      <c r="BX88" s="599"/>
      <c r="BY88" s="599"/>
      <c r="BZ88" s="599"/>
      <c r="CA88" s="599"/>
      <c r="CB88" s="599"/>
      <c r="CC88" s="599"/>
      <c r="CD88" s="599"/>
      <c r="CE88" s="599"/>
      <c r="CF88" s="599"/>
      <c r="CG88" s="599"/>
      <c r="CH88" s="599"/>
      <c r="CI88" s="599"/>
      <c r="CJ88" s="599"/>
      <c r="CK88" s="599"/>
      <c r="CL88" s="599"/>
      <c r="CM88" s="1019"/>
      <c r="CN88" s="599"/>
      <c r="CO88" s="599"/>
      <c r="CP88" s="599"/>
      <c r="CQ88" s="599"/>
      <c r="CR88" s="599"/>
      <c r="CS88" s="1019"/>
      <c r="CT88" s="599"/>
      <c r="CU88" s="599"/>
      <c r="CV88" s="599"/>
      <c r="CW88" s="599"/>
      <c r="CX88" s="599"/>
      <c r="CY88" s="1019"/>
      <c r="CZ88" s="599"/>
      <c r="DA88" s="599"/>
      <c r="DB88" s="599"/>
      <c r="DC88" s="599"/>
      <c r="DD88" s="599"/>
      <c r="DE88" s="1019"/>
      <c r="DF88" s="599"/>
      <c r="DG88" s="599"/>
      <c r="DH88" s="599"/>
      <c r="DI88" s="599"/>
      <c r="DJ88" s="599"/>
      <c r="DK88" s="1019"/>
      <c r="DL88" s="599"/>
      <c r="DM88" s="599"/>
      <c r="DN88" s="599"/>
      <c r="DO88" s="599"/>
      <c r="DP88" s="599"/>
      <c r="DQ88" s="1019"/>
      <c r="DR88" s="599"/>
      <c r="DS88" s="599"/>
      <c r="DT88" s="599"/>
      <c r="DU88" s="599"/>
      <c r="DV88" s="599"/>
      <c r="DW88" s="1019"/>
      <c r="DX88" s="599"/>
      <c r="DY88" s="599"/>
      <c r="DZ88" s="599"/>
      <c r="EA88" s="599"/>
      <c r="EB88" s="599"/>
      <c r="EC88" s="1019"/>
      <c r="ED88" s="599"/>
      <c r="EE88" s="599"/>
      <c r="EF88" s="599"/>
      <c r="EG88" s="599"/>
      <c r="EH88" s="599"/>
      <c r="EI88" s="1019"/>
      <c r="EJ88" s="599"/>
      <c r="EK88" s="599"/>
      <c r="EL88" s="599"/>
      <c r="EM88" s="599"/>
      <c r="EN88" s="599"/>
      <c r="EO88" s="1019"/>
      <c r="EP88" s="599"/>
      <c r="EQ88" s="599"/>
      <c r="ER88" s="599"/>
      <c r="ES88" s="599"/>
      <c r="ET88" s="599"/>
      <c r="EU88" s="1019"/>
      <c r="EV88" s="599"/>
      <c r="EW88" s="599"/>
      <c r="EX88" s="599"/>
      <c r="EY88" s="599"/>
      <c r="EZ88" s="599"/>
      <c r="FA88" s="1019"/>
      <c r="FB88" s="599"/>
      <c r="FC88" s="599"/>
      <c r="FD88" s="599"/>
      <c r="FE88" s="599"/>
      <c r="FF88" s="599"/>
      <c r="FG88" s="1019"/>
      <c r="FH88" s="599"/>
      <c r="FI88" s="599"/>
      <c r="FJ88" s="599"/>
      <c r="FK88" s="599"/>
      <c r="FL88" s="599"/>
      <c r="FM88" s="1019"/>
      <c r="FN88" s="12"/>
      <c r="FO88" s="12"/>
      <c r="FP88" s="12"/>
      <c r="FQ88" s="12"/>
      <c r="FR88" s="12"/>
      <c r="FS88"/>
      <c r="FT88"/>
      <c r="FU88"/>
      <c r="FV88"/>
      <c r="FW88"/>
      <c r="FX88"/>
      <c r="FY88" s="12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</row>
    <row r="89" spans="1:274" s="1523" customFormat="1" ht="10.5" customHeight="1" collapsed="1" x14ac:dyDescent="0.2">
      <c r="A89" s="1535" t="s">
        <v>768</v>
      </c>
      <c r="B89" s="1529"/>
      <c r="C89" s="1527"/>
      <c r="D89" s="1527"/>
      <c r="E89" s="1527"/>
      <c r="F89" s="1527"/>
      <c r="G89" s="1527"/>
      <c r="H89" s="1527"/>
      <c r="I89" s="1527"/>
      <c r="J89" s="1527"/>
      <c r="K89" s="1527"/>
      <c r="L89" s="1527"/>
      <c r="M89" s="1529"/>
      <c r="N89" s="1540"/>
      <c r="O89" s="1529"/>
      <c r="P89" s="1529"/>
      <c r="Q89" s="1529"/>
      <c r="R89" s="1529"/>
      <c r="S89" s="1529"/>
      <c r="T89" s="1540"/>
      <c r="U89" s="1529"/>
      <c r="V89" s="1529"/>
      <c r="W89" s="1529"/>
      <c r="X89" s="1529"/>
      <c r="Y89" s="1529"/>
      <c r="Z89" s="1540"/>
      <c r="AA89" s="1529"/>
      <c r="AB89" s="1529"/>
      <c r="AC89" s="1529"/>
      <c r="AD89" s="1529"/>
      <c r="AE89" s="1529"/>
      <c r="AF89" s="1540"/>
      <c r="AG89" s="1529"/>
      <c r="AH89" s="1529"/>
      <c r="AI89" s="1529"/>
      <c r="AJ89" s="1529"/>
      <c r="AK89" s="1529"/>
      <c r="AL89" s="1540"/>
      <c r="AM89" s="1529"/>
      <c r="AN89" s="1529"/>
      <c r="AO89" s="1529"/>
      <c r="AP89" s="1529"/>
      <c r="AQ89" s="1529"/>
      <c r="AR89" s="1540"/>
      <c r="AS89" s="1529"/>
      <c r="AT89" s="1529"/>
      <c r="AU89" s="1529"/>
      <c r="AV89" s="1529"/>
      <c r="AW89" s="1529"/>
      <c r="AX89" s="1540"/>
      <c r="AY89" s="1529"/>
      <c r="AZ89" s="1529"/>
      <c r="BA89" s="1529"/>
      <c r="BB89" s="1529"/>
      <c r="BC89" s="1529"/>
      <c r="BD89" s="1540"/>
      <c r="BE89" s="1529"/>
      <c r="BF89" s="1529"/>
      <c r="BG89" s="1529"/>
      <c r="BH89" s="1529"/>
      <c r="BI89" s="1529"/>
      <c r="BJ89" s="1540"/>
      <c r="BK89" s="1529"/>
      <c r="BL89" s="1529"/>
      <c r="BM89" s="1529"/>
      <c r="BN89" s="1529"/>
      <c r="BO89" s="1529"/>
      <c r="BP89" s="1540"/>
      <c r="BQ89" s="1529"/>
      <c r="BR89" s="1529"/>
      <c r="BS89" s="1529"/>
      <c r="BT89" s="1529"/>
      <c r="BU89" s="1529"/>
      <c r="BV89" s="1540"/>
      <c r="BW89" s="1529"/>
      <c r="BX89" s="1529"/>
      <c r="BY89" s="1529"/>
      <c r="BZ89" s="1529"/>
      <c r="CA89" s="1529"/>
      <c r="CB89" s="1540"/>
      <c r="CC89" s="1529"/>
      <c r="CD89" s="1529"/>
      <c r="CE89" s="1529"/>
      <c r="CF89" s="1529"/>
      <c r="CG89" s="1529"/>
      <c r="CH89" s="1540"/>
      <c r="CI89" s="1529"/>
      <c r="CJ89" s="1529"/>
      <c r="CK89" s="1529"/>
      <c r="CL89" s="1529"/>
      <c r="CM89" s="1536"/>
      <c r="CN89" s="1540"/>
      <c r="CO89" s="1529"/>
      <c r="CP89" s="1529"/>
      <c r="CQ89" s="1529"/>
      <c r="CR89" s="1529"/>
      <c r="CS89" s="1536"/>
      <c r="CT89" s="1540"/>
      <c r="CU89" s="1529"/>
      <c r="CV89" s="1529"/>
      <c r="CW89" s="1529"/>
      <c r="CX89" s="1529"/>
      <c r="CY89" s="1536"/>
      <c r="CZ89" s="1540"/>
      <c r="DA89" s="1529"/>
      <c r="DB89" s="1529"/>
      <c r="DC89" s="1529"/>
      <c r="DD89" s="1529"/>
      <c r="DE89" s="1536"/>
      <c r="DF89" s="1540"/>
      <c r="DG89" s="1529"/>
      <c r="DH89" s="1529"/>
      <c r="DI89" s="1529"/>
      <c r="DJ89" s="1529"/>
      <c r="DK89" s="1536"/>
      <c r="DL89" s="1540"/>
      <c r="DM89" s="1529"/>
      <c r="DN89" s="1529"/>
      <c r="DO89" s="1529"/>
      <c r="DP89" s="1529"/>
      <c r="DQ89" s="1536"/>
      <c r="DR89" s="1540"/>
      <c r="DS89" s="1529"/>
      <c r="DT89" s="1529"/>
      <c r="DU89" s="1529"/>
      <c r="DV89" s="1529"/>
      <c r="DW89" s="1536"/>
      <c r="DX89" s="1540"/>
      <c r="DY89" s="1529"/>
      <c r="DZ89" s="1529"/>
      <c r="EA89" s="1529"/>
      <c r="EB89" s="1529"/>
      <c r="EC89" s="1536"/>
      <c r="ED89" s="1540"/>
      <c r="EE89" s="1529"/>
      <c r="EF89" s="1529"/>
      <c r="EG89" s="1529"/>
      <c r="EH89" s="1529"/>
      <c r="EI89" s="1536"/>
      <c r="EJ89" s="1540"/>
      <c r="EK89" s="1529"/>
      <c r="EL89" s="1529"/>
      <c r="EM89" s="1529"/>
      <c r="EN89" s="1529"/>
      <c r="EO89" s="1536"/>
      <c r="EP89" s="1540"/>
      <c r="EQ89" s="1529"/>
      <c r="ER89" s="1529"/>
      <c r="ES89" s="1529"/>
      <c r="ET89" s="1529"/>
      <c r="EU89" s="1536"/>
      <c r="EV89" s="1540"/>
      <c r="EW89" s="1529"/>
      <c r="EX89" s="1529"/>
      <c r="EY89" s="1529"/>
      <c r="EZ89" s="1529"/>
      <c r="FA89" s="1536"/>
      <c r="FB89" s="1540"/>
      <c r="FC89" s="1529"/>
      <c r="FD89" s="1529"/>
      <c r="FE89" s="1529"/>
      <c r="FF89" s="1529"/>
      <c r="FG89" s="1536"/>
      <c r="FH89" s="1540"/>
      <c r="FI89" s="1529"/>
      <c r="FJ89" s="1529"/>
      <c r="FK89" s="1529"/>
      <c r="FL89" s="1529"/>
      <c r="FM89" s="1536"/>
      <c r="FN89" s="1539"/>
      <c r="FO89" s="1539"/>
      <c r="FP89" s="1524"/>
      <c r="FQ89" s="1524"/>
      <c r="FR89" s="1524"/>
      <c r="FS89"/>
      <c r="FT89"/>
      <c r="FU89"/>
      <c r="FV89"/>
      <c r="FW89"/>
      <c r="FX89"/>
      <c r="FY89" s="1524"/>
      <c r="FZ89" s="1522"/>
      <c r="GA89" s="1522"/>
      <c r="GB89" s="1522"/>
      <c r="GC89" s="1522"/>
      <c r="GD89" s="1522"/>
      <c r="GE89" s="1522"/>
      <c r="GF89" s="1522"/>
      <c r="GG89" s="1522"/>
      <c r="GH89" s="1522"/>
      <c r="GI89" s="1522"/>
      <c r="GJ89" s="1522"/>
      <c r="GK89" s="1522"/>
      <c r="GL89" s="1522"/>
      <c r="GM89" s="1522"/>
      <c r="GN89" s="1522"/>
      <c r="GO89" s="1522"/>
      <c r="GP89" s="1522"/>
      <c r="GQ89" s="1522"/>
      <c r="GR89" s="1522"/>
      <c r="GS89" s="1522"/>
      <c r="GT89" s="1522"/>
      <c r="GU89" s="1522"/>
      <c r="GV89" s="1522"/>
      <c r="GW89" s="1522"/>
      <c r="GX89" s="1522"/>
      <c r="GY89" s="1522"/>
      <c r="GZ89" s="1522"/>
      <c r="HA89" s="1522"/>
      <c r="HB89" s="1522"/>
      <c r="HC89" s="1522"/>
      <c r="HD89" s="1522"/>
      <c r="HE89" s="1522"/>
      <c r="HF89" s="1522"/>
      <c r="HG89" s="1522"/>
      <c r="HH89" s="1522"/>
      <c r="HI89" s="1522"/>
      <c r="HJ89" s="1522"/>
      <c r="HK89" s="1522"/>
      <c r="HL89" s="1522"/>
      <c r="HM89" s="1522"/>
      <c r="HN89" s="1522"/>
      <c r="HO89" s="1522"/>
      <c r="HP89" s="1522"/>
      <c r="HQ89" s="1522"/>
      <c r="HR89" s="1522"/>
      <c r="HS89" s="1522"/>
      <c r="HT89" s="1522"/>
      <c r="HU89" s="1522"/>
      <c r="HV89" s="1522"/>
      <c r="HW89" s="1522"/>
      <c r="HX89" s="1522"/>
      <c r="HY89" s="1522"/>
      <c r="HZ89" s="1522"/>
      <c r="IA89" s="1522"/>
      <c r="IB89" s="1522"/>
      <c r="IC89" s="1522"/>
      <c r="ID89" s="1522"/>
      <c r="IE89" s="1522"/>
      <c r="IF89" s="1522"/>
      <c r="IG89" s="1522"/>
      <c r="IH89" s="1522"/>
      <c r="II89" s="1522"/>
      <c r="IJ89" s="1522"/>
      <c r="IK89" s="1522"/>
      <c r="IL89" s="1522"/>
      <c r="IM89" s="1522"/>
      <c r="IN89" s="1522"/>
      <c r="IO89" s="1522"/>
      <c r="IP89" s="1522"/>
      <c r="IQ89" s="1522"/>
      <c r="IR89" s="1522"/>
      <c r="IS89" s="1522"/>
      <c r="IT89" s="1522"/>
      <c r="IU89" s="1522"/>
      <c r="IV89" s="1522"/>
      <c r="IW89" s="1522"/>
      <c r="IX89" s="1522"/>
      <c r="IY89" s="1522"/>
      <c r="IZ89" s="1522"/>
      <c r="JA89" s="1522"/>
      <c r="JB89" s="1522"/>
      <c r="JC89" s="1522"/>
      <c r="JD89" s="1522"/>
      <c r="JE89" s="1522"/>
      <c r="JF89" s="1522"/>
      <c r="JG89" s="1522"/>
      <c r="JH89" s="1522"/>
      <c r="JI89" s="1522"/>
      <c r="JJ89" s="1522"/>
      <c r="JK89" s="1522"/>
      <c r="JL89" s="1522"/>
      <c r="JM89" s="1522"/>
      <c r="JN89" s="1522"/>
    </row>
    <row r="90" spans="1:274" s="1523" customFormat="1" ht="10.5" customHeight="1" x14ac:dyDescent="0.2">
      <c r="A90" s="1571" t="s">
        <v>418</v>
      </c>
      <c r="B90" s="1529"/>
      <c r="C90" s="1527">
        <v>0</v>
      </c>
      <c r="D90" s="1527">
        <v>0</v>
      </c>
      <c r="E90" s="1527">
        <f>-2.848-2.65</f>
        <v>-5.4979999999999993</v>
      </c>
      <c r="F90" s="1527">
        <f>-0.345-4.377-0.216+1.016</f>
        <v>-3.9219999999999997</v>
      </c>
      <c r="G90" s="1527">
        <f>-0.169-3.638+3.992</f>
        <v>0.18500000000000005</v>
      </c>
      <c r="H90" s="1527">
        <f>10.305-6.205+10.593</f>
        <v>14.693</v>
      </c>
      <c r="I90" s="1527">
        <f>82.949+15.3-42.802</f>
        <v>55.446999999999996</v>
      </c>
      <c r="J90" s="1527">
        <f>61.794-8.001</f>
        <v>53.792999999999999</v>
      </c>
      <c r="K90" s="1527">
        <f>-151.678+80.41-27.371</f>
        <v>-98.638999999999996</v>
      </c>
      <c r="L90" s="1527">
        <v>-43.625999999999998</v>
      </c>
      <c r="M90" s="1529">
        <f>-81.157</f>
        <v>-81.156999999999996</v>
      </c>
      <c r="N90" s="1540"/>
      <c r="O90" s="1527">
        <f>-31.943</f>
        <v>-31.943000000000001</v>
      </c>
      <c r="P90" s="1527">
        <f>-75.855-O90</f>
        <v>-43.912000000000006</v>
      </c>
      <c r="Q90" s="1527">
        <f>-75.859-P90-O90</f>
        <v>-3.999999999987125E-3</v>
      </c>
      <c r="R90" s="1527">
        <f>-75.859-Q90-P90-O90</f>
        <v>0</v>
      </c>
      <c r="S90" s="1529">
        <f>SUM(O90:R90)</f>
        <v>-75.858999999999995</v>
      </c>
      <c r="T90" s="1527"/>
      <c r="U90" s="1527">
        <v>0</v>
      </c>
      <c r="V90" s="1527">
        <f>-48.58-U90</f>
        <v>-48.58</v>
      </c>
      <c r="W90" s="1527">
        <f>-82.92-V90-U90</f>
        <v>-34.340000000000003</v>
      </c>
      <c r="X90" s="1527">
        <f>-113.087-W90-V90-U90</f>
        <v>-30.167000000000002</v>
      </c>
      <c r="Y90" s="1529">
        <f>SUM(U90:X90)</f>
        <v>-113.087</v>
      </c>
      <c r="Z90" s="1527"/>
      <c r="AA90" s="1527">
        <v>-11.957000000000001</v>
      </c>
      <c r="AB90" s="1527">
        <f>-109.876-AA90</f>
        <v>-97.919000000000011</v>
      </c>
      <c r="AC90" s="1527">
        <f>-347.255-AB90-AA90</f>
        <v>-237.37899999999999</v>
      </c>
      <c r="AD90" s="1527">
        <f>-528.209-AC90-AB90-AA90</f>
        <v>-180.95399999999992</v>
      </c>
      <c r="AE90" s="1529">
        <f>SUM(AA90:AD90)</f>
        <v>-528.20899999999995</v>
      </c>
      <c r="AF90" s="1527"/>
      <c r="AG90" s="1527">
        <v>-15.563000000000001</v>
      </c>
      <c r="AH90" s="1529">
        <f>-62.717-AG90</f>
        <v>-47.153999999999996</v>
      </c>
      <c r="AI90" s="1529">
        <f>-372.075-AH90-AG90</f>
        <v>-309.358</v>
      </c>
      <c r="AJ90" s="1527">
        <f>-489.823-AI90-AH90-AG90</f>
        <v>-117.74799999999998</v>
      </c>
      <c r="AK90" s="1529">
        <f>SUM(AG90:AJ90)</f>
        <v>-489.82299999999998</v>
      </c>
      <c r="AL90" s="1527"/>
      <c r="AM90" s="1527">
        <f>-81.064</f>
        <v>-81.063999999999993</v>
      </c>
      <c r="AN90" s="1527">
        <f>-560.866-AM90</f>
        <v>-479.80200000000002</v>
      </c>
      <c r="AO90" s="1527">
        <f>-747.932-AN90-AM90</f>
        <v>-187.066</v>
      </c>
      <c r="AP90" s="1527">
        <f>-1086.953-AO90-AN90-AM90</f>
        <v>-339.02099999999996</v>
      </c>
      <c r="AQ90" s="1529">
        <f>SUM(AM90:AP90)</f>
        <v>-1086.953</v>
      </c>
      <c r="AR90" s="1527"/>
      <c r="AS90" s="1529">
        <f>-579.895</f>
        <v>-579.89499999999998</v>
      </c>
      <c r="AT90" s="1529">
        <f>-1371.792-AS90</f>
        <v>-791.89699999999993</v>
      </c>
      <c r="AU90" s="1529">
        <f>-2044.526-AT90-AS90</f>
        <v>-672.73400000000015</v>
      </c>
      <c r="AV90" s="1527">
        <f>-5306.771-AU90-AT90-AS90</f>
        <v>-3262.2449999999994</v>
      </c>
      <c r="AW90" s="1529">
        <f>AS90+AT90+AU90+AV90</f>
        <v>-5306.7709999999997</v>
      </c>
      <c r="AX90" s="1527"/>
      <c r="AY90" s="1527">
        <v>-1995.423</v>
      </c>
      <c r="AZ90" s="1527">
        <f>-3420.825-AY90</f>
        <v>-1425.4019999999998</v>
      </c>
      <c r="BA90" s="1527">
        <f>-3771.737-AZ90-AY90</f>
        <v>-350.91200000000003</v>
      </c>
      <c r="BB90" s="1527">
        <f>-4341-BA90-AZ90-AY90</f>
        <v>-569.26299999999969</v>
      </c>
      <c r="BC90" s="1527">
        <f>SUM(AY90:BB90)</f>
        <v>-4341</v>
      </c>
      <c r="BD90" s="1527"/>
      <c r="BE90" s="1527">
        <v>-753.79600000000005</v>
      </c>
      <c r="BF90" s="1527">
        <f>-1858-BE90</f>
        <v>-1104.204</v>
      </c>
      <c r="BG90" s="1527">
        <f>-2051-BF90-BE90</f>
        <v>-193</v>
      </c>
      <c r="BH90" s="1527">
        <f>-2792-BG90-BF90-BE90</f>
        <v>-741</v>
      </c>
      <c r="BI90" s="1529">
        <f>SUM(BE90:BH90)</f>
        <v>-2792</v>
      </c>
      <c r="BJ90" s="1527"/>
      <c r="BK90" s="1527">
        <v>-768</v>
      </c>
      <c r="BL90" s="1527">
        <f>-1707-BK90</f>
        <v>-939</v>
      </c>
      <c r="BM90" s="1529">
        <f>-2196-BL90-BK90</f>
        <v>-489</v>
      </c>
      <c r="BN90" s="1529">
        <f>-2653-BM90-BL90-BK90</f>
        <v>-457</v>
      </c>
      <c r="BO90" s="1529">
        <f>SUM(BK90:BN90)</f>
        <v>-2653</v>
      </c>
      <c r="BP90" s="1527"/>
      <c r="BQ90" s="1529">
        <v>-200</v>
      </c>
      <c r="BR90" s="1529">
        <f>BR36-BQ36</f>
        <v>-199</v>
      </c>
      <c r="BS90" s="1529">
        <f>BS36-BR36</f>
        <v>-628</v>
      </c>
      <c r="BT90" s="1529">
        <f>BT36-BS36</f>
        <v>-472</v>
      </c>
      <c r="BU90" s="1529">
        <f>SUM(BQ90:BT90)</f>
        <v>-1499</v>
      </c>
      <c r="BV90" s="1527"/>
      <c r="BW90" s="1529">
        <v>-543</v>
      </c>
      <c r="BX90" s="1529">
        <f>BX36-BW36</f>
        <v>-552</v>
      </c>
      <c r="BY90" s="1529">
        <f>BY36-BX36</f>
        <v>0</v>
      </c>
      <c r="BZ90" s="1529">
        <f>BZ36-BY36</f>
        <v>-248</v>
      </c>
      <c r="CA90" s="1529">
        <f>SUM(BW90:BZ90)</f>
        <v>-1343</v>
      </c>
      <c r="CB90" s="1527"/>
      <c r="CC90" s="1529">
        <f>CC36</f>
        <v>-250</v>
      </c>
      <c r="CD90" s="1529">
        <f>CD36-CC36</f>
        <v>-74</v>
      </c>
      <c r="CE90" s="1529">
        <f>CE36-CD36</f>
        <v>0</v>
      </c>
      <c r="CF90" s="1529">
        <f>CF36-CE36</f>
        <v>-1743</v>
      </c>
      <c r="CG90" s="1529">
        <f>SUM(CC90:CF90)</f>
        <v>-2067</v>
      </c>
      <c r="CH90" s="1527"/>
      <c r="CI90" s="1529">
        <f>CI36</f>
        <v>-936</v>
      </c>
      <c r="CJ90" s="1529">
        <f t="shared" ref="CJ90:CL91" si="203">CJ36-CI36</f>
        <v>-1000</v>
      </c>
      <c r="CK90" s="1529">
        <f t="shared" si="203"/>
        <v>-997</v>
      </c>
      <c r="CL90" s="1529">
        <f t="shared" si="203"/>
        <v>-1004</v>
      </c>
      <c r="CM90" s="1536">
        <f t="shared" ref="CM90:CM95" si="204">SUM(CI90:CL90)</f>
        <v>-3937</v>
      </c>
      <c r="CN90" s="1527"/>
      <c r="CO90" s="1529">
        <f>CO36</f>
        <v>-530</v>
      </c>
      <c r="CP90" s="1529">
        <f t="shared" ref="CP90:CR91" si="205">CP36-CO36</f>
        <v>-493</v>
      </c>
      <c r="CQ90" s="1529">
        <f t="shared" si="205"/>
        <v>-497</v>
      </c>
      <c r="CR90" s="1529">
        <f t="shared" si="205"/>
        <v>-503</v>
      </c>
      <c r="CS90" s="1536">
        <f t="shared" ref="CS90:CS95" si="206">SUM(CO90:CR90)</f>
        <v>-2023</v>
      </c>
      <c r="CT90" s="1527"/>
      <c r="CU90" s="1529">
        <f>CU36</f>
        <v>-500</v>
      </c>
      <c r="CV90" s="1529">
        <f t="shared" ref="CV90:CX91" si="207">CV36-CU36</f>
        <v>-1844</v>
      </c>
      <c r="CW90" s="1529">
        <f t="shared" si="207"/>
        <v>-1360</v>
      </c>
      <c r="CX90" s="1529">
        <f t="shared" si="207"/>
        <v>-268</v>
      </c>
      <c r="CY90" s="1536">
        <f t="shared" ref="CY90:CY95" si="208">SUM(CU90:CX90)</f>
        <v>-3972</v>
      </c>
      <c r="CZ90" s="1527"/>
      <c r="DA90" s="1529">
        <f>DA36</f>
        <v>-244</v>
      </c>
      <c r="DB90" s="1529">
        <f t="shared" ref="DB90:DD91" si="209">DB36-DA36</f>
        <v>-252</v>
      </c>
      <c r="DC90" s="1529">
        <f t="shared" si="209"/>
        <v>-242</v>
      </c>
      <c r="DD90" s="1529">
        <f t="shared" si="209"/>
        <v>-254</v>
      </c>
      <c r="DE90" s="1536">
        <f t="shared" ref="DE90:DE95" si="210">SUM(DA90:DD90)</f>
        <v>-992</v>
      </c>
      <c r="DF90" s="1527"/>
      <c r="DG90" s="1529">
        <f>DG36</f>
        <v>-249</v>
      </c>
      <c r="DH90" s="1529">
        <f t="shared" ref="DH90:DJ91" si="211">DH36-DG36</f>
        <v>-255</v>
      </c>
      <c r="DI90" s="1529">
        <f t="shared" si="211"/>
        <v>-245</v>
      </c>
      <c r="DJ90" s="1529">
        <f>DJ36-DI36</f>
        <v>-411</v>
      </c>
      <c r="DK90" s="1536">
        <f t="shared" ref="DK90:DK95" si="212">SUM(DG90:DJ90)</f>
        <v>-1160</v>
      </c>
      <c r="DL90" s="1527"/>
      <c r="DM90" s="1529">
        <f>DM36</f>
        <v>-800</v>
      </c>
      <c r="DN90" s="1529">
        <f t="shared" ref="DN90:DP94" si="213">DN36-DM36</f>
        <v>-998</v>
      </c>
      <c r="DO90" s="1529">
        <f t="shared" si="213"/>
        <v>-1659</v>
      </c>
      <c r="DP90" s="1529">
        <f t="shared" si="213"/>
        <v>-2399</v>
      </c>
      <c r="DQ90" s="1536">
        <f t="shared" ref="DQ90:DQ95" si="214">SUM(DM90:DP90)</f>
        <v>-5856</v>
      </c>
      <c r="DR90" s="1527"/>
      <c r="DS90" s="1529">
        <f>DS36</f>
        <v>-3076</v>
      </c>
      <c r="DT90" s="1529">
        <f>DT36-DS36</f>
        <v>-2996</v>
      </c>
      <c r="DU90" s="1529">
        <f t="shared" ref="DT90:DV94" si="215">DU36-DT36</f>
        <v>-2132</v>
      </c>
      <c r="DV90" s="1529">
        <f t="shared" si="215"/>
        <v>-2817</v>
      </c>
      <c r="DW90" s="1536">
        <f t="shared" ref="DW90:DW95" si="216">SUM(DS90:DV90)</f>
        <v>-11021</v>
      </c>
      <c r="DX90" s="1527"/>
      <c r="DY90" s="1529">
        <f>DY36</f>
        <v>-2968</v>
      </c>
      <c r="DZ90" s="1529">
        <f t="shared" ref="DZ90:EB94" si="217">DZ36-DY36</f>
        <v>-2833</v>
      </c>
      <c r="EA90" s="1529">
        <f t="shared" si="217"/>
        <v>-2040</v>
      </c>
      <c r="EB90" s="1529">
        <f t="shared" si="217"/>
        <v>-1972</v>
      </c>
      <c r="EC90" s="1536">
        <f t="shared" ref="EC90:EC95" si="218">SUM(DY90:EB90)</f>
        <v>-9813</v>
      </c>
      <c r="ED90" s="1527"/>
      <c r="EE90" s="1529">
        <f>EE36</f>
        <v>-2000</v>
      </c>
      <c r="EF90" s="1529">
        <f t="shared" ref="EF90:EH94" si="219">EF36-EE36</f>
        <v>-2087</v>
      </c>
      <c r="EG90" s="1529">
        <f t="shared" si="219"/>
        <v>-1992</v>
      </c>
      <c r="EH90" s="1529">
        <f t="shared" si="219"/>
        <v>-2008</v>
      </c>
      <c r="EI90" s="1536">
        <f t="shared" ref="EI90:EI95" si="220">SUM(EE90:EH90)</f>
        <v>-8087</v>
      </c>
      <c r="EJ90" s="1527"/>
      <c r="EK90" s="1529">
        <f>EK36</f>
        <v>-2846</v>
      </c>
      <c r="EL90" s="1529">
        <f>EL36-EK36</f>
        <v>-3412</v>
      </c>
      <c r="EM90" s="1529">
        <f t="shared" ref="EL90:EN94" si="221">EM36-EL36</f>
        <v>-2209</v>
      </c>
      <c r="EN90" s="1529">
        <f t="shared" si="221"/>
        <v>-1973</v>
      </c>
      <c r="EO90" s="1536">
        <f t="shared" ref="EO90:EO95" si="222">SUM(EK90:EN90)</f>
        <v>-10440</v>
      </c>
      <c r="EP90" s="1527"/>
      <c r="EQ90" s="1529">
        <f>EQ36</f>
        <v>-2002</v>
      </c>
      <c r="ER90" s="1529">
        <f>ER36-EQ36</f>
        <v>-567</v>
      </c>
      <c r="ES90" s="1529">
        <f>ES36-ER36</f>
        <v>-498</v>
      </c>
      <c r="ET90" s="1529">
        <f>ET36-ES36</f>
        <v>-494</v>
      </c>
      <c r="EU90" s="1536">
        <f t="shared" ref="EU90:EU95" si="223">SUM(EQ90:ET90)</f>
        <v>-3561</v>
      </c>
      <c r="EV90" s="1527"/>
      <c r="EW90" s="1529">
        <f>EW36</f>
        <v>-502</v>
      </c>
      <c r="EX90" s="1529">
        <f>EX36-EW36</f>
        <v>-1952</v>
      </c>
      <c r="EY90" s="1529">
        <f>EY36-EX36</f>
        <v>-3967</v>
      </c>
      <c r="EZ90" s="1529">
        <f t="shared" ref="EZ90:EZ94" si="224">EZ36-EY36</f>
        <v>-3000</v>
      </c>
      <c r="FA90" s="1536">
        <f t="shared" ref="FA90:FA95" si="225">SUM(EW90:EZ90)</f>
        <v>-9421</v>
      </c>
      <c r="FB90" s="1527"/>
      <c r="FC90" s="1529">
        <f>FC36</f>
        <v>-3000</v>
      </c>
      <c r="FD90" s="1529">
        <f t="shared" ref="FD90:FF94" si="226">FD36-FC36</f>
        <v>-3000</v>
      </c>
      <c r="FE90" s="1529">
        <f t="shared" si="226"/>
        <v>-3000</v>
      </c>
      <c r="FF90" s="1529">
        <f t="shared" si="226"/>
        <v>-3000</v>
      </c>
      <c r="FG90" s="1536">
        <f t="shared" ref="FG90:FG95" si="227">SUM(FC90:FF90)</f>
        <v>-12000</v>
      </c>
      <c r="FH90" s="1527"/>
      <c r="FI90" s="1529">
        <f>FI36</f>
        <v>-3000</v>
      </c>
      <c r="FJ90" s="1529">
        <f t="shared" ref="FJ90:FJ94" si="228">FJ36-FI36</f>
        <v>-3000</v>
      </c>
      <c r="FK90" s="1529">
        <f t="shared" ref="FK90:FK94" si="229">FK36-FJ36</f>
        <v>-3000</v>
      </c>
      <c r="FL90" s="1529">
        <f t="shared" ref="FL90:FL94" si="230">FL36-FK36</f>
        <v>-3000</v>
      </c>
      <c r="FM90" s="1536">
        <f t="shared" ref="FM90:FM95" si="231">SUM(FI90:FL90)</f>
        <v>-12000</v>
      </c>
      <c r="FN90" s="1525"/>
      <c r="FO90" s="1525"/>
      <c r="FP90" s="1526"/>
      <c r="FQ90" s="1526"/>
      <c r="FR90" s="1526"/>
      <c r="FS90"/>
      <c r="FT90"/>
      <c r="FU90"/>
      <c r="FV90"/>
      <c r="FW90"/>
      <c r="FX90"/>
      <c r="FY90" s="1526"/>
      <c r="FZ90" s="1522"/>
      <c r="GA90" s="1522"/>
      <c r="GB90" s="1522"/>
      <c r="GC90" s="1522"/>
      <c r="GD90" s="1522"/>
      <c r="GE90" s="1522"/>
      <c r="GF90" s="1522"/>
      <c r="GG90" s="1522"/>
      <c r="GH90" s="1522"/>
      <c r="GI90" s="1522"/>
      <c r="GJ90" s="1522"/>
      <c r="GK90" s="1522"/>
      <c r="GL90" s="1522"/>
      <c r="GM90" s="1522"/>
      <c r="GN90" s="1522"/>
      <c r="GO90" s="1522"/>
      <c r="GP90" s="1522"/>
      <c r="GQ90" s="1522"/>
      <c r="GR90" s="1522"/>
      <c r="GS90" s="1522"/>
      <c r="GT90" s="1522"/>
      <c r="GU90" s="1522"/>
      <c r="GV90" s="1522"/>
      <c r="GW90" s="1522"/>
      <c r="GX90" s="1522"/>
      <c r="GY90" s="1522"/>
      <c r="GZ90" s="1522"/>
      <c r="HA90" s="1522"/>
      <c r="HB90" s="1522"/>
      <c r="HC90" s="1522"/>
      <c r="HD90" s="1522"/>
      <c r="HE90" s="1522"/>
      <c r="HF90" s="1522"/>
      <c r="HG90" s="1522"/>
      <c r="HH90" s="1522"/>
      <c r="HI90" s="1522"/>
      <c r="HJ90" s="1522"/>
      <c r="HK90" s="1522"/>
      <c r="HL90" s="1522"/>
      <c r="HM90" s="1522"/>
      <c r="HN90" s="1522"/>
      <c r="HO90" s="1522"/>
      <c r="HP90" s="1522"/>
      <c r="HQ90" s="1522"/>
      <c r="HR90" s="1522"/>
      <c r="HS90" s="1522"/>
      <c r="HT90" s="1522"/>
      <c r="HU90" s="1522"/>
      <c r="HV90" s="1522"/>
      <c r="HW90" s="1522"/>
      <c r="HX90" s="1522"/>
      <c r="HY90" s="1522"/>
      <c r="HZ90" s="1522"/>
      <c r="IA90" s="1522"/>
      <c r="IB90" s="1522"/>
      <c r="IC90" s="1522"/>
      <c r="ID90" s="1522"/>
      <c r="IE90" s="1522"/>
      <c r="IF90" s="1522"/>
      <c r="IG90" s="1522"/>
      <c r="IH90" s="1522"/>
      <c r="II90" s="1522"/>
      <c r="IJ90" s="1522"/>
      <c r="IK90" s="1522"/>
      <c r="IL90" s="1522"/>
      <c r="IM90" s="1522"/>
      <c r="IN90" s="1522"/>
      <c r="IO90" s="1522"/>
      <c r="IP90" s="1522"/>
      <c r="IQ90" s="1522"/>
      <c r="IR90" s="1522"/>
      <c r="IS90" s="1522"/>
      <c r="IT90" s="1522"/>
      <c r="IU90" s="1522"/>
      <c r="IV90" s="1522"/>
      <c r="IW90" s="1522"/>
      <c r="IX90" s="1522"/>
      <c r="IY90" s="1522"/>
      <c r="IZ90" s="1522"/>
      <c r="JA90" s="1522"/>
      <c r="JB90" s="1522"/>
      <c r="JC90" s="1522"/>
      <c r="JD90" s="1522"/>
      <c r="JE90" s="1522"/>
      <c r="JF90" s="1522"/>
      <c r="JG90" s="1522"/>
      <c r="JH90" s="1522"/>
      <c r="JI90" s="1522"/>
      <c r="JJ90" s="1522"/>
      <c r="JK90" s="1522"/>
      <c r="JL90" s="1522"/>
      <c r="JM90" s="1522"/>
      <c r="JN90" s="1522"/>
    </row>
    <row r="91" spans="1:274" s="1523" customFormat="1" ht="10.5" customHeight="1" x14ac:dyDescent="0.2">
      <c r="A91" s="1571" t="s">
        <v>1</v>
      </c>
      <c r="B91" s="1529"/>
      <c r="C91" s="1527"/>
      <c r="D91" s="1527"/>
      <c r="E91" s="1527"/>
      <c r="F91" s="1527"/>
      <c r="G91" s="1527"/>
      <c r="H91" s="1527"/>
      <c r="I91" s="1527"/>
      <c r="J91" s="1527"/>
      <c r="K91" s="1527"/>
      <c r="L91" s="1527"/>
      <c r="M91" s="1529"/>
      <c r="N91" s="1540"/>
      <c r="O91" s="1527"/>
      <c r="P91" s="1527"/>
      <c r="Q91" s="1527"/>
      <c r="R91" s="1527"/>
      <c r="S91" s="1529"/>
      <c r="T91" s="1527"/>
      <c r="U91" s="1527"/>
      <c r="V91" s="1527"/>
      <c r="W91" s="1527"/>
      <c r="X91" s="1527"/>
      <c r="Y91" s="1529"/>
      <c r="Z91" s="1527"/>
      <c r="AA91" s="1527"/>
      <c r="AB91" s="1527"/>
      <c r="AC91" s="1527"/>
      <c r="AD91" s="1527"/>
      <c r="AE91" s="1529"/>
      <c r="AF91" s="1527"/>
      <c r="AG91" s="1527"/>
      <c r="AH91" s="1529"/>
      <c r="AI91" s="1529"/>
      <c r="AJ91" s="1527"/>
      <c r="AK91" s="1529"/>
      <c r="AL91" s="1527"/>
      <c r="AM91" s="1527"/>
      <c r="AN91" s="1527"/>
      <c r="AO91" s="1527"/>
      <c r="AP91" s="1527"/>
      <c r="AQ91" s="1529"/>
      <c r="AR91" s="1527"/>
      <c r="AS91" s="1529"/>
      <c r="AT91" s="1529"/>
      <c r="AU91" s="1529"/>
      <c r="AV91" s="1527"/>
      <c r="AW91" s="1529"/>
      <c r="AX91" s="1527"/>
      <c r="AY91" s="1527"/>
      <c r="AZ91" s="1527"/>
      <c r="BA91" s="1527"/>
      <c r="BB91" s="1527"/>
      <c r="BC91" s="1527"/>
      <c r="BD91" s="1527"/>
      <c r="BE91" s="1527"/>
      <c r="BF91" s="1527"/>
      <c r="BG91" s="1527"/>
      <c r="BH91" s="1527"/>
      <c r="BI91" s="1529"/>
      <c r="BJ91" s="1527"/>
      <c r="BK91" s="1527"/>
      <c r="BL91" s="1527"/>
      <c r="BM91" s="1529"/>
      <c r="BN91" s="1529"/>
      <c r="BO91" s="1529"/>
      <c r="BP91" s="1527"/>
      <c r="BQ91" s="1529"/>
      <c r="BR91" s="1529"/>
      <c r="BS91" s="1529"/>
      <c r="BT91" s="1529"/>
      <c r="BU91" s="1529"/>
      <c r="BV91" s="1527"/>
      <c r="BW91" s="1529"/>
      <c r="BX91" s="1529"/>
      <c r="BY91" s="1529"/>
      <c r="BZ91" s="1529"/>
      <c r="CA91" s="1529"/>
      <c r="CB91" s="1527"/>
      <c r="CC91" s="1529"/>
      <c r="CD91" s="1529"/>
      <c r="CE91" s="1529"/>
      <c r="CF91" s="1529"/>
      <c r="CG91" s="1529"/>
      <c r="CH91" s="1527"/>
      <c r="CI91" s="1529">
        <f>CI37</f>
        <v>0</v>
      </c>
      <c r="CJ91" s="1529">
        <f t="shared" si="203"/>
        <v>0</v>
      </c>
      <c r="CK91" s="1529">
        <f t="shared" si="203"/>
        <v>0</v>
      </c>
      <c r="CL91" s="1529">
        <f t="shared" si="203"/>
        <v>0</v>
      </c>
      <c r="CM91" s="1536">
        <f t="shared" si="204"/>
        <v>0</v>
      </c>
      <c r="CN91" s="1527"/>
      <c r="CO91" s="1529">
        <f>CO37</f>
        <v>0</v>
      </c>
      <c r="CP91" s="1529">
        <f t="shared" si="205"/>
        <v>0</v>
      </c>
      <c r="CQ91" s="1529">
        <f t="shared" si="205"/>
        <v>0</v>
      </c>
      <c r="CR91" s="1529">
        <f t="shared" si="205"/>
        <v>0</v>
      </c>
      <c r="CS91" s="1536">
        <f t="shared" si="206"/>
        <v>0</v>
      </c>
      <c r="CT91" s="1527"/>
      <c r="CU91" s="1529">
        <f>CU37</f>
        <v>0</v>
      </c>
      <c r="CV91" s="1529">
        <f t="shared" si="207"/>
        <v>0</v>
      </c>
      <c r="CW91" s="1529">
        <f t="shared" si="207"/>
        <v>0</v>
      </c>
      <c r="CX91" s="1529">
        <f t="shared" si="207"/>
        <v>-250</v>
      </c>
      <c r="CY91" s="1536">
        <f t="shared" si="208"/>
        <v>-250</v>
      </c>
      <c r="CZ91" s="1527"/>
      <c r="DA91" s="1529">
        <f>DA37</f>
        <v>-251</v>
      </c>
      <c r="DB91" s="1529">
        <f t="shared" si="209"/>
        <v>-250</v>
      </c>
      <c r="DC91" s="1529">
        <f t="shared" si="209"/>
        <v>-252</v>
      </c>
      <c r="DD91" s="1529">
        <f t="shared" si="209"/>
        <v>-251</v>
      </c>
      <c r="DE91" s="1536">
        <f t="shared" si="210"/>
        <v>-1004</v>
      </c>
      <c r="DF91" s="1527"/>
      <c r="DG91" s="1529">
        <f>DG37</f>
        <v>-251</v>
      </c>
      <c r="DH91" s="1529">
        <f t="shared" si="211"/>
        <v>-253</v>
      </c>
      <c r="DI91" s="1529">
        <f t="shared" si="211"/>
        <v>-253</v>
      </c>
      <c r="DJ91" s="1529">
        <f t="shared" si="211"/>
        <v>-304</v>
      </c>
      <c r="DK91" s="1536">
        <f t="shared" si="212"/>
        <v>-1061</v>
      </c>
      <c r="DL91" s="1527"/>
      <c r="DM91" s="1529">
        <f>DM37</f>
        <v>-304</v>
      </c>
      <c r="DN91" s="1529">
        <f t="shared" si="213"/>
        <v>-303</v>
      </c>
      <c r="DO91" s="1529">
        <f t="shared" si="213"/>
        <v>-302</v>
      </c>
      <c r="DP91" s="1529">
        <f t="shared" si="213"/>
        <v>-296</v>
      </c>
      <c r="DQ91" s="1536">
        <f t="shared" si="214"/>
        <v>-1205</v>
      </c>
      <c r="DR91" s="1527"/>
      <c r="DS91" s="1529">
        <f>DS37</f>
        <v>-292</v>
      </c>
      <c r="DT91" s="1529">
        <f t="shared" si="215"/>
        <v>-291</v>
      </c>
      <c r="DU91" s="1529">
        <f t="shared" si="215"/>
        <v>-850</v>
      </c>
      <c r="DV91" s="1529">
        <f t="shared" si="215"/>
        <v>0</v>
      </c>
      <c r="DW91" s="1536">
        <f t="shared" si="216"/>
        <v>-1433</v>
      </c>
      <c r="DX91" s="1527"/>
      <c r="DY91" s="1529">
        <f>DY37</f>
        <v>-554</v>
      </c>
      <c r="DZ91" s="1529">
        <f t="shared" si="217"/>
        <v>-545</v>
      </c>
      <c r="EA91" s="1529">
        <f t="shared" si="217"/>
        <v>-541</v>
      </c>
      <c r="EB91" s="1529">
        <f t="shared" si="217"/>
        <v>-538</v>
      </c>
      <c r="EC91" s="1536">
        <f t="shared" si="218"/>
        <v>-2178</v>
      </c>
      <c r="ED91" s="1527"/>
      <c r="EE91" s="1529">
        <f>EE37</f>
        <v>-537</v>
      </c>
      <c r="EF91" s="1529">
        <f t="shared" si="219"/>
        <v>-533</v>
      </c>
      <c r="EG91" s="1529">
        <f t="shared" si="219"/>
        <v>-530</v>
      </c>
      <c r="EH91" s="1529">
        <f t="shared" si="219"/>
        <v>-655</v>
      </c>
      <c r="EI91" s="1536">
        <f t="shared" si="220"/>
        <v>-2255</v>
      </c>
      <c r="EJ91" s="1527"/>
      <c r="EK91" s="1529">
        <f>EK37</f>
        <v>-650</v>
      </c>
      <c r="EL91" s="1529">
        <f t="shared" si="221"/>
        <v>-636</v>
      </c>
      <c r="EM91" s="1529">
        <f t="shared" si="221"/>
        <v>-632</v>
      </c>
      <c r="EN91" s="1529">
        <f t="shared" si="221"/>
        <v>-623</v>
      </c>
      <c r="EO91" s="1536">
        <f t="shared" si="222"/>
        <v>-2541</v>
      </c>
      <c r="EP91" s="1527"/>
      <c r="EQ91" s="1529">
        <f>EQ37</f>
        <v>-618</v>
      </c>
      <c r="ER91" s="1529">
        <f t="shared" ref="ER91:ER94" si="232">ER37-EQ37</f>
        <v>-614</v>
      </c>
      <c r="ES91" s="1529">
        <f t="shared" ref="ES91:ES94" si="233">ES37-ER37</f>
        <v>-612</v>
      </c>
      <c r="ET91" s="1529">
        <f t="shared" ref="ET91:ET94" si="234">ET37-ES37</f>
        <v>-787</v>
      </c>
      <c r="EU91" s="1536">
        <f t="shared" si="223"/>
        <v>-2631</v>
      </c>
      <c r="EV91" s="1527"/>
      <c r="EW91" s="1529">
        <f>EW37</f>
        <v>-788</v>
      </c>
      <c r="EX91" s="1529">
        <f t="shared" ref="EX91:EY94" si="235">EX37-EW37</f>
        <v>-791</v>
      </c>
      <c r="EY91" s="1529">
        <f t="shared" si="235"/>
        <v>-783</v>
      </c>
      <c r="EZ91" s="1529">
        <f t="shared" si="224"/>
        <v>-775.15976842387272</v>
      </c>
      <c r="FA91" s="1536">
        <f t="shared" si="225"/>
        <v>-3137.1597684238727</v>
      </c>
      <c r="FB91" s="1527"/>
      <c r="FC91" s="1529">
        <f>FC37</f>
        <v>-766.38223439494539</v>
      </c>
      <c r="FD91" s="1529">
        <f t="shared" si="226"/>
        <v>-760.39084769030853</v>
      </c>
      <c r="FE91" s="1529">
        <f t="shared" si="226"/>
        <v>-754.56466756196778</v>
      </c>
      <c r="FF91" s="1529">
        <f t="shared" si="226"/>
        <v>-748.90125253342603</v>
      </c>
      <c r="FG91" s="1536">
        <f t="shared" si="227"/>
        <v>-3030.2390021806477</v>
      </c>
      <c r="FH91" s="1527"/>
      <c r="FI91" s="1529">
        <f>FI37</f>
        <v>-743.51127739762796</v>
      </c>
      <c r="FJ91" s="1529">
        <f t="shared" si="228"/>
        <v>-738.39237230672734</v>
      </c>
      <c r="FK91" s="1529">
        <f t="shared" si="229"/>
        <v>-733.42912224675274</v>
      </c>
      <c r="FL91" s="1529">
        <f t="shared" si="230"/>
        <v>-728.61922689704988</v>
      </c>
      <c r="FM91" s="1536">
        <f t="shared" si="231"/>
        <v>-2943.9519988481579</v>
      </c>
      <c r="FN91" s="1525"/>
      <c r="FO91" s="1525"/>
      <c r="FP91" s="1526"/>
      <c r="FQ91" s="1526"/>
      <c r="FR91" s="1526"/>
      <c r="FS91"/>
      <c r="FT91"/>
      <c r="FU91"/>
      <c r="FV91"/>
      <c r="FW91"/>
      <c r="FX91"/>
      <c r="FY91" s="1526"/>
      <c r="FZ91" s="1522"/>
      <c r="GA91" s="1522"/>
      <c r="GB91" s="1522"/>
      <c r="GC91" s="1522"/>
      <c r="GD91" s="1522"/>
      <c r="GE91" s="1522"/>
      <c r="GF91" s="1522"/>
      <c r="GG91" s="1522"/>
      <c r="GH91" s="1522"/>
      <c r="GI91" s="1522"/>
      <c r="GJ91" s="1522"/>
      <c r="GK91" s="1522"/>
      <c r="GL91" s="1522"/>
      <c r="GM91" s="1522"/>
      <c r="GN91" s="1522"/>
      <c r="GO91" s="1522"/>
      <c r="GP91" s="1522"/>
      <c r="GQ91" s="1522"/>
      <c r="GR91" s="1522"/>
      <c r="GS91" s="1522"/>
      <c r="GT91" s="1522"/>
      <c r="GU91" s="1522"/>
      <c r="GV91" s="1522"/>
      <c r="GW91" s="1522"/>
      <c r="GX91" s="1522"/>
      <c r="GY91" s="1522"/>
      <c r="GZ91" s="1522"/>
      <c r="HA91" s="1522"/>
      <c r="HB91" s="1522"/>
      <c r="HC91" s="1522"/>
      <c r="HD91" s="1522"/>
      <c r="HE91" s="1522"/>
      <c r="HF91" s="1522"/>
      <c r="HG91" s="1522"/>
      <c r="HH91" s="1522"/>
      <c r="HI91" s="1522"/>
      <c r="HJ91" s="1522"/>
      <c r="HK91" s="1522"/>
      <c r="HL91" s="1522"/>
      <c r="HM91" s="1522"/>
      <c r="HN91" s="1522"/>
      <c r="HO91" s="1522"/>
      <c r="HP91" s="1522"/>
      <c r="HQ91" s="1522"/>
      <c r="HR91" s="1522"/>
      <c r="HS91" s="1522"/>
      <c r="HT91" s="1522"/>
      <c r="HU91" s="1522"/>
      <c r="HV91" s="1522"/>
      <c r="HW91" s="1522"/>
      <c r="HX91" s="1522"/>
      <c r="HY91" s="1522"/>
      <c r="HZ91" s="1522"/>
      <c r="IA91" s="1522"/>
      <c r="IB91" s="1522"/>
      <c r="IC91" s="1522"/>
      <c r="ID91" s="1522"/>
      <c r="IE91" s="1522"/>
      <c r="IF91" s="1522"/>
      <c r="IG91" s="1522"/>
      <c r="IH91" s="1522"/>
      <c r="II91" s="1522"/>
      <c r="IJ91" s="1522"/>
      <c r="IK91" s="1522"/>
      <c r="IL91" s="1522"/>
      <c r="IM91" s="1522"/>
      <c r="IN91" s="1522"/>
      <c r="IO91" s="1522"/>
      <c r="IP91" s="1522"/>
      <c r="IQ91" s="1522"/>
      <c r="IR91" s="1522"/>
      <c r="IS91" s="1522"/>
      <c r="IT91" s="1522"/>
      <c r="IU91" s="1522"/>
      <c r="IV91" s="1522"/>
      <c r="IW91" s="1522"/>
      <c r="IX91" s="1522"/>
      <c r="IY91" s="1522"/>
      <c r="IZ91" s="1522"/>
      <c r="JA91" s="1522"/>
      <c r="JB91" s="1522"/>
      <c r="JC91" s="1522"/>
      <c r="JD91" s="1522"/>
      <c r="JE91" s="1522"/>
      <c r="JF91" s="1522"/>
      <c r="JG91" s="1522"/>
      <c r="JH91" s="1522"/>
      <c r="JI91" s="1522"/>
      <c r="JJ91" s="1522"/>
      <c r="JK91" s="1522"/>
      <c r="JL91" s="1522"/>
      <c r="JM91" s="1522"/>
      <c r="JN91" s="1522"/>
    </row>
    <row r="92" spans="1:274" s="1523" customFormat="1" ht="10.5" customHeight="1" x14ac:dyDescent="0.2">
      <c r="A92" s="1529" t="s">
        <v>613</v>
      </c>
      <c r="B92" s="1529"/>
      <c r="C92" s="1527">
        <v>0</v>
      </c>
      <c r="D92" s="1527">
        <v>0</v>
      </c>
      <c r="E92" s="1527">
        <f>14.993+2.848+6.918</f>
        <v>24.759</v>
      </c>
      <c r="F92" s="1527">
        <f>8.68+35.654</f>
        <v>44.334000000000003</v>
      </c>
      <c r="G92" s="1527">
        <f>1.445+4.712</f>
        <v>6.157</v>
      </c>
      <c r="H92" s="1527">
        <f>37.539+11.06</f>
        <v>48.599000000000004</v>
      </c>
      <c r="I92" s="1527">
        <v>18.46</v>
      </c>
      <c r="J92" s="1527">
        <v>19.698</v>
      </c>
      <c r="K92" s="1527">
        <v>22.239000000000001</v>
      </c>
      <c r="L92" s="1527">
        <f>-1.206-10.825-0.312+31.698</f>
        <v>19.355000000000004</v>
      </c>
      <c r="M92" s="1529">
        <f>-0.987-7.873+38.712</f>
        <v>29.852000000000004</v>
      </c>
      <c r="N92" s="1540"/>
      <c r="O92" s="1529">
        <f>3.993+3.934</f>
        <v>7.9269999999999996</v>
      </c>
      <c r="P92" s="1529">
        <f>0.115+27.015-O92</f>
        <v>19.202999999999999</v>
      </c>
      <c r="Q92" s="1529">
        <f>32.346+0.689-P92-O92</f>
        <v>5.9049999999999976</v>
      </c>
      <c r="R92" s="1529">
        <f>5.346-6.168+60.647-Q92-P92-O92</f>
        <v>26.79</v>
      </c>
      <c r="S92" s="1529">
        <f>SUM(O92:R92)</f>
        <v>59.824999999999996</v>
      </c>
      <c r="T92" s="1540"/>
      <c r="U92" s="1529">
        <f>0.721+8.384+17.175</f>
        <v>26.28</v>
      </c>
      <c r="V92" s="1529">
        <f>-0.2+42.612+17.175-U92</f>
        <v>33.307000000000002</v>
      </c>
      <c r="W92" s="1529">
        <f>-0.42+52.454+17.175-V92-U92</f>
        <v>9.6219999999999999</v>
      </c>
      <c r="X92" s="1529">
        <f>-81.624-3.546+92.791+17.175-W92-V92-U92</f>
        <v>-44.413000000000011</v>
      </c>
      <c r="Y92" s="1529">
        <f>SUM(U92:X92)</f>
        <v>24.795999999999992</v>
      </c>
      <c r="Z92" s="1540"/>
      <c r="AA92" s="1529">
        <f>15.421-0.194</f>
        <v>15.226999999999999</v>
      </c>
      <c r="AB92" s="1529">
        <f>6.018+70.332-AA92</f>
        <v>61.122999999999998</v>
      </c>
      <c r="AC92" s="1529">
        <f>305.806+76.739-AB92-AA92</f>
        <v>306.19499999999999</v>
      </c>
      <c r="AD92" s="1529">
        <f>298.321-1.316+138.184+35.898-AC92-AB92-AA92</f>
        <v>88.542000000000115</v>
      </c>
      <c r="AE92" s="1529">
        <f>SUM(AA92:AD92)</f>
        <v>471.0870000000001</v>
      </c>
      <c r="AF92" s="1540"/>
      <c r="AG92" s="1529">
        <f>1.701-0.29+32.817</f>
        <v>34.228000000000002</v>
      </c>
      <c r="AH92" s="1529">
        <f>10.332+111.221-AG92</f>
        <v>87.324999999999989</v>
      </c>
      <c r="AI92" s="1529">
        <f>13.779+121.209-AH92-AG92</f>
        <v>13.435000000000009</v>
      </c>
      <c r="AJ92" s="1529">
        <f>3.862-1.177+204.292-AI92-AH92-AG92</f>
        <v>71.989000000000004</v>
      </c>
      <c r="AK92" s="1529">
        <f>SUM(AG92:AJ92)</f>
        <v>206.977</v>
      </c>
      <c r="AL92" s="1540"/>
      <c r="AM92" s="1529">
        <f>20.696-0.378+0.92</f>
        <v>21.238000000000003</v>
      </c>
      <c r="AN92" s="1529">
        <f>4.474+142.868-AM92</f>
        <v>126.10399999999998</v>
      </c>
      <c r="AO92" s="1529">
        <f>248.811+220.686-0.915-AN92-AM92</f>
        <v>321.24</v>
      </c>
      <c r="AP92" s="1529">
        <f>0.792-0.775+306.422+295.801-AO92-AN92-AM92</f>
        <v>133.65800000000002</v>
      </c>
      <c r="AQ92" s="1529">
        <f>SUM(AM92:AP92)</f>
        <v>602.24</v>
      </c>
      <c r="AR92" s="1540"/>
      <c r="AS92" s="1529">
        <f>87.19-3.632</f>
        <v>83.557999999999993</v>
      </c>
      <c r="AT92" s="1529">
        <f>248.304-4.235-AS92</f>
        <v>160.511</v>
      </c>
      <c r="AU92" s="1529">
        <f>324.466-1.16-AT92-AS92</f>
        <v>79.236999999999995</v>
      </c>
      <c r="AV92" s="1529">
        <f>941.597+186.695-4.757-AU92-AT92-AS92</f>
        <v>800.22899999999981</v>
      </c>
      <c r="AW92" s="1529">
        <f>AS92+AT92+AU92+AV92</f>
        <v>1123.5349999999999</v>
      </c>
      <c r="AX92" s="1540"/>
      <c r="AY92" s="1529">
        <f>130.122+2.924</f>
        <v>133.04600000000002</v>
      </c>
      <c r="AZ92" s="1529">
        <f>341.829-0.164-AY92</f>
        <v>208.619</v>
      </c>
      <c r="BA92" s="1529">
        <f>409.824-AZ92-AY92</f>
        <v>68.158999999999992</v>
      </c>
      <c r="BB92" s="1529">
        <f>535-BA92-AZ92-AY92</f>
        <v>125.17599999999996</v>
      </c>
      <c r="BC92" s="1527">
        <f>SUM(AY92:BB92)</f>
        <v>535</v>
      </c>
      <c r="BD92" s="1540"/>
      <c r="BE92" s="1529">
        <f>39.575+0.653</f>
        <v>40.228000000000002</v>
      </c>
      <c r="BF92" s="1529">
        <f>190-2-BE92</f>
        <v>147.77199999999999</v>
      </c>
      <c r="BG92" s="1529">
        <f>217-BF92-BE92</f>
        <v>29.000000000000007</v>
      </c>
      <c r="BH92" s="1529">
        <f>332-BG92-BF92-BE92</f>
        <v>115</v>
      </c>
      <c r="BI92" s="1529">
        <f>SUM(BE92:BH92)</f>
        <v>332</v>
      </c>
      <c r="BJ92" s="1540"/>
      <c r="BK92" s="1529">
        <v>30</v>
      </c>
      <c r="BL92" s="1529">
        <f>147-BK92</f>
        <v>117</v>
      </c>
      <c r="BM92" s="1529">
        <f>200-BL92-BK92</f>
        <v>53</v>
      </c>
      <c r="BN92" s="1529">
        <f>356-BM92-BL92-BK92</f>
        <v>156</v>
      </c>
      <c r="BO92" s="1529">
        <f>SUM(BK92:BN92)</f>
        <v>356</v>
      </c>
      <c r="BP92" s="1540"/>
      <c r="BQ92" s="1529">
        <v>41</v>
      </c>
      <c r="BR92" s="1529">
        <f t="shared" ref="BR92:BT93" si="236">BR38-BQ38</f>
        <v>135</v>
      </c>
      <c r="BS92" s="1529">
        <f t="shared" si="236"/>
        <v>65</v>
      </c>
      <c r="BT92" s="1529">
        <f t="shared" si="236"/>
        <v>113</v>
      </c>
      <c r="BU92" s="1529">
        <f>SUM(BQ92:BT92)</f>
        <v>354</v>
      </c>
      <c r="BV92" s="1540"/>
      <c r="BW92" s="1529">
        <v>27</v>
      </c>
      <c r="BX92" s="1529">
        <f>BX38-BW38</f>
        <v>138</v>
      </c>
      <c r="BY92" s="1529">
        <f>BY38-BX38</f>
        <v>195</v>
      </c>
      <c r="BZ92" s="1529">
        <f>BZ38-BY38</f>
        <v>236</v>
      </c>
      <c r="CA92" s="1529">
        <f>SUM(BW92:BZ92)</f>
        <v>596</v>
      </c>
      <c r="CB92" s="1540"/>
      <c r="CC92" s="1529">
        <f>CC38</f>
        <v>158</v>
      </c>
      <c r="CD92" s="1529">
        <f t="shared" ref="CD92:CF94" si="237">CD38-CC38</f>
        <v>87</v>
      </c>
      <c r="CE92" s="1529">
        <f t="shared" si="237"/>
        <v>88</v>
      </c>
      <c r="CF92" s="1529">
        <f t="shared" si="237"/>
        <v>299</v>
      </c>
      <c r="CG92" s="1529">
        <f>SUM(CC92:CF92)</f>
        <v>632</v>
      </c>
      <c r="CH92" s="1540"/>
      <c r="CI92" s="1529">
        <f>CI38</f>
        <v>162</v>
      </c>
      <c r="CJ92" s="1529">
        <f t="shared" ref="CJ92:CL94" si="238">CJ38-CI38</f>
        <v>404</v>
      </c>
      <c r="CK92" s="1529">
        <f t="shared" si="238"/>
        <v>118</v>
      </c>
      <c r="CL92" s="1529">
        <f t="shared" si="238"/>
        <v>240</v>
      </c>
      <c r="CM92" s="1536">
        <f t="shared" si="204"/>
        <v>924</v>
      </c>
      <c r="CN92" s="1540"/>
      <c r="CO92" s="1529">
        <f>CO38</f>
        <v>317</v>
      </c>
      <c r="CP92" s="1529">
        <f t="shared" ref="CP92:CR94" si="239">CP38-CO38</f>
        <v>365</v>
      </c>
      <c r="CQ92" s="1529">
        <f t="shared" si="239"/>
        <v>365</v>
      </c>
      <c r="CR92" s="1529">
        <f t="shared" si="239"/>
        <v>241</v>
      </c>
      <c r="CS92" s="1536">
        <f t="shared" si="206"/>
        <v>1288</v>
      </c>
      <c r="CT92" s="1540"/>
      <c r="CU92" s="1529">
        <f>CU38</f>
        <v>280</v>
      </c>
      <c r="CV92" s="1529">
        <f t="shared" ref="CV92:CX94" si="240">CV38-CU38</f>
        <v>91</v>
      </c>
      <c r="CW92" s="1529">
        <f t="shared" si="240"/>
        <v>77</v>
      </c>
      <c r="CX92" s="1529">
        <f t="shared" si="240"/>
        <v>312</v>
      </c>
      <c r="CY92" s="1536">
        <f t="shared" si="208"/>
        <v>760</v>
      </c>
      <c r="CZ92" s="1540"/>
      <c r="DA92" s="1529">
        <f>DA38</f>
        <v>247</v>
      </c>
      <c r="DB92" s="1529">
        <f t="shared" ref="DB92:DD94" si="241">DB38-DA38</f>
        <v>124</v>
      </c>
      <c r="DC92" s="1529">
        <f t="shared" si="241"/>
        <v>231</v>
      </c>
      <c r="DD92" s="1529">
        <f t="shared" si="241"/>
        <v>272</v>
      </c>
      <c r="DE92" s="1536">
        <f t="shared" si="210"/>
        <v>874</v>
      </c>
      <c r="DF92" s="1540"/>
      <c r="DG92" s="1529">
        <f>DG38</f>
        <v>169</v>
      </c>
      <c r="DH92" s="1529">
        <f t="shared" ref="DH92:DJ94" si="242">DH38-DG38</f>
        <v>565</v>
      </c>
      <c r="DI92" s="1529">
        <f t="shared" si="242"/>
        <v>294</v>
      </c>
      <c r="DJ92" s="1529">
        <f t="shared" si="242"/>
        <v>348</v>
      </c>
      <c r="DK92" s="1536">
        <f t="shared" si="212"/>
        <v>1376</v>
      </c>
      <c r="DL92" s="1540"/>
      <c r="DM92" s="1529">
        <f>DM38</f>
        <v>182</v>
      </c>
      <c r="DN92" s="1529">
        <f t="shared" si="213"/>
        <v>252</v>
      </c>
      <c r="DO92" s="1529">
        <f t="shared" si="213"/>
        <v>79</v>
      </c>
      <c r="DP92" s="1529">
        <f t="shared" si="213"/>
        <v>220</v>
      </c>
      <c r="DQ92" s="1536">
        <f t="shared" si="214"/>
        <v>733</v>
      </c>
      <c r="DR92" s="1540"/>
      <c r="DS92" s="1529">
        <f>DS38</f>
        <v>517</v>
      </c>
      <c r="DT92" s="1529">
        <f t="shared" si="215"/>
        <v>235</v>
      </c>
      <c r="DU92" s="1529">
        <f t="shared" si="215"/>
        <v>548</v>
      </c>
      <c r="DV92" s="1529">
        <f t="shared" si="215"/>
        <v>227</v>
      </c>
      <c r="DW92" s="1536">
        <f t="shared" si="216"/>
        <v>1527</v>
      </c>
      <c r="DX92" s="1540"/>
      <c r="DY92" s="1529">
        <f>DY38</f>
        <v>285</v>
      </c>
      <c r="DZ92" s="1529">
        <f t="shared" si="217"/>
        <v>480</v>
      </c>
      <c r="EA92" s="1529">
        <f t="shared" si="217"/>
        <v>754</v>
      </c>
      <c r="EB92" s="1529">
        <f t="shared" si="217"/>
        <v>616</v>
      </c>
      <c r="EC92" s="1536">
        <f t="shared" si="218"/>
        <v>2135</v>
      </c>
      <c r="ED92" s="1540"/>
      <c r="EE92" s="1529">
        <f>EE38</f>
        <v>588</v>
      </c>
      <c r="EF92" s="1529">
        <f t="shared" si="219"/>
        <v>-1188</v>
      </c>
      <c r="EG92" s="1529">
        <f t="shared" si="219"/>
        <v>2045</v>
      </c>
      <c r="EH92" s="1529">
        <f t="shared" si="219"/>
        <v>357</v>
      </c>
      <c r="EI92" s="1536">
        <f t="shared" si="220"/>
        <v>1802</v>
      </c>
      <c r="EJ92" s="1540"/>
      <c r="EK92" s="1529">
        <f>EK38</f>
        <v>226</v>
      </c>
      <c r="EL92" s="1529">
        <f t="shared" si="221"/>
        <v>337</v>
      </c>
      <c r="EM92" s="1529">
        <f t="shared" si="221"/>
        <v>157</v>
      </c>
      <c r="EN92" s="1529">
        <f t="shared" si="221"/>
        <v>616</v>
      </c>
      <c r="EO92" s="1536">
        <f t="shared" si="222"/>
        <v>1336</v>
      </c>
      <c r="EP92" s="1540"/>
      <c r="EQ92" s="1529">
        <f>EQ38</f>
        <v>317</v>
      </c>
      <c r="ER92" s="1529">
        <f t="shared" si="232"/>
        <v>429</v>
      </c>
      <c r="ES92" s="1529">
        <f t="shared" si="233"/>
        <v>563</v>
      </c>
      <c r="ET92" s="1529">
        <f t="shared" si="234"/>
        <v>589</v>
      </c>
      <c r="EU92" s="1536">
        <f t="shared" si="223"/>
        <v>1898</v>
      </c>
      <c r="EV92" s="1540"/>
      <c r="EW92" s="1529">
        <f>EW38</f>
        <v>683</v>
      </c>
      <c r="EX92" s="1529">
        <f t="shared" si="235"/>
        <v>670</v>
      </c>
      <c r="EY92" s="1529">
        <f t="shared" si="235"/>
        <v>763</v>
      </c>
      <c r="EZ92" s="1529">
        <f t="shared" si="224"/>
        <v>-14.332730540001648</v>
      </c>
      <c r="FA92" s="1536">
        <f t="shared" si="225"/>
        <v>2101.6672694599984</v>
      </c>
      <c r="FB92" s="1540"/>
      <c r="FC92" s="1529">
        <f>FC38</f>
        <v>1612.6311143347427</v>
      </c>
      <c r="FD92" s="1529">
        <f t="shared" si="226"/>
        <v>1612.6311143347427</v>
      </c>
      <c r="FE92" s="1529">
        <f t="shared" si="226"/>
        <v>1612.6311143347434</v>
      </c>
      <c r="FF92" s="1529">
        <f t="shared" si="226"/>
        <v>1612.631114334743</v>
      </c>
      <c r="FG92" s="1536">
        <f t="shared" si="227"/>
        <v>6450.5244573389718</v>
      </c>
      <c r="FH92" s="1540"/>
      <c r="FI92" s="1529">
        <f>FI38</f>
        <v>1800.7415663571385</v>
      </c>
      <c r="FJ92" s="1529">
        <f t="shared" si="228"/>
        <v>1800.7415663571385</v>
      </c>
      <c r="FK92" s="1529">
        <f t="shared" si="229"/>
        <v>1800.7415663571387</v>
      </c>
      <c r="FL92" s="1529">
        <f t="shared" si="230"/>
        <v>1800.7415663571392</v>
      </c>
      <c r="FM92" s="1536">
        <f t="shared" si="231"/>
        <v>7202.9662654285548</v>
      </c>
      <c r="FN92" s="1539"/>
      <c r="FO92" s="1539"/>
      <c r="FP92" s="1524"/>
      <c r="FQ92" s="1524"/>
      <c r="FR92" s="1524"/>
      <c r="FS92"/>
      <c r="FT92"/>
      <c r="FU92"/>
      <c r="FV92"/>
      <c r="FW92"/>
      <c r="FX92"/>
      <c r="FY92" s="1524"/>
      <c r="FZ92" s="1522"/>
      <c r="GA92" s="1522"/>
      <c r="GB92" s="1522"/>
      <c r="GC92" s="1522"/>
      <c r="GD92" s="1522"/>
      <c r="GE92" s="1522"/>
      <c r="GF92" s="1522"/>
      <c r="GG92" s="1522"/>
      <c r="GH92" s="1522"/>
      <c r="GI92" s="1522"/>
      <c r="GJ92" s="1522"/>
      <c r="GK92" s="1522"/>
      <c r="GL92" s="1522"/>
      <c r="GM92" s="1522"/>
      <c r="GN92" s="1522"/>
      <c r="GO92" s="1522"/>
      <c r="GP92" s="1522"/>
      <c r="GQ92" s="1522"/>
      <c r="GR92" s="1522"/>
      <c r="GS92" s="1522"/>
      <c r="GT92" s="1522"/>
      <c r="GU92" s="1522"/>
      <c r="GV92" s="1522"/>
      <c r="GW92" s="1522"/>
      <c r="GX92" s="1522"/>
      <c r="GY92" s="1522"/>
      <c r="GZ92" s="1522"/>
      <c r="HA92" s="1522"/>
      <c r="HB92" s="1522"/>
      <c r="HC92" s="1522"/>
      <c r="HD92" s="1522"/>
      <c r="HE92" s="1522"/>
      <c r="HF92" s="1522"/>
      <c r="HG92" s="1522"/>
      <c r="HH92" s="1522"/>
      <c r="HI92" s="1522"/>
      <c r="HJ92" s="1522"/>
      <c r="HK92" s="1522"/>
      <c r="HL92" s="1522"/>
      <c r="HM92" s="1522"/>
      <c r="HN92" s="1522"/>
      <c r="HO92" s="1522"/>
      <c r="HP92" s="1522"/>
      <c r="HQ92" s="1522"/>
      <c r="HR92" s="1522"/>
      <c r="HS92" s="1522"/>
      <c r="HT92" s="1522"/>
      <c r="HU92" s="1522"/>
      <c r="HV92" s="1522"/>
      <c r="HW92" s="1522"/>
      <c r="HX92" s="1522"/>
      <c r="HY92" s="1522"/>
      <c r="HZ92" s="1522"/>
      <c r="IA92" s="1522"/>
      <c r="IB92" s="1522"/>
      <c r="IC92" s="1522"/>
      <c r="ID92" s="1522"/>
      <c r="IE92" s="1522"/>
      <c r="IF92" s="1522"/>
      <c r="IG92" s="1522"/>
      <c r="IH92" s="1522"/>
      <c r="II92" s="1522"/>
      <c r="IJ92" s="1522"/>
      <c r="IK92" s="1522"/>
      <c r="IL92" s="1522"/>
      <c r="IM92" s="1522"/>
      <c r="IN92" s="1522"/>
      <c r="IO92" s="1522"/>
      <c r="IP92" s="1522"/>
      <c r="IQ92" s="1522"/>
      <c r="IR92" s="1522"/>
      <c r="IS92" s="1522"/>
      <c r="IT92" s="1522"/>
      <c r="IU92" s="1522"/>
      <c r="IV92" s="1522"/>
      <c r="IW92" s="1522"/>
      <c r="IX92" s="1522"/>
      <c r="IY92" s="1522"/>
      <c r="IZ92" s="1522"/>
      <c r="JA92" s="1522"/>
      <c r="JB92" s="1522"/>
      <c r="JC92" s="1522"/>
      <c r="JD92" s="1522"/>
      <c r="JE92" s="1522"/>
      <c r="JF92" s="1522"/>
      <c r="JG92" s="1522"/>
      <c r="JH92" s="1522"/>
      <c r="JI92" s="1522"/>
      <c r="JJ92" s="1522"/>
      <c r="JK92" s="1522"/>
      <c r="JL92" s="1522"/>
      <c r="JM92" s="1522"/>
      <c r="JN92" s="1522"/>
    </row>
    <row r="93" spans="1:274" s="1523" customFormat="1" ht="10.5" customHeight="1" x14ac:dyDescent="0.2">
      <c r="A93" s="1529" t="s">
        <v>940</v>
      </c>
      <c r="B93" s="1529"/>
      <c r="C93" s="1527"/>
      <c r="D93" s="1527"/>
      <c r="E93" s="1527"/>
      <c r="F93" s="1527"/>
      <c r="G93" s="1527"/>
      <c r="H93" s="1527"/>
      <c r="I93" s="1527"/>
      <c r="J93" s="1527"/>
      <c r="K93" s="1527"/>
      <c r="L93" s="1527"/>
      <c r="M93" s="1529"/>
      <c r="N93" s="1540"/>
      <c r="O93" s="1529"/>
      <c r="P93" s="1529"/>
      <c r="Q93" s="1529"/>
      <c r="R93" s="1529"/>
      <c r="S93" s="1529"/>
      <c r="T93" s="1540"/>
      <c r="U93" s="1529"/>
      <c r="V93" s="1529"/>
      <c r="W93" s="1529"/>
      <c r="X93" s="1529"/>
      <c r="Y93" s="1529"/>
      <c r="Z93" s="1540"/>
      <c r="AA93" s="1529"/>
      <c r="AB93" s="1529"/>
      <c r="AC93" s="1529"/>
      <c r="AD93" s="1529"/>
      <c r="AE93" s="1529"/>
      <c r="AF93" s="1540"/>
      <c r="AG93" s="1529"/>
      <c r="AH93" s="1529"/>
      <c r="AI93" s="1529"/>
      <c r="AJ93" s="1529"/>
      <c r="AK93" s="1529"/>
      <c r="AL93" s="1540"/>
      <c r="AM93" s="1529"/>
      <c r="AN93" s="1529"/>
      <c r="AO93" s="1529"/>
      <c r="AP93" s="1529"/>
      <c r="AQ93" s="1529"/>
      <c r="AR93" s="1540"/>
      <c r="AS93" s="1529"/>
      <c r="AT93" s="1529"/>
      <c r="AU93" s="1529"/>
      <c r="AV93" s="1529"/>
      <c r="AW93" s="1529"/>
      <c r="AX93" s="1540"/>
      <c r="AY93" s="1529">
        <v>0</v>
      </c>
      <c r="AZ93" s="1529">
        <v>0</v>
      </c>
      <c r="BA93" s="1529">
        <v>0</v>
      </c>
      <c r="BB93" s="1529">
        <v>0</v>
      </c>
      <c r="BC93" s="1527">
        <f>SUM(AY93:BB93)</f>
        <v>0</v>
      </c>
      <c r="BD93" s="1540"/>
      <c r="BE93" s="1529">
        <v>0</v>
      </c>
      <c r="BF93" s="1529">
        <v>0</v>
      </c>
      <c r="BG93" s="1529">
        <v>0</v>
      </c>
      <c r="BH93" s="1529">
        <v>-5</v>
      </c>
      <c r="BI93" s="1529">
        <f>SUM(BE93:BH93)</f>
        <v>-5</v>
      </c>
      <c r="BJ93" s="1540"/>
      <c r="BK93" s="1529">
        <v>0</v>
      </c>
      <c r="BL93" s="1529">
        <v>0</v>
      </c>
      <c r="BM93" s="1529">
        <v>0</v>
      </c>
      <c r="BN93" s="1529">
        <v>9</v>
      </c>
      <c r="BO93" s="1529">
        <f>SUM(BK93:BN93)</f>
        <v>9</v>
      </c>
      <c r="BP93" s="1540"/>
      <c r="BQ93" s="1529">
        <v>0</v>
      </c>
      <c r="BR93" s="1529">
        <f t="shared" si="236"/>
        <v>0</v>
      </c>
      <c r="BS93" s="1529">
        <f t="shared" si="236"/>
        <v>-150</v>
      </c>
      <c r="BT93" s="1529">
        <f t="shared" si="236"/>
        <v>6</v>
      </c>
      <c r="BU93" s="1529">
        <f>SUM(BQ93:BT93)</f>
        <v>-144</v>
      </c>
      <c r="BV93" s="1540"/>
      <c r="BW93" s="1529">
        <f>BW39</f>
        <v>0</v>
      </c>
      <c r="BX93" s="1529">
        <f t="shared" ref="BX93:BZ94" si="243">BX39-BW39</f>
        <v>0</v>
      </c>
      <c r="BY93" s="1529">
        <f t="shared" si="243"/>
        <v>7200</v>
      </c>
      <c r="BZ93" s="1529">
        <f t="shared" si="243"/>
        <v>-4525</v>
      </c>
      <c r="CA93" s="1529">
        <f>SUM(BW93:BZ93)</f>
        <v>2675</v>
      </c>
      <c r="CB93" s="1540"/>
      <c r="CC93" s="1529">
        <f>CC39</f>
        <v>-1182</v>
      </c>
      <c r="CD93" s="1529">
        <f t="shared" si="237"/>
        <v>-621</v>
      </c>
      <c r="CE93" s="1529">
        <f t="shared" si="237"/>
        <v>4993</v>
      </c>
      <c r="CF93" s="1529">
        <f t="shared" si="237"/>
        <v>-189</v>
      </c>
      <c r="CG93" s="1529">
        <f>SUM(CC93:CF93)</f>
        <v>3001</v>
      </c>
      <c r="CH93" s="1540"/>
      <c r="CI93" s="1529">
        <f>CI39</f>
        <v>-7</v>
      </c>
      <c r="CJ93" s="1529">
        <f t="shared" si="238"/>
        <v>-1</v>
      </c>
      <c r="CK93" s="1529">
        <f t="shared" si="238"/>
        <v>-167</v>
      </c>
      <c r="CL93" s="1529">
        <f t="shared" si="238"/>
        <v>1836</v>
      </c>
      <c r="CM93" s="1536">
        <f t="shared" si="204"/>
        <v>1661</v>
      </c>
      <c r="CN93" s="1540"/>
      <c r="CO93" s="1529">
        <f>CO39</f>
        <v>-1361</v>
      </c>
      <c r="CP93" s="1529">
        <f t="shared" si="239"/>
        <v>-1</v>
      </c>
      <c r="CQ93" s="1529">
        <f t="shared" si="239"/>
        <v>0</v>
      </c>
      <c r="CR93" s="1529">
        <f t="shared" si="239"/>
        <v>4973</v>
      </c>
      <c r="CS93" s="1536">
        <f t="shared" si="206"/>
        <v>3611</v>
      </c>
      <c r="CT93" s="1540"/>
      <c r="CU93" s="1529">
        <f>CU39</f>
        <v>-4</v>
      </c>
      <c r="CV93" s="1529">
        <f t="shared" si="240"/>
        <v>0</v>
      </c>
      <c r="CW93" s="1529">
        <f t="shared" si="240"/>
        <v>0</v>
      </c>
      <c r="CX93" s="1529">
        <f t="shared" si="240"/>
        <v>-1000</v>
      </c>
      <c r="CY93" s="1536">
        <f t="shared" si="208"/>
        <v>-1004</v>
      </c>
      <c r="CZ93" s="1540"/>
      <c r="DA93" s="1529">
        <f>DA39</f>
        <v>4461</v>
      </c>
      <c r="DB93" s="1529">
        <f t="shared" si="241"/>
        <v>0</v>
      </c>
      <c r="DC93" s="1529">
        <f t="shared" si="241"/>
        <v>251</v>
      </c>
      <c r="DD93" s="1529">
        <f t="shared" si="241"/>
        <v>-1074</v>
      </c>
      <c r="DE93" s="1536">
        <f t="shared" si="210"/>
        <v>3638</v>
      </c>
      <c r="DF93" s="1540"/>
      <c r="DG93" s="1529">
        <f>DG39</f>
        <v>2319</v>
      </c>
      <c r="DH93" s="1529">
        <f t="shared" si="242"/>
        <v>-5</v>
      </c>
      <c r="DI93" s="1529">
        <f t="shared" si="242"/>
        <v>-2253</v>
      </c>
      <c r="DJ93" s="1529">
        <f t="shared" si="242"/>
        <v>1150</v>
      </c>
      <c r="DK93" s="1536">
        <f t="shared" si="212"/>
        <v>1211</v>
      </c>
      <c r="DL93" s="1540"/>
      <c r="DM93" s="1529">
        <f>DM39</f>
        <v>-1150</v>
      </c>
      <c r="DN93" s="1529">
        <f t="shared" si="213"/>
        <v>0</v>
      </c>
      <c r="DO93" s="1529">
        <f t="shared" si="213"/>
        <v>-255</v>
      </c>
      <c r="DP93" s="1529">
        <f t="shared" si="213"/>
        <v>1700</v>
      </c>
      <c r="DQ93" s="1536">
        <f t="shared" si="214"/>
        <v>295</v>
      </c>
      <c r="DR93" s="1540"/>
      <c r="DS93" s="1529">
        <f>DS39</f>
        <v>-1700</v>
      </c>
      <c r="DT93" s="1529">
        <f t="shared" si="215"/>
        <v>4974</v>
      </c>
      <c r="DU93" s="1529">
        <f t="shared" si="215"/>
        <v>0</v>
      </c>
      <c r="DV93" s="1529">
        <f t="shared" si="215"/>
        <v>-1250</v>
      </c>
      <c r="DW93" s="1536">
        <f t="shared" si="216"/>
        <v>2024</v>
      </c>
      <c r="DX93" s="1540"/>
      <c r="DY93" s="1529">
        <f>DY39</f>
        <v>5566</v>
      </c>
      <c r="DZ93" s="1529">
        <f t="shared" si="217"/>
        <v>0</v>
      </c>
      <c r="EA93" s="1529">
        <f t="shared" si="217"/>
        <v>0</v>
      </c>
      <c r="EB93" s="1529">
        <f t="shared" si="217"/>
        <v>0</v>
      </c>
      <c r="EC93" s="1536">
        <f t="shared" si="218"/>
        <v>5566</v>
      </c>
      <c r="ED93" s="1540"/>
      <c r="EE93" s="1529">
        <f>EE39</f>
        <v>8445</v>
      </c>
      <c r="EF93" s="1529">
        <f t="shared" si="219"/>
        <v>1500</v>
      </c>
      <c r="EG93" s="1529">
        <f t="shared" si="219"/>
        <v>-1500</v>
      </c>
      <c r="EH93" s="1529">
        <f t="shared" si="219"/>
        <v>9897</v>
      </c>
      <c r="EI93" s="1536">
        <f t="shared" si="220"/>
        <v>18342</v>
      </c>
      <c r="EJ93" s="1540"/>
      <c r="EK93" s="1529">
        <f>EK39</f>
        <v>0</v>
      </c>
      <c r="EL93" s="1529">
        <f t="shared" si="221"/>
        <v>0</v>
      </c>
      <c r="EM93" s="1529">
        <f t="shared" si="221"/>
        <v>-2000</v>
      </c>
      <c r="EN93" s="1529">
        <f t="shared" si="221"/>
        <v>3750</v>
      </c>
      <c r="EO93" s="1536">
        <f t="shared" si="222"/>
        <v>1750</v>
      </c>
      <c r="EP93" s="1540"/>
      <c r="EQ93" s="1529">
        <f>EQ39</f>
        <v>10182</v>
      </c>
      <c r="ER93" s="1529">
        <f t="shared" si="232"/>
        <v>0</v>
      </c>
      <c r="ES93" s="1529">
        <f t="shared" si="233"/>
        <v>-344</v>
      </c>
      <c r="ET93" s="1529">
        <f t="shared" si="234"/>
        <v>3800</v>
      </c>
      <c r="EU93" s="1536">
        <f t="shared" si="223"/>
        <v>13638</v>
      </c>
      <c r="EV93" s="1540"/>
      <c r="EW93" s="1529">
        <f>EW39</f>
        <v>-4800</v>
      </c>
      <c r="EX93" s="1529">
        <f t="shared" si="235"/>
        <v>7445</v>
      </c>
      <c r="EY93" s="1529">
        <f t="shared" si="235"/>
        <v>0</v>
      </c>
      <c r="EZ93" s="1529">
        <f t="shared" si="224"/>
        <v>15</v>
      </c>
      <c r="FA93" s="1536">
        <f t="shared" si="225"/>
        <v>2660</v>
      </c>
      <c r="FB93" s="1540"/>
      <c r="FC93" s="1529">
        <f>FC39</f>
        <v>-2500</v>
      </c>
      <c r="FD93" s="1529">
        <f t="shared" si="226"/>
        <v>0</v>
      </c>
      <c r="FE93" s="1529">
        <f t="shared" si="226"/>
        <v>0</v>
      </c>
      <c r="FF93" s="1529">
        <f t="shared" si="226"/>
        <v>-2000</v>
      </c>
      <c r="FG93" s="1536">
        <f t="shared" si="227"/>
        <v>-4500</v>
      </c>
      <c r="FH93" s="1540"/>
      <c r="FI93" s="1529">
        <f>FI39</f>
        <v>0</v>
      </c>
      <c r="FJ93" s="1529">
        <f t="shared" si="228"/>
        <v>-2500</v>
      </c>
      <c r="FK93" s="1529">
        <f t="shared" si="229"/>
        <v>-2000</v>
      </c>
      <c r="FL93" s="1529">
        <f t="shared" si="230"/>
        <v>0</v>
      </c>
      <c r="FM93" s="1536">
        <f t="shared" si="231"/>
        <v>-4500</v>
      </c>
      <c r="FN93" s="1539"/>
      <c r="FO93" s="1539"/>
      <c r="FP93" s="1524"/>
      <c r="FQ93" s="1524"/>
      <c r="FR93" s="1524"/>
      <c r="FS93"/>
      <c r="FT93"/>
      <c r="FU93"/>
      <c r="FV93"/>
      <c r="FW93"/>
      <c r="FX93"/>
      <c r="FY93" s="1524"/>
      <c r="FZ93" s="1522"/>
      <c r="GA93" s="1522"/>
      <c r="GB93" s="1522"/>
      <c r="GC93" s="1522"/>
      <c r="GD93" s="1522"/>
      <c r="GE93" s="1522"/>
      <c r="GF93" s="1522"/>
      <c r="GG93" s="1522"/>
      <c r="GH93" s="1522"/>
      <c r="GI93" s="1522"/>
      <c r="GJ93" s="1522"/>
      <c r="GK93" s="1522"/>
      <c r="GL93" s="1522"/>
      <c r="GM93" s="1522"/>
      <c r="GN93" s="1522"/>
      <c r="GO93" s="1522"/>
      <c r="GP93" s="1522"/>
      <c r="GQ93" s="1522"/>
      <c r="GR93" s="1522"/>
      <c r="GS93" s="1522"/>
      <c r="GT93" s="1522"/>
      <c r="GU93" s="1522"/>
      <c r="GV93" s="1522"/>
      <c r="GW93" s="1522"/>
      <c r="GX93" s="1522"/>
      <c r="GY93" s="1522"/>
      <c r="GZ93" s="1522"/>
      <c r="HA93" s="1522"/>
      <c r="HB93" s="1522"/>
      <c r="HC93" s="1522"/>
      <c r="HD93" s="1522"/>
      <c r="HE93" s="1522"/>
      <c r="HF93" s="1522"/>
      <c r="HG93" s="1522"/>
      <c r="HH93" s="1522"/>
      <c r="HI93" s="1522"/>
      <c r="HJ93" s="1522"/>
      <c r="HK93" s="1522"/>
      <c r="HL93" s="1522"/>
      <c r="HM93" s="1522"/>
      <c r="HN93" s="1522"/>
      <c r="HO93" s="1522"/>
      <c r="HP93" s="1522"/>
      <c r="HQ93" s="1522"/>
      <c r="HR93" s="1522"/>
      <c r="HS93" s="1522"/>
      <c r="HT93" s="1522"/>
      <c r="HU93" s="1522"/>
      <c r="HV93" s="1522"/>
      <c r="HW93" s="1522"/>
      <c r="HX93" s="1522"/>
      <c r="HY93" s="1522"/>
      <c r="HZ93" s="1522"/>
      <c r="IA93" s="1522"/>
      <c r="IB93" s="1522"/>
      <c r="IC93" s="1522"/>
      <c r="ID93" s="1522"/>
      <c r="IE93" s="1522"/>
      <c r="IF93" s="1522"/>
      <c r="IG93" s="1522"/>
      <c r="IH93" s="1522"/>
      <c r="II93" s="1522"/>
      <c r="IJ93" s="1522"/>
      <c r="IK93" s="1522"/>
      <c r="IL93" s="1522"/>
      <c r="IM93" s="1522"/>
      <c r="IN93" s="1522"/>
      <c r="IO93" s="1522"/>
      <c r="IP93" s="1522"/>
      <c r="IQ93" s="1522"/>
      <c r="IR93" s="1522"/>
      <c r="IS93" s="1522"/>
      <c r="IT93" s="1522"/>
      <c r="IU93" s="1522"/>
      <c r="IV93" s="1522"/>
      <c r="IW93" s="1522"/>
      <c r="IX93" s="1522"/>
      <c r="IY93" s="1522"/>
      <c r="IZ93" s="1522"/>
      <c r="JA93" s="1522"/>
      <c r="JB93" s="1522"/>
      <c r="JC93" s="1522"/>
      <c r="JD93" s="1522"/>
      <c r="JE93" s="1522"/>
      <c r="JF93" s="1522"/>
      <c r="JG93" s="1522"/>
      <c r="JH93" s="1522"/>
      <c r="JI93" s="1522"/>
      <c r="JJ93" s="1522"/>
      <c r="JK93" s="1522"/>
      <c r="JL93" s="1522"/>
      <c r="JM93" s="1522"/>
      <c r="JN93" s="1522"/>
    </row>
    <row r="94" spans="1:274" s="1523" customFormat="1" ht="10.5" customHeight="1" x14ac:dyDescent="0.2">
      <c r="A94" s="1529" t="s">
        <v>543</v>
      </c>
      <c r="B94" s="1529"/>
      <c r="C94" s="1527"/>
      <c r="D94" s="1527"/>
      <c r="E94" s="1527"/>
      <c r="F94" s="1527"/>
      <c r="G94" s="1527"/>
      <c r="H94" s="1527"/>
      <c r="I94" s="1527"/>
      <c r="J94" s="1527"/>
      <c r="K94" s="1527"/>
      <c r="L94" s="1527"/>
      <c r="M94" s="1529"/>
      <c r="N94" s="1540"/>
      <c r="O94" s="1529"/>
      <c r="P94" s="1529"/>
      <c r="Q94" s="1529"/>
      <c r="R94" s="1529"/>
      <c r="S94" s="1529"/>
      <c r="T94" s="1540"/>
      <c r="U94" s="1529"/>
      <c r="V94" s="1529"/>
      <c r="W94" s="1529"/>
      <c r="X94" s="1529"/>
      <c r="Y94" s="1529"/>
      <c r="Z94" s="1540"/>
      <c r="AA94" s="1529"/>
      <c r="AB94" s="1529"/>
      <c r="AC94" s="1529"/>
      <c r="AD94" s="1529"/>
      <c r="AE94" s="1529"/>
      <c r="AF94" s="1540"/>
      <c r="AG94" s="1529"/>
      <c r="AH94" s="1529"/>
      <c r="AI94" s="1529"/>
      <c r="AJ94" s="1529"/>
      <c r="AK94" s="1529"/>
      <c r="AL94" s="1540"/>
      <c r="AM94" s="1529"/>
      <c r="AN94" s="1529"/>
      <c r="AO94" s="1529"/>
      <c r="AP94" s="1529"/>
      <c r="AQ94" s="1529"/>
      <c r="AR94" s="1540"/>
      <c r="AS94" s="1529"/>
      <c r="AT94" s="1529"/>
      <c r="AU94" s="1529"/>
      <c r="AV94" s="1529"/>
      <c r="AW94" s="1529"/>
      <c r="AX94" s="1540"/>
      <c r="AY94" s="1529">
        <v>0</v>
      </c>
      <c r="AZ94" s="1529">
        <v>0</v>
      </c>
      <c r="BA94" s="1529">
        <v>0</v>
      </c>
      <c r="BB94" s="1529">
        <v>0</v>
      </c>
      <c r="BC94" s="1527">
        <f>SUM(AY94:BB94)</f>
        <v>0</v>
      </c>
      <c r="BD94" s="1540"/>
      <c r="BE94" s="1529">
        <v>0</v>
      </c>
      <c r="BF94" s="1529">
        <v>0</v>
      </c>
      <c r="BG94" s="1529">
        <v>0</v>
      </c>
      <c r="BH94" s="1529">
        <v>0</v>
      </c>
      <c r="BI94" s="1529">
        <f>SUM(BE94:BH94)</f>
        <v>0</v>
      </c>
      <c r="BJ94" s="1540"/>
      <c r="BK94" s="1529">
        <v>0</v>
      </c>
      <c r="BL94" s="1529">
        <f>-166-BK94</f>
        <v>-166</v>
      </c>
      <c r="BM94" s="1529">
        <f>-166-BL94-BK94</f>
        <v>0</v>
      </c>
      <c r="BN94" s="1529">
        <v>0</v>
      </c>
      <c r="BO94" s="1529">
        <f>SUM(BK94:BN94)</f>
        <v>-166</v>
      </c>
      <c r="BP94" s="1540"/>
      <c r="BQ94" s="1529">
        <v>0</v>
      </c>
      <c r="BR94" s="1529">
        <v>0</v>
      </c>
      <c r="BS94" s="1529">
        <v>0</v>
      </c>
      <c r="BT94" s="1529">
        <f>BT40-BS40</f>
        <v>-31</v>
      </c>
      <c r="BU94" s="1529">
        <f>SUM(BQ94:BT94)</f>
        <v>-31</v>
      </c>
      <c r="BV94" s="1540"/>
      <c r="BW94" s="1529">
        <v>-26</v>
      </c>
      <c r="BX94" s="1529">
        <f t="shared" si="243"/>
        <v>0</v>
      </c>
      <c r="BY94" s="1529">
        <f t="shared" si="243"/>
        <v>-18</v>
      </c>
      <c r="BZ94" s="1529">
        <f t="shared" si="243"/>
        <v>0</v>
      </c>
      <c r="CA94" s="1529">
        <f>SUM(BW94:BZ94)</f>
        <v>-44</v>
      </c>
      <c r="CB94" s="1540"/>
      <c r="CC94" s="1529">
        <f>CC40</f>
        <v>-23</v>
      </c>
      <c r="CD94" s="1529">
        <f t="shared" si="237"/>
        <v>0</v>
      </c>
      <c r="CE94" s="1529">
        <f t="shared" si="237"/>
        <v>-16</v>
      </c>
      <c r="CF94" s="1529">
        <f t="shared" si="237"/>
        <v>0</v>
      </c>
      <c r="CG94" s="1529">
        <f>SUM(CC94:CF94)</f>
        <v>-39</v>
      </c>
      <c r="CH94" s="1540"/>
      <c r="CI94" s="1529">
        <f>CI40</f>
        <v>5</v>
      </c>
      <c r="CJ94" s="1529">
        <f t="shared" si="238"/>
        <v>125</v>
      </c>
      <c r="CK94" s="1529">
        <f t="shared" si="238"/>
        <v>28</v>
      </c>
      <c r="CL94" s="1529">
        <f t="shared" si="238"/>
        <v>55</v>
      </c>
      <c r="CM94" s="1536">
        <f t="shared" si="204"/>
        <v>213</v>
      </c>
      <c r="CN94" s="1540"/>
      <c r="CO94" s="1529">
        <f>CO40</f>
        <v>54</v>
      </c>
      <c r="CP94" s="1529">
        <f t="shared" si="239"/>
        <v>105</v>
      </c>
      <c r="CQ94" s="1529">
        <f t="shared" si="239"/>
        <v>195</v>
      </c>
      <c r="CR94" s="1529">
        <f t="shared" si="239"/>
        <v>51</v>
      </c>
      <c r="CS94" s="1536">
        <f t="shared" si="206"/>
        <v>405</v>
      </c>
      <c r="CT94" s="1540"/>
      <c r="CU94" s="1529">
        <f>CU40</f>
        <v>35</v>
      </c>
      <c r="CV94" s="1529">
        <f t="shared" si="240"/>
        <v>14</v>
      </c>
      <c r="CW94" s="1529">
        <f t="shared" si="240"/>
        <v>-10</v>
      </c>
      <c r="CX94" s="1529">
        <f t="shared" si="240"/>
        <v>5</v>
      </c>
      <c r="CY94" s="1536">
        <f t="shared" si="208"/>
        <v>44</v>
      </c>
      <c r="CZ94" s="1540"/>
      <c r="DA94" s="1529">
        <f>DA40</f>
        <v>-4</v>
      </c>
      <c r="DB94" s="1529">
        <f t="shared" si="241"/>
        <v>12</v>
      </c>
      <c r="DC94" s="1529">
        <f t="shared" si="241"/>
        <v>4</v>
      </c>
      <c r="DD94" s="1529">
        <f t="shared" si="241"/>
        <v>136</v>
      </c>
      <c r="DE94" s="1536">
        <f t="shared" si="210"/>
        <v>148</v>
      </c>
      <c r="DF94" s="1540"/>
      <c r="DG94" s="1529">
        <f>DG40</f>
        <v>-28</v>
      </c>
      <c r="DH94" s="1529">
        <f t="shared" si="242"/>
        <v>76</v>
      </c>
      <c r="DI94" s="1529">
        <f t="shared" si="242"/>
        <v>26</v>
      </c>
      <c r="DJ94" s="1529">
        <f t="shared" si="242"/>
        <v>76</v>
      </c>
      <c r="DK94" s="1536">
        <f t="shared" si="212"/>
        <v>150</v>
      </c>
      <c r="DL94" s="1540"/>
      <c r="DM94" s="1529">
        <f>DM40</f>
        <v>-139</v>
      </c>
      <c r="DN94" s="1529">
        <f t="shared" si="213"/>
        <v>29</v>
      </c>
      <c r="DO94" s="1529">
        <f t="shared" si="213"/>
        <v>18</v>
      </c>
      <c r="DP94" s="1529">
        <f t="shared" si="213"/>
        <v>26</v>
      </c>
      <c r="DQ94" s="1536">
        <f t="shared" si="214"/>
        <v>-66</v>
      </c>
      <c r="DR94" s="1540"/>
      <c r="DS94" s="1529">
        <f>DS40</f>
        <v>31</v>
      </c>
      <c r="DT94" s="1529">
        <f t="shared" si="215"/>
        <v>33</v>
      </c>
      <c r="DU94" s="1529">
        <f t="shared" si="215"/>
        <v>125</v>
      </c>
      <c r="DV94" s="1529">
        <f t="shared" si="215"/>
        <v>214</v>
      </c>
      <c r="DW94" s="1536">
        <f t="shared" si="216"/>
        <v>403</v>
      </c>
      <c r="DX94" s="1540"/>
      <c r="DY94" s="1529">
        <f>DY40</f>
        <v>12</v>
      </c>
      <c r="DZ94" s="1529">
        <f t="shared" si="217"/>
        <v>31</v>
      </c>
      <c r="EA94" s="1529">
        <f t="shared" si="217"/>
        <v>91</v>
      </c>
      <c r="EB94" s="1529">
        <f t="shared" si="217"/>
        <v>88</v>
      </c>
      <c r="EC94" s="1536">
        <f t="shared" si="218"/>
        <v>222</v>
      </c>
      <c r="ED94" s="1540"/>
      <c r="EE94" s="1529">
        <f>EE40</f>
        <v>24</v>
      </c>
      <c r="EF94" s="1529">
        <f t="shared" si="219"/>
        <v>-146</v>
      </c>
      <c r="EG94" s="1529">
        <f t="shared" si="219"/>
        <v>93</v>
      </c>
      <c r="EH94" s="1529">
        <f t="shared" si="219"/>
        <v>77</v>
      </c>
      <c r="EI94" s="1536">
        <f t="shared" si="220"/>
        <v>48</v>
      </c>
      <c r="EJ94" s="1540"/>
      <c r="EK94" s="1529">
        <f>EK40</f>
        <v>0</v>
      </c>
      <c r="EL94" s="1529">
        <f t="shared" si="221"/>
        <v>-45</v>
      </c>
      <c r="EM94" s="1529">
        <f t="shared" si="221"/>
        <v>21</v>
      </c>
      <c r="EN94" s="1529">
        <f t="shared" si="221"/>
        <v>63</v>
      </c>
      <c r="EO94" s="1536">
        <f t="shared" si="222"/>
        <v>39</v>
      </c>
      <c r="EP94" s="1540"/>
      <c r="EQ94" s="1529">
        <f>EQ40</f>
        <v>-167</v>
      </c>
      <c r="ER94" s="1529">
        <f t="shared" si="232"/>
        <v>-221</v>
      </c>
      <c r="ES94" s="1529">
        <f t="shared" si="233"/>
        <v>-49</v>
      </c>
      <c r="ET94" s="1529">
        <f t="shared" si="234"/>
        <v>179</v>
      </c>
      <c r="EU94" s="1536">
        <f t="shared" si="223"/>
        <v>-258</v>
      </c>
      <c r="EV94" s="1540"/>
      <c r="EW94" s="1529">
        <f>EW40</f>
        <v>-34</v>
      </c>
      <c r="EX94" s="1529">
        <f t="shared" si="235"/>
        <v>-434</v>
      </c>
      <c r="EY94" s="1529">
        <f t="shared" si="235"/>
        <v>-33</v>
      </c>
      <c r="EZ94" s="1529">
        <f t="shared" si="224"/>
        <v>0</v>
      </c>
      <c r="FA94" s="1536">
        <f t="shared" si="225"/>
        <v>-501</v>
      </c>
      <c r="FB94" s="1540"/>
      <c r="FC94" s="1529">
        <f>FC40</f>
        <v>0</v>
      </c>
      <c r="FD94" s="1529">
        <f t="shared" si="226"/>
        <v>0</v>
      </c>
      <c r="FE94" s="1529">
        <f t="shared" si="226"/>
        <v>0</v>
      </c>
      <c r="FF94" s="1529">
        <f t="shared" si="226"/>
        <v>0</v>
      </c>
      <c r="FG94" s="1536">
        <f t="shared" si="227"/>
        <v>0</v>
      </c>
      <c r="FH94" s="1540"/>
      <c r="FI94" s="1529">
        <f>FI40</f>
        <v>0</v>
      </c>
      <c r="FJ94" s="1529">
        <f t="shared" si="228"/>
        <v>0</v>
      </c>
      <c r="FK94" s="1529">
        <f t="shared" si="229"/>
        <v>0</v>
      </c>
      <c r="FL94" s="1529">
        <f t="shared" si="230"/>
        <v>0</v>
      </c>
      <c r="FM94" s="1536">
        <f t="shared" si="231"/>
        <v>0</v>
      </c>
      <c r="FN94" s="1539"/>
      <c r="FO94" s="1539"/>
      <c r="FP94" s="1524"/>
      <c r="FQ94" s="1524"/>
      <c r="FR94" s="1524"/>
      <c r="FS94"/>
      <c r="FT94"/>
      <c r="FU94"/>
      <c r="FV94"/>
      <c r="FW94"/>
      <c r="FX94"/>
      <c r="FY94" s="1524"/>
      <c r="FZ94" s="1522"/>
      <c r="GA94" s="1522"/>
      <c r="GB94" s="1522"/>
      <c r="GC94" s="1522"/>
      <c r="GD94" s="1522"/>
      <c r="GE94" s="1522"/>
      <c r="GF94" s="1522"/>
      <c r="GG94" s="1522"/>
      <c r="GH94" s="1522"/>
      <c r="GI94" s="1522"/>
      <c r="GJ94" s="1522"/>
      <c r="GK94" s="1522"/>
      <c r="GL94" s="1522"/>
      <c r="GM94" s="1522"/>
      <c r="GN94" s="1522"/>
      <c r="GO94" s="1522"/>
      <c r="GP94" s="1522"/>
      <c r="GQ94" s="1522"/>
      <c r="GR94" s="1522"/>
      <c r="GS94" s="1522"/>
      <c r="GT94" s="1522"/>
      <c r="GU94" s="1522"/>
      <c r="GV94" s="1522"/>
      <c r="GW94" s="1522"/>
      <c r="GX94" s="1522"/>
      <c r="GY94" s="1522"/>
      <c r="GZ94" s="1522"/>
      <c r="HA94" s="1522"/>
      <c r="HB94" s="1522"/>
      <c r="HC94" s="1522"/>
      <c r="HD94" s="1522"/>
      <c r="HE94" s="1522"/>
      <c r="HF94" s="1522"/>
      <c r="HG94" s="1522"/>
      <c r="HH94" s="1522"/>
      <c r="HI94" s="1522"/>
      <c r="HJ94" s="1522"/>
      <c r="HK94" s="1522"/>
      <c r="HL94" s="1522"/>
      <c r="HM94" s="1522"/>
      <c r="HN94" s="1522"/>
      <c r="HO94" s="1522"/>
      <c r="HP94" s="1522"/>
      <c r="HQ94" s="1522"/>
      <c r="HR94" s="1522"/>
      <c r="HS94" s="1522"/>
      <c r="HT94" s="1522"/>
      <c r="HU94" s="1522"/>
      <c r="HV94" s="1522"/>
      <c r="HW94" s="1522"/>
      <c r="HX94" s="1522"/>
      <c r="HY94" s="1522"/>
      <c r="HZ94" s="1522"/>
      <c r="IA94" s="1522"/>
      <c r="IB94" s="1522"/>
      <c r="IC94" s="1522"/>
      <c r="ID94" s="1522"/>
      <c r="IE94" s="1522"/>
      <c r="IF94" s="1522"/>
      <c r="IG94" s="1522"/>
      <c r="IH94" s="1522"/>
      <c r="II94" s="1522"/>
      <c r="IJ94" s="1522"/>
      <c r="IK94" s="1522"/>
      <c r="IL94" s="1522"/>
      <c r="IM94" s="1522"/>
      <c r="IN94" s="1522"/>
      <c r="IO94" s="1522"/>
      <c r="IP94" s="1522"/>
      <c r="IQ94" s="1522"/>
      <c r="IR94" s="1522"/>
      <c r="IS94" s="1522"/>
      <c r="IT94" s="1522"/>
      <c r="IU94" s="1522"/>
      <c r="IV94" s="1522"/>
      <c r="IW94" s="1522"/>
      <c r="IX94" s="1522"/>
      <c r="IY94" s="1522"/>
      <c r="IZ94" s="1522"/>
      <c r="JA94" s="1522"/>
      <c r="JB94" s="1522"/>
      <c r="JC94" s="1522"/>
      <c r="JD94" s="1522"/>
      <c r="JE94" s="1522"/>
      <c r="JF94" s="1522"/>
      <c r="JG94" s="1522"/>
      <c r="JH94" s="1522"/>
      <c r="JI94" s="1522"/>
      <c r="JJ94" s="1522"/>
      <c r="JK94" s="1522"/>
      <c r="JL94" s="1522"/>
      <c r="JM94" s="1522"/>
      <c r="JN94" s="1522"/>
    </row>
    <row r="95" spans="1:274" s="24" customFormat="1" ht="10.5" customHeight="1" x14ac:dyDescent="0.2">
      <c r="A95" s="1358" t="s">
        <v>106</v>
      </c>
      <c r="B95" s="1360"/>
      <c r="C95" s="1360">
        <f>SUM(C90:C92)</f>
        <v>0</v>
      </c>
      <c r="D95" s="1360">
        <f>SUM(D90:D92)</f>
        <v>0</v>
      </c>
      <c r="E95" s="1360">
        <f>SUM(E90:E92)</f>
        <v>19.261000000000003</v>
      </c>
      <c r="F95" s="1360">
        <f t="shared" ref="F95:M95" si="244">SUM(F90:F94)</f>
        <v>40.412000000000006</v>
      </c>
      <c r="G95" s="1360">
        <f t="shared" si="244"/>
        <v>6.3420000000000005</v>
      </c>
      <c r="H95" s="1360">
        <f t="shared" si="244"/>
        <v>63.292000000000002</v>
      </c>
      <c r="I95" s="1360">
        <f t="shared" si="244"/>
        <v>73.906999999999996</v>
      </c>
      <c r="J95" s="1360">
        <f t="shared" si="244"/>
        <v>73.491</v>
      </c>
      <c r="K95" s="1360">
        <f t="shared" si="244"/>
        <v>-76.399999999999991</v>
      </c>
      <c r="L95" s="1360">
        <f t="shared" si="244"/>
        <v>-24.270999999999994</v>
      </c>
      <c r="M95" s="1360">
        <f t="shared" si="244"/>
        <v>-51.304999999999993</v>
      </c>
      <c r="N95" s="1420"/>
      <c r="O95" s="1360">
        <f>SUM(O90:O94)</f>
        <v>-24.016000000000002</v>
      </c>
      <c r="P95" s="1360">
        <f>SUM(P90:P94)</f>
        <v>-24.709000000000007</v>
      </c>
      <c r="Q95" s="1360">
        <f>SUM(Q90:Q94)</f>
        <v>5.9010000000000105</v>
      </c>
      <c r="R95" s="1360">
        <f>SUM(R90:R94)</f>
        <v>26.79</v>
      </c>
      <c r="S95" s="1360">
        <f>SUM(O95:R95)</f>
        <v>-16.033999999999999</v>
      </c>
      <c r="T95" s="1421"/>
      <c r="U95" s="1360">
        <f>SUM(U90:U94)</f>
        <v>26.28</v>
      </c>
      <c r="V95" s="1360">
        <f>SUM(V90:V94)</f>
        <v>-15.272999999999996</v>
      </c>
      <c r="W95" s="1360">
        <f>SUM(W90:W94)</f>
        <v>-24.718000000000004</v>
      </c>
      <c r="X95" s="1360">
        <f>SUM(X90:X94)</f>
        <v>-74.580000000000013</v>
      </c>
      <c r="Y95" s="1360">
        <f>SUM(U95:X95)</f>
        <v>-88.291000000000011</v>
      </c>
      <c r="Z95" s="1421"/>
      <c r="AA95" s="1360">
        <f>SUM(AA90:AA94)</f>
        <v>3.2699999999999978</v>
      </c>
      <c r="AB95" s="1360">
        <f>SUM(AB90:AB94)</f>
        <v>-36.796000000000014</v>
      </c>
      <c r="AC95" s="1360">
        <f>SUM(AC90:AC94)</f>
        <v>68.816000000000003</v>
      </c>
      <c r="AD95" s="1360">
        <f>SUM(AD90:AD94)</f>
        <v>-92.411999999999807</v>
      </c>
      <c r="AE95" s="1360">
        <f>SUM(AA95:AD95)</f>
        <v>-57.121999999999822</v>
      </c>
      <c r="AF95" s="1421"/>
      <c r="AG95" s="1360">
        <f>SUM(AG90:AG94)</f>
        <v>18.664999999999999</v>
      </c>
      <c r="AH95" s="1360">
        <f>SUM(AH90:AH94)</f>
        <v>40.170999999999992</v>
      </c>
      <c r="AI95" s="1360">
        <f>SUM(AI90:AI94)</f>
        <v>-295.923</v>
      </c>
      <c r="AJ95" s="1360">
        <f>SUM(AJ90:AJ94)</f>
        <v>-45.758999999999972</v>
      </c>
      <c r="AK95" s="1360">
        <f>SUM(AG95:AJ95)</f>
        <v>-282.846</v>
      </c>
      <c r="AL95" s="1421"/>
      <c r="AM95" s="1360">
        <f>SUM(AM90:AM94)</f>
        <v>-59.825999999999993</v>
      </c>
      <c r="AN95" s="1360">
        <f>SUM(AN90:AN94)</f>
        <v>-353.69800000000004</v>
      </c>
      <c r="AO95" s="1360">
        <f>SUM(AO90:AO94)</f>
        <v>134.17400000000001</v>
      </c>
      <c r="AP95" s="1360">
        <f>SUM(AP90:AP94)</f>
        <v>-205.36299999999994</v>
      </c>
      <c r="AQ95" s="1360">
        <f>SUM(AM95:AP95)</f>
        <v>-484.71299999999997</v>
      </c>
      <c r="AR95" s="1421"/>
      <c r="AS95" s="1360">
        <f>SUM(AS90:AS94)</f>
        <v>-496.33699999999999</v>
      </c>
      <c r="AT95" s="1360">
        <f>SUM(AT90:AT94)</f>
        <v>-631.38599999999997</v>
      </c>
      <c r="AU95" s="1360">
        <f>SUM(AU90:AU94)</f>
        <v>-593.49700000000018</v>
      </c>
      <c r="AV95" s="1360">
        <f>SUM(AV90:AV94)</f>
        <v>-2462.0159999999996</v>
      </c>
      <c r="AW95" s="1360">
        <f>SUM(AS95:AV95)</f>
        <v>-4183.2359999999999</v>
      </c>
      <c r="AX95" s="1421"/>
      <c r="AY95" s="1360">
        <f>SUM(AY90:AY94)</f>
        <v>-1862.377</v>
      </c>
      <c r="AZ95" s="1360">
        <f>SUM(AZ90:AZ94)</f>
        <v>-1216.7829999999999</v>
      </c>
      <c r="BA95" s="1360">
        <f>SUM(BA90:BA94)</f>
        <v>-282.75300000000004</v>
      </c>
      <c r="BB95" s="1360">
        <f>SUM(BB90:BB94)</f>
        <v>-444.08699999999976</v>
      </c>
      <c r="BC95" s="1360">
        <f>SUM(AY95:BB95)</f>
        <v>-3806</v>
      </c>
      <c r="BD95" s="1421"/>
      <c r="BE95" s="1360">
        <f>SUM(BE90:BE94)</f>
        <v>-713.5680000000001</v>
      </c>
      <c r="BF95" s="1360">
        <f>SUM(BF90:BF94)</f>
        <v>-956.43200000000002</v>
      </c>
      <c r="BG95" s="1360">
        <f>SUM(BG90:BG94)</f>
        <v>-164</v>
      </c>
      <c r="BH95" s="1360">
        <f>SUM(BH90:BH94)</f>
        <v>-631</v>
      </c>
      <c r="BI95" s="1360">
        <f>SUM(BE95:BH95)</f>
        <v>-2465</v>
      </c>
      <c r="BJ95" s="1421"/>
      <c r="BK95" s="1360">
        <f>SUM(BK90:BK94)</f>
        <v>-738</v>
      </c>
      <c r="BL95" s="1360">
        <f>SUM(BL90:BL94)</f>
        <v>-988</v>
      </c>
      <c r="BM95" s="1360">
        <f>SUM(BM90:BM94)</f>
        <v>-436</v>
      </c>
      <c r="BN95" s="1360">
        <f>SUM(BN90:BN94)</f>
        <v>-292</v>
      </c>
      <c r="BO95" s="1360">
        <f>SUM(BK95:BN95)</f>
        <v>-2454</v>
      </c>
      <c r="BP95" s="1421"/>
      <c r="BQ95" s="1360">
        <f>SUM(BQ90:BQ94)</f>
        <v>-159</v>
      </c>
      <c r="BR95" s="1360">
        <f>SUM(BR90:BR94)</f>
        <v>-64</v>
      </c>
      <c r="BS95" s="1360">
        <f>SUM(BS90:BS94)</f>
        <v>-713</v>
      </c>
      <c r="BT95" s="1360">
        <f>SUM(BT90:BT94)</f>
        <v>-384</v>
      </c>
      <c r="BU95" s="1360">
        <f>SUM(BQ95:BT95)</f>
        <v>-1320</v>
      </c>
      <c r="BV95" s="1421"/>
      <c r="BW95" s="1360">
        <f>SUM(BW90:BW94)</f>
        <v>-542</v>
      </c>
      <c r="BX95" s="1360">
        <f>SUM(BX90:BX94)</f>
        <v>-414</v>
      </c>
      <c r="BY95" s="1360">
        <f>SUM(BY90:BY94)</f>
        <v>7377</v>
      </c>
      <c r="BZ95" s="1360">
        <f>SUM(BZ90:BZ94)</f>
        <v>-4537</v>
      </c>
      <c r="CA95" s="1360">
        <f>SUM(BW95:BZ95)</f>
        <v>1884</v>
      </c>
      <c r="CB95" s="1360"/>
      <c r="CC95" s="1360">
        <f>SUM(CC90:CC94)</f>
        <v>-1297</v>
      </c>
      <c r="CD95" s="1360">
        <f>SUM(CD90:CD94)</f>
        <v>-608</v>
      </c>
      <c r="CE95" s="1360">
        <f>SUM(CE90:CE94)</f>
        <v>5065</v>
      </c>
      <c r="CF95" s="1360">
        <f>SUM(CF90:CF94)</f>
        <v>-1633</v>
      </c>
      <c r="CG95" s="1360">
        <f>SUM(CC95:CF95)</f>
        <v>1527</v>
      </c>
      <c r="CH95" s="1360"/>
      <c r="CI95" s="1360">
        <f>SUM(CI90:CI94)</f>
        <v>-776</v>
      </c>
      <c r="CJ95" s="1360">
        <f>SUM(CJ90:CJ94)</f>
        <v>-472</v>
      </c>
      <c r="CK95" s="1360">
        <f>SUM(CK90:CK94)</f>
        <v>-1018</v>
      </c>
      <c r="CL95" s="1360">
        <f>SUM(CL90:CL94)</f>
        <v>1127</v>
      </c>
      <c r="CM95" s="1361">
        <f t="shared" si="204"/>
        <v>-1139</v>
      </c>
      <c r="CN95" s="1360"/>
      <c r="CO95" s="1360">
        <f>SUM(CO90:CO94)</f>
        <v>-1520</v>
      </c>
      <c r="CP95" s="1360">
        <f>SUM(CP90:CP94)</f>
        <v>-24</v>
      </c>
      <c r="CQ95" s="1360">
        <f>SUM(CQ90:CQ94)</f>
        <v>63</v>
      </c>
      <c r="CR95" s="1360">
        <f>SUM(CR90:CR94)</f>
        <v>4762</v>
      </c>
      <c r="CS95" s="1361">
        <f t="shared" si="206"/>
        <v>3281</v>
      </c>
      <c r="CT95" s="1360"/>
      <c r="CU95" s="1360">
        <f>SUM(CU90:CU94)</f>
        <v>-189</v>
      </c>
      <c r="CV95" s="1360">
        <f>SUM(CV90:CV94)</f>
        <v>-1739</v>
      </c>
      <c r="CW95" s="1360">
        <f>SUM(CW90:CW94)</f>
        <v>-1293</v>
      </c>
      <c r="CX95" s="1360">
        <f>SUM(CX90:CX94)</f>
        <v>-1201</v>
      </c>
      <c r="CY95" s="1361">
        <f t="shared" si="208"/>
        <v>-4422</v>
      </c>
      <c r="CZ95" s="1360"/>
      <c r="DA95" s="1360">
        <f>SUM(DA90:DA94)</f>
        <v>4209</v>
      </c>
      <c r="DB95" s="1360">
        <f>SUM(DB90:DB94)</f>
        <v>-366</v>
      </c>
      <c r="DC95" s="1360">
        <f>SUM(DC90:DC94)</f>
        <v>-8</v>
      </c>
      <c r="DD95" s="1360">
        <f>SUM(DD90:DD94)</f>
        <v>-1171</v>
      </c>
      <c r="DE95" s="1361">
        <f t="shared" si="210"/>
        <v>2664</v>
      </c>
      <c r="DF95" s="1360"/>
      <c r="DG95" s="1360">
        <f>SUM(DG90:DG94)</f>
        <v>1960</v>
      </c>
      <c r="DH95" s="1360">
        <f>SUM(DH90:DH94)</f>
        <v>128</v>
      </c>
      <c r="DI95" s="1360">
        <f>SUM(DI90:DI94)</f>
        <v>-2431</v>
      </c>
      <c r="DJ95" s="1360">
        <f>SUM(DJ90:DJ94)</f>
        <v>859</v>
      </c>
      <c r="DK95" s="1361">
        <f t="shared" si="212"/>
        <v>516</v>
      </c>
      <c r="DL95" s="1360"/>
      <c r="DM95" s="1360">
        <f>SUM(DM90:DM94)</f>
        <v>-2211</v>
      </c>
      <c r="DN95" s="1360">
        <f>SUM(DN90:DN94)</f>
        <v>-1020</v>
      </c>
      <c r="DO95" s="1360">
        <f>SUM(DO90:DO94)</f>
        <v>-2119</v>
      </c>
      <c r="DP95" s="1360">
        <f>SUM(DP90:DP94)</f>
        <v>-749</v>
      </c>
      <c r="DQ95" s="1361">
        <f t="shared" si="214"/>
        <v>-6099</v>
      </c>
      <c r="DR95" s="1360"/>
      <c r="DS95" s="1360">
        <f>SUM(DS90:DS94)</f>
        <v>-4520</v>
      </c>
      <c r="DT95" s="1360">
        <f>SUM(DT90:DT94)</f>
        <v>1955</v>
      </c>
      <c r="DU95" s="1360">
        <f>SUM(DU90:DU94)</f>
        <v>-2309</v>
      </c>
      <c r="DV95" s="1360">
        <f>SUM(DV90:DV94)</f>
        <v>-3626</v>
      </c>
      <c r="DW95" s="1361">
        <f t="shared" si="216"/>
        <v>-8500</v>
      </c>
      <c r="DX95" s="1360"/>
      <c r="DY95" s="1360">
        <f>SUM(DY90:DY94)</f>
        <v>2341</v>
      </c>
      <c r="DZ95" s="1360">
        <f>SUM(DZ90:DZ94)</f>
        <v>-2867</v>
      </c>
      <c r="EA95" s="1360">
        <f>SUM(EA90:EA94)</f>
        <v>-1736</v>
      </c>
      <c r="EB95" s="1360">
        <f>SUM(EB90:EB94)</f>
        <v>-1806</v>
      </c>
      <c r="EC95" s="1361">
        <f t="shared" si="218"/>
        <v>-4068</v>
      </c>
      <c r="ED95" s="1360"/>
      <c r="EE95" s="1360">
        <f>SUM(EE90:EE94)</f>
        <v>6520</v>
      </c>
      <c r="EF95" s="1360">
        <f>SUM(EF90:EF94)</f>
        <v>-2454</v>
      </c>
      <c r="EG95" s="1360">
        <f>SUM(EG90:EG94)</f>
        <v>-1884</v>
      </c>
      <c r="EH95" s="1360">
        <f>SUM(EH90:EH94)</f>
        <v>7668</v>
      </c>
      <c r="EI95" s="1361">
        <f t="shared" si="220"/>
        <v>9850</v>
      </c>
      <c r="EJ95" s="1360"/>
      <c r="EK95" s="1360">
        <f>SUM(EK90:EK94)</f>
        <v>-3270</v>
      </c>
      <c r="EL95" s="1360">
        <f>SUM(EL90:EL94)</f>
        <v>-3756</v>
      </c>
      <c r="EM95" s="1360">
        <f>SUM(EM90:EM94)</f>
        <v>-4663</v>
      </c>
      <c r="EN95" s="1360">
        <f>SUM(EN90:EN94)</f>
        <v>1833</v>
      </c>
      <c r="EO95" s="1361">
        <f t="shared" si="222"/>
        <v>-9856</v>
      </c>
      <c r="EP95" s="1360"/>
      <c r="EQ95" s="1360">
        <f>SUM(EQ90:EQ94)</f>
        <v>7712</v>
      </c>
      <c r="ER95" s="1360">
        <f>SUM(ER90:ER94)</f>
        <v>-973</v>
      </c>
      <c r="ES95" s="1360">
        <f>SUM(ES90:ES94)</f>
        <v>-940</v>
      </c>
      <c r="ET95" s="1360">
        <f>SUM(ET90:ET94)</f>
        <v>3287</v>
      </c>
      <c r="EU95" s="1361">
        <f t="shared" si="223"/>
        <v>9086</v>
      </c>
      <c r="EV95" s="1360"/>
      <c r="EW95" s="1360">
        <f>SUM(EW90:EW94)</f>
        <v>-5441</v>
      </c>
      <c r="EX95" s="1360">
        <f>SUM(EX90:EX94)</f>
        <v>4938</v>
      </c>
      <c r="EY95" s="1360">
        <f>SUM(EY90:EY94)</f>
        <v>-4020</v>
      </c>
      <c r="EZ95" s="1360">
        <f>SUM(EZ90:EZ94)</f>
        <v>-3774.4924989638744</v>
      </c>
      <c r="FA95" s="1361">
        <f t="shared" si="225"/>
        <v>-8297.4924989638748</v>
      </c>
      <c r="FB95" s="1360"/>
      <c r="FC95" s="1360">
        <f>SUM(FC90:FC94)</f>
        <v>-4653.751120060203</v>
      </c>
      <c r="FD95" s="1360">
        <f>SUM(FD90:FD94)</f>
        <v>-2147.7597333555659</v>
      </c>
      <c r="FE95" s="1360">
        <f>SUM(FE90:FE94)</f>
        <v>-2141.9335532272244</v>
      </c>
      <c r="FF95" s="1360">
        <f>SUM(FF90:FF94)</f>
        <v>-4136.2701381986826</v>
      </c>
      <c r="FG95" s="1361">
        <f t="shared" si="227"/>
        <v>-13079.714544841676</v>
      </c>
      <c r="FH95" s="1360"/>
      <c r="FI95" s="1360">
        <f>SUM(FI90:FI94)</f>
        <v>-1942.7697110404895</v>
      </c>
      <c r="FJ95" s="1360">
        <f>SUM(FJ90:FJ94)</f>
        <v>-4437.6508059495891</v>
      </c>
      <c r="FK95" s="1360">
        <f>SUM(FK90:FK94)</f>
        <v>-3932.687555889614</v>
      </c>
      <c r="FL95" s="1360">
        <f>SUM(FL90:FL94)</f>
        <v>-1927.8776605399107</v>
      </c>
      <c r="FM95" s="1361">
        <f t="shared" si="231"/>
        <v>-12240.985733419604</v>
      </c>
      <c r="FN95" s="261"/>
      <c r="FO95" s="261"/>
      <c r="FP95" s="261"/>
      <c r="FQ95" s="261"/>
      <c r="FR95" s="261"/>
      <c r="FS95"/>
      <c r="FT95"/>
      <c r="FU95"/>
      <c r="FV95"/>
      <c r="FW95"/>
      <c r="FX95"/>
      <c r="FY95" s="261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</row>
    <row r="96" spans="1:274" s="24" customFormat="1" ht="5.25" customHeight="1" x14ac:dyDescent="0.2">
      <c r="A96" s="599"/>
      <c r="B96" s="476"/>
      <c r="C96" s="599"/>
      <c r="D96" s="599"/>
      <c r="E96" s="599"/>
      <c r="F96" s="599"/>
      <c r="G96" s="599"/>
      <c r="H96" s="599"/>
      <c r="I96" s="599"/>
      <c r="J96" s="599"/>
      <c r="K96" s="599"/>
      <c r="L96" s="599"/>
      <c r="M96" s="599"/>
      <c r="N96" s="599"/>
      <c r="O96" s="599"/>
      <c r="P96" s="599"/>
      <c r="Q96" s="599"/>
      <c r="R96" s="599"/>
      <c r="S96" s="599"/>
      <c r="T96" s="599"/>
      <c r="U96" s="599"/>
      <c r="V96" s="599"/>
      <c r="W96" s="599"/>
      <c r="X96" s="599"/>
      <c r="Y96" s="599"/>
      <c r="Z96" s="599"/>
      <c r="AA96" s="599"/>
      <c r="AB96" s="599"/>
      <c r="AC96" s="599"/>
      <c r="AD96" s="599"/>
      <c r="AE96" s="599"/>
      <c r="AF96" s="599"/>
      <c r="AG96" s="599"/>
      <c r="AH96" s="599"/>
      <c r="AI96" s="599"/>
      <c r="AJ96" s="599"/>
      <c r="AK96" s="599"/>
      <c r="AL96" s="599"/>
      <c r="AM96" s="599"/>
      <c r="AN96" s="599"/>
      <c r="AO96" s="599"/>
      <c r="AP96" s="599"/>
      <c r="AQ96" s="599"/>
      <c r="AR96" s="599"/>
      <c r="AS96" s="599"/>
      <c r="AT96" s="599"/>
      <c r="AU96" s="599"/>
      <c r="AV96" s="599"/>
      <c r="AW96" s="599"/>
      <c r="AX96" s="599"/>
      <c r="AY96" s="599"/>
      <c r="AZ96" s="599"/>
      <c r="BA96" s="599"/>
      <c r="BB96" s="599"/>
      <c r="BC96" s="599"/>
      <c r="BD96" s="599"/>
      <c r="BE96" s="599"/>
      <c r="BF96" s="599"/>
      <c r="BG96" s="599"/>
      <c r="BH96" s="599"/>
      <c r="BI96" s="599"/>
      <c r="BJ96" s="599"/>
      <c r="BK96" s="599"/>
      <c r="BL96" s="599"/>
      <c r="BM96" s="599"/>
      <c r="BN96" s="599"/>
      <c r="BO96" s="599"/>
      <c r="BP96" s="599"/>
      <c r="BQ96" s="599"/>
      <c r="BR96" s="599"/>
      <c r="BS96" s="599"/>
      <c r="BT96" s="599"/>
      <c r="BU96" s="599"/>
      <c r="BV96" s="599"/>
      <c r="BW96" s="599"/>
      <c r="BX96" s="599"/>
      <c r="BY96" s="599"/>
      <c r="BZ96" s="599"/>
      <c r="CA96" s="599"/>
      <c r="CB96" s="599"/>
      <c r="CC96" s="599"/>
      <c r="CD96" s="599"/>
      <c r="CE96" s="599"/>
      <c r="CF96" s="599"/>
      <c r="CG96" s="599"/>
      <c r="CH96" s="599"/>
      <c r="CI96" s="599"/>
      <c r="CJ96" s="599"/>
      <c r="CK96" s="599"/>
      <c r="CL96" s="599"/>
      <c r="CM96" s="1019"/>
      <c r="CN96" s="599"/>
      <c r="CO96" s="599"/>
      <c r="CP96" s="599"/>
      <c r="CQ96" s="599"/>
      <c r="CR96" s="599"/>
      <c r="CS96" s="1019"/>
      <c r="CT96" s="599"/>
      <c r="CU96" s="599"/>
      <c r="CV96" s="599"/>
      <c r="CW96" s="599"/>
      <c r="CX96" s="599"/>
      <c r="CY96" s="1019"/>
      <c r="CZ96" s="599"/>
      <c r="DA96" s="599"/>
      <c r="DB96" s="599"/>
      <c r="DC96" s="599"/>
      <c r="DD96" s="599"/>
      <c r="DE96" s="1019"/>
      <c r="DF96" s="599"/>
      <c r="DG96" s="599"/>
      <c r="DH96" s="599"/>
      <c r="DI96" s="599"/>
      <c r="DJ96" s="599"/>
      <c r="DK96" s="1019"/>
      <c r="DL96" s="599"/>
      <c r="DM96" s="599"/>
      <c r="DN96" s="599"/>
      <c r="DO96" s="599"/>
      <c r="DP96" s="599"/>
      <c r="DQ96" s="1019"/>
      <c r="DR96" s="599"/>
      <c r="DS96" s="599"/>
      <c r="DT96" s="599"/>
      <c r="DU96" s="599"/>
      <c r="DV96" s="599"/>
      <c r="DW96" s="1019"/>
      <c r="DX96" s="599"/>
      <c r="DY96" s="599"/>
      <c r="DZ96" s="599"/>
      <c r="EA96" s="599"/>
      <c r="EB96" s="599"/>
      <c r="EC96" s="1019"/>
      <c r="ED96" s="599"/>
      <c r="EE96" s="599"/>
      <c r="EF96" s="599"/>
      <c r="EG96" s="599"/>
      <c r="EH96" s="599"/>
      <c r="EI96" s="1019"/>
      <c r="EJ96" s="599"/>
      <c r="EK96" s="599"/>
      <c r="EL96" s="599"/>
      <c r="EM96" s="599"/>
      <c r="EN96" s="599"/>
      <c r="EO96" s="1019"/>
      <c r="EP96" s="599"/>
      <c r="EQ96" s="599"/>
      <c r="ER96" s="599"/>
      <c r="ES96" s="599"/>
      <c r="ET96" s="599"/>
      <c r="EU96" s="1019"/>
      <c r="EV96" s="599"/>
      <c r="EW96" s="599"/>
      <c r="EX96" s="599"/>
      <c r="EY96" s="599"/>
      <c r="EZ96" s="599"/>
      <c r="FA96" s="1019"/>
      <c r="FB96" s="599"/>
      <c r="FC96" s="599"/>
      <c r="FD96" s="599"/>
      <c r="FE96" s="599"/>
      <c r="FF96" s="599"/>
      <c r="FG96" s="1019"/>
      <c r="FH96" s="599"/>
      <c r="FI96" s="599"/>
      <c r="FJ96" s="599"/>
      <c r="FK96" s="599"/>
      <c r="FL96" s="599"/>
      <c r="FM96" s="1019"/>
      <c r="FN96" s="12"/>
      <c r="FO96" s="12"/>
      <c r="FP96" s="12"/>
      <c r="FQ96" s="12"/>
      <c r="FR96" s="12"/>
      <c r="FS96"/>
      <c r="FT96"/>
      <c r="FU96"/>
      <c r="FV96"/>
      <c r="FW96"/>
      <c r="FX96"/>
      <c r="FY96" s="12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</row>
    <row r="97" spans="1:274" s="1523" customFormat="1" ht="10.5" customHeight="1" x14ac:dyDescent="0.2">
      <c r="A97" s="1529" t="s">
        <v>257</v>
      </c>
      <c r="B97" s="1529"/>
      <c r="C97" s="1527">
        <v>0</v>
      </c>
      <c r="D97" s="1527">
        <v>0</v>
      </c>
      <c r="E97" s="1527">
        <v>0.157</v>
      </c>
      <c r="F97" s="1529">
        <v>0.21099999999999999</v>
      </c>
      <c r="G97" s="1529">
        <v>6.9000000000000006E-2</v>
      </c>
      <c r="H97" s="1529">
        <v>-1.0609999999999999</v>
      </c>
      <c r="I97" s="1529">
        <v>0.55200000000000005</v>
      </c>
      <c r="J97" s="1529">
        <v>0.185</v>
      </c>
      <c r="K97" s="1529">
        <v>2.2400000000000002</v>
      </c>
      <c r="L97" s="1529">
        <v>-3.9140000000000001</v>
      </c>
      <c r="M97" s="1529">
        <v>-2.008</v>
      </c>
      <c r="N97" s="1529"/>
      <c r="O97" s="1529">
        <v>3.488</v>
      </c>
      <c r="P97" s="1529">
        <f>4.788-O97</f>
        <v>1.3000000000000003</v>
      </c>
      <c r="Q97" s="1529">
        <f>8.492-P97-O97</f>
        <v>3.7040000000000002</v>
      </c>
      <c r="R97" s="1529">
        <f>18.467-Q97-P97-O97</f>
        <v>9.9749999999999979</v>
      </c>
      <c r="S97" s="1529">
        <f>SUM(O97:R97)</f>
        <v>18.466999999999999</v>
      </c>
      <c r="T97" s="1529"/>
      <c r="U97" s="1529">
        <f>-6.684</f>
        <v>-6.6840000000000002</v>
      </c>
      <c r="V97" s="1529">
        <f>-4.43-U97</f>
        <v>2.2540000000000004</v>
      </c>
      <c r="W97" s="1529">
        <f>-7.034-V97-U97</f>
        <v>-2.6040000000000001</v>
      </c>
      <c r="X97" s="1529">
        <f>-13.794-W97-V97-U97</f>
        <v>-6.7600000000000025</v>
      </c>
      <c r="Y97" s="1529">
        <f>SUM(U97:X97)</f>
        <v>-13.794000000000002</v>
      </c>
      <c r="Z97" s="1529"/>
      <c r="AA97" s="1529">
        <v>6.6710000000000003</v>
      </c>
      <c r="AB97" s="1529">
        <f>3.421-AA97</f>
        <v>-3.2500000000000004</v>
      </c>
      <c r="AC97" s="1529">
        <f>-16.24-AB97-AA97</f>
        <v>-19.660999999999998</v>
      </c>
      <c r="AD97" s="1529">
        <f>-21.581-AC97-AB97-AA97</f>
        <v>-5.3410000000000011</v>
      </c>
      <c r="AE97" s="1529">
        <f>SUM(AA97:AD97)</f>
        <v>-21.581</v>
      </c>
      <c r="AF97" s="1529"/>
      <c r="AG97" s="1529">
        <f>-8.191</f>
        <v>-8.1910000000000007</v>
      </c>
      <c r="AH97" s="1529">
        <f>-9.392-AG97</f>
        <v>-1.2009999999999987</v>
      </c>
      <c r="AI97" s="1529">
        <f>-22.261-AH97-AG97</f>
        <v>-12.869000000000002</v>
      </c>
      <c r="AJ97" s="1529">
        <f>-25.693-AI97-AH97-AG97</f>
        <v>-3.4320000000000004</v>
      </c>
      <c r="AK97" s="1529">
        <f>SUM(AG97:AJ97)</f>
        <v>-25.693000000000005</v>
      </c>
      <c r="AL97" s="1529"/>
      <c r="AM97" s="1529">
        <v>-8.8970000000000002</v>
      </c>
      <c r="AN97" s="1529">
        <f>7.496-AM97</f>
        <v>16.393000000000001</v>
      </c>
      <c r="AO97" s="1529">
        <f>-0.757-AN97-AM97</f>
        <v>-8.2530000000000019</v>
      </c>
      <c r="AP97" s="1529">
        <f>-8.108-AO97-AN97-AM97</f>
        <v>-7.3509999999999973</v>
      </c>
      <c r="AQ97" s="1529">
        <f>SUM(AM97:AP97)</f>
        <v>-8.1079999999999988</v>
      </c>
      <c r="AR97" s="1529"/>
      <c r="AS97" s="1529">
        <f>25.712</f>
        <v>25.712</v>
      </c>
      <c r="AT97" s="1529">
        <f>42.205-AS97</f>
        <v>16.492999999999999</v>
      </c>
      <c r="AU97" s="1529">
        <f>17.623-AT97-AS97</f>
        <v>-24.581999999999997</v>
      </c>
      <c r="AV97" s="1529">
        <f>10.106-AU97-AT97-AS97</f>
        <v>-7.517000000000003</v>
      </c>
      <c r="AW97" s="1529">
        <f>AS97+AT97+AU97+AV97</f>
        <v>10.105999999999998</v>
      </c>
      <c r="AX97" s="1529"/>
      <c r="AY97" s="1529">
        <v>-3.399</v>
      </c>
      <c r="AZ97" s="1529">
        <f>-40.931-AY97</f>
        <v>-37.531999999999996</v>
      </c>
      <c r="BA97" s="1529">
        <f>-67.261-AZ97-AY97</f>
        <v>-26.33</v>
      </c>
      <c r="BB97" s="1529">
        <f>-98-BA97-AZ97-AY97</f>
        <v>-30.739000000000004</v>
      </c>
      <c r="BC97" s="1527">
        <f>SUM(AY97:BB97)</f>
        <v>-98</v>
      </c>
      <c r="BD97" s="1529"/>
      <c r="BE97" s="1529">
        <v>20.998000000000001</v>
      </c>
      <c r="BF97" s="1529">
        <f>-10-BE97</f>
        <v>-30.998000000000001</v>
      </c>
      <c r="BG97" s="1529">
        <f>-73-BF97-BE97</f>
        <v>-63</v>
      </c>
      <c r="BH97" s="1529">
        <f>6-BG97-BF97-BE97</f>
        <v>79</v>
      </c>
      <c r="BI97" s="1529">
        <f>SUM(BE97:BH97)</f>
        <v>6</v>
      </c>
      <c r="BJ97" s="1529"/>
      <c r="BK97" s="1529">
        <v>29</v>
      </c>
      <c r="BL97" s="1529">
        <f>43-BK97</f>
        <v>14</v>
      </c>
      <c r="BM97" s="1529">
        <f>112-BL97-BK97</f>
        <v>69</v>
      </c>
      <c r="BN97" s="1529">
        <f>178-BM97-BL97-BK97</f>
        <v>66</v>
      </c>
      <c r="BO97" s="1529">
        <f>SUM(BK97:BN97)</f>
        <v>178</v>
      </c>
      <c r="BP97" s="1529"/>
      <c r="BQ97" s="1529">
        <v>-98</v>
      </c>
      <c r="BR97" s="1529">
        <f>BR43-BQ43</f>
        <v>136</v>
      </c>
      <c r="BS97" s="1529">
        <f>BS43-BR43</f>
        <v>120</v>
      </c>
      <c r="BT97" s="1529">
        <f>BT43-BS43</f>
        <v>-84</v>
      </c>
      <c r="BU97" s="1529">
        <f>SUM(BQ97:BT97)</f>
        <v>74</v>
      </c>
      <c r="BV97" s="1529"/>
      <c r="BW97" s="1529">
        <v>-2</v>
      </c>
      <c r="BX97" s="1529">
        <f>BX43-BW43</f>
        <v>108</v>
      </c>
      <c r="BY97" s="1529">
        <f>BY43-BX43</f>
        <v>54</v>
      </c>
      <c r="BZ97" s="1529">
        <f>BZ43-BY43</f>
        <v>-87</v>
      </c>
      <c r="CA97" s="1529">
        <f>SUM(BW97:BZ97)</f>
        <v>73</v>
      </c>
      <c r="CB97" s="1529"/>
      <c r="CC97" s="1529">
        <f>CC43</f>
        <v>-10</v>
      </c>
      <c r="CD97" s="1529">
        <f>CD43-CC43</f>
        <v>-72</v>
      </c>
      <c r="CE97" s="1529">
        <f>CE43-CD43</f>
        <v>39</v>
      </c>
      <c r="CF97" s="1529">
        <f>CF43-CE43</f>
        <v>99</v>
      </c>
      <c r="CG97" s="1529">
        <f>SUM(CC97:CF97)</f>
        <v>56</v>
      </c>
      <c r="CH97" s="1529"/>
      <c r="CI97" s="1529">
        <f>CI43</f>
        <v>2</v>
      </c>
      <c r="CJ97" s="1529">
        <f>CJ43-CI43</f>
        <v>46</v>
      </c>
      <c r="CK97" s="1529">
        <f>CK43-CJ43</f>
        <v>8</v>
      </c>
      <c r="CL97" s="1529">
        <f>CL43-CK43</f>
        <v>93</v>
      </c>
      <c r="CM97" s="1536">
        <f>SUM(CI97:CL97)</f>
        <v>149</v>
      </c>
      <c r="CN97" s="1529"/>
      <c r="CO97" s="1529">
        <f>CO43</f>
        <v>24</v>
      </c>
      <c r="CP97" s="1529">
        <f>CP43-CO43</f>
        <v>219</v>
      </c>
      <c r="CQ97" s="1529">
        <f>CQ43-CP43</f>
        <v>161</v>
      </c>
      <c r="CR97" s="1529">
        <f>CR43-CQ43</f>
        <v>33</v>
      </c>
      <c r="CS97" s="1536">
        <f>SUM(CO97:CR97)</f>
        <v>437</v>
      </c>
      <c r="CT97" s="1529"/>
      <c r="CU97" s="1529">
        <f>CU43</f>
        <v>-274</v>
      </c>
      <c r="CV97" s="1529">
        <f>CV43-CU43</f>
        <v>-490</v>
      </c>
      <c r="CW97" s="1529">
        <f>CW43-CV43</f>
        <v>-148</v>
      </c>
      <c r="CX97" s="1529">
        <f>CX43-CW43</f>
        <v>411</v>
      </c>
      <c r="CY97" s="1536">
        <f>SUM(CU97:CX97)</f>
        <v>-501</v>
      </c>
      <c r="CZ97" s="1529"/>
      <c r="DA97" s="1529">
        <f>DA43</f>
        <v>103</v>
      </c>
      <c r="DB97" s="1529">
        <f>DB43-DA43</f>
        <v>178</v>
      </c>
      <c r="DC97" s="1529">
        <f>DC43-DB43</f>
        <v>-181</v>
      </c>
      <c r="DD97" s="1529">
        <f>DD43-DC43</f>
        <v>-207</v>
      </c>
      <c r="DE97" s="1536">
        <f>SUM(DA97:DD97)</f>
        <v>-107</v>
      </c>
      <c r="DF97" s="1529"/>
      <c r="DG97" s="1529">
        <f>DG43</f>
        <v>243</v>
      </c>
      <c r="DH97" s="1529">
        <f>DH43-DG43</f>
        <v>108</v>
      </c>
      <c r="DI97" s="1529">
        <f>DI43-DH43</f>
        <v>167</v>
      </c>
      <c r="DJ97" s="1529">
        <f>DJ43-DI43</f>
        <v>82</v>
      </c>
      <c r="DK97" s="1536">
        <f>SUM(DG97:DJ97)</f>
        <v>600</v>
      </c>
      <c r="DL97" s="1529"/>
      <c r="DM97" s="1529">
        <f>DM43</f>
        <v>112</v>
      </c>
      <c r="DN97" s="1529">
        <f>DN43-DM43</f>
        <v>-487</v>
      </c>
      <c r="DO97" s="1529">
        <f>DO43-DN43</f>
        <v>194</v>
      </c>
      <c r="DP97" s="1529">
        <f>DP43-DO43</f>
        <v>-290</v>
      </c>
      <c r="DQ97" s="1536">
        <f>SUM(DM97:DP97)</f>
        <v>-471</v>
      </c>
      <c r="DR97" s="1529"/>
      <c r="DS97" s="1529">
        <f>DS43</f>
        <v>71</v>
      </c>
      <c r="DT97" s="1529">
        <f>DT43-DS43</f>
        <v>47</v>
      </c>
      <c r="DU97" s="1529">
        <f>DU43-DT43</f>
        <v>-31</v>
      </c>
      <c r="DV97" s="1529">
        <f>DV43-DU43</f>
        <v>-197</v>
      </c>
      <c r="DW97" s="1536">
        <f>SUM(DS97:DV97)</f>
        <v>-110</v>
      </c>
      <c r="DX97" s="1529"/>
      <c r="DY97" s="1529">
        <f>DY43</f>
        <v>-81</v>
      </c>
      <c r="DZ97" s="1529">
        <f>DZ43-DY43</f>
        <v>80</v>
      </c>
      <c r="EA97" s="1529">
        <f>EA43-DZ43</f>
        <v>-51</v>
      </c>
      <c r="EB97" s="1529">
        <f>EB43-EA43</f>
        <v>-106</v>
      </c>
      <c r="EC97" s="1536">
        <f>SUM(DY97:EB97)</f>
        <v>-158</v>
      </c>
      <c r="ED97" s="1529"/>
      <c r="EE97" s="1529">
        <f>EE43</f>
        <v>-138</v>
      </c>
      <c r="EF97" s="1529">
        <f>EF43-EE43</f>
        <v>-425</v>
      </c>
      <c r="EG97" s="1529">
        <f>EG43-EF43</f>
        <v>-417</v>
      </c>
      <c r="EH97" s="1529">
        <f>EH43-EG43</f>
        <v>-212</v>
      </c>
      <c r="EI97" s="1536">
        <f>SUM(EE97:EH97)</f>
        <v>-1192</v>
      </c>
      <c r="EJ97" s="1529"/>
      <c r="EK97" s="1529">
        <f>EK43</f>
        <v>-92</v>
      </c>
      <c r="EL97" s="1529">
        <f>EL43-EK43</f>
        <v>-206</v>
      </c>
      <c r="EM97" s="1529">
        <f>EM43-EL43</f>
        <v>49</v>
      </c>
      <c r="EN97" s="1529">
        <f>EN43-EM43</f>
        <v>134</v>
      </c>
      <c r="EO97" s="1536">
        <f>SUM(EK97:EN97)</f>
        <v>-115</v>
      </c>
      <c r="EP97" s="1529"/>
      <c r="EQ97" s="1529">
        <f>EQ43</f>
        <v>78</v>
      </c>
      <c r="ER97" s="1529">
        <f>ER43-EQ43</f>
        <v>-418</v>
      </c>
      <c r="ES97" s="1529">
        <f>ES43-ER43</f>
        <v>125</v>
      </c>
      <c r="ET97" s="1529">
        <f>ET43-ES43</f>
        <v>129</v>
      </c>
      <c r="EU97" s="1536">
        <f>SUM(EQ97:ET97)</f>
        <v>-86</v>
      </c>
      <c r="EV97" s="1529"/>
      <c r="EW97" s="1529">
        <f>EW43</f>
        <v>230</v>
      </c>
      <c r="EX97" s="1529">
        <f>EX43-EW43</f>
        <v>-89</v>
      </c>
      <c r="EY97" s="1529">
        <f>EY43-EX43</f>
        <v>144</v>
      </c>
      <c r="EZ97" s="1529">
        <f>EZ43-EY43</f>
        <v>0</v>
      </c>
      <c r="FA97" s="1536">
        <f>SUM(EW97:EZ97)</f>
        <v>285</v>
      </c>
      <c r="FB97" s="1529"/>
      <c r="FC97" s="1529">
        <f>FC43</f>
        <v>0</v>
      </c>
      <c r="FD97" s="1529">
        <f>FD43-FC43</f>
        <v>0</v>
      </c>
      <c r="FE97" s="1529">
        <f>FE43-FD43</f>
        <v>0</v>
      </c>
      <c r="FF97" s="1529">
        <f>FF43-FE43</f>
        <v>0</v>
      </c>
      <c r="FG97" s="1536">
        <f>SUM(FC97:FF97)</f>
        <v>0</v>
      </c>
      <c r="FH97" s="1529"/>
      <c r="FI97" s="1529">
        <f>FI43</f>
        <v>0</v>
      </c>
      <c r="FJ97" s="1529">
        <f>FJ43-FI43</f>
        <v>0</v>
      </c>
      <c r="FK97" s="1529">
        <f>FK43-FJ43</f>
        <v>0</v>
      </c>
      <c r="FL97" s="1529">
        <f>FL43-FK43</f>
        <v>0</v>
      </c>
      <c r="FM97" s="1536">
        <f>SUM(FI97:FL97)</f>
        <v>0</v>
      </c>
      <c r="FN97" s="1524"/>
      <c r="FO97" s="1524"/>
      <c r="FP97" s="1524"/>
      <c r="FQ97" s="1524"/>
      <c r="FR97" s="1524"/>
      <c r="FS97"/>
      <c r="FT97"/>
      <c r="FU97"/>
      <c r="FV97"/>
      <c r="FW97"/>
      <c r="FX97"/>
      <c r="FY97" s="1524"/>
      <c r="FZ97" s="1522"/>
      <c r="GA97" s="1522"/>
      <c r="GB97" s="1522"/>
      <c r="GC97" s="1522"/>
      <c r="GD97" s="1522"/>
      <c r="GE97" s="1522"/>
      <c r="GF97" s="1522"/>
      <c r="GG97" s="1522"/>
      <c r="GH97" s="1522"/>
      <c r="GI97" s="1522"/>
      <c r="GJ97" s="1522"/>
      <c r="GK97" s="1522"/>
      <c r="GL97" s="1522"/>
      <c r="GM97" s="1522"/>
      <c r="GN97" s="1522"/>
      <c r="GO97" s="1522"/>
      <c r="GP97" s="1522"/>
      <c r="GQ97" s="1522"/>
      <c r="GR97" s="1522"/>
      <c r="GS97" s="1522"/>
      <c r="GT97" s="1522"/>
      <c r="GU97" s="1522"/>
      <c r="GV97" s="1522"/>
      <c r="GW97" s="1522"/>
      <c r="GX97" s="1522"/>
      <c r="GY97" s="1522"/>
      <c r="GZ97" s="1522"/>
      <c r="HA97" s="1522"/>
      <c r="HB97" s="1522"/>
      <c r="HC97" s="1522"/>
      <c r="HD97" s="1522"/>
      <c r="HE97" s="1522"/>
      <c r="HF97" s="1522"/>
      <c r="HG97" s="1522"/>
      <c r="HH97" s="1522"/>
      <c r="HI97" s="1522"/>
      <c r="HJ97" s="1522"/>
      <c r="HK97" s="1522"/>
      <c r="HL97" s="1522"/>
      <c r="HM97" s="1522"/>
      <c r="HN97" s="1522"/>
      <c r="HO97" s="1522"/>
      <c r="HP97" s="1522"/>
      <c r="HQ97" s="1522"/>
      <c r="HR97" s="1522"/>
      <c r="HS97" s="1522"/>
      <c r="HT97" s="1522"/>
      <c r="HU97" s="1522"/>
      <c r="HV97" s="1522"/>
      <c r="HW97" s="1522"/>
      <c r="HX97" s="1522"/>
      <c r="HY97" s="1522"/>
      <c r="HZ97" s="1522"/>
      <c r="IA97" s="1522"/>
      <c r="IB97" s="1522"/>
      <c r="IC97" s="1522"/>
      <c r="ID97" s="1522"/>
      <c r="IE97" s="1522"/>
      <c r="IF97" s="1522"/>
      <c r="IG97" s="1522"/>
      <c r="IH97" s="1522"/>
      <c r="II97" s="1522"/>
      <c r="IJ97" s="1522"/>
      <c r="IK97" s="1522"/>
      <c r="IL97" s="1522"/>
      <c r="IM97" s="1522"/>
      <c r="IN97" s="1522"/>
      <c r="IO97" s="1522"/>
      <c r="IP97" s="1522"/>
      <c r="IQ97" s="1522"/>
      <c r="IR97" s="1522"/>
      <c r="IS97" s="1522"/>
      <c r="IT97" s="1522"/>
      <c r="IU97" s="1522"/>
      <c r="IV97" s="1522"/>
      <c r="IW97" s="1522"/>
      <c r="IX97" s="1522"/>
      <c r="IY97" s="1522"/>
      <c r="IZ97" s="1522"/>
      <c r="JA97" s="1522"/>
      <c r="JB97" s="1522"/>
      <c r="JC97" s="1522"/>
      <c r="JD97" s="1522"/>
      <c r="JE97" s="1522"/>
      <c r="JF97" s="1522"/>
      <c r="JG97" s="1522"/>
      <c r="JH97" s="1522"/>
      <c r="JI97" s="1522"/>
      <c r="JJ97" s="1522"/>
      <c r="JK97" s="1522"/>
      <c r="JL97" s="1522"/>
      <c r="JM97" s="1522"/>
      <c r="JN97" s="1522"/>
    </row>
    <row r="98" spans="1:274" s="1523" customFormat="1" ht="5.25" customHeight="1" x14ac:dyDescent="0.2">
      <c r="A98" s="1565"/>
      <c r="B98" s="1529"/>
      <c r="C98" s="1565"/>
      <c r="D98" s="1565"/>
      <c r="E98" s="1565"/>
      <c r="F98" s="1565"/>
      <c r="G98" s="1565"/>
      <c r="H98" s="1565"/>
      <c r="I98" s="1565"/>
      <c r="J98" s="1565"/>
      <c r="K98" s="1565"/>
      <c r="L98" s="1565"/>
      <c r="M98" s="1565"/>
      <c r="N98" s="1565"/>
      <c r="O98" s="1565"/>
      <c r="P98" s="1565"/>
      <c r="Q98" s="1565"/>
      <c r="R98" s="1565"/>
      <c r="S98" s="1565"/>
      <c r="T98" s="1565"/>
      <c r="U98" s="1565"/>
      <c r="V98" s="1565"/>
      <c r="W98" s="1565"/>
      <c r="X98" s="1565"/>
      <c r="Y98" s="1565"/>
      <c r="Z98" s="1565"/>
      <c r="AA98" s="1565"/>
      <c r="AB98" s="1565"/>
      <c r="AC98" s="1565"/>
      <c r="AD98" s="1565"/>
      <c r="AE98" s="1565"/>
      <c r="AF98" s="1565"/>
      <c r="AG98" s="1565"/>
      <c r="AH98" s="1565"/>
      <c r="AI98" s="1565"/>
      <c r="AJ98" s="1565"/>
      <c r="AK98" s="1565"/>
      <c r="AL98" s="1565"/>
      <c r="AM98" s="1565"/>
      <c r="AN98" s="1565"/>
      <c r="AO98" s="1565"/>
      <c r="AP98" s="1565"/>
      <c r="AQ98" s="1565"/>
      <c r="AR98" s="1565"/>
      <c r="AS98" s="1565"/>
      <c r="AT98" s="1565"/>
      <c r="AU98" s="1565"/>
      <c r="AV98" s="1565"/>
      <c r="AW98" s="1565"/>
      <c r="AX98" s="1565"/>
      <c r="AY98" s="1565"/>
      <c r="AZ98" s="1565"/>
      <c r="BA98" s="1565"/>
      <c r="BB98" s="1565"/>
      <c r="BC98" s="1565"/>
      <c r="BD98" s="1565"/>
      <c r="BE98" s="1565"/>
      <c r="BF98" s="1565"/>
      <c r="BG98" s="1565"/>
      <c r="BH98" s="1565"/>
      <c r="BI98" s="1565"/>
      <c r="BJ98" s="1565"/>
      <c r="BK98" s="1565"/>
      <c r="BL98" s="1565"/>
      <c r="BM98" s="1565"/>
      <c r="BN98" s="1565"/>
      <c r="BO98" s="1565"/>
      <c r="BP98" s="1565"/>
      <c r="BQ98" s="1565"/>
      <c r="BR98" s="1565"/>
      <c r="BS98" s="1565"/>
      <c r="BT98" s="1565"/>
      <c r="BU98" s="1565"/>
      <c r="BV98" s="1565"/>
      <c r="BW98" s="1565"/>
      <c r="BX98" s="1565"/>
      <c r="BY98" s="1565"/>
      <c r="BZ98" s="1565"/>
      <c r="CA98" s="1565"/>
      <c r="CB98" s="1565"/>
      <c r="CC98" s="1565"/>
      <c r="CD98" s="1565"/>
      <c r="CE98" s="1565"/>
      <c r="CF98" s="1565"/>
      <c r="CG98" s="1565"/>
      <c r="CH98" s="1565"/>
      <c r="CI98" s="1565"/>
      <c r="CJ98" s="1565"/>
      <c r="CK98" s="1565"/>
      <c r="CL98" s="1565"/>
      <c r="CM98" s="1566"/>
      <c r="CN98" s="1565"/>
      <c r="CO98" s="1565"/>
      <c r="CP98" s="1565"/>
      <c r="CQ98" s="1565"/>
      <c r="CR98" s="1565"/>
      <c r="CS98" s="1566"/>
      <c r="CT98" s="1565"/>
      <c r="CU98" s="1565"/>
      <c r="CV98" s="1565"/>
      <c r="CW98" s="1565"/>
      <c r="CX98" s="1565"/>
      <c r="CY98" s="1566"/>
      <c r="CZ98" s="1565"/>
      <c r="DA98" s="1565"/>
      <c r="DB98" s="1565"/>
      <c r="DC98" s="1565"/>
      <c r="DD98" s="1565"/>
      <c r="DE98" s="1566"/>
      <c r="DF98" s="1565"/>
      <c r="DG98" s="1565"/>
      <c r="DH98" s="1565"/>
      <c r="DI98" s="1565"/>
      <c r="DJ98" s="1565"/>
      <c r="DK98" s="1566"/>
      <c r="DL98" s="1565"/>
      <c r="DM98" s="1565"/>
      <c r="DN98" s="1565"/>
      <c r="DO98" s="1565"/>
      <c r="DP98" s="1565"/>
      <c r="DQ98" s="1566"/>
      <c r="DR98" s="1565"/>
      <c r="DS98" s="1565"/>
      <c r="DT98" s="1565"/>
      <c r="DU98" s="1565"/>
      <c r="DV98" s="1565"/>
      <c r="DW98" s="1566"/>
      <c r="DX98" s="1565"/>
      <c r="DY98" s="1565"/>
      <c r="DZ98" s="1565"/>
      <c r="EA98" s="1565"/>
      <c r="EB98" s="1565"/>
      <c r="EC98" s="1566"/>
      <c r="ED98" s="1565"/>
      <c r="EE98" s="1565"/>
      <c r="EF98" s="1565"/>
      <c r="EG98" s="1565"/>
      <c r="EH98" s="1565"/>
      <c r="EI98" s="1566"/>
      <c r="EJ98" s="1565"/>
      <c r="EK98" s="1565"/>
      <c r="EL98" s="1565"/>
      <c r="EM98" s="1565"/>
      <c r="EN98" s="1565"/>
      <c r="EO98" s="1566"/>
      <c r="EP98" s="1565"/>
      <c r="EQ98" s="1565"/>
      <c r="ER98" s="1565"/>
      <c r="ES98" s="1565"/>
      <c r="ET98" s="1565"/>
      <c r="EU98" s="1566"/>
      <c r="EV98" s="1565"/>
      <c r="EW98" s="1565"/>
      <c r="EX98" s="1565"/>
      <c r="EY98" s="1565"/>
      <c r="EZ98" s="1565"/>
      <c r="FA98" s="1566"/>
      <c r="FB98" s="1565"/>
      <c r="FC98" s="1565"/>
      <c r="FD98" s="1565"/>
      <c r="FE98" s="1565"/>
      <c r="FF98" s="1565"/>
      <c r="FG98" s="1566"/>
      <c r="FH98" s="1565"/>
      <c r="FI98" s="1565"/>
      <c r="FJ98" s="1565"/>
      <c r="FK98" s="1565"/>
      <c r="FL98" s="1565"/>
      <c r="FM98" s="1566"/>
      <c r="FN98" s="1567"/>
      <c r="FO98" s="1567"/>
      <c r="FP98" s="1567"/>
      <c r="FQ98" s="1567"/>
      <c r="FR98" s="1567"/>
      <c r="FS98"/>
      <c r="FT98"/>
      <c r="FU98"/>
      <c r="FV98"/>
      <c r="FW98"/>
      <c r="FX98"/>
      <c r="FY98" s="1567"/>
      <c r="FZ98" s="1522"/>
      <c r="GA98" s="1522"/>
      <c r="GB98" s="1522"/>
      <c r="GC98" s="1522"/>
      <c r="GD98" s="1522"/>
      <c r="GE98" s="1522"/>
      <c r="GF98" s="1522"/>
      <c r="GG98" s="1522"/>
      <c r="GH98" s="1522"/>
      <c r="GI98" s="1522"/>
      <c r="GJ98" s="1522"/>
      <c r="GK98" s="1522"/>
      <c r="GL98" s="1522"/>
      <c r="GM98" s="1522"/>
      <c r="GN98" s="1522"/>
      <c r="GO98" s="1522"/>
      <c r="GP98" s="1522"/>
      <c r="GQ98" s="1522"/>
      <c r="GR98" s="1522"/>
      <c r="GS98" s="1522"/>
      <c r="GT98" s="1522"/>
      <c r="GU98" s="1522"/>
      <c r="GV98" s="1522"/>
      <c r="GW98" s="1522"/>
      <c r="GX98" s="1522"/>
      <c r="GY98" s="1522"/>
      <c r="GZ98" s="1522"/>
      <c r="HA98" s="1522"/>
      <c r="HB98" s="1522"/>
      <c r="HC98" s="1522"/>
      <c r="HD98" s="1522"/>
      <c r="HE98" s="1522"/>
      <c r="HF98" s="1522"/>
      <c r="HG98" s="1522"/>
      <c r="HH98" s="1522"/>
      <c r="HI98" s="1522"/>
      <c r="HJ98" s="1522"/>
      <c r="HK98" s="1522"/>
      <c r="HL98" s="1522"/>
      <c r="HM98" s="1522"/>
      <c r="HN98" s="1522"/>
      <c r="HO98" s="1522"/>
      <c r="HP98" s="1522"/>
      <c r="HQ98" s="1522"/>
      <c r="HR98" s="1522"/>
      <c r="HS98" s="1522"/>
      <c r="HT98" s="1522"/>
      <c r="HU98" s="1522"/>
      <c r="HV98" s="1522"/>
      <c r="HW98" s="1522"/>
      <c r="HX98" s="1522"/>
      <c r="HY98" s="1522"/>
      <c r="HZ98" s="1522"/>
      <c r="IA98" s="1522"/>
      <c r="IB98" s="1522"/>
      <c r="IC98" s="1522"/>
      <c r="ID98" s="1522"/>
      <c r="IE98" s="1522"/>
      <c r="IF98" s="1522"/>
      <c r="IG98" s="1522"/>
      <c r="IH98" s="1522"/>
      <c r="II98" s="1522"/>
      <c r="IJ98" s="1522"/>
      <c r="IK98" s="1522"/>
      <c r="IL98" s="1522"/>
      <c r="IM98" s="1522"/>
      <c r="IN98" s="1522"/>
      <c r="IO98" s="1522"/>
      <c r="IP98" s="1522"/>
      <c r="IQ98" s="1522"/>
      <c r="IR98" s="1522"/>
      <c r="IS98" s="1522"/>
      <c r="IT98" s="1522"/>
      <c r="IU98" s="1522"/>
      <c r="IV98" s="1522"/>
      <c r="IW98" s="1522"/>
      <c r="IX98" s="1522"/>
      <c r="IY98" s="1522"/>
      <c r="IZ98" s="1522"/>
      <c r="JA98" s="1522"/>
      <c r="JB98" s="1522"/>
      <c r="JC98" s="1522"/>
      <c r="JD98" s="1522"/>
      <c r="JE98" s="1522"/>
      <c r="JF98" s="1522"/>
      <c r="JG98" s="1522"/>
      <c r="JH98" s="1522"/>
      <c r="JI98" s="1522"/>
      <c r="JJ98" s="1522"/>
      <c r="JK98" s="1522"/>
      <c r="JL98" s="1522"/>
      <c r="JM98" s="1522"/>
      <c r="JN98" s="1522"/>
    </row>
    <row r="99" spans="1:274" s="1523" customFormat="1" ht="10.5" customHeight="1" x14ac:dyDescent="0.2">
      <c r="A99" s="1529" t="s">
        <v>258</v>
      </c>
      <c r="B99" s="1529"/>
      <c r="C99" s="1529">
        <f t="shared" ref="C99:M99" si="245">C97+C95+C85+C76</f>
        <v>0</v>
      </c>
      <c r="D99" s="1529">
        <f t="shared" si="245"/>
        <v>0</v>
      </c>
      <c r="E99" s="1529">
        <f t="shared" si="245"/>
        <v>11.925000000000004</v>
      </c>
      <c r="F99" s="1529">
        <f t="shared" si="245"/>
        <v>25.033000000000008</v>
      </c>
      <c r="G99" s="1529">
        <f t="shared" si="245"/>
        <v>3.5549999999999997</v>
      </c>
      <c r="H99" s="1529">
        <f t="shared" si="245"/>
        <v>3.781000000000013</v>
      </c>
      <c r="I99" s="1529">
        <f t="shared" si="245"/>
        <v>-4.5000000000030127E-2</v>
      </c>
      <c r="J99" s="1529">
        <f t="shared" si="245"/>
        <v>56.632999999999996</v>
      </c>
      <c r="K99" s="1529">
        <f t="shared" si="245"/>
        <v>51.801999999999992</v>
      </c>
      <c r="L99" s="1529">
        <f t="shared" si="245"/>
        <v>131.27699999999999</v>
      </c>
      <c r="M99" s="1529">
        <f t="shared" si="245"/>
        <v>120.25</v>
      </c>
      <c r="N99" s="1529"/>
      <c r="O99" s="1529">
        <f>O97+O95+O85+O76</f>
        <v>57.737999999999971</v>
      </c>
      <c r="P99" s="1529">
        <f>P97+P95+P85+P76</f>
        <v>-241.45099999999996</v>
      </c>
      <c r="Q99" s="1529">
        <f>Q97+Q95+Q85+Q76</f>
        <v>55.819000000000102</v>
      </c>
      <c r="R99" s="1529">
        <f>R97+R95+R85+R76</f>
        <v>203.24199999999996</v>
      </c>
      <c r="S99" s="1529">
        <f>SUM(O99:R99)</f>
        <v>75.34800000000007</v>
      </c>
      <c r="T99" s="1540"/>
      <c r="U99" s="1529">
        <f>U97+U95+U85+U76</f>
        <v>257.07600000000002</v>
      </c>
      <c r="V99" s="1529">
        <f>V97+V95+V85+V76</f>
        <v>545.43600000000004</v>
      </c>
      <c r="W99" s="1529">
        <f>W97+W95+W85+W76</f>
        <v>1030.7090000000001</v>
      </c>
      <c r="X99" s="1529">
        <f>X97+X95+X85+X76</f>
        <v>-1597.6370000000002</v>
      </c>
      <c r="Y99" s="1529">
        <f>SUM(U99:X99)</f>
        <v>235.58399999999983</v>
      </c>
      <c r="Z99" s="1540"/>
      <c r="AA99" s="1529">
        <f>AA97+AA95+AA85+AA76</f>
        <v>27.522999999999911</v>
      </c>
      <c r="AB99" s="1529">
        <f>AB97+AB95+AB85+AB76</f>
        <v>-183.88100000000003</v>
      </c>
      <c r="AC99" s="1529">
        <f>AC97+AC95+AC85+AC76</f>
        <v>176.7820000000001</v>
      </c>
      <c r="AD99" s="1529">
        <f>AD97+AD95+AD85+AD76</f>
        <v>153.99600000000015</v>
      </c>
      <c r="AE99" s="1529">
        <f>SUM(AA99:AD99)</f>
        <v>174.42000000000013</v>
      </c>
      <c r="AF99" s="1540"/>
      <c r="AG99" s="1529">
        <f>AG97+AG95+AG85+AG76</f>
        <v>116.54999999999995</v>
      </c>
      <c r="AH99" s="1529">
        <f>AH97+AH95+AH85+AH76</f>
        <v>-12.451000000000136</v>
      </c>
      <c r="AI99" s="1529">
        <f>AI97+AI95+AI85+AI76</f>
        <v>-16.764999999999873</v>
      </c>
      <c r="AJ99" s="1529">
        <f>AJ97+AJ95+AJ85+AJ76</f>
        <v>296.185</v>
      </c>
      <c r="AK99" s="1529">
        <f>SUM(AG99:AJ99)</f>
        <v>383.51899999999995</v>
      </c>
      <c r="AL99" s="1540"/>
      <c r="AM99" s="1529">
        <f>AM97+AM95+AM85+AM76</f>
        <v>354.40199999999999</v>
      </c>
      <c r="AN99" s="1529">
        <f>AN97+AN95+AN85+AN76</f>
        <v>-279.334</v>
      </c>
      <c r="AO99" s="1529">
        <f>AO97+AO95+AO85+AO76</f>
        <v>155.43400000000008</v>
      </c>
      <c r="AP99" s="1529">
        <f>AP97+AP95+AP85+AP76</f>
        <v>281.53160000000037</v>
      </c>
      <c r="AQ99" s="1529">
        <f>SUM(AM99:AP99)</f>
        <v>512.03360000000043</v>
      </c>
      <c r="AR99" s="1540"/>
      <c r="AS99" s="1529">
        <f>AS97+AS95+AS85+AS76</f>
        <v>-67.535399999999981</v>
      </c>
      <c r="AT99" s="1529">
        <f>AT97+AT95+AT85+AT76</f>
        <v>-401.03059999999994</v>
      </c>
      <c r="AU99" s="1529">
        <f>AU97+AU95+AU85+AU76</f>
        <v>950.55600000000004</v>
      </c>
      <c r="AV99" s="1529">
        <f>AV97+AV95+AV85+AV76</f>
        <v>5161.5010000000002</v>
      </c>
      <c r="AW99" s="1529">
        <f>AS99+AT99+AU99+AV99</f>
        <v>5643.491</v>
      </c>
      <c r="AX99" s="1540"/>
      <c r="AY99" s="1529">
        <f>AY97+AY95+AY85+AY76</f>
        <v>-2592.1089999999995</v>
      </c>
      <c r="AZ99" s="1529">
        <f>AZ97+AZ95+AZ85+AZ76</f>
        <v>-671.40700000000015</v>
      </c>
      <c r="BA99" s="1529">
        <f>BA97+BA95+BA85+BA76</f>
        <v>-36.348000000000184</v>
      </c>
      <c r="BB99" s="1529">
        <f>BB97+BB95+BB85+BB76</f>
        <v>319.86400000000049</v>
      </c>
      <c r="BC99" s="1527">
        <f>SUM(AY99:BB99)</f>
        <v>-2979.9999999999991</v>
      </c>
      <c r="BD99" s="1540"/>
      <c r="BE99" s="1529">
        <f>BE97+BE95+BE85+BE76</f>
        <v>-533.58700000000022</v>
      </c>
      <c r="BF99" s="1529">
        <f>BF97+BF95+BF85+BF76</f>
        <v>-1447.413</v>
      </c>
      <c r="BG99" s="1529">
        <f>BG97+BG95+BG85+BG76</f>
        <v>991.99999999999977</v>
      </c>
      <c r="BH99" s="1529">
        <f>BH97+BH95+BH85+BH76</f>
        <v>-365</v>
      </c>
      <c r="BI99" s="1529">
        <f>SUM(BE99:BH99)</f>
        <v>-1354.0000000000005</v>
      </c>
      <c r="BJ99" s="1540"/>
      <c r="BK99" s="1529">
        <f>BK97+BK95+BK85+BK76</f>
        <v>780</v>
      </c>
      <c r="BL99" s="1529">
        <f>BL97+BL95+BL85+BL76</f>
        <v>-862</v>
      </c>
      <c r="BM99" s="1529">
        <f>BM97+BM95+BM85+BM76</f>
        <v>1075</v>
      </c>
      <c r="BN99" s="1529">
        <f>BN97+BN95+BN85+BN76</f>
        <v>649</v>
      </c>
      <c r="BO99" s="1529">
        <f>BO97+BO95+BO85+BO76</f>
        <v>1642</v>
      </c>
      <c r="BP99" s="1540"/>
      <c r="BQ99" s="1529">
        <f>BQ97+BQ95+BQ85+BQ76</f>
        <v>-497</v>
      </c>
      <c r="BR99" s="1529">
        <f>BR97+BR95+BR85+BR76</f>
        <v>-67</v>
      </c>
      <c r="BS99" s="1529">
        <f>BS97+BS95+BS85+BS76</f>
        <v>19</v>
      </c>
      <c r="BT99" s="1529">
        <f>BT97+BT95+BT85+BT76</f>
        <v>-54</v>
      </c>
      <c r="BU99" s="1529">
        <f>BU97+BU95+BU85+BU76</f>
        <v>-599</v>
      </c>
      <c r="BV99" s="1540"/>
      <c r="BW99" s="1529">
        <f>BW97+BW95+BW85+BW76</f>
        <v>-789</v>
      </c>
      <c r="BX99" s="1529">
        <f>BX97+BX95+BX85+BX76</f>
        <v>2556</v>
      </c>
      <c r="BY99" s="1529">
        <f>BY97+BY95+BY85+BY76</f>
        <v>1316</v>
      </c>
      <c r="BZ99" s="1529">
        <f>BZ97+BZ95+BZ85+BZ76</f>
        <v>-3327.0774999999999</v>
      </c>
      <c r="CA99" s="1529">
        <f>CA97+CA95+CA85+CA76</f>
        <v>-244.07749999999987</v>
      </c>
      <c r="CB99" s="1540"/>
      <c r="CC99" s="1529">
        <f>CC97+CC95+CC85+CC76</f>
        <v>-104</v>
      </c>
      <c r="CD99" s="1529">
        <f>CD97+CD95+CD85+CD76</f>
        <v>-953</v>
      </c>
      <c r="CE99" s="1529">
        <f>CE97+CE95+CE85+CE76</f>
        <v>4084</v>
      </c>
      <c r="CF99" s="1529">
        <f>CF97+CF95+CF85+CF76</f>
        <v>-262</v>
      </c>
      <c r="CG99" s="1529">
        <f>CG97+CG95+CG85+CG76</f>
        <v>2765</v>
      </c>
      <c r="CH99" s="1540"/>
      <c r="CI99" s="1529">
        <f>CI97+CI95+CI85+CI76</f>
        <v>-1211</v>
      </c>
      <c r="CJ99" s="1529">
        <f>CJ97+CJ95+CJ85+CJ76</f>
        <v>-764</v>
      </c>
      <c r="CK99" s="1529">
        <f>CK97+CK95+CK85+CK76</f>
        <v>566</v>
      </c>
      <c r="CL99" s="1529">
        <f>CL97+CL95+CL85+CL76</f>
        <v>968</v>
      </c>
      <c r="CM99" s="1536">
        <f>CM97+CM95+CM85+CM76</f>
        <v>-441</v>
      </c>
      <c r="CN99" s="1540"/>
      <c r="CO99" s="1529">
        <f>CO97+CO95+CO85+CO76</f>
        <v>237</v>
      </c>
      <c r="CP99" s="1529">
        <f>CP97+CP95+CP85+CP76</f>
        <v>278</v>
      </c>
      <c r="CQ99" s="1529">
        <f>CQ97+CQ95+CQ85+CQ76</f>
        <v>1676</v>
      </c>
      <c r="CR99" s="1529">
        <f>CR97+CR95+CR85+CR76</f>
        <v>-147</v>
      </c>
      <c r="CS99" s="1536">
        <f>CS97+CS95+CS85+CS76</f>
        <v>2044</v>
      </c>
      <c r="CT99" s="1540"/>
      <c r="CU99" s="1529">
        <f>CU97+CU95+CU85+CU76</f>
        <v>291</v>
      </c>
      <c r="CV99" s="1529">
        <f>CV97+CV95+CV85+CV76</f>
        <v>-1200</v>
      </c>
      <c r="CW99" s="1529">
        <f>CW97+CW95+CW85+CW76</f>
        <v>858</v>
      </c>
      <c r="CX99" s="1529">
        <f>CX97+CX95+CX85+CX76</f>
        <v>784</v>
      </c>
      <c r="CY99" s="1536">
        <f>CY97+CY95+CY85+CY76</f>
        <v>733</v>
      </c>
      <c r="CZ99" s="1540"/>
      <c r="DA99" s="1529">
        <f>DA97+DA95+DA85+DA76</f>
        <v>7103</v>
      </c>
      <c r="DB99" s="1529">
        <f>DB97+DB95+DB85+DB76</f>
        <v>-1179</v>
      </c>
      <c r="DC99" s="1529">
        <f>DC97+DC95+DC85+DC76</f>
        <v>-5588</v>
      </c>
      <c r="DD99" s="1529">
        <f>DD97+DD95+DD85+DD76</f>
        <v>583</v>
      </c>
      <c r="DE99" s="1536">
        <f>DE97+DE95+DE85+DE76</f>
        <v>919</v>
      </c>
      <c r="DF99" s="1540"/>
      <c r="DG99" s="1529">
        <f>DG97+DG95+DG85+DG76</f>
        <v>2104</v>
      </c>
      <c r="DH99" s="1529">
        <f>DH97+DH95+DH85+DH76</f>
        <v>-1598</v>
      </c>
      <c r="DI99" s="1529">
        <f>DI97+DI95+DI85+DI76</f>
        <v>1444</v>
      </c>
      <c r="DJ99" s="1529">
        <f>DJ97+DJ95+DJ85+DJ76</f>
        <v>4299</v>
      </c>
      <c r="DK99" s="1536">
        <f>DK97+DK95+DK85+DK76</f>
        <v>6249</v>
      </c>
      <c r="DL99" s="1540"/>
      <c r="DM99" s="1529">
        <f>DM97+DM95+DM85+DM76</f>
        <v>-3001</v>
      </c>
      <c r="DN99" s="1529">
        <f>DN97+DN95+DN85+DN76</f>
        <v>144</v>
      </c>
      <c r="DO99" s="1529">
        <f>DO97+DO95+DO85+DO76</f>
        <v>475</v>
      </c>
      <c r="DP99" s="1529">
        <f>DP97+DP95+DP85+DP76</f>
        <v>1174</v>
      </c>
      <c r="DQ99" s="1536">
        <f>DQ97+DQ95+DQ85+DQ76</f>
        <v>-1208</v>
      </c>
      <c r="DR99" s="1540"/>
      <c r="DS99" s="1529">
        <f>DS97+DS95+DS85+DS76</f>
        <v>712</v>
      </c>
      <c r="DT99" s="1529">
        <f>DT97+DT95+DT85+DT76</f>
        <v>245</v>
      </c>
      <c r="DU99" s="1529">
        <f>DU97+DU95+DU85+DU76</f>
        <v>189</v>
      </c>
      <c r="DV99" s="1529">
        <f>DV97+DV95+DV85+DV76</f>
        <v>-1488</v>
      </c>
      <c r="DW99" s="1536">
        <f>DW97+DW95+DW85+DW76</f>
        <v>-342</v>
      </c>
      <c r="DX99" s="1540"/>
      <c r="DY99" s="1529">
        <f>DY97+DY95+DY85+DY76</f>
        <v>5051</v>
      </c>
      <c r="DZ99" s="1529">
        <f>DZ97+DZ95+DZ85+DZ76</f>
        <v>-4770</v>
      </c>
      <c r="EA99" s="1529">
        <f>EA97+EA95+EA85+EA76</f>
        <v>1938</v>
      </c>
      <c r="EB99" s="1529">
        <f>EB97+EB95+EB85+EB76</f>
        <v>937</v>
      </c>
      <c r="EC99" s="1536">
        <f>EC97+EC95+EC85+EC76</f>
        <v>3156</v>
      </c>
      <c r="ED99" s="1540"/>
      <c r="EE99" s="1529">
        <f>EE97+EE95+EE85+EE76</f>
        <v>6410</v>
      </c>
      <c r="EF99" s="1529">
        <f>EF97+EF95+EF85+EF76</f>
        <v>-8026</v>
      </c>
      <c r="EG99" s="1529">
        <f>EG97+EG95+EG85+EG76</f>
        <v>-2452</v>
      </c>
      <c r="EH99" s="1529">
        <f>EH97+EH95+EH85+EH76</f>
        <v>8015</v>
      </c>
      <c r="EI99" s="1536">
        <f>EI97+EI95+EI85+EI76</f>
        <v>3947</v>
      </c>
      <c r="EJ99" s="1540"/>
      <c r="EK99" s="1529">
        <f>EK97+EK95+EK85+EK76</f>
        <v>-4977</v>
      </c>
      <c r="EL99" s="1529">
        <f>EL97+EL95+EL85+EL76</f>
        <v>672</v>
      </c>
      <c r="EM99" s="1529">
        <f>EM97+EM95+EM85+EM76</f>
        <v>-1828</v>
      </c>
      <c r="EN99" s="1529">
        <f>EN97+EN95+EN85+EN76</f>
        <v>4569</v>
      </c>
      <c r="EO99" s="1536">
        <f>EO97+EO95+EO85+EO76</f>
        <v>-1564</v>
      </c>
      <c r="EP99" s="1540"/>
      <c r="EQ99" s="1529">
        <f>EQ97+EQ95+EQ85+EQ76</f>
        <v>8462</v>
      </c>
      <c r="ER99" s="1529">
        <f>ER97+ER95+ER85+ER76</f>
        <v>-10022</v>
      </c>
      <c r="ES99" s="1529">
        <f>ES97+ES95+ES85+ES76</f>
        <v>1156</v>
      </c>
      <c r="ET99" s="1529">
        <f>ET97+ET95+ET85+ET76</f>
        <v>2036</v>
      </c>
      <c r="EU99" s="1536">
        <f>EU97+EU95+EU85+EU76</f>
        <v>1632</v>
      </c>
      <c r="EV99" s="1540"/>
      <c r="EW99" s="1529">
        <f>EW97+EW95+EW85+EW76</f>
        <v>-463</v>
      </c>
      <c r="EX99" s="1529">
        <f>EX97+EX95+EX85+EX76</f>
        <v>-11</v>
      </c>
      <c r="EY99" s="1529">
        <f>EY97+EY95+EY85+EY76</f>
        <v>-1823</v>
      </c>
      <c r="EZ99" s="1529">
        <f>EZ97+EZ95+EZ85+EZ76</f>
        <v>123.51752956216751</v>
      </c>
      <c r="FA99" s="1536">
        <f>FA97+FA95+FA85+FA76</f>
        <v>-2173.4824704378334</v>
      </c>
      <c r="FB99" s="1540"/>
      <c r="FC99" s="1529">
        <f>FC97+FC95+FC85+FC76</f>
        <v>781.03644626486312</v>
      </c>
      <c r="FD99" s="1529">
        <f>FD97+FD95+FD85+FD76</f>
        <v>-1766.8866805853654</v>
      </c>
      <c r="FE99" s="1529">
        <f>FE97+FE95+FE85+FE76</f>
        <v>1548.5781635755566</v>
      </c>
      <c r="FF99" s="1529">
        <f>FF97+FF95+FF85+FF76</f>
        <v>473.10691407420472</v>
      </c>
      <c r="FG99" s="1536">
        <f>FG97+FG95+FG85+FG76</f>
        <v>1035.8348433292613</v>
      </c>
      <c r="FH99" s="1540"/>
      <c r="FI99" s="1529">
        <f>FI97+FI95+FI85+FI76</f>
        <v>3891.2146669734516</v>
      </c>
      <c r="FJ99" s="1529">
        <f>FJ97+FJ95+FJ85+FJ76</f>
        <v>-4040.1319965181215</v>
      </c>
      <c r="FK99" s="1529">
        <f>FK97+FK95+FK85+FK76</f>
        <v>-168.7111372666559</v>
      </c>
      <c r="FL99" s="1529">
        <f>FL97+FL95+FL85+FL76</f>
        <v>3529.8069739859111</v>
      </c>
      <c r="FM99" s="1536">
        <f>FM97+FM95+FM85+FM76</f>
        <v>3212.1785071745908</v>
      </c>
      <c r="FN99" s="1539"/>
      <c r="FO99" s="1539"/>
      <c r="FP99" s="1524"/>
      <c r="FQ99" s="1524"/>
      <c r="FR99" s="1524"/>
      <c r="FS99"/>
      <c r="FT99"/>
      <c r="FU99"/>
      <c r="FV99"/>
      <c r="FW99"/>
      <c r="FX99"/>
      <c r="FY99" s="1524"/>
      <c r="FZ99" s="1522"/>
      <c r="GA99" s="1522"/>
      <c r="GB99" s="1522"/>
      <c r="GC99" s="1522"/>
      <c r="GD99" s="1522"/>
      <c r="GE99" s="1522"/>
      <c r="GF99" s="1522"/>
      <c r="GG99" s="1522"/>
      <c r="GH99" s="1522"/>
      <c r="GI99" s="1522"/>
      <c r="GJ99" s="1522"/>
      <c r="GK99" s="1522"/>
      <c r="GL99" s="1522"/>
      <c r="GM99" s="1522"/>
      <c r="GN99" s="1522"/>
      <c r="GO99" s="1522"/>
      <c r="GP99" s="1522"/>
      <c r="GQ99" s="1522"/>
      <c r="GR99" s="1522"/>
      <c r="GS99" s="1522"/>
      <c r="GT99" s="1522"/>
      <c r="GU99" s="1522"/>
      <c r="GV99" s="1522"/>
      <c r="GW99" s="1522"/>
      <c r="GX99" s="1522"/>
      <c r="GY99" s="1522"/>
      <c r="GZ99" s="1522"/>
      <c r="HA99" s="1522"/>
      <c r="HB99" s="1522"/>
      <c r="HC99" s="1522"/>
      <c r="HD99" s="1522"/>
      <c r="HE99" s="1522"/>
      <c r="HF99" s="1522"/>
      <c r="HG99" s="1522"/>
      <c r="HH99" s="1522"/>
      <c r="HI99" s="1522"/>
      <c r="HJ99" s="1522"/>
      <c r="HK99" s="1522"/>
      <c r="HL99" s="1522"/>
      <c r="HM99" s="1522"/>
      <c r="HN99" s="1522"/>
      <c r="HO99" s="1522"/>
      <c r="HP99" s="1522"/>
      <c r="HQ99" s="1522"/>
      <c r="HR99" s="1522"/>
      <c r="HS99" s="1522"/>
      <c r="HT99" s="1522"/>
      <c r="HU99" s="1522"/>
      <c r="HV99" s="1522"/>
      <c r="HW99" s="1522"/>
      <c r="HX99" s="1522"/>
      <c r="HY99" s="1522"/>
      <c r="HZ99" s="1522"/>
      <c r="IA99" s="1522"/>
      <c r="IB99" s="1522"/>
      <c r="IC99" s="1522"/>
      <c r="ID99" s="1522"/>
      <c r="IE99" s="1522"/>
      <c r="IF99" s="1522"/>
      <c r="IG99" s="1522"/>
      <c r="IH99" s="1522"/>
      <c r="II99" s="1522"/>
      <c r="IJ99" s="1522"/>
      <c r="IK99" s="1522"/>
      <c r="IL99" s="1522"/>
      <c r="IM99" s="1522"/>
      <c r="IN99" s="1522"/>
      <c r="IO99" s="1522"/>
      <c r="IP99" s="1522"/>
      <c r="IQ99" s="1522"/>
      <c r="IR99" s="1522"/>
      <c r="IS99" s="1522"/>
      <c r="IT99" s="1522"/>
      <c r="IU99" s="1522"/>
      <c r="IV99" s="1522"/>
      <c r="IW99" s="1522"/>
      <c r="IX99" s="1522"/>
      <c r="IY99" s="1522"/>
      <c r="IZ99" s="1522"/>
      <c r="JA99" s="1522"/>
      <c r="JB99" s="1522"/>
      <c r="JC99" s="1522"/>
      <c r="JD99" s="1522"/>
      <c r="JE99" s="1522"/>
      <c r="JF99" s="1522"/>
      <c r="JG99" s="1522"/>
      <c r="JH99" s="1522"/>
      <c r="JI99" s="1522"/>
      <c r="JJ99" s="1522"/>
      <c r="JK99" s="1522"/>
      <c r="JL99" s="1522"/>
      <c r="JM99" s="1522"/>
      <c r="JN99" s="1522"/>
    </row>
    <row r="100" spans="1:274" s="1523" customFormat="1" ht="5.25" customHeight="1" x14ac:dyDescent="0.2">
      <c r="A100" s="1565"/>
      <c r="B100" s="1529"/>
      <c r="C100" s="1565"/>
      <c r="D100" s="1565"/>
      <c r="E100" s="1565"/>
      <c r="F100" s="1565"/>
      <c r="G100" s="1565"/>
      <c r="H100" s="1565"/>
      <c r="I100" s="1565"/>
      <c r="J100" s="1565"/>
      <c r="K100" s="1565"/>
      <c r="L100" s="1565"/>
      <c r="M100" s="1565"/>
      <c r="N100" s="1565"/>
      <c r="O100" s="1565"/>
      <c r="P100" s="1565"/>
      <c r="Q100" s="1565"/>
      <c r="R100" s="1565"/>
      <c r="S100" s="1565"/>
      <c r="T100" s="1565"/>
      <c r="U100" s="1565"/>
      <c r="V100" s="1565"/>
      <c r="W100" s="1565"/>
      <c r="X100" s="1565"/>
      <c r="Y100" s="1565"/>
      <c r="Z100" s="1565"/>
      <c r="AA100" s="1565"/>
      <c r="AB100" s="1565"/>
      <c r="AC100" s="1565"/>
      <c r="AD100" s="1565"/>
      <c r="AE100" s="1565"/>
      <c r="AF100" s="1565"/>
      <c r="AG100" s="1565"/>
      <c r="AH100" s="1565"/>
      <c r="AI100" s="1565"/>
      <c r="AJ100" s="1565"/>
      <c r="AK100" s="1565"/>
      <c r="AL100" s="1565"/>
      <c r="AM100" s="1565"/>
      <c r="AN100" s="1565"/>
      <c r="AO100" s="1565"/>
      <c r="AP100" s="1565"/>
      <c r="AQ100" s="1565"/>
      <c r="AR100" s="1565"/>
      <c r="AS100" s="1565"/>
      <c r="AT100" s="1565"/>
      <c r="AU100" s="1565"/>
      <c r="AV100" s="1565"/>
      <c r="AW100" s="1565"/>
      <c r="AX100" s="1565"/>
      <c r="AY100" s="1565"/>
      <c r="AZ100" s="1565"/>
      <c r="BA100" s="1565"/>
      <c r="BB100" s="1565"/>
      <c r="BC100" s="1565"/>
      <c r="BD100" s="1565"/>
      <c r="BE100" s="1565"/>
      <c r="BF100" s="1565"/>
      <c r="BG100" s="1565"/>
      <c r="BH100" s="1565"/>
      <c r="BI100" s="1565"/>
      <c r="BJ100" s="1565"/>
      <c r="BK100" s="1565"/>
      <c r="BL100" s="1565"/>
      <c r="BM100" s="1565"/>
      <c r="BN100" s="1565"/>
      <c r="BO100" s="1565"/>
      <c r="BP100" s="1565"/>
      <c r="BQ100" s="1565"/>
      <c r="BR100" s="1565"/>
      <c r="BS100" s="1565"/>
      <c r="BT100" s="1565"/>
      <c r="BU100" s="1565"/>
      <c r="BV100" s="1565"/>
      <c r="BW100" s="1565"/>
      <c r="BX100" s="1565"/>
      <c r="BY100" s="1565"/>
      <c r="BZ100" s="1565"/>
      <c r="CA100" s="1565"/>
      <c r="CB100" s="1565"/>
      <c r="CC100" s="1565"/>
      <c r="CD100" s="1565"/>
      <c r="CE100" s="1565"/>
      <c r="CF100" s="1565"/>
      <c r="CG100" s="1565"/>
      <c r="CH100" s="1565"/>
      <c r="CI100" s="1565"/>
      <c r="CJ100" s="1565"/>
      <c r="CK100" s="1565"/>
      <c r="CL100" s="1565"/>
      <c r="CM100" s="1566"/>
      <c r="CN100" s="1565"/>
      <c r="CO100" s="1565"/>
      <c r="CP100" s="1565"/>
      <c r="CQ100" s="1565"/>
      <c r="CR100" s="1565"/>
      <c r="CS100" s="1566"/>
      <c r="CT100" s="1565"/>
      <c r="CU100" s="1565"/>
      <c r="CV100" s="1565"/>
      <c r="CW100" s="1565"/>
      <c r="CX100" s="1565"/>
      <c r="CY100" s="1566"/>
      <c r="CZ100" s="1565"/>
      <c r="DA100" s="1565"/>
      <c r="DB100" s="1565"/>
      <c r="DC100" s="1565"/>
      <c r="DD100" s="1565"/>
      <c r="DE100" s="1566"/>
      <c r="DF100" s="1565"/>
      <c r="DG100" s="1565"/>
      <c r="DH100" s="1565"/>
      <c r="DI100" s="1565"/>
      <c r="DJ100" s="1565"/>
      <c r="DK100" s="1566"/>
      <c r="DL100" s="1565"/>
      <c r="DM100" s="1565"/>
      <c r="DN100" s="1565"/>
      <c r="DO100" s="1565"/>
      <c r="DP100" s="1565"/>
      <c r="DQ100" s="1566"/>
      <c r="DR100" s="1565"/>
      <c r="DS100" s="1565"/>
      <c r="DT100" s="1565"/>
      <c r="DU100" s="1565"/>
      <c r="DV100" s="1565"/>
      <c r="DW100" s="1566"/>
      <c r="DX100" s="1565"/>
      <c r="DY100" s="1565"/>
      <c r="DZ100" s="1565"/>
      <c r="EA100" s="1565"/>
      <c r="EB100" s="1565"/>
      <c r="EC100" s="1566"/>
      <c r="ED100" s="1565"/>
      <c r="EE100" s="1565"/>
      <c r="EF100" s="1565"/>
      <c r="EG100" s="1565"/>
      <c r="EH100" s="1565"/>
      <c r="EI100" s="1566"/>
      <c r="EJ100" s="1565"/>
      <c r="EK100" s="1565"/>
      <c r="EL100" s="1565"/>
      <c r="EM100" s="1565"/>
      <c r="EN100" s="1565"/>
      <c r="EO100" s="1566"/>
      <c r="EP100" s="1565"/>
      <c r="EQ100" s="1565"/>
      <c r="ER100" s="1565"/>
      <c r="ES100" s="1565"/>
      <c r="ET100" s="1565"/>
      <c r="EU100" s="1566"/>
      <c r="EV100" s="1565"/>
      <c r="EW100" s="1565"/>
      <c r="EX100" s="1565"/>
      <c r="EY100" s="1565"/>
      <c r="EZ100" s="1565"/>
      <c r="FA100" s="1566"/>
      <c r="FB100" s="1565"/>
      <c r="FC100" s="1565"/>
      <c r="FD100" s="1565"/>
      <c r="FE100" s="1565"/>
      <c r="FF100" s="1565"/>
      <c r="FG100" s="1566"/>
      <c r="FH100" s="1565"/>
      <c r="FI100" s="1565"/>
      <c r="FJ100" s="1565"/>
      <c r="FK100" s="1565"/>
      <c r="FL100" s="1565"/>
      <c r="FM100" s="1566"/>
      <c r="FN100" s="1567"/>
      <c r="FO100" s="1567"/>
      <c r="FP100" s="1567"/>
      <c r="FQ100" s="1567"/>
      <c r="FR100" s="1567"/>
      <c r="FS100"/>
      <c r="FT100"/>
      <c r="FU100"/>
      <c r="FV100"/>
      <c r="FW100"/>
      <c r="FX100"/>
      <c r="FY100" s="1567"/>
      <c r="FZ100" s="1522"/>
      <c r="GA100" s="1522"/>
      <c r="GB100" s="1522"/>
      <c r="GC100" s="1522"/>
      <c r="GD100" s="1522"/>
      <c r="GE100" s="1522"/>
      <c r="GF100" s="1522"/>
      <c r="GG100" s="1522"/>
      <c r="GH100" s="1522"/>
      <c r="GI100" s="1522"/>
      <c r="GJ100" s="1522"/>
      <c r="GK100" s="1522"/>
      <c r="GL100" s="1522"/>
      <c r="GM100" s="1522"/>
      <c r="GN100" s="1522"/>
      <c r="GO100" s="1522"/>
      <c r="GP100" s="1522"/>
      <c r="GQ100" s="1522"/>
      <c r="GR100" s="1522"/>
      <c r="GS100" s="1522"/>
      <c r="GT100" s="1522"/>
      <c r="GU100" s="1522"/>
      <c r="GV100" s="1522"/>
      <c r="GW100" s="1522"/>
      <c r="GX100" s="1522"/>
      <c r="GY100" s="1522"/>
      <c r="GZ100" s="1522"/>
      <c r="HA100" s="1522"/>
      <c r="HB100" s="1522"/>
      <c r="HC100" s="1522"/>
      <c r="HD100" s="1522"/>
      <c r="HE100" s="1522"/>
      <c r="HF100" s="1522"/>
      <c r="HG100" s="1522"/>
      <c r="HH100" s="1522"/>
      <c r="HI100" s="1522"/>
      <c r="HJ100" s="1522"/>
      <c r="HK100" s="1522"/>
      <c r="HL100" s="1522"/>
      <c r="HM100" s="1522"/>
      <c r="HN100" s="1522"/>
      <c r="HO100" s="1522"/>
      <c r="HP100" s="1522"/>
      <c r="HQ100" s="1522"/>
      <c r="HR100" s="1522"/>
      <c r="HS100" s="1522"/>
      <c r="HT100" s="1522"/>
      <c r="HU100" s="1522"/>
      <c r="HV100" s="1522"/>
      <c r="HW100" s="1522"/>
      <c r="HX100" s="1522"/>
      <c r="HY100" s="1522"/>
      <c r="HZ100" s="1522"/>
      <c r="IA100" s="1522"/>
      <c r="IB100" s="1522"/>
      <c r="IC100" s="1522"/>
      <c r="ID100" s="1522"/>
      <c r="IE100" s="1522"/>
      <c r="IF100" s="1522"/>
      <c r="IG100" s="1522"/>
      <c r="IH100" s="1522"/>
      <c r="II100" s="1522"/>
      <c r="IJ100" s="1522"/>
      <c r="IK100" s="1522"/>
      <c r="IL100" s="1522"/>
      <c r="IM100" s="1522"/>
      <c r="IN100" s="1522"/>
      <c r="IO100" s="1522"/>
      <c r="IP100" s="1522"/>
      <c r="IQ100" s="1522"/>
      <c r="IR100" s="1522"/>
      <c r="IS100" s="1522"/>
      <c r="IT100" s="1522"/>
      <c r="IU100" s="1522"/>
      <c r="IV100" s="1522"/>
      <c r="IW100" s="1522"/>
      <c r="IX100" s="1522"/>
      <c r="IY100" s="1522"/>
      <c r="IZ100" s="1522"/>
      <c r="JA100" s="1522"/>
      <c r="JB100" s="1522"/>
      <c r="JC100" s="1522"/>
      <c r="JD100" s="1522"/>
      <c r="JE100" s="1522"/>
      <c r="JF100" s="1522"/>
      <c r="JG100" s="1522"/>
      <c r="JH100" s="1522"/>
      <c r="JI100" s="1522"/>
      <c r="JJ100" s="1522"/>
      <c r="JK100" s="1522"/>
      <c r="JL100" s="1522"/>
      <c r="JM100" s="1522"/>
      <c r="JN100" s="1522"/>
    </row>
    <row r="101" spans="1:274" s="1523" customFormat="1" ht="10.5" customHeight="1" x14ac:dyDescent="0.2">
      <c r="A101" s="1529" t="s">
        <v>956</v>
      </c>
      <c r="B101" s="1529"/>
      <c r="C101" s="1527">
        <v>0</v>
      </c>
      <c r="D101" s="1527">
        <v>0</v>
      </c>
      <c r="E101" s="1527">
        <f>'Balance Sheet'!D8</f>
        <v>0.59899999999999998</v>
      </c>
      <c r="F101" s="1527">
        <v>12.523999999999999</v>
      </c>
      <c r="G101" s="1527">
        <v>37.557000000000002</v>
      </c>
      <c r="H101" s="1527">
        <v>41.112000000000002</v>
      </c>
      <c r="I101" s="1527">
        <v>44.893000000000001</v>
      </c>
      <c r="J101" s="1527">
        <v>44.847999999999999</v>
      </c>
      <c r="K101" s="1527">
        <v>101.48099999999999</v>
      </c>
      <c r="L101" s="1527">
        <v>153.28299999999999</v>
      </c>
      <c r="M101" s="1529">
        <v>284.56</v>
      </c>
      <c r="N101" s="1540"/>
      <c r="O101" s="1529">
        <v>404.81</v>
      </c>
      <c r="P101" s="1529">
        <f>O103</f>
        <v>462.548</v>
      </c>
      <c r="Q101" s="1529">
        <f>P103</f>
        <v>221.09700000000004</v>
      </c>
      <c r="R101" s="1529">
        <f>Q103</f>
        <v>276.91600000000017</v>
      </c>
      <c r="S101" s="1529">
        <f>O101</f>
        <v>404.81</v>
      </c>
      <c r="T101" s="1529"/>
      <c r="U101" s="1529">
        <f>R103</f>
        <v>480.15800000000013</v>
      </c>
      <c r="V101" s="1529">
        <f>U103</f>
        <v>737.23400000000015</v>
      </c>
      <c r="W101" s="1529">
        <f>V103</f>
        <v>1282.67</v>
      </c>
      <c r="X101" s="1529">
        <f>W103</f>
        <v>2313.3789999999999</v>
      </c>
      <c r="Y101" s="1529">
        <f>U101</f>
        <v>480.15800000000013</v>
      </c>
      <c r="Z101" s="1529"/>
      <c r="AA101" s="1529">
        <f>Y103</f>
        <v>715.74199999999996</v>
      </c>
      <c r="AB101" s="1529">
        <f>AA103</f>
        <v>743.26499999999987</v>
      </c>
      <c r="AC101" s="1529">
        <f>AB103</f>
        <v>559.38399999999979</v>
      </c>
      <c r="AD101" s="1529">
        <f>AC103</f>
        <v>736.16599999999994</v>
      </c>
      <c r="AE101" s="1529">
        <f>AA101</f>
        <v>715.74199999999996</v>
      </c>
      <c r="AF101" s="1529"/>
      <c r="AG101" s="1529">
        <f>AD103</f>
        <v>890.16200000000003</v>
      </c>
      <c r="AH101" s="1529">
        <f>AG103</f>
        <v>1006.712</v>
      </c>
      <c r="AI101" s="1529">
        <f>AH103</f>
        <v>994.26099999999985</v>
      </c>
      <c r="AJ101" s="1529">
        <f>AI103</f>
        <v>977.49599999999998</v>
      </c>
      <c r="AK101" s="1529">
        <f>AG101</f>
        <v>890.16200000000003</v>
      </c>
      <c r="AL101" s="1529"/>
      <c r="AM101" s="1529">
        <f>AJ103</f>
        <v>1273.681</v>
      </c>
      <c r="AN101" s="1529">
        <f>AM103</f>
        <v>1628.0830000000001</v>
      </c>
      <c r="AO101" s="1529">
        <f>AN103</f>
        <v>1348.749</v>
      </c>
      <c r="AP101" s="1529">
        <f>AO103</f>
        <v>1504.183</v>
      </c>
      <c r="AQ101" s="1529">
        <f>AM101</f>
        <v>1273.681</v>
      </c>
      <c r="AR101" s="1529"/>
      <c r="AS101" s="1529">
        <f>AP103</f>
        <v>1785.7146000000002</v>
      </c>
      <c r="AT101" s="1529">
        <f>AS103</f>
        <v>1718.1792000000003</v>
      </c>
      <c r="AU101" s="1529">
        <f>AT103</f>
        <v>1317.1486000000004</v>
      </c>
      <c r="AV101" s="1529">
        <f>AU103</f>
        <v>2267.7046000000005</v>
      </c>
      <c r="AW101" s="1529">
        <f>AS101</f>
        <v>1785.7146000000002</v>
      </c>
      <c r="AX101" s="1529"/>
      <c r="AY101" s="1529">
        <f>AW103</f>
        <v>7429.2056000000002</v>
      </c>
      <c r="AZ101" s="1529">
        <f>AY103</f>
        <v>4837.0966000000008</v>
      </c>
      <c r="BA101" s="1529">
        <f>AZ103</f>
        <v>4165.6896000000006</v>
      </c>
      <c r="BB101" s="1529">
        <f>BA103</f>
        <v>4129.3416000000007</v>
      </c>
      <c r="BC101" s="1527">
        <f>AY101</f>
        <v>7429.2056000000002</v>
      </c>
      <c r="BD101" s="1529"/>
      <c r="BE101" s="1529">
        <f>BB103</f>
        <v>4449.2056000000011</v>
      </c>
      <c r="BF101" s="1529">
        <f>BE103</f>
        <v>3915.6186000000007</v>
      </c>
      <c r="BG101" s="1529">
        <f>BF103</f>
        <v>2468.2056000000007</v>
      </c>
      <c r="BH101" s="1529">
        <f>BG103</f>
        <v>3460.2056000000002</v>
      </c>
      <c r="BI101" s="1529">
        <f>BE101</f>
        <v>4449.2056000000011</v>
      </c>
      <c r="BJ101" s="1529"/>
      <c r="BK101" s="1529">
        <f>BI103</f>
        <v>3095.2056000000007</v>
      </c>
      <c r="BL101" s="1529">
        <f>BK103</f>
        <v>3875.2056000000007</v>
      </c>
      <c r="BM101" s="1529">
        <f>BL103</f>
        <v>3013.2056000000007</v>
      </c>
      <c r="BN101" s="1529">
        <f>BM103</f>
        <v>4088.2056000000007</v>
      </c>
      <c r="BO101" s="1529">
        <f>BK101</f>
        <v>3095.2056000000007</v>
      </c>
      <c r="BP101" s="1529"/>
      <c r="BQ101" s="1529">
        <f>BO103</f>
        <v>4737.2056000000011</v>
      </c>
      <c r="BR101" s="1529">
        <f>BQ103</f>
        <v>4240.2056000000011</v>
      </c>
      <c r="BS101" s="1529">
        <f>BR103</f>
        <v>4173.2056000000011</v>
      </c>
      <c r="BT101" s="1529">
        <f>BS103</f>
        <v>4192.2056000000011</v>
      </c>
      <c r="BU101" s="1529">
        <f>BT101</f>
        <v>4192.2056000000011</v>
      </c>
      <c r="BV101" s="1529"/>
      <c r="BW101" s="1529">
        <f>BU103</f>
        <v>4138.2056000000011</v>
      </c>
      <c r="BX101" s="1529">
        <f>BW103</f>
        <v>3349.2056000000011</v>
      </c>
      <c r="BY101" s="1529">
        <f>BX103</f>
        <v>5905.2056000000011</v>
      </c>
      <c r="BZ101" s="1529">
        <f>BY103</f>
        <v>7221.2056000000011</v>
      </c>
      <c r="CA101" s="1529">
        <f>BZ101</f>
        <v>7221.2056000000011</v>
      </c>
      <c r="CB101" s="1529"/>
      <c r="CC101" s="1529">
        <f>CA103</f>
        <v>3894.1281000000013</v>
      </c>
      <c r="CD101" s="1529">
        <f>CC103</f>
        <v>3790.1281000000013</v>
      </c>
      <c r="CE101" s="1529">
        <f>CD103</f>
        <v>2837.1281000000013</v>
      </c>
      <c r="CF101" s="1529">
        <f>CE103</f>
        <v>6921.1281000000017</v>
      </c>
      <c r="CG101" s="1529">
        <f>CF101</f>
        <v>6921.1281000000017</v>
      </c>
      <c r="CH101" s="1529"/>
      <c r="CI101" s="1529">
        <f>CG103</f>
        <v>6659.1281000000017</v>
      </c>
      <c r="CJ101" s="1529">
        <f>CI103</f>
        <v>5448.1281000000017</v>
      </c>
      <c r="CK101" s="1529">
        <f>CJ103</f>
        <v>4684.1281000000017</v>
      </c>
      <c r="CL101" s="1529">
        <f>CK103</f>
        <v>5250.1281000000017</v>
      </c>
      <c r="CM101" s="1536">
        <f>CL101</f>
        <v>5250.1281000000017</v>
      </c>
      <c r="CN101" s="1529"/>
      <c r="CO101" s="1529">
        <f>CM103</f>
        <v>6218.1281000000017</v>
      </c>
      <c r="CP101" s="1529">
        <f>CO103</f>
        <v>6455.1281000000017</v>
      </c>
      <c r="CQ101" s="1529">
        <f>CP103</f>
        <v>6733.1281000000017</v>
      </c>
      <c r="CR101" s="1529">
        <f>CQ103</f>
        <v>8409.1281000000017</v>
      </c>
      <c r="CS101" s="1536">
        <f>CR101</f>
        <v>8409.1281000000017</v>
      </c>
      <c r="CT101" s="1529"/>
      <c r="CU101" s="1529">
        <f>CS103</f>
        <v>8262.1281000000017</v>
      </c>
      <c r="CV101" s="1529">
        <f>CU103</f>
        <v>8553.1281000000017</v>
      </c>
      <c r="CW101" s="1529">
        <f>CV103</f>
        <v>7353.1281000000017</v>
      </c>
      <c r="CX101" s="1529">
        <f>CW103</f>
        <v>8211.1281000000017</v>
      </c>
      <c r="CY101" s="1536">
        <f>CX101</f>
        <v>8211.1281000000017</v>
      </c>
      <c r="CZ101" s="1529"/>
      <c r="DA101" s="1529">
        <f>CY103</f>
        <v>8995.1281000000017</v>
      </c>
      <c r="DB101" s="1529">
        <f>DA103</f>
        <v>16098.128100000002</v>
      </c>
      <c r="DC101" s="1529">
        <f>DB103</f>
        <v>14919.128100000002</v>
      </c>
      <c r="DD101" s="1529">
        <f>DC103</f>
        <v>9331.1281000000017</v>
      </c>
      <c r="DE101" s="1536">
        <f>DD101</f>
        <v>9331.1281000000017</v>
      </c>
      <c r="DF101" s="1529"/>
      <c r="DG101" s="1529">
        <f>DE103</f>
        <v>9914.1281000000017</v>
      </c>
      <c r="DH101" s="1529">
        <f>DG103</f>
        <v>12018.128100000002</v>
      </c>
      <c r="DI101" s="1529">
        <f>DH103</f>
        <v>10420.128100000002</v>
      </c>
      <c r="DJ101" s="1529">
        <f>DI103</f>
        <v>11864.128100000002</v>
      </c>
      <c r="DK101" s="1536">
        <f>DJ101</f>
        <v>11864.128100000002</v>
      </c>
      <c r="DL101" s="1529"/>
      <c r="DM101" s="1529">
        <f>DK103</f>
        <v>16163.128100000002</v>
      </c>
      <c r="DN101" s="1529">
        <f>DM103</f>
        <v>13162.128100000002</v>
      </c>
      <c r="DO101" s="1529">
        <f>DN103</f>
        <v>13306.128100000002</v>
      </c>
      <c r="DP101" s="1529">
        <f>DO103</f>
        <v>13781.128100000002</v>
      </c>
      <c r="DQ101" s="1536">
        <f>DP101</f>
        <v>13781.128100000002</v>
      </c>
      <c r="DR101" s="1529"/>
      <c r="DS101" s="1529">
        <f>DQ103</f>
        <v>14955.128100000002</v>
      </c>
      <c r="DT101" s="1529">
        <f>DS103</f>
        <v>15667.128100000002</v>
      </c>
      <c r="DU101" s="1529">
        <f>DT103</f>
        <v>15912.128100000002</v>
      </c>
      <c r="DV101" s="1529">
        <f>DU103</f>
        <v>16101.128100000002</v>
      </c>
      <c r="DW101" s="1536">
        <f>DV101</f>
        <v>16101.128100000002</v>
      </c>
      <c r="DX101" s="1529"/>
      <c r="DY101" s="1529">
        <f>DW103</f>
        <v>14613.128100000002</v>
      </c>
      <c r="DZ101" s="1529">
        <f>DY103</f>
        <v>19664.128100000002</v>
      </c>
      <c r="EA101" s="1529">
        <f>DZ103</f>
        <v>14894.128100000002</v>
      </c>
      <c r="EB101" s="1529">
        <f>EA103</f>
        <v>16832.128100000002</v>
      </c>
      <c r="EC101" s="1536">
        <f>EB101</f>
        <v>16832.128100000002</v>
      </c>
      <c r="ED101" s="1529"/>
      <c r="EE101" s="1529">
        <f>EC103</f>
        <v>17769.128100000002</v>
      </c>
      <c r="EF101" s="1529">
        <f>EE103</f>
        <v>24179.128100000002</v>
      </c>
      <c r="EG101" s="1529">
        <f>EF103</f>
        <v>16153.128100000002</v>
      </c>
      <c r="EH101" s="1529">
        <f>EG103</f>
        <v>13701.128100000002</v>
      </c>
      <c r="EI101" s="1536">
        <f>EH101</f>
        <v>13701.128100000002</v>
      </c>
      <c r="EJ101" s="1529"/>
      <c r="EK101" s="1529">
        <f>EI103</f>
        <v>21716.128100000002</v>
      </c>
      <c r="EL101" s="1529">
        <f>EK103</f>
        <v>16739.128100000002</v>
      </c>
      <c r="EM101" s="1529">
        <f>EL103</f>
        <v>17411.128100000002</v>
      </c>
      <c r="EN101" s="1529">
        <f>EM103</f>
        <v>15583.128100000002</v>
      </c>
      <c r="EO101" s="1536">
        <f>EN101</f>
        <v>15583.128100000002</v>
      </c>
      <c r="EP101" s="1529"/>
      <c r="EQ101" s="1529">
        <f>EO103</f>
        <v>20152.128100000002</v>
      </c>
      <c r="ER101" s="1529">
        <f>EQ103</f>
        <v>28614.128100000002</v>
      </c>
      <c r="ES101" s="1529">
        <f>ER103</f>
        <v>18592.128100000002</v>
      </c>
      <c r="ET101" s="1529">
        <f>ES103</f>
        <v>19748.128100000002</v>
      </c>
      <c r="EU101" s="1536">
        <f>ET101</f>
        <v>19748.128100000002</v>
      </c>
      <c r="EV101" s="1529"/>
      <c r="EW101" s="1529">
        <f>EU103</f>
        <v>21784.128100000002</v>
      </c>
      <c r="EX101" s="1529">
        <f>EW103</f>
        <v>21321.128100000002</v>
      </c>
      <c r="EY101" s="1529">
        <f>EX103</f>
        <v>21310.128100000002</v>
      </c>
      <c r="EZ101" s="1529">
        <f>EY103</f>
        <v>19487.128100000002</v>
      </c>
      <c r="FA101" s="1536">
        <f>EZ101</f>
        <v>19487.128100000002</v>
      </c>
      <c r="FB101" s="1529"/>
      <c r="FC101" s="1529">
        <f>FA103</f>
        <v>19610.645629562168</v>
      </c>
      <c r="FD101" s="1529">
        <f>FC103</f>
        <v>20391.682075827033</v>
      </c>
      <c r="FE101" s="1529">
        <f>FD103</f>
        <v>18624.795395241668</v>
      </c>
      <c r="FF101" s="1529">
        <f>FE103</f>
        <v>20173.373558817224</v>
      </c>
      <c r="FG101" s="1536">
        <f>FF101</f>
        <v>20173.373558817224</v>
      </c>
      <c r="FH101" s="1529"/>
      <c r="FI101" s="1529">
        <f>FG103</f>
        <v>20646.480472891428</v>
      </c>
      <c r="FJ101" s="1529">
        <f>FI103</f>
        <v>24537.695139864878</v>
      </c>
      <c r="FK101" s="1529">
        <f>FJ103</f>
        <v>20497.563143346757</v>
      </c>
      <c r="FL101" s="1529">
        <f>FK103</f>
        <v>20328.852006080102</v>
      </c>
      <c r="FM101" s="1536">
        <f>FL101</f>
        <v>20328.852006080102</v>
      </c>
      <c r="FN101" s="1524"/>
      <c r="FO101" s="1524"/>
      <c r="FP101" s="1524"/>
      <c r="FQ101" s="1524"/>
      <c r="FR101" s="1524"/>
      <c r="FS101"/>
      <c r="FT101"/>
      <c r="FU101"/>
      <c r="FV101"/>
      <c r="FW101"/>
      <c r="FX101"/>
      <c r="FY101" s="1524"/>
      <c r="FZ101" s="1522"/>
      <c r="GA101" s="1522"/>
      <c r="GB101" s="1522"/>
      <c r="GC101" s="1522"/>
      <c r="GD101" s="1522"/>
      <c r="GE101" s="1522"/>
      <c r="GF101" s="1522"/>
      <c r="GG101" s="1522"/>
      <c r="GH101" s="1522"/>
      <c r="GI101" s="1522"/>
      <c r="GJ101" s="1522"/>
      <c r="GK101" s="1522"/>
      <c r="GL101" s="1522"/>
      <c r="GM101" s="1522"/>
      <c r="GN101" s="1522"/>
      <c r="GO101" s="1522"/>
      <c r="GP101" s="1522"/>
      <c r="GQ101" s="1522"/>
      <c r="GR101" s="1522"/>
      <c r="GS101" s="1522"/>
      <c r="GT101" s="1522"/>
      <c r="GU101" s="1522"/>
      <c r="GV101" s="1522"/>
      <c r="GW101" s="1522"/>
      <c r="GX101" s="1522"/>
      <c r="GY101" s="1522"/>
      <c r="GZ101" s="1522"/>
      <c r="HA101" s="1522"/>
      <c r="HB101" s="1522"/>
      <c r="HC101" s="1522"/>
      <c r="HD101" s="1522"/>
      <c r="HE101" s="1522"/>
      <c r="HF101" s="1522"/>
      <c r="HG101" s="1522"/>
      <c r="HH101" s="1522"/>
      <c r="HI101" s="1522"/>
      <c r="HJ101" s="1522"/>
      <c r="HK101" s="1522"/>
      <c r="HL101" s="1522"/>
      <c r="HM101" s="1522"/>
      <c r="HN101" s="1522"/>
      <c r="HO101" s="1522"/>
      <c r="HP101" s="1522"/>
      <c r="HQ101" s="1522"/>
      <c r="HR101" s="1522"/>
      <c r="HS101" s="1522"/>
      <c r="HT101" s="1522"/>
      <c r="HU101" s="1522"/>
      <c r="HV101" s="1522"/>
      <c r="HW101" s="1522"/>
      <c r="HX101" s="1522"/>
      <c r="HY101" s="1522"/>
      <c r="HZ101" s="1522"/>
      <c r="IA101" s="1522"/>
      <c r="IB101" s="1522"/>
      <c r="IC101" s="1522"/>
      <c r="ID101" s="1522"/>
      <c r="IE101" s="1522"/>
      <c r="IF101" s="1522"/>
      <c r="IG101" s="1522"/>
      <c r="IH101" s="1522"/>
      <c r="II101" s="1522"/>
      <c r="IJ101" s="1522"/>
      <c r="IK101" s="1522"/>
      <c r="IL101" s="1522"/>
      <c r="IM101" s="1522"/>
      <c r="IN101" s="1522"/>
      <c r="IO101" s="1522"/>
      <c r="IP101" s="1522"/>
      <c r="IQ101" s="1522"/>
      <c r="IR101" s="1522"/>
      <c r="IS101" s="1522"/>
      <c r="IT101" s="1522"/>
      <c r="IU101" s="1522"/>
      <c r="IV101" s="1522"/>
      <c r="IW101" s="1522"/>
      <c r="IX101" s="1522"/>
      <c r="IY101" s="1522"/>
      <c r="IZ101" s="1522"/>
      <c r="JA101" s="1522"/>
      <c r="JB101" s="1522"/>
      <c r="JC101" s="1522"/>
      <c r="JD101" s="1522"/>
      <c r="JE101" s="1522"/>
      <c r="JF101" s="1522"/>
      <c r="JG101" s="1522"/>
      <c r="JH101" s="1522"/>
      <c r="JI101" s="1522"/>
      <c r="JJ101" s="1522"/>
      <c r="JK101" s="1522"/>
      <c r="JL101" s="1522"/>
      <c r="JM101" s="1522"/>
      <c r="JN101" s="1522"/>
    </row>
    <row r="102" spans="1:274" s="24" customFormat="1" ht="5.25" customHeight="1" x14ac:dyDescent="0.2">
      <c r="A102" s="599"/>
      <c r="B102" s="476"/>
      <c r="C102" s="599"/>
      <c r="D102" s="599"/>
      <c r="E102" s="599"/>
      <c r="F102" s="599"/>
      <c r="G102" s="599"/>
      <c r="H102" s="599"/>
      <c r="I102" s="599"/>
      <c r="J102" s="599"/>
      <c r="K102" s="599"/>
      <c r="L102" s="599"/>
      <c r="M102" s="599"/>
      <c r="N102" s="599"/>
      <c r="O102" s="599"/>
      <c r="P102" s="599"/>
      <c r="Q102" s="599"/>
      <c r="R102" s="599"/>
      <c r="S102" s="599"/>
      <c r="T102" s="599"/>
      <c r="U102" s="599"/>
      <c r="V102" s="599"/>
      <c r="W102" s="599"/>
      <c r="X102" s="599"/>
      <c r="Y102" s="599"/>
      <c r="Z102" s="599"/>
      <c r="AA102" s="599"/>
      <c r="AB102" s="599"/>
      <c r="AC102" s="599"/>
      <c r="AD102" s="599"/>
      <c r="AE102" s="599"/>
      <c r="AF102" s="599"/>
      <c r="AG102" s="599"/>
      <c r="AH102" s="599"/>
      <c r="AI102" s="599"/>
      <c r="AJ102" s="599"/>
      <c r="AK102" s="599"/>
      <c r="AL102" s="599"/>
      <c r="AM102" s="599"/>
      <c r="AN102" s="599"/>
      <c r="AO102" s="599"/>
      <c r="AP102" s="599"/>
      <c r="AQ102" s="599"/>
      <c r="AR102" s="599"/>
      <c r="AS102" s="599"/>
      <c r="AT102" s="599"/>
      <c r="AU102" s="599"/>
      <c r="AV102" s="599"/>
      <c r="AW102" s="599"/>
      <c r="AX102" s="599"/>
      <c r="AY102" s="599"/>
      <c r="AZ102" s="599"/>
      <c r="BA102" s="599"/>
      <c r="BB102" s="599"/>
      <c r="BC102" s="599"/>
      <c r="BD102" s="599"/>
      <c r="BE102" s="599"/>
      <c r="BF102" s="599"/>
      <c r="BG102" s="599"/>
      <c r="BH102" s="599"/>
      <c r="BI102" s="599"/>
      <c r="BJ102" s="599"/>
      <c r="BK102" s="599"/>
      <c r="BL102" s="599"/>
      <c r="BM102" s="599"/>
      <c r="BN102" s="599"/>
      <c r="BO102" s="599"/>
      <c r="BP102" s="599"/>
      <c r="BQ102" s="599"/>
      <c r="BR102" s="599"/>
      <c r="BS102" s="599"/>
      <c r="BT102" s="599"/>
      <c r="BU102" s="599"/>
      <c r="BV102" s="599"/>
      <c r="BW102" s="599"/>
      <c r="BX102" s="599"/>
      <c r="BY102" s="599"/>
      <c r="BZ102" s="599"/>
      <c r="CA102" s="599"/>
      <c r="CB102" s="599"/>
      <c r="CC102" s="599"/>
      <c r="CD102" s="599"/>
      <c r="CE102" s="599"/>
      <c r="CF102" s="599"/>
      <c r="CG102" s="599"/>
      <c r="CH102" s="599"/>
      <c r="CI102" s="599"/>
      <c r="CJ102" s="599"/>
      <c r="CK102" s="599"/>
      <c r="CL102" s="599"/>
      <c r="CM102" s="1019"/>
      <c r="CN102" s="599"/>
      <c r="CO102" s="599"/>
      <c r="CP102" s="599"/>
      <c r="CQ102" s="599"/>
      <c r="CR102" s="599"/>
      <c r="CS102" s="1019"/>
      <c r="CT102" s="599"/>
      <c r="CU102" s="599"/>
      <c r="CV102" s="599"/>
      <c r="CW102" s="599"/>
      <c r="CX102" s="599"/>
      <c r="CY102" s="1019"/>
      <c r="CZ102" s="599"/>
      <c r="DA102" s="599"/>
      <c r="DB102" s="599"/>
      <c r="DC102" s="599"/>
      <c r="DD102" s="599"/>
      <c r="DE102" s="1019"/>
      <c r="DF102" s="599"/>
      <c r="DG102" s="599"/>
      <c r="DH102" s="599"/>
      <c r="DI102" s="599"/>
      <c r="DJ102" s="599"/>
      <c r="DK102" s="1019"/>
      <c r="DL102" s="599"/>
      <c r="DM102" s="599"/>
      <c r="DN102" s="599"/>
      <c r="DO102" s="599"/>
      <c r="DP102" s="599"/>
      <c r="DQ102" s="1019"/>
      <c r="DR102" s="599"/>
      <c r="DS102" s="599"/>
      <c r="DT102" s="599"/>
      <c r="DU102" s="599"/>
      <c r="DV102" s="599"/>
      <c r="DW102" s="1019"/>
      <c r="DX102" s="599"/>
      <c r="DY102" s="599"/>
      <c r="DZ102" s="599"/>
      <c r="EA102" s="599"/>
      <c r="EB102" s="599"/>
      <c r="EC102" s="1019"/>
      <c r="ED102" s="599"/>
      <c r="EE102" s="599"/>
      <c r="EF102" s="599"/>
      <c r="EG102" s="599"/>
      <c r="EH102" s="599"/>
      <c r="EI102" s="1019"/>
      <c r="EJ102" s="599"/>
      <c r="EK102" s="599"/>
      <c r="EL102" s="599"/>
      <c r="EM102" s="599"/>
      <c r="EN102" s="599"/>
      <c r="EO102" s="1019"/>
      <c r="EP102" s="599"/>
      <c r="EQ102" s="599"/>
      <c r="ER102" s="599"/>
      <c r="ES102" s="599"/>
      <c r="ET102" s="599"/>
      <c r="EU102" s="1019"/>
      <c r="EV102" s="599"/>
      <c r="EW102" s="599"/>
      <c r="EX102" s="599"/>
      <c r="EY102" s="599"/>
      <c r="EZ102" s="599"/>
      <c r="FA102" s="1019"/>
      <c r="FB102" s="599"/>
      <c r="FC102" s="599"/>
      <c r="FD102" s="599"/>
      <c r="FE102" s="599"/>
      <c r="FF102" s="599"/>
      <c r="FG102" s="1019"/>
      <c r="FH102" s="599"/>
      <c r="FI102" s="599"/>
      <c r="FJ102" s="599"/>
      <c r="FK102" s="599"/>
      <c r="FL102" s="599"/>
      <c r="FM102" s="1019"/>
      <c r="FN102" s="12"/>
      <c r="FO102" s="12"/>
      <c r="FP102" s="12"/>
      <c r="FQ102" s="12"/>
      <c r="FR102" s="12"/>
      <c r="FS102"/>
      <c r="FT102"/>
      <c r="FU102"/>
      <c r="FV102"/>
      <c r="FW102"/>
      <c r="FX102"/>
      <c r="FY102" s="1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</row>
    <row r="103" spans="1:274" s="24" customFormat="1" ht="10.5" customHeight="1" x14ac:dyDescent="0.2">
      <c r="A103" s="1358" t="s">
        <v>173</v>
      </c>
      <c r="B103" s="1360"/>
      <c r="C103" s="1360">
        <f t="shared" ref="C103:M103" si="246">C99+C101</f>
        <v>0</v>
      </c>
      <c r="D103" s="1360">
        <f t="shared" si="246"/>
        <v>0</v>
      </c>
      <c r="E103" s="1360">
        <f t="shared" si="246"/>
        <v>12.524000000000004</v>
      </c>
      <c r="F103" s="1360">
        <f t="shared" si="246"/>
        <v>37.557000000000009</v>
      </c>
      <c r="G103" s="1360">
        <f t="shared" si="246"/>
        <v>41.112000000000002</v>
      </c>
      <c r="H103" s="1360">
        <f t="shared" si="246"/>
        <v>44.893000000000015</v>
      </c>
      <c r="I103" s="1360">
        <f t="shared" si="246"/>
        <v>44.847999999999971</v>
      </c>
      <c r="J103" s="1360">
        <f t="shared" si="246"/>
        <v>101.48099999999999</v>
      </c>
      <c r="K103" s="1360">
        <f t="shared" si="246"/>
        <v>153.28299999999999</v>
      </c>
      <c r="L103" s="1360">
        <f t="shared" si="246"/>
        <v>284.55999999999995</v>
      </c>
      <c r="M103" s="1360">
        <f t="shared" si="246"/>
        <v>404.81</v>
      </c>
      <c r="N103" s="1420"/>
      <c r="O103" s="1360">
        <f>O99+O101</f>
        <v>462.548</v>
      </c>
      <c r="P103" s="1360">
        <f>P99+P101</f>
        <v>221.09700000000004</v>
      </c>
      <c r="Q103" s="1360">
        <f>Q99+Q101</f>
        <v>276.91600000000017</v>
      </c>
      <c r="R103" s="1360">
        <f>R99+R101</f>
        <v>480.15800000000013</v>
      </c>
      <c r="S103" s="1360">
        <f>S99+S101</f>
        <v>480.15800000000007</v>
      </c>
      <c r="T103" s="1421"/>
      <c r="U103" s="1360">
        <f>U99+U101</f>
        <v>737.23400000000015</v>
      </c>
      <c r="V103" s="1360">
        <f>V99+V101</f>
        <v>1282.67</v>
      </c>
      <c r="W103" s="1360">
        <f>W99+W101</f>
        <v>2313.3789999999999</v>
      </c>
      <c r="X103" s="1360">
        <f>X99+X101</f>
        <v>715.74199999999973</v>
      </c>
      <c r="Y103" s="1360">
        <f>Y99+Y101</f>
        <v>715.74199999999996</v>
      </c>
      <c r="Z103" s="1421"/>
      <c r="AA103" s="1360">
        <f>AA99+AA101</f>
        <v>743.26499999999987</v>
      </c>
      <c r="AB103" s="1360">
        <f>AB99+AB101</f>
        <v>559.38399999999979</v>
      </c>
      <c r="AC103" s="1360">
        <f>AC99+AC101</f>
        <v>736.16599999999994</v>
      </c>
      <c r="AD103" s="1360">
        <f>AD99+AD101</f>
        <v>890.16200000000003</v>
      </c>
      <c r="AE103" s="1360">
        <f>AE99+AE101</f>
        <v>890.16200000000003</v>
      </c>
      <c r="AF103" s="1421"/>
      <c r="AG103" s="1360">
        <f>AG99+AG101</f>
        <v>1006.712</v>
      </c>
      <c r="AH103" s="1360">
        <f>AH99+AH101</f>
        <v>994.26099999999985</v>
      </c>
      <c r="AI103" s="1360">
        <f>AI99+AI101</f>
        <v>977.49599999999998</v>
      </c>
      <c r="AJ103" s="1360">
        <f>AJ99+AJ101</f>
        <v>1273.681</v>
      </c>
      <c r="AK103" s="1360">
        <f>AK99+AK101</f>
        <v>1273.681</v>
      </c>
      <c r="AL103" s="1421"/>
      <c r="AM103" s="1360">
        <f>AM99+AM101</f>
        <v>1628.0830000000001</v>
      </c>
      <c r="AN103" s="1360">
        <f>AN99+AN101</f>
        <v>1348.749</v>
      </c>
      <c r="AO103" s="1360">
        <f>AO99+AO101</f>
        <v>1504.183</v>
      </c>
      <c r="AP103" s="1360">
        <f>AP99+AP101</f>
        <v>1785.7146000000002</v>
      </c>
      <c r="AQ103" s="1360">
        <f>AQ99+AQ101</f>
        <v>1785.7146000000005</v>
      </c>
      <c r="AR103" s="1421"/>
      <c r="AS103" s="1360">
        <f>AS99+AS101</f>
        <v>1718.1792000000003</v>
      </c>
      <c r="AT103" s="1360">
        <f>AT99+AT101</f>
        <v>1317.1486000000004</v>
      </c>
      <c r="AU103" s="1360">
        <f>AU99+AU101</f>
        <v>2267.7046000000005</v>
      </c>
      <c r="AV103" s="1360">
        <f>AV99+AV101</f>
        <v>7429.2056000000011</v>
      </c>
      <c r="AW103" s="1360">
        <f>AW99+AW101</f>
        <v>7429.2056000000002</v>
      </c>
      <c r="AX103" s="1421"/>
      <c r="AY103" s="1360">
        <f>AY99+AY101</f>
        <v>4837.0966000000008</v>
      </c>
      <c r="AZ103" s="1360">
        <f>AZ99+AZ101</f>
        <v>4165.6896000000006</v>
      </c>
      <c r="BA103" s="1360">
        <f>BA99+BA101</f>
        <v>4129.3416000000007</v>
      </c>
      <c r="BB103" s="1360">
        <f>BB99+BB101</f>
        <v>4449.2056000000011</v>
      </c>
      <c r="BC103" s="1360">
        <f>BC99+BC101</f>
        <v>4449.2056000000011</v>
      </c>
      <c r="BD103" s="1421"/>
      <c r="BE103" s="1360">
        <f>BE99+BE101</f>
        <v>3915.6186000000007</v>
      </c>
      <c r="BF103" s="1360">
        <f>BF99+BF101</f>
        <v>2468.2056000000007</v>
      </c>
      <c r="BG103" s="1360">
        <f>BG99+BG101</f>
        <v>3460.2056000000002</v>
      </c>
      <c r="BH103" s="1360">
        <f>BH99+BH101</f>
        <v>3095.2056000000002</v>
      </c>
      <c r="BI103" s="1360">
        <f>BI99+BI101</f>
        <v>3095.2056000000007</v>
      </c>
      <c r="BJ103" s="1421"/>
      <c r="BK103" s="1360">
        <f>BK99+BK101</f>
        <v>3875.2056000000007</v>
      </c>
      <c r="BL103" s="1360">
        <f>BL99+BL101</f>
        <v>3013.2056000000007</v>
      </c>
      <c r="BM103" s="1360">
        <f>BM99+BM101</f>
        <v>4088.2056000000007</v>
      </c>
      <c r="BN103" s="1360">
        <f>BN99+BN101</f>
        <v>4737.2056000000011</v>
      </c>
      <c r="BO103" s="1360">
        <f>BO99+BO101</f>
        <v>4737.2056000000011</v>
      </c>
      <c r="BP103" s="1421"/>
      <c r="BQ103" s="1360">
        <f>BQ99+BQ101</f>
        <v>4240.2056000000011</v>
      </c>
      <c r="BR103" s="1360">
        <f>BR99+BR101</f>
        <v>4173.2056000000011</v>
      </c>
      <c r="BS103" s="1360">
        <f>BS99+BS101</f>
        <v>4192.2056000000011</v>
      </c>
      <c r="BT103" s="1360">
        <f>BT99+BT101</f>
        <v>4138.2056000000011</v>
      </c>
      <c r="BU103" s="1360">
        <f>BT103</f>
        <v>4138.2056000000011</v>
      </c>
      <c r="BV103" s="1421"/>
      <c r="BW103" s="1360">
        <f>BW99+BW101</f>
        <v>3349.2056000000011</v>
      </c>
      <c r="BX103" s="1360">
        <f>BX99+BX101</f>
        <v>5905.2056000000011</v>
      </c>
      <c r="BY103" s="1360">
        <f>BY99+BY101</f>
        <v>7221.2056000000011</v>
      </c>
      <c r="BZ103" s="1360">
        <f>BZ99+BZ101</f>
        <v>3894.1281000000013</v>
      </c>
      <c r="CA103" s="1360">
        <f>BZ103</f>
        <v>3894.1281000000013</v>
      </c>
      <c r="CB103" s="1360"/>
      <c r="CC103" s="1360">
        <f>CC99+CC101</f>
        <v>3790.1281000000013</v>
      </c>
      <c r="CD103" s="1360">
        <f>CD99+CD101</f>
        <v>2837.1281000000013</v>
      </c>
      <c r="CE103" s="1360">
        <f>CE99+CE101</f>
        <v>6921.1281000000017</v>
      </c>
      <c r="CF103" s="1360">
        <f>CF99+CF101</f>
        <v>6659.1281000000017</v>
      </c>
      <c r="CG103" s="1360">
        <f>CF103</f>
        <v>6659.1281000000017</v>
      </c>
      <c r="CH103" s="1360"/>
      <c r="CI103" s="1360">
        <f>CI99+CI101</f>
        <v>5448.1281000000017</v>
      </c>
      <c r="CJ103" s="1360">
        <f>CJ99+CJ101</f>
        <v>4684.1281000000017</v>
      </c>
      <c r="CK103" s="1360">
        <f>CK99+CK101</f>
        <v>5250.1281000000017</v>
      </c>
      <c r="CL103" s="1360">
        <f>CL99+CL101</f>
        <v>6218.1281000000017</v>
      </c>
      <c r="CM103" s="1361">
        <f>CL103</f>
        <v>6218.1281000000017</v>
      </c>
      <c r="CN103" s="1360"/>
      <c r="CO103" s="1360">
        <f>CO99+CO101</f>
        <v>6455.1281000000017</v>
      </c>
      <c r="CP103" s="1360">
        <f>CP99+CP101</f>
        <v>6733.1281000000017</v>
      </c>
      <c r="CQ103" s="1360">
        <f>CQ99+CQ101</f>
        <v>8409.1281000000017</v>
      </c>
      <c r="CR103" s="1360">
        <f>CR99+CR101</f>
        <v>8262.1281000000017</v>
      </c>
      <c r="CS103" s="1361">
        <f>CR103</f>
        <v>8262.1281000000017</v>
      </c>
      <c r="CT103" s="1360"/>
      <c r="CU103" s="1360">
        <f>CU99+CU101</f>
        <v>8553.1281000000017</v>
      </c>
      <c r="CV103" s="1360">
        <f>CV99+CV101</f>
        <v>7353.1281000000017</v>
      </c>
      <c r="CW103" s="1360">
        <f>CW99+CW101</f>
        <v>8211.1281000000017</v>
      </c>
      <c r="CX103" s="1360">
        <f>CX99+CX101</f>
        <v>8995.1281000000017</v>
      </c>
      <c r="CY103" s="1361">
        <f>CX103</f>
        <v>8995.1281000000017</v>
      </c>
      <c r="CZ103" s="1360"/>
      <c r="DA103" s="1360">
        <f>DA99+DA101</f>
        <v>16098.128100000002</v>
      </c>
      <c r="DB103" s="1360">
        <f>DB99+DB101</f>
        <v>14919.128100000002</v>
      </c>
      <c r="DC103" s="1360">
        <f>DC99+DC101</f>
        <v>9331.1281000000017</v>
      </c>
      <c r="DD103" s="1360">
        <f>DD99+DD101</f>
        <v>9914.1281000000017</v>
      </c>
      <c r="DE103" s="1361">
        <f>DD103</f>
        <v>9914.1281000000017</v>
      </c>
      <c r="DF103" s="1360"/>
      <c r="DG103" s="1360">
        <f>DG99+DG101</f>
        <v>12018.128100000002</v>
      </c>
      <c r="DH103" s="1360">
        <f>DH99+DH101</f>
        <v>10420.128100000002</v>
      </c>
      <c r="DI103" s="1360">
        <f>DI99+DI101</f>
        <v>11864.128100000002</v>
      </c>
      <c r="DJ103" s="1360">
        <f>DJ99+DJ101</f>
        <v>16163.128100000002</v>
      </c>
      <c r="DK103" s="1361">
        <f>DJ103</f>
        <v>16163.128100000002</v>
      </c>
      <c r="DL103" s="1360"/>
      <c r="DM103" s="1360">
        <f>DM99+DM101</f>
        <v>13162.128100000002</v>
      </c>
      <c r="DN103" s="1360">
        <f>DN99+DN101</f>
        <v>13306.128100000002</v>
      </c>
      <c r="DO103" s="1360">
        <f>DO99+DO101</f>
        <v>13781.128100000002</v>
      </c>
      <c r="DP103" s="1360">
        <f>DP99+DP101</f>
        <v>14955.128100000002</v>
      </c>
      <c r="DQ103" s="1361">
        <f>DP103</f>
        <v>14955.128100000002</v>
      </c>
      <c r="DR103" s="1360"/>
      <c r="DS103" s="1360">
        <f>DS99+DS101</f>
        <v>15667.128100000002</v>
      </c>
      <c r="DT103" s="1360">
        <f>DT99+DT101</f>
        <v>15912.128100000002</v>
      </c>
      <c r="DU103" s="1360">
        <f>DU99+DU101</f>
        <v>16101.128100000002</v>
      </c>
      <c r="DV103" s="1360">
        <f>DV99+DV101</f>
        <v>14613.128100000002</v>
      </c>
      <c r="DW103" s="1361">
        <f>DV103</f>
        <v>14613.128100000002</v>
      </c>
      <c r="DX103" s="1360"/>
      <c r="DY103" s="1360">
        <f>DY99+DY101</f>
        <v>19664.128100000002</v>
      </c>
      <c r="DZ103" s="1360">
        <f>DZ99+DZ101</f>
        <v>14894.128100000002</v>
      </c>
      <c r="EA103" s="1360">
        <f>EA99+EA101</f>
        <v>16832.128100000002</v>
      </c>
      <c r="EB103" s="1360">
        <f>EB99+EB101</f>
        <v>17769.128100000002</v>
      </c>
      <c r="EC103" s="1361">
        <f>EB103</f>
        <v>17769.128100000002</v>
      </c>
      <c r="ED103" s="1360"/>
      <c r="EE103" s="1360">
        <f>EE99+EE101</f>
        <v>24179.128100000002</v>
      </c>
      <c r="EF103" s="1360">
        <f>EF99+EF101</f>
        <v>16153.128100000002</v>
      </c>
      <c r="EG103" s="1360">
        <f>EG99+EG101</f>
        <v>13701.128100000002</v>
      </c>
      <c r="EH103" s="1360">
        <f>EH99+EH101</f>
        <v>21716.128100000002</v>
      </c>
      <c r="EI103" s="1361">
        <f>EH103</f>
        <v>21716.128100000002</v>
      </c>
      <c r="EJ103" s="1360"/>
      <c r="EK103" s="1360">
        <f>EK99+EK101</f>
        <v>16739.128100000002</v>
      </c>
      <c r="EL103" s="1360">
        <f>EL99+EL101</f>
        <v>17411.128100000002</v>
      </c>
      <c r="EM103" s="1360">
        <f>EM99+EM101</f>
        <v>15583.128100000002</v>
      </c>
      <c r="EN103" s="1360">
        <f>EN99+EN101</f>
        <v>20152.128100000002</v>
      </c>
      <c r="EO103" s="1361">
        <f>EN103</f>
        <v>20152.128100000002</v>
      </c>
      <c r="EP103" s="1360"/>
      <c r="EQ103" s="1360">
        <f>EQ99+EQ101</f>
        <v>28614.128100000002</v>
      </c>
      <c r="ER103" s="1360">
        <f>ER99+ER101</f>
        <v>18592.128100000002</v>
      </c>
      <c r="ES103" s="1360">
        <f>ES99+ES101</f>
        <v>19748.128100000002</v>
      </c>
      <c r="ET103" s="1360">
        <f>ET99+ET101</f>
        <v>21784.128100000002</v>
      </c>
      <c r="EU103" s="1361">
        <f>ET103</f>
        <v>21784.128100000002</v>
      </c>
      <c r="EV103" s="1360"/>
      <c r="EW103" s="1360">
        <f>EW99+EW101</f>
        <v>21321.128100000002</v>
      </c>
      <c r="EX103" s="1360">
        <f>EX99+EX101</f>
        <v>21310.128100000002</v>
      </c>
      <c r="EY103" s="1360">
        <f>EY99+EY101</f>
        <v>19487.128100000002</v>
      </c>
      <c r="EZ103" s="1360">
        <f>EZ99+EZ101</f>
        <v>19610.645629562168</v>
      </c>
      <c r="FA103" s="1361">
        <f>EZ103</f>
        <v>19610.645629562168</v>
      </c>
      <c r="FB103" s="1360"/>
      <c r="FC103" s="1360">
        <f>FC99+FC101</f>
        <v>20391.682075827033</v>
      </c>
      <c r="FD103" s="1360">
        <f>FD99+FD101</f>
        <v>18624.795395241668</v>
      </c>
      <c r="FE103" s="1360">
        <f>FE99+FE101</f>
        <v>20173.373558817224</v>
      </c>
      <c r="FF103" s="1360">
        <f>FF99+FF101</f>
        <v>20646.480472891428</v>
      </c>
      <c r="FG103" s="1361">
        <f>FF103</f>
        <v>20646.480472891428</v>
      </c>
      <c r="FH103" s="1360"/>
      <c r="FI103" s="1360">
        <f>FI99+FI101</f>
        <v>24537.695139864878</v>
      </c>
      <c r="FJ103" s="1360">
        <f>FJ99+FJ101</f>
        <v>20497.563143346757</v>
      </c>
      <c r="FK103" s="1360">
        <f>FK99+FK101</f>
        <v>20328.852006080102</v>
      </c>
      <c r="FL103" s="1360">
        <f>FL99+FL101</f>
        <v>23858.658980066015</v>
      </c>
      <c r="FM103" s="1361">
        <f>FL103</f>
        <v>23858.658980066015</v>
      </c>
      <c r="FN103" s="221"/>
      <c r="FO103" s="221"/>
      <c r="FP103" s="261"/>
      <c r="FQ103" s="261"/>
      <c r="FR103" s="261"/>
      <c r="FS103"/>
      <c r="FT103"/>
      <c r="FU103"/>
      <c r="FV103"/>
      <c r="FW103"/>
      <c r="FX103"/>
      <c r="FY103" s="261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</row>
    <row r="104" spans="1:274" s="24" customFormat="1" ht="10.5" customHeight="1" x14ac:dyDescent="0.2">
      <c r="A104" s="276"/>
      <c r="B104" s="440"/>
      <c r="C104" s="276"/>
      <c r="D104" s="276"/>
      <c r="E104" s="276"/>
      <c r="F104" s="276"/>
      <c r="G104" s="276"/>
      <c r="H104" s="276"/>
      <c r="I104" s="276"/>
      <c r="J104" s="276"/>
      <c r="K104" s="276"/>
      <c r="L104" s="276"/>
      <c r="M104" s="276"/>
      <c r="N104" s="60"/>
      <c r="O104" s="276"/>
      <c r="P104" s="276"/>
      <c r="Q104" s="276"/>
      <c r="R104" s="276"/>
      <c r="S104" s="276"/>
      <c r="T104" s="276"/>
      <c r="U104" s="276"/>
      <c r="V104" s="276"/>
      <c r="W104" s="276"/>
      <c r="X104" s="276"/>
      <c r="Y104" s="276"/>
      <c r="Z104" s="276"/>
      <c r="AA104" s="276"/>
      <c r="AB104" s="276"/>
      <c r="AC104" s="276"/>
      <c r="AD104" s="276"/>
      <c r="AE104" s="276"/>
      <c r="AF104" s="276"/>
      <c r="AG104" s="276"/>
      <c r="AH104" s="276"/>
      <c r="AI104" s="276"/>
      <c r="AJ104" s="276"/>
      <c r="AK104" s="276"/>
      <c r="AL104" s="276"/>
      <c r="AM104" s="276"/>
      <c r="AN104" s="276"/>
      <c r="AO104" s="276"/>
      <c r="AP104" s="276"/>
      <c r="AQ104" s="276"/>
      <c r="AR104" s="276"/>
      <c r="AS104" s="276"/>
      <c r="AT104" s="276"/>
      <c r="AU104" s="276"/>
      <c r="AV104" s="276"/>
      <c r="AW104" s="276"/>
      <c r="AX104" s="276"/>
      <c r="AY104" s="276"/>
      <c r="AZ104" s="276"/>
      <c r="BA104" s="276"/>
      <c r="BB104" s="276"/>
      <c r="BC104" s="276"/>
      <c r="BD104" s="276"/>
      <c r="BE104" s="276"/>
      <c r="BF104" s="276"/>
      <c r="BG104" s="276"/>
      <c r="BH104" s="276"/>
      <c r="BI104" s="276"/>
      <c r="BJ104" s="276"/>
      <c r="BK104" s="276"/>
      <c r="BL104" s="276"/>
      <c r="BM104" s="276"/>
      <c r="BN104" s="276"/>
      <c r="BO104" s="276"/>
      <c r="BP104" s="276"/>
      <c r="BQ104" s="276"/>
      <c r="BR104" s="276"/>
      <c r="BS104" s="276"/>
      <c r="BT104" s="276"/>
      <c r="BU104" s="276"/>
      <c r="BV104" s="276"/>
      <c r="BW104" s="276"/>
      <c r="BX104" s="276"/>
      <c r="BY104" s="276"/>
      <c r="BZ104" s="276"/>
      <c r="CA104" s="276"/>
      <c r="CB104" s="276"/>
      <c r="CC104" s="276"/>
      <c r="CD104" s="276"/>
      <c r="CE104" s="276"/>
      <c r="CF104" s="276"/>
      <c r="CG104" s="276"/>
      <c r="CH104" s="276"/>
      <c r="CI104" s="276"/>
      <c r="CJ104" s="276"/>
      <c r="CK104" s="276"/>
      <c r="CL104" s="276"/>
      <c r="CM104" s="446"/>
      <c r="CN104" s="276"/>
      <c r="CO104" s="276"/>
      <c r="CP104" s="276"/>
      <c r="CQ104" s="276"/>
      <c r="CR104" s="276"/>
      <c r="CS104" s="446"/>
      <c r="CT104" s="276"/>
      <c r="CU104" s="276"/>
      <c r="CV104" s="276"/>
      <c r="CW104" s="276"/>
      <c r="CX104" s="276"/>
      <c r="CY104" s="446"/>
      <c r="CZ104" s="276"/>
      <c r="DA104" s="276"/>
      <c r="DB104" s="276"/>
      <c r="DC104" s="276"/>
      <c r="DD104" s="276"/>
      <c r="DE104" s="446"/>
      <c r="DF104" s="276"/>
      <c r="DG104" s="276"/>
      <c r="DH104" s="276"/>
      <c r="DI104" s="276"/>
      <c r="DJ104" s="276"/>
      <c r="DK104" s="446"/>
      <c r="DL104" s="276"/>
      <c r="DM104" s="276"/>
      <c r="DN104" s="276"/>
      <c r="DO104" s="276"/>
      <c r="DP104" s="276"/>
      <c r="DQ104" s="446"/>
      <c r="DR104" s="276"/>
      <c r="DS104" s="276"/>
      <c r="DT104" s="276"/>
      <c r="DU104" s="276"/>
      <c r="DV104" s="276"/>
      <c r="DW104" s="446"/>
      <c r="DX104" s="276"/>
      <c r="DY104" s="276"/>
      <c r="DZ104" s="276"/>
      <c r="EA104" s="276"/>
      <c r="EB104" s="276"/>
      <c r="EC104" s="446"/>
      <c r="ED104" s="276"/>
      <c r="EE104" s="276"/>
      <c r="EF104" s="276"/>
      <c r="EG104" s="276"/>
      <c r="EH104" s="276"/>
      <c r="EI104" s="446"/>
      <c r="EJ104" s="276"/>
      <c r="EK104" s="276"/>
      <c r="EL104" s="276"/>
      <c r="EM104" s="276"/>
      <c r="EN104" s="276"/>
      <c r="EO104" s="446"/>
      <c r="EP104" s="276"/>
      <c r="EQ104" s="276"/>
      <c r="ER104" s="276"/>
      <c r="ES104" s="276"/>
      <c r="ET104" s="276"/>
      <c r="EU104" s="446"/>
      <c r="EV104" s="276"/>
      <c r="EW104" s="276"/>
      <c r="EX104" s="276"/>
      <c r="EY104" s="276"/>
      <c r="EZ104" s="276"/>
      <c r="FA104" s="446"/>
      <c r="FB104" s="276"/>
      <c r="FC104" s="276"/>
      <c r="FD104" s="276"/>
      <c r="FE104" s="276"/>
      <c r="FF104" s="276"/>
      <c r="FG104" s="446"/>
      <c r="FH104" s="276"/>
      <c r="FI104" s="276"/>
      <c r="FJ104" s="276"/>
      <c r="FK104" s="276"/>
      <c r="FL104" s="276"/>
      <c r="FM104" s="446"/>
      <c r="FN104" s="261"/>
      <c r="FO104" s="261"/>
      <c r="FP104" s="261"/>
      <c r="FQ104" s="261"/>
      <c r="FR104" s="261"/>
      <c r="FS104"/>
      <c r="FT104"/>
      <c r="FU104"/>
      <c r="FV104"/>
      <c r="FW104"/>
      <c r="FX104"/>
      <c r="FY104" s="261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</row>
    <row r="105" spans="1:274" s="24" customFormat="1" ht="10.5" customHeight="1" x14ac:dyDescent="0.2">
      <c r="A105" s="1358" t="s">
        <v>38</v>
      </c>
      <c r="B105" s="1360"/>
      <c r="C105" s="1360">
        <f t="shared" ref="C105:M105" si="247">C101+C103</f>
        <v>0</v>
      </c>
      <c r="D105" s="1360">
        <f t="shared" si="247"/>
        <v>0</v>
      </c>
      <c r="E105" s="1360">
        <f t="shared" si="247"/>
        <v>13.123000000000005</v>
      </c>
      <c r="F105" s="1360">
        <f t="shared" si="247"/>
        <v>50.08100000000001</v>
      </c>
      <c r="G105" s="1360">
        <f t="shared" si="247"/>
        <v>78.669000000000011</v>
      </c>
      <c r="H105" s="1360">
        <f t="shared" si="247"/>
        <v>86.005000000000024</v>
      </c>
      <c r="I105" s="1360">
        <f t="shared" si="247"/>
        <v>89.740999999999971</v>
      </c>
      <c r="J105" s="1360">
        <f t="shared" si="247"/>
        <v>146.32900000000001</v>
      </c>
      <c r="K105" s="1360">
        <f t="shared" si="247"/>
        <v>254.76399999999998</v>
      </c>
      <c r="L105" s="1360">
        <f t="shared" si="247"/>
        <v>437.84299999999996</v>
      </c>
      <c r="M105" s="1360">
        <f t="shared" si="247"/>
        <v>689.37</v>
      </c>
      <c r="N105" s="1420"/>
      <c r="O105" s="1360">
        <f>O76+O83</f>
        <v>71.666999999999973</v>
      </c>
      <c r="P105" s="1360">
        <f>P76+P83</f>
        <v>-13.156999999999968</v>
      </c>
      <c r="Q105" s="1360">
        <f>Q76+Q83</f>
        <v>79.333000000000041</v>
      </c>
      <c r="R105" s="1360">
        <f>R76+R83</f>
        <v>168.79500000000002</v>
      </c>
      <c r="S105" s="1360">
        <f>S76+S83</f>
        <v>306.63799999999998</v>
      </c>
      <c r="T105" s="1421"/>
      <c r="U105" s="1360">
        <f>U76+U83</f>
        <v>103.00999999999996</v>
      </c>
      <c r="V105" s="1360">
        <f>V76+V83</f>
        <v>-0.83000000000002672</v>
      </c>
      <c r="W105" s="1360">
        <f>W76+W83</f>
        <v>202.19800000000006</v>
      </c>
      <c r="X105" s="1360">
        <f>X76+X83</f>
        <v>276.38700000000006</v>
      </c>
      <c r="Y105" s="1360">
        <f>Y76+Y83</f>
        <v>580.7650000000001</v>
      </c>
      <c r="Z105" s="1421"/>
      <c r="AA105" s="1360">
        <f>AA76+AA83</f>
        <v>145.12299999999993</v>
      </c>
      <c r="AB105" s="1360">
        <f>AB76+AB83</f>
        <v>-70.233000000000004</v>
      </c>
      <c r="AC105" s="1360">
        <f>AC76+AC83</f>
        <v>187.86800000000005</v>
      </c>
      <c r="AD105" s="1360">
        <f>AD76+AD83</f>
        <v>377.00499999999994</v>
      </c>
      <c r="AE105" s="1360">
        <f>AE76+AE83</f>
        <v>639.76299999999992</v>
      </c>
      <c r="AF105" s="1421"/>
      <c r="AG105" s="1360">
        <f>AG76+AG83</f>
        <v>369.35499999999996</v>
      </c>
      <c r="AH105" s="1360">
        <f>AH76+AH83</f>
        <v>93.166999999999874</v>
      </c>
      <c r="AI105" s="1360">
        <f>AI76+AI83</f>
        <v>275.83400000000017</v>
      </c>
      <c r="AJ105" s="1360">
        <f>AJ76+AJ83</f>
        <v>547.8649999999999</v>
      </c>
      <c r="AK105" s="1360">
        <f>AK76+AK83</f>
        <v>1286.2209999999998</v>
      </c>
      <c r="AL105" s="1421"/>
      <c r="AM105" s="1360">
        <f>AM76+AM83</f>
        <v>509.24899999999997</v>
      </c>
      <c r="AN105" s="1360">
        <f>AN76+AN83</f>
        <v>-55.803999999999959</v>
      </c>
      <c r="AO105" s="1360">
        <f>AO76+AO83</f>
        <v>358.63100000000009</v>
      </c>
      <c r="AP105" s="1360">
        <f>AP76+AP83</f>
        <v>648.43100000000004</v>
      </c>
      <c r="AQ105" s="1360">
        <f>AQ76+AQ83</f>
        <v>1460.5070000000001</v>
      </c>
      <c r="AR105" s="1421"/>
      <c r="AS105" s="1360">
        <f>AS76+AS83</f>
        <v>601.2245999999999</v>
      </c>
      <c r="AT105" s="1360">
        <f>AT76+AT83</f>
        <v>42.407400000000052</v>
      </c>
      <c r="AU105" s="1360">
        <f>AU76+AU83</f>
        <v>891.36</v>
      </c>
      <c r="AV105" s="1360">
        <f>AV76+AV83</f>
        <v>1125.1290000000008</v>
      </c>
      <c r="AW105" s="1360">
        <f>AW76+AW83</f>
        <v>2660.121000000001</v>
      </c>
      <c r="AX105" s="1421"/>
      <c r="AY105" s="1360">
        <f>AY76+AY83</f>
        <v>-947.20399999999984</v>
      </c>
      <c r="AZ105" s="1360">
        <f>AZ76+AZ83</f>
        <v>527.37099999999975</v>
      </c>
      <c r="BA105" s="1360">
        <f>BA76+BA83</f>
        <v>946.03499999999985</v>
      </c>
      <c r="BB105" s="1360">
        <f>BB76+BB83</f>
        <v>1339.7980000000002</v>
      </c>
      <c r="BC105" s="1360">
        <f>BC76+BC83</f>
        <v>1866</v>
      </c>
      <c r="BD105" s="1421"/>
      <c r="BE105" s="1360">
        <f>BE76+BE83</f>
        <v>1151.021</v>
      </c>
      <c r="BF105" s="1360">
        <f>BF76+BF83</f>
        <v>198.97899999999998</v>
      </c>
      <c r="BG105" s="1360">
        <f>BG76+BG83</f>
        <v>609</v>
      </c>
      <c r="BH105" s="1360">
        <f>BH76+BH83</f>
        <v>898</v>
      </c>
      <c r="BI105" s="1360">
        <f>BI76+BI83</f>
        <v>2857</v>
      </c>
      <c r="BJ105" s="1421"/>
      <c r="BK105" s="1360">
        <f>BK76+BK83</f>
        <v>1175</v>
      </c>
      <c r="BL105" s="1360">
        <f>BL76+BL83</f>
        <v>219</v>
      </c>
      <c r="BM105" s="1360">
        <f>BM76+BM83</f>
        <v>715</v>
      </c>
      <c r="BN105" s="1360">
        <f>BN76+BN83</f>
        <v>623</v>
      </c>
      <c r="BO105" s="1360">
        <f>BO76+BO83</f>
        <v>2732</v>
      </c>
      <c r="BP105" s="1421"/>
      <c r="BQ105" s="1360">
        <f>BQ76+BQ83</f>
        <v>1175</v>
      </c>
      <c r="BR105" s="1360">
        <f>BR76+BR83</f>
        <v>322</v>
      </c>
      <c r="BS105" s="1360">
        <f>BS76+BS83</f>
        <v>518</v>
      </c>
      <c r="BT105" s="1360">
        <f>BT76+BT83</f>
        <v>991</v>
      </c>
      <c r="BU105" s="1360">
        <f>BU76+BU83</f>
        <v>3006</v>
      </c>
      <c r="BV105" s="1421"/>
      <c r="BW105" s="1360">
        <f>BW76+BW83</f>
        <v>1380</v>
      </c>
      <c r="BX105" s="1360">
        <f>BX76+BX83</f>
        <v>327</v>
      </c>
      <c r="BY105" s="1360">
        <f>BY76+BY83</f>
        <v>700</v>
      </c>
      <c r="BZ105" s="1360">
        <f>BZ76+BZ83</f>
        <v>956.92250000000013</v>
      </c>
      <c r="CA105" s="1360">
        <f>CA76+CA83</f>
        <v>3363.9225000000001</v>
      </c>
      <c r="CB105" s="1360"/>
      <c r="CC105" s="1360">
        <f>CC76+CC83</f>
        <v>1406</v>
      </c>
      <c r="CD105" s="1360">
        <f>CD76+CD83</f>
        <v>264</v>
      </c>
      <c r="CE105" s="1360">
        <f>CE76+CE83</f>
        <v>1031</v>
      </c>
      <c r="CF105" s="1360">
        <f>CF76+CF83</f>
        <v>1604</v>
      </c>
      <c r="CG105" s="1360">
        <f>CG76+CG83</f>
        <v>4305</v>
      </c>
      <c r="CH105" s="1360"/>
      <c r="CI105" s="1360">
        <f>CI76+CI83</f>
        <v>1576</v>
      </c>
      <c r="CJ105" s="1360">
        <f>CJ76+CJ83</f>
        <v>184</v>
      </c>
      <c r="CK105" s="1360">
        <f>CK76+CK83</f>
        <v>1362</v>
      </c>
      <c r="CL105" s="1360">
        <f>CL76+CL83</f>
        <v>2079</v>
      </c>
      <c r="CM105" s="1361">
        <f>CM76+CM83</f>
        <v>5201</v>
      </c>
      <c r="CN105" s="1360"/>
      <c r="CO105" s="1360">
        <f>CO76+CO83</f>
        <v>2614</v>
      </c>
      <c r="CP105" s="1360">
        <f>CP76+CP83</f>
        <v>533</v>
      </c>
      <c r="CQ105" s="1360">
        <f>CQ76+CQ83</f>
        <v>1765</v>
      </c>
      <c r="CR105" s="1360">
        <f>CR76+CR83</f>
        <v>2247</v>
      </c>
      <c r="CS105" s="1361">
        <f>CS76+CS83</f>
        <v>7159</v>
      </c>
      <c r="CT105" s="1360"/>
      <c r="CU105" s="1360">
        <f>CU76+CU83</f>
        <v>2917</v>
      </c>
      <c r="CV105" s="1360">
        <f>CV76+CV83</f>
        <v>674</v>
      </c>
      <c r="CW105" s="1360">
        <f>CW76+CW83</f>
        <v>2165</v>
      </c>
      <c r="CX105" s="1360">
        <f>CX76+CX83</f>
        <v>1970</v>
      </c>
      <c r="CY105" s="1361">
        <f>CY76+CY83</f>
        <v>7726</v>
      </c>
      <c r="CZ105" s="1360"/>
      <c r="DA105" s="1360">
        <f>DA76+DA83</f>
        <v>3683</v>
      </c>
      <c r="DB105" s="1360">
        <f>DB76+DB83</f>
        <v>606</v>
      </c>
      <c r="DC105" s="1360">
        <f>DC76+DC83</f>
        <v>1720</v>
      </c>
      <c r="DD105" s="1360">
        <f>DD76+DD83</f>
        <v>2442</v>
      </c>
      <c r="DE105" s="1361">
        <f>DE76+DE83</f>
        <v>8451</v>
      </c>
      <c r="DF105" s="1360"/>
      <c r="DG105" s="1360">
        <f>DG76+DG83</f>
        <v>3699</v>
      </c>
      <c r="DH105" s="1360">
        <f>DH76+DH83</f>
        <v>823</v>
      </c>
      <c r="DI105" s="1360">
        <f>DI76+DI83</f>
        <v>2543</v>
      </c>
      <c r="DJ105" s="1360">
        <f>DJ76+DJ83</f>
        <v>3699</v>
      </c>
      <c r="DK105" s="1361">
        <f>DK76+DK83</f>
        <v>10764</v>
      </c>
      <c r="DL105" s="1360"/>
      <c r="DM105" s="1360">
        <f>DM76+DM83</f>
        <v>5261</v>
      </c>
      <c r="DN105" s="1360">
        <f>DN76+DN83</f>
        <v>1146</v>
      </c>
      <c r="DO105" s="1360">
        <f>DO76+DO83</f>
        <v>2848</v>
      </c>
      <c r="DP105" s="1360">
        <f>DP76+DP83</f>
        <v>3840</v>
      </c>
      <c r="DQ105" s="1361">
        <f>DQ76+DQ83</f>
        <v>13095</v>
      </c>
      <c r="DR105" s="1360"/>
      <c r="DS105" s="1360">
        <f>DS76+DS83</f>
        <v>5532</v>
      </c>
      <c r="DT105" s="1360">
        <f>DT76+DT83</f>
        <v>583</v>
      </c>
      <c r="DU105" s="1360">
        <f>DU76+DU83</f>
        <v>3078</v>
      </c>
      <c r="DV105" s="1360">
        <f>DV76+DV83</f>
        <v>4381</v>
      </c>
      <c r="DW105" s="1361">
        <f>DW76+DW83</f>
        <v>13574</v>
      </c>
      <c r="DX105" s="1360"/>
      <c r="DY105" s="1360">
        <f>DY76+DY83</f>
        <v>6139</v>
      </c>
      <c r="DZ105" s="1360">
        <f>DZ76+DZ83</f>
        <v>1020</v>
      </c>
      <c r="EA105" s="1360">
        <f>EA76+EA83</f>
        <v>2880</v>
      </c>
      <c r="EB105" s="1360">
        <f>EB76+EB83</f>
        <v>4302</v>
      </c>
      <c r="EC105" s="1361">
        <f>EC76+EC83</f>
        <v>14341</v>
      </c>
      <c r="ED105" s="1360"/>
      <c r="EE105" s="1360">
        <f>EE76+EE83</f>
        <v>6527</v>
      </c>
      <c r="EF105" s="1360">
        <f>EF76+EF83</f>
        <v>837</v>
      </c>
      <c r="EG105" s="1360">
        <f>EG76+EG83</f>
        <v>1895</v>
      </c>
      <c r="EH105" s="1360">
        <f>EH76+EH83</f>
        <v>3686</v>
      </c>
      <c r="EI105" s="1361">
        <f>EI76+EI83</f>
        <v>12945</v>
      </c>
      <c r="EJ105" s="1360"/>
      <c r="EK105" s="1360">
        <f>EK76+EK83</f>
        <v>5410</v>
      </c>
      <c r="EL105" s="1360">
        <f>EL76+EL83</f>
        <v>306</v>
      </c>
      <c r="EM105" s="1360">
        <f>EM76+EM83</f>
        <v>3106</v>
      </c>
      <c r="EN105" s="1360">
        <f>EN76+EN83</f>
        <v>3550</v>
      </c>
      <c r="EO105" s="1361">
        <f>EO76+EO83</f>
        <v>12372</v>
      </c>
      <c r="EP105" s="1360"/>
      <c r="EQ105" s="1360">
        <f>EQ76+EQ83</f>
        <v>5576</v>
      </c>
      <c r="ER105" s="1360">
        <f>ER76+ER83</f>
        <v>329</v>
      </c>
      <c r="ES105" s="1360">
        <f>ES76+ES83</f>
        <v>2259</v>
      </c>
      <c r="ET105" s="1360">
        <f>ET76+ET83</f>
        <v>3941</v>
      </c>
      <c r="EU105" s="1361">
        <f>EU76+EU83</f>
        <v>12105</v>
      </c>
      <c r="EV105" s="1360"/>
      <c r="EW105" s="1360">
        <f>EW76+EW83</f>
        <v>6093</v>
      </c>
      <c r="EX105" s="1360">
        <f>EX76+EX83</f>
        <v>251</v>
      </c>
      <c r="EY105" s="1360">
        <f>EY76+EY83</f>
        <v>3024</v>
      </c>
      <c r="EZ105" s="1360">
        <f>EZ76+EZ83</f>
        <v>3898.0100285260419</v>
      </c>
      <c r="FA105" s="1361">
        <f>FA76+FA83</f>
        <v>13266.010028526041</v>
      </c>
      <c r="FB105" s="1360"/>
      <c r="FC105" s="1360">
        <f>FC76+FC83</f>
        <v>5434.7875663250661</v>
      </c>
      <c r="FD105" s="1360">
        <f>FD76+FD83</f>
        <v>380.87305277020056</v>
      </c>
      <c r="FE105" s="1360">
        <f>FE76+FE83</f>
        <v>3690.5117168027809</v>
      </c>
      <c r="FF105" s="1360">
        <f>FF76+FF83</f>
        <v>4609.3770522728873</v>
      </c>
      <c r="FG105" s="1361">
        <f>FG76+FG83</f>
        <v>14115.549388170937</v>
      </c>
      <c r="FH105" s="1360"/>
      <c r="FI105" s="1360">
        <f>FI76+FI83</f>
        <v>5833.9843780139408</v>
      </c>
      <c r="FJ105" s="1360">
        <f>FJ76+FJ83</f>
        <v>397.51880943146773</v>
      </c>
      <c r="FK105" s="1360">
        <f>FK76+FK83</f>
        <v>3763.9764186229586</v>
      </c>
      <c r="FL105" s="1360">
        <f>FL76+FL83</f>
        <v>5457.6846345258218</v>
      </c>
      <c r="FM105" s="1361">
        <f>FM76+FM83</f>
        <v>15453.164240594195</v>
      </c>
      <c r="FN105" s="242"/>
      <c r="FO105" s="242"/>
      <c r="FP105" s="242"/>
      <c r="FQ105" s="242"/>
      <c r="FR105" s="242"/>
      <c r="FS105"/>
      <c r="FT105"/>
      <c r="FU105"/>
      <c r="FV105"/>
      <c r="FW105"/>
      <c r="FX105"/>
      <c r="FY105" s="242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</row>
    <row r="106" spans="1:274" s="614" customFormat="1" ht="10.5" customHeight="1" x14ac:dyDescent="0.2">
      <c r="A106" s="1210" t="s">
        <v>549</v>
      </c>
      <c r="B106" s="1211"/>
      <c r="C106" s="238"/>
      <c r="D106" s="238"/>
      <c r="E106" s="238"/>
      <c r="F106" s="1212">
        <f>F105/E105-1</f>
        <v>2.8162767659833872</v>
      </c>
      <c r="G106" s="1212">
        <f t="shared" ref="G106:M106" si="248">G105/F105-1</f>
        <v>0.57083524690002196</v>
      </c>
      <c r="H106" s="1212">
        <f t="shared" si="248"/>
        <v>9.3251471354663273E-2</v>
      </c>
      <c r="I106" s="1212">
        <f t="shared" si="248"/>
        <v>4.3439334922387607E-2</v>
      </c>
      <c r="J106" s="1212">
        <f t="shared" si="248"/>
        <v>0.63057019645424117</v>
      </c>
      <c r="K106" s="1212">
        <f t="shared" si="248"/>
        <v>0.74103561153291531</v>
      </c>
      <c r="L106" s="1212">
        <f t="shared" si="248"/>
        <v>0.71862194030553761</v>
      </c>
      <c r="M106" s="1212">
        <f t="shared" si="248"/>
        <v>0.57446847385935151</v>
      </c>
      <c r="N106" s="607"/>
      <c r="O106" s="607"/>
      <c r="P106" s="607"/>
      <c r="Q106" s="607"/>
      <c r="R106" s="607"/>
      <c r="S106" s="607"/>
      <c r="T106" s="607"/>
      <c r="U106" s="1212">
        <f>U105/O105-1</f>
        <v>0.43734215189696801</v>
      </c>
      <c r="V106" s="1212">
        <f>V105/P105-1</f>
        <v>-0.93691571026829612</v>
      </c>
      <c r="W106" s="1212">
        <f>W105/Q105-1</f>
        <v>1.5487249946428343</v>
      </c>
      <c r="X106" s="1212">
        <f>X105/R105-1</f>
        <v>0.6374122456233895</v>
      </c>
      <c r="Y106" s="1212">
        <f>Y105/S105-1</f>
        <v>0.89397595862221957</v>
      </c>
      <c r="Z106" s="1212"/>
      <c r="AA106" s="1212">
        <f>AA105/U105-1</f>
        <v>0.40882438598194337</v>
      </c>
      <c r="AB106" s="1212">
        <f>AB105/V105-1</f>
        <v>83.618072289153915</v>
      </c>
      <c r="AC106" s="1212">
        <f>AC105/W105-1</f>
        <v>-7.087112632172432E-2</v>
      </c>
      <c r="AD106" s="1212">
        <f>AD105/X105-1</f>
        <v>0.36404751308853123</v>
      </c>
      <c r="AE106" s="1212">
        <f>AE105/Y105-1</f>
        <v>0.10158670030046535</v>
      </c>
      <c r="AF106" s="607"/>
      <c r="AG106" s="1212">
        <f>AG105/AA105-1</f>
        <v>1.5451169008358434</v>
      </c>
      <c r="AH106" s="1212">
        <f>AH105/AB105-1</f>
        <v>-2.3265416542081336</v>
      </c>
      <c r="AI106" s="1212">
        <f>AI105/AC105-1</f>
        <v>0.46823301466987521</v>
      </c>
      <c r="AJ106" s="1212">
        <f>AJ105/AD105-1</f>
        <v>0.45320353841460981</v>
      </c>
      <c r="AK106" s="1212">
        <f>AK105/AE105-1</f>
        <v>1.0104648127509717</v>
      </c>
      <c r="AL106" s="607"/>
      <c r="AM106" s="1212">
        <f>AM105/AG105-1</f>
        <v>0.37875214901652887</v>
      </c>
      <c r="AN106" s="1212">
        <f>AN105/AH105-1</f>
        <v>-1.5989674455547569</v>
      </c>
      <c r="AO106" s="1212">
        <f>AO105/AI105-1</f>
        <v>0.30016966726364358</v>
      </c>
      <c r="AP106" s="1212">
        <f>AP105/AJ105-1</f>
        <v>0.18355981856844328</v>
      </c>
      <c r="AQ106" s="1212">
        <f>AQ105/AK105-1</f>
        <v>0.1355023747862929</v>
      </c>
      <c r="AR106" s="607"/>
      <c r="AS106" s="1212">
        <f>AS105/AM105-1</f>
        <v>0.18061027120328155</v>
      </c>
      <c r="AT106" s="1212">
        <f>AT105/AN105-1</f>
        <v>-1.7599347717009548</v>
      </c>
      <c r="AU106" s="1212">
        <f>AU105/AO105-1</f>
        <v>1.485451620188996</v>
      </c>
      <c r="AV106" s="1212">
        <f>AV105/AP105-1</f>
        <v>0.73515609216709366</v>
      </c>
      <c r="AW106" s="1212">
        <f>AW105/AQ105-1</f>
        <v>0.82136819611272038</v>
      </c>
      <c r="AX106" s="607"/>
      <c r="AY106" s="1212">
        <f>AY105/AS105-1</f>
        <v>-2.5754578239147232</v>
      </c>
      <c r="AZ106" s="1212">
        <f>AZ105/AT105-1</f>
        <v>11.435824879620045</v>
      </c>
      <c r="BA106" s="1212">
        <f>BA105/AU105-1</f>
        <v>6.133885298869135E-2</v>
      </c>
      <c r="BB106" s="1212">
        <f>BB105/AV105-1</f>
        <v>0.19079501106095331</v>
      </c>
      <c r="BC106" s="1212">
        <f>BC105/AW105-1</f>
        <v>-0.29852814965935781</v>
      </c>
      <c r="BD106" s="607"/>
      <c r="BE106" s="1212">
        <f>BE105/AY105-1</f>
        <v>-2.2151775119192911</v>
      </c>
      <c r="BF106" s="1212">
        <f>BF105/AZ105-1</f>
        <v>-0.62269635607570373</v>
      </c>
      <c r="BG106" s="1212">
        <f>BG105/BA105-1</f>
        <v>-0.35626060346604504</v>
      </c>
      <c r="BH106" s="1212">
        <f>BH105/BB105-1</f>
        <v>-0.32974970853815289</v>
      </c>
      <c r="BI106" s="1212">
        <f>BI105/BC105-1</f>
        <v>0.53108252947481249</v>
      </c>
      <c r="BJ106" s="607"/>
      <c r="BK106" s="1212">
        <f>BK105/BE105-1</f>
        <v>2.0832808437031058E-2</v>
      </c>
      <c r="BL106" s="1212">
        <f>BL105/BF105-1</f>
        <v>0.10061865825036831</v>
      </c>
      <c r="BM106" s="1212">
        <f>BM105/BG105-1</f>
        <v>0.17405582922824303</v>
      </c>
      <c r="BN106" s="1212">
        <f>BN105/BH105-1</f>
        <v>-0.30623608017817372</v>
      </c>
      <c r="BO106" s="1212">
        <f>BO105/BI105-1</f>
        <v>-4.3752187609380488E-2</v>
      </c>
      <c r="BP106" s="607"/>
      <c r="BQ106" s="1212">
        <f>BQ105/BK105-1</f>
        <v>0</v>
      </c>
      <c r="BR106" s="1212">
        <f>BR105/BL105-1</f>
        <v>0.47031963470319638</v>
      </c>
      <c r="BS106" s="1212">
        <f>BS105/BM105-1</f>
        <v>-0.27552447552447557</v>
      </c>
      <c r="BT106" s="1212">
        <f>BT105/BN105-1</f>
        <v>0.5906902086677368</v>
      </c>
      <c r="BU106" s="1212">
        <f>BU105/BO105-1</f>
        <v>0.10029282576866771</v>
      </c>
      <c r="BV106" s="607"/>
      <c r="BW106" s="1212">
        <f>BW105/BQ105-1</f>
        <v>0.1744680851063829</v>
      </c>
      <c r="BX106" s="1212">
        <f>BX105/BR105-1</f>
        <v>1.552795031055898E-2</v>
      </c>
      <c r="BY106" s="1212">
        <f>BY105/BS105-1</f>
        <v>0.35135135135135132</v>
      </c>
      <c r="BZ106" s="1212">
        <f>BZ105/BT105-1</f>
        <v>-3.438698284561037E-2</v>
      </c>
      <c r="CA106" s="1212">
        <f>CA105/BU105-1</f>
        <v>0.11906936127744516</v>
      </c>
      <c r="CB106" s="607"/>
      <c r="CC106" s="1212">
        <f>CC105/BW105-1</f>
        <v>1.8840579710144967E-2</v>
      </c>
      <c r="CD106" s="1212">
        <f>CD105/BX105-1</f>
        <v>-0.19266055045871555</v>
      </c>
      <c r="CE106" s="1212">
        <f>CE105/BY105-1</f>
        <v>0.47285714285714286</v>
      </c>
      <c r="CF106" s="1212">
        <f>CF105/BZ105-1</f>
        <v>0.67620679835618858</v>
      </c>
      <c r="CG106" s="1212">
        <f>CG105/CA105-1</f>
        <v>0.27975599913493832</v>
      </c>
      <c r="CH106" s="607"/>
      <c r="CI106" s="1212">
        <f>CI105/CC105-1</f>
        <v>0.12091038406827881</v>
      </c>
      <c r="CJ106" s="1212">
        <f>CJ105/CD105-1</f>
        <v>-0.30303030303030298</v>
      </c>
      <c r="CK106" s="1212">
        <f>CK105/CE105-1</f>
        <v>0.32104752667313297</v>
      </c>
      <c r="CL106" s="1212">
        <f>CL105/CF105-1</f>
        <v>0.29613466334164595</v>
      </c>
      <c r="CM106" s="1213">
        <f>CM105/CG105-1</f>
        <v>0.20813008130081312</v>
      </c>
      <c r="CN106" s="607"/>
      <c r="CO106" s="1212">
        <f>CO105/CI105-1</f>
        <v>0.65862944162436543</v>
      </c>
      <c r="CP106" s="1212">
        <f>CP105/CJ105-1</f>
        <v>1.8967391304347827</v>
      </c>
      <c r="CQ106" s="1212">
        <f>CQ105/CK105-1</f>
        <v>0.29588839941262846</v>
      </c>
      <c r="CR106" s="1212">
        <f>CR105/CL105-1</f>
        <v>8.0808080808080884E-2</v>
      </c>
      <c r="CS106" s="1213">
        <f>CS105/CM105-1</f>
        <v>0.37646606421841944</v>
      </c>
      <c r="CT106" s="607"/>
      <c r="CU106" s="1212">
        <f>CU105/CO105-1</f>
        <v>0.11591430757459831</v>
      </c>
      <c r="CV106" s="1212">
        <f>CV105/CP105-1</f>
        <v>0.26454033771106933</v>
      </c>
      <c r="CW106" s="1212">
        <f>CW105/CQ105-1</f>
        <v>0.22662889518413598</v>
      </c>
      <c r="CX106" s="1212">
        <f>CX105/CR105-1</f>
        <v>-0.12327547841566533</v>
      </c>
      <c r="CY106" s="1213">
        <f>CY105/CS105-1</f>
        <v>7.9201005727056906E-2</v>
      </c>
      <c r="CZ106" s="607"/>
      <c r="DA106" s="1212">
        <f>DA105/CU105-1</f>
        <v>0.26259856016455263</v>
      </c>
      <c r="DB106" s="1212">
        <f>DB105/CV105-1</f>
        <v>-0.10089020771513357</v>
      </c>
      <c r="DC106" s="1212">
        <f>DC105/CW105-1</f>
        <v>-0.20554272517321015</v>
      </c>
      <c r="DD106" s="1212">
        <f>DD105/CX105-1</f>
        <v>0.23959390862944163</v>
      </c>
      <c r="DE106" s="1213">
        <f>DE105/CY105-1</f>
        <v>9.3838985244628637E-2</v>
      </c>
      <c r="DF106" s="607"/>
      <c r="DG106" s="1212">
        <f>DG105/DA105-1</f>
        <v>4.3442845506380667E-3</v>
      </c>
      <c r="DH106" s="1212">
        <f>DH105/DB105-1</f>
        <v>0.35808580858085803</v>
      </c>
      <c r="DI106" s="1212">
        <f>DI105/DC105-1</f>
        <v>0.47848837209302331</v>
      </c>
      <c r="DJ106" s="1212">
        <f>DJ105/DD105-1</f>
        <v>0.51474201474201475</v>
      </c>
      <c r="DK106" s="1213">
        <f>DK105/DE105-1</f>
        <v>0.27369542066027686</v>
      </c>
      <c r="DL106" s="607"/>
      <c r="DM106" s="1212">
        <f>DM105/DG105-1</f>
        <v>0.42227629088942953</v>
      </c>
      <c r="DN106" s="1212">
        <f>DN105/DH105-1</f>
        <v>0.39246658566221138</v>
      </c>
      <c r="DO106" s="1212">
        <f>DO105/DI105-1</f>
        <v>0.1199370821863941</v>
      </c>
      <c r="DP106" s="1212">
        <f>DP105/DJ105-1</f>
        <v>3.811841038118402E-2</v>
      </c>
      <c r="DQ106" s="1213">
        <f>DQ105/DK105-1</f>
        <v>0.21655518394648832</v>
      </c>
      <c r="DR106" s="607"/>
      <c r="DS106" s="1212">
        <f>DS105/DM105-1</f>
        <v>5.1511119559019214E-2</v>
      </c>
      <c r="DT106" s="1212">
        <f>DT105/DN105-1</f>
        <v>-0.49127399650959858</v>
      </c>
      <c r="DU106" s="1212">
        <f>DU105/DO105-1</f>
        <v>8.0758426966292207E-2</v>
      </c>
      <c r="DV106" s="1212">
        <f>DV105/DP105-1</f>
        <v>0.14088541666666665</v>
      </c>
      <c r="DW106" s="1213">
        <f>DW105/DQ105-1</f>
        <v>3.6578846888125183E-2</v>
      </c>
      <c r="DX106" s="607"/>
      <c r="DY106" s="1212">
        <f>DY105/DS105-1</f>
        <v>0.10972523499638465</v>
      </c>
      <c r="DZ106" s="1212">
        <f>DZ105/DT105-1</f>
        <v>0.74957118353344776</v>
      </c>
      <c r="EA106" s="1212">
        <f>EA105/DU105-1</f>
        <v>-6.4327485380117011E-2</v>
      </c>
      <c r="EB106" s="1212">
        <f>EB105/DV105-1</f>
        <v>-1.80324126911664E-2</v>
      </c>
      <c r="EC106" s="1213">
        <f>EC105/DW105-1</f>
        <v>5.6505083247384791E-2</v>
      </c>
      <c r="ED106" s="607"/>
      <c r="EE106" s="1212">
        <f>EE105/DY105-1</f>
        <v>6.3202475973285654E-2</v>
      </c>
      <c r="EF106" s="1212">
        <f>EF105/DZ105-1</f>
        <v>-0.17941176470588238</v>
      </c>
      <c r="EG106" s="1212">
        <f>EG105/EA105-1</f>
        <v>-0.34201388888888884</v>
      </c>
      <c r="EH106" s="1212">
        <f>EH105/EB105-1</f>
        <v>-0.1431892143189214</v>
      </c>
      <c r="EI106" s="1213">
        <f>EI105/EC105-1</f>
        <v>-9.7343281500592682E-2</v>
      </c>
      <c r="EJ106" s="607"/>
      <c r="EK106" s="1212">
        <f>EK105/EE105-1</f>
        <v>-0.17113528420407542</v>
      </c>
      <c r="EL106" s="1212">
        <f>EL105/EF105-1</f>
        <v>-0.63440860215053763</v>
      </c>
      <c r="EM106" s="1212">
        <f>EM105/EG105-1</f>
        <v>0.63905013192612148</v>
      </c>
      <c r="EN106" s="1212">
        <f>EN105/EH105-1</f>
        <v>-3.6896364622897471E-2</v>
      </c>
      <c r="EO106" s="1213">
        <f>EO105/EI105-1</f>
        <v>-4.4264194669756618E-2</v>
      </c>
      <c r="EP106" s="607"/>
      <c r="EQ106" s="1212">
        <f>EQ105/EK105-1</f>
        <v>3.0683918669131227E-2</v>
      </c>
      <c r="ER106" s="1212">
        <f>ER105/EL105-1</f>
        <v>7.5163398692810413E-2</v>
      </c>
      <c r="ES106" s="1212">
        <f>ES105/EM105-1</f>
        <v>-0.27269800386348997</v>
      </c>
      <c r="ET106" s="1212">
        <f>ET105/EN105-1</f>
        <v>0.11014084507042243</v>
      </c>
      <c r="EU106" s="1213">
        <f>EU105/EO105-1</f>
        <v>-2.1580989330746814E-2</v>
      </c>
      <c r="EV106" s="607"/>
      <c r="EW106" s="1212">
        <f>EW105/EQ105-1</f>
        <v>9.2718794835007223E-2</v>
      </c>
      <c r="EX106" s="1212">
        <f>EX105/ER105-1</f>
        <v>-0.23708206686930089</v>
      </c>
      <c r="EY106" s="1212">
        <f>EY105/ES105-1</f>
        <v>0.33864541832669315</v>
      </c>
      <c r="EZ106" s="1212">
        <f>EZ105/ET105-1</f>
        <v>-1.0908391645257032E-2</v>
      </c>
      <c r="FA106" s="1213">
        <f>FA105/EU105-1</f>
        <v>9.5911609130610698E-2</v>
      </c>
      <c r="FB106" s="607"/>
      <c r="FC106" s="1212">
        <f>FC105/EW105-1</f>
        <v>-0.10802764380025176</v>
      </c>
      <c r="FD106" s="1212">
        <f>FD105/EX105-1</f>
        <v>0.51742252099681507</v>
      </c>
      <c r="FE106" s="1212">
        <f>FE105/EY105-1</f>
        <v>0.22040731375753331</v>
      </c>
      <c r="FF106" s="1212">
        <f>FF105/EZ105-1</f>
        <v>0.18249491882806557</v>
      </c>
      <c r="FG106" s="1213">
        <f>FG105/FA105-1</f>
        <v>6.4038799745976593E-2</v>
      </c>
      <c r="FH106" s="607"/>
      <c r="FI106" s="1212">
        <f>FI105/FC105-1</f>
        <v>7.345214634742514E-2</v>
      </c>
      <c r="FJ106" s="1212">
        <f>FJ105/FD105-1</f>
        <v>4.3704212047026569E-2</v>
      </c>
      <c r="FK106" s="1212">
        <f>FK105/FE105-1</f>
        <v>1.9906372735708944E-2</v>
      </c>
      <c r="FL106" s="1212">
        <f>FL105/FF105-1</f>
        <v>0.18403952912349264</v>
      </c>
      <c r="FM106" s="1213">
        <f>FM105/FG105-1</f>
        <v>9.4761798895635074E-2</v>
      </c>
      <c r="FN106" s="261"/>
      <c r="FO106" s="261"/>
      <c r="FP106" s="261"/>
      <c r="FQ106" s="261"/>
      <c r="FR106" s="261"/>
      <c r="FS106"/>
      <c r="FT106"/>
      <c r="FU106"/>
      <c r="FV106"/>
      <c r="FW106"/>
      <c r="FX106"/>
      <c r="FY106" s="261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</row>
    <row r="107" spans="1:274" s="24" customFormat="1" ht="10.5" customHeight="1" x14ac:dyDescent="0.2">
      <c r="A107" s="1128"/>
      <c r="B107" s="1129"/>
      <c r="C107" s="1128"/>
      <c r="D107" s="1128"/>
      <c r="E107" s="1128"/>
      <c r="F107" s="1128"/>
      <c r="G107" s="1128"/>
      <c r="H107" s="1128"/>
      <c r="I107" s="1128"/>
      <c r="J107" s="1128"/>
      <c r="K107" s="1128"/>
      <c r="L107" s="1128"/>
      <c r="M107" s="1128"/>
      <c r="N107" s="1128"/>
      <c r="O107" s="1128"/>
      <c r="P107" s="1128"/>
      <c r="Q107" s="1128"/>
      <c r="R107" s="1128"/>
      <c r="S107" s="1128"/>
      <c r="T107" s="1130"/>
      <c r="U107" s="1128"/>
      <c r="V107" s="1128"/>
      <c r="W107" s="1128"/>
      <c r="X107" s="1128"/>
      <c r="Y107" s="1128"/>
      <c r="Z107" s="1130"/>
      <c r="AA107" s="1128"/>
      <c r="AB107" s="1128"/>
      <c r="AC107" s="1128"/>
      <c r="AD107" s="1128"/>
      <c r="AE107" s="1128"/>
      <c r="AF107" s="1130"/>
      <c r="AG107" s="1128"/>
      <c r="AH107" s="1128"/>
      <c r="AI107" s="1128"/>
      <c r="AJ107" s="1128"/>
      <c r="AK107" s="1128"/>
      <c r="AL107" s="1130"/>
      <c r="AM107" s="1128"/>
      <c r="AN107" s="1128"/>
      <c r="AO107" s="1128"/>
      <c r="AP107" s="1128"/>
      <c r="AQ107" s="1128"/>
      <c r="AR107" s="1130"/>
      <c r="AS107" s="1128"/>
      <c r="AT107" s="1128"/>
      <c r="AU107" s="1128"/>
      <c r="AV107" s="1128"/>
      <c r="AW107" s="1128"/>
      <c r="AX107" s="1130"/>
      <c r="AY107" s="1128"/>
      <c r="AZ107" s="1128"/>
      <c r="BA107" s="1128"/>
      <c r="BB107" s="1128"/>
      <c r="BC107" s="1128"/>
      <c r="BD107" s="1130"/>
      <c r="BE107" s="1128"/>
      <c r="BF107" s="1128"/>
      <c r="BG107" s="1128"/>
      <c r="BH107" s="1128"/>
      <c r="BI107" s="1128"/>
      <c r="BJ107" s="1130"/>
      <c r="BK107" s="1128"/>
      <c r="BL107" s="1128"/>
      <c r="BM107" s="1128"/>
      <c r="BN107" s="1128"/>
      <c r="BO107" s="1128"/>
      <c r="BP107" s="1130"/>
      <c r="BQ107" s="1128"/>
      <c r="BR107" s="1128"/>
      <c r="BS107" s="1128"/>
      <c r="BT107" s="1128"/>
      <c r="BU107" s="1128"/>
      <c r="BV107" s="1130"/>
      <c r="BW107" s="1128"/>
      <c r="BX107" s="1128"/>
      <c r="BY107" s="1128"/>
      <c r="BZ107" s="1128"/>
      <c r="CA107" s="1128"/>
      <c r="CB107" s="1130"/>
      <c r="CC107" s="1128"/>
      <c r="CD107" s="1128"/>
      <c r="CE107" s="1128"/>
      <c r="CF107" s="1128"/>
      <c r="CG107" s="1128"/>
      <c r="CH107" s="1130"/>
      <c r="CI107" s="1128"/>
      <c r="CJ107" s="1128"/>
      <c r="CK107" s="1128"/>
      <c r="CL107" s="1128"/>
      <c r="CM107" s="1128"/>
      <c r="CN107" s="1130"/>
      <c r="CO107" s="1128"/>
      <c r="CP107" s="1128"/>
      <c r="CQ107" s="1128"/>
      <c r="CR107" s="1128"/>
      <c r="CS107" s="1128"/>
      <c r="CT107" s="1130"/>
      <c r="CU107" s="1128"/>
      <c r="CV107" s="1128"/>
      <c r="CW107" s="1128"/>
      <c r="CX107" s="1128"/>
      <c r="CY107" s="1128"/>
      <c r="CZ107" s="1130"/>
      <c r="DA107" s="1128"/>
      <c r="DB107" s="1128"/>
      <c r="DC107" s="1128"/>
      <c r="DD107" s="1128"/>
      <c r="DE107" s="1128"/>
      <c r="DF107" s="1130"/>
      <c r="DG107" s="1128"/>
      <c r="DH107" s="1128"/>
      <c r="DI107" s="1128"/>
      <c r="DJ107" s="1128"/>
      <c r="DK107" s="1128"/>
      <c r="DL107" s="221"/>
      <c r="DM107" s="242"/>
      <c r="DN107" s="242"/>
      <c r="DO107" s="242"/>
      <c r="DP107" s="242"/>
      <c r="DQ107" s="242"/>
      <c r="DR107" s="221"/>
      <c r="DS107" s="242"/>
      <c r="DT107" s="242"/>
      <c r="DU107" s="242"/>
      <c r="DV107" s="242"/>
      <c r="DW107" s="242"/>
      <c r="DX107" s="221"/>
      <c r="DY107" s="242"/>
      <c r="DZ107" s="242"/>
      <c r="EA107" s="242"/>
      <c r="EB107" s="242"/>
      <c r="EC107" s="242"/>
      <c r="ED107" s="221"/>
      <c r="EE107" s="242"/>
      <c r="EF107" s="242"/>
      <c r="EG107" s="242"/>
      <c r="EH107" s="242"/>
      <c r="EI107" s="242"/>
      <c r="EJ107" s="221"/>
      <c r="EK107" s="242"/>
      <c r="EL107" s="242"/>
      <c r="EM107" s="242"/>
      <c r="EN107" s="242"/>
      <c r="EO107" s="242"/>
      <c r="EP107" s="221"/>
      <c r="EQ107" s="242"/>
      <c r="ER107" s="242"/>
      <c r="ES107" s="242"/>
      <c r="ET107" s="242"/>
      <c r="EU107" s="242"/>
      <c r="EV107" s="221"/>
      <c r="EW107" s="242"/>
      <c r="EX107" s="242"/>
      <c r="EY107" s="242"/>
      <c r="EZ107" s="242"/>
      <c r="FA107" s="242"/>
      <c r="FB107" s="221"/>
      <c r="FC107" s="242"/>
      <c r="FD107" s="242"/>
      <c r="FE107" s="242"/>
      <c r="FF107" s="242"/>
      <c r="FG107" s="242"/>
      <c r="FH107" s="221"/>
      <c r="FI107" s="242"/>
      <c r="FJ107" s="242"/>
      <c r="FK107" s="242"/>
      <c r="FL107" s="242"/>
      <c r="FM107" s="242"/>
      <c r="FN107" s="221"/>
      <c r="FO107" s="221"/>
      <c r="FP107" s="242"/>
      <c r="FQ107" s="242"/>
      <c r="FR107" s="242"/>
      <c r="FS107"/>
      <c r="FT107"/>
      <c r="FU107"/>
      <c r="FV107"/>
      <c r="FW107"/>
      <c r="FX107"/>
      <c r="FY107" s="242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</row>
    <row r="108" spans="1:274" s="24" customFormat="1" ht="10.5" customHeight="1" x14ac:dyDescent="0.2">
      <c r="A108" s="1412" t="s">
        <v>1068</v>
      </c>
      <c r="B108" s="1413"/>
      <c r="C108" s="1413"/>
      <c r="D108" s="1413"/>
      <c r="E108" s="1413"/>
      <c r="F108" s="1413"/>
      <c r="G108" s="1413"/>
      <c r="H108" s="1413"/>
      <c r="I108" s="1413"/>
      <c r="J108" s="1413"/>
      <c r="K108" s="1413"/>
      <c r="L108" s="1413"/>
      <c r="M108" s="1413"/>
      <c r="N108" s="1413"/>
      <c r="O108" s="1413"/>
      <c r="P108" s="1413"/>
      <c r="Q108" s="1413"/>
      <c r="R108" s="1413"/>
      <c r="S108" s="1413"/>
      <c r="T108" s="1414"/>
      <c r="U108" s="1413"/>
      <c r="V108" s="1413"/>
      <c r="W108" s="1413"/>
      <c r="X108" s="1413"/>
      <c r="Y108" s="1413"/>
      <c r="Z108" s="1414"/>
      <c r="AA108" s="1413"/>
      <c r="AB108" s="1413"/>
      <c r="AC108" s="1413"/>
      <c r="AD108" s="1413"/>
      <c r="AE108" s="1413"/>
      <c r="AF108" s="1414"/>
      <c r="AG108" s="1413"/>
      <c r="AH108" s="1413"/>
      <c r="AI108" s="1413"/>
      <c r="AJ108" s="1413"/>
      <c r="AK108" s="1413"/>
      <c r="AL108" s="1414"/>
      <c r="AM108" s="1413"/>
      <c r="AN108" s="1413"/>
      <c r="AO108" s="1413"/>
      <c r="AP108" s="1413"/>
      <c r="AQ108" s="1413"/>
      <c r="AR108" s="1414"/>
      <c r="AS108" s="1413"/>
      <c r="AT108" s="1413"/>
      <c r="AU108" s="1413"/>
      <c r="AV108" s="1413"/>
      <c r="AW108" s="1413"/>
      <c r="AX108" s="1414"/>
      <c r="AY108" s="1413"/>
      <c r="AZ108" s="1413"/>
      <c r="BA108" s="1413"/>
      <c r="BB108" s="1413"/>
      <c r="BC108" s="1413"/>
      <c r="BD108" s="1414"/>
      <c r="BE108" s="1413"/>
      <c r="BF108" s="1413"/>
      <c r="BG108" s="1413"/>
      <c r="BH108" s="1413"/>
      <c r="BI108" s="1413"/>
      <c r="BJ108" s="1414"/>
      <c r="BK108" s="1413"/>
      <c r="BL108" s="1413"/>
      <c r="BM108" s="1413"/>
      <c r="BN108" s="1413"/>
      <c r="BO108" s="1413"/>
      <c r="BP108" s="1414"/>
      <c r="BQ108" s="1413"/>
      <c r="BR108" s="1413"/>
      <c r="BS108" s="1413"/>
      <c r="BT108" s="1413"/>
      <c r="BU108" s="1413"/>
      <c r="BV108" s="1414"/>
      <c r="BW108" s="1413"/>
      <c r="BX108" s="1413"/>
      <c r="BY108" s="1413"/>
      <c r="BZ108" s="1413"/>
      <c r="CA108" s="1413"/>
      <c r="CB108" s="1414"/>
      <c r="CC108" s="1413"/>
      <c r="CD108" s="1413"/>
      <c r="CE108" s="1413"/>
      <c r="CF108" s="1413"/>
      <c r="CG108" s="1413"/>
      <c r="CH108" s="1414"/>
      <c r="CI108" s="1415">
        <f>-CI90/CI105</f>
        <v>0.59390862944162437</v>
      </c>
      <c r="CJ108" s="1415">
        <f>-CJ90/CJ105</f>
        <v>5.4347826086956523</v>
      </c>
      <c r="CK108" s="1415">
        <f>-CK90/CK105</f>
        <v>0.73201174743024966</v>
      </c>
      <c r="CL108" s="1415">
        <f>-CL90/CL105</f>
        <v>0.48292448292448292</v>
      </c>
      <c r="CM108" s="1416">
        <f>-CM90/CM105</f>
        <v>0.75696981349740433</v>
      </c>
      <c r="CN108" s="1414"/>
      <c r="CO108" s="1415">
        <f>-CO90/CO105</f>
        <v>0.20275439938791126</v>
      </c>
      <c r="CP108" s="1415">
        <f>-CP90/CP105</f>
        <v>0.924953095684803</v>
      </c>
      <c r="CQ108" s="1415">
        <f>-CQ90/CQ105</f>
        <v>0.28158640226628895</v>
      </c>
      <c r="CR108" s="1415">
        <f>-CR90/CR105</f>
        <v>0.22385402759234535</v>
      </c>
      <c r="CS108" s="1416">
        <f>-CS90/CS105</f>
        <v>0.28258136611258555</v>
      </c>
      <c r="CT108" s="1414"/>
      <c r="CU108" s="1415">
        <f>-CU90/CU105</f>
        <v>0.17140898183064793</v>
      </c>
      <c r="CV108" s="1415">
        <f>-CV90/CV105</f>
        <v>2.7359050445103859</v>
      </c>
      <c r="CW108" s="1415">
        <f>-CW90/CW105</f>
        <v>0.62817551963048501</v>
      </c>
      <c r="CX108" s="1415">
        <f>-CX90/CX105</f>
        <v>0.13604060913705585</v>
      </c>
      <c r="CY108" s="1416">
        <f>-CY90/CY105</f>
        <v>0.51410820605746832</v>
      </c>
      <c r="CZ108" s="1414"/>
      <c r="DA108" s="1415">
        <f>-DA90/DA105</f>
        <v>6.6250339397230518E-2</v>
      </c>
      <c r="DB108" s="1415">
        <f>-DB90/DB105</f>
        <v>0.41584158415841582</v>
      </c>
      <c r="DC108" s="1415">
        <f>-DC90/DC105</f>
        <v>0.14069767441860465</v>
      </c>
      <c r="DD108" s="1415">
        <f>-DD90/DD105</f>
        <v>0.10401310401310401</v>
      </c>
      <c r="DE108" s="1416">
        <f>-DE90/DE105</f>
        <v>0.11738255827712697</v>
      </c>
      <c r="DF108" s="1414"/>
      <c r="DG108" s="1415">
        <f>-DG90/DG105</f>
        <v>6.7315490673154912E-2</v>
      </c>
      <c r="DH108" s="1415">
        <f>-DH90/DH105</f>
        <v>0.30984204131227217</v>
      </c>
      <c r="DI108" s="1415">
        <f>-DI90/DI105</f>
        <v>9.6342902084152582E-2</v>
      </c>
      <c r="DJ108" s="1415">
        <f>-DJ90/DJ105</f>
        <v>0.1111111111111111</v>
      </c>
      <c r="DK108" s="1416">
        <f>-DK90/DK105</f>
        <v>0.10776662950575994</v>
      </c>
      <c r="DL108" s="1417"/>
      <c r="DM108" s="1418">
        <f>-DM90/DM105</f>
        <v>0.1520623455616803</v>
      </c>
      <c r="DN108" s="1418">
        <f>-DN90/DN105</f>
        <v>0.87085514834205935</v>
      </c>
      <c r="DO108" s="1418">
        <f>-DO90/DO105</f>
        <v>0.5825140449438202</v>
      </c>
      <c r="DP108" s="1418">
        <f>-DP90/DP105</f>
        <v>0.62473958333333335</v>
      </c>
      <c r="DQ108" s="1419">
        <f>-DQ90/DQ105</f>
        <v>0.44719358533791526</v>
      </c>
      <c r="DR108" s="1417"/>
      <c r="DS108" s="1418">
        <f>-DS90/DS105</f>
        <v>0.5560375994215474</v>
      </c>
      <c r="DT108" s="1418">
        <f>-DT90/DT105</f>
        <v>5.1389365351629506</v>
      </c>
      <c r="DU108" s="1418">
        <f>-DU90/DU105</f>
        <v>0.69265756985055227</v>
      </c>
      <c r="DV108" s="1418">
        <f>-DV90/DV105</f>
        <v>0.64300388039260448</v>
      </c>
      <c r="DW108" s="1419">
        <f>-DW90/DW105</f>
        <v>0.81191984676587592</v>
      </c>
      <c r="DX108" s="1417"/>
      <c r="DY108" s="1418">
        <f>-DY90/DY105</f>
        <v>0.48346636259977194</v>
      </c>
      <c r="DZ108" s="1418">
        <f>-DZ90/DZ105</f>
        <v>2.7774509803921568</v>
      </c>
      <c r="EA108" s="1418">
        <f>-EA90/EA105</f>
        <v>0.70833333333333337</v>
      </c>
      <c r="EB108" s="1418">
        <f>-EB90/EB105</f>
        <v>0.4583914458391446</v>
      </c>
      <c r="EC108" s="1419">
        <f>-EC90/EC105</f>
        <v>0.68426190642214635</v>
      </c>
      <c r="ED108" s="1417"/>
      <c r="EE108" s="1418">
        <f>-EE90/EE105</f>
        <v>0.30641948827945459</v>
      </c>
      <c r="EF108" s="1418">
        <f>-EF90/EF105</f>
        <v>2.4934289127837514</v>
      </c>
      <c r="EG108" s="1418">
        <f>-EG90/EG105</f>
        <v>1.0511873350923482</v>
      </c>
      <c r="EH108" s="1418">
        <f>-EH90/EH105</f>
        <v>0.54476397178513292</v>
      </c>
      <c r="EI108" s="1419">
        <f>-EI90/EI105</f>
        <v>0.62471996910003857</v>
      </c>
      <c r="EJ108" s="1417"/>
      <c r="EK108" s="1418">
        <f>-EK90/EK105</f>
        <v>0.5260628465804067</v>
      </c>
      <c r="EL108" s="1418">
        <f>-EL90/EL105</f>
        <v>11.15032679738562</v>
      </c>
      <c r="EM108" s="1418">
        <f>-EM90/EM105</f>
        <v>0.7112041210560206</v>
      </c>
      <c r="EN108" s="1418">
        <f>-EN90/EN105</f>
        <v>0.55577464788732389</v>
      </c>
      <c r="EO108" s="1419">
        <f>-EO90/EO105</f>
        <v>0.84384093113482062</v>
      </c>
      <c r="EP108" s="1417"/>
      <c r="EQ108" s="1418">
        <f>-EQ90/EQ105</f>
        <v>0.35903873744619796</v>
      </c>
      <c r="ER108" s="1418">
        <f>-ER90/ER105</f>
        <v>1.7234042553191489</v>
      </c>
      <c r="ES108" s="1418">
        <f>-ES90/ES105</f>
        <v>0.22045152722443559</v>
      </c>
      <c r="ET108" s="1418">
        <f>-ET90/ET105</f>
        <v>0.1253488962192337</v>
      </c>
      <c r="EU108" s="1419">
        <f>-EU90/EU105</f>
        <v>0.29417596034696408</v>
      </c>
      <c r="EV108" s="1417"/>
      <c r="EW108" s="1418">
        <f>-EW90/EW105</f>
        <v>8.2389627441326108E-2</v>
      </c>
      <c r="EX108" s="1418">
        <f>-EX90/EX105</f>
        <v>7.7768924302788847</v>
      </c>
      <c r="EY108" s="1418">
        <f>-EY90/EY105</f>
        <v>1.3118386243386244</v>
      </c>
      <c r="EZ108" s="1418">
        <f>-EZ90/EZ105</f>
        <v>0.7696234689099537</v>
      </c>
      <c r="FA108" s="1419">
        <f>-FA90/FA105</f>
        <v>0.71016077778788977</v>
      </c>
      <c r="FB108" s="1417"/>
      <c r="FC108" s="1418">
        <f>-FC90/FC105</f>
        <v>0.55199949646395496</v>
      </c>
      <c r="FD108" s="1418">
        <f>-FD90/FD105</f>
        <v>7.8766402038162768</v>
      </c>
      <c r="FE108" s="1418">
        <f>-FE90/FE105</f>
        <v>0.81289540047823083</v>
      </c>
      <c r="FF108" s="1418">
        <f>-FF90/FF105</f>
        <v>0.65084716784466523</v>
      </c>
      <c r="FG108" s="1419">
        <f>-FG90/FG105</f>
        <v>0.85012631602254163</v>
      </c>
      <c r="FH108" s="1417"/>
      <c r="FI108" s="1418">
        <f>-FI90/FI105</f>
        <v>0.51422832246617844</v>
      </c>
      <c r="FJ108" s="1418">
        <f>-FJ90/FJ105</f>
        <v>7.5468127012420032</v>
      </c>
      <c r="FK108" s="1418">
        <f>-FK90/FK105</f>
        <v>0.79702943545473715</v>
      </c>
      <c r="FL108" s="1418">
        <f>-FL90/FL105</f>
        <v>0.54968364808433967</v>
      </c>
      <c r="FM108" s="1419">
        <f>-FM90/FM105</f>
        <v>0.77653998968554183</v>
      </c>
      <c r="FN108" s="221"/>
      <c r="FO108" s="221"/>
      <c r="FP108" s="242"/>
      <c r="FQ108" s="242"/>
      <c r="FR108" s="242"/>
      <c r="FS108"/>
      <c r="FT108"/>
      <c r="FU108"/>
      <c r="FV108"/>
      <c r="FW108"/>
      <c r="FX108"/>
      <c r="FY108" s="242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</row>
    <row r="109" spans="1:274" s="24" customFormat="1" ht="11.25" customHeight="1" x14ac:dyDescent="0.2">
      <c r="A109" s="1358" t="s">
        <v>265</v>
      </c>
      <c r="B109" s="1360"/>
      <c r="C109" s="1360"/>
      <c r="D109" s="1360"/>
      <c r="E109" s="1360"/>
      <c r="F109" s="1360"/>
      <c r="G109" s="1360"/>
      <c r="H109" s="1360"/>
      <c r="I109" s="1360"/>
      <c r="J109" s="1360"/>
      <c r="K109" s="1360"/>
      <c r="L109" s="1360"/>
      <c r="M109" s="1360"/>
      <c r="N109" s="1420"/>
      <c r="O109" s="1360">
        <f>O105+O90</f>
        <v>39.723999999999975</v>
      </c>
      <c r="P109" s="1360">
        <f>P105+P90</f>
        <v>-57.068999999999974</v>
      </c>
      <c r="Q109" s="1360">
        <f>Q105+Q90</f>
        <v>79.32900000000005</v>
      </c>
      <c r="R109" s="1360">
        <f>R105+R90</f>
        <v>168.79500000000002</v>
      </c>
      <c r="S109" s="1360">
        <f>S105+S90</f>
        <v>230.779</v>
      </c>
      <c r="T109" s="1421"/>
      <c r="U109" s="1360">
        <f>U105+U90</f>
        <v>103.00999999999996</v>
      </c>
      <c r="V109" s="1360">
        <f>V105+V90</f>
        <v>-49.410000000000025</v>
      </c>
      <c r="W109" s="1360">
        <f>W105+W90</f>
        <v>167.85800000000006</v>
      </c>
      <c r="X109" s="1360">
        <f>X105+X90</f>
        <v>246.22000000000006</v>
      </c>
      <c r="Y109" s="1360">
        <f>Y105+Y90</f>
        <v>467.67800000000011</v>
      </c>
      <c r="Z109" s="1421"/>
      <c r="AA109" s="1360">
        <f>AA105+AA90</f>
        <v>133.16599999999994</v>
      </c>
      <c r="AB109" s="1360">
        <f>AB105+AB90</f>
        <v>-168.15200000000002</v>
      </c>
      <c r="AC109" s="1360">
        <f>AC105+AC90</f>
        <v>-49.510999999999939</v>
      </c>
      <c r="AD109" s="1360">
        <f>AD105+AD90</f>
        <v>196.05100000000002</v>
      </c>
      <c r="AE109" s="1360">
        <f>AE105+AE90</f>
        <v>111.55399999999997</v>
      </c>
      <c r="AF109" s="1421"/>
      <c r="AG109" s="1360">
        <f>AG105+AG90</f>
        <v>353.79199999999997</v>
      </c>
      <c r="AH109" s="1360">
        <f>AH105+AH90</f>
        <v>46.012999999999877</v>
      </c>
      <c r="AI109" s="1360">
        <f>AI105+AI90</f>
        <v>-33.52399999999983</v>
      </c>
      <c r="AJ109" s="1360">
        <f>AJ105+AJ90</f>
        <v>430.1169999999999</v>
      </c>
      <c r="AK109" s="1360">
        <f>AK105+AK90</f>
        <v>796.3979999999998</v>
      </c>
      <c r="AL109" s="1421"/>
      <c r="AM109" s="1360">
        <f>AM105+AM90</f>
        <v>428.18499999999995</v>
      </c>
      <c r="AN109" s="1360">
        <f>AN105+AN90</f>
        <v>-535.60599999999999</v>
      </c>
      <c r="AO109" s="1360">
        <f>AO105+AO90</f>
        <v>171.56500000000008</v>
      </c>
      <c r="AP109" s="1360">
        <f>AP105+AP90</f>
        <v>309.41000000000008</v>
      </c>
      <c r="AQ109" s="1360">
        <f>AQ105+AQ90</f>
        <v>373.55400000000009</v>
      </c>
      <c r="AR109" s="1421"/>
      <c r="AS109" s="1360">
        <f>AS105+AS90</f>
        <v>21.329599999999914</v>
      </c>
      <c r="AT109" s="1360">
        <f>AT105+AT90</f>
        <v>-749.48959999999988</v>
      </c>
      <c r="AU109" s="1360">
        <f>AU105+AU90</f>
        <v>218.62599999999986</v>
      </c>
      <c r="AV109" s="1360">
        <f>AV105+AV90</f>
        <v>-2137.1159999999986</v>
      </c>
      <c r="AW109" s="1360">
        <f>AW105+AW90</f>
        <v>-2646.6499999999987</v>
      </c>
      <c r="AX109" s="1421"/>
      <c r="AY109" s="1360">
        <f>AY105+AY90</f>
        <v>-2942.627</v>
      </c>
      <c r="AZ109" s="1360">
        <f>AZ105+AZ90</f>
        <v>-898.03100000000006</v>
      </c>
      <c r="BA109" s="1360">
        <f>BA105+BA90</f>
        <v>595.12299999999982</v>
      </c>
      <c r="BB109" s="1360">
        <f>BB105+BB90</f>
        <v>770.53500000000054</v>
      </c>
      <c r="BC109" s="1360">
        <f>BC105+BC90</f>
        <v>-2475</v>
      </c>
      <c r="BD109" s="1421"/>
      <c r="BE109" s="1360">
        <f>BE105+BE90</f>
        <v>397.22499999999991</v>
      </c>
      <c r="BF109" s="1360">
        <f>BF105+BF90</f>
        <v>-905.22499999999991</v>
      </c>
      <c r="BG109" s="1360">
        <f>BG105+BG90</f>
        <v>416</v>
      </c>
      <c r="BH109" s="1360">
        <f>BH105+BH90</f>
        <v>157</v>
      </c>
      <c r="BI109" s="1360">
        <f>BI105+BI90</f>
        <v>65</v>
      </c>
      <c r="BJ109" s="1421"/>
      <c r="BK109" s="1360">
        <f>BK105+BK90</f>
        <v>407</v>
      </c>
      <c r="BL109" s="1360">
        <f>BL105+BL90</f>
        <v>-720</v>
      </c>
      <c r="BM109" s="1360">
        <f>BM105+BM90</f>
        <v>226</v>
      </c>
      <c r="BN109" s="1360">
        <f>BN105+BN90</f>
        <v>166</v>
      </c>
      <c r="BO109" s="1360">
        <f>BO105+BO90</f>
        <v>79</v>
      </c>
      <c r="BP109" s="1421"/>
      <c r="BQ109" s="1360">
        <f>BQ105+BQ90</f>
        <v>975</v>
      </c>
      <c r="BR109" s="1360">
        <f>BR105+BR90</f>
        <v>123</v>
      </c>
      <c r="BS109" s="1360">
        <f>BS105+BS90</f>
        <v>-110</v>
      </c>
      <c r="BT109" s="1360">
        <f>BT105+BT90</f>
        <v>519</v>
      </c>
      <c r="BU109" s="1360">
        <f>BU105+BU90</f>
        <v>1507</v>
      </c>
      <c r="BV109" s="1421"/>
      <c r="BW109" s="1360">
        <f>BW105+BW90</f>
        <v>837</v>
      </c>
      <c r="BX109" s="1360">
        <f>BX105+BX90</f>
        <v>-225</v>
      </c>
      <c r="BY109" s="1360">
        <f>BY105+BY90</f>
        <v>700</v>
      </c>
      <c r="BZ109" s="1360">
        <f>BZ105+BZ90</f>
        <v>708.92250000000013</v>
      </c>
      <c r="CA109" s="1360">
        <f>CA105+CA90</f>
        <v>2020.9225000000001</v>
      </c>
      <c r="CB109" s="1360"/>
      <c r="CC109" s="1360">
        <f>CC105+CC90</f>
        <v>1156</v>
      </c>
      <c r="CD109" s="1360">
        <f>CD105+CD90</f>
        <v>190</v>
      </c>
      <c r="CE109" s="1360">
        <f>CE105+CE90</f>
        <v>1031</v>
      </c>
      <c r="CF109" s="1360">
        <f>CF105+CF90</f>
        <v>-139</v>
      </c>
      <c r="CG109" s="1360">
        <f>CG105+CG90</f>
        <v>2238</v>
      </c>
      <c r="CH109" s="1360"/>
      <c r="CI109" s="1360">
        <f>CI105+CI90</f>
        <v>640</v>
      </c>
      <c r="CJ109" s="1360">
        <f>CJ105+CJ90</f>
        <v>-816</v>
      </c>
      <c r="CK109" s="1360">
        <f>CK105+CK90</f>
        <v>365</v>
      </c>
      <c r="CL109" s="1360">
        <f>CL105+CL90</f>
        <v>1075</v>
      </c>
      <c r="CM109" s="1361">
        <f>CM105+CM90</f>
        <v>1264</v>
      </c>
      <c r="CN109" s="1360"/>
      <c r="CO109" s="1360">
        <f>CO105+CO90</f>
        <v>2084</v>
      </c>
      <c r="CP109" s="1360">
        <f>CP105+CP90</f>
        <v>40</v>
      </c>
      <c r="CQ109" s="1360">
        <f>CQ105+CQ90</f>
        <v>1268</v>
      </c>
      <c r="CR109" s="1360">
        <f>CR105+CR90</f>
        <v>1744</v>
      </c>
      <c r="CS109" s="1361">
        <f>CS105+CS90</f>
        <v>5136</v>
      </c>
      <c r="CT109" s="1360"/>
      <c r="CU109" s="1360">
        <f>CU105+CU90</f>
        <v>2417</v>
      </c>
      <c r="CV109" s="1360">
        <f>CV105+CV90</f>
        <v>-1170</v>
      </c>
      <c r="CW109" s="1360">
        <f>CW105+CW90</f>
        <v>805</v>
      </c>
      <c r="CX109" s="1360">
        <f>CX105+CX90</f>
        <v>1702</v>
      </c>
      <c r="CY109" s="1361">
        <f>CY105+CY90</f>
        <v>3754</v>
      </c>
      <c r="CZ109" s="1360"/>
      <c r="DA109" s="1360">
        <f>DA105+DA90</f>
        <v>3439</v>
      </c>
      <c r="DB109" s="1360">
        <f>DB105+DB90</f>
        <v>354</v>
      </c>
      <c r="DC109" s="1360">
        <f>DC105+DC90</f>
        <v>1478</v>
      </c>
      <c r="DD109" s="1360">
        <f>DD105+DD90</f>
        <v>2188</v>
      </c>
      <c r="DE109" s="1361">
        <f>DE105+DE90</f>
        <v>7459</v>
      </c>
      <c r="DF109" s="1360"/>
      <c r="DG109" s="1360">
        <f>DG105+DG90</f>
        <v>3450</v>
      </c>
      <c r="DH109" s="1360">
        <f>DH105+DH90</f>
        <v>568</v>
      </c>
      <c r="DI109" s="1360">
        <f>DI105+DI90</f>
        <v>2298</v>
      </c>
      <c r="DJ109" s="1360">
        <f>DJ105+DJ90</f>
        <v>3288</v>
      </c>
      <c r="DK109" s="1361">
        <f>DK105+DK90</f>
        <v>9604</v>
      </c>
      <c r="DL109" s="1360"/>
      <c r="DM109" s="1360">
        <f>DM105+DM90</f>
        <v>4461</v>
      </c>
      <c r="DN109" s="1360">
        <f>DN105+DN90</f>
        <v>148</v>
      </c>
      <c r="DO109" s="1360">
        <f>DO105+DO90</f>
        <v>1189</v>
      </c>
      <c r="DP109" s="1360">
        <f>DP105+DP90</f>
        <v>1441</v>
      </c>
      <c r="DQ109" s="1361">
        <f>DQ105+DQ90</f>
        <v>7239</v>
      </c>
      <c r="DR109" s="1360"/>
      <c r="DS109" s="1360">
        <f>DS105+DS90</f>
        <v>2456</v>
      </c>
      <c r="DT109" s="1360">
        <f>DT105+DT90</f>
        <v>-2413</v>
      </c>
      <c r="DU109" s="1360">
        <f>DU105+DU90</f>
        <v>946</v>
      </c>
      <c r="DV109" s="1360">
        <f>DV105+DV90</f>
        <v>1564</v>
      </c>
      <c r="DW109" s="1361">
        <f>DW105+DW90</f>
        <v>2553</v>
      </c>
      <c r="DX109" s="1360"/>
      <c r="DY109" s="1360">
        <f>DY105+DY90</f>
        <v>3171</v>
      </c>
      <c r="DZ109" s="1360">
        <f>DZ105+DZ90</f>
        <v>-1813</v>
      </c>
      <c r="EA109" s="1360">
        <f>EA105+EA90</f>
        <v>840</v>
      </c>
      <c r="EB109" s="1360">
        <f>EB105+EB90</f>
        <v>2330</v>
      </c>
      <c r="EC109" s="1361">
        <f>EC105+EC90</f>
        <v>4528</v>
      </c>
      <c r="ED109" s="1360"/>
      <c r="EE109" s="1360">
        <f>EE105+EE90</f>
        <v>4527</v>
      </c>
      <c r="EF109" s="1360">
        <f>EF105+EF90</f>
        <v>-1250</v>
      </c>
      <c r="EG109" s="1360">
        <f>EG105+EG90</f>
        <v>-97</v>
      </c>
      <c r="EH109" s="1360">
        <f>EH105+EH90</f>
        <v>1678</v>
      </c>
      <c r="EI109" s="1361">
        <f>EI105+EI90</f>
        <v>4858</v>
      </c>
      <c r="EJ109" s="1360"/>
      <c r="EK109" s="1360">
        <f>EK105+EK90</f>
        <v>2564</v>
      </c>
      <c r="EL109" s="1360">
        <f>EL105+EL90</f>
        <v>-3106</v>
      </c>
      <c r="EM109" s="1360">
        <f>EM105+EM90</f>
        <v>897</v>
      </c>
      <c r="EN109" s="1360">
        <f>EN105+EN90</f>
        <v>1577</v>
      </c>
      <c r="EO109" s="1361">
        <f>EO105+EO90</f>
        <v>1932</v>
      </c>
      <c r="EP109" s="1360"/>
      <c r="EQ109" s="1360">
        <f>EQ105+EQ90</f>
        <v>3574</v>
      </c>
      <c r="ER109" s="1360">
        <f>ER105+ER90</f>
        <v>-238</v>
      </c>
      <c r="ES109" s="1360">
        <f>ES105+ES90</f>
        <v>1761</v>
      </c>
      <c r="ET109" s="1360">
        <f>ET105+ET90</f>
        <v>3447</v>
      </c>
      <c r="EU109" s="1361">
        <f>EU105+EU90</f>
        <v>8544</v>
      </c>
      <c r="EV109" s="1360"/>
      <c r="EW109" s="1360">
        <f>EW105+EW90</f>
        <v>5591</v>
      </c>
      <c r="EX109" s="1360">
        <f>EX105+EX90</f>
        <v>-1701</v>
      </c>
      <c r="EY109" s="1360">
        <f>EY105+EY90</f>
        <v>-943</v>
      </c>
      <c r="EZ109" s="1360">
        <f>EZ105+EZ90</f>
        <v>898.01002852604188</v>
      </c>
      <c r="FA109" s="1361">
        <f>FA105+FA90</f>
        <v>3845.0100285260414</v>
      </c>
      <c r="FB109" s="1360"/>
      <c r="FC109" s="1360">
        <f>FC105+FC90</f>
        <v>2434.7875663250661</v>
      </c>
      <c r="FD109" s="1360">
        <f>FD105+FD90</f>
        <v>-2619.1269472297995</v>
      </c>
      <c r="FE109" s="1360">
        <f>FE105+FE90</f>
        <v>690.51171680278094</v>
      </c>
      <c r="FF109" s="1360">
        <f>FF105+FF90</f>
        <v>1609.3770522728873</v>
      </c>
      <c r="FG109" s="1361">
        <f>FG105+FG90</f>
        <v>2115.5493881709372</v>
      </c>
      <c r="FH109" s="1360"/>
      <c r="FI109" s="1360">
        <f>FI105+FI90</f>
        <v>2833.9843780139408</v>
      </c>
      <c r="FJ109" s="1360">
        <f>FJ105+FJ90</f>
        <v>-2602.4811905685324</v>
      </c>
      <c r="FK109" s="1360">
        <f>FK105+FK90</f>
        <v>763.97641862295859</v>
      </c>
      <c r="FL109" s="1360">
        <f>FL105+FL90</f>
        <v>2457.6846345258218</v>
      </c>
      <c r="FM109" s="1361">
        <f>FM105+FM90</f>
        <v>3453.1642405941948</v>
      </c>
      <c r="FN109" s="242"/>
      <c r="FO109" s="242"/>
      <c r="FP109" s="242"/>
      <c r="FQ109" s="242"/>
      <c r="FR109" s="242"/>
      <c r="FS109"/>
      <c r="FT109"/>
      <c r="FU109"/>
      <c r="FV109"/>
      <c r="FW109"/>
      <c r="FX109"/>
      <c r="FY109" s="242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</row>
    <row r="110" spans="1:274" s="24" customFormat="1" ht="10.5" customHeight="1" x14ac:dyDescent="0.2">
      <c r="A110" s="390" t="s">
        <v>549</v>
      </c>
      <c r="B110" s="611"/>
      <c r="C110" s="238"/>
      <c r="D110" s="238"/>
      <c r="E110" s="238"/>
      <c r="F110" s="608" t="e">
        <f t="shared" ref="F110:M110" si="249">F109/E109-1</f>
        <v>#DIV/0!</v>
      </c>
      <c r="G110" s="608" t="e">
        <f t="shared" si="249"/>
        <v>#DIV/0!</v>
      </c>
      <c r="H110" s="608" t="e">
        <f t="shared" si="249"/>
        <v>#DIV/0!</v>
      </c>
      <c r="I110" s="608" t="e">
        <f t="shared" si="249"/>
        <v>#DIV/0!</v>
      </c>
      <c r="J110" s="608" t="e">
        <f t="shared" si="249"/>
        <v>#DIV/0!</v>
      </c>
      <c r="K110" s="608" t="e">
        <f t="shared" si="249"/>
        <v>#DIV/0!</v>
      </c>
      <c r="L110" s="608" t="e">
        <f t="shared" si="249"/>
        <v>#DIV/0!</v>
      </c>
      <c r="M110" s="608" t="e">
        <f t="shared" si="249"/>
        <v>#DIV/0!</v>
      </c>
      <c r="N110" s="607"/>
      <c r="O110" s="607"/>
      <c r="P110" s="607"/>
      <c r="Q110" s="607"/>
      <c r="R110" s="607"/>
      <c r="S110" s="607"/>
      <c r="T110" s="607"/>
      <c r="U110" s="608">
        <f>U109/O109-1</f>
        <v>1.5931426845232108</v>
      </c>
      <c r="V110" s="608">
        <f>V109/P109-1</f>
        <v>-0.13420596120485639</v>
      </c>
      <c r="W110" s="608">
        <f>W109/Q109-1</f>
        <v>1.1159727211990567</v>
      </c>
      <c r="X110" s="608">
        <f>X109/R109-1</f>
        <v>0.45869249681566426</v>
      </c>
      <c r="Y110" s="608">
        <f>Y109/S109-1</f>
        <v>1.0265188773675251</v>
      </c>
      <c r="Z110" s="608"/>
      <c r="AA110" s="608">
        <f>AA109/U109-1</f>
        <v>0.29274827686632365</v>
      </c>
      <c r="AB110" s="608">
        <f>AB109/V109-1</f>
        <v>2.4031977332523766</v>
      </c>
      <c r="AC110" s="608">
        <f>AC109/W109-1</f>
        <v>-1.2949576427694833</v>
      </c>
      <c r="AD110" s="608">
        <f>AD109/X109-1</f>
        <v>-0.2037568028592317</v>
      </c>
      <c r="AE110" s="608">
        <f>AE109/Y109-1</f>
        <v>-0.76147263715633418</v>
      </c>
      <c r="AF110" s="607"/>
      <c r="AG110" s="608">
        <f>AG109/AA109-1</f>
        <v>1.6567742516858668</v>
      </c>
      <c r="AH110" s="608">
        <f>AH109/AB109-1</f>
        <v>-1.2736393263238015</v>
      </c>
      <c r="AI110" s="608">
        <f>AI109/AC109-1</f>
        <v>-0.32289794187150589</v>
      </c>
      <c r="AJ110" s="608">
        <f>AJ109/AD109-1</f>
        <v>1.1939036271174333</v>
      </c>
      <c r="AK110" s="608">
        <f>AK109/AE109-1</f>
        <v>6.1391254459723541</v>
      </c>
      <c r="AL110" s="607"/>
      <c r="AM110" s="608">
        <f>AM109/AG109-1</f>
        <v>0.21027326790882772</v>
      </c>
      <c r="AN110" s="608">
        <f>AN109/AH109-1</f>
        <v>-12.640319040271258</v>
      </c>
      <c r="AO110" s="608">
        <f>AO109/AI109-1</f>
        <v>-6.1176768881995276</v>
      </c>
      <c r="AP110" s="608">
        <f>AP109/AJ109-1</f>
        <v>-0.28063759395699273</v>
      </c>
      <c r="AQ110" s="608">
        <f>AQ109/AK109-1</f>
        <v>-0.53094558248513912</v>
      </c>
      <c r="AR110" s="607"/>
      <c r="AS110" s="608">
        <f>AS109/AM109-1</f>
        <v>-0.9501860177259831</v>
      </c>
      <c r="AT110" s="608">
        <f>AT109/AN109-1</f>
        <v>0.39933010459180784</v>
      </c>
      <c r="AU110" s="608">
        <f>AU109/AO109-1</f>
        <v>0.27430419957450392</v>
      </c>
      <c r="AV110" s="608">
        <f>AV109/AP109-1</f>
        <v>-7.9070682912640127</v>
      </c>
      <c r="AW110" s="608">
        <f>AW109/AQ109-1</f>
        <v>-8.0850532988537083</v>
      </c>
      <c r="AX110" s="607"/>
      <c r="AY110" s="608">
        <f>AY109/AS109-1</f>
        <v>-138.9597835871283</v>
      </c>
      <c r="AZ110" s="608">
        <f>AZ109/AT109-1</f>
        <v>0.19819007495234109</v>
      </c>
      <c r="BA110" s="608">
        <f>BA109/AU109-1</f>
        <v>1.7221053305645264</v>
      </c>
      <c r="BB110" s="608">
        <f>BB109/AV109-1</f>
        <v>-1.3605489828348114</v>
      </c>
      <c r="BC110" s="608">
        <f>BC109/AW109-1</f>
        <v>-6.4855572138363127E-2</v>
      </c>
      <c r="BD110" s="607"/>
      <c r="BE110" s="608">
        <f>BE109/AY109-1</f>
        <v>-1.1349899256684588</v>
      </c>
      <c r="BF110" s="608">
        <f>BF109/AZ109-1</f>
        <v>8.0108593133196848E-3</v>
      </c>
      <c r="BG110" s="608">
        <f>BG109/BA109-1</f>
        <v>-0.30098483842835833</v>
      </c>
      <c r="BH110" s="608">
        <f>BH109/BB109-1</f>
        <v>-0.79624546581271471</v>
      </c>
      <c r="BI110" s="608">
        <f>BI109/BC109-1</f>
        <v>-1.0262626262626262</v>
      </c>
      <c r="BJ110" s="607"/>
      <c r="BK110" s="608">
        <f>BK109/BE109-1</f>
        <v>2.4608219522940677E-2</v>
      </c>
      <c r="BL110" s="608">
        <f>BL109/BF109-1</f>
        <v>-0.20461763649921283</v>
      </c>
      <c r="BM110" s="608">
        <f>BM109/BG109-1</f>
        <v>-0.45673076923076927</v>
      </c>
      <c r="BN110" s="608">
        <f>BN109/BH109-1</f>
        <v>5.7324840764331197E-2</v>
      </c>
      <c r="BO110" s="608">
        <f>BO109/BI109-1</f>
        <v>0.21538461538461529</v>
      </c>
      <c r="BP110" s="607"/>
      <c r="BQ110" s="608">
        <f>BQ109/BK109-1</f>
        <v>1.3955773955773956</v>
      </c>
      <c r="BR110" s="608">
        <f>BR109/BL109-1</f>
        <v>-1.1708333333333334</v>
      </c>
      <c r="BS110" s="608">
        <f>BS109/BM109-1</f>
        <v>-1.4867256637168142</v>
      </c>
      <c r="BT110" s="608">
        <f>BT109/BN109-1</f>
        <v>2.1265060240963853</v>
      </c>
      <c r="BU110" s="608">
        <f>BU109/BO109-1</f>
        <v>18.075949367088608</v>
      </c>
      <c r="BV110" s="607"/>
      <c r="BW110" s="608">
        <f>BW109/BQ109-1</f>
        <v>-0.1415384615384615</v>
      </c>
      <c r="BX110" s="608">
        <f>BX109/BR109-1</f>
        <v>-2.8292682926829267</v>
      </c>
      <c r="BY110" s="608">
        <f>BY109/BS109-1</f>
        <v>-7.3636363636363633</v>
      </c>
      <c r="BZ110" s="608">
        <f>BZ109/BT109-1</f>
        <v>0.36593930635838179</v>
      </c>
      <c r="CA110" s="608">
        <f>CA109/BU109-1</f>
        <v>0.34102355673523554</v>
      </c>
      <c r="CB110" s="607"/>
      <c r="CC110" s="608">
        <f>CC109/BW109-1</f>
        <v>0.38112305854241346</v>
      </c>
      <c r="CD110" s="608">
        <f>CD109/BX109-1</f>
        <v>-1.8444444444444446</v>
      </c>
      <c r="CE110" s="608">
        <f>CE109/BY109-1</f>
        <v>0.47285714285714286</v>
      </c>
      <c r="CF110" s="608">
        <f>CF109/BZ109-1</f>
        <v>-1.1960722081750825</v>
      </c>
      <c r="CG110" s="608">
        <f>CG109/CA109-1</f>
        <v>0.107415054263585</v>
      </c>
      <c r="CH110" s="607"/>
      <c r="CI110" s="608">
        <f>CI109/CC109-1</f>
        <v>-0.44636678200692037</v>
      </c>
      <c r="CJ110" s="608">
        <f>CJ109/CD109-1</f>
        <v>-5.2947368421052632</v>
      </c>
      <c r="CK110" s="608">
        <f>CK109/CE109-1</f>
        <v>-0.64597478176527645</v>
      </c>
      <c r="CL110" s="608">
        <f>CL109/CF109-1</f>
        <v>-8.7338129496402885</v>
      </c>
      <c r="CM110" s="609">
        <f>CM109/CG109-1</f>
        <v>-0.43521000893655049</v>
      </c>
      <c r="CN110" s="607"/>
      <c r="CO110" s="608">
        <f>CO109/CI109-1</f>
        <v>2.2562500000000001</v>
      </c>
      <c r="CP110" s="608">
        <f>CP109/CJ109-1</f>
        <v>-1.0490196078431373</v>
      </c>
      <c r="CQ110" s="608">
        <f>CQ109/CK109-1</f>
        <v>2.473972602739726</v>
      </c>
      <c r="CR110" s="608">
        <f>CR109/CL109-1</f>
        <v>0.62232558139534877</v>
      </c>
      <c r="CS110" s="609">
        <f>CS109/CM109-1</f>
        <v>3.0632911392405067</v>
      </c>
      <c r="CT110" s="607"/>
      <c r="CU110" s="608">
        <f>CU109/CO109-1</f>
        <v>0.15978886756237998</v>
      </c>
      <c r="CV110" s="608">
        <f>CV109/CP109-1</f>
        <v>-30.25</v>
      </c>
      <c r="CW110" s="608">
        <f>CW109/CQ109-1</f>
        <v>-0.3651419558359621</v>
      </c>
      <c r="CX110" s="608">
        <f>CX109/CR109-1</f>
        <v>-2.4082568807339499E-2</v>
      </c>
      <c r="CY110" s="609">
        <f>CY109/CS109-1</f>
        <v>-0.26908099688473519</v>
      </c>
      <c r="CZ110" s="607"/>
      <c r="DA110" s="608">
        <f>DA109/CU109-1</f>
        <v>0.4228382292097641</v>
      </c>
      <c r="DB110" s="608">
        <f>DB109/CV109-1</f>
        <v>-1.3025641025641026</v>
      </c>
      <c r="DC110" s="608">
        <f>DC109/CW109-1</f>
        <v>0.83602484472049698</v>
      </c>
      <c r="DD110" s="608">
        <f>DD109/CX109-1</f>
        <v>0.28554641598119868</v>
      </c>
      <c r="DE110" s="609">
        <f>DE109/CY109-1</f>
        <v>0.98694725625998925</v>
      </c>
      <c r="DF110" s="607"/>
      <c r="DG110" s="608">
        <f>DG109/DA109-1</f>
        <v>3.198604245420178E-3</v>
      </c>
      <c r="DH110" s="608">
        <f>DH109/DB109-1</f>
        <v>0.60451977401129953</v>
      </c>
      <c r="DI110" s="608">
        <f>DI109/DC109-1</f>
        <v>0.55480378890392412</v>
      </c>
      <c r="DJ110" s="608">
        <f>DJ109/DD109-1</f>
        <v>0.50274223034734922</v>
      </c>
      <c r="DK110" s="609">
        <f>DK109/DE109-1</f>
        <v>0.28757206059793528</v>
      </c>
      <c r="DL110" s="607"/>
      <c r="DM110" s="608">
        <f>DM109/DG109-1</f>
        <v>0.29304347826086952</v>
      </c>
      <c r="DN110" s="608">
        <f>DN109/DH109-1</f>
        <v>-0.73943661971830987</v>
      </c>
      <c r="DO110" s="608">
        <f>DO109/DI109-1</f>
        <v>-0.4825935596170583</v>
      </c>
      <c r="DP110" s="608">
        <f>DP109/DJ109-1</f>
        <v>-0.56173965936739667</v>
      </c>
      <c r="DQ110" s="609">
        <f>DQ109/DK109-1</f>
        <v>-0.24625156184922947</v>
      </c>
      <c r="DR110" s="607"/>
      <c r="DS110" s="608">
        <f>DS109/DM109-1</f>
        <v>-0.44945079578569824</v>
      </c>
      <c r="DT110" s="608">
        <f>DT109/DN109-1</f>
        <v>-17.304054054054053</v>
      </c>
      <c r="DU110" s="608">
        <f>DU109/DO109-1</f>
        <v>-0.20437342304457529</v>
      </c>
      <c r="DV110" s="608">
        <f>DV109/DP109-1</f>
        <v>8.5357390700902203E-2</v>
      </c>
      <c r="DW110" s="609">
        <f>DW109/DQ109-1</f>
        <v>-0.64732697886448398</v>
      </c>
      <c r="DX110" s="607"/>
      <c r="DY110" s="608">
        <f>DY109/DS109-1</f>
        <v>0.29112377850162874</v>
      </c>
      <c r="DZ110" s="608">
        <f>DZ109/DT109-1</f>
        <v>-0.24865312888520519</v>
      </c>
      <c r="EA110" s="608">
        <f>EA109/DU109-1</f>
        <v>-0.11205073995771675</v>
      </c>
      <c r="EB110" s="608">
        <f>EB109/DV109-1</f>
        <v>0.48976982097186705</v>
      </c>
      <c r="EC110" s="609">
        <f>EC109/DW109-1</f>
        <v>0.77359968664316492</v>
      </c>
      <c r="ED110" s="607"/>
      <c r="EE110" s="608">
        <f>EE109/DY109-1</f>
        <v>0.42762535477767272</v>
      </c>
      <c r="EF110" s="608">
        <f>EF109/DZ109-1</f>
        <v>-0.31053502482073914</v>
      </c>
      <c r="EG110" s="608">
        <f>EG109/EA109-1</f>
        <v>-1.1154761904761905</v>
      </c>
      <c r="EH110" s="608">
        <f>EH109/EB109-1</f>
        <v>-0.27982832618025755</v>
      </c>
      <c r="EI110" s="609">
        <f>EI109/EC109-1</f>
        <v>7.287985865724389E-2</v>
      </c>
      <c r="EJ110" s="607"/>
      <c r="EK110" s="608">
        <f>EK109/EE109-1</f>
        <v>-0.43362049922686108</v>
      </c>
      <c r="EL110" s="608">
        <f>EL109/EF109-1</f>
        <v>1.4847999999999999</v>
      </c>
      <c r="EM110" s="608">
        <f>EM109/EG109-1</f>
        <v>-10.24742268041237</v>
      </c>
      <c r="EN110" s="608">
        <f>EN109/EH109-1</f>
        <v>-6.0190703218116814E-2</v>
      </c>
      <c r="EO110" s="609">
        <f>EO109/EI109-1</f>
        <v>-0.60230547550432278</v>
      </c>
      <c r="EP110" s="607"/>
      <c r="EQ110" s="608">
        <f>EQ109/EK109-1</f>
        <v>0.39391575663026512</v>
      </c>
      <c r="ER110" s="608">
        <f>ER109/EL109-1</f>
        <v>-0.92337411461687058</v>
      </c>
      <c r="ES110" s="608">
        <f>ES109/EM109-1</f>
        <v>0.96321070234113715</v>
      </c>
      <c r="ET110" s="608">
        <f>ET109/EN109-1</f>
        <v>1.1857958148383005</v>
      </c>
      <c r="EU110" s="609">
        <f>EU109/EO109-1</f>
        <v>3.4223602484472053</v>
      </c>
      <c r="EV110" s="607"/>
      <c r="EW110" s="608">
        <f>EW109/EQ109-1</f>
        <v>0.56435366536094023</v>
      </c>
      <c r="EX110" s="608">
        <f>EX109/ER109-1</f>
        <v>6.1470588235294121</v>
      </c>
      <c r="EY110" s="608">
        <f>EY109/ES109-1</f>
        <v>-1.5354911981828505</v>
      </c>
      <c r="EZ110" s="608">
        <f>EZ109/ET109-1</f>
        <v>-0.73948069958629481</v>
      </c>
      <c r="FA110" s="609">
        <f>FA109/EU109-1</f>
        <v>-0.5499754180095926</v>
      </c>
      <c r="FB110" s="607"/>
      <c r="FC110" s="608">
        <f>FC109/EW109-1</f>
        <v>-0.56451662201304487</v>
      </c>
      <c r="FD110" s="608">
        <f>FD109/EX109-1</f>
        <v>0.53975717062304507</v>
      </c>
      <c r="FE110" s="608">
        <f>FE109/EY109-1</f>
        <v>-1.7322499647961622</v>
      </c>
      <c r="FF110" s="608">
        <f>FF109/EZ109-1</f>
        <v>0.79215933135452299</v>
      </c>
      <c r="FG110" s="609">
        <f>FG109/FA109-1</f>
        <v>-0.4497935317526548</v>
      </c>
      <c r="FH110" s="607"/>
      <c r="FI110" s="608">
        <f>FI109/FC109-1</f>
        <v>0.16395549953107413</v>
      </c>
      <c r="FJ110" s="608">
        <f>FJ109/FD109-1</f>
        <v>-6.3554600432303987E-3</v>
      </c>
      <c r="FK110" s="608">
        <f>FK109/FE109-1</f>
        <v>0.10639168030389867</v>
      </c>
      <c r="FL110" s="608">
        <f>FL109/FF109-1</f>
        <v>0.52710306826786701</v>
      </c>
      <c r="FM110" s="609">
        <f>FM109/FG109-1</f>
        <v>0.6322777713923915</v>
      </c>
      <c r="FN110" s="261"/>
      <c r="FO110" s="261"/>
      <c r="FP110" s="261"/>
      <c r="FQ110" s="261"/>
      <c r="FR110" s="261"/>
      <c r="FS110"/>
      <c r="FT110"/>
      <c r="FU110"/>
      <c r="FV110"/>
      <c r="FW110"/>
      <c r="FX110"/>
      <c r="FY110" s="261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</row>
    <row r="111" spans="1:274" s="24" customFormat="1" ht="10.5" customHeight="1" x14ac:dyDescent="0.2">
      <c r="A111" s="271"/>
      <c r="B111" s="612"/>
      <c r="C111" s="271"/>
      <c r="D111" s="271"/>
      <c r="E111" s="271"/>
      <c r="F111" s="271"/>
      <c r="G111" s="271"/>
      <c r="H111" s="271"/>
      <c r="I111" s="271"/>
      <c r="J111" s="271"/>
      <c r="K111" s="271"/>
      <c r="L111" s="271"/>
      <c r="M111" s="271"/>
      <c r="N111" s="271"/>
      <c r="O111" s="271"/>
      <c r="P111" s="271"/>
      <c r="Q111" s="271"/>
      <c r="R111" s="271"/>
      <c r="S111" s="271"/>
      <c r="T111" s="271"/>
      <c r="U111" s="271"/>
      <c r="V111" s="271"/>
      <c r="W111" s="271"/>
      <c r="X111" s="271"/>
      <c r="Y111" s="271"/>
      <c r="Z111" s="271"/>
      <c r="AA111" s="271"/>
      <c r="AB111" s="271"/>
      <c r="AC111" s="271"/>
      <c r="AD111" s="271"/>
      <c r="AE111" s="271"/>
      <c r="AF111" s="271"/>
      <c r="AG111" s="271"/>
      <c r="AH111" s="271"/>
      <c r="AI111" s="271"/>
      <c r="AJ111" s="271"/>
      <c r="AK111" s="271"/>
      <c r="AL111" s="271"/>
      <c r="AM111" s="271"/>
      <c r="AN111" s="271"/>
      <c r="AO111" s="271"/>
      <c r="AP111" s="271"/>
      <c r="AQ111" s="271"/>
      <c r="AR111" s="271"/>
      <c r="AS111" s="271"/>
      <c r="AT111" s="271"/>
      <c r="AU111" s="271"/>
      <c r="AV111" s="271"/>
      <c r="AW111" s="271"/>
      <c r="AX111" s="271"/>
      <c r="AY111" s="271"/>
      <c r="AZ111" s="271"/>
      <c r="BA111" s="271"/>
      <c r="BB111" s="271"/>
      <c r="BC111" s="271"/>
      <c r="BD111" s="271"/>
      <c r="BE111" s="271"/>
      <c r="BF111" s="271"/>
      <c r="BG111" s="271"/>
      <c r="BH111" s="271"/>
      <c r="BI111" s="271"/>
      <c r="BJ111" s="271"/>
      <c r="BK111" s="271"/>
      <c r="BL111" s="271"/>
      <c r="BM111" s="271"/>
      <c r="BN111" s="271"/>
      <c r="BO111" s="271"/>
      <c r="BP111" s="271"/>
      <c r="BQ111" s="271"/>
      <c r="BR111" s="271"/>
      <c r="BS111" s="271"/>
      <c r="BT111" s="271"/>
      <c r="BU111" s="271"/>
      <c r="BV111" s="271"/>
      <c r="BW111" s="271"/>
      <c r="BX111" s="271"/>
      <c r="BY111" s="271"/>
      <c r="BZ111" s="271"/>
      <c r="CA111" s="271"/>
      <c r="CB111" s="271"/>
      <c r="CC111" s="271"/>
      <c r="CD111" s="271"/>
      <c r="CE111" s="271"/>
      <c r="CF111" s="271"/>
      <c r="CG111" s="271"/>
      <c r="CH111" s="271"/>
      <c r="CI111" s="271"/>
      <c r="CJ111" s="271"/>
      <c r="CK111" s="271"/>
      <c r="CL111" s="271"/>
      <c r="CM111" s="271"/>
      <c r="CN111" s="271"/>
      <c r="CO111" s="271"/>
      <c r="CP111" s="86"/>
      <c r="CQ111" s="271"/>
      <c r="CR111" s="271"/>
      <c r="CS111" s="271"/>
      <c r="CT111" s="271"/>
      <c r="CU111" s="271"/>
      <c r="CV111" s="271"/>
      <c r="CW111" s="271"/>
      <c r="CX111" s="271"/>
      <c r="CY111" s="271"/>
      <c r="CZ111" s="271"/>
      <c r="DA111" s="271"/>
      <c r="DB111" s="271"/>
      <c r="DC111" s="271"/>
      <c r="DD111" s="271"/>
      <c r="DE111" s="271"/>
      <c r="DF111" s="271"/>
      <c r="DG111" s="271"/>
      <c r="DH111" s="271"/>
      <c r="DI111" s="271"/>
      <c r="DJ111" s="271"/>
      <c r="DK111" s="271"/>
      <c r="DL111" s="271"/>
      <c r="DM111" s="271"/>
      <c r="DN111" s="271"/>
      <c r="DO111" s="271"/>
      <c r="DP111" s="271"/>
      <c r="DQ111" s="271"/>
      <c r="DR111" s="271"/>
      <c r="DS111" s="271"/>
      <c r="DT111" s="271"/>
      <c r="DU111" s="271"/>
      <c r="DV111" s="271"/>
      <c r="DW111" s="271"/>
      <c r="DX111" s="271"/>
      <c r="DY111" s="271"/>
      <c r="DZ111" s="271"/>
      <c r="EA111" s="271"/>
      <c r="EB111" s="271"/>
      <c r="EC111" s="271"/>
      <c r="ED111" s="271"/>
      <c r="EE111" s="271"/>
      <c r="EF111" s="271"/>
      <c r="EG111" s="271"/>
      <c r="EH111" s="271"/>
      <c r="EI111" s="271"/>
      <c r="EJ111" s="271"/>
      <c r="EK111" s="271"/>
      <c r="EL111" s="271"/>
      <c r="EM111" s="271"/>
      <c r="EN111" s="271"/>
      <c r="EO111" s="271"/>
      <c r="EP111" s="271"/>
      <c r="EQ111" s="271"/>
      <c r="ER111" s="271"/>
      <c r="ES111" s="271"/>
      <c r="ET111" s="271"/>
      <c r="EU111" s="271"/>
      <c r="EV111" s="271"/>
      <c r="EW111" s="271"/>
      <c r="EX111" s="271"/>
      <c r="EY111" s="271"/>
      <c r="EZ111" s="271"/>
      <c r="FA111" s="271"/>
      <c r="FB111" s="271"/>
      <c r="FC111" s="271"/>
      <c r="FD111" s="271"/>
      <c r="FE111" s="271"/>
      <c r="FF111" s="271"/>
      <c r="FG111" s="271"/>
      <c r="FH111" s="271"/>
      <c r="FI111" s="271"/>
      <c r="FJ111" s="271"/>
      <c r="FK111" s="271"/>
      <c r="FL111" s="271"/>
      <c r="FM111" s="271"/>
      <c r="FN111" s="271"/>
      <c r="FO111" s="271"/>
      <c r="FP111" s="271"/>
      <c r="FQ111" s="271"/>
      <c r="FR111" s="271"/>
      <c r="FS111"/>
      <c r="FT111"/>
      <c r="FU111"/>
      <c r="FV111"/>
      <c r="FW111"/>
      <c r="FX111"/>
      <c r="FY111" s="27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</row>
    <row r="112" spans="1:274" s="24" customFormat="1" ht="10.5" customHeight="1" x14ac:dyDescent="0.2">
      <c r="A112" s="271" t="s">
        <v>2</v>
      </c>
      <c r="DM112" s="1197">
        <f>-SUM(DL90:DM90,DL91:DM91,DH90:DJ90,DH91:DJ91)/SUM(DL105:DM105,DH105:DJ105)</f>
        <v>0.22919032938503975</v>
      </c>
      <c r="DN112" s="1197">
        <f>-SUM(DM90:DN90,DM91:DN91,DI90:DJ90,DI91:DJ91)/SUM(DM105:DN105,DI105:DJ105)</f>
        <v>0.28603051624634357</v>
      </c>
      <c r="DO112" s="1197">
        <f>-SUM(DM90:DO90,DM91:DO91,DJ90,DJ91)/SUM(DM105:DO105,DJ105)</f>
        <v>0.39223405897792185</v>
      </c>
      <c r="DP112" s="1197">
        <f>-SUM(DM90:DP90,DM91:DP91)/SUM(DM105:DP105)</f>
        <v>0.53921344024436813</v>
      </c>
      <c r="DQ112" s="1197">
        <f>-SUM(DM90:DP90,DM91:DP91)/SUM(DM105:DP105)</f>
        <v>0.53921344024436813</v>
      </c>
      <c r="DS112" s="1197">
        <f>-SUM(DR90:DS90,DR91:DS91,DN90:DP90,DN91:DP91)/SUM(DR105:DS105,DN105:DP105)</f>
        <v>0.69766571898847818</v>
      </c>
      <c r="DT112" s="1197">
        <f>-SUM(DS90:DT90,DS91:DT91,DO90:DP90,DO91:DP91)/SUM(DS105:DT105,DO105:DP105)</f>
        <v>0.88346481293446844</v>
      </c>
      <c r="DU112" s="1197">
        <f>-SUM(DS90:DU90,DS91:DU91,DP90,DP91)/SUM(DS105:DU105,DP105)</f>
        <v>0.94621345814470958</v>
      </c>
      <c r="DV112" s="1197">
        <f>-SUM(DS90:DV90,DS91:DV91)/SUM(DS105:DV105)</f>
        <v>0.91748931781346688</v>
      </c>
      <c r="DW112" s="1197">
        <f>-SUM(DS90:DV90,DS91:DV91)/SUM(DS105:DV105)</f>
        <v>0.91748931781346688</v>
      </c>
      <c r="DY112" s="1197">
        <f>-SUM(DX90:DY90,DX91:DY91,DT90:DV90,DT91:DV91)/SUM(DX105:DY105,DT105:DV105)</f>
        <v>0.88907693392567522</v>
      </c>
      <c r="DZ112" s="1197">
        <f>-SUM(DY90:DZ90,DY91:DZ91,DU90:DV90,DU91:DV91)/SUM(DY105:DZ105,DU105:DV105)</f>
        <v>0.86872349158571627</v>
      </c>
      <c r="EA112" s="1197">
        <f>-SUM(DY90:EA90,DY91:EA91,DV90,DV91)/SUM(DY105:EA105,DV105)</f>
        <v>0.85284327323162279</v>
      </c>
      <c r="EB112" s="1197">
        <f>-SUM(DY90:EB90,DY91:EB91)/SUM(DY105:EB105)</f>
        <v>0.83613416079771286</v>
      </c>
      <c r="EC112" s="1197">
        <f>-SUM(DY90:EB90,DY91:EB91)/SUM(DY105:EB105)</f>
        <v>0.83613416079771286</v>
      </c>
      <c r="EE112" s="1197">
        <f>-SUM(ED90:EE90,ED91:EE91,DZ90:EB90,DZ91:EB91)/SUM(ED105:EE105,DZ105:EB105)</f>
        <v>0.74723334917509676</v>
      </c>
      <c r="EF112" s="1197">
        <f>-SUM(EE90:EF90,EE91:EF91,EA90:EB90,EA91:EB91)/SUM(EE105:EF105,EA105:EB105)</f>
        <v>0.70452358036573626</v>
      </c>
      <c r="EG112" s="1197">
        <f>-SUM(EE90:EG90,EE91:EG91,EB90,EB91)/SUM(EE105:EG105,EB105)</f>
        <v>0.75134577096084365</v>
      </c>
      <c r="EH112" s="1197">
        <f>-SUM(EE90:EH90,EE91:EH91)/SUM(EE105:EH105)</f>
        <v>0.79891850135187326</v>
      </c>
      <c r="EI112" s="1197">
        <f>-SUM(EE90:EH90,EE91:EH91)/SUM(EE105:EH105)</f>
        <v>0.79891850135187326</v>
      </c>
      <c r="EK112" s="1197">
        <f>-SUM(EJ90:EK90,EJ91:EK91,EF90:EH90,EF91:EH91)/SUM(EJ105:EK105,EF105:EH105)</f>
        <v>0.95544470747379096</v>
      </c>
      <c r="EL112" s="1197">
        <f>-SUM(EK90:EL90,EK91:EL91,EG90:EH90,EG91:EH91)/SUM(EK105:EL105,EG105:EH105)</f>
        <v>1.1267593166327343</v>
      </c>
      <c r="EM112" s="1197">
        <f>-SUM(EK90:EM90,EK91:EM91,EH90,EH91)/SUM(EK105:EM105,EH105)</f>
        <v>1.0431723696834025</v>
      </c>
      <c r="EN112" s="1197">
        <f>-SUM(EK90:EN90,EK91:EN91)/SUM(EK105:EN105)</f>
        <v>1.0492240543161979</v>
      </c>
      <c r="EQ112" s="1197">
        <f>-SUM(EP90:EQ90,EP91:EQ91,EL90:EN90,EL91:EN91)/SUM(EP105:EQ105,EL105:EN105)</f>
        <v>0.9654649864412187</v>
      </c>
      <c r="ER112" s="1197">
        <f>-SUM(EQ90:ER90,EQ91:ER91,EM90:EN90,EM91:EN91)/SUM(EQ105:ER105,EM105:EN105)</f>
        <v>0.73545099912427359</v>
      </c>
      <c r="ES112" s="1197">
        <f>-SUM(EQ90:ES90,EQ91:ES91,EN90,EN91)/SUM(EQ105:ES105,EN105)</f>
        <v>0.64085709407546521</v>
      </c>
      <c r="ET112" s="1197">
        <f>-SUM(EQ90:ET90,EQ91:ET91)/SUM(EQ105:ET105)</f>
        <v>0.51152416356877328</v>
      </c>
      <c r="EX112" s="1197">
        <f>-SUM(EW90:EX90,EW91:EX91,ES90:ET90,ES91:ET91)/SUM(EW105:EX105,ES105:ET105)</f>
        <v>0.51211734693877553</v>
      </c>
      <c r="EY112" s="1197">
        <f>-SUM(EW90:EY90,EW91:EY91,ET90,ET91)/SUM(EW105:EY105,ET105)</f>
        <v>0.75618002855210764</v>
      </c>
      <c r="FS112"/>
      <c r="FT112"/>
      <c r="FU112"/>
      <c r="FV112"/>
      <c r="FW112"/>
      <c r="FX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</row>
    <row r="113" spans="1:274" s="24" customFormat="1" ht="10.5" customHeight="1" x14ac:dyDescent="0.2">
      <c r="FS113"/>
      <c r="FT113"/>
      <c r="FU113"/>
      <c r="FV113"/>
      <c r="FW113"/>
      <c r="FX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</row>
    <row r="114" spans="1:274" s="24" customFormat="1" ht="10.5" customHeight="1" x14ac:dyDescent="0.2">
      <c r="A114" s="1358" t="s">
        <v>1148</v>
      </c>
      <c r="B114" s="1360"/>
      <c r="C114" s="1360"/>
      <c r="D114" s="1360"/>
      <c r="E114" s="1360"/>
      <c r="F114" s="1360"/>
      <c r="G114" s="1360"/>
      <c r="H114" s="1360"/>
      <c r="I114" s="1360"/>
      <c r="J114" s="1360"/>
      <c r="K114" s="1360"/>
      <c r="L114" s="1360"/>
      <c r="M114" s="1360"/>
      <c r="N114" s="1420"/>
      <c r="O114" s="1360"/>
      <c r="P114" s="1360"/>
      <c r="Q114" s="1360"/>
      <c r="R114" s="1360"/>
      <c r="S114" s="1360"/>
      <c r="T114" s="1420"/>
      <c r="U114" s="1360"/>
      <c r="V114" s="1360"/>
      <c r="W114" s="1360"/>
      <c r="X114" s="1360"/>
      <c r="Y114" s="1360"/>
      <c r="Z114" s="1420"/>
      <c r="AA114" s="1360"/>
      <c r="AB114" s="1360"/>
      <c r="AC114" s="1360"/>
      <c r="AD114" s="1360"/>
      <c r="AE114" s="1360"/>
      <c r="AF114" s="1420"/>
      <c r="AG114" s="1360"/>
      <c r="AH114" s="1360"/>
      <c r="AI114" s="1360"/>
      <c r="AJ114" s="1360"/>
      <c r="AK114" s="1360"/>
      <c r="AL114" s="1420"/>
      <c r="AM114" s="1360"/>
      <c r="AN114" s="1360"/>
      <c r="AO114" s="1360"/>
      <c r="AP114" s="1360"/>
      <c r="AQ114" s="1360"/>
      <c r="AR114" s="1420"/>
      <c r="AS114" s="1360"/>
      <c r="AT114" s="1360"/>
      <c r="AU114" s="1360"/>
      <c r="AV114" s="1360"/>
      <c r="AW114" s="1360"/>
      <c r="AX114" s="1420"/>
      <c r="AY114" s="1360">
        <f>AY105-Model!AY176*(1-Model!AY185)</f>
        <v>-1023.4442899999998</v>
      </c>
      <c r="AZ114" s="1360">
        <f>AZ105-Model!AZ176*(1-Model!AZ185)</f>
        <v>514.54839999999979</v>
      </c>
      <c r="BA114" s="1360">
        <f>BA105-Model!BA176*(1-Model!BA185)</f>
        <v>929.71133999999984</v>
      </c>
      <c r="BB114" s="1360">
        <f>BB105-Model!BB176*(1-Model!BB185)</f>
        <v>1319.9648950000003</v>
      </c>
      <c r="BC114" s="1360">
        <f>BC105-Model!BC176*(1-Model!BC185)</f>
        <v>1740.7803450000001</v>
      </c>
      <c r="BD114" s="1420"/>
      <c r="BE114" s="1360">
        <f>BE105-Model!BE176*(1-Model!BE185)</f>
        <v>1125.1295499999999</v>
      </c>
      <c r="BF114" s="1360">
        <f>BF105-Model!BF176*(1-Model!BF185)</f>
        <v>182.48069999999998</v>
      </c>
      <c r="BG114" s="1360">
        <f>BG105-Model!BG176*(1-Model!BG185)</f>
        <v>607.20534999999995</v>
      </c>
      <c r="BH114" s="1360">
        <f>BH105-Model!BH176*(1-Model!BH185)</f>
        <v>1049.8509297838182</v>
      </c>
      <c r="BI114" s="1360">
        <f>BI105-Model!BI176*(1-Model!BI185)</f>
        <v>2963.0600792530463</v>
      </c>
      <c r="BJ114" s="1420"/>
      <c r="BK114" s="1360">
        <f>BK105-Model!BK176*(1-Model!BK185)</f>
        <v>1213.1111111111111</v>
      </c>
      <c r="BL114" s="1360">
        <f>BL105-Model!BL176*(1-Model!BL185)</f>
        <v>214.98750000000001</v>
      </c>
      <c r="BM114" s="1360">
        <f>BM105-Model!BM176*(1-Model!BM185)</f>
        <v>692.27020506634494</v>
      </c>
      <c r="BN114" s="1360">
        <f>BN105-Model!BN176*(1-Model!BN185)</f>
        <v>620.30571249215313</v>
      </c>
      <c r="BO114" s="1360">
        <f>BO105-Model!BO176*(1-Model!BO185)</f>
        <v>2742.1042214047993</v>
      </c>
      <c r="BP114" s="1420"/>
      <c r="BQ114" s="1360">
        <f>BQ105-Model!BQ176*(1-Model!BQ185)</f>
        <v>1143.1927710843374</v>
      </c>
      <c r="BR114" s="1360">
        <f>BR105-Model!BR176*(1-Model!BR185)</f>
        <v>321.32641921397379</v>
      </c>
      <c r="BS114" s="1360">
        <f>BS105-Model!BS176*(1-Model!BS185)</f>
        <v>505.26638477801271</v>
      </c>
      <c r="BT114" s="1360">
        <f>BT105-Model!BT176*(1-Model!BT185)</f>
        <v>981.93023255813955</v>
      </c>
      <c r="BU114" s="1360">
        <f>BU105-Model!BU176*(1-Model!BU185)</f>
        <v>2950.9528517110266</v>
      </c>
      <c r="BV114" s="1420"/>
      <c r="BW114" s="1360">
        <f>BW105-Model!BW176*(1-Model!BW185)</f>
        <v>1364.1368563685637</v>
      </c>
      <c r="BX114" s="1360">
        <f>BX105-Model!BX176*(1-Model!BX185)</f>
        <v>310.75649913344887</v>
      </c>
      <c r="BY114" s="1360">
        <f>BY105-Model!BY176*(1-Model!BY185)</f>
        <v>699.3002544529262</v>
      </c>
      <c r="BZ114" s="1360">
        <f>BZ105-Model!BZ176*(1-Model!BZ185)</f>
        <v>970.13744315105589</v>
      </c>
      <c r="CA114" s="1360">
        <f>CA105-Model!CA176*(1-Model!CA185)</f>
        <v>3343.2592450553789</v>
      </c>
      <c r="CB114" s="1420"/>
      <c r="CC114" s="1360">
        <f>CC105-Model!CC176*(1-Model!CC185)</f>
        <v>1391.1409395973155</v>
      </c>
      <c r="CD114" s="1360">
        <f>CD105-Model!CD176*(1-Model!CD185)</f>
        <v>260.08982802780827</v>
      </c>
      <c r="CE114" s="1360">
        <f>CE105-Model!CE176*(1-Model!CE185)</f>
        <v>1012.5498654791725</v>
      </c>
      <c r="CF114" s="1360">
        <f>CF105-Model!CF176*(1-Model!CF185)</f>
        <v>1589.7386302536665</v>
      </c>
      <c r="CG114" s="1360">
        <f>CG105-Model!CG176*(1-Model!CG185)</f>
        <v>4253.6019482932652</v>
      </c>
      <c r="CH114" s="1420"/>
      <c r="CI114" s="1360">
        <f>CI105-Model!CI176*(1-Model!CI185)</f>
        <v>1562.7696335078533</v>
      </c>
      <c r="CJ114" s="1360">
        <f>CJ105-Model!CJ176*(1-Model!CJ185)</f>
        <v>186.14377682403435</v>
      </c>
      <c r="CK114" s="1360">
        <f>CK105-Model!CK176*(1-Model!CK185)</f>
        <v>1353.1646859083191</v>
      </c>
      <c r="CL114" s="1360">
        <f>CL105-Model!CL176*(1-Model!CL185)</f>
        <v>2091.3924531800481</v>
      </c>
      <c r="CM114" s="1360">
        <f>CM105-Model!CM176*(1-Model!CM185)</f>
        <v>5193.5017156697841</v>
      </c>
      <c r="CN114" s="1420"/>
      <c r="CO114" s="1360">
        <f>CO105-Model!CO176*(1-Model!CO185)</f>
        <v>2625.8948948948951</v>
      </c>
      <c r="CP114" s="1360">
        <f>CP105-Model!CP176*(1-Model!CP185)</f>
        <v>509.31108144192257</v>
      </c>
      <c r="CQ114" s="1360">
        <f>CQ105-Model!CQ176*(1-Model!CQ185)</f>
        <v>1763.5718144979739</v>
      </c>
      <c r="CR114" s="1360">
        <f>CR105-Model!CR176*(1-Model!CR185)</f>
        <v>2267.0813655761026</v>
      </c>
      <c r="CS114" s="1360">
        <f>CS105-Model!CS176*(1-Model!CS185)</f>
        <v>7166.7506218905473</v>
      </c>
      <c r="CT114" s="1420"/>
      <c r="CU114" s="1360">
        <f>CU105-Model!CU176*(1-Model!CU185)</f>
        <v>2973.6943252265141</v>
      </c>
      <c r="CV114" s="1360">
        <f>CV105-Model!CV176*(1-Model!CV185)</f>
        <v>779.75365853658536</v>
      </c>
      <c r="CW114" s="1360">
        <f>CW105-Model!CW176*(1-Model!CW185)</f>
        <v>2260.4226804123709</v>
      </c>
      <c r="CX114" s="1360">
        <f>CX105-Model!CX176*(1-Model!CX185)</f>
        <v>2059.266922849542</v>
      </c>
      <c r="CY114" s="1360">
        <f>CY105-Model!CY176*(1-Model!CY185)</f>
        <v>8072.6471780028942</v>
      </c>
      <c r="CZ114" s="1420"/>
      <c r="DA114" s="1360">
        <f>DA105-Model!DA176*(1-Model!DA185)</f>
        <v>3811.0934579439254</v>
      </c>
      <c r="DB114" s="1360">
        <f>DB105-Model!DB176*(1-Model!DB185)</f>
        <v>718.53424657534242</v>
      </c>
      <c r="DC114" s="1360">
        <f>DC105-Model!DC176*(1-Model!DC185)</f>
        <v>1913.3988725527538</v>
      </c>
      <c r="DD114" s="1360">
        <f>DD105-Model!DD176*(1-Model!DD185)</f>
        <v>2605.6710265651477</v>
      </c>
      <c r="DE114" s="1360">
        <f>DE105-Model!DE176*(1-Model!DE185)</f>
        <v>9047.8263741731789</v>
      </c>
      <c r="DF114" s="1420"/>
      <c r="DG114" s="1360">
        <f>DG105-Model!DG176*(1-Model!DG185)</f>
        <v>3790.9426548672568</v>
      </c>
      <c r="DH114" s="1360">
        <f>DH105-Model!DH176*(1-Model!DH185)</f>
        <v>912.06573651730616</v>
      </c>
      <c r="DI114" s="1360">
        <f>DI105-Model!DI176*(1-Model!DI185)</f>
        <v>2683.2386609071273</v>
      </c>
      <c r="DJ114" s="1360">
        <f>DJ105-Model!DJ176*(1-Model!DJ185)</f>
        <v>3843.9411764705883</v>
      </c>
      <c r="DK114" s="1360">
        <f>DK105-Model!DK176*(1-Model!DK185)</f>
        <v>11229.713361646522</v>
      </c>
      <c r="DL114" s="1420"/>
      <c r="DM114" s="1360">
        <f>DM105-Model!DM176*(1-Model!DM185)</f>
        <v>5416.8079904591532</v>
      </c>
      <c r="DN114" s="1360">
        <f>DN105-Model!DN176*(1-Model!DN185)</f>
        <v>1257.2715722604553</v>
      </c>
      <c r="DO114" s="1360">
        <f>DO105-Model!DO176*(1-Model!DO185)</f>
        <v>2978.9823824519008</v>
      </c>
      <c r="DP114" s="1360">
        <f>DP105-Model!DP176*(1-Model!DP185)</f>
        <v>4007.3479521200543</v>
      </c>
      <c r="DQ114" s="1360">
        <f>DQ105-Model!DQ176*(1-Model!DQ185)</f>
        <v>13662.230000507272</v>
      </c>
      <c r="DR114" s="1420"/>
      <c r="DS114" s="1360">
        <f>DS105-Model!DS176*(1-Model!DS185)</f>
        <v>5667.603165298945</v>
      </c>
      <c r="DT114" s="1360">
        <f>DT105-Model!DT176*(1-Model!DT185)</f>
        <v>729.11663807890227</v>
      </c>
      <c r="DU114" s="1360">
        <f>DU105-Model!DU176*(1-Model!DU185)</f>
        <v>3270.7686832740214</v>
      </c>
      <c r="DV114" s="1360">
        <f>DV105-Model!DV176*(1-Model!DV185)</f>
        <v>4514.3734716561694</v>
      </c>
      <c r="DW114" s="1360">
        <f>DW105-Model!DW176*(1-Model!DW185)</f>
        <v>14180.118632986627</v>
      </c>
      <c r="DX114" s="1420"/>
      <c r="DY114" s="1360">
        <f>DY105-Model!DY176*(1-Model!DY185)</f>
        <v>6303.2056074766351</v>
      </c>
      <c r="DZ114" s="1360">
        <f>DZ105-Model!DZ176*(1-Model!DZ185)</f>
        <v>1181.69472641743</v>
      </c>
      <c r="EA114" s="1360">
        <f>EA105-Model!EA176*(1-Model!EA185)</f>
        <v>3124.5489130434785</v>
      </c>
      <c r="EB114" s="1360">
        <f>EB105-Model!EB176*(1-Model!EB185)</f>
        <v>4548.3576158940396</v>
      </c>
      <c r="EC114" s="1360">
        <f>EC105-Model!EC176*(1-Model!EC185)</f>
        <v>15158.448692388882</v>
      </c>
      <c r="ED114" s="1420"/>
      <c r="EE114" s="1360">
        <f>EE105-Model!EE176*(1-Model!EE185)</f>
        <v>6719.3531057638502</v>
      </c>
      <c r="EF114" s="1360">
        <f>EF105-Model!EF176*(1-Model!EF185)</f>
        <v>1043.6393880524527</v>
      </c>
      <c r="EG114" s="1360">
        <f>EG105-Model!EG176*(1-Model!EG185)</f>
        <v>2075.101434684118</v>
      </c>
      <c r="EH114" s="1360">
        <f>EH105-Model!EH176*(1-Model!EH185)</f>
        <v>3898.3076923076924</v>
      </c>
      <c r="EI114" s="1360">
        <f>EI105-Model!EI176*(1-Model!EI185)</f>
        <v>13736.028243061499</v>
      </c>
      <c r="EJ114" s="1420"/>
      <c r="EK114" s="1360">
        <f>EK105-Model!EK176*(1-Model!EK185)</f>
        <v>5668.0274848194313</v>
      </c>
      <c r="EL114" s="1360">
        <f>EL105-Model!EL176*(1-Model!EL185)</f>
        <v>534.44732246798606</v>
      </c>
      <c r="EM114" s="1360">
        <f>EM105-Model!EM176*(1-Model!EM185)</f>
        <v>3334.3574263038549</v>
      </c>
      <c r="EN114" s="1360">
        <f>EN105-Model!EN176*(1-Model!EN185)</f>
        <v>3728.3805739514351</v>
      </c>
      <c r="EO114" s="1360">
        <f>EO105-Model!EO176*(1-Model!EO185)</f>
        <v>13264.935375777884</v>
      </c>
      <c r="EP114" s="1360"/>
      <c r="EQ114" s="1360">
        <f>EQ105-Model!EQ176*(1-Model!EQ185)</f>
        <v>5775.674537332482</v>
      </c>
      <c r="ER114" s="1360">
        <f>ER105-Model!ER176*(1-Model!ER185)</f>
        <v>591.23683128882294</v>
      </c>
      <c r="ES114" s="1360">
        <f>ES105-Model!ES176*(1-Model!ES185)</f>
        <v>2463.6614173228345</v>
      </c>
      <c r="ET114" s="1360">
        <f>ET105-Model!ET176*(1-Model!ET185)</f>
        <v>4191.360059549128</v>
      </c>
      <c r="EU114" s="1360">
        <f>EU105-Model!EU176*(1-Model!EU185)</f>
        <v>13026.610262739268</v>
      </c>
      <c r="EV114" s="1360"/>
      <c r="EW114" s="1360">
        <f>EW105-Model!EW176*(1-Model!EW185)</f>
        <v>6270</v>
      </c>
      <c r="EX114" s="1360">
        <f>EX105-Model!EX176*(1-Model!EX185)</f>
        <v>402.07053526763383</v>
      </c>
      <c r="EY114" s="1360">
        <f>EY105-Model!EY176*(1-Model!EY185)</f>
        <v>3116.2852357023212</v>
      </c>
      <c r="EZ114" s="1360">
        <f>EZ105-Model!EZ176*(1-Model!EZ185)</f>
        <v>4144.4000285260418</v>
      </c>
      <c r="FA114" s="1360">
        <f>FA105-Model!FA176*(1-Model!FA185)</f>
        <v>13939.299638476066</v>
      </c>
      <c r="FB114" s="1360"/>
      <c r="FC114" s="1360">
        <f>FC105-Model!FC176*(1-Model!FC185)</f>
        <v>5653.4643284467238</v>
      </c>
      <c r="FD114" s="1360">
        <f>FD105-Model!FD176*(1-Model!FD185)</f>
        <v>597.50642828931802</v>
      </c>
      <c r="FE114" s="1360">
        <f>FE105-Model!FE176*(1-Model!FE185)</f>
        <v>3911.7677095999798</v>
      </c>
      <c r="FF114" s="1360">
        <f>FF105-Model!FF176*(1-Model!FF185)</f>
        <v>4807.2221954852757</v>
      </c>
      <c r="FG114" s="1360">
        <f>FG105-Model!FG176*(1-Model!FG185)</f>
        <v>14969.9606618213</v>
      </c>
      <c r="FH114" s="1360"/>
      <c r="FI114" s="1360">
        <f>FI105-Model!FI176*(1-Model!FI185)</f>
        <v>6023.3379417815695</v>
      </c>
      <c r="FJ114" s="1360">
        <f>FJ105-Model!FJ176*(1-Model!FJ185)</f>
        <v>550.7526258748984</v>
      </c>
      <c r="FK114" s="1360">
        <f>FK105-Model!FK176*(1-Model!FK185)</f>
        <v>3918.5308069665789</v>
      </c>
      <c r="FL114" s="1360">
        <f>FL105-Model!FL176*(1-Model!FL185)</f>
        <v>5612.7143664986907</v>
      </c>
      <c r="FM114" s="1360">
        <f>FM105-Model!FM176*(1-Model!FM185)</f>
        <v>16105.335741121744</v>
      </c>
      <c r="FS114"/>
      <c r="FT114"/>
      <c r="FU114"/>
      <c r="FV114"/>
      <c r="FW114"/>
      <c r="FX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</row>
    <row r="115" spans="1:274" s="614" customFormat="1" ht="10.5" customHeight="1" x14ac:dyDescent="0.2">
      <c r="A115" s="1210" t="s">
        <v>549</v>
      </c>
      <c r="B115" s="1211"/>
      <c r="C115" s="238"/>
      <c r="D115" s="238"/>
      <c r="E115" s="238"/>
      <c r="F115" s="1212"/>
      <c r="G115" s="1212"/>
      <c r="H115" s="1212"/>
      <c r="I115" s="1212"/>
      <c r="J115" s="1212"/>
      <c r="K115" s="1212"/>
      <c r="L115" s="1212"/>
      <c r="M115" s="1212"/>
      <c r="N115" s="607"/>
      <c r="O115" s="607"/>
      <c r="P115" s="607"/>
      <c r="Q115" s="607"/>
      <c r="R115" s="607"/>
      <c r="S115" s="607"/>
      <c r="T115" s="607"/>
      <c r="U115" s="1212"/>
      <c r="V115" s="1212"/>
      <c r="W115" s="1212"/>
      <c r="X115" s="1212"/>
      <c r="Y115" s="1212"/>
      <c r="Z115" s="1212"/>
      <c r="AA115" s="1212"/>
      <c r="AB115" s="1212"/>
      <c r="AC115" s="1212"/>
      <c r="AD115" s="1212"/>
      <c r="AE115" s="1212"/>
      <c r="AF115" s="607"/>
      <c r="AG115" s="1212"/>
      <c r="AH115" s="1212"/>
      <c r="AI115" s="1212"/>
      <c r="AJ115" s="1212"/>
      <c r="AK115" s="1212"/>
      <c r="AL115" s="607"/>
      <c r="AM115" s="1212"/>
      <c r="AN115" s="1212"/>
      <c r="AO115" s="1212"/>
      <c r="AP115" s="1212"/>
      <c r="AQ115" s="1212"/>
      <c r="AR115" s="607"/>
      <c r="AS115" s="1212"/>
      <c r="AT115" s="1212"/>
      <c r="AU115" s="1212"/>
      <c r="AV115" s="1212"/>
      <c r="AW115" s="1212"/>
      <c r="AX115" s="607"/>
      <c r="AY115" s="1212"/>
      <c r="AZ115" s="1212"/>
      <c r="BA115" s="1212"/>
      <c r="BB115" s="1212"/>
      <c r="BC115" s="1212"/>
      <c r="BD115" s="607"/>
      <c r="BE115" s="1212">
        <f>BE114/AY114-1</f>
        <v>-2.0993559307463627</v>
      </c>
      <c r="BF115" s="1212">
        <f>BF114/AZ114-1</f>
        <v>-0.64535756014400181</v>
      </c>
      <c r="BG115" s="1212">
        <f>BG114/BA114-1</f>
        <v>-0.34688830406220483</v>
      </c>
      <c r="BH115" s="1212">
        <f>BH114/BB114-1</f>
        <v>-0.20463723409567047</v>
      </c>
      <c r="BI115" s="1212">
        <f>BI114/BC114-1</f>
        <v>0.70214472363717206</v>
      </c>
      <c r="BJ115" s="607"/>
      <c r="BK115" s="1212">
        <f>BK114/BE114-1</f>
        <v>7.8196827299675142E-2</v>
      </c>
      <c r="BL115" s="1212">
        <f>BL114/BF114-1</f>
        <v>0.17813829078910826</v>
      </c>
      <c r="BM115" s="1212">
        <f>BM114/BG114-1</f>
        <v>0.14009240048089988</v>
      </c>
      <c r="BN115" s="1212">
        <f>BN114/BH114-1</f>
        <v>-0.40914877065462574</v>
      </c>
      <c r="BO115" s="1212">
        <f>BO114/BI114-1</f>
        <v>-7.4570157856518215E-2</v>
      </c>
      <c r="BP115" s="607"/>
      <c r="BQ115" s="1212">
        <f>BQ114/BK114-1</f>
        <v>-5.763556148021276E-2</v>
      </c>
      <c r="BR115" s="1212">
        <f>BR114/BL114-1</f>
        <v>0.49462838171509405</v>
      </c>
      <c r="BS115" s="1212">
        <f>BS114/BM114-1</f>
        <v>-0.27013125643679892</v>
      </c>
      <c r="BT115" s="1212">
        <f>BT114/BN114-1</f>
        <v>0.58297789748399409</v>
      </c>
      <c r="BU115" s="1212">
        <f>BU114/BO114-1</f>
        <v>7.6163636916481758E-2</v>
      </c>
      <c r="BV115" s="607"/>
      <c r="BW115" s="1212">
        <f>BW114/BQ114-1</f>
        <v>0.19326931631544264</v>
      </c>
      <c r="BX115" s="1212">
        <f>BX114/BR114-1</f>
        <v>-3.2894649952471933E-2</v>
      </c>
      <c r="BY115" s="1212">
        <f>BY114/BS114-1</f>
        <v>0.38402291448729908</v>
      </c>
      <c r="BZ115" s="1212">
        <f>BZ114/BT114-1</f>
        <v>-1.200980376819738E-2</v>
      </c>
      <c r="CA115" s="1212">
        <f>CA114/BU114-1</f>
        <v>0.13294227765004263</v>
      </c>
      <c r="CB115" s="607"/>
      <c r="CC115" s="1212">
        <f>CC114/BW114-1</f>
        <v>1.9795728780936717E-2</v>
      </c>
      <c r="CD115" s="1212">
        <f>CD114/BX114-1</f>
        <v>-0.16304299748171225</v>
      </c>
      <c r="CE115" s="1212">
        <f>CE114/BY114-1</f>
        <v>0.44794722872124004</v>
      </c>
      <c r="CF115" s="1212">
        <f>CF114/BZ114-1</f>
        <v>0.63867361421502755</v>
      </c>
      <c r="CG115" s="1212">
        <f>CG114/CA114-1</f>
        <v>0.27229198710338332</v>
      </c>
      <c r="CH115" s="607"/>
      <c r="CI115" s="1212">
        <f>CI114/CC114-1</f>
        <v>0.12337261382029197</v>
      </c>
      <c r="CJ115" s="1212">
        <f>CJ114/CD114-1</f>
        <v>-0.28430966241350952</v>
      </c>
      <c r="CK115" s="1212">
        <f>CK114/CE114-1</f>
        <v>0.33639313187598563</v>
      </c>
      <c r="CL115" s="1212">
        <f>CL114/CF114-1</f>
        <v>0.31555742143998544</v>
      </c>
      <c r="CM115" s="1213">
        <f>CM114/CG114-1</f>
        <v>0.22096561427278094</v>
      </c>
      <c r="CN115" s="607"/>
      <c r="CO115" s="1212">
        <f>CO114/CI114-1</f>
        <v>0.68028277398806991</v>
      </c>
      <c r="CP115" s="1212">
        <f>CP114/CJ114-1</f>
        <v>1.7361166198071993</v>
      </c>
      <c r="CQ115" s="1212">
        <f>CQ114/CK114-1</f>
        <v>0.3032942943778989</v>
      </c>
      <c r="CR115" s="1212">
        <f>CR114/CL114-1</f>
        <v>8.4005712141168143E-2</v>
      </c>
      <c r="CS115" s="1213">
        <f>CS114/CM114-1</f>
        <v>0.37994575033394051</v>
      </c>
      <c r="CT115" s="607"/>
      <c r="CU115" s="1212">
        <f>CU114/CO114-1</f>
        <v>0.13244986728440256</v>
      </c>
      <c r="CV115" s="1212">
        <f>CV114/CP114-1</f>
        <v>0.53099684446096562</v>
      </c>
      <c r="CW115" s="1212">
        <f>CW114/CQ114-1</f>
        <v>0.28172987446832876</v>
      </c>
      <c r="CX115" s="1212">
        <f>CX114/CR114-1</f>
        <v>-9.1666071576461339E-2</v>
      </c>
      <c r="CY115" s="1213">
        <f>CY114/CS114-1</f>
        <v>0.1264026898529611</v>
      </c>
      <c r="CZ115" s="607"/>
      <c r="DA115" s="1212">
        <f>DA114/CU114-1</f>
        <v>0.28160229032741091</v>
      </c>
      <c r="DB115" s="1212">
        <f>DB114/CV114-1</f>
        <v>-7.8511221192776981E-2</v>
      </c>
      <c r="DC115" s="1212">
        <f>DC114/CW114-1</f>
        <v>-0.15352164480862018</v>
      </c>
      <c r="DD115" s="1212">
        <f>DD114/CX114-1</f>
        <v>0.26533913484100968</v>
      </c>
      <c r="DE115" s="1213">
        <f>DE114/CY114-1</f>
        <v>0.12080042328959251</v>
      </c>
      <c r="DF115" s="607"/>
      <c r="DG115" s="1212">
        <f>DG114/DA114-1</f>
        <v>-5.2874072228971114E-3</v>
      </c>
      <c r="DH115" s="1212">
        <f>DH114/DB114-1</f>
        <v>0.26934205413919798</v>
      </c>
      <c r="DI115" s="1212">
        <f>DI114/DC114-1</f>
        <v>0.40234150829580795</v>
      </c>
      <c r="DJ115" s="1212">
        <f>DJ114/DD114-1</f>
        <v>0.47522121452828037</v>
      </c>
      <c r="DK115" s="1213">
        <f>DK114/DE114-1</f>
        <v>0.24115040422321665</v>
      </c>
      <c r="DL115" s="607"/>
      <c r="DM115" s="1212">
        <f>DM114/DG114-1</f>
        <v>0.42888154309177429</v>
      </c>
      <c r="DN115" s="1212">
        <f>DN114/DH114-1</f>
        <v>0.37848788954764001</v>
      </c>
      <c r="DO115" s="1212">
        <f>DO114/DI114-1</f>
        <v>0.11021894021338774</v>
      </c>
      <c r="DP115" s="1212">
        <f>DP114/DJ114-1</f>
        <v>4.2510217546955831E-2</v>
      </c>
      <c r="DQ115" s="1213">
        <f>DQ114/DK114-1</f>
        <v>0.21661431245152363</v>
      </c>
      <c r="DR115" s="607"/>
      <c r="DS115" s="1212">
        <f>DS114/DM114-1</f>
        <v>4.6299439685055788E-2</v>
      </c>
      <c r="DT115" s="1212">
        <f>DT114/DN114-1</f>
        <v>-0.42008023233356051</v>
      </c>
      <c r="DU115" s="1212">
        <f>DU114/DO114-1</f>
        <v>9.7948313672792331E-2</v>
      </c>
      <c r="DV115" s="1212">
        <f>DV114/DP114-1</f>
        <v>0.12652395688971252</v>
      </c>
      <c r="DW115" s="1213">
        <f>DW114/DQ114-1</f>
        <v>3.7906595955427891E-2</v>
      </c>
      <c r="DX115" s="607"/>
      <c r="DY115" s="1212">
        <f>DY114/DS114-1</f>
        <v>0.11214660300659296</v>
      </c>
      <c r="DZ115" s="1212">
        <f>DZ114/DT114-1</f>
        <v>0.62072110921922419</v>
      </c>
      <c r="EA115" s="1212">
        <f>EA114/DU114-1</f>
        <v>-4.4705017196195573E-2</v>
      </c>
      <c r="EB115" s="1212">
        <f>EB114/DV114-1</f>
        <v>7.52798687375833E-3</v>
      </c>
      <c r="EC115" s="1213">
        <f>EC114/DW114-1</f>
        <v>6.8993080010374852E-2</v>
      </c>
      <c r="ED115" s="607"/>
      <c r="EE115" s="1212">
        <f>EE114/DY114-1</f>
        <v>6.6021564930960785E-2</v>
      </c>
      <c r="EF115" s="1212">
        <f>EF114/DZ114-1</f>
        <v>-0.11682825968388877</v>
      </c>
      <c r="EG115" s="1212">
        <f>EG114/EA114-1</f>
        <v>-0.33587167542118657</v>
      </c>
      <c r="EH115" s="1212">
        <f>EH114/EB114-1</f>
        <v>-0.14291970387613673</v>
      </c>
      <c r="EI115" s="1213">
        <f>EI114/EC114-1</f>
        <v>-9.3836808646625247E-2</v>
      </c>
      <c r="EJ115" s="607"/>
      <c r="EK115" s="1212">
        <f>EK114/EE114-1</f>
        <v>-0.15646232671454541</v>
      </c>
      <c r="EL115" s="1212">
        <f>EL114/EF114-1</f>
        <v>-0.48790039108688277</v>
      </c>
      <c r="EM115" s="1212">
        <f>EM114/EG114-1</f>
        <v>0.60684069249435368</v>
      </c>
      <c r="EN115" s="1212">
        <f>EN114/EH114-1</f>
        <v>-4.3589970768999287E-2</v>
      </c>
      <c r="EO115" s="1213">
        <f>EO114/EI114-1</f>
        <v>-3.4296148708166663E-2</v>
      </c>
      <c r="EP115" s="607"/>
      <c r="EQ115" s="1212">
        <f>EQ114/EK114-1</f>
        <v>1.8991977862026888E-2</v>
      </c>
      <c r="ER115" s="1212">
        <f>ER114/EL114-1</f>
        <v>0.10625838400423193</v>
      </c>
      <c r="ES115" s="1212">
        <f>ES114/EM114-1</f>
        <v>-0.26112857671236211</v>
      </c>
      <c r="ET115" s="1212">
        <f>ET114/EN114-1</f>
        <v>0.12417709952474487</v>
      </c>
      <c r="EU115" s="1213">
        <f>EU114/EO114-1</f>
        <v>-1.7966549122719777E-2</v>
      </c>
      <c r="EV115" s="607"/>
      <c r="EW115" s="1212">
        <f>EW114/EQ114-1</f>
        <v>8.5587485837770982E-2</v>
      </c>
      <c r="EX115" s="1212">
        <f>EX114/ER114-1</f>
        <v>-0.31995012152546387</v>
      </c>
      <c r="EY115" s="1212">
        <f>EY114/ES114-1</f>
        <v>0.26489996303496444</v>
      </c>
      <c r="EZ115" s="1212">
        <f>EZ114/ET114-1</f>
        <v>-1.120400785327369E-2</v>
      </c>
      <c r="FA115" s="1213">
        <f>FA114/EU114-1</f>
        <v>7.0063459129303451E-2</v>
      </c>
      <c r="FB115" s="607"/>
      <c r="FC115" s="1212">
        <f>FC114/EW114-1</f>
        <v>-9.8331048094621454E-2</v>
      </c>
      <c r="FD115" s="1212">
        <f>FD114/EX114-1</f>
        <v>0.48607365096175092</v>
      </c>
      <c r="FE115" s="1212">
        <f>FE114/EY114-1</f>
        <v>0.25526625893678179</v>
      </c>
      <c r="FF115" s="1212">
        <f>FF114/EZ114-1</f>
        <v>0.15993199555955195</v>
      </c>
      <c r="FG115" s="1213">
        <f>FG114/FA114-1</f>
        <v>7.3939225791541441E-2</v>
      </c>
      <c r="FH115" s="607"/>
      <c r="FI115" s="1212">
        <f>FI114/FC114-1</f>
        <v>6.5424241110665582E-2</v>
      </c>
      <c r="FJ115" s="1212">
        <f>FJ114/FD114-1</f>
        <v>-7.824819985330933E-2</v>
      </c>
      <c r="FK115" s="1212">
        <f>FK114/FE114-1</f>
        <v>1.728910781179982E-3</v>
      </c>
      <c r="FL115" s="1212">
        <f>FL114/FF114-1</f>
        <v>0.16755875602544368</v>
      </c>
      <c r="FM115" s="1213">
        <f>FM114/FG114-1</f>
        <v>7.5843557972470332E-2</v>
      </c>
      <c r="FN115" s="261"/>
      <c r="FO115" s="261"/>
      <c r="FP115" s="261"/>
      <c r="FQ115" s="261"/>
      <c r="FR115" s="261"/>
      <c r="FS115"/>
      <c r="FT115"/>
      <c r="FU115"/>
      <c r="FV115"/>
      <c r="FW115"/>
      <c r="FX115"/>
      <c r="FY115" s="261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</row>
    <row r="116" spans="1:274" s="24" customFormat="1" ht="10.5" customHeight="1" x14ac:dyDescent="0.2">
      <c r="FS116"/>
      <c r="FT116"/>
      <c r="FU116"/>
      <c r="FV116"/>
      <c r="FW116"/>
      <c r="FX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</row>
    <row r="117" spans="1:274" s="24" customFormat="1" ht="10.5" customHeight="1" x14ac:dyDescent="0.2">
      <c r="A117" s="158"/>
      <c r="B117" s="158"/>
      <c r="C117" s="158"/>
      <c r="D117" s="158"/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  <c r="AA117" s="158"/>
      <c r="AB117" s="158"/>
      <c r="AC117" s="158"/>
      <c r="AD117" s="158"/>
      <c r="AE117" s="158"/>
      <c r="AF117" s="158"/>
      <c r="AG117" s="158"/>
      <c r="AH117" s="158"/>
      <c r="AI117" s="158"/>
      <c r="AJ117" s="158"/>
      <c r="AK117" s="158"/>
      <c r="AL117" s="158"/>
      <c r="AM117" s="158"/>
      <c r="AN117" s="158"/>
      <c r="AO117" s="158"/>
      <c r="AP117" s="158"/>
      <c r="AQ117" s="158"/>
      <c r="AR117" s="158"/>
      <c r="AS117" s="158"/>
      <c r="AT117" s="158"/>
      <c r="AU117" s="158"/>
      <c r="AV117" s="158"/>
      <c r="AW117" s="158"/>
      <c r="AX117" s="158"/>
      <c r="AY117" s="158"/>
      <c r="AZ117" s="158"/>
      <c r="BA117" s="158"/>
      <c r="BB117" s="158"/>
      <c r="BC117" s="158"/>
      <c r="BD117" s="158"/>
      <c r="BE117" s="158"/>
      <c r="BF117" s="158"/>
      <c r="BG117" s="158"/>
      <c r="BH117" s="158"/>
      <c r="BI117" s="158"/>
      <c r="BJ117" s="158"/>
      <c r="BK117" s="158"/>
      <c r="BL117" s="158"/>
      <c r="BM117" s="158"/>
      <c r="BN117" s="158"/>
      <c r="BO117" s="158"/>
      <c r="BP117" s="158"/>
      <c r="BQ117" s="158"/>
      <c r="BR117" s="158"/>
      <c r="BS117" s="158"/>
      <c r="BT117" s="158"/>
      <c r="BU117" s="158"/>
      <c r="BV117" s="158"/>
      <c r="BW117" s="158"/>
      <c r="BX117" s="158"/>
      <c r="BY117" s="158"/>
      <c r="BZ117" s="158"/>
      <c r="CA117" s="158"/>
      <c r="CB117" s="158"/>
      <c r="CC117" s="158"/>
      <c r="CD117" s="158"/>
      <c r="CE117" s="158"/>
      <c r="CF117" s="158"/>
      <c r="CG117" s="158"/>
      <c r="CH117" s="158"/>
      <c r="CI117" s="158"/>
      <c r="CJ117" s="158"/>
      <c r="CK117" s="158"/>
      <c r="CL117" s="158"/>
      <c r="CM117" s="158"/>
      <c r="CN117" s="158"/>
      <c r="CO117" s="158"/>
      <c r="CP117" s="158"/>
      <c r="CQ117" s="158"/>
      <c r="CR117" s="158"/>
      <c r="CS117" s="158"/>
      <c r="CT117" s="158"/>
      <c r="CU117" s="158"/>
      <c r="CV117" s="158"/>
      <c r="CW117" s="158"/>
      <c r="CX117" s="158"/>
      <c r="CY117" s="158"/>
      <c r="CZ117" s="158"/>
      <c r="DA117" s="158"/>
      <c r="DB117" s="158"/>
      <c r="DC117" s="158"/>
      <c r="DD117" s="158"/>
      <c r="DE117" s="158"/>
      <c r="DF117" s="158"/>
      <c r="DG117" s="158"/>
      <c r="DH117" s="158"/>
      <c r="DI117" s="158"/>
      <c r="DJ117" s="158"/>
      <c r="FS117"/>
      <c r="FT117"/>
      <c r="FU117"/>
      <c r="FV117"/>
      <c r="FW117"/>
      <c r="FX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</row>
    <row r="118" spans="1:274" s="24" customFormat="1" ht="10.5" customHeight="1" x14ac:dyDescent="0.2">
      <c r="FS118"/>
      <c r="FT118"/>
      <c r="FU118"/>
      <c r="FV118"/>
      <c r="FW118"/>
      <c r="FX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</row>
    <row r="119" spans="1:274" s="24" customFormat="1" ht="10.5" customHeight="1" x14ac:dyDescent="0.2">
      <c r="FS119"/>
      <c r="FT119"/>
      <c r="FU119"/>
      <c r="FV119"/>
      <c r="FW119"/>
      <c r="FX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</row>
    <row r="120" spans="1:274" s="24" customFormat="1" ht="10.5" customHeight="1" x14ac:dyDescent="0.2">
      <c r="FS120"/>
      <c r="FT120"/>
      <c r="FU120"/>
      <c r="FV120"/>
      <c r="FW120"/>
      <c r="FX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</row>
    <row r="121" spans="1:274" s="24" customFormat="1" ht="10.5" customHeight="1" x14ac:dyDescent="0.2">
      <c r="FS121"/>
      <c r="FT121"/>
      <c r="FU121"/>
      <c r="FV121"/>
      <c r="FW121"/>
      <c r="FX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</row>
    <row r="122" spans="1:274" s="24" customFormat="1" ht="10.5" customHeight="1" x14ac:dyDescent="0.2">
      <c r="FS122"/>
      <c r="FT122"/>
      <c r="FU122"/>
      <c r="FV122"/>
      <c r="FW122"/>
      <c r="FX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</row>
    <row r="123" spans="1:274" s="24" customFormat="1" ht="10.5" customHeight="1" x14ac:dyDescent="0.2">
      <c r="FS123"/>
      <c r="FT123"/>
      <c r="FU123"/>
      <c r="FV123"/>
      <c r="FW123"/>
      <c r="FX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</row>
    <row r="124" spans="1:274" s="24" customFormat="1" ht="10.5" customHeight="1" x14ac:dyDescent="0.2">
      <c r="FS124"/>
      <c r="FT124"/>
      <c r="FU124"/>
      <c r="FV124"/>
      <c r="FW124"/>
      <c r="FX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</row>
    <row r="125" spans="1:274" s="24" customFormat="1" ht="10.5" customHeight="1" x14ac:dyDescent="0.2">
      <c r="DS125" s="24" t="s">
        <v>1013</v>
      </c>
      <c r="FS125"/>
      <c r="FT125"/>
      <c r="FU125"/>
      <c r="FV125"/>
      <c r="FW125"/>
      <c r="FX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</row>
  </sheetData>
  <customSheetViews>
    <customSheetView guid="{9EE67DAB-A61A-4D9C-921F-C1D84D0D754F}" scale="90" showGridLines="0" hiddenColumns="1" showRuler="0"/>
    <customSheetView guid="{CA614B88-8CF3-4BB8-8646-EEB6071A634F}" scale="90" showGridLines="0" hiddenColumns="1" showRuler="0"/>
  </customSheetViews>
  <phoneticPr fontId="2" type="noConversion"/>
  <pageMargins left="0" right="0" top="0" bottom="0" header="0" footer="0"/>
  <pageSetup paperSize="5" orientation="landscape" horizontalDpi="300" verticalDpi="300" r:id="rId1"/>
  <headerFooter alignWithMargins="0">
    <oddFooter>&amp;L&amp;"Arial,Bold"&amp;8Morgan Stanley Equity Research</oddFooter>
  </headerFooter>
  <colBreaks count="2" manualBreakCount="2">
    <brk id="89" max="1048575" man="1"/>
    <brk id="91" max="1048575" man="1"/>
  </colBreaks>
  <ignoredErrors>
    <ignoredError sqref="X82 CM13" formula="1"/>
  </ignoredError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>
    <tabColor theme="4"/>
    <pageSetUpPr fitToPage="1"/>
  </sheetPr>
  <dimension ref="A1:JN803"/>
  <sheetViews>
    <sheetView showGridLines="0" zoomScaleNormal="100" zoomScaleSheetLayoutView="75" workbookViewId="0">
      <pane xSplit="2" ySplit="6" topLeftCell="EI7" activePane="bottomRight" state="frozen"/>
      <selection activeCell="B34" sqref="B34"/>
      <selection pane="topRight" activeCell="B34" sqref="B34"/>
      <selection pane="bottomLeft" activeCell="B34" sqref="B34"/>
      <selection pane="bottomRight" activeCell="EI7" sqref="EI7"/>
    </sheetView>
  </sheetViews>
  <sheetFormatPr defaultRowHeight="12.75" outlineLevelRow="2" outlineLevelCol="3" x14ac:dyDescent="0.2"/>
  <cols>
    <col min="1" max="1" width="42.7109375" customWidth="1"/>
    <col min="2" max="2" width="4.140625" hidden="1" customWidth="1"/>
    <col min="3" max="13" width="7.7109375" hidden="1" customWidth="1" outlineLevel="1"/>
    <col min="14" max="14" width="1.7109375" hidden="1" customWidth="1" outlineLevel="2"/>
    <col min="15" max="18" width="7.7109375" hidden="1" customWidth="1" outlineLevel="2"/>
    <col min="19" max="19" width="7.7109375" hidden="1" customWidth="1" outlineLevel="1" collapsed="1"/>
    <col min="20" max="20" width="1.7109375" hidden="1" customWidth="1" outlineLevel="2"/>
    <col min="21" max="24" width="7.7109375" hidden="1" customWidth="1" outlineLevel="2"/>
    <col min="25" max="25" width="7.7109375" hidden="1" customWidth="1" outlineLevel="1" collapsed="1"/>
    <col min="26" max="26" width="1.7109375" hidden="1" customWidth="1" outlineLevel="2"/>
    <col min="27" max="30" width="7.7109375" hidden="1" customWidth="1" outlineLevel="2"/>
    <col min="31" max="31" width="7.7109375" hidden="1" customWidth="1" outlineLevel="1" collapsed="1"/>
    <col min="32" max="32" width="1.7109375" hidden="1" customWidth="1" outlineLevel="2"/>
    <col min="33" max="36" width="7.7109375" hidden="1" customWidth="1" outlineLevel="2"/>
    <col min="37" max="37" width="7.7109375" hidden="1" customWidth="1" outlineLevel="1" collapsed="1"/>
    <col min="38" max="38" width="1.7109375" hidden="1" customWidth="1" outlineLevel="2"/>
    <col min="39" max="42" width="7.7109375" hidden="1" customWidth="1" outlineLevel="2"/>
    <col min="43" max="43" width="7.7109375" hidden="1" customWidth="1" outlineLevel="1" collapsed="1"/>
    <col min="44" max="44" width="1.7109375" hidden="1" customWidth="1" outlineLevel="2"/>
    <col min="45" max="48" width="7.7109375" hidden="1" customWidth="1" outlineLevel="2"/>
    <col min="49" max="49" width="9.7109375" hidden="1" customWidth="1" outlineLevel="1" collapsed="1"/>
    <col min="50" max="50" width="1.7109375" hidden="1" customWidth="1" outlineLevel="2"/>
    <col min="51" max="54" width="7.7109375" hidden="1" customWidth="1" outlineLevel="2"/>
    <col min="55" max="55" width="7.85546875" hidden="1" customWidth="1" outlineLevel="1" collapsed="1"/>
    <col min="56" max="56" width="1.7109375" hidden="1" customWidth="1" outlineLevel="2"/>
    <col min="57" max="60" width="7.28515625" hidden="1" customWidth="1" outlineLevel="2"/>
    <col min="61" max="61" width="7.28515625" hidden="1" customWidth="1" outlineLevel="1" collapsed="1"/>
    <col min="62" max="62" width="1.7109375" hidden="1" customWidth="1" outlineLevel="2"/>
    <col min="63" max="66" width="7.42578125" hidden="1" customWidth="1" outlineLevel="2"/>
    <col min="67" max="67" width="9.42578125" hidden="1" customWidth="1" outlineLevel="1" collapsed="1"/>
    <col min="68" max="68" width="1.7109375" hidden="1" customWidth="1" outlineLevel="2"/>
    <col min="69" max="71" width="7.42578125" hidden="1" customWidth="1" outlineLevel="2"/>
    <col min="72" max="72" width="6.85546875" hidden="1" customWidth="1" outlineLevel="2"/>
    <col min="73" max="73" width="7" hidden="1" customWidth="1" outlineLevel="1" collapsed="1"/>
    <col min="74" max="74" width="0.5703125" hidden="1" customWidth="1" outlineLevel="1"/>
    <col min="75" max="78" width="6.7109375" hidden="1" customWidth="1" outlineLevel="2"/>
    <col min="79" max="79" width="7" hidden="1" customWidth="1" outlineLevel="1" collapsed="1"/>
    <col min="80" max="80" width="1.7109375" hidden="1" customWidth="1" outlineLevel="1"/>
    <col min="81" max="84" width="6.7109375" hidden="1" customWidth="1" outlineLevel="2"/>
    <col min="85" max="85" width="7.140625" hidden="1" customWidth="1" outlineLevel="1" collapsed="1"/>
    <col min="86" max="86" width="1.7109375" hidden="1" customWidth="1" outlineLevel="1" collapsed="1"/>
    <col min="87" max="89" width="6.7109375" hidden="1" customWidth="1" outlineLevel="3"/>
    <col min="90" max="90" width="7.28515625" hidden="1" customWidth="1" outlineLevel="3"/>
    <col min="91" max="91" width="8.85546875" hidden="1" customWidth="1" outlineLevel="1" collapsed="1"/>
    <col min="92" max="92" width="1.7109375" hidden="1" customWidth="1" outlineLevel="1" collapsed="1"/>
    <col min="93" max="95" width="6.7109375" hidden="1" customWidth="1" outlineLevel="2"/>
    <col min="96" max="96" width="7.28515625" hidden="1" customWidth="1" outlineLevel="2"/>
    <col min="97" max="97" width="8.85546875" hidden="1" customWidth="1" outlineLevel="1" collapsed="1"/>
    <col min="98" max="98" width="1.7109375" hidden="1" customWidth="1" collapsed="1"/>
    <col min="99" max="101" width="6.7109375" hidden="1" customWidth="1" outlineLevel="1"/>
    <col min="102" max="102" width="7.28515625" hidden="1" customWidth="1" outlineLevel="1"/>
    <col min="103" max="103" width="7.7109375" hidden="1" customWidth="1" collapsed="1"/>
    <col min="104" max="104" width="1.7109375" hidden="1" customWidth="1" outlineLevel="1"/>
    <col min="105" max="105" width="6.85546875" hidden="1" customWidth="1" outlineLevel="1"/>
    <col min="106" max="108" width="7.140625" hidden="1" customWidth="1" outlineLevel="1"/>
    <col min="109" max="109" width="7.7109375" hidden="1" customWidth="1" collapsed="1"/>
    <col min="110" max="110" width="1.7109375" hidden="1" customWidth="1" outlineLevel="1"/>
    <col min="111" max="114" width="7.42578125" hidden="1" customWidth="1" outlineLevel="1"/>
    <col min="115" max="115" width="7.7109375" hidden="1" customWidth="1" collapsed="1"/>
    <col min="116" max="116" width="1.7109375" hidden="1" customWidth="1" outlineLevel="1"/>
    <col min="117" max="120" width="7.42578125" hidden="1" customWidth="1" outlineLevel="1"/>
    <col min="121" max="121" width="7.7109375" hidden="1" customWidth="1" collapsed="1"/>
    <col min="122" max="122" width="1.7109375" hidden="1" customWidth="1" outlineLevel="1"/>
    <col min="123" max="126" width="7.42578125" hidden="1" customWidth="1" outlineLevel="1"/>
    <col min="127" max="127" width="10.28515625" hidden="1" customWidth="1" collapsed="1"/>
    <col min="128" max="128" width="1.7109375" hidden="1" customWidth="1" outlineLevel="2"/>
    <col min="129" max="132" width="7.42578125" hidden="1" customWidth="1" outlineLevel="2"/>
    <col min="133" max="133" width="9.42578125" hidden="1" customWidth="1" collapsed="1"/>
    <col min="134" max="134" width="1.7109375" hidden="1" customWidth="1"/>
    <col min="135" max="138" width="7.42578125" hidden="1" customWidth="1" outlineLevel="2"/>
    <col min="139" max="139" width="8.42578125" customWidth="1" collapsed="1"/>
    <col min="140" max="140" width="1.7109375" customWidth="1" outlineLevel="1"/>
    <col min="141" max="143" width="8.140625" hidden="1" customWidth="1" outlineLevel="2"/>
    <col min="144" max="144" width="8.5703125" hidden="1" customWidth="1" outlineLevel="2"/>
    <col min="145" max="145" width="8.42578125" customWidth="1" outlineLevel="1" collapsed="1"/>
    <col min="146" max="146" width="1.7109375" customWidth="1" outlineLevel="1"/>
    <col min="147" max="149" width="7.140625" hidden="1" customWidth="1" outlineLevel="2"/>
    <col min="150" max="150" width="7.28515625" hidden="1" customWidth="1" outlineLevel="2"/>
    <col min="151" max="151" width="7.7109375" customWidth="1" outlineLevel="1" collapsed="1"/>
    <col min="152" max="152" width="1.7109375" customWidth="1" outlineLevel="1"/>
    <col min="153" max="155" width="7.140625" customWidth="1" outlineLevel="2"/>
    <col min="156" max="156" width="7.28515625" customWidth="1" outlineLevel="2"/>
    <col min="157" max="157" width="7.7109375" customWidth="1" outlineLevel="1"/>
    <col min="158" max="158" width="1.7109375" customWidth="1" outlineLevel="1"/>
    <col min="159" max="161" width="7.140625" customWidth="1" outlineLevel="2"/>
    <col min="162" max="162" width="7.28515625" customWidth="1" outlineLevel="2"/>
    <col min="163" max="163" width="7.7109375" customWidth="1" outlineLevel="1"/>
    <col min="164" max="164" width="1.7109375" customWidth="1" outlineLevel="1"/>
    <col min="165" max="167" width="7.140625" hidden="1" customWidth="1" outlineLevel="2"/>
    <col min="168" max="168" width="7.28515625" hidden="1" customWidth="1" outlineLevel="2"/>
    <col min="169" max="169" width="7.7109375" customWidth="1" outlineLevel="1" collapsed="1"/>
    <col min="170" max="170" width="1" customWidth="1"/>
    <col min="171" max="171" width="27.85546875" customWidth="1"/>
    <col min="172" max="172" width="12.28515625" customWidth="1"/>
    <col min="173" max="178" width="7.42578125" hidden="1" customWidth="1" outlineLevel="1"/>
    <col min="179" max="179" width="7.42578125" customWidth="1" collapsed="1"/>
    <col min="182" max="182" width="12.7109375" customWidth="1"/>
    <col min="183" max="189" width="6.5703125" customWidth="1"/>
    <col min="190" max="190" width="7.7109375" customWidth="1"/>
  </cols>
  <sheetData>
    <row r="1" spans="1:274" s="1014" customFormat="1" ht="20.100000000000001" customHeight="1" x14ac:dyDescent="0.2">
      <c r="A1" s="193" t="str">
        <f>Model!A1</f>
        <v>Oracle</v>
      </c>
      <c r="B1" s="1021"/>
      <c r="D1" s="625"/>
      <c r="E1" s="625"/>
      <c r="F1" s="625"/>
      <c r="G1" s="625"/>
      <c r="H1" s="625"/>
      <c r="I1" s="625"/>
      <c r="J1" s="625"/>
      <c r="K1" s="625"/>
      <c r="L1" s="625"/>
      <c r="M1" s="625"/>
      <c r="N1" s="625"/>
      <c r="O1" s="625"/>
      <c r="P1" s="625"/>
      <c r="Q1" s="625"/>
      <c r="R1" s="625"/>
      <c r="S1" s="625"/>
      <c r="T1" s="625"/>
      <c r="U1" s="625"/>
      <c r="V1" s="625"/>
      <c r="W1" s="625"/>
      <c r="X1" s="625"/>
      <c r="Y1" s="625"/>
      <c r="Z1" s="625"/>
      <c r="AA1" s="625"/>
      <c r="AB1" s="625"/>
      <c r="AC1" s="625"/>
      <c r="AD1" s="625"/>
      <c r="AE1" s="625"/>
      <c r="AF1" s="625"/>
      <c r="AG1" s="625"/>
      <c r="AH1" s="625"/>
      <c r="AI1" s="625"/>
      <c r="AJ1" s="625"/>
      <c r="AK1" s="625"/>
      <c r="AL1" s="625"/>
      <c r="AM1" s="625"/>
      <c r="AN1" s="625"/>
      <c r="AO1" s="625"/>
      <c r="AP1" s="625"/>
      <c r="AQ1" s="625"/>
      <c r="AR1" s="625"/>
      <c r="AS1" s="625"/>
      <c r="AT1" s="625"/>
      <c r="AU1" s="625"/>
      <c r="AV1" s="625"/>
      <c r="AW1" s="625"/>
      <c r="AX1" s="625"/>
      <c r="AY1" s="625"/>
      <c r="AZ1" s="625"/>
      <c r="BA1" s="625"/>
      <c r="BB1" s="625"/>
      <c r="BC1" s="625"/>
      <c r="BD1" s="625"/>
      <c r="BE1" s="625"/>
      <c r="BF1" s="625"/>
      <c r="BG1" s="625"/>
      <c r="BH1" s="625"/>
      <c r="BI1" s="625"/>
      <c r="BJ1" s="625"/>
      <c r="BK1" s="625"/>
      <c r="BL1" s="625"/>
      <c r="BM1" s="625"/>
      <c r="BN1" s="625"/>
      <c r="BO1" s="625"/>
      <c r="BP1" s="625"/>
      <c r="BQ1" s="625"/>
      <c r="BR1" s="625"/>
      <c r="BS1" s="625"/>
      <c r="BT1" s="625"/>
      <c r="BU1" s="625"/>
      <c r="BV1" s="625"/>
      <c r="BW1" s="625"/>
      <c r="BX1" s="625"/>
      <c r="BY1" s="625"/>
      <c r="BZ1" s="625"/>
      <c r="CA1" s="625"/>
      <c r="CB1" s="625"/>
      <c r="CC1" s="626"/>
      <c r="CD1" s="12"/>
      <c r="CE1" s="12"/>
      <c r="CF1" s="13"/>
      <c r="CG1" s="13"/>
      <c r="CH1" s="13"/>
      <c r="CI1" s="626"/>
      <c r="CJ1" s="12"/>
      <c r="CK1" s="12"/>
      <c r="CL1" s="13"/>
      <c r="CM1" s="211"/>
      <c r="CN1" s="13"/>
      <c r="CO1" s="626"/>
      <c r="CP1" s="12"/>
      <c r="CQ1" s="12"/>
      <c r="CR1" s="13"/>
      <c r="CS1" s="211"/>
      <c r="CT1" s="12"/>
      <c r="CU1" s="626"/>
      <c r="CV1" s="627"/>
      <c r="CW1" s="1037"/>
      <c r="CX1" s="625"/>
      <c r="DD1" s="1022"/>
      <c r="DP1" s="1637"/>
      <c r="DS1" s="1637"/>
      <c r="DT1" s="1637"/>
      <c r="DU1" s="1637"/>
      <c r="DV1" s="1637"/>
      <c r="DW1" s="1637"/>
      <c r="DY1" s="1704"/>
      <c r="DZ1" s="1704"/>
      <c r="EA1" s="1704"/>
      <c r="EB1" s="1704"/>
      <c r="EC1" s="1637"/>
      <c r="EE1" s="1704"/>
      <c r="EF1" s="1704"/>
      <c r="EH1" s="1637"/>
      <c r="EI1" s="1637"/>
      <c r="EN1" s="1637"/>
      <c r="EO1" s="1637"/>
      <c r="EQ1" s="1873"/>
      <c r="ES1" s="1637"/>
      <c r="EX1" s="1869"/>
      <c r="FB1" s="1809"/>
      <c r="FC1" s="1809"/>
      <c r="FD1" s="1809"/>
      <c r="FE1" s="1809"/>
      <c r="FF1" s="1809"/>
      <c r="FG1" s="1809"/>
      <c r="FH1" s="1809"/>
      <c r="FI1" s="1809"/>
      <c r="FJ1" s="1809"/>
      <c r="FK1" s="1809"/>
      <c r="FL1" s="1809"/>
      <c r="FM1" s="1809"/>
      <c r="FQ1"/>
      <c r="FR1"/>
      <c r="FS1"/>
      <c r="FT1"/>
      <c r="FU1"/>
      <c r="FV1"/>
      <c r="FW1" s="1016" t="s">
        <v>376</v>
      </c>
      <c r="GB1" s="24"/>
      <c r="GC1" s="24"/>
      <c r="GD1" s="24"/>
      <c r="GE1" s="24"/>
      <c r="GF1" s="24"/>
      <c r="GG1" s="24"/>
      <c r="GH1" s="24"/>
      <c r="GI1" s="24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</row>
    <row r="2" spans="1:274" s="8" customFormat="1" ht="20.25" x14ac:dyDescent="0.2">
      <c r="A2" s="5" t="s">
        <v>785</v>
      </c>
      <c r="B2" s="1023"/>
      <c r="CD2" s="210"/>
      <c r="CG2" s="209"/>
      <c r="CO2" s="201"/>
      <c r="CP2" s="201"/>
      <c r="CQ2" s="1024"/>
      <c r="CU2" s="201"/>
      <c r="CW2" s="1075"/>
      <c r="CY2" s="1026"/>
      <c r="DA2" s="1184"/>
      <c r="DC2" s="1025"/>
      <c r="DD2" s="1027"/>
      <c r="DK2" s="1025"/>
      <c r="DS2" s="1025"/>
      <c r="DT2" s="1025"/>
      <c r="DU2" s="1025"/>
      <c r="DV2" s="1075"/>
      <c r="DY2" s="1025"/>
      <c r="DZ2" s="1025"/>
      <c r="EA2" s="1025"/>
      <c r="EB2" s="1075"/>
      <c r="EC2" s="1075"/>
      <c r="EF2" s="1705"/>
      <c r="EI2" s="1025"/>
      <c r="ES2" s="1025"/>
      <c r="FQ2"/>
      <c r="FR2"/>
      <c r="FS2"/>
      <c r="FT2"/>
      <c r="FU2"/>
      <c r="FV2"/>
      <c r="GB2" s="24"/>
      <c r="GC2" s="24"/>
      <c r="GD2" s="24"/>
      <c r="GE2" s="24"/>
      <c r="GF2" s="24"/>
      <c r="GG2" s="24"/>
      <c r="GH2" s="24"/>
      <c r="GI2" s="24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</row>
    <row r="3" spans="1:274" ht="15.75" hidden="1" customHeight="1" outlineLevel="1" x14ac:dyDescent="0.2"/>
    <row r="4" spans="1:274" s="12" customFormat="1" collapsed="1" x14ac:dyDescent="0.2">
      <c r="A4" s="11" t="s">
        <v>408</v>
      </c>
      <c r="B4" s="628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R4" s="13"/>
      <c r="S4" s="13"/>
      <c r="T4" s="13"/>
      <c r="X4" s="13"/>
      <c r="Y4" s="13"/>
      <c r="Z4" s="13"/>
      <c r="AD4" s="13"/>
      <c r="AE4" s="13"/>
      <c r="AF4" s="13"/>
      <c r="AJ4" s="13"/>
      <c r="AK4" s="13"/>
      <c r="AL4" s="13"/>
      <c r="AP4" s="13"/>
      <c r="AQ4" s="13"/>
      <c r="AR4" s="13"/>
      <c r="AV4" s="13"/>
      <c r="AW4" s="13"/>
      <c r="AX4" s="13"/>
      <c r="BB4" s="13"/>
      <c r="BC4" s="13"/>
      <c r="BD4" s="13"/>
      <c r="BH4" s="13"/>
      <c r="BI4" s="13"/>
      <c r="BJ4" s="13"/>
      <c r="BN4" s="13"/>
      <c r="BO4" s="13"/>
      <c r="BP4" s="13"/>
      <c r="BT4" s="13"/>
      <c r="BU4" s="13"/>
      <c r="BV4" s="13"/>
      <c r="BW4" s="626"/>
      <c r="BZ4" s="13"/>
      <c r="CA4" s="13"/>
      <c r="CB4" s="13"/>
      <c r="CX4" s="13"/>
      <c r="CY4" s="13"/>
      <c r="DD4" s="13"/>
      <c r="DJ4" s="13"/>
      <c r="DP4" s="599"/>
      <c r="DS4" s="599"/>
      <c r="FQ4"/>
      <c r="FR4"/>
      <c r="FS4"/>
      <c r="FT4"/>
      <c r="FU4"/>
      <c r="FV4"/>
      <c r="GB4" s="24"/>
      <c r="GC4" s="24"/>
      <c r="GD4" s="24"/>
      <c r="GE4" s="24"/>
      <c r="GF4" s="24"/>
      <c r="GG4" s="24"/>
      <c r="GH4" s="24"/>
      <c r="GI4" s="2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</row>
    <row r="5" spans="1:274" s="630" customFormat="1" ht="11.25" customHeight="1" x14ac:dyDescent="0.2">
      <c r="A5" s="1221"/>
      <c r="B5" s="1225"/>
      <c r="C5" s="1224" t="str">
        <f>Model!C6</f>
        <v>Full Year History Only</v>
      </c>
      <c r="D5" s="1224"/>
      <c r="E5" s="1224"/>
      <c r="F5" s="1224"/>
      <c r="G5" s="1224"/>
      <c r="H5" s="1224"/>
      <c r="I5" s="1224"/>
      <c r="J5" s="1224"/>
      <c r="K5" s="1224"/>
      <c r="L5" s="1224"/>
      <c r="M5" s="1224"/>
      <c r="N5" s="1223"/>
      <c r="O5" s="1222" t="str">
        <f>Model!O6</f>
        <v>F1995</v>
      </c>
      <c r="P5" s="1224"/>
      <c r="Q5" s="1224"/>
      <c r="R5" s="1224"/>
      <c r="S5" s="1224"/>
      <c r="T5" s="1223"/>
      <c r="U5" s="1222" t="str">
        <f>Model!U6</f>
        <v>F1996</v>
      </c>
      <c r="V5" s="1224"/>
      <c r="W5" s="1224"/>
      <c r="X5" s="1224"/>
      <c r="Y5" s="1224"/>
      <c r="Z5" s="1223"/>
      <c r="AA5" s="1222" t="str">
        <f>Model!AA6</f>
        <v>F1997</v>
      </c>
      <c r="AB5" s="1224"/>
      <c r="AC5" s="1224"/>
      <c r="AD5" s="1224"/>
      <c r="AE5" s="1224"/>
      <c r="AF5" s="1223"/>
      <c r="AG5" s="1222" t="str">
        <f>Model!AG6</f>
        <v>F1998</v>
      </c>
      <c r="AH5" s="1224"/>
      <c r="AI5" s="1224"/>
      <c r="AJ5" s="1224"/>
      <c r="AK5" s="1224"/>
      <c r="AL5" s="1223"/>
      <c r="AM5" s="1222" t="str">
        <f>Model!AM6</f>
        <v>F1999</v>
      </c>
      <c r="AN5" s="1224"/>
      <c r="AO5" s="1224"/>
      <c r="AP5" s="1224"/>
      <c r="AQ5" s="1224"/>
      <c r="AR5" s="1223"/>
      <c r="AS5" s="1222" t="str">
        <f>Model!AS6</f>
        <v>F2000</v>
      </c>
      <c r="AT5" s="1224"/>
      <c r="AU5" s="1224"/>
      <c r="AV5" s="1224"/>
      <c r="AW5" s="1224"/>
      <c r="AX5" s="1223"/>
      <c r="AY5" s="1222" t="str">
        <f>Model!AY6</f>
        <v>F2001</v>
      </c>
      <c r="AZ5" s="1224"/>
      <c r="BA5" s="1224"/>
      <c r="BB5" s="1224"/>
      <c r="BC5" s="1224"/>
      <c r="BD5" s="1223"/>
      <c r="BE5" s="1222" t="str">
        <f>Model!BE6</f>
        <v>F2002</v>
      </c>
      <c r="BF5" s="1224"/>
      <c r="BG5" s="1224"/>
      <c r="BH5" s="1224"/>
      <c r="BI5" s="1224"/>
      <c r="BJ5" s="1223"/>
      <c r="BK5" s="1222" t="str">
        <f>Model!BK6</f>
        <v>F2003</v>
      </c>
      <c r="BL5" s="1224"/>
      <c r="BM5" s="1224"/>
      <c r="BN5" s="1224"/>
      <c r="BO5" s="1224"/>
      <c r="BP5" s="1223"/>
      <c r="BQ5" s="1222" t="str">
        <f>Model!BQ6</f>
        <v>F2004</v>
      </c>
      <c r="BR5" s="1224"/>
      <c r="BS5" s="1224"/>
      <c r="BT5" s="1224"/>
      <c r="BU5" s="1224"/>
      <c r="BV5" s="1223"/>
      <c r="BW5" s="1222" t="str">
        <f>Model!BW6</f>
        <v>F2005</v>
      </c>
      <c r="BX5" s="1224"/>
      <c r="BY5" s="1224"/>
      <c r="BZ5" s="1224"/>
      <c r="CA5" s="1224"/>
      <c r="CB5" s="1223"/>
      <c r="CC5" s="1222" t="str">
        <f>Model!CC6</f>
        <v>F2006</v>
      </c>
      <c r="CD5" s="1224"/>
      <c r="CE5" s="1224"/>
      <c r="CF5" s="1224"/>
      <c r="CG5" s="1224"/>
      <c r="CH5" s="1223"/>
      <c r="CI5" s="1222" t="str">
        <f>Model!CI6</f>
        <v>F2007</v>
      </c>
      <c r="CJ5" s="1224"/>
      <c r="CK5" s="1224"/>
      <c r="CL5" s="1224"/>
      <c r="CM5" s="1224"/>
      <c r="CN5" s="1223"/>
      <c r="CO5" s="1222" t="str">
        <f>Model!CO6</f>
        <v>F2008</v>
      </c>
      <c r="CP5" s="1224"/>
      <c r="CQ5" s="1224"/>
      <c r="CR5" s="1224"/>
      <c r="CS5" s="1224"/>
      <c r="CT5" s="1223"/>
      <c r="CU5" s="1222" t="str">
        <f>Model!CU6</f>
        <v>F2009</v>
      </c>
      <c r="CV5" s="1224"/>
      <c r="CW5" s="1224"/>
      <c r="CX5" s="1224"/>
      <c r="CY5" s="1238"/>
      <c r="CZ5" s="1236"/>
      <c r="DA5" s="1237" t="str">
        <f>Model!DA6</f>
        <v>F2010</v>
      </c>
      <c r="DB5" s="1238"/>
      <c r="DC5" s="1238"/>
      <c r="DD5" s="1238"/>
      <c r="DE5" s="1239"/>
      <c r="DF5" s="1236"/>
      <c r="DG5" s="1237" t="str">
        <f>Model!DG6</f>
        <v>F2011</v>
      </c>
      <c r="DH5" s="1238"/>
      <c r="DI5" s="1238"/>
      <c r="DJ5" s="1238"/>
      <c r="DK5" s="1239"/>
      <c r="DL5" s="1240"/>
      <c r="DM5" s="1237" t="str">
        <f>Model!DM6</f>
        <v>F2012</v>
      </c>
      <c r="DN5" s="1238"/>
      <c r="DO5" s="1238"/>
      <c r="DP5" s="1238"/>
      <c r="DQ5" s="1239"/>
      <c r="DR5" s="1240"/>
      <c r="DS5" s="1237" t="str">
        <f>Model!DS6</f>
        <v>F2013</v>
      </c>
      <c r="DT5" s="1238"/>
      <c r="DU5" s="1238"/>
      <c r="DV5" s="1238"/>
      <c r="DW5" s="1238"/>
      <c r="DX5" s="1240"/>
      <c r="DY5" s="1237" t="str">
        <f>Model!DY6</f>
        <v>F2014</v>
      </c>
      <c r="DZ5" s="1238"/>
      <c r="EA5" s="1238"/>
      <c r="EB5" s="1238"/>
      <c r="EC5" s="1238"/>
      <c r="ED5" s="1240"/>
      <c r="EE5" s="1237" t="str">
        <f>Model!EE6</f>
        <v>F2015</v>
      </c>
      <c r="EF5" s="1238"/>
      <c r="EG5" s="1238"/>
      <c r="EH5" s="1238"/>
      <c r="EI5" s="1238"/>
      <c r="EJ5" s="1240"/>
      <c r="EK5" s="1237" t="str">
        <f>Model!EK6</f>
        <v>F2016</v>
      </c>
      <c r="EL5" s="1238"/>
      <c r="EM5" s="1238"/>
      <c r="EN5" s="1238"/>
      <c r="EO5" s="1238"/>
      <c r="EP5" s="1240"/>
      <c r="EQ5" s="1237" t="str">
        <f>Model!EQ6</f>
        <v>F2017</v>
      </c>
      <c r="ER5" s="1238"/>
      <c r="ES5" s="1238"/>
      <c r="ET5" s="1238"/>
      <c r="EU5" s="1238"/>
      <c r="EV5" s="1240"/>
      <c r="EW5" s="1237" t="str">
        <f>Model!EW6</f>
        <v>F2018E</v>
      </c>
      <c r="EX5" s="1238"/>
      <c r="EY5" s="1238"/>
      <c r="EZ5" s="1238"/>
      <c r="FA5" s="1238"/>
      <c r="FB5" s="1240"/>
      <c r="FC5" s="1237" t="str">
        <f>Model!FC6</f>
        <v>F2019E</v>
      </c>
      <c r="FD5" s="1238"/>
      <c r="FE5" s="1238"/>
      <c r="FF5" s="1238"/>
      <c r="FG5" s="1238"/>
      <c r="FH5" s="1240"/>
      <c r="FI5" s="1237" t="str">
        <f>Model!FI6</f>
        <v>F2020E</v>
      </c>
      <c r="FJ5" s="1238"/>
      <c r="FK5" s="1238"/>
      <c r="FL5" s="1238"/>
      <c r="FM5" s="1238"/>
      <c r="FN5" s="1398"/>
      <c r="FQ5"/>
      <c r="FR5"/>
      <c r="FS5"/>
      <c r="FT5"/>
      <c r="FU5"/>
      <c r="FV5"/>
      <c r="FZ5" s="25" t="s">
        <v>786</v>
      </c>
      <c r="GB5" s="24"/>
      <c r="GC5" s="24"/>
      <c r="GD5" s="24"/>
      <c r="GE5" s="24"/>
      <c r="GF5" s="24"/>
      <c r="GG5" s="24"/>
      <c r="GH5" s="24"/>
      <c r="GI5" s="24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</row>
    <row r="6" spans="1:274" s="17" customFormat="1" x14ac:dyDescent="0.2">
      <c r="A6" s="1394"/>
      <c r="B6" s="1395"/>
      <c r="C6" s="1396" t="str">
        <f>Model!C7</f>
        <v>FY84</v>
      </c>
      <c r="D6" s="1396" t="str">
        <f>Model!D7</f>
        <v>FY85</v>
      </c>
      <c r="E6" s="1396" t="str">
        <f>Model!E7</f>
        <v>FY86</v>
      </c>
      <c r="F6" s="1396" t="str">
        <f>Model!F7</f>
        <v>FY87</v>
      </c>
      <c r="G6" s="1396" t="str">
        <f>Model!G7</f>
        <v>FY88</v>
      </c>
      <c r="H6" s="1396" t="str">
        <f>Model!H7</f>
        <v>FY89</v>
      </c>
      <c r="I6" s="1396" t="str">
        <f>Model!I7</f>
        <v>FY90</v>
      </c>
      <c r="J6" s="1396" t="str">
        <f>Model!J7</f>
        <v>FY91</v>
      </c>
      <c r="K6" s="1396" t="str">
        <f>Model!K7</f>
        <v>FY92</v>
      </c>
      <c r="L6" s="1396" t="str">
        <f>Model!L7</f>
        <v>FY93</v>
      </c>
      <c r="M6" s="1396" t="str">
        <f>Model!M7</f>
        <v>FY94</v>
      </c>
      <c r="N6" s="1396"/>
      <c r="O6" s="1396" t="str">
        <f>Model!O7</f>
        <v xml:space="preserve"> 8/94</v>
      </c>
      <c r="P6" s="1396" t="str">
        <f>Model!P7</f>
        <v xml:space="preserve"> 11/94</v>
      </c>
      <c r="Q6" s="1396" t="str">
        <f>Model!Q7</f>
        <v xml:space="preserve"> 2/95</v>
      </c>
      <c r="R6" s="1396" t="str">
        <f>Model!R7</f>
        <v>5/95</v>
      </c>
      <c r="S6" s="1396" t="str">
        <f>Model!S7</f>
        <v>FY95</v>
      </c>
      <c r="T6" s="1396"/>
      <c r="U6" s="1396" t="str">
        <f>Model!U7</f>
        <v xml:space="preserve"> 8/95</v>
      </c>
      <c r="V6" s="1396" t="str">
        <f>Model!V7</f>
        <v xml:space="preserve"> 11/95</v>
      </c>
      <c r="W6" s="1396" t="str">
        <f>Model!W7</f>
        <v xml:space="preserve"> 2/96</v>
      </c>
      <c r="X6" s="1396" t="str">
        <f>Model!X7</f>
        <v>5/96</v>
      </c>
      <c r="Y6" s="1396" t="str">
        <f>Model!Y7</f>
        <v>FY96</v>
      </c>
      <c r="Z6" s="1396"/>
      <c r="AA6" s="1396" t="str">
        <f>Model!AA7</f>
        <v xml:space="preserve"> 8/96</v>
      </c>
      <c r="AB6" s="1396" t="str">
        <f>Model!AB7</f>
        <v xml:space="preserve"> 11/96</v>
      </c>
      <c r="AC6" s="1396" t="str">
        <f>Model!AC7</f>
        <v xml:space="preserve"> 2/97</v>
      </c>
      <c r="AD6" s="1396" t="str">
        <f>Model!AD7</f>
        <v>5/97</v>
      </c>
      <c r="AE6" s="1396" t="str">
        <f>Model!AE7</f>
        <v>FY97</v>
      </c>
      <c r="AF6" s="1396"/>
      <c r="AG6" s="1396" t="str">
        <f>Model!AG7</f>
        <v xml:space="preserve"> 8/97</v>
      </c>
      <c r="AH6" s="1396" t="str">
        <f>Model!AH7</f>
        <v xml:space="preserve"> 11/97</v>
      </c>
      <c r="AI6" s="1396" t="str">
        <f>Model!AI7</f>
        <v xml:space="preserve"> 2/98</v>
      </c>
      <c r="AJ6" s="1396" t="str">
        <f>Model!AJ7</f>
        <v>5/98</v>
      </c>
      <c r="AK6" s="1396" t="str">
        <f>Model!AK7</f>
        <v>FY98</v>
      </c>
      <c r="AL6" s="1396"/>
      <c r="AM6" s="1396" t="str">
        <f>Model!AM7</f>
        <v xml:space="preserve"> 8/98</v>
      </c>
      <c r="AN6" s="1396" t="str">
        <f>Model!AN7</f>
        <v xml:space="preserve"> 11/98</v>
      </c>
      <c r="AO6" s="1396" t="str">
        <f>Model!AO7</f>
        <v xml:space="preserve"> 2/99</v>
      </c>
      <c r="AP6" s="1396" t="str">
        <f>Model!AP7</f>
        <v>5/99</v>
      </c>
      <c r="AQ6" s="1396" t="str">
        <f>Model!AQ7</f>
        <v>FY99</v>
      </c>
      <c r="AR6" s="1396"/>
      <c r="AS6" s="1396" t="str">
        <f>Model!AS7</f>
        <v xml:space="preserve"> 8/99</v>
      </c>
      <c r="AT6" s="1396" t="str">
        <f>Model!AT7</f>
        <v xml:space="preserve"> 11/99</v>
      </c>
      <c r="AU6" s="1396" t="str">
        <f>Model!AU7</f>
        <v xml:space="preserve"> 2/00</v>
      </c>
      <c r="AV6" s="1396" t="str">
        <f>Model!AV7</f>
        <v>5/00</v>
      </c>
      <c r="AW6" s="1396" t="str">
        <f>Model!AW7</f>
        <v>FY00</v>
      </c>
      <c r="AX6" s="1396"/>
      <c r="AY6" s="1396" t="str">
        <f>Model!AY7</f>
        <v xml:space="preserve"> 8/00</v>
      </c>
      <c r="AZ6" s="1396" t="str">
        <f>Model!AZ7</f>
        <v xml:space="preserve"> 11/00</v>
      </c>
      <c r="BA6" s="1396" t="str">
        <f>Model!BA7</f>
        <v xml:space="preserve"> 2/01</v>
      </c>
      <c r="BB6" s="1396" t="str">
        <f>Model!BB7</f>
        <v>5/01</v>
      </c>
      <c r="BC6" s="1396" t="str">
        <f>Model!BC7</f>
        <v>FY01</v>
      </c>
      <c r="BD6" s="1396"/>
      <c r="BE6" s="1396" t="str">
        <f>Model!BE7</f>
        <v xml:space="preserve"> 8/01</v>
      </c>
      <c r="BF6" s="1396" t="str">
        <f>Model!BF7</f>
        <v xml:space="preserve"> 11/01</v>
      </c>
      <c r="BG6" s="1396" t="str">
        <f>Model!BG7</f>
        <v xml:space="preserve"> 2/02</v>
      </c>
      <c r="BH6" s="1396" t="str">
        <f>Model!BH7</f>
        <v>5/02</v>
      </c>
      <c r="BI6" s="1396" t="str">
        <f>Model!BI7</f>
        <v>FY02</v>
      </c>
      <c r="BJ6" s="1396"/>
      <c r="BK6" s="1396" t="str">
        <f>Model!BK7</f>
        <v xml:space="preserve"> 8/02</v>
      </c>
      <c r="BL6" s="1396" t="str">
        <f>Model!BL7</f>
        <v xml:space="preserve"> 11/02</v>
      </c>
      <c r="BM6" s="1396" t="str">
        <f>Model!BM7</f>
        <v xml:space="preserve"> 2/03</v>
      </c>
      <c r="BN6" s="1396" t="str">
        <f>Model!BN7</f>
        <v>5/03</v>
      </c>
      <c r="BO6" s="1396" t="str">
        <f>Model!BO7</f>
        <v>FY03</v>
      </c>
      <c r="BP6" s="1396"/>
      <c r="BQ6" s="1396" t="str">
        <f>Model!BQ7</f>
        <v xml:space="preserve"> 8/03</v>
      </c>
      <c r="BR6" s="1396" t="str">
        <f>Model!BR7</f>
        <v xml:space="preserve"> 11/03</v>
      </c>
      <c r="BS6" s="1396" t="str">
        <f>Model!BS7</f>
        <v xml:space="preserve"> 2/04</v>
      </c>
      <c r="BT6" s="1396" t="str">
        <f>Model!BT7</f>
        <v>5/04</v>
      </c>
      <c r="BU6" s="1396" t="str">
        <f>Model!BU7</f>
        <v>FY04</v>
      </c>
      <c r="BV6" s="1396"/>
      <c r="BW6" s="1396" t="str">
        <f>Model!BW7</f>
        <v xml:space="preserve"> 8/04</v>
      </c>
      <c r="BX6" s="1396" t="str">
        <f>Model!BX7</f>
        <v xml:space="preserve"> 11/04</v>
      </c>
      <c r="BY6" s="1396" t="str">
        <f>Model!BY7</f>
        <v xml:space="preserve"> 2/05</v>
      </c>
      <c r="BZ6" s="1396" t="str">
        <f>Model!BZ7</f>
        <v>5/05</v>
      </c>
      <c r="CA6" s="1396" t="str">
        <f>Model!CA7</f>
        <v>FY05</v>
      </c>
      <c r="CB6" s="1396"/>
      <c r="CC6" s="1396" t="str">
        <f>Model!CC7</f>
        <v xml:space="preserve"> 8/05</v>
      </c>
      <c r="CD6" s="1396" t="str">
        <f>Model!CD7</f>
        <v xml:space="preserve"> 11/05</v>
      </c>
      <c r="CE6" s="1396" t="str">
        <f>Model!CE7</f>
        <v xml:space="preserve"> 2/06</v>
      </c>
      <c r="CF6" s="1396" t="str">
        <f>Model!CF7</f>
        <v>5/06</v>
      </c>
      <c r="CG6" s="1396" t="str">
        <f>Model!CG7</f>
        <v>FY06</v>
      </c>
      <c r="CH6" s="1396"/>
      <c r="CI6" s="1396" t="str">
        <f>Model!CI7</f>
        <v xml:space="preserve"> 8/06</v>
      </c>
      <c r="CJ6" s="1396" t="str">
        <f>Model!CJ7</f>
        <v xml:space="preserve"> 11/06</v>
      </c>
      <c r="CK6" s="1396" t="str">
        <f>Model!CK7</f>
        <v xml:space="preserve"> 2/07</v>
      </c>
      <c r="CL6" s="1396" t="str">
        <f>Model!CL7</f>
        <v>5/07</v>
      </c>
      <c r="CM6" s="1396" t="str">
        <f>Model!CM7</f>
        <v>FY07</v>
      </c>
      <c r="CN6" s="1396"/>
      <c r="CO6" s="1396" t="str">
        <f>Model!CO7</f>
        <v xml:space="preserve"> 8/07</v>
      </c>
      <c r="CP6" s="1396" t="str">
        <f>Model!CP7</f>
        <v xml:space="preserve"> 11/07</v>
      </c>
      <c r="CQ6" s="1396" t="str">
        <f>Model!CQ7</f>
        <v xml:space="preserve"> 2/08</v>
      </c>
      <c r="CR6" s="1396" t="str">
        <f>Model!CR7</f>
        <v>5/08</v>
      </c>
      <c r="CS6" s="1396" t="str">
        <f>Model!CS7</f>
        <v>FY08</v>
      </c>
      <c r="CT6" s="1396"/>
      <c r="CU6" s="1230" t="str">
        <f>Model!CU7</f>
        <v xml:space="preserve"> 8/08</v>
      </c>
      <c r="CV6" s="1230" t="str">
        <f>Model!CV7</f>
        <v xml:space="preserve"> 11/08</v>
      </c>
      <c r="CW6" s="1230" t="str">
        <f>Model!CW7</f>
        <v xml:space="preserve"> 2/09</v>
      </c>
      <c r="CX6" s="1230" t="str">
        <f>Model!CX7</f>
        <v>5/09</v>
      </c>
      <c r="CY6" s="1244" t="str">
        <f>Model!CY7</f>
        <v>FY09</v>
      </c>
      <c r="CZ6" s="1261"/>
      <c r="DA6" s="1242" t="str">
        <f>Model!DA7</f>
        <v>8/09</v>
      </c>
      <c r="DB6" s="1242" t="str">
        <f>Model!DB7</f>
        <v>11/09</v>
      </c>
      <c r="DC6" s="1242" t="str">
        <f>Model!DC7</f>
        <v>2/10</v>
      </c>
      <c r="DD6" s="1262" t="str">
        <f>Model!DD7</f>
        <v>5/10</v>
      </c>
      <c r="DE6" s="1244" t="str">
        <f>Model!DE7</f>
        <v>FY10</v>
      </c>
      <c r="DF6" s="1261"/>
      <c r="DG6" s="1242" t="str">
        <f>Model!DG7</f>
        <v>8/10</v>
      </c>
      <c r="DH6" s="1242" t="str">
        <f>Model!DH7</f>
        <v>11/10</v>
      </c>
      <c r="DI6" s="1242" t="str">
        <f>Model!DI7</f>
        <v>2/11</v>
      </c>
      <c r="DJ6" s="1262" t="str">
        <f>Model!DJ7</f>
        <v>5/11</v>
      </c>
      <c r="DK6" s="1244" t="str">
        <f>Model!DK7</f>
        <v>FY11</v>
      </c>
      <c r="DL6" s="1261"/>
      <c r="DM6" s="1242" t="str">
        <f>Model!DM7</f>
        <v>8/11</v>
      </c>
      <c r="DN6" s="1242" t="str">
        <f>Model!DN7</f>
        <v>11/11</v>
      </c>
      <c r="DO6" s="1242" t="str">
        <f>Model!DO7</f>
        <v xml:space="preserve"> 2/12</v>
      </c>
      <c r="DP6" s="1262" t="str">
        <f>Model!DP7</f>
        <v>5/12</v>
      </c>
      <c r="DQ6" s="1244" t="str">
        <f>Model!DQ7</f>
        <v>FY12</v>
      </c>
      <c r="DR6" s="1261"/>
      <c r="DS6" s="1242" t="str">
        <f>Model!DS7</f>
        <v>8/12</v>
      </c>
      <c r="DT6" s="1242" t="str">
        <f>Model!DT7</f>
        <v>11/12</v>
      </c>
      <c r="DU6" s="1242" t="str">
        <f>Model!DU7</f>
        <v xml:space="preserve"> 2/13</v>
      </c>
      <c r="DV6" s="1262" t="str">
        <f>Model!DV7</f>
        <v>5/13</v>
      </c>
      <c r="DW6" s="1260" t="str">
        <f>Model!DW7</f>
        <v>FY13</v>
      </c>
      <c r="DX6" s="1261"/>
      <c r="DY6" s="1242" t="str">
        <f>Model!DY7</f>
        <v>8/13</v>
      </c>
      <c r="DZ6" s="1241" t="str">
        <f>Model!DZ7</f>
        <v>11/13</v>
      </c>
      <c r="EA6" s="1241" t="str">
        <f>Model!EA7</f>
        <v>2/14</v>
      </c>
      <c r="EB6" s="1260" t="str">
        <f>Model!EB7</f>
        <v>5/14</v>
      </c>
      <c r="EC6" s="1244" t="str">
        <f>Model!EC7</f>
        <v>FY14</v>
      </c>
      <c r="ED6" s="1261"/>
      <c r="EE6" s="1242" t="str">
        <f>Model!EE7</f>
        <v>8/14</v>
      </c>
      <c r="EF6" s="1241" t="str">
        <f>Model!EF7</f>
        <v>11/14</v>
      </c>
      <c r="EG6" s="1241" t="str">
        <f>Model!EG7</f>
        <v>2/15</v>
      </c>
      <c r="EH6" s="1260" t="str">
        <f>Model!EH7</f>
        <v>5/15</v>
      </c>
      <c r="EI6" s="1246" t="str">
        <f>Model!EI7</f>
        <v>FY15</v>
      </c>
      <c r="EJ6" s="1261"/>
      <c r="EK6" s="1242" t="str">
        <f>Model!EK7</f>
        <v xml:space="preserve"> 8/15</v>
      </c>
      <c r="EL6" s="1241" t="str">
        <f>Model!EL7</f>
        <v xml:space="preserve"> 11/15</v>
      </c>
      <c r="EM6" s="1241" t="str">
        <f>Model!EM7</f>
        <v>2/16</v>
      </c>
      <c r="EN6" s="1260" t="str">
        <f>Model!EN7</f>
        <v>5/16</v>
      </c>
      <c r="EO6" s="1244" t="str">
        <f>Model!EO7</f>
        <v>FY16</v>
      </c>
      <c r="EP6" s="1261"/>
      <c r="EQ6" s="1242" t="str">
        <f>Model!EQ7</f>
        <v xml:space="preserve"> 8/16</v>
      </c>
      <c r="ER6" s="1241" t="str">
        <f>Model!ER7</f>
        <v xml:space="preserve"> 11/16</v>
      </c>
      <c r="ES6" s="1241" t="str">
        <f>Model!ES7</f>
        <v xml:space="preserve"> 2/17</v>
      </c>
      <c r="ET6" s="1260" t="str">
        <f>Model!ET7</f>
        <v>5/17</v>
      </c>
      <c r="EU6" s="1246" t="str">
        <f>Model!EU7</f>
        <v>FY17</v>
      </c>
      <c r="EV6" s="1261"/>
      <c r="EW6" s="1242" t="str">
        <f>Model!EW7</f>
        <v xml:space="preserve"> 8/17</v>
      </c>
      <c r="EX6" s="1241" t="str">
        <f>Model!EX7</f>
        <v xml:space="preserve"> 11/17</v>
      </c>
      <c r="EY6" s="1241" t="str">
        <f>Model!EY7</f>
        <v xml:space="preserve"> 2/18</v>
      </c>
      <c r="EZ6" s="1260" t="str">
        <f>Model!EZ7</f>
        <v>5/18E</v>
      </c>
      <c r="FA6" s="1246" t="str">
        <f>Model!FA7</f>
        <v>FY18E</v>
      </c>
      <c r="FB6" s="1261"/>
      <c r="FC6" s="1242" t="str">
        <f>Model!FC7</f>
        <v xml:space="preserve"> 8/18E</v>
      </c>
      <c r="FD6" s="1241" t="str">
        <f>Model!FD7</f>
        <v xml:space="preserve"> 11/18E</v>
      </c>
      <c r="FE6" s="1241" t="str">
        <f>Model!FE7</f>
        <v xml:space="preserve"> 2/19E</v>
      </c>
      <c r="FF6" s="1260" t="str">
        <f>Model!FF7</f>
        <v>5/19E</v>
      </c>
      <c r="FG6" s="1246" t="str">
        <f>Model!FG7</f>
        <v>FY19E</v>
      </c>
      <c r="FH6" s="1261"/>
      <c r="FI6" s="1242" t="str">
        <f>Model!FI7</f>
        <v xml:space="preserve"> 8/19E</v>
      </c>
      <c r="FJ6" s="1241" t="str">
        <f>Model!FJ7</f>
        <v xml:space="preserve"> 11/19E</v>
      </c>
      <c r="FK6" s="1241" t="str">
        <f>Model!FK7</f>
        <v xml:space="preserve"> 2/20E</v>
      </c>
      <c r="FL6" s="1260" t="str">
        <f>Model!FL7</f>
        <v>5/20E</v>
      </c>
      <c r="FM6" s="1246" t="str">
        <f>Model!FM7</f>
        <v>FY20E</v>
      </c>
      <c r="FN6" s="1406"/>
      <c r="FQ6"/>
      <c r="FR6"/>
      <c r="FS6"/>
      <c r="FT6"/>
      <c r="FU6"/>
      <c r="FV6"/>
      <c r="FZ6" s="25" t="s">
        <v>581</v>
      </c>
      <c r="GA6" s="25" t="s">
        <v>787</v>
      </c>
      <c r="GB6" s="24"/>
      <c r="GC6" s="24"/>
      <c r="GD6" s="25" t="s">
        <v>797</v>
      </c>
      <c r="GE6" s="24"/>
      <c r="GF6" s="24"/>
      <c r="GG6" s="24" t="s">
        <v>663</v>
      </c>
      <c r="GH6" s="24"/>
      <c r="GI6" s="24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</row>
    <row r="7" spans="1:274" s="32" customFormat="1" x14ac:dyDescent="0.2">
      <c r="A7" s="1247" t="s">
        <v>899</v>
      </c>
      <c r="B7" s="1247"/>
      <c r="C7" s="1247"/>
      <c r="D7" s="1247"/>
      <c r="E7" s="1247"/>
      <c r="F7" s="1247"/>
      <c r="G7" s="1247"/>
      <c r="H7" s="1247"/>
      <c r="I7" s="1247"/>
      <c r="J7" s="1247"/>
      <c r="K7" s="1247"/>
      <c r="L7" s="1247"/>
      <c r="M7" s="1247"/>
      <c r="N7" s="1247"/>
      <c r="O7" s="1247"/>
      <c r="P7" s="1247"/>
      <c r="Q7" s="1247"/>
      <c r="R7" s="1247"/>
      <c r="S7" s="1247"/>
      <c r="T7" s="1247"/>
      <c r="U7" s="1247"/>
      <c r="V7" s="1247"/>
      <c r="W7" s="1247"/>
      <c r="X7" s="1247"/>
      <c r="Y7" s="1247"/>
      <c r="Z7" s="1247"/>
      <c r="AA7" s="1247"/>
      <c r="AB7" s="1247"/>
      <c r="AC7" s="1247"/>
      <c r="AD7" s="1247"/>
      <c r="AE7" s="1247"/>
      <c r="AF7" s="1247"/>
      <c r="AG7" s="1247"/>
      <c r="AH7" s="1247"/>
      <c r="AI7" s="1247"/>
      <c r="AJ7" s="1247"/>
      <c r="AK7" s="1247"/>
      <c r="AL7" s="1247"/>
      <c r="AM7" s="1247"/>
      <c r="AN7" s="1247"/>
      <c r="AO7" s="1247"/>
      <c r="AP7" s="1247"/>
      <c r="AQ7" s="1247"/>
      <c r="AR7" s="1247"/>
      <c r="AS7" s="1247"/>
      <c r="AT7" s="1247"/>
      <c r="AU7" s="1247"/>
      <c r="AV7" s="1247"/>
      <c r="AW7" s="1247"/>
      <c r="AX7" s="1247"/>
      <c r="AY7" s="1247"/>
      <c r="AZ7" s="1247"/>
      <c r="BA7" s="1247"/>
      <c r="BB7" s="1247"/>
      <c r="BC7" s="1247"/>
      <c r="BD7" s="1247"/>
      <c r="BE7" s="1247"/>
      <c r="BF7" s="1247"/>
      <c r="BG7" s="1247"/>
      <c r="BH7" s="1247"/>
      <c r="BI7" s="1247"/>
      <c r="BJ7" s="1247"/>
      <c r="BK7" s="1247"/>
      <c r="BL7" s="1247"/>
      <c r="BM7" s="1247"/>
      <c r="BN7" s="1247"/>
      <c r="BO7" s="1247"/>
      <c r="BP7" s="1247"/>
      <c r="BQ7" s="1247"/>
      <c r="BR7" s="1247"/>
      <c r="BS7" s="1247"/>
      <c r="BT7" s="1247"/>
      <c r="BU7" s="1247"/>
      <c r="BV7" s="1247"/>
      <c r="BW7" s="1247"/>
      <c r="BX7" s="1247"/>
      <c r="BY7" s="1247"/>
      <c r="BZ7" s="1247"/>
      <c r="CA7" s="1247"/>
      <c r="CB7" s="1247"/>
      <c r="CC7" s="1247"/>
      <c r="CD7" s="1247"/>
      <c r="CE7" s="1247"/>
      <c r="CF7" s="1247"/>
      <c r="CG7" s="1483"/>
      <c r="CH7" s="1247"/>
      <c r="CI7" s="1247"/>
      <c r="CJ7" s="1247"/>
      <c r="CK7" s="1247"/>
      <c r="CL7" s="1247"/>
      <c r="CM7" s="1483"/>
      <c r="CN7" s="1247"/>
      <c r="CO7" s="1247"/>
      <c r="CP7" s="1247"/>
      <c r="CQ7" s="1247"/>
      <c r="CR7" s="1247"/>
      <c r="CS7" s="1483"/>
      <c r="CT7" s="1484"/>
      <c r="CU7" s="1247"/>
      <c r="CV7" s="1247"/>
      <c r="CW7" s="1247"/>
      <c r="CX7" s="1247"/>
      <c r="CY7" s="1483"/>
      <c r="CZ7" s="1484"/>
      <c r="DA7" s="1247"/>
      <c r="DB7" s="1247"/>
      <c r="DC7" s="1247"/>
      <c r="DD7" s="1247"/>
      <c r="DE7" s="1483"/>
      <c r="DF7" s="1484"/>
      <c r="DG7" s="1247"/>
      <c r="DH7" s="1247"/>
      <c r="DI7" s="1247"/>
      <c r="DJ7" s="1247"/>
      <c r="DK7" s="1483"/>
      <c r="DL7" s="1484"/>
      <c r="DM7" s="1247"/>
      <c r="DN7" s="1247"/>
      <c r="DO7" s="1247"/>
      <c r="DP7" s="1247"/>
      <c r="DQ7" s="1483"/>
      <c r="DR7" s="1484"/>
      <c r="DS7" s="1247"/>
      <c r="DT7" s="1247"/>
      <c r="DU7" s="1247"/>
      <c r="DV7" s="1247"/>
      <c r="DW7" s="1483"/>
      <c r="DX7" s="1484"/>
      <c r="DY7" s="1247"/>
      <c r="DZ7" s="1247"/>
      <c r="EA7" s="1247"/>
      <c r="EB7" s="1247"/>
      <c r="EC7" s="1483"/>
      <c r="ED7" s="1484"/>
      <c r="EE7" s="1247"/>
      <c r="EF7" s="1247"/>
      <c r="EG7" s="1247"/>
      <c r="EH7" s="1247"/>
      <c r="EI7" s="1483"/>
      <c r="EJ7" s="1484"/>
      <c r="EK7" s="1247"/>
      <c r="EL7" s="1247"/>
      <c r="EM7" s="1247"/>
      <c r="EN7" s="1247"/>
      <c r="EO7" s="1483"/>
      <c r="EP7" s="1484"/>
      <c r="EQ7" s="1756"/>
      <c r="ER7" s="1756"/>
      <c r="ES7" s="1756"/>
      <c r="ET7" s="1756"/>
      <c r="EU7" s="1757"/>
      <c r="EV7" s="1758"/>
      <c r="EW7" s="1756"/>
      <c r="EX7" s="1756"/>
      <c r="EY7" s="1756"/>
      <c r="EZ7" s="1756"/>
      <c r="FA7" s="1757"/>
      <c r="FB7" s="1758"/>
      <c r="FC7" s="1756"/>
      <c r="FD7" s="1756"/>
      <c r="FE7" s="1756"/>
      <c r="FF7" s="1756"/>
      <c r="FG7" s="1757"/>
      <c r="FH7" s="1758"/>
      <c r="FI7" s="1756"/>
      <c r="FJ7" s="1756"/>
      <c r="FK7" s="1756"/>
      <c r="FL7" s="1756"/>
      <c r="FM7" s="1757"/>
      <c r="FQ7"/>
      <c r="FR7"/>
      <c r="FS7"/>
      <c r="FT7"/>
      <c r="FU7"/>
      <c r="FV7"/>
      <c r="GB7" s="24"/>
      <c r="GC7" s="24"/>
      <c r="GD7" s="24"/>
      <c r="GE7" s="24"/>
      <c r="GF7" s="24"/>
      <c r="GG7" s="24"/>
      <c r="GH7" s="24"/>
      <c r="GI7" s="24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</row>
    <row r="8" spans="1:274" s="1517" customFormat="1" x14ac:dyDescent="0.2">
      <c r="A8" s="1517" t="s">
        <v>1129</v>
      </c>
      <c r="C8" s="1525" t="s">
        <v>945</v>
      </c>
      <c r="D8" s="1577">
        <f t="shared" ref="D8:M8" si="0">D9/C9-1</f>
        <v>0.82076287848997209</v>
      </c>
      <c r="E8" s="1577">
        <f t="shared" si="0"/>
        <v>1.3906094769124446</v>
      </c>
      <c r="F8" s="1577">
        <f t="shared" si="0"/>
        <v>1.3714698708103712</v>
      </c>
      <c r="G8" s="1577">
        <f t="shared" si="0"/>
        <v>0.56523097318836713</v>
      </c>
      <c r="H8" s="1577">
        <f t="shared" si="0"/>
        <v>1.0343661011998928</v>
      </c>
      <c r="I8" s="1577">
        <f t="shared" si="0"/>
        <v>0.59013231880936989</v>
      </c>
      <c r="J8" s="1577">
        <f t="shared" si="0"/>
        <v>-2.8709048338459442E-2</v>
      </c>
      <c r="K8" s="1577">
        <f t="shared" si="0"/>
        <v>1.7839299131660713E-2</v>
      </c>
      <c r="L8" s="1577">
        <f t="shared" si="0"/>
        <v>0.22678843226788437</v>
      </c>
      <c r="M8" s="1577">
        <f t="shared" si="0"/>
        <v>0.36352357320099249</v>
      </c>
      <c r="O8" s="1578" t="s">
        <v>945</v>
      </c>
      <c r="P8" s="1578" t="s">
        <v>945</v>
      </c>
      <c r="Q8" s="1578" t="s">
        <v>945</v>
      </c>
      <c r="R8" s="1578" t="s">
        <v>945</v>
      </c>
      <c r="S8" s="1577">
        <f>S9/M9-1</f>
        <v>0.46132848043676078</v>
      </c>
      <c r="U8" s="1577">
        <f>U9/O9-1</f>
        <v>0.25</v>
      </c>
      <c r="V8" s="1577">
        <f>V9/P9-1</f>
        <v>0.41425655976676379</v>
      </c>
      <c r="W8" s="1577">
        <f>W9/Q9-1</f>
        <v>0.37333333333333329</v>
      </c>
      <c r="X8" s="1577">
        <f>X9/R9-1</f>
        <v>0.45230263157894735</v>
      </c>
      <c r="Y8" s="1577">
        <f>Y9/S9-1</f>
        <v>0.39046699875467006</v>
      </c>
      <c r="AA8" s="1577">
        <f>AA9/U9-1</f>
        <v>0.26947714285714297</v>
      </c>
      <c r="AB8" s="1577">
        <f>AB9/V9-1</f>
        <v>0.25017419447937495</v>
      </c>
      <c r="AC8" s="1577">
        <f>AC9/W9-1</f>
        <v>0.28981941747572804</v>
      </c>
      <c r="AD8" s="1577">
        <f>AD9/X9-1</f>
        <v>0.25416647791619496</v>
      </c>
      <c r="AE8" s="1577">
        <f>AE9/Y9-1</f>
        <v>0.2639212929169894</v>
      </c>
      <c r="AG8" s="1577">
        <f>AG9/AA9-1</f>
        <v>0.13742215580317652</v>
      </c>
      <c r="AH8" s="1577">
        <f>AH9/AB9-1</f>
        <v>2.4274174000366022E-2</v>
      </c>
      <c r="AI8" s="1577">
        <f>AI9/AC9-1</f>
        <v>0.1338879379517266</v>
      </c>
      <c r="AJ8" s="1577">
        <f>AJ9/AD9-1</f>
        <v>9.2009510316236831E-2</v>
      </c>
      <c r="AK8" s="1577">
        <f>AK9/AE9-1</f>
        <v>9.4460486456801496E-2</v>
      </c>
      <c r="AM8" s="1577">
        <f>AM9/AG9-1</f>
        <v>0.1033626448426519</v>
      </c>
      <c r="AN8" s="1577">
        <f>AN9/AH9-1</f>
        <v>0.19975111403034296</v>
      </c>
      <c r="AO8" s="1577">
        <f>AO9/AI9-1</f>
        <v>6.8261388515294286E-2</v>
      </c>
      <c r="AP8" s="1577">
        <f>AP9/AJ9-1</f>
        <v>0.2266375484465275</v>
      </c>
      <c r="AQ8" s="1577">
        <f>AQ9/AK9-1</f>
        <v>0.16244682848504088</v>
      </c>
      <c r="AS8" s="1577">
        <f>AS9/AM9-1</f>
        <v>8.0760312259577693E-2</v>
      </c>
      <c r="AT8" s="1577">
        <f>AT9/AN9-1</f>
        <v>0.17702050461122276</v>
      </c>
      <c r="AU8" s="1577">
        <f>AU9/AO9-1</f>
        <v>0.29654104426135985</v>
      </c>
      <c r="AV8" s="1577">
        <f>AV9/AP9-1</f>
        <v>0.20803882429633003</v>
      </c>
      <c r="AW8" s="1577">
        <f>AW9/AQ9-1</f>
        <v>0.20166739629526909</v>
      </c>
      <c r="AY8" s="1577">
        <f>AY9/AS9-1</f>
        <v>0.27976457157269796</v>
      </c>
      <c r="AZ8" s="1577">
        <f>AZ9/AT9-1</f>
        <v>0.24627125155756402</v>
      </c>
      <c r="BA8" s="1577">
        <f>BA9/AU9-1</f>
        <v>5.5366821126412447E-2</v>
      </c>
      <c r="BB8" s="1577">
        <f>BB9/AV9-1</f>
        <v>-9.683338113823281E-2</v>
      </c>
      <c r="BC8" s="1577">
        <f>BC9/AW9-1</f>
        <v>6.2306417871119679E-2</v>
      </c>
      <c r="BE8" s="1577">
        <f>BE9/AY9-1</f>
        <v>-7.7973925276663136E-2</v>
      </c>
      <c r="BF8" s="1577">
        <f>BF9/AZ9-1</f>
        <v>-0.26509683102617732</v>
      </c>
      <c r="BG8" s="1577">
        <f>BG9/BA9-1</f>
        <v>-0.29429818386597228</v>
      </c>
      <c r="BH8" s="1577">
        <f>BH9/BB9-1</f>
        <v>-0.2894703672581681</v>
      </c>
      <c r="BI8" s="1577">
        <f>BI9/BC9-1</f>
        <v>-0.24923258294332551</v>
      </c>
      <c r="BK8" s="1577">
        <f>BK9/BE9-1</f>
        <v>-0.20827778621531479</v>
      </c>
      <c r="BL8" s="1577">
        <f>BL9/BF9-1</f>
        <v>-4.7786196260600433E-2</v>
      </c>
      <c r="BM8" s="1577">
        <f>BM9/BG9-1</f>
        <v>-2.8255248386968024E-2</v>
      </c>
      <c r="BN8" s="1577">
        <f>BN9/BH9-1</f>
        <v>3.2193659356961613E-2</v>
      </c>
      <c r="BO8" s="1577">
        <f>BO9/BI9-1</f>
        <v>-4.9813594930014693E-2</v>
      </c>
      <c r="BQ8" s="1577">
        <f>BQ9/BK9-1</f>
        <v>-6.7495559502664282E-2</v>
      </c>
      <c r="BR8" s="1577">
        <f>BR9/BL9-1</f>
        <v>0.11764705882352944</v>
      </c>
      <c r="BS8" s="1577">
        <f>BS9/BM9-1</f>
        <v>0.12185430463576163</v>
      </c>
      <c r="BT8" s="1577">
        <f>BT9/BN9-1</f>
        <v>0.10699241786015157</v>
      </c>
      <c r="BU8" s="1577">
        <f>BU9/BO9-1</f>
        <v>8.2874617737002998E-2</v>
      </c>
      <c r="BW8" s="1577">
        <f>BW9/BQ9-1</f>
        <v>7.2380952380952435E-2</v>
      </c>
      <c r="BX8" s="1577">
        <f>BX9/BR9-1</f>
        <v>0.13567251461988294</v>
      </c>
      <c r="BY8" s="1577">
        <f>BY9/BS9-1</f>
        <v>0.11806375442739081</v>
      </c>
      <c r="BZ8" s="1577">
        <f>BZ9/BT9-1</f>
        <v>0.22450532724505323</v>
      </c>
      <c r="CA8" s="1577">
        <f>CA9/BU9-1</f>
        <v>0.15504094888449593</v>
      </c>
      <c r="CC8" s="1577">
        <f>CC9/BW9-1</f>
        <v>0.1172291296625223</v>
      </c>
      <c r="CD8" s="1577">
        <f>CD9/BX9-1</f>
        <v>8.9598352214212085E-2</v>
      </c>
      <c r="CE8" s="1577">
        <f>CE9/BY9-1</f>
        <v>0.15776135163674776</v>
      </c>
      <c r="CF8" s="1577">
        <f>CF9/BZ9-1</f>
        <v>0.3182100683654443</v>
      </c>
      <c r="CG8" s="1579">
        <f>CG9/CA9-1</f>
        <v>0.19911980440097787</v>
      </c>
      <c r="CI8" s="1577">
        <f>CI9/CC9-1</f>
        <v>0.27821939586645472</v>
      </c>
      <c r="CJ8" s="1577">
        <f>CJ9/CD9-1</f>
        <v>0.14083175803402637</v>
      </c>
      <c r="CK8" s="1577">
        <f>CK9/CE9-1</f>
        <v>0.26778547975191525</v>
      </c>
      <c r="CL8" s="1577">
        <f>CL9/CF9-1</f>
        <v>0.16973125884016982</v>
      </c>
      <c r="CM8" s="1579">
        <f>CM9/CG9-1</f>
        <v>0.19933121278851651</v>
      </c>
      <c r="CO8" s="1577">
        <f>CO9/CI9-1</f>
        <v>0.35199004975124382</v>
      </c>
      <c r="CP8" s="1577">
        <f>CP9/CJ9-1</f>
        <v>0.38193869096934541</v>
      </c>
      <c r="CQ8" s="1577">
        <f>CQ9/CK9-1</f>
        <v>0.16258992805755401</v>
      </c>
      <c r="CR8" s="1577">
        <f>CR9/CL9-1</f>
        <v>0.26723095525997587</v>
      </c>
      <c r="CS8" s="1579">
        <f>CS9/CM9-1</f>
        <v>0.27762665759945593</v>
      </c>
      <c r="CT8" s="1580"/>
      <c r="CU8" s="1577">
        <f>CU9/CO9-1</f>
        <v>0.13615455381784725</v>
      </c>
      <c r="CV8" s="1577">
        <f>CV9/CP9-1</f>
        <v>-2.5179856115107868E-2</v>
      </c>
      <c r="CW8" s="1577">
        <f>CW9/CQ9-1</f>
        <v>-6.1881188118811936E-2</v>
      </c>
      <c r="CX8" s="1577">
        <f>CX9/CR9-1</f>
        <v>-0.12722646310432573</v>
      </c>
      <c r="CY8" s="1581">
        <f>CY9/CS9-1</f>
        <v>-5.2428476380572242E-2</v>
      </c>
      <c r="CZ8" s="1582"/>
      <c r="DA8" s="1577">
        <f>DA9/CU9-1</f>
        <v>-0.16761133603238865</v>
      </c>
      <c r="DB8" s="1577">
        <f>DB9/CV9-1</f>
        <v>1.6605166051660625E-2</v>
      </c>
      <c r="DC8" s="1577">
        <f>DC9/CW9-1</f>
        <v>0.13350923482849608</v>
      </c>
      <c r="DD8" s="1577">
        <f>DD9/CX9-1</f>
        <v>0.14249271137026231</v>
      </c>
      <c r="DE8" s="1581">
        <f>DE9/CY9-1</f>
        <v>5.8053644151102368E-2</v>
      </c>
      <c r="DF8" s="1580"/>
      <c r="DG8" s="1577">
        <f>DG9/DA9-1</f>
        <v>0.25097276264591439</v>
      </c>
      <c r="DH8" s="1577">
        <f>DH9/DB9-1</f>
        <v>0.20931639443436167</v>
      </c>
      <c r="DI8" s="1577">
        <f>DI9/DC9-1</f>
        <v>0.28840782122905018</v>
      </c>
      <c r="DJ8" s="1577">
        <f>DJ9/DD9-1</f>
        <v>0.19170653907496016</v>
      </c>
      <c r="DK8" s="1581">
        <f>DK9/DE9-1</f>
        <v>0.22571140369505205</v>
      </c>
      <c r="DL8" s="1580"/>
      <c r="DM8" s="1577">
        <f>DM9/DG9-1</f>
        <v>0.16485225505443224</v>
      </c>
      <c r="DN8" s="1577">
        <f>DN9/DH9-1</f>
        <v>2.4512256128063958E-2</v>
      </c>
      <c r="DO8" s="1577">
        <f>DO9/DI9-1</f>
        <v>7.2267389340560095E-2</v>
      </c>
      <c r="DP8" s="1577">
        <f>DP9/DJ9-1</f>
        <v>7.2537473233404759E-2</v>
      </c>
      <c r="DQ8" s="1581">
        <f>DQ9/DK9-1</f>
        <v>7.4932322685435926E-2</v>
      </c>
      <c r="DR8" s="1580"/>
      <c r="DS8" s="1577">
        <f>DS9/DM9-1</f>
        <v>0.14285714285714279</v>
      </c>
      <c r="DT8" s="1577">
        <f>DT9/DN9-1</f>
        <v>0.22802734375</v>
      </c>
      <c r="DU8" s="1577">
        <f>DU9/DO9-1</f>
        <v>3.1171019376579512E-2</v>
      </c>
      <c r="DV8" s="1577">
        <f>DV9/DP9-1</f>
        <v>3.4938857000249568E-2</v>
      </c>
      <c r="DW8" s="1581">
        <f>DW9/DQ9-1</f>
        <v>9.0158154528054757E-2</v>
      </c>
      <c r="DX8" s="1580"/>
      <c r="DY8" s="1577">
        <f>DY9/DS9-1</f>
        <v>3.0957943925233655E-2</v>
      </c>
      <c r="DZ8" s="1577">
        <f>DZ9/DT9-1</f>
        <v>-1.3916500994035741E-2</v>
      </c>
      <c r="EA8" s="1577">
        <f>EA9/DU9-1</f>
        <v>3.799019607843146E-2</v>
      </c>
      <c r="EB8" s="1577">
        <f>EB9/DV9-1</f>
        <v>1.8567639257294433E-2</v>
      </c>
      <c r="EC8" s="1581">
        <f>EC9/DW9-1</f>
        <v>1.7372019959342122E-2</v>
      </c>
      <c r="ED8" s="1580"/>
      <c r="EE8" s="1577">
        <f>EE9/DY9-1</f>
        <v>4.6458923512747941E-2</v>
      </c>
      <c r="EF8" s="1577">
        <f>EF9/DZ9-1</f>
        <v>3.3870967741935543E-2</v>
      </c>
      <c r="EG8" s="1577">
        <f>EG9/EA9-1</f>
        <v>-1.1412829594647733E-2</v>
      </c>
      <c r="EH8" s="1577">
        <f>EH9/EB9-1</f>
        <v>-0.12002840909090906</v>
      </c>
      <c r="EI8" s="1581">
        <f>EI9/EC9-1</f>
        <v>-3.3605812897366083E-2</v>
      </c>
      <c r="EJ8" s="1580"/>
      <c r="EK8" s="1577">
        <f>EK9/EE9-1</f>
        <v>-4.5479155387114223E-2</v>
      </c>
      <c r="EL8" s="1577">
        <f>EL9/EF9-1</f>
        <v>-9.1653666146645829E-2</v>
      </c>
      <c r="EM8" s="1577">
        <f>EM9/EG9-1</f>
        <v>-3.7818471337579651E-2</v>
      </c>
      <c r="EN8" s="1577">
        <f>EN9/EH9-1</f>
        <v>-2.4482109227871973E-2</v>
      </c>
      <c r="EO8" s="1581">
        <f>EO9/EI9-1</f>
        <v>-4.7462406015037595E-2</v>
      </c>
      <c r="EP8" s="1580"/>
      <c r="EQ8" s="1577">
        <f>EQ9/EK9-1</f>
        <v>0.14350538854225747</v>
      </c>
      <c r="ER8" s="1577">
        <f>ER9/EL9-1</f>
        <v>4.5083726921425482E-2</v>
      </c>
      <c r="ES8" s="1577">
        <f>ES9/EM9-1</f>
        <v>0.10550268928423656</v>
      </c>
      <c r="ET8" s="1577">
        <f>ET9/EN9-1</f>
        <v>0.11307225592939885</v>
      </c>
      <c r="EU8" s="1581">
        <f>EU9/EO9-1</f>
        <v>0.10093734583127767</v>
      </c>
      <c r="EV8" s="1580"/>
      <c r="EW8" s="1577">
        <f>EW9/EQ9-1</f>
        <v>0.21924603174603186</v>
      </c>
      <c r="EX8" s="1577">
        <f>EX9/ER9-1</f>
        <v>0.18364831552999172</v>
      </c>
      <c r="EY8" s="1577">
        <f>EY9/ES9-1</f>
        <v>0.10741017964071853</v>
      </c>
      <c r="EZ8" s="1577">
        <f>EZ9/ET9-1</f>
        <v>2.772918731417251E-2</v>
      </c>
      <c r="FA8" s="1581">
        <f>FA9/EU9-1</f>
        <v>0.11542525542211868</v>
      </c>
      <c r="FB8" s="1580"/>
      <c r="FC8" s="1577">
        <f>FC9/EW9-1</f>
        <v>0.12385956061838899</v>
      </c>
      <c r="FD8" s="1577">
        <f>FD9/EX9-1</f>
        <v>0.10507462686567171</v>
      </c>
      <c r="FE8" s="1577">
        <f>FE9/EY9-1</f>
        <v>0.10702095302467063</v>
      </c>
      <c r="FF8" s="1577">
        <f>FF9/EZ9-1</f>
        <v>5.5918624176242826E-2</v>
      </c>
      <c r="FG8" s="1581">
        <f>FG9/FA9-1</f>
        <v>9.2864807448870046E-2</v>
      </c>
      <c r="FH8" s="1580"/>
      <c r="FI8" s="1577">
        <f>FI9/FC9-1</f>
        <v>0.12715937914170872</v>
      </c>
      <c r="FJ8" s="1577">
        <f>FJ9/FD9-1</f>
        <v>0.10624219466536</v>
      </c>
      <c r="FK8" s="1577">
        <f>FK9/FE9-1</f>
        <v>0.10318226014485554</v>
      </c>
      <c r="FL8" s="1577">
        <f>FL9/FF9-1</f>
        <v>6.3241167921162411E-2</v>
      </c>
      <c r="FM8" s="1581">
        <f>FM9/FG9-1</f>
        <v>9.5906779022699284E-2</v>
      </c>
      <c r="FQ8"/>
      <c r="FR8"/>
      <c r="FS8"/>
      <c r="FT8"/>
      <c r="FU8"/>
      <c r="FV8"/>
      <c r="GB8" s="1523"/>
      <c r="GC8" s="1523"/>
      <c r="GD8" s="1523"/>
      <c r="GE8" s="1523"/>
      <c r="GF8" s="1523"/>
      <c r="GG8" s="1523"/>
      <c r="GH8" s="1523"/>
      <c r="GI8" s="1523"/>
      <c r="GJ8" s="1522"/>
      <c r="GK8" s="1522"/>
      <c r="GL8" s="1522"/>
      <c r="GM8" s="1522"/>
      <c r="GN8" s="1522"/>
      <c r="GO8" s="1522"/>
      <c r="GP8" s="1522"/>
      <c r="GQ8" s="1522"/>
      <c r="GR8" s="1522"/>
      <c r="GS8" s="1522"/>
      <c r="GT8" s="1522"/>
      <c r="GU8" s="1522"/>
      <c r="GV8" s="1522"/>
      <c r="GW8" s="1522"/>
      <c r="GX8" s="1522"/>
      <c r="GY8" s="1522"/>
      <c r="GZ8" s="1522"/>
      <c r="HA8" s="1522"/>
      <c r="HB8" s="1522"/>
      <c r="HC8" s="1522"/>
      <c r="HD8" s="1522"/>
      <c r="HE8" s="1522"/>
      <c r="HF8" s="1522"/>
      <c r="HG8" s="1522"/>
      <c r="HH8" s="1522"/>
      <c r="HI8" s="1522"/>
      <c r="HJ8" s="1522"/>
      <c r="HK8" s="1522"/>
      <c r="HL8" s="1522"/>
      <c r="HM8" s="1522"/>
      <c r="HN8" s="1522"/>
      <c r="HO8" s="1522"/>
      <c r="HP8" s="1522"/>
      <c r="HQ8" s="1522"/>
      <c r="HR8" s="1522"/>
      <c r="HS8" s="1522"/>
      <c r="HT8" s="1522"/>
      <c r="HU8" s="1522"/>
      <c r="HV8" s="1522"/>
      <c r="HW8" s="1522"/>
      <c r="HX8" s="1522"/>
      <c r="HY8" s="1522"/>
      <c r="HZ8" s="1522"/>
      <c r="IA8" s="1522"/>
      <c r="IB8" s="1522"/>
      <c r="IC8" s="1522"/>
      <c r="ID8" s="1522"/>
      <c r="IE8" s="1522"/>
      <c r="IF8" s="1522"/>
      <c r="IG8" s="1522"/>
      <c r="IH8" s="1522"/>
      <c r="II8" s="1522"/>
      <c r="IJ8" s="1522"/>
      <c r="IK8" s="1522"/>
      <c r="IL8" s="1522"/>
      <c r="IM8" s="1522"/>
      <c r="IN8" s="1522"/>
      <c r="IO8" s="1522"/>
      <c r="IP8" s="1522"/>
      <c r="IQ8" s="1522"/>
      <c r="IR8" s="1522"/>
      <c r="IS8" s="1522"/>
      <c r="IT8" s="1522"/>
      <c r="IU8" s="1522"/>
      <c r="IV8" s="1522"/>
      <c r="IW8" s="1522"/>
      <c r="IX8" s="1522"/>
      <c r="IY8" s="1522"/>
      <c r="IZ8" s="1522"/>
      <c r="JA8" s="1522"/>
      <c r="JB8" s="1522"/>
      <c r="JC8" s="1522"/>
      <c r="JD8" s="1522"/>
      <c r="JE8" s="1522"/>
      <c r="JF8" s="1522"/>
      <c r="JG8" s="1522"/>
      <c r="JH8" s="1522"/>
      <c r="JI8" s="1522"/>
      <c r="JJ8" s="1522"/>
      <c r="JK8" s="1522"/>
      <c r="JL8" s="1522"/>
      <c r="JM8" s="1522"/>
      <c r="JN8" s="1522"/>
    </row>
    <row r="9" spans="1:274" s="261" customFormat="1" ht="12" hidden="1" customHeight="1" outlineLevel="1" x14ac:dyDescent="0.2">
      <c r="A9" s="1485" t="s">
        <v>1125</v>
      </c>
      <c r="B9" s="1485"/>
      <c r="C9" s="1486">
        <f>lrev _fy84</f>
        <v>12.715</v>
      </c>
      <c r="D9" s="1486">
        <f>lrev _fy85</f>
        <v>23.150999999999996</v>
      </c>
      <c r="E9" s="1486">
        <f>lrev _fy86</f>
        <v>55.344999999999999</v>
      </c>
      <c r="F9" s="1486">
        <f>lrev _fy87</f>
        <v>131.249</v>
      </c>
      <c r="G9" s="1486">
        <f>lrev _fy88</f>
        <v>205.435</v>
      </c>
      <c r="H9" s="1486">
        <f>lrev _fy89</f>
        <v>417.93</v>
      </c>
      <c r="I9" s="1486">
        <f>lrev _fy90</f>
        <v>664.56399999999996</v>
      </c>
      <c r="J9" s="1486">
        <f>lrev _fy91</f>
        <v>645.48500000000001</v>
      </c>
      <c r="K9" s="1486">
        <f>lrev _fy92</f>
        <v>657</v>
      </c>
      <c r="L9" s="1486">
        <f>lrev _fy93</f>
        <v>806</v>
      </c>
      <c r="M9" s="1486">
        <f>lrev _fy94</f>
        <v>1099</v>
      </c>
      <c r="N9" s="1055"/>
      <c r="O9" s="1486">
        <f>lrev _3c94</f>
        <v>280</v>
      </c>
      <c r="P9" s="1486">
        <f>lrev _4c94</f>
        <v>343</v>
      </c>
      <c r="Q9" s="1486">
        <f>lrev _1c95</f>
        <v>375</v>
      </c>
      <c r="R9" s="1486">
        <f>lrev _2c95</f>
        <v>608</v>
      </c>
      <c r="S9" s="1486">
        <f>lrev _fy95</f>
        <v>1606</v>
      </c>
      <c r="T9" s="1055"/>
      <c r="U9" s="1486">
        <f>lrev _3c95</f>
        <v>350</v>
      </c>
      <c r="V9" s="1486">
        <f>lrev _4c95</f>
        <v>485.09</v>
      </c>
      <c r="W9" s="1486">
        <f>lrev _1c96</f>
        <v>515</v>
      </c>
      <c r="X9" s="1486">
        <f>lrev _2c96</f>
        <v>883</v>
      </c>
      <c r="Y9" s="1486">
        <f>lrev _fy96</f>
        <v>2233.09</v>
      </c>
      <c r="Z9" s="1055"/>
      <c r="AA9" s="1486">
        <f>lrev _3c96</f>
        <v>444.31700000000001</v>
      </c>
      <c r="AB9" s="1486">
        <f>lrev _4c96</f>
        <v>606.447</v>
      </c>
      <c r="AC9" s="1486">
        <f>lrev _1c97</f>
        <v>664.25699999999995</v>
      </c>
      <c r="AD9" s="1486">
        <f>lrev _2c97</f>
        <v>1107.4290000000001</v>
      </c>
      <c r="AE9" s="1486">
        <f>lrev _fy97</f>
        <v>2822.4500000000003</v>
      </c>
      <c r="AF9" s="1055"/>
      <c r="AG9" s="1486">
        <f>lrev _3c97</f>
        <v>505.37599999999998</v>
      </c>
      <c r="AH9" s="1486">
        <f>lrev _4c97</f>
        <v>621.16800000000001</v>
      </c>
      <c r="AI9" s="1486">
        <f>lrev _1c98</f>
        <v>753.19299999999998</v>
      </c>
      <c r="AJ9" s="1486">
        <f>lrev _2c98</f>
        <v>1209.3229999999999</v>
      </c>
      <c r="AK9" s="1486">
        <f>lrev _fy98</f>
        <v>3089.0599999999995</v>
      </c>
      <c r="AL9" s="1055"/>
      <c r="AM9" s="1486">
        <f>lrev _3c98</f>
        <v>557.61300000000006</v>
      </c>
      <c r="AN9" s="1486">
        <f>lrev _4c98</f>
        <v>745.24700000000007</v>
      </c>
      <c r="AO9" s="1486">
        <f>lrev _1c99</f>
        <v>804.60699999999997</v>
      </c>
      <c r="AP9" s="1486">
        <f>lrev _2c99</f>
        <v>1483.4009999999998</v>
      </c>
      <c r="AQ9" s="1486">
        <f>lrev _fy99</f>
        <v>3590.8679999999999</v>
      </c>
      <c r="AR9" s="1055"/>
      <c r="AS9" s="1486">
        <f>lrev _3c99</f>
        <v>602.64599999999996</v>
      </c>
      <c r="AT9" s="1486">
        <f>lrev _4c99</f>
        <v>877.17099999999994</v>
      </c>
      <c r="AU9" s="1486">
        <f>lrev _1c00</f>
        <v>1043.2059999999999</v>
      </c>
      <c r="AV9" s="1486">
        <f>lrev _2c00</f>
        <v>1792.0060000000001</v>
      </c>
      <c r="AW9" s="1486">
        <f>lrev _fy00</f>
        <v>4315.0290000000005</v>
      </c>
      <c r="AX9" s="1055"/>
      <c r="AY9" s="1486">
        <f>lrev _3c00</f>
        <v>771.24500000000012</v>
      </c>
      <c r="AZ9" s="1486">
        <f>lrev _4c00</f>
        <v>1093.193</v>
      </c>
      <c r="BA9" s="1486">
        <f>lrev _1c01</f>
        <v>1100.9650000000001</v>
      </c>
      <c r="BB9" s="1486">
        <f>lrev _2c01</f>
        <v>1618.48</v>
      </c>
      <c r="BC9" s="1486">
        <f>lrev _fy01</f>
        <v>4583.8829999999998</v>
      </c>
      <c r="BD9" s="1055"/>
      <c r="BE9" s="1486">
        <f>lrev _3c01</f>
        <v>711.10800000000006</v>
      </c>
      <c r="BF9" s="1486">
        <f>lrev _4c01</f>
        <v>803.39100000000008</v>
      </c>
      <c r="BG9" s="1486">
        <f>lrev _1c02</f>
        <v>776.95299999999997</v>
      </c>
      <c r="BH9" s="1486">
        <f>lrev _2c02</f>
        <v>1149.9780000000001</v>
      </c>
      <c r="BI9" s="1486">
        <f>lrev _fy02</f>
        <v>3441.4300000000003</v>
      </c>
      <c r="BJ9" s="1055"/>
      <c r="BK9" s="1486">
        <f>lrev _3c02</f>
        <v>563</v>
      </c>
      <c r="BL9" s="1486">
        <f>lrev _4c02</f>
        <v>765</v>
      </c>
      <c r="BM9" s="1486">
        <f>lrev _1c03</f>
        <v>755</v>
      </c>
      <c r="BN9" s="1486">
        <f>lrev _2c03</f>
        <v>1187</v>
      </c>
      <c r="BO9" s="1486">
        <f>lrev _fy03</f>
        <v>3270</v>
      </c>
      <c r="BP9" s="1055"/>
      <c r="BQ9" s="1486">
        <f>lrev _3c03</f>
        <v>525</v>
      </c>
      <c r="BR9" s="1486">
        <f>lrev _4c03</f>
        <v>855</v>
      </c>
      <c r="BS9" s="1486">
        <f>lrev _1c04</f>
        <v>847</v>
      </c>
      <c r="BT9" s="1486">
        <f>lrev _2c04</f>
        <v>1314</v>
      </c>
      <c r="BU9" s="1486">
        <f>lrev _fy04</f>
        <v>3541</v>
      </c>
      <c r="BV9" s="1055"/>
      <c r="BW9" s="1486">
        <f>lrev _3c04</f>
        <v>563</v>
      </c>
      <c r="BX9" s="1486">
        <f>lrev _4c04</f>
        <v>971</v>
      </c>
      <c r="BY9" s="1486">
        <f>lrev _1c05</f>
        <v>947</v>
      </c>
      <c r="BZ9" s="1486">
        <f>lrev _2c05</f>
        <v>1609</v>
      </c>
      <c r="CA9" s="1486">
        <f>lrev _fy05</f>
        <v>4090</v>
      </c>
      <c r="CB9" s="1055"/>
      <c r="CC9" s="1487">
        <f>lrev _3c05</f>
        <v>629</v>
      </c>
      <c r="CD9" s="1487">
        <f>lrev _4c05</f>
        <v>1058</v>
      </c>
      <c r="CE9" s="1487">
        <f>lrev _1c06</f>
        <v>1096.4000000000001</v>
      </c>
      <c r="CF9" s="1487">
        <f>lrev _2c06</f>
        <v>2121</v>
      </c>
      <c r="CG9" s="1488">
        <f>lrev _fy06</f>
        <v>4904.3999999999996</v>
      </c>
      <c r="CH9" s="1489"/>
      <c r="CI9" s="1487">
        <f>lrev _3c06</f>
        <v>804</v>
      </c>
      <c r="CJ9" s="1487">
        <f>lrev _4c06</f>
        <v>1207</v>
      </c>
      <c r="CK9" s="1487">
        <f>lrev _1c07</f>
        <v>1390</v>
      </c>
      <c r="CL9" s="1487">
        <f>lrev _2c07</f>
        <v>2481</v>
      </c>
      <c r="CM9" s="1488">
        <f>lrev _fy07</f>
        <v>5882</v>
      </c>
      <c r="CN9" s="1489"/>
      <c r="CO9" s="1487">
        <f>lrev _3c07</f>
        <v>1087</v>
      </c>
      <c r="CP9" s="1487">
        <f>lrev _4c07</f>
        <v>1668</v>
      </c>
      <c r="CQ9" s="1487">
        <f>lrev _1c08</f>
        <v>1616</v>
      </c>
      <c r="CR9" s="1487">
        <f>lrev _2c08</f>
        <v>3144</v>
      </c>
      <c r="CS9" s="1488">
        <f>lrev _fy08</f>
        <v>7515</v>
      </c>
      <c r="CT9" s="1490"/>
      <c r="CU9" s="1487">
        <f>lrev _3c08</f>
        <v>1235</v>
      </c>
      <c r="CV9" s="1487">
        <f>lrev _4c08</f>
        <v>1626</v>
      </c>
      <c r="CW9" s="1487">
        <f>lrev _1c09</f>
        <v>1516</v>
      </c>
      <c r="CX9" s="1487">
        <f>lrev _2c09</f>
        <v>2744</v>
      </c>
      <c r="CY9" s="1488">
        <f>lrev _fy09</f>
        <v>7121</v>
      </c>
      <c r="CZ9" s="1491"/>
      <c r="DA9" s="1487">
        <f>lrev _3c09</f>
        <v>1028</v>
      </c>
      <c r="DB9" s="1487">
        <f>lrev _4c09</f>
        <v>1653</v>
      </c>
      <c r="DC9" s="1487">
        <f>lrev _1c10</f>
        <v>1718.4</v>
      </c>
      <c r="DD9" s="1487">
        <f>lrev _2c10</f>
        <v>3135</v>
      </c>
      <c r="DE9" s="1488">
        <f>lrev _fy10</f>
        <v>7534.4</v>
      </c>
      <c r="DF9" s="1490"/>
      <c r="DG9" s="1487">
        <f>lrev _3c10</f>
        <v>1286</v>
      </c>
      <c r="DH9" s="1487">
        <f>lrev _4c10</f>
        <v>1999</v>
      </c>
      <c r="DI9" s="1487">
        <f>lrev _1c11</f>
        <v>2214</v>
      </c>
      <c r="DJ9" s="1487">
        <f>lrev _2c11</f>
        <v>3736</v>
      </c>
      <c r="DK9" s="1488">
        <f>lrev _fy11</f>
        <v>9235</v>
      </c>
      <c r="DL9" s="1490"/>
      <c r="DM9" s="1487">
        <f>lrev _3c11</f>
        <v>1498</v>
      </c>
      <c r="DN9" s="1487">
        <f>lrev _4c11</f>
        <v>2048</v>
      </c>
      <c r="DO9" s="1487">
        <f>lrev _1c12</f>
        <v>2374</v>
      </c>
      <c r="DP9" s="1487">
        <f>lrev _2c12</f>
        <v>4007</v>
      </c>
      <c r="DQ9" s="1488">
        <f>lrev _fy12</f>
        <v>9927</v>
      </c>
      <c r="DR9" s="1490"/>
      <c r="DS9" s="1487">
        <f>lrev _3c12</f>
        <v>1712</v>
      </c>
      <c r="DT9" s="1487">
        <f>lrev _4c12</f>
        <v>2515</v>
      </c>
      <c r="DU9" s="1487">
        <f>lrev _1c13</f>
        <v>2448</v>
      </c>
      <c r="DV9" s="1487">
        <f>lrev _2c13</f>
        <v>4147</v>
      </c>
      <c r="DW9" s="1488">
        <f>lrev _fy13</f>
        <v>10822</v>
      </c>
      <c r="DX9" s="1490"/>
      <c r="DY9" s="1487">
        <f>lrev _3c13</f>
        <v>1765</v>
      </c>
      <c r="DZ9" s="1487">
        <f>lrev _4c13</f>
        <v>2480</v>
      </c>
      <c r="EA9" s="1487">
        <f>lrev _1c14</f>
        <v>2541</v>
      </c>
      <c r="EB9" s="1487">
        <f>lrev _2c14</f>
        <v>4224</v>
      </c>
      <c r="EC9" s="1488">
        <f>lrev _fy14</f>
        <v>11010</v>
      </c>
      <c r="ED9" s="1490"/>
      <c r="EE9" s="1487">
        <f>Model!EE14</f>
        <v>1847</v>
      </c>
      <c r="EF9" s="1487">
        <f>Model!EF14</f>
        <v>2564</v>
      </c>
      <c r="EG9" s="1487">
        <f>Model!EG14</f>
        <v>2512</v>
      </c>
      <c r="EH9" s="1487">
        <f>Model!EH14</f>
        <v>3717</v>
      </c>
      <c r="EI9" s="1488">
        <f>Model!EI14</f>
        <v>10640</v>
      </c>
      <c r="EJ9" s="1490"/>
      <c r="EK9" s="1487">
        <f>Model!EK14</f>
        <v>1763</v>
      </c>
      <c r="EL9" s="1487">
        <f>Model!EL14</f>
        <v>2329</v>
      </c>
      <c r="EM9" s="1487">
        <f>Model!EM14</f>
        <v>2417</v>
      </c>
      <c r="EN9" s="1487">
        <f>Model!EN14</f>
        <v>3626</v>
      </c>
      <c r="EO9" s="1488">
        <f>Model!EO14</f>
        <v>10135</v>
      </c>
      <c r="EP9" s="1490"/>
      <c r="EQ9" s="1487">
        <f>Model!EQ14</f>
        <v>2016</v>
      </c>
      <c r="ER9" s="1487">
        <f>Model!ER14</f>
        <v>2434</v>
      </c>
      <c r="ES9" s="1487">
        <f>Model!ES14</f>
        <v>2672</v>
      </c>
      <c r="ET9" s="1487">
        <f>Model!ET14</f>
        <v>4036</v>
      </c>
      <c r="EU9" s="1488">
        <f>Model!EU14</f>
        <v>11158</v>
      </c>
      <c r="EV9" s="1490"/>
      <c r="EW9" s="1487">
        <f>Model!EW14</f>
        <v>2458</v>
      </c>
      <c r="EX9" s="1487">
        <f>Model!EX14</f>
        <v>2881</v>
      </c>
      <c r="EY9" s="1487">
        <f>Model!EY14</f>
        <v>2959</v>
      </c>
      <c r="EZ9" s="1487">
        <f>Model!EZ14</f>
        <v>4147.915</v>
      </c>
      <c r="FA9" s="1488">
        <f>Model!FA14</f>
        <v>12445.915000000001</v>
      </c>
      <c r="FB9" s="1490"/>
      <c r="FC9" s="1487">
        <f>Model!FC14</f>
        <v>2762.4468000000002</v>
      </c>
      <c r="FD9" s="1487">
        <f>Model!FD14</f>
        <v>3183.7200000000003</v>
      </c>
      <c r="FE9" s="1487">
        <f>Model!FE14</f>
        <v>3275.6750000000002</v>
      </c>
      <c r="FF9" s="1487">
        <f>Model!FF14</f>
        <v>4379.8607000000002</v>
      </c>
      <c r="FG9" s="1488">
        <f>Model!FG14</f>
        <v>13601.702500000003</v>
      </c>
      <c r="FH9" s="1490"/>
      <c r="FI9" s="1487">
        <f>Model!FI14</f>
        <v>3113.7178200000003</v>
      </c>
      <c r="FJ9" s="1487">
        <f>Model!FJ14</f>
        <v>3521.9654</v>
      </c>
      <c r="FK9" s="1487">
        <f>Model!FK14</f>
        <v>3613.6665499999999</v>
      </c>
      <c r="FL9" s="1487">
        <f>Model!FL14</f>
        <v>4656.8482059999997</v>
      </c>
      <c r="FM9" s="1488">
        <f>Model!FM14</f>
        <v>14906.197975999999</v>
      </c>
      <c r="FN9" s="27"/>
      <c r="FO9" s="60"/>
      <c r="FQ9"/>
      <c r="FR9"/>
      <c r="FS9"/>
      <c r="FT9"/>
      <c r="FU9"/>
      <c r="FV9"/>
      <c r="FY9" s="261" t="s">
        <v>175</v>
      </c>
      <c r="GB9" s="24"/>
      <c r="GC9" s="24"/>
      <c r="GD9" s="24"/>
      <c r="GE9" s="24"/>
      <c r="GF9" s="24"/>
      <c r="GG9" s="24"/>
      <c r="GH9" s="24"/>
      <c r="GI9" s="24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</row>
    <row r="10" spans="1:274" s="261" customFormat="1" ht="12" hidden="1" customHeight="1" outlineLevel="1" x14ac:dyDescent="0.2">
      <c r="A10" s="32" t="s">
        <v>900</v>
      </c>
      <c r="B10" s="32"/>
      <c r="C10" s="272"/>
      <c r="D10" s="272"/>
      <c r="E10" s="272"/>
      <c r="F10" s="272"/>
      <c r="G10" s="272"/>
      <c r="H10" s="272"/>
      <c r="I10" s="272"/>
      <c r="J10" s="272"/>
      <c r="K10" s="272"/>
      <c r="L10" s="272"/>
      <c r="M10" s="272"/>
      <c r="O10" s="272"/>
      <c r="P10" s="272"/>
      <c r="Q10" s="272"/>
      <c r="R10" s="272"/>
      <c r="S10" s="272"/>
      <c r="U10" s="272"/>
      <c r="V10" s="272"/>
      <c r="W10" s="272"/>
      <c r="X10" s="272"/>
      <c r="Y10" s="272"/>
      <c r="AA10" s="272"/>
      <c r="AB10" s="272"/>
      <c r="AC10" s="272"/>
      <c r="AD10" s="272"/>
      <c r="AE10" s="272"/>
      <c r="AG10" s="272"/>
      <c r="AH10" s="272"/>
      <c r="AI10" s="272"/>
      <c r="AJ10" s="272"/>
      <c r="AK10" s="272"/>
      <c r="AM10" s="272"/>
      <c r="AN10" s="272"/>
      <c r="AO10" s="272"/>
      <c r="AP10" s="272"/>
      <c r="AQ10" s="272"/>
      <c r="AS10" s="272"/>
      <c r="AT10" s="272"/>
      <c r="AU10" s="272"/>
      <c r="AV10" s="272"/>
      <c r="AW10" s="272"/>
      <c r="AY10" s="272"/>
      <c r="AZ10" s="272"/>
      <c r="BA10" s="272"/>
      <c r="BB10" s="272"/>
      <c r="BC10" s="272"/>
      <c r="BE10" s="272"/>
      <c r="BF10" s="272"/>
      <c r="BG10" s="272"/>
      <c r="BH10" s="272"/>
      <c r="BI10" s="272"/>
      <c r="BK10" s="272"/>
      <c r="BL10" s="272"/>
      <c r="BM10" s="272"/>
      <c r="BN10" s="272"/>
      <c r="BO10" s="272"/>
      <c r="BQ10" s="272">
        <f>SUM(BQ41:BQ52)</f>
        <v>0</v>
      </c>
      <c r="BR10" s="272">
        <f>SUM(BR41:BR52)</f>
        <v>0</v>
      </c>
      <c r="BS10" s="272">
        <f>SUM(BS41:BS52)</f>
        <v>0</v>
      </c>
      <c r="BT10" s="272">
        <f>SUM(BT41:BT52)</f>
        <v>0</v>
      </c>
      <c r="BU10" s="272">
        <f>SUM(BU41:BU52)</f>
        <v>0</v>
      </c>
      <c r="BW10" s="272">
        <f>SUM(BW41:BW52)</f>
        <v>0</v>
      </c>
      <c r="BX10" s="272">
        <f>SUM(BX41:BX52)</f>
        <v>0</v>
      </c>
      <c r="BY10" s="272">
        <f>SUM(BY41:BY52)</f>
        <v>0</v>
      </c>
      <c r="BZ10" s="272">
        <f>SUM(BZ41:BZ52)</f>
        <v>2</v>
      </c>
      <c r="CA10" s="272">
        <f>SUM(CA41:CA52)</f>
        <v>2</v>
      </c>
      <c r="CC10" s="272">
        <f>SUM(CC41:CC52)</f>
        <v>4.5</v>
      </c>
      <c r="CD10" s="272">
        <f>SUM(CD41:CD52)</f>
        <v>4.5</v>
      </c>
      <c r="CE10" s="272">
        <f>SUM(CE41:CE52)</f>
        <v>11.5</v>
      </c>
      <c r="CF10" s="272">
        <f>SUM(CF41:CF52)</f>
        <v>29.5</v>
      </c>
      <c r="CG10" s="557">
        <f>SUM(CG41:CG52)</f>
        <v>50</v>
      </c>
      <c r="CI10" s="272">
        <f>SUM(CI41:CI52)</f>
        <v>20</v>
      </c>
      <c r="CJ10" s="272">
        <f>SUM(CJ41:CJ52)</f>
        <v>23</v>
      </c>
      <c r="CK10" s="272">
        <f>SUM(CK41:CK52)</f>
        <v>24</v>
      </c>
      <c r="CL10" s="272">
        <f>SUM(CL41:CL52)</f>
        <v>42</v>
      </c>
      <c r="CM10" s="557">
        <f>SUM(CM41:CM52)</f>
        <v>109</v>
      </c>
      <c r="CO10" s="272">
        <f>SUM(CO41:CO52)</f>
        <v>46</v>
      </c>
      <c r="CP10" s="272">
        <f>SUM(CP41:CP52)</f>
        <v>39</v>
      </c>
      <c r="CQ10" s="272">
        <f>SUM(CQ41:CQ52)</f>
        <v>28</v>
      </c>
      <c r="CR10" s="272">
        <f>SUM(CR41:CR52)</f>
        <v>116</v>
      </c>
      <c r="CS10" s="557">
        <f>SUM(CS41:CS52)</f>
        <v>229</v>
      </c>
      <c r="CT10" s="271"/>
      <c r="CU10" s="272">
        <f>SUM(CU41:CU52)</f>
        <v>84</v>
      </c>
      <c r="CV10" s="272">
        <f>SUM(CV41:CV52)</f>
        <v>127</v>
      </c>
      <c r="CW10" s="272">
        <f>SUM(CW41:CW52)</f>
        <v>145</v>
      </c>
      <c r="CX10" s="272">
        <f>SUM(CX41:CX52)</f>
        <v>124</v>
      </c>
      <c r="CY10" s="557">
        <f>SUM(CY41:CY52)</f>
        <v>480</v>
      </c>
      <c r="CZ10" s="86"/>
      <c r="DA10" s="272">
        <f>SUM(DA41:DA52)</f>
        <v>0</v>
      </c>
      <c r="DB10" s="272">
        <f>SUM(DB41:DB52)</f>
        <v>0</v>
      </c>
      <c r="DC10" s="272">
        <f>SUM(DC41:DC52)</f>
        <v>46</v>
      </c>
      <c r="DD10" s="272">
        <f>SUM(DD41:DD52)</f>
        <v>142</v>
      </c>
      <c r="DE10" s="557">
        <f>SUM(DE41:DE52)</f>
        <v>188</v>
      </c>
      <c r="DF10" s="271"/>
      <c r="DG10" s="272">
        <f>SUM(DG41:DG52)</f>
        <v>160</v>
      </c>
      <c r="DH10" s="272">
        <f>SUM(DH41:DH52)</f>
        <v>142</v>
      </c>
      <c r="DI10" s="272">
        <f>SUM(DI41:DI52)</f>
        <v>114</v>
      </c>
      <c r="DJ10" s="272">
        <f>SUM(DJ41:DJ52)</f>
        <v>22</v>
      </c>
      <c r="DK10" s="557">
        <f>SUM(DK41:DK52)</f>
        <v>438</v>
      </c>
      <c r="DL10" s="271"/>
      <c r="DM10" s="272">
        <f>SUM(DM41:DM52)</f>
        <v>0.5</v>
      </c>
      <c r="DN10" s="272">
        <f>SUM(DN41:DN52)</f>
        <v>1.5</v>
      </c>
      <c r="DO10" s="272">
        <f>SUM(DO41:DO52)</f>
        <v>19</v>
      </c>
      <c r="DP10" s="272">
        <f>SUM(DP41:DP52)</f>
        <v>41.5</v>
      </c>
      <c r="DQ10" s="557">
        <f>SUM(DQ41:DQ52)</f>
        <v>62.5</v>
      </c>
      <c r="DR10" s="271"/>
      <c r="DS10" s="272">
        <f>SUM(DS41:DS52)</f>
        <v>21</v>
      </c>
      <c r="DT10" s="272">
        <f>SUM(DT41:DT52)</f>
        <v>23</v>
      </c>
      <c r="DU10" s="272">
        <f>SUM(DU41:DU52)</f>
        <v>0</v>
      </c>
      <c r="DV10" s="272">
        <f>SUM(DV41:DV52)</f>
        <v>21.28</v>
      </c>
      <c r="DW10" s="557">
        <f>SUM(DW41:DW52)</f>
        <v>65.28</v>
      </c>
      <c r="DX10" s="271"/>
      <c r="DY10" s="272">
        <f>SUM(DY41:DY52)</f>
        <v>39.69</v>
      </c>
      <c r="DZ10" s="272">
        <f>SUM(DZ41:DZ52)</f>
        <v>31</v>
      </c>
      <c r="EA10" s="272">
        <f>SUM(EA41:EA52)</f>
        <v>40</v>
      </c>
      <c r="EB10" s="272">
        <f>SUM(EB41:EB52)</f>
        <v>22.489000000000001</v>
      </c>
      <c r="EC10" s="557">
        <f>SUM(EC41:EC52)</f>
        <v>133.179</v>
      </c>
      <c r="ED10" s="271"/>
      <c r="EE10" s="272">
        <f>SUM(EE41:EE52)</f>
        <v>0</v>
      </c>
      <c r="EF10" s="272">
        <f>SUM(EF41:EF52)</f>
        <v>0</v>
      </c>
      <c r="EG10" s="272">
        <f>SUM(EG41:EG52)</f>
        <v>0</v>
      </c>
      <c r="EH10" s="272">
        <f>SUM(EH41:EH52)</f>
        <v>0</v>
      </c>
      <c r="EI10" s="557">
        <f>SUM(EI41:EI52)</f>
        <v>0</v>
      </c>
      <c r="EJ10" s="271"/>
      <c r="EK10" s="272">
        <f>SUM(EK41:EK52)</f>
        <v>0</v>
      </c>
      <c r="EL10" s="272">
        <f>SUM(EL41:EL52)</f>
        <v>0</v>
      </c>
      <c r="EM10" s="272">
        <f>SUM(EM41:EM52)</f>
        <v>0</v>
      </c>
      <c r="EN10" s="272">
        <f>SUM(EN41:EN52)</f>
        <v>0</v>
      </c>
      <c r="EO10" s="557">
        <f>SUM(EO41:EO52)</f>
        <v>0</v>
      </c>
      <c r="EP10" s="271"/>
      <c r="EQ10" s="272">
        <f>SUM(EQ41:EQ52)</f>
        <v>0</v>
      </c>
      <c r="ER10" s="272">
        <f>SUM(ER41:ER52)</f>
        <v>0</v>
      </c>
      <c r="ES10" s="272">
        <f>SUM(ES41:ES52)</f>
        <v>9.3333333333333339</v>
      </c>
      <c r="ET10" s="272">
        <f>SUM(ET41:ET52)</f>
        <v>29.5</v>
      </c>
      <c r="EU10" s="557">
        <f>SUM(EU41:EU52)</f>
        <v>38.833333333333336</v>
      </c>
      <c r="EV10" s="271"/>
      <c r="EW10" s="272">
        <f>SUM(EW41:EW52)</f>
        <v>31</v>
      </c>
      <c r="EX10" s="272">
        <f>SUM(EX41:EX52)</f>
        <v>32.5</v>
      </c>
      <c r="EY10" s="272">
        <f>SUM(EY41:EY52)</f>
        <v>0</v>
      </c>
      <c r="EZ10" s="272">
        <f>SUM(EZ41:EZ52)</f>
        <v>0</v>
      </c>
      <c r="FA10" s="557">
        <f>SUM(FA41:FA52)</f>
        <v>63.5</v>
      </c>
      <c r="FB10" s="271"/>
      <c r="FC10" s="272">
        <f>SUM(FC41:FC52)</f>
        <v>0</v>
      </c>
      <c r="FD10" s="272">
        <f>SUM(FD41:FD52)</f>
        <v>0</v>
      </c>
      <c r="FE10" s="272">
        <f>SUM(FE41:FE52)</f>
        <v>0</v>
      </c>
      <c r="FF10" s="272">
        <f>SUM(FF41:FF52)</f>
        <v>0</v>
      </c>
      <c r="FG10" s="557">
        <f>SUM(FG41:FG52)</f>
        <v>0</v>
      </c>
      <c r="FH10" s="271"/>
      <c r="FI10" s="272">
        <f>SUM(FI41:FI52)</f>
        <v>0</v>
      </c>
      <c r="FJ10" s="272">
        <f>SUM(FJ41:FJ52)</f>
        <v>0</v>
      </c>
      <c r="FK10" s="272">
        <f>SUM(FK41:FK52)</f>
        <v>0</v>
      </c>
      <c r="FL10" s="272">
        <f>SUM(FL41:FL52)</f>
        <v>0</v>
      </c>
      <c r="FM10" s="557">
        <f>SUM(FM41:FM52)</f>
        <v>0</v>
      </c>
      <c r="FN10" s="27"/>
      <c r="FO10" s="27"/>
      <c r="FQ10"/>
      <c r="FR10"/>
      <c r="FS10"/>
      <c r="FT10"/>
      <c r="FU10"/>
      <c r="FV10"/>
      <c r="GB10" s="24"/>
      <c r="GC10" s="24"/>
      <c r="GD10" s="24"/>
      <c r="GE10" s="24"/>
      <c r="GF10" s="24"/>
      <c r="GG10" s="24"/>
      <c r="GH10" s="24"/>
      <c r="GI10" s="24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</row>
    <row r="11" spans="1:274" s="261" customFormat="1" ht="12" hidden="1" customHeight="1" outlineLevel="1" x14ac:dyDescent="0.2">
      <c r="A11" s="32" t="s">
        <v>901</v>
      </c>
      <c r="B11" s="32"/>
      <c r="C11" s="272"/>
      <c r="D11" s="272"/>
      <c r="E11" s="272"/>
      <c r="F11" s="272"/>
      <c r="G11" s="272"/>
      <c r="H11" s="272"/>
      <c r="I11" s="272"/>
      <c r="J11" s="272"/>
      <c r="K11" s="272"/>
      <c r="L11" s="272"/>
      <c r="M11" s="272"/>
      <c r="O11" s="272"/>
      <c r="P11" s="272"/>
      <c r="Q11" s="272"/>
      <c r="R11" s="272"/>
      <c r="S11" s="272"/>
      <c r="U11" s="272"/>
      <c r="V11" s="272"/>
      <c r="W11" s="272"/>
      <c r="X11" s="272"/>
      <c r="Y11" s="272"/>
      <c r="AA11" s="272"/>
      <c r="AB11" s="272"/>
      <c r="AC11" s="272"/>
      <c r="AD11" s="272"/>
      <c r="AE11" s="272"/>
      <c r="AG11" s="272"/>
      <c r="AH11" s="272"/>
      <c r="AI11" s="272"/>
      <c r="AJ11" s="272"/>
      <c r="AK11" s="272"/>
      <c r="AM11" s="272"/>
      <c r="AN11" s="272"/>
      <c r="AO11" s="272"/>
      <c r="AP11" s="272"/>
      <c r="AQ11" s="272"/>
      <c r="AS11" s="272"/>
      <c r="AT11" s="272"/>
      <c r="AU11" s="272"/>
      <c r="AV11" s="272"/>
      <c r="AW11" s="272"/>
      <c r="AY11" s="272"/>
      <c r="AZ11" s="272"/>
      <c r="BA11" s="272"/>
      <c r="BB11" s="272"/>
      <c r="BC11" s="272"/>
      <c r="BE11" s="272"/>
      <c r="BF11" s="272"/>
      <c r="BG11" s="272"/>
      <c r="BH11" s="272"/>
      <c r="BI11" s="272"/>
      <c r="BK11" s="272"/>
      <c r="BL11" s="272"/>
      <c r="BM11" s="272"/>
      <c r="BN11" s="272"/>
      <c r="BO11" s="272"/>
      <c r="BQ11" s="272">
        <f>SUM(BQ59:BQ94)</f>
        <v>0</v>
      </c>
      <c r="BR11" s="272">
        <f>SUM(BR59:BR94)</f>
        <v>0</v>
      </c>
      <c r="BS11" s="272">
        <f>SUM(BS59:BS94)</f>
        <v>0</v>
      </c>
      <c r="BT11" s="272">
        <f>SUM(BT59:BT94)</f>
        <v>0</v>
      </c>
      <c r="BU11" s="272">
        <f>SUM(BU59:BU94)</f>
        <v>0</v>
      </c>
      <c r="BW11" s="272">
        <f>SUM(BW59:BW94)</f>
        <v>0</v>
      </c>
      <c r="BX11" s="272">
        <f>SUM(BX59:BX94)</f>
        <v>0</v>
      </c>
      <c r="BY11" s="272">
        <f>SUM(BY59:BY94)</f>
        <v>31</v>
      </c>
      <c r="BZ11" s="272">
        <f>SUM(BZ59:BZ94)</f>
        <v>105</v>
      </c>
      <c r="CA11" s="272">
        <f>SUM(CA59:CA94)</f>
        <v>136</v>
      </c>
      <c r="CC11" s="272">
        <f>SUM(CC59:CC94)</f>
        <v>70</v>
      </c>
      <c r="CD11" s="272">
        <f>SUM(CD59:CD94)</f>
        <v>81</v>
      </c>
      <c r="CE11" s="272">
        <f>SUM(CE59:CE94)</f>
        <v>114</v>
      </c>
      <c r="CF11" s="272">
        <f>SUM(CF59:CF94)</f>
        <v>98</v>
      </c>
      <c r="CG11" s="557">
        <f>SUM(CG59:CG94)</f>
        <v>363</v>
      </c>
      <c r="CI11" s="272">
        <f>SUM(CI59:CI94)</f>
        <v>45</v>
      </c>
      <c r="CJ11" s="272">
        <f>SUM(CJ59:CJ94)</f>
        <v>77</v>
      </c>
      <c r="CK11" s="272">
        <f>SUM(CK59:CK94)</f>
        <v>79</v>
      </c>
      <c r="CL11" s="272">
        <f>SUM(CL59:CL94)</f>
        <v>72</v>
      </c>
      <c r="CM11" s="557">
        <f>SUM(CM59:CM94)</f>
        <v>273</v>
      </c>
      <c r="CO11" s="272">
        <f>SUM(CO59:CO94)</f>
        <v>83.7</v>
      </c>
      <c r="CP11" s="272">
        <f>SUM(CP59:CP94)</f>
        <v>71</v>
      </c>
      <c r="CQ11" s="272">
        <f>SUM(CQ59:CQ94)</f>
        <v>66</v>
      </c>
      <c r="CR11" s="272">
        <f>SUM(CR59:CR94)</f>
        <v>54</v>
      </c>
      <c r="CS11" s="557">
        <f>SUM(CS59:CS94)</f>
        <v>274.7</v>
      </c>
      <c r="CT11" s="271"/>
      <c r="CU11" s="272">
        <f>SUM(CU59:CU94)</f>
        <v>6.25</v>
      </c>
      <c r="CV11" s="272">
        <f>SUM(CV59:CV94)</f>
        <v>6.5</v>
      </c>
      <c r="CW11" s="272">
        <f>SUM(CW59:CW94)</f>
        <v>19.649999999999999</v>
      </c>
      <c r="CX11" s="272">
        <f>SUM(CX59:CX94)</f>
        <v>27.875</v>
      </c>
      <c r="CY11" s="557">
        <f>SUM(CY59:CY94)</f>
        <v>60.274999999999999</v>
      </c>
      <c r="CZ11" s="86"/>
      <c r="DA11" s="272">
        <f>SUM(DA59:DA94)</f>
        <v>13.299999999999999</v>
      </c>
      <c r="DB11" s="272">
        <f>SUM(DB59:DB94)</f>
        <v>14</v>
      </c>
      <c r="DC11" s="272">
        <f>SUM(DC59:DC94)</f>
        <v>0</v>
      </c>
      <c r="DD11" s="272">
        <f>SUM(DD59:DD94)</f>
        <v>0</v>
      </c>
      <c r="DE11" s="557">
        <f>SUM(DE59:DE94)</f>
        <v>27.299999999999997</v>
      </c>
      <c r="DF11" s="271"/>
      <c r="DG11" s="272">
        <f>SUM(DG59:DG94)</f>
        <v>15</v>
      </c>
      <c r="DH11" s="272">
        <f>SUM(DH59:DH94)</f>
        <v>44</v>
      </c>
      <c r="DI11" s="272">
        <f>SUM(DI59:DI94)</f>
        <v>56</v>
      </c>
      <c r="DJ11" s="272">
        <f>SUM(DJ59:DJ94)</f>
        <v>76</v>
      </c>
      <c r="DK11" s="557">
        <f>SUM(DK59:DK94)</f>
        <v>191</v>
      </c>
      <c r="DL11" s="271"/>
      <c r="DM11" s="272">
        <f>SUM(DM59:DM94)</f>
        <v>54.5</v>
      </c>
      <c r="DN11" s="272">
        <f>SUM(DN59:DN94)</f>
        <v>37</v>
      </c>
      <c r="DO11" s="272">
        <f>SUM(DO59:DO94)</f>
        <v>50</v>
      </c>
      <c r="DP11" s="272">
        <f>SUM(DP59:DP94)</f>
        <v>112.70470551999999</v>
      </c>
      <c r="DQ11" s="557">
        <f>SUM(DQ59:DQ94)</f>
        <v>254.20470551999998</v>
      </c>
      <c r="DR11" s="271"/>
      <c r="DS11" s="272">
        <f>SUM(DS59:DS94)</f>
        <v>128</v>
      </c>
      <c r="DT11" s="272">
        <f>SUM(DT59:DT94)</f>
        <v>133</v>
      </c>
      <c r="DU11" s="272">
        <f>SUM(DU59:DU94)</f>
        <v>121.75</v>
      </c>
      <c r="DV11" s="272">
        <f>SUM(DV59:DV94)</f>
        <v>65.484439975000001</v>
      </c>
      <c r="DW11" s="557">
        <f>SUM(DW59:DW94)</f>
        <v>448.23443997499999</v>
      </c>
      <c r="DX11" s="271"/>
      <c r="DY11" s="272">
        <f>SUM(DY59:DY94)</f>
        <v>40.733661973750003</v>
      </c>
      <c r="DZ11" s="272">
        <f>SUM(DZ59:DZ94)</f>
        <v>32.545345072437499</v>
      </c>
      <c r="EA11" s="272">
        <f>SUM(EA59:EA94)</f>
        <v>44.146937867313945</v>
      </c>
      <c r="EB11" s="272">
        <f>SUM(EB59:EB94)</f>
        <v>54.916666666666664</v>
      </c>
      <c r="EC11" s="557">
        <f>SUM(EC59:EC94)</f>
        <v>172.3426115801681</v>
      </c>
      <c r="ED11" s="271"/>
      <c r="EE11" s="272">
        <f>SUM(EE59:EE94)</f>
        <v>67.345799999999997</v>
      </c>
      <c r="EF11" s="272">
        <f>SUM(EF59:EF94)+EF26</f>
        <v>134.73883190666669</v>
      </c>
      <c r="EG11" s="272">
        <f>SUM(EG59:EG94)+EG26</f>
        <v>126.39004404327201</v>
      </c>
      <c r="EH11" s="272">
        <f>SUM(EH59:EH94)+EH26</f>
        <v>111.47682569607252</v>
      </c>
      <c r="EI11" s="557">
        <f>SUM(EI59:EI94)</f>
        <v>392.35150164601117</v>
      </c>
      <c r="EJ11" s="271"/>
      <c r="EK11" s="272">
        <f>SUM(EK59:EK94)+EK26</f>
        <v>116.46204021783682</v>
      </c>
      <c r="EL11" s="272">
        <f>SUM(EL59:EL94)+EL26</f>
        <v>56.640000000000008</v>
      </c>
      <c r="EM11" s="272">
        <f>SUM(EM59:EM94)+EM26</f>
        <v>26</v>
      </c>
      <c r="EN11" s="272">
        <f>SUM(EN59:EN94)+EN26</f>
        <v>19.5</v>
      </c>
      <c r="EO11" s="557">
        <f>SUM(EO59:EO94)</f>
        <v>183.90870688450349</v>
      </c>
      <c r="EP11" s="271"/>
      <c r="EQ11" s="272">
        <f>SUM(EQ59:EQ94)</f>
        <v>79.235000000000014</v>
      </c>
      <c r="ER11" s="272">
        <f t="shared" ref="ER11:ET11" si="1">SUM(ER59:ER94)</f>
        <v>142.5826906157761</v>
      </c>
      <c r="ES11" s="272">
        <f>SUM(ES59:ES94)</f>
        <v>349.99777690562701</v>
      </c>
      <c r="ET11" s="272">
        <f t="shared" si="1"/>
        <v>363.80952890535599</v>
      </c>
      <c r="EU11" s="557">
        <f>SUM(EU59:EU94)</f>
        <v>935.62499642675903</v>
      </c>
      <c r="EV11" s="271"/>
      <c r="EW11" s="272">
        <f>SUM(EW59:EW94)</f>
        <v>316.781610234646</v>
      </c>
      <c r="EX11" s="272">
        <f t="shared" ref="EX11:EZ11" si="2">SUM(EX59:EX94)</f>
        <v>246.30590486099936</v>
      </c>
      <c r="EY11" s="272">
        <f t="shared" si="2"/>
        <v>0</v>
      </c>
      <c r="EZ11" s="272">
        <f t="shared" si="2"/>
        <v>0</v>
      </c>
      <c r="FA11" s="557">
        <f>SUM(FA59:FA94)</f>
        <v>563.08751509564536</v>
      </c>
      <c r="FB11" s="271"/>
      <c r="FC11" s="272">
        <f>SUM(FC59:FC94)</f>
        <v>0</v>
      </c>
      <c r="FD11" s="272">
        <f t="shared" ref="FD11:FF11" si="3">SUM(FD59:FD94)</f>
        <v>0</v>
      </c>
      <c r="FE11" s="272">
        <f t="shared" si="3"/>
        <v>0</v>
      </c>
      <c r="FF11" s="272">
        <f t="shared" si="3"/>
        <v>0</v>
      </c>
      <c r="FG11" s="557">
        <f>SUM(FG59:FG94)</f>
        <v>0</v>
      </c>
      <c r="FH11" s="271"/>
      <c r="FI11" s="272">
        <f>SUM(FI59:FI94)</f>
        <v>0</v>
      </c>
      <c r="FJ11" s="272">
        <f t="shared" ref="FJ11:FL11" si="4">SUM(FJ59:FJ94)</f>
        <v>0</v>
      </c>
      <c r="FK11" s="272">
        <f t="shared" si="4"/>
        <v>0</v>
      </c>
      <c r="FL11" s="272">
        <f t="shared" si="4"/>
        <v>0</v>
      </c>
      <c r="FM11" s="557">
        <f>SUM(FM59:FM94)</f>
        <v>0</v>
      </c>
      <c r="FN11" s="27"/>
      <c r="FO11" s="27"/>
      <c r="FQ11"/>
      <c r="FR11"/>
      <c r="FS11"/>
      <c r="FT11"/>
      <c r="FU11"/>
      <c r="FV11"/>
      <c r="GB11" s="24"/>
      <c r="GC11" s="24"/>
      <c r="GD11" s="24"/>
      <c r="GE11" s="24"/>
      <c r="GF11" s="24"/>
      <c r="GG11" s="24"/>
      <c r="GH11" s="24"/>
      <c r="GI11" s="24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</row>
    <row r="12" spans="1:274" s="32" customFormat="1" ht="12" hidden="1" customHeight="1" outlineLevel="1" x14ac:dyDescent="0.2">
      <c r="A12" s="1485" t="s">
        <v>667</v>
      </c>
      <c r="B12" s="1485"/>
      <c r="C12" s="1486">
        <f>C9-SUM(C10:C11)</f>
        <v>12.715</v>
      </c>
      <c r="D12" s="1486">
        <f t="shared" ref="D12:M12" si="5">D9-SUM(D10:D11)</f>
        <v>23.150999999999996</v>
      </c>
      <c r="E12" s="1486">
        <f t="shared" si="5"/>
        <v>55.344999999999999</v>
      </c>
      <c r="F12" s="1486">
        <f t="shared" si="5"/>
        <v>131.249</v>
      </c>
      <c r="G12" s="1486">
        <f t="shared" si="5"/>
        <v>205.435</v>
      </c>
      <c r="H12" s="1486">
        <f t="shared" si="5"/>
        <v>417.93</v>
      </c>
      <c r="I12" s="1486">
        <f t="shared" si="5"/>
        <v>664.56399999999996</v>
      </c>
      <c r="J12" s="1486">
        <f t="shared" si="5"/>
        <v>645.48500000000001</v>
      </c>
      <c r="K12" s="1486">
        <f t="shared" si="5"/>
        <v>657</v>
      </c>
      <c r="L12" s="1486">
        <f t="shared" si="5"/>
        <v>806</v>
      </c>
      <c r="M12" s="1486">
        <f t="shared" si="5"/>
        <v>1099</v>
      </c>
      <c r="N12" s="1485"/>
      <c r="O12" s="1486">
        <f>O9-SUM(O10:O11)</f>
        <v>280</v>
      </c>
      <c r="P12" s="1486">
        <f>P9-SUM(P10:P11)</f>
        <v>343</v>
      </c>
      <c r="Q12" s="1486">
        <f>Q9-SUM(Q10:Q11)</f>
        <v>375</v>
      </c>
      <c r="R12" s="1486">
        <f>R9-SUM(R10:R11)</f>
        <v>608</v>
      </c>
      <c r="S12" s="1486">
        <f>S9-SUM(S10:S11)</f>
        <v>1606</v>
      </c>
      <c r="T12" s="1486"/>
      <c r="U12" s="1486">
        <f>U9-SUM(U10:U11)</f>
        <v>350</v>
      </c>
      <c r="V12" s="1486">
        <f>V9-SUM(V10:V11)</f>
        <v>485.09</v>
      </c>
      <c r="W12" s="1486">
        <f>W9-SUM(W10:W11)</f>
        <v>515</v>
      </c>
      <c r="X12" s="1486">
        <f>X9-SUM(X10:X11)</f>
        <v>883</v>
      </c>
      <c r="Y12" s="1486">
        <f>Y9-SUM(Y10:Y11)</f>
        <v>2233.09</v>
      </c>
      <c r="Z12" s="1485"/>
      <c r="AA12" s="1486">
        <f>AA9-SUM(AA10:AA11)</f>
        <v>444.31700000000001</v>
      </c>
      <c r="AB12" s="1486">
        <f>AB9-SUM(AB10:AB11)</f>
        <v>606.447</v>
      </c>
      <c r="AC12" s="1486">
        <f>AC9-SUM(AC10:AC11)</f>
        <v>664.25699999999995</v>
      </c>
      <c r="AD12" s="1486">
        <f>AD9-SUM(AD10:AD11)</f>
        <v>1107.4290000000001</v>
      </c>
      <c r="AE12" s="1486">
        <f>AE9-SUM(AE10:AE11)</f>
        <v>2822.4500000000003</v>
      </c>
      <c r="AF12" s="1485"/>
      <c r="AG12" s="1486">
        <f>AG9-SUM(AG10:AG11)</f>
        <v>505.37599999999998</v>
      </c>
      <c r="AH12" s="1486">
        <f>AH9-SUM(AH10:AH11)</f>
        <v>621.16800000000001</v>
      </c>
      <c r="AI12" s="1486">
        <f>AI9-SUM(AI10:AI11)</f>
        <v>753.19299999999998</v>
      </c>
      <c r="AJ12" s="1486">
        <f>AJ9-SUM(AJ10:AJ11)</f>
        <v>1209.3229999999999</v>
      </c>
      <c r="AK12" s="1486">
        <f>AK9-SUM(AK10:AK11)</f>
        <v>3089.0599999999995</v>
      </c>
      <c r="AL12" s="1497"/>
      <c r="AM12" s="1486">
        <f>AM9-SUM(AM10:AM11)</f>
        <v>557.61300000000006</v>
      </c>
      <c r="AN12" s="1486">
        <f>AN9-SUM(AN10:AN11)</f>
        <v>745.24700000000007</v>
      </c>
      <c r="AO12" s="1486">
        <f>AO9-SUM(AO10:AO11)</f>
        <v>804.60699999999997</v>
      </c>
      <c r="AP12" s="1486">
        <f>AP9-SUM(AP10:AP11)</f>
        <v>1483.4009999999998</v>
      </c>
      <c r="AQ12" s="1486">
        <f>AQ9-SUM(AQ10:AQ11)</f>
        <v>3590.8679999999999</v>
      </c>
      <c r="AR12" s="1485"/>
      <c r="AS12" s="1486">
        <f>AS9-SUM(AS10:AS11)</f>
        <v>602.64599999999996</v>
      </c>
      <c r="AT12" s="1486">
        <f>AT9-SUM(AT10:AT11)</f>
        <v>877.17099999999994</v>
      </c>
      <c r="AU12" s="1486">
        <f>AU9-SUM(AU10:AU11)</f>
        <v>1043.2059999999999</v>
      </c>
      <c r="AV12" s="1486">
        <f>AV9-SUM(AV10:AV11)</f>
        <v>1792.0060000000001</v>
      </c>
      <c r="AW12" s="1486">
        <f>AW9-SUM(AW10:AW11)</f>
        <v>4315.0290000000005</v>
      </c>
      <c r="AX12" s="1485"/>
      <c r="AY12" s="1486">
        <f>AY9-SUM(AY10:AY11)</f>
        <v>771.24500000000012</v>
      </c>
      <c r="AZ12" s="1486">
        <f>AZ9-SUM(AZ10:AZ11)</f>
        <v>1093.193</v>
      </c>
      <c r="BA12" s="1486">
        <f>BA9-SUM(BA10:BA11)</f>
        <v>1100.9650000000001</v>
      </c>
      <c r="BB12" s="1486">
        <f>BB9-SUM(BB10:BB11)</f>
        <v>1618.48</v>
      </c>
      <c r="BC12" s="1486">
        <f>BC9-SUM(BC10:BC11)</f>
        <v>4583.8829999999998</v>
      </c>
      <c r="BD12" s="1485"/>
      <c r="BE12" s="1486">
        <f>BE9-SUM(BE10:BE11)</f>
        <v>711.10800000000006</v>
      </c>
      <c r="BF12" s="1486">
        <f>BF9-SUM(BF10:BF11)</f>
        <v>803.39100000000008</v>
      </c>
      <c r="BG12" s="1486">
        <f>BG9-SUM(BG10:BG11)</f>
        <v>776.95299999999997</v>
      </c>
      <c r="BH12" s="1486">
        <f>BH9-SUM(BH10:BH11)</f>
        <v>1149.9780000000001</v>
      </c>
      <c r="BI12" s="1486">
        <f>BI9-SUM(BI10:BI11)</f>
        <v>3441.4300000000003</v>
      </c>
      <c r="BJ12" s="1485"/>
      <c r="BK12" s="1486">
        <f>BK9-SUM(BK10:BK11)</f>
        <v>563</v>
      </c>
      <c r="BL12" s="1486">
        <f>BL9-SUM(BL10:BL11)</f>
        <v>765</v>
      </c>
      <c r="BM12" s="1486">
        <f>BM9-SUM(BM10:BM11)</f>
        <v>755</v>
      </c>
      <c r="BN12" s="1486">
        <f>BN9-SUM(BN10:BN11)</f>
        <v>1187</v>
      </c>
      <c r="BO12" s="1486">
        <f>BO9-SUM(BO10:BO11)</f>
        <v>3270</v>
      </c>
      <c r="BP12" s="1485"/>
      <c r="BQ12" s="1486">
        <f>BQ9-SUM(BQ10:BQ11)</f>
        <v>525</v>
      </c>
      <c r="BR12" s="1486">
        <f>BR9-SUM(BR10:BR11)</f>
        <v>855</v>
      </c>
      <c r="BS12" s="1486">
        <f>BS9-SUM(BS10:BS11)</f>
        <v>847</v>
      </c>
      <c r="BT12" s="1486">
        <f>BT9-SUM(BT10:BT11)</f>
        <v>1314</v>
      </c>
      <c r="BU12" s="1486">
        <f>BU9-SUM(BU10:BU11)</f>
        <v>3541</v>
      </c>
      <c r="BV12" s="1485"/>
      <c r="BW12" s="1486">
        <f>BW9-SUM(BW10:BW11)</f>
        <v>563</v>
      </c>
      <c r="BX12" s="1486">
        <f>BX9-SUM(BX10:BX11)</f>
        <v>971</v>
      </c>
      <c r="BY12" s="1486">
        <f>BY9-SUM(BY10:BY11)</f>
        <v>916</v>
      </c>
      <c r="BZ12" s="1486">
        <f>BZ9-SUM(BZ10:BZ11)</f>
        <v>1502</v>
      </c>
      <c r="CA12" s="1486">
        <f>CA9-SUM(CA10:CA11)</f>
        <v>3952</v>
      </c>
      <c r="CB12" s="1485"/>
      <c r="CC12" s="1487">
        <f>CC9-SUM(CC10:CC11)</f>
        <v>554.5</v>
      </c>
      <c r="CD12" s="1487">
        <f>CD9-SUM(CD10:CD11)</f>
        <v>972.5</v>
      </c>
      <c r="CE12" s="1487">
        <f>CE9-SUM(CE10:CE11)</f>
        <v>970.90000000000009</v>
      </c>
      <c r="CF12" s="1487">
        <f>CF9-SUM(CF10:CF11)</f>
        <v>1993.5</v>
      </c>
      <c r="CG12" s="1488">
        <f>CG9-SUM(CG10:CG11)</f>
        <v>4491.3999999999996</v>
      </c>
      <c r="CH12" s="1489"/>
      <c r="CI12" s="1487">
        <f>CI9-SUM(CI10:CI11)</f>
        <v>739</v>
      </c>
      <c r="CJ12" s="1487">
        <f>CJ9-SUM(CJ10:CJ11)</f>
        <v>1107</v>
      </c>
      <c r="CK12" s="1487">
        <f>CK9-SUM(CK10:CK11)</f>
        <v>1287</v>
      </c>
      <c r="CL12" s="1487">
        <f>CL9-SUM(CL10:CL11)</f>
        <v>2367</v>
      </c>
      <c r="CM12" s="1488">
        <f>CM9-SUM(CM10:CM11)</f>
        <v>5500</v>
      </c>
      <c r="CN12" s="1489"/>
      <c r="CO12" s="1487">
        <f>CO9-SUM(CO10:CO11)</f>
        <v>957.3</v>
      </c>
      <c r="CP12" s="1487">
        <f>CP9-SUM(CP10:CP11)</f>
        <v>1558</v>
      </c>
      <c r="CQ12" s="1487">
        <f>CQ9-SUM(CQ10:CQ11)</f>
        <v>1522</v>
      </c>
      <c r="CR12" s="1487">
        <f>CR9-SUM(CR10:CR11)</f>
        <v>2974</v>
      </c>
      <c r="CS12" s="1488">
        <f>CS9-SUM(CS10:CS11)</f>
        <v>7011.3</v>
      </c>
      <c r="CT12" s="1490"/>
      <c r="CU12" s="1487">
        <f>CU9-SUM(CU10:CU11)</f>
        <v>1144.75</v>
      </c>
      <c r="CV12" s="1487">
        <f>CV9-SUM(CV10:CV11)</f>
        <v>1492.5</v>
      </c>
      <c r="CW12" s="1487">
        <f>CW9-SUM(CW10:CW11)</f>
        <v>1351.35</v>
      </c>
      <c r="CX12" s="1487">
        <f>CX9-SUM(CX10:CX11)</f>
        <v>2592.125</v>
      </c>
      <c r="CY12" s="1488">
        <f>CY9-SUM(CY10:CY11)</f>
        <v>6580.7250000000004</v>
      </c>
      <c r="CZ12" s="1491"/>
      <c r="DA12" s="1487">
        <f>DA9-SUM(DA10:DA11)</f>
        <v>1014.7</v>
      </c>
      <c r="DB12" s="1487">
        <f>DB9-SUM(DB10:DB11)</f>
        <v>1639</v>
      </c>
      <c r="DC12" s="1487">
        <f>DC9-SUM(DC10:DC11)</f>
        <v>1672.4</v>
      </c>
      <c r="DD12" s="1487">
        <f>DD9-SUM(DD10:DD11)</f>
        <v>2993</v>
      </c>
      <c r="DE12" s="1488">
        <f>DE9-SUM(DE10:DE11)</f>
        <v>7319.0999999999995</v>
      </c>
      <c r="DF12" s="1490"/>
      <c r="DG12" s="1487">
        <f>DG9-SUM(DG10:DG11)</f>
        <v>1111</v>
      </c>
      <c r="DH12" s="1487">
        <f>DH9-SUM(DH10:DH11)</f>
        <v>1813</v>
      </c>
      <c r="DI12" s="1487">
        <f>DI9-SUM(DI10:DI11)</f>
        <v>2044</v>
      </c>
      <c r="DJ12" s="1487">
        <f>DJ9-SUM(DJ10:DJ11)</f>
        <v>3638</v>
      </c>
      <c r="DK12" s="1488">
        <f>DK9-SUM(DK10:DK11)</f>
        <v>8606</v>
      </c>
      <c r="DL12" s="1490"/>
      <c r="DM12" s="1487">
        <f>DM9-SUM(DM10:DM11)</f>
        <v>1443</v>
      </c>
      <c r="DN12" s="1487">
        <f>DN9-SUM(DN10:DN11)</f>
        <v>2009.5</v>
      </c>
      <c r="DO12" s="1487">
        <f>DO9-SUM(DO10:DO11)</f>
        <v>2305</v>
      </c>
      <c r="DP12" s="1487">
        <f>DP9-SUM(DP10:DP11)</f>
        <v>3852.7952944799999</v>
      </c>
      <c r="DQ12" s="1488">
        <f>DQ9-SUM(DQ10:DQ11)</f>
        <v>9610.2952944799999</v>
      </c>
      <c r="DR12" s="1490"/>
      <c r="DS12" s="1487">
        <f>DS9-SUM(DS10:DS11)</f>
        <v>1563</v>
      </c>
      <c r="DT12" s="1487">
        <f>DT9-SUM(DT10:DT11)</f>
        <v>2359</v>
      </c>
      <c r="DU12" s="1487">
        <f>DU9-SUM(DU10:DU11)</f>
        <v>2326.25</v>
      </c>
      <c r="DV12" s="1487">
        <f>DV9-SUM(DV10:DV11)</f>
        <v>4060.2355600249998</v>
      </c>
      <c r="DW12" s="1488">
        <f>DW9-SUM(DW10:DW11)</f>
        <v>10308.485560024999</v>
      </c>
      <c r="DX12" s="1490"/>
      <c r="DY12" s="1487">
        <f>DY9-SUM(DY10:DY11)</f>
        <v>1684.5763380262499</v>
      </c>
      <c r="DZ12" s="1487">
        <f>DZ9-SUM(DZ10:DZ11)</f>
        <v>2416.4546549275624</v>
      </c>
      <c r="EA12" s="1487">
        <f>EA9-SUM(EA10:EA11)</f>
        <v>2456.8530621326859</v>
      </c>
      <c r="EB12" s="1487">
        <f>EB9-SUM(EB10:EB11)</f>
        <v>4146.5943333333335</v>
      </c>
      <c r="EC12" s="1488">
        <f>EC9-SUM(EC10:EC11)</f>
        <v>10704.478388419831</v>
      </c>
      <c r="ED12" s="1490"/>
      <c r="EE12" s="1487">
        <f>EE9-SUM(EE10:EE11)</f>
        <v>1779.6541999999999</v>
      </c>
      <c r="EF12" s="1487">
        <f>EF9-SUM(EF10:EF11)</f>
        <v>2429.2611680933333</v>
      </c>
      <c r="EG12" s="1487">
        <f>EG9-SUM(EG10:EG11)</f>
        <v>2385.6099559567278</v>
      </c>
      <c r="EH12" s="1487">
        <f>EH9-SUM(EH10:EH11)</f>
        <v>3605.5231743039276</v>
      </c>
      <c r="EI12" s="1488">
        <f>EI9-SUM(EI10:EI11)</f>
        <v>10247.648498353989</v>
      </c>
      <c r="EJ12" s="1490"/>
      <c r="EK12" s="1487">
        <f>EK9-SUM(EK10:EK11)</f>
        <v>1646.5379597821632</v>
      </c>
      <c r="EL12" s="1487">
        <f>EL9-SUM(EL10:EL11)</f>
        <v>2272.36</v>
      </c>
      <c r="EM12" s="1487">
        <f>EM9-SUM(EM10:EM11)</f>
        <v>2391</v>
      </c>
      <c r="EN12" s="1487">
        <f>EN9-SUM(EN10:EN11)</f>
        <v>3606.5</v>
      </c>
      <c r="EO12" s="1488">
        <f>EO9-SUM(EO10:EO11)</f>
        <v>9951.0912931154962</v>
      </c>
      <c r="EP12" s="1490"/>
      <c r="EQ12" s="1487">
        <f>EQ9-SUM(EQ10:EQ11)</f>
        <v>1936.7649999999999</v>
      </c>
      <c r="ER12" s="1487">
        <f>ER9-SUM(ER10:ER11)</f>
        <v>2291.4173093842237</v>
      </c>
      <c r="ES12" s="1487">
        <f>ES9-SUM(ES10:ES11)</f>
        <v>2312.6688897610397</v>
      </c>
      <c r="ET12" s="1487">
        <f>ET9-SUM(ET10:ET11)</f>
        <v>3642.6904710946442</v>
      </c>
      <c r="EU12" s="1488">
        <f>EU9-SUM(EU10:EU11)</f>
        <v>10183.541670239907</v>
      </c>
      <c r="EV12" s="1490"/>
      <c r="EW12" s="1487">
        <f>EW9-SUM(EW10:EW11)</f>
        <v>2110.218389765354</v>
      </c>
      <c r="EX12" s="1487">
        <f>EX9-SUM(EX10:EX11)</f>
        <v>2602.1940951390006</v>
      </c>
      <c r="EY12" s="1487">
        <f>EY9-SUM(EY10:EY11)</f>
        <v>2959</v>
      </c>
      <c r="EZ12" s="1487">
        <f>EZ9-SUM(EZ10:EZ11)</f>
        <v>4147.915</v>
      </c>
      <c r="FA12" s="1488">
        <f>FA9-SUM(FA10:FA11)</f>
        <v>11819.327484904356</v>
      </c>
      <c r="FB12" s="1490"/>
      <c r="FC12" s="1487">
        <f>FC9-SUM(FC10:FC11)</f>
        <v>2762.4468000000002</v>
      </c>
      <c r="FD12" s="1487">
        <f>FD9-SUM(FD10:FD11)</f>
        <v>3183.7200000000003</v>
      </c>
      <c r="FE12" s="1487">
        <f>FE9-SUM(FE10:FE11)</f>
        <v>3275.6750000000002</v>
      </c>
      <c r="FF12" s="1487">
        <f>FF9-SUM(FF10:FF11)</f>
        <v>4379.8607000000002</v>
      </c>
      <c r="FG12" s="1488">
        <f>FG9-SUM(FG10:FG11)</f>
        <v>13601.702500000003</v>
      </c>
      <c r="FH12" s="1490"/>
      <c r="FI12" s="1487">
        <f>FI9-SUM(FI10:FI11)</f>
        <v>3113.7178200000003</v>
      </c>
      <c r="FJ12" s="1487">
        <f>FJ9-SUM(FJ10:FJ11)</f>
        <v>3521.9654</v>
      </c>
      <c r="FK12" s="1487">
        <f>FK9-SUM(FK10:FK11)</f>
        <v>3613.6665499999999</v>
      </c>
      <c r="FL12" s="1487">
        <f>FL9-SUM(FL10:FL11)</f>
        <v>4656.8482059999997</v>
      </c>
      <c r="FM12" s="1488">
        <f>FM9-SUM(FM10:FM11)</f>
        <v>14906.197975999999</v>
      </c>
      <c r="FQ12"/>
      <c r="FR12"/>
      <c r="FS12"/>
      <c r="FT12"/>
      <c r="FU12"/>
      <c r="FV12"/>
      <c r="FY12" s="32" t="s">
        <v>902</v>
      </c>
      <c r="FZ12" s="32">
        <f>115-GA12</f>
        <v>64</v>
      </c>
      <c r="GA12" s="32">
        <v>51</v>
      </c>
      <c r="GB12" s="24"/>
      <c r="GC12" s="24"/>
      <c r="GD12" s="24"/>
      <c r="GE12" s="24"/>
      <c r="GF12" s="24"/>
      <c r="GG12" s="24"/>
      <c r="GH12" s="24"/>
      <c r="GI12" s="24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</row>
    <row r="13" spans="1:274" s="32" customFormat="1" ht="12" hidden="1" customHeight="1" outlineLevel="1" x14ac:dyDescent="0.2">
      <c r="A13" s="107" t="s">
        <v>1052</v>
      </c>
      <c r="B13" s="107"/>
      <c r="C13" s="876"/>
      <c r="D13" s="876"/>
      <c r="E13" s="876"/>
      <c r="F13" s="876"/>
      <c r="G13" s="876"/>
      <c r="H13" s="876"/>
      <c r="I13" s="876"/>
      <c r="J13" s="876"/>
      <c r="K13" s="876"/>
      <c r="L13" s="876"/>
      <c r="M13" s="876"/>
      <c r="N13" s="107"/>
      <c r="O13" s="876"/>
      <c r="P13" s="876"/>
      <c r="Q13" s="876"/>
      <c r="R13" s="876"/>
      <c r="S13" s="876"/>
      <c r="T13" s="876"/>
      <c r="U13" s="848">
        <f>U12/R12-1</f>
        <v>-0.42434210526315785</v>
      </c>
      <c r="V13" s="848">
        <f>V12/U12-1</f>
        <v>0.38597142857142841</v>
      </c>
      <c r="W13" s="848">
        <f>W12/V12-1</f>
        <v>6.165866127935038E-2</v>
      </c>
      <c r="X13" s="848">
        <f>X12/W12-1</f>
        <v>0.71456310679611645</v>
      </c>
      <c r="Y13" s="876"/>
      <c r="Z13" s="107"/>
      <c r="AA13" s="848">
        <f>AA12/X12-1</f>
        <v>-0.49680973952434881</v>
      </c>
      <c r="AB13" s="848">
        <f>AB12/AA12-1</f>
        <v>0.36489713425324721</v>
      </c>
      <c r="AC13" s="848">
        <f>AC12/AB12-1</f>
        <v>9.5325725083972523E-2</v>
      </c>
      <c r="AD13" s="848">
        <f>AD12/AC12-1</f>
        <v>0.66716948410028065</v>
      </c>
      <c r="AE13" s="876"/>
      <c r="AF13" s="107"/>
      <c r="AG13" s="848">
        <f>AG12/AD12-1</f>
        <v>-0.54364929941332596</v>
      </c>
      <c r="AH13" s="848">
        <f>AH12/AG12-1</f>
        <v>0.22912049642246579</v>
      </c>
      <c r="AI13" s="848">
        <f>AI12/AH12-1</f>
        <v>0.21254314452772838</v>
      </c>
      <c r="AJ13" s="848">
        <f>AJ12/AI12-1</f>
        <v>0.60559511307194813</v>
      </c>
      <c r="AK13" s="876"/>
      <c r="AL13" s="632"/>
      <c r="AM13" s="848">
        <f>AM12/AJ12-1</f>
        <v>-0.53890482526173722</v>
      </c>
      <c r="AN13" s="848">
        <f>AN12/AM12-1</f>
        <v>0.33649502432690781</v>
      </c>
      <c r="AO13" s="848">
        <f>AO12/AN12-1</f>
        <v>7.9651444420440365E-2</v>
      </c>
      <c r="AP13" s="848">
        <f>AP12/AO12-1</f>
        <v>0.84363422142735511</v>
      </c>
      <c r="AQ13" s="876"/>
      <c r="AR13" s="107"/>
      <c r="AS13" s="848">
        <f>AS12/AP12-1</f>
        <v>-0.59374033049728292</v>
      </c>
      <c r="AT13" s="848">
        <f>AT12/AS12-1</f>
        <v>0.45553276716347568</v>
      </c>
      <c r="AU13" s="848">
        <f>AU12/AT12-1</f>
        <v>0.18928464347316543</v>
      </c>
      <c r="AV13" s="848">
        <f>AV12/AU12-1</f>
        <v>0.717787282665169</v>
      </c>
      <c r="AW13" s="876"/>
      <c r="AX13" s="107"/>
      <c r="AY13" s="848">
        <f>AY12/AV12-1</f>
        <v>-0.56961918654290211</v>
      </c>
      <c r="AZ13" s="848">
        <f>AZ12/AY12-1</f>
        <v>0.4174393351010377</v>
      </c>
      <c r="BA13" s="848">
        <f>BA12/AZ12-1</f>
        <v>7.1094491091694412E-3</v>
      </c>
      <c r="BB13" s="848">
        <f>BB12/BA12-1</f>
        <v>0.47005581467167423</v>
      </c>
      <c r="BC13" s="876"/>
      <c r="BD13" s="107"/>
      <c r="BE13" s="848">
        <f>BE12/BB12-1</f>
        <v>-0.56063219811180853</v>
      </c>
      <c r="BF13" s="848">
        <f>BF12/BE12-1</f>
        <v>0.1297735365092223</v>
      </c>
      <c r="BG13" s="848">
        <f>BG12/BF12-1</f>
        <v>-3.2908011167663176E-2</v>
      </c>
      <c r="BH13" s="848">
        <f>BH12/BG12-1</f>
        <v>0.48011269664960432</v>
      </c>
      <c r="BI13" s="876"/>
      <c r="BJ13" s="107"/>
      <c r="BK13" s="848">
        <f>BK12/BH12-1</f>
        <v>-0.51042541683406117</v>
      </c>
      <c r="BL13" s="848">
        <f>BL12/BK12-1</f>
        <v>0.3587921847246891</v>
      </c>
      <c r="BM13" s="848">
        <f>BM12/BL12-1</f>
        <v>-1.3071895424836555E-2</v>
      </c>
      <c r="BN13" s="848">
        <f>BN12/BM12-1</f>
        <v>0.57218543046357606</v>
      </c>
      <c r="BO13" s="876"/>
      <c r="BP13" s="107"/>
      <c r="BQ13" s="848">
        <f>BQ12/BN12-1</f>
        <v>-0.55770850884582979</v>
      </c>
      <c r="BR13" s="848">
        <f>BR12/BQ12-1</f>
        <v>0.62857142857142856</v>
      </c>
      <c r="BS13" s="848">
        <f>BS12/BR12-1</f>
        <v>-9.3567251461987855E-3</v>
      </c>
      <c r="BT13" s="848">
        <f>BT12/BS12-1</f>
        <v>0.55135773317591497</v>
      </c>
      <c r="BU13" s="876"/>
      <c r="BV13" s="107"/>
      <c r="BW13" s="848">
        <f>BW12/BT12-1</f>
        <v>-0.57153729071537285</v>
      </c>
      <c r="BX13" s="848">
        <f>BX12/BW12-1</f>
        <v>0.72468916518650084</v>
      </c>
      <c r="BY13" s="848">
        <f>BY12/BX12-1</f>
        <v>-5.6642636457260531E-2</v>
      </c>
      <c r="BZ13" s="848">
        <f>BZ12/BY12-1</f>
        <v>0.63973799126637565</v>
      </c>
      <c r="CA13" s="876"/>
      <c r="CB13" s="107"/>
      <c r="CC13" s="848">
        <f>CC12/BZ12-1</f>
        <v>-0.63082556591211714</v>
      </c>
      <c r="CD13" s="848">
        <f>CD12/CC12-1</f>
        <v>0.75383228133453573</v>
      </c>
      <c r="CE13" s="848">
        <f>CE12/CD12-1</f>
        <v>-1.6452442159382574E-3</v>
      </c>
      <c r="CF13" s="848">
        <f>CF12/CE12-1</f>
        <v>1.0532495622618185</v>
      </c>
      <c r="CG13" s="877"/>
      <c r="CH13" s="61"/>
      <c r="CI13" s="848">
        <f>(CI9-CI52-CI63-CI64-CI65)/(CF9)-1</f>
        <v>-0.62847713342762845</v>
      </c>
      <c r="CJ13" s="848">
        <f>(CJ9)/(CI9)-1</f>
        <v>0.50124378109452739</v>
      </c>
      <c r="CK13" s="848">
        <f>(CK9-CK67-CK66-CK44)/(CJ9)-1</f>
        <v>0.13421706710853365</v>
      </c>
      <c r="CL13" s="848">
        <f>(CL9-CL45-CL69-CL44-CL66-CL67)/(CK9-CK44-CK66-CK67)-1</f>
        <v>0.76113951789627454</v>
      </c>
      <c r="CM13" s="877"/>
      <c r="CN13" s="61"/>
      <c r="CO13" s="848">
        <f>(CO9-CO45-CO69)/(CL9-CL45-CL69)-1</f>
        <v>-0.58695652173913038</v>
      </c>
      <c r="CP13" s="848">
        <f>(CP9)/(CO9)-1</f>
        <v>0.53449862005519777</v>
      </c>
      <c r="CQ13" s="848">
        <f>(CQ9-CQ94)/(CP9)-1</f>
        <v>-3.7170263788968816E-2</v>
      </c>
      <c r="CR13" s="848">
        <f>(CR9-CR46-CR94)/(CQ9-CQ94)-1</f>
        <v>0.89975093399750938</v>
      </c>
      <c r="CS13" s="877"/>
      <c r="CT13" s="160"/>
      <c r="CU13" s="848">
        <f>(CU9-CU46-CU70)/(CR9-CR46)-1</f>
        <v>-0.6247951491314323</v>
      </c>
      <c r="CV13" s="848">
        <f>(CV9)/(CU9)-1</f>
        <v>0.31659919028340089</v>
      </c>
      <c r="CW13" s="848">
        <f>(CW9-CW52-CW71)/(CV9)-1</f>
        <v>-7.8044280442804537E-2</v>
      </c>
      <c r="CX13" s="848">
        <f>(CX9-CX52-CX71)/(CW9-CW52-CW71)-1</f>
        <v>0.80575011673670871</v>
      </c>
      <c r="CY13" s="877"/>
      <c r="CZ13" s="157"/>
      <c r="DA13" s="848">
        <f>(DA9)/(CX9)-1</f>
        <v>-0.62536443148688048</v>
      </c>
      <c r="DB13" s="848">
        <f>(DB9)/(DA9)-1</f>
        <v>0.60797665369649811</v>
      </c>
      <c r="DC13" s="848">
        <f>(DC9-DC47)/(DB9)-1</f>
        <v>1.1736237144585715E-2</v>
      </c>
      <c r="DD13" s="848">
        <f>(DD9-DD47)/(DC9-DC47)-1</f>
        <v>0.78964362592681159</v>
      </c>
      <c r="DE13" s="877"/>
      <c r="DF13" s="160"/>
      <c r="DG13" s="848">
        <f>(DG9-DG52-DG94-DG73)/(DD9)-1</f>
        <v>-0.59776714513556617</v>
      </c>
      <c r="DH13" s="848">
        <f>(DH9-DH73-DH94-DH52)/(DG9-DG94-DG73-DG52)-1</f>
        <v>0.54559873116574154</v>
      </c>
      <c r="DI13" s="848">
        <f>(DI9-DI72-DI94)/(DH9-DH94)-1</f>
        <v>0.10252525252525246</v>
      </c>
      <c r="DJ13" s="848">
        <f>(DJ9-DJ72-DJ52-DJ94)/(DI9-DI72-DI52-DI94)-1</f>
        <v>0.67704993128721935</v>
      </c>
      <c r="DK13" s="877"/>
      <c r="DL13" s="160"/>
      <c r="DM13" s="848">
        <f>(DM9-DM52-DM75)/(DJ9-DJ52)-1</f>
        <v>-0.59711745689655171</v>
      </c>
      <c r="DN13" s="848">
        <f>(DN9-DN75-DN52-DN74-DN94)/(DM9-DM75-DM94-DM52)-1</f>
        <v>0.36427613941018766</v>
      </c>
      <c r="DO13" s="848">
        <f>(DO9-DO76-DO48-DO94)/(DN9-DN94)-1</f>
        <v>0.13641914997557403</v>
      </c>
      <c r="DP13" s="848">
        <f>(DP9-DP77-DP76-DP48-DP94)/(DO9-DO77-DO76-DO48-DO94)-1</f>
        <v>0.66224408145298219</v>
      </c>
      <c r="DQ13" s="877"/>
      <c r="DR13" s="160"/>
      <c r="DS13" s="848">
        <f>(DS9-DS81-DS80-DS79-DS78-DS77)/(DP9-DP77)-1</f>
        <v>-0.58430908320310304</v>
      </c>
      <c r="DT13" s="848">
        <f>(DT9-DT82)/(DS9-0)-1</f>
        <v>0.46845794392523366</v>
      </c>
      <c r="DU13" s="848">
        <f>(DU9-DU83)/(DT9-0)-1</f>
        <v>-2.8230616302186928E-2</v>
      </c>
      <c r="DV13" s="848">
        <f>(DV9-DV83)/(DU9-DU83)-1</f>
        <v>0.68658574469108014</v>
      </c>
      <c r="DW13" s="877"/>
      <c r="DX13" s="160"/>
      <c r="DY13" s="848">
        <f>DY9/DV9-1</f>
        <v>-0.57439112611526411</v>
      </c>
      <c r="DZ13" s="848">
        <f>DZ9/DY9-1</f>
        <v>0.40509915014164299</v>
      </c>
      <c r="EA13" s="848">
        <f>EA9/DZ9-1</f>
        <v>2.4596774193548443E-2</v>
      </c>
      <c r="EB13" s="848">
        <f>EB9/EA9-1</f>
        <v>0.66233766233766245</v>
      </c>
      <c r="EC13" s="877"/>
      <c r="ED13" s="160"/>
      <c r="EE13" s="848">
        <f>EE9/EB9-1</f>
        <v>-0.56273674242424243</v>
      </c>
      <c r="EF13" s="848">
        <f>EF9/EE9-1</f>
        <v>0.38819707634001088</v>
      </c>
      <c r="EG13" s="848">
        <f>EG9/EF9-1</f>
        <v>-2.0280811232449292E-2</v>
      </c>
      <c r="EH13" s="848">
        <f>EH9/EG9-1</f>
        <v>0.47969745222929938</v>
      </c>
      <c r="EI13" s="877"/>
      <c r="EJ13" s="160"/>
      <c r="EK13" s="848">
        <f>EK9/EH9-1</f>
        <v>-0.52569276298089851</v>
      </c>
      <c r="EL13" s="848">
        <f>EL9/EK9-1</f>
        <v>0.32104367555303459</v>
      </c>
      <c r="EM13" s="848">
        <f>EM9/EL9-1</f>
        <v>3.7784456848432901E-2</v>
      </c>
      <c r="EN13" s="848">
        <f>EN9/EM9-1</f>
        <v>0.50020686801820435</v>
      </c>
      <c r="EO13" s="877"/>
      <c r="EP13" s="160"/>
      <c r="EQ13" s="848">
        <f>EQ9/EN9-1</f>
        <v>-0.44401544401544402</v>
      </c>
      <c r="ER13" s="848">
        <f>ER9/EQ9-1</f>
        <v>0.20734126984126977</v>
      </c>
      <c r="ES13" s="848">
        <f>ES9/ER9-1</f>
        <v>9.7781429745275261E-2</v>
      </c>
      <c r="ET13" s="848">
        <f>ET9/ES9-1</f>
        <v>0.51047904191616778</v>
      </c>
      <c r="EU13" s="877"/>
      <c r="EV13" s="160"/>
      <c r="EW13" s="848">
        <f>EW9/ET9-1</f>
        <v>-0.3909811694747275</v>
      </c>
      <c r="EX13" s="848">
        <f>EX9/EW9-1</f>
        <v>0.17209113100081375</v>
      </c>
      <c r="EY13" s="848">
        <f>EY9/EX9-1</f>
        <v>2.7073932662269984E-2</v>
      </c>
      <c r="EZ13" s="848">
        <f>EZ9/EY9-1</f>
        <v>0.40179621493747897</v>
      </c>
      <c r="FA13" s="877"/>
      <c r="FB13" s="160"/>
      <c r="FC13" s="848">
        <f>FC9/EZ9-1</f>
        <v>-0.33401557167878315</v>
      </c>
      <c r="FD13" s="848">
        <f>FD9/FC9-1</f>
        <v>0.15250002280586905</v>
      </c>
      <c r="FE13" s="848">
        <f>FE9/FD9-1</f>
        <v>2.8882879147663632E-2</v>
      </c>
      <c r="FF13" s="848">
        <f>FF9/FE9-1</f>
        <v>0.33708646309539247</v>
      </c>
      <c r="FG13" s="877"/>
      <c r="FH13" s="160"/>
      <c r="FI13" s="848">
        <f>FI9/FF9-1</f>
        <v>-0.28908291078755077</v>
      </c>
      <c r="FJ13" s="848">
        <f>FJ9/FI9-1</f>
        <v>0.13111258103664625</v>
      </c>
      <c r="FK13" s="848">
        <f>FK9/FJ9-1</f>
        <v>2.6036925291770263E-2</v>
      </c>
      <c r="FL13" s="848">
        <f>FL9/FK9-1</f>
        <v>0.28867678895276039</v>
      </c>
      <c r="FM13" s="877"/>
      <c r="FQ13"/>
      <c r="FR13"/>
      <c r="FS13"/>
      <c r="FT13"/>
      <c r="FU13"/>
      <c r="FV13"/>
      <c r="GB13" s="24"/>
      <c r="GC13" s="24"/>
      <c r="GD13" s="24"/>
      <c r="GE13" s="24"/>
      <c r="GF13" s="24"/>
      <c r="GG13" s="24"/>
      <c r="GH13" s="24"/>
      <c r="GI13" s="24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</row>
    <row r="14" spans="1:274" s="32" customFormat="1" ht="12" hidden="1" customHeight="1" outlineLevel="1" x14ac:dyDescent="0.2">
      <c r="A14" s="107" t="s">
        <v>183</v>
      </c>
      <c r="B14" s="107"/>
      <c r="C14" s="876"/>
      <c r="D14" s="876"/>
      <c r="E14" s="876"/>
      <c r="F14" s="876"/>
      <c r="G14" s="876"/>
      <c r="H14" s="876"/>
      <c r="I14" s="876"/>
      <c r="J14" s="876"/>
      <c r="K14" s="876"/>
      <c r="L14" s="876"/>
      <c r="M14" s="876"/>
      <c r="N14" s="107"/>
      <c r="O14" s="876"/>
      <c r="P14" s="876"/>
      <c r="Q14" s="876"/>
      <c r="R14" s="876"/>
      <c r="S14" s="876"/>
      <c r="T14" s="876"/>
      <c r="U14" s="848"/>
      <c r="V14" s="848"/>
      <c r="W14" s="848"/>
      <c r="X14" s="848"/>
      <c r="Y14" s="876"/>
      <c r="Z14" s="107"/>
      <c r="AA14" s="848"/>
      <c r="AB14" s="848"/>
      <c r="AC14" s="848"/>
      <c r="AD14" s="848"/>
      <c r="AE14" s="876"/>
      <c r="AF14" s="107"/>
      <c r="AG14" s="848"/>
      <c r="AH14" s="848"/>
      <c r="AI14" s="848"/>
      <c r="AJ14" s="848"/>
      <c r="AK14" s="876"/>
      <c r="AL14" s="632"/>
      <c r="AM14" s="848"/>
      <c r="AN14" s="848"/>
      <c r="AO14" s="848"/>
      <c r="AP14" s="848"/>
      <c r="AQ14" s="876"/>
      <c r="AR14" s="107"/>
      <c r="AS14" s="848"/>
      <c r="AT14" s="848"/>
      <c r="AU14" s="848"/>
      <c r="AV14" s="848"/>
      <c r="AW14" s="876"/>
      <c r="AX14" s="107"/>
      <c r="AY14" s="848"/>
      <c r="AZ14" s="848"/>
      <c r="BA14" s="848"/>
      <c r="BB14" s="848"/>
      <c r="BC14" s="876"/>
      <c r="BD14" s="107"/>
      <c r="BE14" s="848"/>
      <c r="BF14" s="848"/>
      <c r="BG14" s="848"/>
      <c r="BH14" s="848"/>
      <c r="BI14" s="876"/>
      <c r="BJ14" s="107"/>
      <c r="BK14" s="848"/>
      <c r="BL14" s="848"/>
      <c r="BM14" s="848"/>
      <c r="BN14" s="848"/>
      <c r="BO14" s="876"/>
      <c r="BP14" s="107"/>
      <c r="BQ14" s="848"/>
      <c r="BR14" s="848"/>
      <c r="BS14" s="848"/>
      <c r="BT14" s="848"/>
      <c r="BU14" s="876"/>
      <c r="BV14" s="107"/>
      <c r="BW14" s="848"/>
      <c r="BX14" s="848"/>
      <c r="BY14" s="848"/>
      <c r="BZ14" s="848"/>
      <c r="CA14" s="876"/>
      <c r="CB14" s="107"/>
      <c r="CC14" s="848"/>
      <c r="CD14" s="848"/>
      <c r="CE14" s="848"/>
      <c r="CF14" s="848"/>
      <c r="CG14" s="877"/>
      <c r="CH14" s="61"/>
      <c r="CI14" s="848"/>
      <c r="CJ14" s="848"/>
      <c r="CK14" s="848"/>
      <c r="CL14" s="848"/>
      <c r="CM14" s="877"/>
      <c r="CN14" s="61"/>
      <c r="CO14" s="848"/>
      <c r="CP14" s="848"/>
      <c r="CQ14" s="848"/>
      <c r="CR14" s="848"/>
      <c r="CS14" s="877"/>
      <c r="CT14" s="160"/>
      <c r="CU14" s="848">
        <v>-7.9825582395742986E-3</v>
      </c>
      <c r="CV14" s="848">
        <v>-5.9673264829792329E-2</v>
      </c>
      <c r="CW14" s="848">
        <v>-2.0157097441013336E-2</v>
      </c>
      <c r="CX14" s="848">
        <v>2.3912498206632156E-3</v>
      </c>
      <c r="CY14" s="877"/>
      <c r="CZ14" s="157"/>
      <c r="DA14" s="848">
        <v>3.841214126880825E-2</v>
      </c>
      <c r="DB14" s="848">
        <v>2.428687635002641E-2</v>
      </c>
      <c r="DC14" s="848">
        <v>-9.4251709441774221E-3</v>
      </c>
      <c r="DD14" s="848">
        <v>-2.0045527541810014E-2</v>
      </c>
      <c r="DE14" s="877"/>
      <c r="DF14" s="160"/>
      <c r="DG14" s="848">
        <v>-8.8375951991601174E-3</v>
      </c>
      <c r="DH14" s="848">
        <v>3.1765757844185546E-2</v>
      </c>
      <c r="DI14" s="848">
        <v>2.0443776317497619E-3</v>
      </c>
      <c r="DJ14" s="848">
        <v>2.4517274783153999E-2</v>
      </c>
      <c r="DK14" s="877"/>
      <c r="DL14" s="160"/>
      <c r="DM14" s="848">
        <v>5.5804220044107372E-3</v>
      </c>
      <c r="DN14" s="848">
        <v>-2.152968880962287E-2</v>
      </c>
      <c r="DO14" s="848">
        <v>-1.1568677609381661E-2</v>
      </c>
      <c r="DP14" s="848">
        <v>-2.4581540692742328E-3</v>
      </c>
      <c r="DQ14" s="877"/>
      <c r="DR14" s="160"/>
      <c r="DS14" s="848">
        <v>-1.4407023994123719E-2</v>
      </c>
      <c r="DT14" s="848">
        <v>1.5040645209461884E-2</v>
      </c>
      <c r="DU14" s="848">
        <v>-4.8139385520852649E-4</v>
      </c>
      <c r="DV14" s="848">
        <v>-1.6028954573718453E-2</v>
      </c>
      <c r="DW14" s="877"/>
      <c r="DX14" s="160"/>
      <c r="DY14" s="848">
        <v>0</v>
      </c>
      <c r="DZ14" s="848">
        <v>0</v>
      </c>
      <c r="EA14" s="848">
        <v>0</v>
      </c>
      <c r="EB14" s="848">
        <v>0</v>
      </c>
      <c r="EC14" s="877"/>
      <c r="ED14" s="160"/>
      <c r="EE14" s="848">
        <v>0</v>
      </c>
      <c r="EF14" s="848">
        <v>0</v>
      </c>
      <c r="EG14" s="848">
        <v>0</v>
      </c>
      <c r="EH14" s="848">
        <v>0</v>
      </c>
      <c r="EI14" s="877"/>
      <c r="EJ14" s="160"/>
      <c r="EK14" s="848">
        <v>0</v>
      </c>
      <c r="EL14" s="848">
        <v>0</v>
      </c>
      <c r="EM14" s="848">
        <v>0</v>
      </c>
      <c r="EN14" s="848">
        <v>0</v>
      </c>
      <c r="EO14" s="877"/>
      <c r="EP14" s="160"/>
      <c r="EQ14" s="848">
        <v>0</v>
      </c>
      <c r="ER14" s="848">
        <v>0</v>
      </c>
      <c r="ES14" s="848">
        <v>0</v>
      </c>
      <c r="ET14" s="848">
        <v>0</v>
      </c>
      <c r="EU14" s="877"/>
      <c r="EV14" s="160"/>
      <c r="EW14" s="848">
        <v>0</v>
      </c>
      <c r="EX14" s="848">
        <v>0</v>
      </c>
      <c r="EY14" s="848">
        <v>0</v>
      </c>
      <c r="EZ14" s="848">
        <v>0</v>
      </c>
      <c r="FA14" s="877"/>
      <c r="FB14" s="160"/>
      <c r="FC14" s="848">
        <v>0</v>
      </c>
      <c r="FD14" s="848">
        <v>0</v>
      </c>
      <c r="FE14" s="848">
        <v>0</v>
      </c>
      <c r="FF14" s="848">
        <v>0</v>
      </c>
      <c r="FG14" s="877"/>
      <c r="FH14" s="160"/>
      <c r="FI14" s="848">
        <v>0</v>
      </c>
      <c r="FJ14" s="848">
        <v>0</v>
      </c>
      <c r="FK14" s="848">
        <v>0</v>
      </c>
      <c r="FL14" s="848">
        <v>0</v>
      </c>
      <c r="FM14" s="877"/>
      <c r="FQ14"/>
      <c r="FR14"/>
      <c r="FS14"/>
      <c r="FT14"/>
      <c r="FU14"/>
      <c r="FV14"/>
      <c r="GB14" s="24"/>
      <c r="GC14" s="24"/>
      <c r="GD14" s="24"/>
      <c r="GE14" s="24"/>
      <c r="GF14" s="24"/>
      <c r="GG14" s="24"/>
      <c r="GH14" s="24"/>
      <c r="GI14" s="2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</row>
    <row r="15" spans="1:274" s="32" customFormat="1" ht="12" hidden="1" customHeight="1" outlineLevel="1" x14ac:dyDescent="0.2">
      <c r="A15" s="107" t="s">
        <v>182</v>
      </c>
      <c r="B15" s="107"/>
      <c r="C15" s="876"/>
      <c r="D15" s="876"/>
      <c r="E15" s="876"/>
      <c r="F15" s="876"/>
      <c r="G15" s="876"/>
      <c r="H15" s="876"/>
      <c r="I15" s="876"/>
      <c r="J15" s="876"/>
      <c r="K15" s="876"/>
      <c r="L15" s="876"/>
      <c r="M15" s="876"/>
      <c r="N15" s="107"/>
      <c r="O15" s="876"/>
      <c r="P15" s="876"/>
      <c r="Q15" s="876"/>
      <c r="R15" s="876"/>
      <c r="S15" s="876"/>
      <c r="T15" s="876"/>
      <c r="U15" s="848"/>
      <c r="V15" s="848"/>
      <c r="W15" s="848"/>
      <c r="X15" s="848"/>
      <c r="Y15" s="876"/>
      <c r="Z15" s="107"/>
      <c r="AA15" s="848"/>
      <c r="AB15" s="848"/>
      <c r="AC15" s="848"/>
      <c r="AD15" s="848"/>
      <c r="AE15" s="876"/>
      <c r="AF15" s="107"/>
      <c r="AG15" s="848"/>
      <c r="AH15" s="848"/>
      <c r="AI15" s="848"/>
      <c r="AJ15" s="848"/>
      <c r="AK15" s="876"/>
      <c r="AL15" s="632"/>
      <c r="AM15" s="848"/>
      <c r="AN15" s="848"/>
      <c r="AO15" s="848"/>
      <c r="AP15" s="848"/>
      <c r="AQ15" s="876"/>
      <c r="AR15" s="107"/>
      <c r="AS15" s="848"/>
      <c r="AT15" s="848"/>
      <c r="AU15" s="848"/>
      <c r="AV15" s="848"/>
      <c r="AW15" s="876"/>
      <c r="AX15" s="107"/>
      <c r="AY15" s="848"/>
      <c r="AZ15" s="848"/>
      <c r="BA15" s="848"/>
      <c r="BB15" s="848"/>
      <c r="BC15" s="876"/>
      <c r="BD15" s="107"/>
      <c r="BE15" s="848"/>
      <c r="BF15" s="848"/>
      <c r="BG15" s="848"/>
      <c r="BH15" s="848"/>
      <c r="BI15" s="876"/>
      <c r="BJ15" s="107"/>
      <c r="BK15" s="848"/>
      <c r="BL15" s="848"/>
      <c r="BM15" s="848"/>
      <c r="BN15" s="848"/>
      <c r="BO15" s="876"/>
      <c r="BP15" s="107"/>
      <c r="BQ15" s="848"/>
      <c r="BR15" s="848"/>
      <c r="BS15" s="848"/>
      <c r="BT15" s="848"/>
      <c r="BU15" s="876"/>
      <c r="BV15" s="107"/>
      <c r="BW15" s="848"/>
      <c r="BX15" s="848"/>
      <c r="BY15" s="848"/>
      <c r="BZ15" s="848"/>
      <c r="CA15" s="876"/>
      <c r="CB15" s="107"/>
      <c r="CC15" s="848"/>
      <c r="CD15" s="848"/>
      <c r="CE15" s="848"/>
      <c r="CF15" s="848"/>
      <c r="CG15" s="877"/>
      <c r="CH15" s="61"/>
      <c r="CI15" s="848"/>
      <c r="CJ15" s="848"/>
      <c r="CK15" s="848"/>
      <c r="CL15" s="848"/>
      <c r="CM15" s="877"/>
      <c r="CN15" s="61"/>
      <c r="CO15" s="848"/>
      <c r="CP15" s="848"/>
      <c r="CQ15" s="848"/>
      <c r="CR15" s="848"/>
      <c r="CS15" s="877"/>
      <c r="CT15" s="160"/>
      <c r="CU15" s="848">
        <f>CU13-CU14</f>
        <v>-0.61681259089185803</v>
      </c>
      <c r="CV15" s="848">
        <f>CV13-CV14</f>
        <v>0.37627245511319324</v>
      </c>
      <c r="CW15" s="848">
        <f>CW13-CW14</f>
        <v>-5.7887183001791201E-2</v>
      </c>
      <c r="CX15" s="848">
        <f>CX13-CX14</f>
        <v>0.80335886691604552</v>
      </c>
      <c r="CY15" s="877"/>
      <c r="CZ15" s="157"/>
      <c r="DA15" s="848">
        <f>DA13-DA14</f>
        <v>-0.66377657275568869</v>
      </c>
      <c r="DB15" s="848">
        <f>DB13-DB14</f>
        <v>0.58368977734647176</v>
      </c>
      <c r="DC15" s="848">
        <f>DC13-DC14</f>
        <v>2.1161408088763135E-2</v>
      </c>
      <c r="DD15" s="848">
        <f>DD13-DD14</f>
        <v>0.80968915346862158</v>
      </c>
      <c r="DE15" s="877"/>
      <c r="DF15" s="160"/>
      <c r="DG15" s="848">
        <f>DG13-DG14</f>
        <v>-0.588929549936406</v>
      </c>
      <c r="DH15" s="848">
        <f>DH13-DH14</f>
        <v>0.51383297332155597</v>
      </c>
      <c r="DI15" s="848">
        <f>DI13-DI14</f>
        <v>0.1004808748935027</v>
      </c>
      <c r="DJ15" s="848">
        <f>DJ13-DJ14</f>
        <v>0.65253265650406533</v>
      </c>
      <c r="DK15" s="877"/>
      <c r="DL15" s="160"/>
      <c r="DM15" s="848">
        <f>DM13-DM14</f>
        <v>-0.60269787890096249</v>
      </c>
      <c r="DN15" s="848">
        <f>DN13-DN14</f>
        <v>0.38580582821981052</v>
      </c>
      <c r="DO15" s="848">
        <f>DO13-DO14</f>
        <v>0.14798782758495568</v>
      </c>
      <c r="DP15" s="848">
        <f>DP13-DP14</f>
        <v>0.66470223552225638</v>
      </c>
      <c r="DQ15" s="877"/>
      <c r="DR15" s="160"/>
      <c r="DS15" s="848">
        <f>DS13-DS14</f>
        <v>-0.56990205920897929</v>
      </c>
      <c r="DT15" s="848">
        <f>DT13-DT14</f>
        <v>0.45341729871577174</v>
      </c>
      <c r="DU15" s="848">
        <f>DU13-DU14</f>
        <v>-2.7749222446978403E-2</v>
      </c>
      <c r="DV15" s="848">
        <f>DV13-DV14</f>
        <v>0.70261469926479858</v>
      </c>
      <c r="DW15" s="877"/>
      <c r="DX15" s="160"/>
      <c r="DY15" s="848">
        <f>DY13-DY14</f>
        <v>-0.57439112611526411</v>
      </c>
      <c r="DZ15" s="848">
        <f>DZ13-DZ14</f>
        <v>0.40509915014164299</v>
      </c>
      <c r="EA15" s="848">
        <f>EA13-EA14</f>
        <v>2.4596774193548443E-2</v>
      </c>
      <c r="EB15" s="848">
        <f>EB13-EB14</f>
        <v>0.66233766233766245</v>
      </c>
      <c r="EC15" s="877"/>
      <c r="ED15" s="160"/>
      <c r="EE15" s="848">
        <f>EE13-EE14</f>
        <v>-0.56273674242424243</v>
      </c>
      <c r="EF15" s="848">
        <f>EF13-EF14</f>
        <v>0.38819707634001088</v>
      </c>
      <c r="EG15" s="848">
        <f>EG13-EG14</f>
        <v>-2.0280811232449292E-2</v>
      </c>
      <c r="EH15" s="848">
        <f>EH13-EH14</f>
        <v>0.47969745222929938</v>
      </c>
      <c r="EI15" s="877"/>
      <c r="EJ15" s="160"/>
      <c r="EK15" s="848">
        <f>EK13-EK14</f>
        <v>-0.52569276298089851</v>
      </c>
      <c r="EL15" s="848">
        <f>EL13-EL14</f>
        <v>0.32104367555303459</v>
      </c>
      <c r="EM15" s="848">
        <f>EM13-EM14</f>
        <v>3.7784456848432901E-2</v>
      </c>
      <c r="EN15" s="848">
        <f>EN13-EN14</f>
        <v>0.50020686801820435</v>
      </c>
      <c r="EO15" s="877"/>
      <c r="EP15" s="160"/>
      <c r="EQ15" s="848">
        <f>EQ13-EQ14</f>
        <v>-0.44401544401544402</v>
      </c>
      <c r="ER15" s="848">
        <f>ER13-ER14</f>
        <v>0.20734126984126977</v>
      </c>
      <c r="ES15" s="848">
        <f>ES13-ES14</f>
        <v>9.7781429745275261E-2</v>
      </c>
      <c r="ET15" s="848">
        <f>ET13-ET14</f>
        <v>0.51047904191616778</v>
      </c>
      <c r="EU15" s="877"/>
      <c r="EV15" s="160"/>
      <c r="EW15" s="848">
        <f>EW13-EW14</f>
        <v>-0.3909811694747275</v>
      </c>
      <c r="EX15" s="848">
        <f>EX13-EX14</f>
        <v>0.17209113100081375</v>
      </c>
      <c r="EY15" s="848">
        <f>EY13-EY14</f>
        <v>2.7073932662269984E-2</v>
      </c>
      <c r="EZ15" s="848">
        <f>EZ13-EZ14</f>
        <v>0.40179621493747897</v>
      </c>
      <c r="FA15" s="877"/>
      <c r="FB15" s="160"/>
      <c r="FC15" s="848">
        <f>FC13-FC14</f>
        <v>-0.33401557167878315</v>
      </c>
      <c r="FD15" s="848">
        <f>FD13-FD14</f>
        <v>0.15250002280586905</v>
      </c>
      <c r="FE15" s="848">
        <f>FE13-FE14</f>
        <v>2.8882879147663632E-2</v>
      </c>
      <c r="FF15" s="848">
        <f>FF13-FF14</f>
        <v>0.33708646309539247</v>
      </c>
      <c r="FG15" s="877"/>
      <c r="FH15" s="160"/>
      <c r="FI15" s="848">
        <f>FI13-FI14</f>
        <v>-0.28908291078755077</v>
      </c>
      <c r="FJ15" s="848">
        <f>FJ13-FJ14</f>
        <v>0.13111258103664625</v>
      </c>
      <c r="FK15" s="848">
        <f>FK13-FK14</f>
        <v>2.6036925291770263E-2</v>
      </c>
      <c r="FL15" s="848">
        <f>FL13-FL14</f>
        <v>0.28867678895276039</v>
      </c>
      <c r="FM15" s="877"/>
      <c r="FQ15"/>
      <c r="FR15"/>
      <c r="FS15"/>
      <c r="FT15"/>
      <c r="FU15"/>
      <c r="FV15"/>
      <c r="GB15" s="24"/>
      <c r="GC15" s="24"/>
      <c r="GD15" s="24"/>
      <c r="GE15" s="24"/>
      <c r="GF15" s="24"/>
      <c r="GG15" s="24"/>
      <c r="GH15" s="24"/>
      <c r="GI15" s="24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</row>
    <row r="16" spans="1:274" s="315" customFormat="1" ht="12" hidden="1" customHeight="1" outlineLevel="1" x14ac:dyDescent="0.2">
      <c r="A16" s="110" t="s">
        <v>184</v>
      </c>
      <c r="B16" s="110"/>
      <c r="C16" s="848" t="s">
        <v>945</v>
      </c>
      <c r="D16" s="848" t="s">
        <v>945</v>
      </c>
      <c r="E16" s="848" t="s">
        <v>945</v>
      </c>
      <c r="F16" s="848" t="s">
        <v>945</v>
      </c>
      <c r="G16" s="848" t="s">
        <v>945</v>
      </c>
      <c r="H16" s="848" t="s">
        <v>945</v>
      </c>
      <c r="I16" s="848" t="s">
        <v>945</v>
      </c>
      <c r="J16" s="848" t="s">
        <v>945</v>
      </c>
      <c r="K16" s="848" t="s">
        <v>945</v>
      </c>
      <c r="L16" s="848" t="s">
        <v>945</v>
      </c>
      <c r="M16" s="848" t="s">
        <v>945</v>
      </c>
      <c r="N16" s="110"/>
      <c r="O16" s="848" t="s">
        <v>945</v>
      </c>
      <c r="P16" s="848" t="s">
        <v>945</v>
      </c>
      <c r="Q16" s="848" t="s">
        <v>945</v>
      </c>
      <c r="R16" s="848" t="s">
        <v>945</v>
      </c>
      <c r="S16" s="848" t="s">
        <v>945</v>
      </c>
      <c r="T16" s="110"/>
      <c r="U16" s="848" t="s">
        <v>945</v>
      </c>
      <c r="V16" s="848" t="s">
        <v>945</v>
      </c>
      <c r="W16" s="848" t="s">
        <v>945</v>
      </c>
      <c r="X16" s="848" t="s">
        <v>945</v>
      </c>
      <c r="Y16" s="848" t="s">
        <v>945</v>
      </c>
      <c r="Z16" s="110"/>
      <c r="AA16" s="848">
        <f>'Geographic Detail'!AA52-'Geographic Detail'!AA61</f>
        <v>-3.999999999999998E-2</v>
      </c>
      <c r="AB16" s="848">
        <f>'Geographic Detail'!AB52-'Geographic Detail'!AB61</f>
        <v>-3.0000000000000027E-2</v>
      </c>
      <c r="AC16" s="848">
        <f>'Geographic Detail'!AC52-'Geographic Detail'!AC61</f>
        <v>-5.0000000000000044E-2</v>
      </c>
      <c r="AD16" s="848">
        <f>'Geographic Detail'!AD52-'Geographic Detail'!AD61</f>
        <v>-3.999999999999998E-2</v>
      </c>
      <c r="AE16" s="848">
        <f>'Geographic Detail'!AE52-'Geographic Detail'!AE61</f>
        <v>-3.999999999999998E-2</v>
      </c>
      <c r="AF16" s="110"/>
      <c r="AG16" s="848">
        <f>'Geographic Detail'!AG52-'Geographic Detail'!AG61</f>
        <v>-6.2575593551450981E-2</v>
      </c>
      <c r="AH16" s="848">
        <f>'Geographic Detail'!AH52-'Geographic Detail'!AH61</f>
        <v>-5.5725825999633979E-2</v>
      </c>
      <c r="AI16" s="848">
        <f>'Geographic Detail'!AI52-'Geographic Detail'!AI61</f>
        <v>-4.6112062048273394E-2</v>
      </c>
      <c r="AJ16" s="848">
        <f>'Geographic Detail'!AJ52-'Geographic Detail'!AJ61</f>
        <v>-2.7990489683762942E-2</v>
      </c>
      <c r="AK16" s="848">
        <f>'Geographic Detail'!AK52-'Geographic Detail'!AK61</f>
        <v>-4.553915924108487E-2</v>
      </c>
      <c r="AL16" s="848"/>
      <c r="AM16" s="848">
        <f>'Geographic Detail'!AM52-'Geographic Detail'!AM61</f>
        <v>-5.6639538404003348E-2</v>
      </c>
      <c r="AN16" s="848">
        <f>'Geographic Detail'!AN52-'Geographic Detail'!AN61</f>
        <v>-1.0248885969657257E-2</v>
      </c>
      <c r="AO16" s="848">
        <f>'Geographic Detail'!AO52-'Geographic Detail'!AO61</f>
        <v>-1.738611484705721E-3</v>
      </c>
      <c r="AP16" s="848">
        <f>'Geographic Detail'!AP52-'Geographic Detail'!AP61</f>
        <v>-1.3362451553472487E-2</v>
      </c>
      <c r="AQ16" s="848">
        <f>'Geographic Detail'!AQ52-'Geographic Detail'!AQ61</f>
        <v>-1.7553547825698346E-2</v>
      </c>
      <c r="AR16" s="110"/>
      <c r="AS16" s="848">
        <f>'Geographic Detail'!AS52-'Geographic Detail'!AS61</f>
        <v>1.0760312259577687E-2</v>
      </c>
      <c r="AT16" s="848">
        <f>'Geographic Detail'!AT52-'Geographic Detail'!AT61</f>
        <v>-1.2979495388777018E-2</v>
      </c>
      <c r="AU16" s="848">
        <f>'Geographic Detail'!AU52-'Geographic Detail'!AU61</f>
        <v>-2.3458955738640153E-2</v>
      </c>
      <c r="AV16" s="848">
        <f>'Geographic Detail'!AV52-'Geographic Detail'!AV61</f>
        <v>-2.1961175703670205E-2</v>
      </c>
      <c r="AW16" s="848">
        <f>'Geographic Detail'!AW52-'Geographic Detail'!AW61</f>
        <v>-1.8332603704730915E-2</v>
      </c>
      <c r="AX16" s="110"/>
      <c r="AY16" s="848">
        <f>'Geographic Detail'!AY52-'Geographic Detail'!AY61</f>
        <v>-3.0235428427302258E-2</v>
      </c>
      <c r="AZ16" s="848">
        <f>'Geographic Detail'!AZ52-'Geographic Detail'!AZ61</f>
        <v>-7.3728748442435987E-2</v>
      </c>
      <c r="BA16" s="848">
        <f>'Geographic Detail'!BA52-'Geographic Detail'!BA61</f>
        <v>-3.4633178873587772E-2</v>
      </c>
      <c r="BB16" s="848">
        <f>'Geographic Detail'!BB52-'Geographic Detail'!BB61</f>
        <v>-3.6833381138232812E-2</v>
      </c>
      <c r="BC16" s="848">
        <f>'Geographic Detail'!BC52-'Geographic Detail'!BC61</f>
        <v>-3.7693582128880326E-2</v>
      </c>
      <c r="BD16" s="110"/>
      <c r="BE16" s="848">
        <f>'Geographic Detail'!BE52-'Geographic Detail'!BE61</f>
        <v>-2.7973925276663023E-2</v>
      </c>
      <c r="BF16" s="848">
        <f>'Geographic Detail'!BF52-'Geographic Detail'!BF61</f>
        <v>-5.0968310261773064E-3</v>
      </c>
      <c r="BG16" s="848">
        <f>'Geographic Detail'!BG52-'Geographic Detail'!BG61</f>
        <v>-2.4298183865972045E-2</v>
      </c>
      <c r="BH16" s="848">
        <f>'Geographic Detail'!BH52-'Geographic Detail'!BH61</f>
        <v>5.2963274183187581E-4</v>
      </c>
      <c r="BI16" s="848">
        <f>'Geographic Detail'!BI52-'Geographic Detail'!BI61</f>
        <v>-9.232582943325518E-3</v>
      </c>
      <c r="BJ16" s="110"/>
      <c r="BK16" s="848">
        <f>'Geographic Detail'!BK52-'Geographic Detail'!BK61</f>
        <v>3.1722213784685205E-2</v>
      </c>
      <c r="BL16" s="848">
        <f>'Geographic Detail'!BL52-'Geographic Detail'!BL61</f>
        <v>3.2213803739399569E-2</v>
      </c>
      <c r="BM16" s="848">
        <f>'Geographic Detail'!BM52-'Geographic Detail'!BM61</f>
        <v>7.1744751613031982E-2</v>
      </c>
      <c r="BN16" s="848">
        <f>'Geographic Detail'!BN52-'Geographic Detail'!BN61</f>
        <v>7.219365935696162E-2</v>
      </c>
      <c r="BO16" s="848">
        <f>'Geographic Detail'!BO52-'Geographic Detail'!BO61</f>
        <v>6.0186405069985308E-2</v>
      </c>
      <c r="BP16" s="110"/>
      <c r="BQ16" s="848">
        <f>'Geographic Detail'!BQ52-'Geographic Detail'!BQ61</f>
        <v>3.2504440497335724E-2</v>
      </c>
      <c r="BR16" s="848">
        <f>'Geographic Detail'!BR52-'Geographic Detail'!BR61</f>
        <v>7.764705882352943E-2</v>
      </c>
      <c r="BS16" s="848">
        <f>'Geographic Detail'!BS52-'Geographic Detail'!BS61</f>
        <v>8.1854304635761627E-2</v>
      </c>
      <c r="BT16" s="848">
        <f>'Geographic Detail'!BT52-'Geographic Detail'!BT61</f>
        <v>3.6992417860151561E-2</v>
      </c>
      <c r="BU16" s="848">
        <f>'Geographic Detail'!BU52-'Geographic Detail'!BU61</f>
        <v>5.2874617737002999E-2</v>
      </c>
      <c r="BV16" s="110"/>
      <c r="BW16" s="848">
        <f>'Geographic Detail'!BW52-'Geographic Detail'!BW61</f>
        <v>4.2380952380952436E-2</v>
      </c>
      <c r="BX16" s="848">
        <f>'Geographic Detail'!BX52-'Geographic Detail'!BX61</f>
        <v>4.5672514619882948E-2</v>
      </c>
      <c r="BY16" s="848">
        <f>'Geographic Detail'!BY52-'Geographic Detail'!BY61</f>
        <v>3.8063754427390808E-2</v>
      </c>
      <c r="BZ16" s="848">
        <f>'Geographic Detail'!BZ52-'Geographic Detail'!BZ61</f>
        <v>2.7842053948651302E-2</v>
      </c>
      <c r="CA16" s="848">
        <f>'Geographic Detail'!CA52-'Geographic Detail'!CA61</f>
        <v>4.5040948884495932E-2</v>
      </c>
      <c r="CB16" s="110"/>
      <c r="CC16" s="848">
        <f>'Geographic Detail'!CC52-'Geographic Detail'!CC61</f>
        <v>1.7229129662522297E-2</v>
      </c>
      <c r="CD16" s="848">
        <f>'Geographic Detail'!CD52-'Geographic Detail'!CD61</f>
        <v>-3.0401647785787911E-2</v>
      </c>
      <c r="CE16" s="848">
        <f>'Geographic Detail'!CE52-'Geographic Detail'!CE61</f>
        <v>-5.9467106761307287E-2</v>
      </c>
      <c r="CF16" s="848">
        <f>'Geographic Detail'!CF52-'Geographic Detail'!CF61</f>
        <v>-3.1255954550579279E-2</v>
      </c>
      <c r="CG16" s="816">
        <f>'Geographic Detail'!CG52-'Geographic Detail'!CG61</f>
        <v>-3.4086918055948212E-2</v>
      </c>
      <c r="CH16" s="110"/>
      <c r="CI16" s="848">
        <f>'Geographic Detail'!CI52-'Geographic Detail'!CI61</f>
        <v>1.8219395866454713E-2</v>
      </c>
      <c r="CJ16" s="848">
        <f>'Geographic Detail'!CJ52-'Geographic Detail'!CJ61</f>
        <v>4.0831758034026361E-2</v>
      </c>
      <c r="CK16" s="848">
        <f>'Geographic Detail'!CK52-'Geographic Detail'!CK61</f>
        <v>3.7785479751915235E-2</v>
      </c>
      <c r="CL16" s="848">
        <f>'Geographic Detail'!CL52-'Geographic Detail'!CL61</f>
        <v>3.9731258840169814E-2</v>
      </c>
      <c r="CM16" s="816">
        <f>'Geographic Detail'!CM52-'Geographic Detail'!CM61</f>
        <v>2.9331212788516497E-2</v>
      </c>
      <c r="CN16" s="110"/>
      <c r="CO16" s="848">
        <f>'Geographic Detail'!CO52-'Geographic Detail'!CO61</f>
        <v>3.199004975124381E-2</v>
      </c>
      <c r="CP16" s="848">
        <f>'Geographic Detail'!CP52-'Geographic Detail'!CP61</f>
        <v>7.1938690969345409E-2</v>
      </c>
      <c r="CQ16" s="848">
        <f>'Geographic Detail'!CQ52-'Geographic Detail'!CQ61</f>
        <v>7.2589928057554015E-2</v>
      </c>
      <c r="CR16" s="848">
        <f>'Geographic Detail'!CR52-'Geographic Detail'!CR61</f>
        <v>0.06</v>
      </c>
      <c r="CS16" s="816">
        <f>'Geographic Detail'!CS52-'Geographic Detail'!CS61</f>
        <v>0.06</v>
      </c>
      <c r="CT16" s="157"/>
      <c r="CU16" s="848">
        <f>'Geographic Detail'!CU52-'Geographic Detail'!CU61</f>
        <v>4.0000000000000008E-2</v>
      </c>
      <c r="CV16" s="848">
        <v>-0.08</v>
      </c>
      <c r="CW16" s="848">
        <f>'Geographic Detail'!CW52-'Geographic Detail'!CW61</f>
        <v>-9.1881188118811935E-2</v>
      </c>
      <c r="CX16" s="848">
        <f>'Geographic Detail'!CX52-'Geographic Detail'!CX61</f>
        <v>-0.09</v>
      </c>
      <c r="CY16" s="816">
        <f>'Geographic Detail'!CY52-'Geographic Detail'!CY61</f>
        <v>-0.06</v>
      </c>
      <c r="CZ16" s="157"/>
      <c r="DA16" s="848">
        <f>'Geographic Detail'!DA52-'Geographic Detail'!DA61</f>
        <v>-3.3223478381656069E-2</v>
      </c>
      <c r="DB16" s="848">
        <f>'Geographic Detail'!DB52-'Geographic Detail'!DB61</f>
        <v>5.3393784081251838E-2</v>
      </c>
      <c r="DC16" s="848">
        <f>'Geographic Detail'!DC52-'Geographic Detail'!DC61</f>
        <v>4.9999999999999989E-2</v>
      </c>
      <c r="DD16" s="848">
        <f>'Geographic Detail'!DD52-'Geographic Detail'!DD61</f>
        <v>1.1118425881908811E-2</v>
      </c>
      <c r="DE16" s="816">
        <f>'Geographic Detail'!DE52-'Geographic Detail'!DE61</f>
        <v>2.5681101033667053E-2</v>
      </c>
      <c r="DF16" s="157"/>
      <c r="DG16" s="848">
        <f>'Geographic Detail'!DG52-'Geographic Detail'!DG61</f>
        <v>-1.0000000000000009E-2</v>
      </c>
      <c r="DH16" s="848">
        <f>'Geographic Detail'!DH52-'Geographic Detail'!DH61</f>
        <v>-2.0495150252048067E-2</v>
      </c>
      <c r="DI16" s="848">
        <f>'Geographic Detail'!DI52-'Geographic Detail'!DI61</f>
        <v>2.0000000000000018E-2</v>
      </c>
      <c r="DJ16" s="848">
        <v>7.0000000000000007E-2</v>
      </c>
      <c r="DK16" s="816">
        <f>'Geographic Detail'!DK52-'Geographic Detail'!DK61</f>
        <v>8.0348225428596987E-3</v>
      </c>
      <c r="DL16" s="157"/>
      <c r="DM16" s="848">
        <v>0.06</v>
      </c>
      <c r="DN16" s="848">
        <v>-0.01</v>
      </c>
      <c r="DO16" s="848">
        <f>'Geographic Detail'!DO52-'Geographic Detail'!DO61</f>
        <v>-9.0243357214465636E-3</v>
      </c>
      <c r="DP16" s="848">
        <f>'Geographic Detail'!DP52-'Geographic Detail'!DP61</f>
        <v>-4.2784660579438416E-2</v>
      </c>
      <c r="DQ16" s="816">
        <f>'Geographic Detail'!DQ52-'Geographic Detail'!DQ61</f>
        <v>3.4660249233466889E-3</v>
      </c>
      <c r="DR16" s="157"/>
      <c r="DS16" s="848">
        <f>'Geographic Detail'!DS52-'Geographic Detail'!DS61</f>
        <v>-4.7624518811688055E-2</v>
      </c>
      <c r="DT16" s="848">
        <f>'Geographic Detail'!DT52-'Geographic Detail'!DT61</f>
        <v>-1.2166413251415431E-2</v>
      </c>
      <c r="DU16" s="848">
        <f>'Geographic Detail'!DU52-'Geographic Detail'!DU61</f>
        <v>-1.7123947239962245E-2</v>
      </c>
      <c r="DV16" s="848">
        <f>'Geographic Detail'!DV52-'Geographic Detail'!DV61</f>
        <v>-2.356124567661344E-2</v>
      </c>
      <c r="DW16" s="816">
        <f>'Geographic Detail'!DW52-'Geographic Detail'!DW61</f>
        <v>-2.4500271640664151E-2</v>
      </c>
      <c r="DX16" s="157"/>
      <c r="DY16" s="848">
        <f>'Geographic Detail'!DY52-'Geographic Detail'!DY61</f>
        <v>-2.0998685145519058E-2</v>
      </c>
      <c r="DZ16" s="848">
        <v>-1.4E-2</v>
      </c>
      <c r="EA16" s="848">
        <f>'Geographic Detail'!EA52-'Geographic Detail'!EA61</f>
        <v>-1.4066029152205228E-2</v>
      </c>
      <c r="EB16" s="848">
        <f>'Geographic Detail'!EB52-'Geographic Detail'!EB61</f>
        <v>0</v>
      </c>
      <c r="EC16" s="816">
        <f>'Geographic Detail'!EC52-'Geographic Detail'!EC61</f>
        <v>-1.2022028346011737E-2</v>
      </c>
      <c r="ED16" s="157"/>
      <c r="EE16" s="848">
        <f>'Geographic Detail'!EE52-'Geographic Detail'!EE61</f>
        <v>1.0000000000000002E-2</v>
      </c>
      <c r="EF16" s="848">
        <f>'Geographic Detail'!EF52-'Geographic Detail'!EF61</f>
        <v>-4.0000000000000008E-2</v>
      </c>
      <c r="EG16" s="848">
        <f>'Geographic Detail'!EG52-'Geographic Detail'!EG61</f>
        <v>-0.06</v>
      </c>
      <c r="EH16" s="848">
        <f>'Geographic Detail'!EH52-'Geographic Detail'!EH61</f>
        <v>-7.6734505978679007E-2</v>
      </c>
      <c r="EI16" s="816">
        <f>'Geographic Detail'!EI52-'Geographic Detail'!EI61</f>
        <v>-0.04</v>
      </c>
      <c r="EJ16" s="157"/>
      <c r="EK16" s="848">
        <f>'Geographic Detail'!EK52-'Geographic Detail'!EK61</f>
        <v>-9.0000000000000011E-2</v>
      </c>
      <c r="EL16" s="848">
        <f>'Geographic Detail'!EL52-'Geographic Detail'!EL61</f>
        <v>-6.2769008448199201E-2</v>
      </c>
      <c r="EM16" s="848">
        <f>'Geographic Detail'!EM52-'Geographic Detail'!EM61</f>
        <v>-4.1008431329043714E-2</v>
      </c>
      <c r="EN16" s="848">
        <f>'Geographic Detail'!EN52-'Geographic Detail'!EN61</f>
        <v>-8.1319365798414485E-3</v>
      </c>
      <c r="EO16" s="816">
        <f>'Geographic Detail'!EO52-'Geographic Detail'!EO61</f>
        <v>-4.8063145964325232E-2</v>
      </c>
      <c r="EP16" s="157"/>
      <c r="EQ16" s="848">
        <f>'Geographic Detail'!EQ52-'Geographic Detail'!EQ61</f>
        <v>-1.341969171990523E-2</v>
      </c>
      <c r="ER16" s="848">
        <f>'Geographic Detail'!ER52-'Geographic Detail'!ER61</f>
        <v>-7.81898201505523E-3</v>
      </c>
      <c r="ES16" s="848">
        <f>'Geographic Detail'!ES52-'Geographic Detail'!ES61</f>
        <v>-2.3258572352814338E-3</v>
      </c>
      <c r="ET16" s="848">
        <f>'Geographic Detail'!ET52-'Geographic Detail'!ET61</f>
        <v>-9.9454890978195598E-3</v>
      </c>
      <c r="EU16" s="816">
        <f>'Geographic Detail'!EU52-'Geographic Detail'!EU61</f>
        <v>-8.3615411695169284E-3</v>
      </c>
      <c r="EV16" s="157"/>
      <c r="EW16" s="848">
        <f>'Geographic Detail'!EW52-'Geographic Detail'!EW61</f>
        <v>1.3361354629518429E-2</v>
      </c>
      <c r="EX16" s="848">
        <f>'Geographic Detail'!EX52-'Geographic Detail'!EX61</f>
        <v>1.6204221334854552E-2</v>
      </c>
      <c r="EY16" s="848">
        <f>'Geographic Detail'!EY52-'Geographic Detail'!EY61</f>
        <v>4.4295264623955444E-2</v>
      </c>
      <c r="EZ16" s="848">
        <f>'Geographic Detail'!EZ52-'Geographic Detail'!EZ61</f>
        <v>3.2500000000000001E-2</v>
      </c>
      <c r="FA16" s="816">
        <f>'Geographic Detail'!FA52-'Geographic Detail'!FA61</f>
        <v>7.4150780051241288E-2</v>
      </c>
      <c r="FB16" s="157"/>
      <c r="FC16" s="848">
        <f>'Geographic Detail'!FC52-'Geographic Detail'!FC61</f>
        <v>2.2999999999999993E-2</v>
      </c>
      <c r="FD16" s="848">
        <f>'Geographic Detail'!FD52-'Geographic Detail'!FD61</f>
        <v>1.8000000000000002E-2</v>
      </c>
      <c r="FE16" s="848">
        <f>'Geographic Detail'!FE52-'Geographic Detail'!FE61</f>
        <v>8.0000000000000071E-3</v>
      </c>
      <c r="FF16" s="848">
        <f>'Geographic Detail'!FF52-'Geographic Detail'!FF61</f>
        <v>0</v>
      </c>
      <c r="FG16" s="816">
        <f>'Geographic Detail'!FG52-'Geographic Detail'!FG61</f>
        <v>0</v>
      </c>
      <c r="FH16" s="157"/>
      <c r="FI16" s="848">
        <f>'Geographic Detail'!FI52-'Geographic Detail'!FI61</f>
        <v>0</v>
      </c>
      <c r="FJ16" s="848">
        <f>'Geographic Detail'!FJ52-'Geographic Detail'!FJ61</f>
        <v>0</v>
      </c>
      <c r="FK16" s="848">
        <f>'Geographic Detail'!FK52-'Geographic Detail'!FK61</f>
        <v>0</v>
      </c>
      <c r="FL16" s="848">
        <f>'Geographic Detail'!FL52-'Geographic Detail'!FL61</f>
        <v>0</v>
      </c>
      <c r="FM16" s="816">
        <f>'Geographic Detail'!FM52-'Geographic Detail'!FM61</f>
        <v>0</v>
      </c>
      <c r="FQ16"/>
      <c r="FR16"/>
      <c r="FS16"/>
      <c r="FT16"/>
      <c r="FU16"/>
      <c r="FV16"/>
      <c r="GB16" s="613"/>
      <c r="GC16" s="613"/>
      <c r="GD16" s="613"/>
      <c r="GE16" s="613"/>
      <c r="GF16" s="613"/>
      <c r="GG16" s="613"/>
      <c r="GH16" s="613"/>
      <c r="GI16" s="613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</row>
    <row r="17" spans="1:274" s="1517" customFormat="1" collapsed="1" x14ac:dyDescent="0.2">
      <c r="A17" s="1517" t="s">
        <v>1126</v>
      </c>
      <c r="C17" s="1578" t="s">
        <v>945</v>
      </c>
      <c r="D17" s="1577">
        <f t="shared" ref="D17:M17" si="6">D12/C9-1</f>
        <v>0.82076287848997209</v>
      </c>
      <c r="E17" s="1577">
        <f t="shared" si="6"/>
        <v>1.3906094769124446</v>
      </c>
      <c r="F17" s="1577">
        <f t="shared" si="6"/>
        <v>1.3714698708103712</v>
      </c>
      <c r="G17" s="1577">
        <f t="shared" si="6"/>
        <v>0.56523097318836713</v>
      </c>
      <c r="H17" s="1577">
        <f t="shared" si="6"/>
        <v>1.0343661011998928</v>
      </c>
      <c r="I17" s="1577">
        <f t="shared" si="6"/>
        <v>0.59013231880936989</v>
      </c>
      <c r="J17" s="1577">
        <f t="shared" si="6"/>
        <v>-2.8709048338459442E-2</v>
      </c>
      <c r="K17" s="1577">
        <f t="shared" si="6"/>
        <v>1.7839299131660713E-2</v>
      </c>
      <c r="L17" s="1577">
        <f t="shared" si="6"/>
        <v>0.22678843226788437</v>
      </c>
      <c r="M17" s="1577">
        <f t="shared" si="6"/>
        <v>0.36352357320099249</v>
      </c>
      <c r="O17" s="1578" t="s">
        <v>945</v>
      </c>
      <c r="P17" s="1578" t="s">
        <v>945</v>
      </c>
      <c r="Q17" s="1578" t="s">
        <v>945</v>
      </c>
      <c r="R17" s="1578" t="s">
        <v>945</v>
      </c>
      <c r="S17" s="1577">
        <f>S12/M9-1</f>
        <v>0.46132848043676078</v>
      </c>
      <c r="U17" s="1577">
        <f>U12/O9-1</f>
        <v>0.25</v>
      </c>
      <c r="V17" s="1577">
        <f>V12/P9-1</f>
        <v>0.41425655976676379</v>
      </c>
      <c r="W17" s="1577">
        <f>W12/Q9-1</f>
        <v>0.37333333333333329</v>
      </c>
      <c r="X17" s="1577">
        <f>X12/R9-1</f>
        <v>0.45230263157894735</v>
      </c>
      <c r="Y17" s="1577">
        <f>Y12/S9-1</f>
        <v>0.39046699875467006</v>
      </c>
      <c r="AA17" s="1577">
        <f>AA12/U9-1</f>
        <v>0.26947714285714297</v>
      </c>
      <c r="AB17" s="1577">
        <f>AB12/V9-1</f>
        <v>0.25017419447937495</v>
      </c>
      <c r="AC17" s="1577">
        <f>AC12/W9-1</f>
        <v>0.28981941747572804</v>
      </c>
      <c r="AD17" s="1577">
        <f>AD12/X9-1</f>
        <v>0.25416647791619496</v>
      </c>
      <c r="AE17" s="1577">
        <f>AE12/Y9-1</f>
        <v>0.2639212929169894</v>
      </c>
      <c r="AG17" s="1577">
        <f>AG12/AA9-1</f>
        <v>0.13742215580317652</v>
      </c>
      <c r="AH17" s="1577">
        <f>AH12/AB9-1</f>
        <v>2.4274174000366022E-2</v>
      </c>
      <c r="AI17" s="1577">
        <f>AI12/AC9-1</f>
        <v>0.1338879379517266</v>
      </c>
      <c r="AJ17" s="1577">
        <f>AJ12/AD9-1</f>
        <v>9.2009510316236831E-2</v>
      </c>
      <c r="AK17" s="1577">
        <f>AK12/AE9-1</f>
        <v>9.4460486456801496E-2</v>
      </c>
      <c r="AM17" s="1577">
        <f>AM12/AG9-1</f>
        <v>0.1033626448426519</v>
      </c>
      <c r="AN17" s="1577">
        <f>AN12/AH9-1</f>
        <v>0.19975111403034296</v>
      </c>
      <c r="AO17" s="1577">
        <f>AO12/AI9-1</f>
        <v>6.8261388515294286E-2</v>
      </c>
      <c r="AP17" s="1577">
        <f>AP12/AJ9-1</f>
        <v>0.2266375484465275</v>
      </c>
      <c r="AQ17" s="1577">
        <f>AQ12/AK9-1</f>
        <v>0.16244682848504088</v>
      </c>
      <c r="AS17" s="1577">
        <f>AS12/AM9-1</f>
        <v>8.0760312259577693E-2</v>
      </c>
      <c r="AT17" s="1577">
        <f>AT12/AN9-1</f>
        <v>0.17702050461122276</v>
      </c>
      <c r="AU17" s="1577">
        <f>AU12/AO9-1</f>
        <v>0.29654104426135985</v>
      </c>
      <c r="AV17" s="1577">
        <f>AV12/AP9-1</f>
        <v>0.20803882429633003</v>
      </c>
      <c r="AW17" s="1577">
        <f>AW12/AQ9-1</f>
        <v>0.20166739629526909</v>
      </c>
      <c r="AY17" s="1577">
        <f>AY12/AS9-1</f>
        <v>0.27976457157269796</v>
      </c>
      <c r="AZ17" s="1577">
        <f>AZ12/AT9-1</f>
        <v>0.24627125155756402</v>
      </c>
      <c r="BA17" s="1577">
        <f>BA12/AU9-1</f>
        <v>5.5366821126412447E-2</v>
      </c>
      <c r="BB17" s="1577">
        <f>BB12/AV9-1</f>
        <v>-9.683338113823281E-2</v>
      </c>
      <c r="BC17" s="1577">
        <f>BC12/AW9-1</f>
        <v>6.2306417871119679E-2</v>
      </c>
      <c r="BE17" s="1577">
        <f>BE12/AY9-1</f>
        <v>-7.7973925276663136E-2</v>
      </c>
      <c r="BF17" s="1577">
        <f>BF12/AZ9-1</f>
        <v>-0.26509683102617732</v>
      </c>
      <c r="BG17" s="1577">
        <f>BG12/BA9-1</f>
        <v>-0.29429818386597228</v>
      </c>
      <c r="BH17" s="1577">
        <f>BH12/BB9-1</f>
        <v>-0.2894703672581681</v>
      </c>
      <c r="BI17" s="1577">
        <f>BI12/BC9-1</f>
        <v>-0.24923258294332551</v>
      </c>
      <c r="BK17" s="1577">
        <f>BK12/BE9-1</f>
        <v>-0.20827778621531479</v>
      </c>
      <c r="BL17" s="1577">
        <f>BL12/BF9-1</f>
        <v>-4.7786196260600433E-2</v>
      </c>
      <c r="BM17" s="1577">
        <f>BM12/BG9-1</f>
        <v>-2.8255248386968024E-2</v>
      </c>
      <c r="BN17" s="1577">
        <f>BN12/BH9-1</f>
        <v>3.2193659356961613E-2</v>
      </c>
      <c r="BO17" s="1577">
        <f>BO12/BI9-1</f>
        <v>-4.9813594930014693E-2</v>
      </c>
      <c r="BQ17" s="1577">
        <f>BQ12/BK9-1</f>
        <v>-6.7495559502664282E-2</v>
      </c>
      <c r="BR17" s="1577">
        <f>BR12/BL9-1</f>
        <v>0.11764705882352944</v>
      </c>
      <c r="BS17" s="1577">
        <f>BS12/BM9-1</f>
        <v>0.12185430463576163</v>
      </c>
      <c r="BT17" s="1577">
        <f>BT12/BN9-1</f>
        <v>0.10699241786015157</v>
      </c>
      <c r="BU17" s="1577">
        <f>BU12/BO9-1</f>
        <v>8.2874617737002998E-2</v>
      </c>
      <c r="BW17" s="1577">
        <f>BW12/BQ9-1</f>
        <v>7.2380952380952435E-2</v>
      </c>
      <c r="BX17" s="1577">
        <f>BX12/BR9-1</f>
        <v>0.13567251461988294</v>
      </c>
      <c r="BY17" s="1577">
        <f>BY12/BS9-1</f>
        <v>8.1463990554899723E-2</v>
      </c>
      <c r="BZ17" s="1577">
        <f>BZ12/BT9-1</f>
        <v>0.14307458143074592</v>
      </c>
      <c r="CA17" s="1577">
        <f>CA12/BU9-1</f>
        <v>0.11606890708839313</v>
      </c>
      <c r="CC17" s="1577">
        <f>CC12/BW9-1</f>
        <v>-1.5097690941385467E-2</v>
      </c>
      <c r="CD17" s="1577">
        <f>CD12/BX9-1</f>
        <v>1.544799176107059E-3</v>
      </c>
      <c r="CE17" s="1577">
        <f>CE12/(BY9-BY59)-1</f>
        <v>5.9934497816593879E-2</v>
      </c>
      <c r="CF17" s="1577">
        <f>CF12/BZ9-1</f>
        <v>0.23896830329397134</v>
      </c>
      <c r="CG17" s="1579">
        <f>CG12/CA9-1</f>
        <v>9.8141809290953397E-2</v>
      </c>
      <c r="CI17" s="1577">
        <f>CI12/CC9-1</f>
        <v>0.17488076311605716</v>
      </c>
      <c r="CJ17" s="1577">
        <f>CJ12/CD9-1</f>
        <v>4.6313799621928275E-2</v>
      </c>
      <c r="CK17" s="1577">
        <f>CK12/(CE9-CE62-CE43)-1</f>
        <v>0.20460501684762256</v>
      </c>
      <c r="CL17" s="1577">
        <f>CL12/CF9-1</f>
        <v>0.11598302687411599</v>
      </c>
      <c r="CM17" s="1579">
        <f>CM12/CG9-1</f>
        <v>0.12144197047549143</v>
      </c>
      <c r="CO17" s="1577">
        <f>CO12/CI9-1</f>
        <v>0.19067164179104479</v>
      </c>
      <c r="CP17" s="1577">
        <f>CP12/CJ9-1</f>
        <v>0.2908036454018228</v>
      </c>
      <c r="CQ17" s="1577">
        <f>CQ12/CK9-1</f>
        <v>9.4964028776978404E-2</v>
      </c>
      <c r="CR17" s="1577">
        <f>CR12/CL9-1</f>
        <v>0.19871019750100771</v>
      </c>
      <c r="CS17" s="1579">
        <f>CS12/CM9-1</f>
        <v>0.19199251955117314</v>
      </c>
      <c r="CT17" s="1580"/>
      <c r="CU17" s="1577">
        <f>CU12/CO9-1</f>
        <v>5.3127874885004589E-2</v>
      </c>
      <c r="CV17" s="1577">
        <f>CV12/CP9-1</f>
        <v>-0.10521582733812951</v>
      </c>
      <c r="CW17" s="1577">
        <f>CW12/CQ9-1</f>
        <v>-0.16376856435643572</v>
      </c>
      <c r="CX17" s="1577">
        <f>CX12/CR9-1</f>
        <v>-0.1755327608142494</v>
      </c>
      <c r="CY17" s="1581">
        <f>CY12/CS9-1</f>
        <v>-0.12432135728542915</v>
      </c>
      <c r="CZ17" s="1582"/>
      <c r="DA17" s="1577">
        <f>DA12/CU9-1</f>
        <v>-0.1783805668016194</v>
      </c>
      <c r="DB17" s="1577">
        <f>DB12/CV9-1</f>
        <v>7.9950799507995107E-3</v>
      </c>
      <c r="DC17" s="1577">
        <f>DC12/CW9-1</f>
        <v>0.10316622691292876</v>
      </c>
      <c r="DD17" s="1577">
        <f>DD12/CX9-1</f>
        <v>9.0743440233236106E-2</v>
      </c>
      <c r="DE17" s="1581">
        <f>DE12/CY9-1</f>
        <v>2.7819126527172999E-2</v>
      </c>
      <c r="DF17" s="1580"/>
      <c r="DG17" s="1577">
        <f>DG12/DA9-1</f>
        <v>8.0739299610894877E-2</v>
      </c>
      <c r="DH17" s="1577">
        <f>DH12/DB9-1</f>
        <v>9.6793708408953405E-2</v>
      </c>
      <c r="DI17" s="1577">
        <f>DI12/DC9-1</f>
        <v>0.18947858472998136</v>
      </c>
      <c r="DJ17" s="1577">
        <f>DJ12/DD9-1</f>
        <v>0.16044657097288684</v>
      </c>
      <c r="DK17" s="1581">
        <f>DK12/DE9-1</f>
        <v>0.14222764918241659</v>
      </c>
      <c r="DL17" s="1580"/>
      <c r="DM17" s="1577">
        <f>DM12/DG9-1</f>
        <v>0.12208398133748055</v>
      </c>
      <c r="DN17" s="1577">
        <f>DN12/DH9-1</f>
        <v>5.2526263131564832E-3</v>
      </c>
      <c r="DO17" s="1577">
        <f>DO12/DI9-1</f>
        <v>4.1102077687443561E-2</v>
      </c>
      <c r="DP17" s="1577">
        <f>DP12/DJ9-1</f>
        <v>3.1262123790149809E-2</v>
      </c>
      <c r="DQ17" s="1581">
        <f>DQ12/DK9-1</f>
        <v>4.0638364318354103E-2</v>
      </c>
      <c r="DR17" s="1580"/>
      <c r="DS17" s="1577">
        <f>DS12/DM9-1</f>
        <v>4.3391188251001411E-2</v>
      </c>
      <c r="DT17" s="1577">
        <f>DT12/DN9-1</f>
        <v>0.15185546875</v>
      </c>
      <c r="DU17" s="1577">
        <f>DU12/DO9-1</f>
        <v>-2.0113732097725379E-2</v>
      </c>
      <c r="DV17" s="1577">
        <f>DV12/DP9-1</f>
        <v>1.3285640136011967E-2</v>
      </c>
      <c r="DW17" s="1581">
        <f>DW12/DQ9-1</f>
        <v>3.8429088347436302E-2</v>
      </c>
      <c r="DX17" s="1580"/>
      <c r="DY17" s="1577">
        <f>DY12/DS9-1</f>
        <v>-1.6018494143545614E-2</v>
      </c>
      <c r="DZ17" s="1577">
        <f>DZ12/DT9-1</f>
        <v>-3.9183039790233631E-2</v>
      </c>
      <c r="EA17" s="1577">
        <f>EA12/DU9-1</f>
        <v>3.6164469496264839E-3</v>
      </c>
      <c r="EB17" s="1577">
        <f>EB12/DV9-1</f>
        <v>-9.7821718511359457E-5</v>
      </c>
      <c r="EC17" s="1581">
        <f>EC12/DW9-1</f>
        <v>-1.0859509478854945E-2</v>
      </c>
      <c r="ED17" s="1580"/>
      <c r="EE17" s="1577">
        <f>EE12/DY9-1</f>
        <v>8.3026628895184196E-3</v>
      </c>
      <c r="EF17" s="1577">
        <f>EF12/DZ9-1</f>
        <v>-2.0459206413978581E-2</v>
      </c>
      <c r="EG17" s="1577">
        <f>EG12/EA9-1</f>
        <v>-6.1153106667954371E-2</v>
      </c>
      <c r="EH17" s="1577">
        <f>EH12/EB9-1</f>
        <v>-0.14641970305304741</v>
      </c>
      <c r="EI17" s="1581">
        <f>EI12/EC9-1</f>
        <v>-6.9241734936059118E-2</v>
      </c>
      <c r="EJ17" s="1580"/>
      <c r="EK17" s="1577">
        <f>EK12/EE9-1</f>
        <v>-0.10853386043196367</v>
      </c>
      <c r="EL17" s="1577">
        <f>EL12/EF9-1</f>
        <v>-0.11374414976599057</v>
      </c>
      <c r="EM17" s="1577">
        <f>EM12/EG9-1</f>
        <v>-4.8168789808917145E-2</v>
      </c>
      <c r="EN17" s="1577">
        <f>EN12/EH9-1</f>
        <v>-2.9728275490987333E-2</v>
      </c>
      <c r="EO17" s="1581">
        <f>EO12/EI9-1</f>
        <v>-6.4747058917716482E-2</v>
      </c>
      <c r="EP17" s="1580"/>
      <c r="EQ17" s="1577">
        <f>EQ12/EK9-1</f>
        <v>9.8562110039704942E-2</v>
      </c>
      <c r="ER17" s="1577">
        <f>ER12/EL9-1</f>
        <v>-1.6136835816134121E-2</v>
      </c>
      <c r="ES17" s="1577">
        <f>ES12/EM9-1</f>
        <v>-4.3165540024393989E-2</v>
      </c>
      <c r="ET17" s="1577">
        <f>ET12/EN9-1</f>
        <v>4.6029980955997196E-3</v>
      </c>
      <c r="EU17" s="1581">
        <f>EU12/EO9-1</f>
        <v>4.7895086571196899E-3</v>
      </c>
      <c r="EV17" s="1580"/>
      <c r="EW17" s="1577">
        <f>EW12/EQ9-1</f>
        <v>4.6735312383608063E-2</v>
      </c>
      <c r="EX17" s="1577">
        <f>EX12/ER9-1</f>
        <v>6.9101928980690452E-2</v>
      </c>
      <c r="EY17" s="1577">
        <f>EY12/ES9-1</f>
        <v>0.10741017964071853</v>
      </c>
      <c r="EZ17" s="1577">
        <f>EZ12/ET9-1</f>
        <v>2.772918731417251E-2</v>
      </c>
      <c r="FA17" s="1581">
        <f>FA12/EU9-1</f>
        <v>5.9269356955041763E-2</v>
      </c>
      <c r="FB17" s="1580"/>
      <c r="FC17" s="1577">
        <f>FC12/EW9-1</f>
        <v>0.12385956061838899</v>
      </c>
      <c r="FD17" s="1577">
        <f>FD12/EX9-1</f>
        <v>0.10507462686567171</v>
      </c>
      <c r="FE17" s="1577">
        <f>FE12/EY9-1</f>
        <v>0.10702095302467063</v>
      </c>
      <c r="FF17" s="1577">
        <f>FF12/EZ9-1</f>
        <v>5.5918624176242826E-2</v>
      </c>
      <c r="FG17" s="1581">
        <f>FG12/FA9-1</f>
        <v>9.2864807448870046E-2</v>
      </c>
      <c r="FH17" s="1580"/>
      <c r="FI17" s="1577">
        <f>FI12/FC9-1</f>
        <v>0.12715937914170872</v>
      </c>
      <c r="FJ17" s="1577">
        <f>FJ12/FD9-1</f>
        <v>0.10624219466536</v>
      </c>
      <c r="FK17" s="1577">
        <f>FK12/FE9-1</f>
        <v>0.10318226014485554</v>
      </c>
      <c r="FL17" s="1577">
        <f>FL12/FF9-1</f>
        <v>6.3241167921162411E-2</v>
      </c>
      <c r="FM17" s="1581">
        <f>FM12/FG9-1</f>
        <v>9.5906779022699284E-2</v>
      </c>
      <c r="FQ17"/>
      <c r="FR17"/>
      <c r="FS17"/>
      <c r="FT17"/>
      <c r="FU17"/>
      <c r="FV17"/>
      <c r="FY17" s="1517" t="s">
        <v>235</v>
      </c>
      <c r="GB17" s="1523"/>
      <c r="GC17" s="1523"/>
      <c r="GD17" s="1523"/>
      <c r="GE17" s="1523"/>
      <c r="GF17" s="1523"/>
      <c r="GG17" s="1523"/>
      <c r="GH17" s="1523"/>
      <c r="GI17" s="1523"/>
      <c r="GJ17" s="1522"/>
      <c r="GK17" s="1522"/>
      <c r="GL17" s="1522"/>
      <c r="GM17" s="1522"/>
      <c r="GN17" s="1522"/>
      <c r="GO17" s="1522"/>
      <c r="GP17" s="1522"/>
      <c r="GQ17" s="1522"/>
      <c r="GR17" s="1522"/>
      <c r="GS17" s="1522"/>
      <c r="GT17" s="1522"/>
      <c r="GU17" s="1522"/>
      <c r="GV17" s="1522"/>
      <c r="GW17" s="1522"/>
      <c r="GX17" s="1522"/>
      <c r="GY17" s="1522"/>
      <c r="GZ17" s="1522"/>
      <c r="HA17" s="1522"/>
      <c r="HB17" s="1522"/>
      <c r="HC17" s="1522"/>
      <c r="HD17" s="1522"/>
      <c r="HE17" s="1522"/>
      <c r="HF17" s="1522"/>
      <c r="HG17" s="1522"/>
      <c r="HH17" s="1522"/>
      <c r="HI17" s="1522"/>
      <c r="HJ17" s="1522"/>
      <c r="HK17" s="1522"/>
      <c r="HL17" s="1522"/>
      <c r="HM17" s="1522"/>
      <c r="HN17" s="1522"/>
      <c r="HO17" s="1522"/>
      <c r="HP17" s="1522"/>
      <c r="HQ17" s="1522"/>
      <c r="HR17" s="1522"/>
      <c r="HS17" s="1522"/>
      <c r="HT17" s="1522"/>
      <c r="HU17" s="1522"/>
      <c r="HV17" s="1522"/>
      <c r="HW17" s="1522"/>
      <c r="HX17" s="1522"/>
      <c r="HY17" s="1522"/>
      <c r="HZ17" s="1522"/>
      <c r="IA17" s="1522"/>
      <c r="IB17" s="1522"/>
      <c r="IC17" s="1522"/>
      <c r="ID17" s="1522"/>
      <c r="IE17" s="1522"/>
      <c r="IF17" s="1522"/>
      <c r="IG17" s="1522"/>
      <c r="IH17" s="1522"/>
      <c r="II17" s="1522"/>
      <c r="IJ17" s="1522"/>
      <c r="IK17" s="1522"/>
      <c r="IL17" s="1522"/>
      <c r="IM17" s="1522"/>
      <c r="IN17" s="1522"/>
      <c r="IO17" s="1522"/>
      <c r="IP17" s="1522"/>
      <c r="IQ17" s="1522"/>
      <c r="IR17" s="1522"/>
      <c r="IS17" s="1522"/>
      <c r="IT17" s="1522"/>
      <c r="IU17" s="1522"/>
      <c r="IV17" s="1522"/>
      <c r="IW17" s="1522"/>
      <c r="IX17" s="1522"/>
      <c r="IY17" s="1522"/>
      <c r="IZ17" s="1522"/>
      <c r="JA17" s="1522"/>
      <c r="JB17" s="1522"/>
      <c r="JC17" s="1522"/>
      <c r="JD17" s="1522"/>
      <c r="JE17" s="1522"/>
      <c r="JF17" s="1522"/>
      <c r="JG17" s="1522"/>
      <c r="JH17" s="1522"/>
      <c r="JI17" s="1522"/>
      <c r="JJ17" s="1522"/>
      <c r="JK17" s="1522"/>
      <c r="JL17" s="1522"/>
      <c r="JM17" s="1522"/>
      <c r="JN17" s="1522"/>
    </row>
    <row r="18" spans="1:274" s="947" customFormat="1" x14ac:dyDescent="0.2">
      <c r="A18" s="1228" t="s">
        <v>1127</v>
      </c>
      <c r="B18" s="1422"/>
      <c r="C18" s="1423" t="s">
        <v>945</v>
      </c>
      <c r="D18" s="1423" t="s">
        <v>945</v>
      </c>
      <c r="E18" s="1423" t="s">
        <v>945</v>
      </c>
      <c r="F18" s="1423" t="s">
        <v>945</v>
      </c>
      <c r="G18" s="1423" t="s">
        <v>945</v>
      </c>
      <c r="H18" s="1422"/>
      <c r="I18" s="1423" t="s">
        <v>945</v>
      </c>
      <c r="J18" s="1423" t="s">
        <v>945</v>
      </c>
      <c r="K18" s="1423" t="s">
        <v>945</v>
      </c>
      <c r="L18" s="1423" t="s">
        <v>945</v>
      </c>
      <c r="M18" s="1423" t="s">
        <v>945</v>
      </c>
      <c r="N18" s="1422"/>
      <c r="O18" s="1423" t="s">
        <v>945</v>
      </c>
      <c r="P18" s="1423" t="s">
        <v>945</v>
      </c>
      <c r="Q18" s="1423" t="s">
        <v>945</v>
      </c>
      <c r="R18" s="1423" t="s">
        <v>945</v>
      </c>
      <c r="S18" s="1423" t="s">
        <v>945</v>
      </c>
      <c r="T18" s="1422"/>
      <c r="U18" s="1423" t="s">
        <v>945</v>
      </c>
      <c r="V18" s="1423" t="s">
        <v>945</v>
      </c>
      <c r="W18" s="1423" t="s">
        <v>945</v>
      </c>
      <c r="X18" s="1423" t="s">
        <v>945</v>
      </c>
      <c r="Y18" s="1423" t="s">
        <v>945</v>
      </c>
      <c r="Z18" s="1422"/>
      <c r="AA18" s="1424">
        <f>AA17-AA16</f>
        <v>0.30947714285714295</v>
      </c>
      <c r="AB18" s="1424">
        <f>AB17-AB16</f>
        <v>0.28017419447937497</v>
      </c>
      <c r="AC18" s="1424">
        <f>AC17-AC16</f>
        <v>0.33981941747572808</v>
      </c>
      <c r="AD18" s="1424">
        <f>AD17-AD16</f>
        <v>0.29416647791619494</v>
      </c>
      <c r="AE18" s="1424">
        <f>AE17-AE16</f>
        <v>0.30392129291698938</v>
      </c>
      <c r="AF18" s="1422"/>
      <c r="AG18" s="1424">
        <f>AG17-AG16</f>
        <v>0.1999977493546275</v>
      </c>
      <c r="AH18" s="1424">
        <f>AH17-AH16</f>
        <v>0.08</v>
      </c>
      <c r="AI18" s="1424">
        <f>AI17-AI16</f>
        <v>0.18</v>
      </c>
      <c r="AJ18" s="1424">
        <f>AJ17-AJ16</f>
        <v>0.11999999999999977</v>
      </c>
      <c r="AK18" s="1424">
        <f>AK17-AK16</f>
        <v>0.13999964569788637</v>
      </c>
      <c r="AL18" s="1422"/>
      <c r="AM18" s="1424">
        <f>AM17-AM16</f>
        <v>0.16000218324665524</v>
      </c>
      <c r="AN18" s="1424">
        <f>AN17-AN16</f>
        <v>0.21000000000000021</v>
      </c>
      <c r="AO18" s="1424">
        <f>AO17-AO16</f>
        <v>7.0000000000000007E-2</v>
      </c>
      <c r="AP18" s="1424">
        <f>AP17-AP16</f>
        <v>0.24</v>
      </c>
      <c r="AQ18" s="1424">
        <f>AQ17-AQ16</f>
        <v>0.18000037631073923</v>
      </c>
      <c r="AR18" s="1422"/>
      <c r="AS18" s="1424">
        <f>AS17-AS16</f>
        <v>7.0000000000000007E-2</v>
      </c>
      <c r="AT18" s="1424">
        <f>AT17-AT16</f>
        <v>0.18999999999999978</v>
      </c>
      <c r="AU18" s="1424">
        <f>AU17-AU16</f>
        <v>0.32</v>
      </c>
      <c r="AV18" s="1424">
        <f>AV17-AV16</f>
        <v>0.23000000000000023</v>
      </c>
      <c r="AW18" s="1424">
        <f>AW17-AW16</f>
        <v>0.22</v>
      </c>
      <c r="AX18" s="1422"/>
      <c r="AY18" s="1424">
        <f>AY17-AY16</f>
        <v>0.31000000000000022</v>
      </c>
      <c r="AZ18" s="1424">
        <f>AZ17-AZ16</f>
        <v>0.32</v>
      </c>
      <c r="BA18" s="1424">
        <f>BA17-BA16</f>
        <v>9.0000000000000219E-2</v>
      </c>
      <c r="BB18" s="1424">
        <f>BB17-BB16</f>
        <v>-0.06</v>
      </c>
      <c r="BC18" s="1424">
        <f>BC17-BC16</f>
        <v>0.1</v>
      </c>
      <c r="BD18" s="1422"/>
      <c r="BE18" s="1424">
        <f>BE17-BE16</f>
        <v>-5.0000000000000114E-2</v>
      </c>
      <c r="BF18" s="1424">
        <f>BF17-BF16</f>
        <v>-0.26</v>
      </c>
      <c r="BG18" s="1424">
        <f>BG17-BG16</f>
        <v>-0.27000000000000024</v>
      </c>
      <c r="BH18" s="1424">
        <f>BH17-BH16</f>
        <v>-0.28999999999999998</v>
      </c>
      <c r="BI18" s="1424">
        <f>BI17-BI16</f>
        <v>-0.24</v>
      </c>
      <c r="BJ18" s="1422"/>
      <c r="BK18" s="1424">
        <f>BK17-BK16</f>
        <v>-0.24</v>
      </c>
      <c r="BL18" s="1424">
        <f>BL17-BL16</f>
        <v>-0.08</v>
      </c>
      <c r="BM18" s="1424">
        <f>BM17-BM16</f>
        <v>-0.1</v>
      </c>
      <c r="BN18" s="1424">
        <f>BN17-BN16</f>
        <v>-4.0000000000000008E-2</v>
      </c>
      <c r="BO18" s="1424">
        <f>BO17-BO16</f>
        <v>-0.11</v>
      </c>
      <c r="BP18" s="1422"/>
      <c r="BQ18" s="1424">
        <f>BQ17-BQ16</f>
        <v>-0.1</v>
      </c>
      <c r="BR18" s="1424">
        <f>BR17-BR16</f>
        <v>4.0000000000000008E-2</v>
      </c>
      <c r="BS18" s="1424">
        <f>BS17-BS16</f>
        <v>4.0000000000000008E-2</v>
      </c>
      <c r="BT18" s="1424">
        <f>BT17-BT16</f>
        <v>7.0000000000000007E-2</v>
      </c>
      <c r="BU18" s="1424">
        <f>BU17-BU16</f>
        <v>0.03</v>
      </c>
      <c r="BV18" s="1422"/>
      <c r="BW18" s="1424">
        <f>BW17-BW16</f>
        <v>0.03</v>
      </c>
      <c r="BX18" s="1424">
        <f>BX17-BX16</f>
        <v>0.09</v>
      </c>
      <c r="BY18" s="1424">
        <f>BY17-BY16</f>
        <v>4.3400236127508915E-2</v>
      </c>
      <c r="BZ18" s="1424">
        <f>BZ17-BZ16</f>
        <v>0.11523252748209462</v>
      </c>
      <c r="CA18" s="1424">
        <f>CA17-CA16</f>
        <v>7.1027958203897193E-2</v>
      </c>
      <c r="CB18" s="1422"/>
      <c r="CC18" s="1424">
        <f>CC17-CC16</f>
        <v>-3.2326820603907763E-2</v>
      </c>
      <c r="CD18" s="1424">
        <f>CD17-CD16</f>
        <v>3.194644696189497E-2</v>
      </c>
      <c r="CE18" s="1424">
        <f>CE17-CE16</f>
        <v>0.11940160457790117</v>
      </c>
      <c r="CF18" s="1424">
        <f>CF17-CF16</f>
        <v>0.27022425784455062</v>
      </c>
      <c r="CG18" s="1425">
        <f>CG17-CG16</f>
        <v>0.13222872734690161</v>
      </c>
      <c r="CH18" s="1422"/>
      <c r="CI18" s="1424">
        <f>CI17-CI16</f>
        <v>0.15666136724960245</v>
      </c>
      <c r="CJ18" s="1424">
        <f>CJ17-CJ16</f>
        <v>5.4820415879019146E-3</v>
      </c>
      <c r="CK18" s="1424">
        <f>CK17-CK16</f>
        <v>0.16681953709570732</v>
      </c>
      <c r="CL18" s="1424">
        <f>CL17-CL16</f>
        <v>7.6251768033946177E-2</v>
      </c>
      <c r="CM18" s="1425">
        <f>CM17-CM16</f>
        <v>9.2110757686974937E-2</v>
      </c>
      <c r="CN18" s="1422"/>
      <c r="CO18" s="1424">
        <f>CO17-CO16</f>
        <v>0.15868159203980098</v>
      </c>
      <c r="CP18" s="1424">
        <f>CP17-CP16</f>
        <v>0.21886495443247739</v>
      </c>
      <c r="CQ18" s="1424">
        <f>CQ17-CQ16</f>
        <v>2.2374100719424389E-2</v>
      </c>
      <c r="CR18" s="1424">
        <f>CR17-CR16</f>
        <v>0.13871019750100771</v>
      </c>
      <c r="CS18" s="1425">
        <f>CS17-CS16</f>
        <v>0.13199251955117314</v>
      </c>
      <c r="CT18" s="1422"/>
      <c r="CU18" s="1424">
        <f>CU17-CU16</f>
        <v>1.3127874885004581E-2</v>
      </c>
      <c r="CV18" s="1424">
        <f>CV17-CV16</f>
        <v>-2.5215827338129507E-2</v>
      </c>
      <c r="CW18" s="1424">
        <f>CW17-CW16</f>
        <v>-7.1887376237623785E-2</v>
      </c>
      <c r="CX18" s="1424">
        <f>CX17-CX16</f>
        <v>-8.5532760814249403E-2</v>
      </c>
      <c r="CY18" s="1692">
        <f>CY17-CY16</f>
        <v>-6.4321357285429148E-2</v>
      </c>
      <c r="CZ18" s="1691"/>
      <c r="DA18" s="1691">
        <f>DA17-DA16</f>
        <v>-0.14515708841996333</v>
      </c>
      <c r="DB18" s="1691">
        <f>DB17-DB16</f>
        <v>-4.5398704130452328E-2</v>
      </c>
      <c r="DC18" s="1691">
        <f>DC17-DC16</f>
        <v>5.3166226912928771E-2</v>
      </c>
      <c r="DD18" s="1691">
        <f>DD17-DD16</f>
        <v>7.9625014351327295E-2</v>
      </c>
      <c r="DE18" s="1692">
        <f>DE17-DE16</f>
        <v>2.1380254935059462E-3</v>
      </c>
      <c r="DF18" s="1691"/>
      <c r="DG18" s="1691">
        <f>DG17-DG16</f>
        <v>9.0739299610894886E-2</v>
      </c>
      <c r="DH18" s="1691">
        <f>DH17-DH16</f>
        <v>0.11728885866100147</v>
      </c>
      <c r="DI18" s="1691">
        <f>DI17-DI16</f>
        <v>0.16947858472998134</v>
      </c>
      <c r="DJ18" s="1691">
        <f>DJ17-DJ16</f>
        <v>9.0446570972886831E-2</v>
      </c>
      <c r="DK18" s="1692">
        <f>DK17-DK16</f>
        <v>0.13419282663955689</v>
      </c>
      <c r="DL18" s="1691"/>
      <c r="DM18" s="1691">
        <f>DM17-DM16</f>
        <v>6.2083981337480554E-2</v>
      </c>
      <c r="DN18" s="1691">
        <f>DN17-DN16</f>
        <v>1.5252626313156483E-2</v>
      </c>
      <c r="DO18" s="1691">
        <f>DO17-DO16</f>
        <v>5.0126413408890125E-2</v>
      </c>
      <c r="DP18" s="1691">
        <f>DP17-DP16</f>
        <v>7.4046784369588226E-2</v>
      </c>
      <c r="DQ18" s="1692">
        <f>DQ17-DQ16</f>
        <v>3.7172339395007414E-2</v>
      </c>
      <c r="DR18" s="1691"/>
      <c r="DS18" s="1691">
        <f>DS17-DS16</f>
        <v>9.1015707062689466E-2</v>
      </c>
      <c r="DT18" s="1691">
        <f>DT17-DT16</f>
        <v>0.16402188200141543</v>
      </c>
      <c r="DU18" s="1691">
        <f>DU17-DU16</f>
        <v>-2.9897848577631336E-3</v>
      </c>
      <c r="DV18" s="1691">
        <f>DV17-DV16</f>
        <v>3.6846885812625407E-2</v>
      </c>
      <c r="DW18" s="1426">
        <f>DW17-DW16</f>
        <v>6.2929359988100453E-2</v>
      </c>
      <c r="DX18" s="1424"/>
      <c r="DY18" s="1424">
        <f>DY17-DY16</f>
        <v>4.9801910019734441E-3</v>
      </c>
      <c r="DZ18" s="1424">
        <f>DZ17-DZ16</f>
        <v>-2.5183039790233633E-2</v>
      </c>
      <c r="EA18" s="1424">
        <f>EA17-EA16</f>
        <v>1.7682476101831712E-2</v>
      </c>
      <c r="EB18" s="1424">
        <f>EB17-EB16</f>
        <v>-9.7821718511359457E-5</v>
      </c>
      <c r="EC18" s="1426">
        <f>EC17-EC16</f>
        <v>1.1625188671567921E-3</v>
      </c>
      <c r="ED18" s="1424"/>
      <c r="EE18" s="1424">
        <f>EE17-EE16</f>
        <v>-1.6973371104815824E-3</v>
      </c>
      <c r="EF18" s="1424">
        <f>EF17-EF16</f>
        <v>1.9540793586021427E-2</v>
      </c>
      <c r="EG18" s="1424">
        <f>EG17-EG16</f>
        <v>-1.1531066679543733E-3</v>
      </c>
      <c r="EH18" s="1424">
        <f>EH17-EH16</f>
        <v>-6.9685197074368405E-2</v>
      </c>
      <c r="EI18" s="1426">
        <f>EI17-EI16</f>
        <v>-2.9241734936059118E-2</v>
      </c>
      <c r="EJ18" s="1427"/>
      <c r="EK18" s="1424">
        <f>EK17-EK16</f>
        <v>-1.8533860431963659E-2</v>
      </c>
      <c r="EL18" s="1424">
        <f>EL17-EL16</f>
        <v>-5.0975141317791364E-2</v>
      </c>
      <c r="EM18" s="1424">
        <f>EM17-EM16</f>
        <v>-7.1603584798734313E-3</v>
      </c>
      <c r="EN18" s="1424">
        <f>EN17-EN16</f>
        <v>-2.1596338911145884E-2</v>
      </c>
      <c r="EO18" s="1426">
        <f>EO17-EO16</f>
        <v>-1.668391295339125E-2</v>
      </c>
      <c r="EP18" s="1427"/>
      <c r="EQ18" s="1761">
        <f>EQ17-EQ16</f>
        <v>0.11198180175961017</v>
      </c>
      <c r="ER18" s="1761">
        <f>ER17-ER16</f>
        <v>-8.3178538010788908E-3</v>
      </c>
      <c r="ES18" s="1761">
        <f>ES17-ES16</f>
        <v>-4.0839682789112555E-2</v>
      </c>
      <c r="ET18" s="1761">
        <f>ET17-ET16</f>
        <v>1.4548487193419279E-2</v>
      </c>
      <c r="EU18" s="1762">
        <f>EU17-EU16</f>
        <v>1.3151049826636618E-2</v>
      </c>
      <c r="EV18" s="1427"/>
      <c r="EW18" s="1761">
        <f>EW17-EW16</f>
        <v>3.3373957754089634E-2</v>
      </c>
      <c r="EX18" s="1761">
        <f>EX17-EX16</f>
        <v>5.2897707645835901E-2</v>
      </c>
      <c r="EY18" s="1761">
        <f>EY17-EY16</f>
        <v>6.3114915016763085E-2</v>
      </c>
      <c r="EZ18" s="1761">
        <f>EZ17-EZ16</f>
        <v>-4.7708126858274913E-3</v>
      </c>
      <c r="FA18" s="1762">
        <f>FA17-FA16</f>
        <v>-1.4881423096199525E-2</v>
      </c>
      <c r="FB18" s="1427"/>
      <c r="FC18" s="1761">
        <f>FC17-FC16</f>
        <v>0.10085956061838899</v>
      </c>
      <c r="FD18" s="1761">
        <f>FD17-FD16</f>
        <v>8.7074626865671703E-2</v>
      </c>
      <c r="FE18" s="1761">
        <f>FE17-FE16</f>
        <v>9.9020953024670622E-2</v>
      </c>
      <c r="FF18" s="1761">
        <f>FF17-FF16</f>
        <v>5.5918624176242826E-2</v>
      </c>
      <c r="FG18" s="1762">
        <f>FG17-FG16</f>
        <v>9.2864807448870046E-2</v>
      </c>
      <c r="FH18" s="1427"/>
      <c r="FI18" s="1761">
        <f>FI17-FI16</f>
        <v>0.12715937914170872</v>
      </c>
      <c r="FJ18" s="1761">
        <f>FJ17-FJ16</f>
        <v>0.10624219466536</v>
      </c>
      <c r="FK18" s="1761">
        <f>FK17-FK16</f>
        <v>0.10318226014485554</v>
      </c>
      <c r="FL18" s="1761">
        <f>FL17-FL16</f>
        <v>6.3241167921162411E-2</v>
      </c>
      <c r="FM18" s="1762">
        <f>FM17-FM16</f>
        <v>9.5906779022699284E-2</v>
      </c>
      <c r="FQ18"/>
      <c r="FR18"/>
      <c r="FS18"/>
      <c r="FT18"/>
      <c r="FU18"/>
      <c r="FV18"/>
      <c r="FY18" s="947" t="s">
        <v>143</v>
      </c>
      <c r="FZ18" s="947">
        <f>37-GA18</f>
        <v>26</v>
      </c>
      <c r="GA18" s="947">
        <v>11</v>
      </c>
      <c r="GB18" s="23"/>
      <c r="GC18" s="23"/>
      <c r="GD18" s="23"/>
      <c r="GE18" s="23"/>
      <c r="GF18" s="23"/>
      <c r="GG18" s="23"/>
      <c r="GH18" s="23"/>
      <c r="GI18" s="23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</row>
    <row r="19" spans="1:274" s="27" customFormat="1" hidden="1" outlineLevel="1" x14ac:dyDescent="0.2">
      <c r="A19" s="1695" t="s">
        <v>1128</v>
      </c>
      <c r="B19" s="342"/>
      <c r="C19" s="94"/>
      <c r="D19" s="94"/>
      <c r="E19" s="94"/>
      <c r="F19" s="94"/>
      <c r="G19" s="94"/>
      <c r="H19" s="342"/>
      <c r="I19" s="94"/>
      <c r="J19" s="94"/>
      <c r="K19" s="94"/>
      <c r="L19" s="94"/>
      <c r="M19" s="94"/>
      <c r="N19" s="342"/>
      <c r="O19" s="94"/>
      <c r="P19" s="94"/>
      <c r="Q19" s="94"/>
      <c r="R19" s="94"/>
      <c r="S19" s="94"/>
      <c r="T19" s="342"/>
      <c r="U19" s="94"/>
      <c r="V19" s="94"/>
      <c r="W19" s="94"/>
      <c r="X19" s="94"/>
      <c r="Y19" s="94"/>
      <c r="Z19" s="342"/>
      <c r="AA19" s="43"/>
      <c r="AB19" s="43"/>
      <c r="AC19" s="43"/>
      <c r="AD19" s="43"/>
      <c r="AE19" s="43"/>
      <c r="AF19" s="342"/>
      <c r="AG19" s="43"/>
      <c r="AH19" s="43"/>
      <c r="AI19" s="43"/>
      <c r="AJ19" s="43"/>
      <c r="AK19" s="43"/>
      <c r="AL19" s="342"/>
      <c r="AM19" s="43"/>
      <c r="AN19" s="43"/>
      <c r="AO19" s="43"/>
      <c r="AP19" s="43"/>
      <c r="AQ19" s="43"/>
      <c r="AR19" s="342"/>
      <c r="AS19" s="43"/>
      <c r="AT19" s="43"/>
      <c r="AU19" s="43"/>
      <c r="AV19" s="43"/>
      <c r="AW19" s="43"/>
      <c r="AX19" s="342"/>
      <c r="AY19" s="43"/>
      <c r="AZ19" s="43"/>
      <c r="BA19" s="43"/>
      <c r="BB19" s="43"/>
      <c r="BC19" s="43"/>
      <c r="BD19" s="342"/>
      <c r="BE19" s="43"/>
      <c r="BF19" s="43"/>
      <c r="BG19" s="43"/>
      <c r="BH19" s="43"/>
      <c r="BI19" s="43"/>
      <c r="BJ19" s="342"/>
      <c r="BK19" s="43"/>
      <c r="BL19" s="43"/>
      <c r="BM19" s="43"/>
      <c r="BN19" s="43"/>
      <c r="BO19" s="43"/>
      <c r="BP19" s="342"/>
      <c r="BQ19" s="43"/>
      <c r="BR19" s="43"/>
      <c r="BS19" s="43"/>
      <c r="BT19" s="43"/>
      <c r="BU19" s="43"/>
      <c r="BV19" s="342"/>
      <c r="BW19" s="43"/>
      <c r="BX19" s="43"/>
      <c r="BY19" s="43"/>
      <c r="BZ19" s="43"/>
      <c r="CA19" s="43"/>
      <c r="CB19" s="342"/>
      <c r="CC19" s="43"/>
      <c r="CD19" s="43"/>
      <c r="CE19" s="43"/>
      <c r="CF19" s="43"/>
      <c r="CG19" s="395"/>
      <c r="CH19" s="342"/>
      <c r="CI19" s="43"/>
      <c r="CJ19" s="43"/>
      <c r="CK19" s="43"/>
      <c r="CL19" s="43"/>
      <c r="CM19" s="395"/>
      <c r="CN19" s="342"/>
      <c r="CO19" s="43"/>
      <c r="CP19" s="43"/>
      <c r="CQ19" s="43"/>
      <c r="CR19" s="43"/>
      <c r="CS19" s="395"/>
      <c r="CT19" s="475"/>
      <c r="CU19" s="43"/>
      <c r="CV19" s="43"/>
      <c r="CW19" s="43"/>
      <c r="CX19" s="43"/>
      <c r="CY19" s="149" t="s">
        <v>943</v>
      </c>
      <c r="CZ19" s="156"/>
      <c r="DA19" s="43"/>
      <c r="DB19" s="43"/>
      <c r="DC19" s="43"/>
      <c r="DD19" s="43"/>
      <c r="DE19" s="149" t="s">
        <v>943</v>
      </c>
      <c r="DF19" s="475"/>
      <c r="DG19" s="43"/>
      <c r="DH19" s="43"/>
      <c r="DI19" s="43"/>
      <c r="DJ19" s="43"/>
      <c r="DK19" s="149" t="s">
        <v>943</v>
      </c>
      <c r="DL19" s="475"/>
      <c r="DM19" s="82">
        <f>((DM9-DM23-DM166-(DM10+DM11))/(DG9-DG23-DG166)-1)-DM16</f>
        <v>-4.0124416796267215E-3</v>
      </c>
      <c r="DN19" s="82">
        <f>((DN9-DN23-DN166-(DN10+DN11))/(DH9-DH23-DH166)-1)-DN16</f>
        <v>-2.9269634817408748E-2</v>
      </c>
      <c r="DO19" s="82">
        <f>((DO9-DO23-DO166-(DO10+DO11))/(DI9-DI23-DI166)-1)-DO16</f>
        <v>4.4258323725510085E-4</v>
      </c>
      <c r="DP19" s="82">
        <f>((DP9-DP23-DP166-(DP10+DP11))/(DJ9-DJ23-DJ166)-1)-DP16</f>
        <v>2.2119589508774573E-2</v>
      </c>
      <c r="DQ19" s="397">
        <f>((DQ9-DQ23-DQ166-(DQ10+DQ11))/(DK9-DK23-DK166)-1)-DQ16</f>
        <v>-1.4587270783660733E-2</v>
      </c>
      <c r="DR19" s="475"/>
      <c r="DS19" s="82">
        <f>((DS9-DS23-DS166-(DS10+DS11))/(DM9-DM23-DM166)-1)-DS16</f>
        <v>-8.7548871138771966E-2</v>
      </c>
      <c r="DT19" s="82">
        <f>((DT9-DT23-DT166-(DT10+DT11))/(DN9-DN23-DN166)-1)-DT16</f>
        <v>4.075242652349309E-2</v>
      </c>
      <c r="DU19" s="82">
        <f>((DU9-DU23-DU166-(DU10+DU11))/(DO9-DO23-DO166)-1)-DU16</f>
        <v>-0.10909071707099183</v>
      </c>
      <c r="DV19" s="82">
        <f>((DV9-DV23-DV166-(DV10+DV11))/(DP9-DP23-DP166)-1)-DV16</f>
        <v>-1.0470865515361472E-2</v>
      </c>
      <c r="DW19" s="148">
        <f>((DW9-DW23-DW166-(DW10+DW11))/(DQ9-DQ23-DQ166)-1)-DW16</f>
        <v>-3.376138990817712E-2</v>
      </c>
      <c r="DX19" s="156"/>
      <c r="DY19" s="43">
        <f>((DY9-DY23-DY166-(DY10+DY11))/(DS9-DS23-DS166)-1)-DY16</f>
        <v>-9.674286261068088E-2</v>
      </c>
      <c r="DZ19" s="43">
        <f>((DZ9-DZ23-DZ166-(DZ10+DZ11))/(DT9-DT23-DT166)-1)-DZ16</f>
        <v>-8.298081302277184E-2</v>
      </c>
      <c r="EA19" s="43">
        <f>((EA9-EA23-EA166-(EA10+EA11))/(DU9-DU23-DU166)-1)-EA16</f>
        <v>-7.0289655546515672E-2</v>
      </c>
      <c r="EB19" s="43">
        <f>((EB9-EB23-EB166-(EB10+EB11))/(DV9-DV23-DV166)-1)-EB16</f>
        <v>-5.4749513704686059E-2</v>
      </c>
      <c r="EC19" s="148">
        <f>((EC9-EC23-EC166-(EC10+EC11))/(DW9-DW23-DW166)-1)-EC16</f>
        <v>-6.8250136080270529E-2</v>
      </c>
      <c r="ED19" s="156"/>
      <c r="EE19" s="43">
        <f t="shared" ref="EE19:EQ19" si="7">((EE9-EE23-(EE10+EE11))/(DY9-DY23)-1)-EE16</f>
        <v>-7.8867619728377414E-2</v>
      </c>
      <c r="EF19" s="43">
        <f t="shared" si="7"/>
        <v>-5.9358242294515168E-2</v>
      </c>
      <c r="EG19" s="43">
        <f t="shared" si="7"/>
        <v>-6.8002840245898477E-2</v>
      </c>
      <c r="EH19" s="43">
        <f t="shared" si="7"/>
        <v>-0.1202612026167236</v>
      </c>
      <c r="EI19" s="148">
        <f t="shared" si="7"/>
        <v>-9.5324572756293052E-2</v>
      </c>
      <c r="EJ19" s="156"/>
      <c r="EK19" s="43">
        <f t="shared" si="7"/>
        <v>-0.15486280307871297</v>
      </c>
      <c r="EL19" s="43">
        <f t="shared" si="7"/>
        <v>-0.14487891331219205</v>
      </c>
      <c r="EM19" s="43">
        <f t="shared" si="7"/>
        <v>-0.12448097331273225</v>
      </c>
      <c r="EN19" s="43">
        <f t="shared" si="7"/>
        <v>-0.11662905768402089</v>
      </c>
      <c r="EO19" s="148">
        <f t="shared" si="7"/>
        <v>-0.1212290282459271</v>
      </c>
      <c r="EP19" s="156"/>
      <c r="EQ19" s="43">
        <f t="shared" si="7"/>
        <v>-0.16054642470059874</v>
      </c>
      <c r="ER19" s="43">
        <f t="shared" ref="ER19" si="8">((ER9-ER23-(ER10+ER11))/(EL9-EL23)-1)-ER16</f>
        <v>-0.27398345723108436</v>
      </c>
      <c r="ES19" s="43">
        <f t="shared" ref="ES19" si="9">((ES9-ES23-(ES10+ES11))/(EM9-EM23)-1)-ES16</f>
        <v>-0.36989504171648058</v>
      </c>
      <c r="ET19" s="43">
        <f t="shared" ref="ET19" si="10">((ET9-ET23-(ET10+ET11))/(EN9-EN23)-1)-ET16</f>
        <v>-0.182863451215035</v>
      </c>
      <c r="EU19" s="148">
        <f t="shared" ref="EU19" si="11">((EU9-EU23-(EU10+EU11))/(EO9-EO23)-1)-EU16</f>
        <v>-0.243419917417243</v>
      </c>
      <c r="EV19" s="156"/>
      <c r="EW19" s="43">
        <f t="shared" ref="EW19" si="12">((EW9-EW23-(EW10+EW11))/(EQ9-EQ23)-1)-EW16</f>
        <v>-0.41314932573111646</v>
      </c>
      <c r="EX19" s="43">
        <f t="shared" ref="EX19" si="13">((EX9-EX23-(EX10+EX11))/(ER9-ER23)-1)-EX16</f>
        <v>-0.21873273273871452</v>
      </c>
      <c r="EY19" s="43">
        <f t="shared" ref="EY19" si="14">((EY9-EY23-(EY10+EY11))/(ES9-ES23)-1)-EY16</f>
        <v>-6.26828176649738E-2</v>
      </c>
      <c r="EZ19" s="43">
        <f t="shared" ref="EZ19" si="15">((EZ9-EZ23-(EZ10+EZ11))/(ET9-ET23)-1)-EZ16</f>
        <v>-0.1</v>
      </c>
      <c r="FA19" s="148">
        <f t="shared" ref="FA19" si="16">((FA9-FA23-(FA10+FA11))/(EU9-EU23)-1)-FA16</f>
        <v>-0.21250865991654352</v>
      </c>
      <c r="FB19" s="156"/>
      <c r="FC19" s="43">
        <f t="shared" ref="FC19" si="17">((FC9-FC23-(FC10+FC11))/(EW9-EW23)-1)-FC16</f>
        <v>-3.2999999999999891E-2</v>
      </c>
      <c r="FD19" s="43">
        <f t="shared" ref="FD19" si="18">((FD9-FD23-(FD10+FD11))/(EX9-EX23)-1)-FD16</f>
        <v>-7.7999999999999833E-2</v>
      </c>
      <c r="FE19" s="43">
        <f t="shared" ref="FE19" si="19">((FE9-FE23-(FE10+FE11))/(EY9-EY23)-1)-FE16</f>
        <v>-7.7999999999999847E-2</v>
      </c>
      <c r="FF19" s="43">
        <f t="shared" ref="FF19" si="20">((FF9-FF23-(FF10+FF11))/(EZ9-EZ23)-1)-FF16</f>
        <v>-7.9999999999999849E-2</v>
      </c>
      <c r="FG19" s="148">
        <f t="shared" ref="FG19" si="21">((FG9-FG23-(FG10+FG11))/(FA9-FA23)-1)-FG16</f>
        <v>-6.2364441671966198E-2</v>
      </c>
      <c r="FH19" s="156"/>
      <c r="FI19" s="43">
        <f t="shared" ref="FI19" si="22">((FI9-FI23-(FI10+FI11))/(FC9-FC23)-1)-FI16</f>
        <v>-7.999999999999996E-2</v>
      </c>
      <c r="FJ19" s="43">
        <f t="shared" ref="FJ19" si="23">((FJ9-FJ23-(FJ10+FJ11))/(FD9-FD23)-1)-FJ16</f>
        <v>-8.0000000000000182E-2</v>
      </c>
      <c r="FK19" s="43">
        <f t="shared" ref="FK19" si="24">((FK9-FK23-(FK10+FK11))/(FE9-FE23)-1)-FK16</f>
        <v>-8.0000000000000182E-2</v>
      </c>
      <c r="FL19" s="43">
        <f t="shared" ref="FL19" si="25">((FL9-FL23-(FL10+FL11))/(FF9-FF23)-1)-FL16</f>
        <v>-8.0000000000000071E-2</v>
      </c>
      <c r="FM19" s="148">
        <f t="shared" ref="FM19" si="26">((FM9-FM23-(FM10+FM11))/(FG9-FG23)-1)-FM16</f>
        <v>-8.0000000000000515E-2</v>
      </c>
      <c r="FQ19"/>
      <c r="FR19"/>
      <c r="FS19"/>
      <c r="FT19"/>
      <c r="FU19"/>
      <c r="FV19"/>
      <c r="GB19" s="24"/>
      <c r="GC19" s="24"/>
      <c r="GD19" s="24"/>
      <c r="GE19" s="24"/>
      <c r="GF19" s="24"/>
      <c r="GG19" s="24"/>
      <c r="GH19" s="24"/>
      <c r="GI19" s="24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</row>
    <row r="20" spans="1:274" s="1517" customFormat="1" ht="12.75" customHeight="1" collapsed="1" x14ac:dyDescent="0.2">
      <c r="C20" s="1578"/>
      <c r="D20" s="1578"/>
      <c r="E20" s="1578"/>
      <c r="F20" s="1578"/>
      <c r="G20" s="1578"/>
      <c r="I20" s="1578"/>
      <c r="J20" s="1578"/>
      <c r="K20" s="1578"/>
      <c r="L20" s="1578"/>
      <c r="M20" s="1578"/>
      <c r="O20" s="1578"/>
      <c r="P20" s="1578"/>
      <c r="Q20" s="1578"/>
      <c r="R20" s="1578"/>
      <c r="S20" s="1578"/>
      <c r="U20" s="1578"/>
      <c r="V20" s="1578"/>
      <c r="W20" s="1578"/>
      <c r="X20" s="1578"/>
      <c r="Y20" s="1578"/>
      <c r="AA20" s="1577"/>
      <c r="AB20" s="1577"/>
      <c r="AC20" s="1577"/>
      <c r="AD20" s="1577"/>
      <c r="AE20" s="1577"/>
      <c r="AG20" s="1577"/>
      <c r="AH20" s="1577"/>
      <c r="AI20" s="1577"/>
      <c r="AJ20" s="1577"/>
      <c r="AK20" s="1577"/>
      <c r="AM20" s="1577"/>
      <c r="AN20" s="1577"/>
      <c r="AO20" s="1577"/>
      <c r="AP20" s="1577"/>
      <c r="AQ20" s="1577"/>
      <c r="AS20" s="1577"/>
      <c r="AT20" s="1577"/>
      <c r="AU20" s="1577"/>
      <c r="AV20" s="1577"/>
      <c r="AW20" s="1577"/>
      <c r="AY20" s="1577"/>
      <c r="AZ20" s="1577"/>
      <c r="BA20" s="1577"/>
      <c r="BB20" s="1577"/>
      <c r="BC20" s="1577"/>
      <c r="BE20" s="1577"/>
      <c r="BF20" s="1577"/>
      <c r="BG20" s="1577"/>
      <c r="BH20" s="1577"/>
      <c r="BI20" s="1577"/>
      <c r="BK20" s="1577"/>
      <c r="BL20" s="1577"/>
      <c r="BM20" s="1577"/>
      <c r="BN20" s="1577"/>
      <c r="BO20" s="1577"/>
      <c r="BQ20" s="1577"/>
      <c r="BR20" s="1577"/>
      <c r="BS20" s="1577"/>
      <c r="BT20" s="1577"/>
      <c r="BU20" s="1577"/>
      <c r="BW20" s="1577"/>
      <c r="BX20" s="1577"/>
      <c r="BY20" s="1577"/>
      <c r="BZ20" s="1577"/>
      <c r="CA20" s="1577"/>
      <c r="CC20" s="1577"/>
      <c r="CD20" s="1577"/>
      <c r="CE20" s="1577"/>
      <c r="CF20" s="1577"/>
      <c r="CG20" s="1579"/>
      <c r="CI20" s="1577"/>
      <c r="CJ20" s="1577"/>
      <c r="CK20" s="1577"/>
      <c r="CL20" s="1577"/>
      <c r="CM20" s="1579"/>
      <c r="CO20" s="1577"/>
      <c r="CP20" s="1583"/>
      <c r="CQ20" s="1577"/>
      <c r="CR20" s="1577"/>
      <c r="CS20" s="1579"/>
      <c r="CT20" s="1580"/>
      <c r="CU20" s="1577"/>
      <c r="CV20" s="1577"/>
      <c r="CW20" s="1577"/>
      <c r="CX20" s="1577"/>
      <c r="CY20" s="1581"/>
      <c r="CZ20" s="1582"/>
      <c r="DA20" s="1577"/>
      <c r="DB20" s="1577"/>
      <c r="DC20" s="1577"/>
      <c r="DD20" s="1577"/>
      <c r="DE20" s="1581"/>
      <c r="DF20" s="1580"/>
      <c r="DG20" s="1577"/>
      <c r="DH20" s="1577"/>
      <c r="DI20" s="1577"/>
      <c r="DJ20" s="1577"/>
      <c r="DK20" s="1581"/>
      <c r="DL20" s="1580"/>
      <c r="DM20" s="1577"/>
      <c r="DN20" s="1577"/>
      <c r="DO20" s="1584"/>
      <c r="DP20" s="1585"/>
      <c r="DQ20" s="1586"/>
      <c r="DR20" s="1587"/>
      <c r="DS20" s="1588"/>
      <c r="DT20" s="1584"/>
      <c r="DU20" s="1584"/>
      <c r="DV20" s="1577"/>
      <c r="DW20" s="1581"/>
      <c r="DX20" s="1580"/>
      <c r="DY20" s="1577"/>
      <c r="DZ20" s="1577"/>
      <c r="EA20" s="1577"/>
      <c r="EB20" s="1577"/>
      <c r="EC20" s="1581"/>
      <c r="ED20" s="1580"/>
      <c r="EE20" s="1577"/>
      <c r="EF20" s="1577"/>
      <c r="EG20" s="1577"/>
      <c r="EH20" s="1577"/>
      <c r="EI20" s="1581"/>
      <c r="EJ20" s="1580"/>
      <c r="EK20" s="1577"/>
      <c r="EL20" s="1577"/>
      <c r="EM20" s="1577"/>
      <c r="EN20" s="1577"/>
      <c r="EO20" s="1581"/>
      <c r="EP20" s="1580"/>
      <c r="EQ20" s="1577"/>
      <c r="ER20" s="1577"/>
      <c r="ES20" s="1577"/>
      <c r="ET20" s="1577"/>
      <c r="EU20" s="1581"/>
      <c r="EV20" s="1580"/>
      <c r="EW20" s="1577"/>
      <c r="EX20" s="1577"/>
      <c r="EY20" s="1577"/>
      <c r="EZ20" s="1577"/>
      <c r="FA20" s="1581"/>
      <c r="FB20" s="1580"/>
      <c r="FC20" s="1577"/>
      <c r="FD20" s="1577"/>
      <c r="FE20" s="1577"/>
      <c r="FF20" s="1577"/>
      <c r="FG20" s="1581"/>
      <c r="FH20" s="1580"/>
      <c r="FI20" s="1577"/>
      <c r="FJ20" s="1577"/>
      <c r="FK20" s="1577"/>
      <c r="FL20" s="1577"/>
      <c r="FM20" s="1581"/>
      <c r="FQ20"/>
      <c r="FR20"/>
      <c r="FS20"/>
      <c r="FT20"/>
      <c r="FU20"/>
      <c r="FV20"/>
      <c r="GB20" s="1523"/>
      <c r="GC20" s="1523"/>
      <c r="GD20" s="1523"/>
      <c r="GE20" s="1523"/>
      <c r="GF20" s="1523"/>
      <c r="GG20" s="1523"/>
      <c r="GH20" s="1523"/>
      <c r="GI20" s="1523"/>
      <c r="GJ20" s="1522"/>
      <c r="GK20" s="1522"/>
      <c r="GL20" s="1522"/>
      <c r="GM20" s="1522"/>
      <c r="GN20" s="1522"/>
      <c r="GO20" s="1522"/>
      <c r="GP20" s="1522"/>
      <c r="GQ20" s="1522"/>
      <c r="GR20" s="1522"/>
      <c r="GS20" s="1522"/>
      <c r="GT20" s="1522"/>
      <c r="GU20" s="1522"/>
      <c r="GV20" s="1522"/>
      <c r="GW20" s="1522"/>
      <c r="GX20" s="1522"/>
      <c r="GY20" s="1522"/>
      <c r="GZ20" s="1522"/>
      <c r="HA20" s="1522"/>
      <c r="HB20" s="1522"/>
      <c r="HC20" s="1522"/>
      <c r="HD20" s="1522"/>
      <c r="HE20" s="1522"/>
      <c r="HF20" s="1522"/>
      <c r="HG20" s="1522"/>
      <c r="HH20" s="1522"/>
      <c r="HI20" s="1522"/>
      <c r="HJ20" s="1522"/>
      <c r="HK20" s="1522"/>
      <c r="HL20" s="1522"/>
      <c r="HM20" s="1522"/>
      <c r="HN20" s="1522"/>
      <c r="HO20" s="1522"/>
      <c r="HP20" s="1522"/>
      <c r="HQ20" s="1522"/>
      <c r="HR20" s="1522"/>
      <c r="HS20" s="1522"/>
      <c r="HT20" s="1522"/>
      <c r="HU20" s="1522"/>
      <c r="HV20" s="1522"/>
      <c r="HW20" s="1522"/>
      <c r="HX20" s="1522"/>
      <c r="HY20" s="1522"/>
      <c r="HZ20" s="1522"/>
      <c r="IA20" s="1522"/>
      <c r="IB20" s="1522"/>
      <c r="IC20" s="1522"/>
      <c r="ID20" s="1522"/>
      <c r="IE20" s="1522"/>
      <c r="IF20" s="1522"/>
      <c r="IG20" s="1522"/>
      <c r="IH20" s="1522"/>
      <c r="II20" s="1522"/>
      <c r="IJ20" s="1522"/>
      <c r="IK20" s="1522"/>
      <c r="IL20" s="1522"/>
      <c r="IM20" s="1522"/>
      <c r="IN20" s="1522"/>
      <c r="IO20" s="1522"/>
      <c r="IP20" s="1522"/>
      <c r="IQ20" s="1522"/>
      <c r="IR20" s="1522"/>
      <c r="IS20" s="1522"/>
      <c r="IT20" s="1522"/>
      <c r="IU20" s="1522"/>
      <c r="IV20" s="1522"/>
      <c r="IW20" s="1522"/>
      <c r="IX20" s="1522"/>
      <c r="IY20" s="1522"/>
      <c r="IZ20" s="1522"/>
      <c r="JA20" s="1522"/>
      <c r="JB20" s="1522"/>
      <c r="JC20" s="1522"/>
      <c r="JD20" s="1522"/>
      <c r="JE20" s="1522"/>
      <c r="JF20" s="1522"/>
      <c r="JG20" s="1522"/>
      <c r="JH20" s="1522"/>
      <c r="JI20" s="1522"/>
      <c r="JJ20" s="1522"/>
      <c r="JK20" s="1522"/>
      <c r="JL20" s="1522"/>
      <c r="JM20" s="1522"/>
      <c r="JN20" s="1522"/>
    </row>
    <row r="21" spans="1:274" s="1517" customFormat="1" x14ac:dyDescent="0.2">
      <c r="A21" s="1517" t="s">
        <v>870</v>
      </c>
      <c r="C21" s="1525"/>
      <c r="D21" s="1577"/>
      <c r="E21" s="1577"/>
      <c r="F21" s="1577"/>
      <c r="G21" s="1577"/>
      <c r="H21" s="1577"/>
      <c r="I21" s="1577"/>
      <c r="J21" s="1577"/>
      <c r="K21" s="1577"/>
      <c r="L21" s="1577"/>
      <c r="M21" s="1577"/>
      <c r="O21" s="1578"/>
      <c r="P21" s="1578"/>
      <c r="Q21" s="1578"/>
      <c r="R21" s="1578"/>
      <c r="S21" s="1577"/>
      <c r="U21" s="1577"/>
      <c r="V21" s="1577"/>
      <c r="W21" s="1577"/>
      <c r="X21" s="1577"/>
      <c r="Y21" s="1577"/>
      <c r="AA21" s="1577"/>
      <c r="AB21" s="1577"/>
      <c r="AC21" s="1577"/>
      <c r="AD21" s="1577"/>
      <c r="AE21" s="1577"/>
      <c r="AG21" s="1577"/>
      <c r="AH21" s="1577"/>
      <c r="AI21" s="1577"/>
      <c r="AJ21" s="1577"/>
      <c r="AK21" s="1577"/>
      <c r="AM21" s="1577"/>
      <c r="AN21" s="1577"/>
      <c r="AO21" s="1577"/>
      <c r="AP21" s="1577"/>
      <c r="AQ21" s="1577"/>
      <c r="AS21" s="1577"/>
      <c r="AT21" s="1577"/>
      <c r="AU21" s="1577"/>
      <c r="AV21" s="1577"/>
      <c r="AW21" s="1577"/>
      <c r="AY21" s="1577"/>
      <c r="AZ21" s="1577"/>
      <c r="BA21" s="1577"/>
      <c r="BB21" s="1577"/>
      <c r="BC21" s="1577"/>
      <c r="BE21" s="1577"/>
      <c r="BF21" s="1577"/>
      <c r="BG21" s="1577"/>
      <c r="BH21" s="1577"/>
      <c r="BI21" s="1577"/>
      <c r="BK21" s="1577"/>
      <c r="BL21" s="1577"/>
      <c r="BM21" s="1577"/>
      <c r="BN21" s="1577"/>
      <c r="BO21" s="1577"/>
      <c r="BQ21" s="1577"/>
      <c r="BR21" s="1577"/>
      <c r="BS21" s="1577"/>
      <c r="BT21" s="1577"/>
      <c r="BU21" s="1577"/>
      <c r="BW21" s="1577"/>
      <c r="BX21" s="1577"/>
      <c r="BY21" s="1577"/>
      <c r="BZ21" s="1577"/>
      <c r="CA21" s="1577"/>
      <c r="CC21" s="1577"/>
      <c r="CD21" s="1577"/>
      <c r="CE21" s="1577"/>
      <c r="CF21" s="1577"/>
      <c r="CG21" s="1579"/>
      <c r="CI21" s="1577"/>
      <c r="CJ21" s="1577"/>
      <c r="CK21" s="1577"/>
      <c r="CL21" s="1577"/>
      <c r="CM21" s="1579"/>
      <c r="CO21" s="1577"/>
      <c r="CP21" s="1577"/>
      <c r="CQ21" s="1577"/>
      <c r="CR21" s="1577"/>
      <c r="CS21" s="1579"/>
      <c r="CT21" s="1580"/>
      <c r="CU21" s="1577"/>
      <c r="CV21" s="1577"/>
      <c r="CW21" s="1577"/>
      <c r="CX21" s="1577"/>
      <c r="CY21" s="1581"/>
      <c r="CZ21" s="1582"/>
      <c r="DA21" s="1577"/>
      <c r="DB21" s="1577"/>
      <c r="DC21" s="1577"/>
      <c r="DD21" s="1577"/>
      <c r="DE21" s="1581"/>
      <c r="DF21" s="1580"/>
      <c r="DG21" s="1577"/>
      <c r="DH21" s="1577"/>
      <c r="DI21" s="1577"/>
      <c r="DJ21" s="1577"/>
      <c r="DK21" s="1581"/>
      <c r="DL21" s="1580"/>
      <c r="DM21" s="1577"/>
      <c r="DN21" s="1577"/>
      <c r="DO21" s="1577"/>
      <c r="DP21" s="1577"/>
      <c r="DQ21" s="1581"/>
      <c r="DR21" s="1580"/>
      <c r="DS21" s="1577">
        <f>DS23/DM23-1</f>
        <v>1.611764705882353</v>
      </c>
      <c r="DT21" s="1577">
        <f>DT23/DN23-1</f>
        <v>1.5842696629213484</v>
      </c>
      <c r="DU21" s="1577">
        <f>DU23/DO23-1</f>
        <v>1.1636363636363636</v>
      </c>
      <c r="DV21" s="1577">
        <f>DV23/DP23-1</f>
        <v>0.36082474226804129</v>
      </c>
      <c r="DW21" s="1581">
        <f>DW23/DQ23-1</f>
        <v>0.99581589958159</v>
      </c>
      <c r="DX21" s="1580"/>
      <c r="DY21" s="1577">
        <f>DY23/DS23-1</f>
        <v>0.64864864864864868</v>
      </c>
      <c r="DZ21" s="1577">
        <f>DZ23/DT23-1</f>
        <v>0.5608695652173914</v>
      </c>
      <c r="EA21" s="1577">
        <f>EA23/DU23-1</f>
        <v>0.73529411764705888</v>
      </c>
      <c r="EB21" s="1577">
        <f>EB23/DV23-1</f>
        <v>0.7234848484848484</v>
      </c>
      <c r="EC21" s="1581">
        <f>EC23/DW23-1</f>
        <v>0.66981132075471694</v>
      </c>
      <c r="ED21" s="1580"/>
      <c r="EE21" s="1577">
        <f>EE23/DY23-1</f>
        <v>0.30327868852459017</v>
      </c>
      <c r="EF21" s="1577">
        <f>EF23/DZ23-1</f>
        <v>0.44568245125348183</v>
      </c>
      <c r="EG21" s="1577">
        <f>EG23/EA23-1</f>
        <v>0.28329297820823252</v>
      </c>
      <c r="EH21" s="1577">
        <f>EH23/EB23-1</f>
        <v>0.27252747252747245</v>
      </c>
      <c r="EI21" s="1581">
        <f>EI23/EC23-1</f>
        <v>0.32140615191462651</v>
      </c>
      <c r="EJ21" s="1580"/>
      <c r="EK21" s="1577">
        <f>EK23/EE23-1</f>
        <v>0.28301886792452824</v>
      </c>
      <c r="EL21" s="1577">
        <f>EL23/EF23-1</f>
        <v>0.25626204238920991</v>
      </c>
      <c r="EM21" s="1577">
        <f>EM23/EG23-1</f>
        <v>0.39056603773584908</v>
      </c>
      <c r="EN21" s="1577">
        <f>EN23/EH23-1</f>
        <v>0.48531951640759941</v>
      </c>
      <c r="EO21" s="1581">
        <f>EO23/EI23-1</f>
        <v>0.359144893111639</v>
      </c>
      <c r="EP21" s="1580"/>
      <c r="EQ21" s="1577">
        <f>EQ23/EK23-1</f>
        <v>0.61111111111111116</v>
      </c>
      <c r="ER21" s="1577">
        <f>ER23/EL23-1</f>
        <v>0.66717791411042948</v>
      </c>
      <c r="ES21" s="1577">
        <f>ES23/EM23-1</f>
        <v>0.70691994572591588</v>
      </c>
      <c r="ET21" s="1577">
        <f>ET23/EN23-1</f>
        <v>0.63953488372093026</v>
      </c>
      <c r="EU21" s="1581">
        <f>EU23/EO23-1</f>
        <v>0.65711289758825586</v>
      </c>
      <c r="EV21" s="1580"/>
      <c r="EW21" s="1577">
        <f>EW23/EQ23-1</f>
        <v>0.51318458417849899</v>
      </c>
      <c r="EX21" s="1577">
        <f>EX23/ER23-1</f>
        <v>0.40570377184912609</v>
      </c>
      <c r="EY21" s="1577">
        <f>EY23/ES23-1</f>
        <v>0.24880763116057225</v>
      </c>
      <c r="EZ21" s="1577">
        <f>EZ23/ET23-1</f>
        <v>0.20508510638297861</v>
      </c>
      <c r="FA21" s="1581">
        <f>FA23/EU23-1</f>
        <v>0.32676017717781058</v>
      </c>
      <c r="FB21" s="1580"/>
      <c r="FC21" s="1577">
        <f>FC23/EW23-1</f>
        <v>0.21052734584450405</v>
      </c>
      <c r="FD21" s="1577">
        <f>FD23/EX23-1</f>
        <v>0.25124345549738236</v>
      </c>
      <c r="FE21" s="1577">
        <f>FE23/EY23-1</f>
        <v>0.26342138765117751</v>
      </c>
      <c r="FF21" s="1577">
        <f>FF23/EZ23-1</f>
        <v>0.25179664188986406</v>
      </c>
      <c r="FG21" s="1581">
        <f>FG23/FA23-1</f>
        <v>0.24477670714781952</v>
      </c>
      <c r="FH21" s="1580"/>
      <c r="FI21" s="1577">
        <f>FI23/FC23-1</f>
        <v>0.23685101013959975</v>
      </c>
      <c r="FJ21" s="1577">
        <f>FJ23/FD23-1</f>
        <v>0.23013285213661794</v>
      </c>
      <c r="FK21" s="1577">
        <f>FK23/FE23-1</f>
        <v>0.2223150790871784</v>
      </c>
      <c r="FL21" s="1577">
        <f>FL23/FF23-1</f>
        <v>0.21495620553364114</v>
      </c>
      <c r="FM21" s="1581">
        <f>FM23/FG23-1</f>
        <v>0.22557794930893427</v>
      </c>
      <c r="FQ21"/>
      <c r="FR21"/>
      <c r="FS21"/>
      <c r="FT21"/>
      <c r="FU21"/>
      <c r="FV21"/>
      <c r="GB21" s="1523"/>
      <c r="GC21" s="1523"/>
      <c r="GD21" s="1523"/>
      <c r="GE21" s="1523"/>
      <c r="GF21" s="1523"/>
      <c r="GG21" s="1523"/>
      <c r="GH21" s="1523"/>
      <c r="GI21" s="1523"/>
      <c r="GJ21" s="1522"/>
      <c r="GK21" s="1522"/>
      <c r="GL21" s="1522"/>
      <c r="GM21" s="1522"/>
      <c r="GN21" s="1522"/>
      <c r="GO21" s="1522"/>
      <c r="GP21" s="1522"/>
      <c r="GQ21" s="1522"/>
      <c r="GR21" s="1522"/>
      <c r="GS21" s="1522"/>
      <c r="GT21" s="1522"/>
      <c r="GU21" s="1522"/>
      <c r="GV21" s="1522"/>
      <c r="GW21" s="1522"/>
      <c r="GX21" s="1522"/>
      <c r="GY21" s="1522"/>
      <c r="GZ21" s="1522"/>
      <c r="HA21" s="1522"/>
      <c r="HB21" s="1522"/>
      <c r="HC21" s="1522"/>
      <c r="HD21" s="1522"/>
      <c r="HE21" s="1522"/>
      <c r="HF21" s="1522"/>
      <c r="HG21" s="1522"/>
      <c r="HH21" s="1522"/>
      <c r="HI21" s="1522"/>
      <c r="HJ21" s="1522"/>
      <c r="HK21" s="1522"/>
      <c r="HL21" s="1522"/>
      <c r="HM21" s="1522"/>
      <c r="HN21" s="1522"/>
      <c r="HO21" s="1522"/>
      <c r="HP21" s="1522"/>
      <c r="HQ21" s="1522"/>
      <c r="HR21" s="1522"/>
      <c r="HS21" s="1522"/>
      <c r="HT21" s="1522"/>
      <c r="HU21" s="1522"/>
      <c r="HV21" s="1522"/>
      <c r="HW21" s="1522"/>
      <c r="HX21" s="1522"/>
      <c r="HY21" s="1522"/>
      <c r="HZ21" s="1522"/>
      <c r="IA21" s="1522"/>
      <c r="IB21" s="1522"/>
      <c r="IC21" s="1522"/>
      <c r="ID21" s="1522"/>
      <c r="IE21" s="1522"/>
      <c r="IF21" s="1522"/>
      <c r="IG21" s="1522"/>
      <c r="IH21" s="1522"/>
      <c r="II21" s="1522"/>
      <c r="IJ21" s="1522"/>
      <c r="IK21" s="1522"/>
      <c r="IL21" s="1522"/>
      <c r="IM21" s="1522"/>
      <c r="IN21" s="1522"/>
      <c r="IO21" s="1522"/>
      <c r="IP21" s="1522"/>
      <c r="IQ21" s="1522"/>
      <c r="IR21" s="1522"/>
      <c r="IS21" s="1522"/>
      <c r="IT21" s="1522"/>
      <c r="IU21" s="1522"/>
      <c r="IV21" s="1522"/>
      <c r="IW21" s="1522"/>
      <c r="IX21" s="1522"/>
      <c r="IY21" s="1522"/>
      <c r="IZ21" s="1522"/>
      <c r="JA21" s="1522"/>
      <c r="JB21" s="1522"/>
      <c r="JC21" s="1522"/>
      <c r="JD21" s="1522"/>
      <c r="JE21" s="1522"/>
      <c r="JF21" s="1522"/>
      <c r="JG21" s="1522"/>
      <c r="JH21" s="1522"/>
      <c r="JI21" s="1522"/>
      <c r="JJ21" s="1522"/>
      <c r="JK21" s="1522"/>
      <c r="JL21" s="1522"/>
      <c r="JM21" s="1522"/>
      <c r="JN21" s="1522"/>
    </row>
    <row r="22" spans="1:274" s="1517" customFormat="1" x14ac:dyDescent="0.2">
      <c r="A22" s="1517" t="s">
        <v>522</v>
      </c>
      <c r="C22" s="1525"/>
      <c r="D22" s="1577"/>
      <c r="E22" s="1577"/>
      <c r="F22" s="1577"/>
      <c r="G22" s="1577"/>
      <c r="H22" s="1577"/>
      <c r="I22" s="1577"/>
      <c r="J22" s="1577"/>
      <c r="K22" s="1577"/>
      <c r="L22" s="1577"/>
      <c r="M22" s="1577"/>
      <c r="O22" s="1578"/>
      <c r="P22" s="1578"/>
      <c r="Q22" s="1578"/>
      <c r="R22" s="1578"/>
      <c r="S22" s="1577"/>
      <c r="U22" s="1577"/>
      <c r="V22" s="1577"/>
      <c r="W22" s="1577"/>
      <c r="X22" s="1577"/>
      <c r="Y22" s="1577"/>
      <c r="AA22" s="1577"/>
      <c r="AB22" s="1577"/>
      <c r="AC22" s="1577"/>
      <c r="AD22" s="1577"/>
      <c r="AE22" s="1577"/>
      <c r="AG22" s="1577"/>
      <c r="AH22" s="1577"/>
      <c r="AI22" s="1577"/>
      <c r="AJ22" s="1577"/>
      <c r="AK22" s="1577"/>
      <c r="AM22" s="1577"/>
      <c r="AN22" s="1577"/>
      <c r="AO22" s="1577"/>
      <c r="AP22" s="1577"/>
      <c r="AQ22" s="1577"/>
      <c r="AS22" s="1577"/>
      <c r="AT22" s="1577"/>
      <c r="AU22" s="1577"/>
      <c r="AV22" s="1577"/>
      <c r="AW22" s="1577"/>
      <c r="AY22" s="1577"/>
      <c r="AZ22" s="1577"/>
      <c r="BA22" s="1577"/>
      <c r="BB22" s="1577"/>
      <c r="BC22" s="1577"/>
      <c r="BE22" s="1577"/>
      <c r="BF22" s="1577"/>
      <c r="BG22" s="1577"/>
      <c r="BH22" s="1577"/>
      <c r="BI22" s="1577"/>
      <c r="BK22" s="1577"/>
      <c r="BL22" s="1577"/>
      <c r="BM22" s="1577"/>
      <c r="BN22" s="1577"/>
      <c r="BO22" s="1577"/>
      <c r="BQ22" s="1577"/>
      <c r="BR22" s="1577"/>
      <c r="BS22" s="1577"/>
      <c r="BT22" s="1577"/>
      <c r="BU22" s="1577"/>
      <c r="BW22" s="1577"/>
      <c r="BX22" s="1577"/>
      <c r="BY22" s="1577"/>
      <c r="BZ22" s="1577"/>
      <c r="CA22" s="1577"/>
      <c r="CC22" s="1577"/>
      <c r="CD22" s="1577"/>
      <c r="CE22" s="1577"/>
      <c r="CF22" s="1577"/>
      <c r="CG22" s="1589"/>
      <c r="CI22" s="1577"/>
      <c r="CJ22" s="1577"/>
      <c r="CK22" s="1577"/>
      <c r="CL22" s="1577"/>
      <c r="CM22" s="1589"/>
      <c r="CO22" s="1577"/>
      <c r="CP22" s="1577"/>
      <c r="CQ22" s="1577"/>
      <c r="CR22" s="1577"/>
      <c r="CS22" s="1589"/>
      <c r="CT22" s="1580"/>
      <c r="CU22" s="1577"/>
      <c r="CV22" s="1577"/>
      <c r="CW22" s="1577"/>
      <c r="CX22" s="1577"/>
      <c r="CY22" s="1581"/>
      <c r="CZ22" s="1582"/>
      <c r="DA22" s="1577"/>
      <c r="DB22" s="1577"/>
      <c r="DC22" s="1577"/>
      <c r="DD22" s="1577"/>
      <c r="DE22" s="1581"/>
      <c r="DF22" s="1580"/>
      <c r="DG22" s="1577"/>
      <c r="DH22" s="1577"/>
      <c r="DI22" s="1577"/>
      <c r="DJ22" s="1577"/>
      <c r="DK22" s="1581"/>
      <c r="DL22" s="1580"/>
      <c r="DM22" s="1577"/>
      <c r="DN22" s="1577">
        <f>DN23/DM23-1</f>
        <v>4.705882352941182E-2</v>
      </c>
      <c r="DO22" s="1577">
        <f>DO23/DN23-1</f>
        <v>0.23595505617977519</v>
      </c>
      <c r="DP22" s="1577">
        <f>DP23/DO23-1</f>
        <v>0.76363636363636367</v>
      </c>
      <c r="DQ22" s="1581"/>
      <c r="DR22" s="1580"/>
      <c r="DS22" s="1577">
        <f>DS23/DP23-1</f>
        <v>0.14432989690721643</v>
      </c>
      <c r="DT22" s="1577">
        <f>DT23/DS23-1</f>
        <v>3.6036036036036112E-2</v>
      </c>
      <c r="DU22" s="1577">
        <f>DU23/DT23-1</f>
        <v>3.4782608695652195E-2</v>
      </c>
      <c r="DV22" s="1577">
        <f>DV23/DU23-1</f>
        <v>0.10924369747899165</v>
      </c>
      <c r="DW22" s="1581"/>
      <c r="DX22" s="1580"/>
      <c r="DY22" s="1577">
        <f>DY23/DV23-1</f>
        <v>0.38636363636363646</v>
      </c>
      <c r="DZ22" s="1577">
        <f>DZ23/DY23-1</f>
        <v>-1.9125683060109311E-2</v>
      </c>
      <c r="EA22" s="1577">
        <f>EA23/DZ23-1</f>
        <v>0.15041782729805009</v>
      </c>
      <c r="EB22" s="1577">
        <f>EB23/EA23-1</f>
        <v>0.10169491525423724</v>
      </c>
      <c r="EC22" s="1581"/>
      <c r="ED22" s="1580"/>
      <c r="EE22" s="1577">
        <f>EE23/EB23-1</f>
        <v>4.8351648351648402E-2</v>
      </c>
      <c r="EF22" s="1577">
        <f>EF23/EE23-1</f>
        <v>8.8050314465408785E-2</v>
      </c>
      <c r="EG22" s="1577">
        <f>EG23/EF23-1</f>
        <v>2.1194605009633882E-2</v>
      </c>
      <c r="EH22" s="1577">
        <f>EH23/EG23-1</f>
        <v>9.2452830188679336E-2</v>
      </c>
      <c r="EI22" s="1581"/>
      <c r="EJ22" s="1580"/>
      <c r="EK22" s="1577">
        <f>EK23/EH23-1</f>
        <v>5.6994818652849721E-2</v>
      </c>
      <c r="EL22" s="1577">
        <f>EL23/EK23-1</f>
        <v>6.5359477124182996E-2</v>
      </c>
      <c r="EM22" s="1577">
        <f>EM23/EL23-1</f>
        <v>0.13036809815950923</v>
      </c>
      <c r="EN22" s="1577">
        <f>EN23/EM23-1</f>
        <v>0.16689280868385348</v>
      </c>
      <c r="EO22" s="1581"/>
      <c r="EP22" s="1580"/>
      <c r="EQ22" s="1577">
        <f>EQ23/EN23-1</f>
        <v>0.14651162790697669</v>
      </c>
      <c r="ER22" s="1577">
        <f>ER23/EQ23-1</f>
        <v>0.10243407707910746</v>
      </c>
      <c r="ES22" s="1577">
        <f>ES23/ER23-1</f>
        <v>0.15731370745170192</v>
      </c>
      <c r="ET22" s="1577">
        <f>ET23/ES23-1</f>
        <v>0.12082670906200321</v>
      </c>
      <c r="EU22" s="1581"/>
      <c r="EV22" s="1580"/>
      <c r="EW22" s="1577">
        <f>EW23/ET23-1</f>
        <v>5.8156028368794299E-2</v>
      </c>
      <c r="EX22" s="1577">
        <f>EX23/EW23-1</f>
        <v>2.4128686327077764E-2</v>
      </c>
      <c r="EY22" s="1577">
        <f>EY23/EX23-1</f>
        <v>2.8141361256544428E-2</v>
      </c>
      <c r="EZ22" s="1577">
        <f>EZ23/EY23-1</f>
        <v>8.158497772119655E-2</v>
      </c>
      <c r="FA22" s="1581"/>
      <c r="FB22" s="1580"/>
      <c r="FC22" s="1577">
        <f>FC23/EZ23-1</f>
        <v>6.2934726954925191E-2</v>
      </c>
      <c r="FD22" s="1577">
        <f>FD23/FC23-1</f>
        <v>5.8575273621692903E-2</v>
      </c>
      <c r="FE22" s="1577">
        <f>FE23/FD23-1</f>
        <v>3.814791568596676E-2</v>
      </c>
      <c r="FF22" s="1577">
        <f>FF23/FE23-1</f>
        <v>7.1633309569813175E-2</v>
      </c>
      <c r="FG22" s="1581"/>
      <c r="FH22" s="1580"/>
      <c r="FI22" s="1577">
        <f>FI23/FF23-1</f>
        <v>5.0243982730166614E-2</v>
      </c>
      <c r="FJ22" s="1577">
        <f>FJ23/FI23-1</f>
        <v>5.2825449359967358E-2</v>
      </c>
      <c r="FK22" s="1577">
        <f>FK23/FJ23-1</f>
        <v>3.1550250415516734E-2</v>
      </c>
      <c r="FL22" s="1577">
        <f>FL23/FK23-1</f>
        <v>6.5181606440394058E-2</v>
      </c>
      <c r="FM22" s="1581"/>
      <c r="FQ22"/>
      <c r="FR22"/>
      <c r="FS22"/>
      <c r="FT22"/>
      <c r="FU22"/>
      <c r="FV22"/>
      <c r="GB22" s="1523"/>
      <c r="GC22" s="1523"/>
      <c r="GD22" s="1523"/>
      <c r="GE22" s="1523"/>
      <c r="GF22" s="1523"/>
      <c r="GG22" s="1523"/>
      <c r="GH22" s="1523"/>
      <c r="GI22" s="1523"/>
      <c r="GJ22" s="1522"/>
      <c r="GK22" s="1522"/>
      <c r="GL22" s="1522"/>
      <c r="GM22" s="1522"/>
      <c r="GN22" s="1522"/>
      <c r="GO22" s="1522"/>
      <c r="GP22" s="1522"/>
      <c r="GQ22" s="1522"/>
      <c r="GR22" s="1522"/>
      <c r="GS22" s="1522"/>
      <c r="GT22" s="1522"/>
      <c r="GU22" s="1522"/>
      <c r="GV22" s="1522"/>
      <c r="GW22" s="1522"/>
      <c r="GX22" s="1522"/>
      <c r="GY22" s="1522"/>
      <c r="GZ22" s="1522"/>
      <c r="HA22" s="1522"/>
      <c r="HB22" s="1522"/>
      <c r="HC22" s="1522"/>
      <c r="HD22" s="1522"/>
      <c r="HE22" s="1522"/>
      <c r="HF22" s="1522"/>
      <c r="HG22" s="1522"/>
      <c r="HH22" s="1522"/>
      <c r="HI22" s="1522"/>
      <c r="HJ22" s="1522"/>
      <c r="HK22" s="1522"/>
      <c r="HL22" s="1522"/>
      <c r="HM22" s="1522"/>
      <c r="HN22" s="1522"/>
      <c r="HO22" s="1522"/>
      <c r="HP22" s="1522"/>
      <c r="HQ22" s="1522"/>
      <c r="HR22" s="1522"/>
      <c r="HS22" s="1522"/>
      <c r="HT22" s="1522"/>
      <c r="HU22" s="1522"/>
      <c r="HV22" s="1522"/>
      <c r="HW22" s="1522"/>
      <c r="HX22" s="1522"/>
      <c r="HY22" s="1522"/>
      <c r="HZ22" s="1522"/>
      <c r="IA22" s="1522"/>
      <c r="IB22" s="1522"/>
      <c r="IC22" s="1522"/>
      <c r="ID22" s="1522"/>
      <c r="IE22" s="1522"/>
      <c r="IF22" s="1522"/>
      <c r="IG22" s="1522"/>
      <c r="IH22" s="1522"/>
      <c r="II22" s="1522"/>
      <c r="IJ22" s="1522"/>
      <c r="IK22" s="1522"/>
      <c r="IL22" s="1522"/>
      <c r="IM22" s="1522"/>
      <c r="IN22" s="1522"/>
      <c r="IO22" s="1522"/>
      <c r="IP22" s="1522"/>
      <c r="IQ22" s="1522"/>
      <c r="IR22" s="1522"/>
      <c r="IS22" s="1522"/>
      <c r="IT22" s="1522"/>
      <c r="IU22" s="1522"/>
      <c r="IV22" s="1522"/>
      <c r="IW22" s="1522"/>
      <c r="IX22" s="1522"/>
      <c r="IY22" s="1522"/>
      <c r="IZ22" s="1522"/>
      <c r="JA22" s="1522"/>
      <c r="JB22" s="1522"/>
      <c r="JC22" s="1522"/>
      <c r="JD22" s="1522"/>
      <c r="JE22" s="1522"/>
      <c r="JF22" s="1522"/>
      <c r="JG22" s="1522"/>
      <c r="JH22" s="1522"/>
      <c r="JI22" s="1522"/>
      <c r="JJ22" s="1522"/>
      <c r="JK22" s="1522"/>
      <c r="JL22" s="1522"/>
      <c r="JM22" s="1522"/>
      <c r="JN22" s="1522"/>
    </row>
    <row r="23" spans="1:274" s="261" customFormat="1" ht="12" hidden="1" customHeight="1" outlineLevel="1" x14ac:dyDescent="0.2">
      <c r="A23" s="1485" t="s">
        <v>1231</v>
      </c>
      <c r="B23" s="1485"/>
      <c r="C23" s="1486"/>
      <c r="D23" s="1486"/>
      <c r="E23" s="1486"/>
      <c r="F23" s="1486"/>
      <c r="G23" s="1486"/>
      <c r="H23" s="1486"/>
      <c r="I23" s="1486"/>
      <c r="J23" s="1486"/>
      <c r="K23" s="1486"/>
      <c r="L23" s="1486"/>
      <c r="M23" s="1486"/>
      <c r="N23" s="1055"/>
      <c r="O23" s="1486"/>
      <c r="P23" s="1486"/>
      <c r="Q23" s="1486"/>
      <c r="R23" s="1486"/>
      <c r="S23" s="1486"/>
      <c r="T23" s="1055"/>
      <c r="U23" s="1486"/>
      <c r="V23" s="1486"/>
      <c r="W23" s="1486"/>
      <c r="X23" s="1486"/>
      <c r="Y23" s="1486"/>
      <c r="Z23" s="1055"/>
      <c r="AA23" s="1486"/>
      <c r="AB23" s="1486"/>
      <c r="AC23" s="1486"/>
      <c r="AD23" s="1486"/>
      <c r="AE23" s="1486"/>
      <c r="AF23" s="1055"/>
      <c r="AG23" s="1486"/>
      <c r="AH23" s="1486"/>
      <c r="AI23" s="1486"/>
      <c r="AJ23" s="1486"/>
      <c r="AK23" s="1486"/>
      <c r="AL23" s="1055"/>
      <c r="AM23" s="1486"/>
      <c r="AN23" s="1486"/>
      <c r="AO23" s="1486"/>
      <c r="AP23" s="1486"/>
      <c r="AQ23" s="1486"/>
      <c r="AR23" s="1055"/>
      <c r="AS23" s="1486"/>
      <c r="AT23" s="1486"/>
      <c r="AU23" s="1486"/>
      <c r="AV23" s="1486"/>
      <c r="AW23" s="1486"/>
      <c r="AX23" s="1055"/>
      <c r="AY23" s="1486"/>
      <c r="AZ23" s="1486"/>
      <c r="BA23" s="1486"/>
      <c r="BB23" s="1486"/>
      <c r="BC23" s="1486"/>
      <c r="BD23" s="1055"/>
      <c r="BE23" s="1486"/>
      <c r="BF23" s="1486"/>
      <c r="BG23" s="1486"/>
      <c r="BH23" s="1486"/>
      <c r="BI23" s="1486"/>
      <c r="BJ23" s="1055"/>
      <c r="BK23" s="1486"/>
      <c r="BL23" s="1486"/>
      <c r="BM23" s="1486"/>
      <c r="BN23" s="1486"/>
      <c r="BO23" s="1486"/>
      <c r="BP23" s="1055"/>
      <c r="BQ23" s="1486"/>
      <c r="BR23" s="1486"/>
      <c r="BS23" s="1486"/>
      <c r="BT23" s="1486"/>
      <c r="BU23" s="1486"/>
      <c r="BV23" s="1055"/>
      <c r="BW23" s="1486"/>
      <c r="BX23" s="1486"/>
      <c r="BY23" s="1486"/>
      <c r="BZ23" s="1486"/>
      <c r="CA23" s="1486"/>
      <c r="CB23" s="1055"/>
      <c r="CC23" s="1487"/>
      <c r="CD23" s="1487"/>
      <c r="CE23" s="1487"/>
      <c r="CF23" s="1487"/>
      <c r="CG23" s="1488"/>
      <c r="CH23" s="1489"/>
      <c r="CI23" s="1487"/>
      <c r="CJ23" s="1487"/>
      <c r="CK23" s="1487"/>
      <c r="CL23" s="1487"/>
      <c r="CM23" s="1488"/>
      <c r="CN23" s="1489"/>
      <c r="CO23" s="1487"/>
      <c r="CP23" s="1487"/>
      <c r="CQ23" s="1487"/>
      <c r="CR23" s="1487"/>
      <c r="CS23" s="1488"/>
      <c r="CT23" s="1490"/>
      <c r="CU23" s="1487"/>
      <c r="CV23" s="1487"/>
      <c r="CW23" s="1487"/>
      <c r="CX23" s="1487"/>
      <c r="CY23" s="1488"/>
      <c r="CZ23" s="1491"/>
      <c r="DA23" s="1487"/>
      <c r="DB23" s="1487"/>
      <c r="DC23" s="1487"/>
      <c r="DD23" s="1487"/>
      <c r="DE23" s="1488"/>
      <c r="DF23" s="1490"/>
      <c r="DG23" s="1487"/>
      <c r="DH23" s="1487"/>
      <c r="DI23" s="1487"/>
      <c r="DJ23" s="1487"/>
      <c r="DK23" s="1488"/>
      <c r="DL23" s="1490"/>
      <c r="DM23" s="1492">
        <f>85</f>
        <v>85</v>
      </c>
      <c r="DN23" s="1492">
        <v>89</v>
      </c>
      <c r="DO23" s="1492">
        <v>110</v>
      </c>
      <c r="DP23" s="1492">
        <v>194</v>
      </c>
      <c r="DQ23" s="1488">
        <f>SUM(DM23:DP23)</f>
        <v>478</v>
      </c>
      <c r="DR23" s="1490"/>
      <c r="DS23" s="1492">
        <f>203+19</f>
        <v>222</v>
      </c>
      <c r="DT23" s="1492">
        <f>218+12</f>
        <v>230</v>
      </c>
      <c r="DU23" s="1492">
        <v>238</v>
      </c>
      <c r="DV23" s="1492">
        <v>264</v>
      </c>
      <c r="DW23" s="1488">
        <f>SUM(DS23:DV23)</f>
        <v>954</v>
      </c>
      <c r="DX23" s="1490"/>
      <c r="DY23" s="1487">
        <f>Model!DY35+Model!DY29</f>
        <v>366</v>
      </c>
      <c r="DZ23" s="1487">
        <f>Model!DZ35+Model!DZ29</f>
        <v>359</v>
      </c>
      <c r="EA23" s="1487">
        <f>Model!EA35+Model!EA29</f>
        <v>413</v>
      </c>
      <c r="EB23" s="1487">
        <f>Model!EB35+Model!EB29</f>
        <v>455</v>
      </c>
      <c r="EC23" s="1488">
        <f>SUM(DY23:EB23)</f>
        <v>1593</v>
      </c>
      <c r="ED23" s="1490"/>
      <c r="EE23" s="1487">
        <f>Model!EE35+Model!EE29</f>
        <v>477</v>
      </c>
      <c r="EF23" s="1487">
        <f>Model!EF35+Model!EF29</f>
        <v>519</v>
      </c>
      <c r="EG23" s="1487">
        <f>Model!EG35+Model!EG29</f>
        <v>530</v>
      </c>
      <c r="EH23" s="1487">
        <f>Model!EH35+Model!EH29</f>
        <v>579</v>
      </c>
      <c r="EI23" s="1488">
        <f>SUM(EE23:EH23)</f>
        <v>2105</v>
      </c>
      <c r="EJ23" s="1490"/>
      <c r="EK23" s="1487">
        <f>Model!EK20</f>
        <v>612</v>
      </c>
      <c r="EL23" s="1487">
        <f>Model!EL20</f>
        <v>652</v>
      </c>
      <c r="EM23" s="1487">
        <f>Model!EM20</f>
        <v>737</v>
      </c>
      <c r="EN23" s="1487">
        <f>Model!EN20</f>
        <v>860</v>
      </c>
      <c r="EO23" s="1488">
        <f t="shared" ref="EO23:EO28" si="27">SUM(EK23:EN23)</f>
        <v>2861</v>
      </c>
      <c r="EP23" s="1490"/>
      <c r="EQ23" s="1487">
        <f>Model!EQ20</f>
        <v>986</v>
      </c>
      <c r="ER23" s="1487">
        <f>Model!ER20</f>
        <v>1087</v>
      </c>
      <c r="ES23" s="1487">
        <f>Model!ES20</f>
        <v>1258</v>
      </c>
      <c r="ET23" s="1487">
        <f>Model!ET20</f>
        <v>1410</v>
      </c>
      <c r="EU23" s="1488">
        <f>SUM(EQ23:ET23)</f>
        <v>4741</v>
      </c>
      <c r="EV23" s="1490"/>
      <c r="EW23" s="1487">
        <f>Model!EW20</f>
        <v>1492</v>
      </c>
      <c r="EX23" s="1487">
        <f>Model!EX20</f>
        <v>1528</v>
      </c>
      <c r="EY23" s="1487">
        <f>Model!EY20</f>
        <v>1571</v>
      </c>
      <c r="EZ23" s="1487">
        <f>Model!EZ20</f>
        <v>1699.1699999999998</v>
      </c>
      <c r="FA23" s="1488">
        <f>SUM(EW23:EZ23)</f>
        <v>6290.17</v>
      </c>
      <c r="FB23" s="1490"/>
      <c r="FC23" s="1487">
        <f>Model!FC20</f>
        <v>1806.1068</v>
      </c>
      <c r="FD23" s="1487">
        <f>Model!FD20</f>
        <v>1911.9</v>
      </c>
      <c r="FE23" s="1487">
        <f>Model!FE20</f>
        <v>1984.835</v>
      </c>
      <c r="FF23" s="1487">
        <f>Model!FF20</f>
        <v>2127.0153</v>
      </c>
      <c r="FG23" s="1488">
        <f>SUM(FC23:FF23)</f>
        <v>7829.8571000000002</v>
      </c>
      <c r="FH23" s="1490"/>
      <c r="FI23" s="1487">
        <f>Model!FI20</f>
        <v>2233.8850200000002</v>
      </c>
      <c r="FJ23" s="1487">
        <f>Model!FJ20</f>
        <v>2351.8910000000001</v>
      </c>
      <c r="FK23" s="1487">
        <f>Model!FK20</f>
        <v>2426.09375</v>
      </c>
      <c r="FL23" s="1487">
        <f>Model!FL20</f>
        <v>2584.2304379999996</v>
      </c>
      <c r="FM23" s="1488">
        <f>SUM(FI23:FL23)</f>
        <v>9596.1002079999998</v>
      </c>
      <c r="FN23" s="27"/>
      <c r="FO23" s="60"/>
      <c r="FQ23"/>
      <c r="FR23"/>
      <c r="FS23"/>
      <c r="FT23"/>
      <c r="FU23"/>
      <c r="FV23"/>
      <c r="GB23" s="24"/>
      <c r="GC23" s="24"/>
      <c r="GD23" s="24"/>
      <c r="GE23" s="24"/>
      <c r="GF23" s="24"/>
      <c r="GG23" s="24"/>
      <c r="GH23" s="24"/>
      <c r="GI23" s="24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</row>
    <row r="24" spans="1:274" s="261" customFormat="1" ht="12" hidden="1" customHeight="1" outlineLevel="1" x14ac:dyDescent="0.2">
      <c r="A24" s="32" t="s">
        <v>502</v>
      </c>
      <c r="B24" s="32"/>
      <c r="C24" s="272"/>
      <c r="D24" s="272"/>
      <c r="E24" s="272"/>
      <c r="F24" s="272"/>
      <c r="G24" s="272"/>
      <c r="H24" s="272"/>
      <c r="I24" s="272"/>
      <c r="J24" s="272"/>
      <c r="K24" s="272"/>
      <c r="L24" s="272"/>
      <c r="M24" s="272"/>
      <c r="O24" s="272"/>
      <c r="P24" s="272"/>
      <c r="Q24" s="272"/>
      <c r="R24" s="272"/>
      <c r="S24" s="272"/>
      <c r="U24" s="272"/>
      <c r="V24" s="272"/>
      <c r="W24" s="272"/>
      <c r="X24" s="272"/>
      <c r="Y24" s="272"/>
      <c r="AA24" s="272"/>
      <c r="AB24" s="272"/>
      <c r="AC24" s="272"/>
      <c r="AD24" s="272"/>
      <c r="AE24" s="272"/>
      <c r="AG24" s="272"/>
      <c r="AH24" s="272"/>
      <c r="AI24" s="272"/>
      <c r="AJ24" s="272"/>
      <c r="AK24" s="272"/>
      <c r="AM24" s="272"/>
      <c r="AN24" s="272"/>
      <c r="AO24" s="272"/>
      <c r="AP24" s="272"/>
      <c r="AQ24" s="272"/>
      <c r="AS24" s="272"/>
      <c r="AT24" s="272"/>
      <c r="AU24" s="272"/>
      <c r="AV24" s="272"/>
      <c r="AW24" s="272"/>
      <c r="AY24" s="272"/>
      <c r="AZ24" s="272"/>
      <c r="BA24" s="272"/>
      <c r="BB24" s="272"/>
      <c r="BC24" s="272"/>
      <c r="BE24" s="272"/>
      <c r="BF24" s="272"/>
      <c r="BG24" s="272"/>
      <c r="BH24" s="272"/>
      <c r="BI24" s="272"/>
      <c r="BK24" s="272"/>
      <c r="BL24" s="272"/>
      <c r="BM24" s="272"/>
      <c r="BN24" s="272"/>
      <c r="BO24" s="272"/>
      <c r="BQ24" s="272"/>
      <c r="BR24" s="272"/>
      <c r="BS24" s="272"/>
      <c r="BT24" s="272"/>
      <c r="BU24" s="272"/>
      <c r="BW24" s="272"/>
      <c r="BX24" s="272"/>
      <c r="BY24" s="272"/>
      <c r="BZ24" s="272"/>
      <c r="CA24" s="272"/>
      <c r="CC24" s="272"/>
      <c r="CD24" s="272"/>
      <c r="CE24" s="272"/>
      <c r="CF24" s="272"/>
      <c r="CG24" s="557"/>
      <c r="CI24" s="272"/>
      <c r="CJ24" s="272"/>
      <c r="CK24" s="272"/>
      <c r="CL24" s="272"/>
      <c r="CM24" s="557"/>
      <c r="CO24" s="272"/>
      <c r="CP24" s="272"/>
      <c r="CQ24" s="272"/>
      <c r="CR24" s="272"/>
      <c r="CS24" s="557"/>
      <c r="CT24" s="271"/>
      <c r="CU24" s="272"/>
      <c r="CV24" s="272"/>
      <c r="CW24" s="272"/>
      <c r="CX24" s="272"/>
      <c r="CY24" s="557"/>
      <c r="CZ24" s="86"/>
      <c r="DA24" s="272"/>
      <c r="DB24" s="272"/>
      <c r="DC24" s="272"/>
      <c r="DD24" s="272"/>
      <c r="DE24" s="557"/>
      <c r="DF24" s="271"/>
      <c r="DG24" s="272"/>
      <c r="DH24" s="272"/>
      <c r="DI24" s="272"/>
      <c r="DJ24" s="272"/>
      <c r="DK24" s="557"/>
      <c r="DL24" s="271"/>
      <c r="DM24" s="272">
        <f>(DM76+DM77+(DM78+DM79+DM80)*0.5)</f>
        <v>0</v>
      </c>
      <c r="DN24" s="272">
        <f>(DN76+DN77+(DN78+DN79+DN80)*0.5)</f>
        <v>0</v>
      </c>
      <c r="DO24" s="272">
        <f>(DO76+DO77+(DO78+DO79+DO80)*0.25)</f>
        <v>17.16</v>
      </c>
      <c r="DP24" s="272">
        <f>(DP76+DP77+(DP78+DP79+DP80)*0.25)</f>
        <v>92.20470551999999</v>
      </c>
      <c r="DQ24" s="557">
        <f>SUM(DM24:DP24)</f>
        <v>109.36470551999999</v>
      </c>
      <c r="DR24" s="271"/>
      <c r="DS24" s="272">
        <f>(DS76+DS77+(DS78+DS79+DS80)*0.25)</f>
        <v>111.5</v>
      </c>
      <c r="DT24" s="272">
        <f>(DT76+DT77+(DT78+DT79+DT80)*0.25)</f>
        <v>119.25</v>
      </c>
      <c r="DU24" s="272">
        <f>(DU76+DU77+(DU78+DU79+DU80)*0.2)+DU83</f>
        <v>101.25</v>
      </c>
      <c r="DV24" s="272">
        <f>(DV76+DV77+(DV78+DV79+DV80)*0.25)+DV83</f>
        <v>46.109439975000001</v>
      </c>
      <c r="DW24" s="557">
        <f>SUM(DS24:DV24)</f>
        <v>378.10943997499999</v>
      </c>
      <c r="DX24" s="271"/>
      <c r="DY24" s="272">
        <f>(DY76+DY77+(DY78+DY79+DY80)*0.25)+DY83</f>
        <v>27.608661973749999</v>
      </c>
      <c r="DZ24" s="272">
        <f>DZ83+(DZ84*0.5)</f>
        <v>28.295345072437499</v>
      </c>
      <c r="EA24" s="272">
        <f>EA83+(EA84*0.5)+EA85</f>
        <v>37.459437867313945</v>
      </c>
      <c r="EB24" s="272">
        <f>(EB84*0.5)+EB85+EB86</f>
        <v>47.666666666666664</v>
      </c>
      <c r="EC24" s="557">
        <f>SUM(DY24:EB24)</f>
        <v>141.0301115801681</v>
      </c>
      <c r="ED24" s="271"/>
      <c r="EE24" s="272">
        <f>(EE84*0.5)+EE85+EE86</f>
        <v>59.095799999999997</v>
      </c>
      <c r="EF24" s="272">
        <f>(EF84*0.5)+EF85+EF86</f>
        <v>63.817165240000001</v>
      </c>
      <c r="EG24" s="272">
        <f>(EG84*0.5)+EG85+EG86</f>
        <v>48.392524043272005</v>
      </c>
      <c r="EH24" s="272">
        <f>(EH84*0.5)+EH85+EH86</f>
        <v>7.6338705067391812</v>
      </c>
      <c r="EI24" s="557">
        <f>SUM(EE24:EH24)</f>
        <v>178.9393597900112</v>
      </c>
      <c r="EJ24" s="271"/>
      <c r="EK24" s="272">
        <f>(EK84*0.5)+EK85+EK86</f>
        <v>0</v>
      </c>
      <c r="EL24" s="272">
        <f>(EL84*0.5)+EL85+EL86</f>
        <v>0</v>
      </c>
      <c r="EM24" s="272">
        <f>(EM84*0.5)+EM85+EM86</f>
        <v>0</v>
      </c>
      <c r="EN24" s="272">
        <f>(EN84*0.5)+EN85+EN86</f>
        <v>0</v>
      </c>
      <c r="EO24" s="557">
        <f t="shared" si="27"/>
        <v>0</v>
      </c>
      <c r="EP24" s="271"/>
      <c r="EQ24" s="272">
        <f>(EQ76+EQ77+(EQ78+EQ79+EQ80)*0.25)</f>
        <v>0</v>
      </c>
      <c r="ER24" s="272">
        <f>(ER76+ER77+(ER78+ER79+ER80)*0.5)</f>
        <v>0</v>
      </c>
      <c r="ES24" s="272">
        <f>(ES76+ES77+(ES78+ES79+ES80)*0.5)</f>
        <v>0</v>
      </c>
      <c r="ET24" s="272">
        <f>(ET76+ET77+(ET78+ET79+ET80)*0.5)</f>
        <v>0</v>
      </c>
      <c r="EU24" s="557">
        <f t="shared" ref="EU24:EU32" si="28">SUM(EQ24:ET24)</f>
        <v>0</v>
      </c>
      <c r="EV24" s="271"/>
      <c r="EW24" s="272">
        <f>(EW76+EW77+(EW78+EW79+EW80)*0.25)</f>
        <v>0</v>
      </c>
      <c r="EX24" s="272">
        <f>(EX76+EX77+(EX78+EX79+EX80)*0.5)</f>
        <v>0</v>
      </c>
      <c r="EY24" s="272">
        <f>(EY76+EY77+(EY78+EY79+EY80)*0.5)</f>
        <v>0</v>
      </c>
      <c r="EZ24" s="272">
        <f>(EZ76+EZ77+(EZ78+EZ79+EZ80)*0.5)</f>
        <v>0</v>
      </c>
      <c r="FA24" s="557">
        <f t="shared" ref="FA24:FA32" si="29">SUM(EW24:EZ24)</f>
        <v>0</v>
      </c>
      <c r="FB24" s="271"/>
      <c r="FC24" s="272">
        <f>(FC76+FC77+(FC78+FC79+FC80)*0.25)</f>
        <v>0</v>
      </c>
      <c r="FD24" s="272">
        <f>(FD76+FD77+(FD78+FD79+FD80)*0.5)</f>
        <v>0</v>
      </c>
      <c r="FE24" s="272">
        <f>(FE76+FE77+(FE78+FE79+FE80)*0.5)</f>
        <v>0</v>
      </c>
      <c r="FF24" s="272">
        <f>(FF76+FF77+(FF78+FF79+FF80)*0.5)</f>
        <v>0</v>
      </c>
      <c r="FG24" s="557">
        <f t="shared" ref="FG24:FG32" si="30">SUM(FC24:FF24)</f>
        <v>0</v>
      </c>
      <c r="FH24" s="271"/>
      <c r="FI24" s="272">
        <f>(FI76+FI77+(FI78+FI79+FI80)*0.25)</f>
        <v>0</v>
      </c>
      <c r="FJ24" s="272">
        <f>(FJ76+FJ77+(FJ78+FJ79+FJ80)*0.5)</f>
        <v>0</v>
      </c>
      <c r="FK24" s="272">
        <f>(FK76+FK77+(FK78+FK79+FK80)*0.5)</f>
        <v>0</v>
      </c>
      <c r="FL24" s="272">
        <f>(FL76+FL77+(FL78+FL79+FL80)*0.5)</f>
        <v>0</v>
      </c>
      <c r="FM24" s="557">
        <f t="shared" ref="FM24:FM32" si="31">SUM(FI24:FL24)</f>
        <v>0</v>
      </c>
      <c r="FN24" s="27"/>
      <c r="FO24" s="60"/>
      <c r="FQ24"/>
      <c r="FR24"/>
      <c r="FS24"/>
      <c r="FT24"/>
      <c r="FU24"/>
      <c r="FV24"/>
      <c r="GB24" s="24"/>
      <c r="GC24" s="24"/>
      <c r="GD24" s="24"/>
      <c r="GE24" s="24"/>
      <c r="GF24" s="24"/>
      <c r="GG24" s="24"/>
      <c r="GH24" s="24"/>
      <c r="GI24" s="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</row>
    <row r="25" spans="1:274" s="261" customFormat="1" ht="12" hidden="1" customHeight="1" outlineLevel="1" x14ac:dyDescent="0.2">
      <c r="A25" s="1696" t="s">
        <v>1121</v>
      </c>
      <c r="B25" s="32"/>
      <c r="C25" s="272"/>
      <c r="D25" s="272"/>
      <c r="E25" s="272"/>
      <c r="F25" s="272"/>
      <c r="G25" s="272"/>
      <c r="H25" s="272"/>
      <c r="I25" s="272"/>
      <c r="J25" s="272"/>
      <c r="K25" s="272"/>
      <c r="L25" s="272"/>
      <c r="M25" s="272"/>
      <c r="O25" s="272"/>
      <c r="P25" s="272"/>
      <c r="Q25" s="272"/>
      <c r="R25" s="272"/>
      <c r="S25" s="272"/>
      <c r="U25" s="272"/>
      <c r="V25" s="272"/>
      <c r="W25" s="272"/>
      <c r="X25" s="272"/>
      <c r="Y25" s="272"/>
      <c r="AA25" s="272"/>
      <c r="AB25" s="272"/>
      <c r="AC25" s="272"/>
      <c r="AD25" s="272"/>
      <c r="AE25" s="272"/>
      <c r="AG25" s="272"/>
      <c r="AH25" s="272"/>
      <c r="AI25" s="272"/>
      <c r="AJ25" s="272"/>
      <c r="AK25" s="272"/>
      <c r="AM25" s="272"/>
      <c r="AN25" s="272"/>
      <c r="AO25" s="272"/>
      <c r="AP25" s="272"/>
      <c r="AQ25" s="272"/>
      <c r="AS25" s="272"/>
      <c r="AT25" s="272"/>
      <c r="AU25" s="272"/>
      <c r="AV25" s="272"/>
      <c r="AW25" s="272"/>
      <c r="AY25" s="272"/>
      <c r="AZ25" s="272"/>
      <c r="BA25" s="272"/>
      <c r="BB25" s="272"/>
      <c r="BC25" s="272"/>
      <c r="BE25" s="272"/>
      <c r="BF25" s="272"/>
      <c r="BG25" s="272"/>
      <c r="BH25" s="272"/>
      <c r="BI25" s="272"/>
      <c r="BK25" s="272"/>
      <c r="BL25" s="272"/>
      <c r="BM25" s="272"/>
      <c r="BN25" s="272"/>
      <c r="BO25" s="272"/>
      <c r="BQ25" s="272"/>
      <c r="BR25" s="272"/>
      <c r="BS25" s="272"/>
      <c r="BT25" s="272"/>
      <c r="BU25" s="272"/>
      <c r="BW25" s="272"/>
      <c r="BX25" s="272"/>
      <c r="BY25" s="272"/>
      <c r="BZ25" s="272"/>
      <c r="CA25" s="272"/>
      <c r="CC25" s="272"/>
      <c r="CD25" s="272"/>
      <c r="CE25" s="272"/>
      <c r="CF25" s="272"/>
      <c r="CG25" s="557"/>
      <c r="CI25" s="272"/>
      <c r="CJ25" s="272"/>
      <c r="CK25" s="272"/>
      <c r="CL25" s="272"/>
      <c r="CM25" s="557"/>
      <c r="CO25" s="272"/>
      <c r="CP25" s="272"/>
      <c r="CQ25" s="272"/>
      <c r="CR25" s="272"/>
      <c r="CS25" s="557"/>
      <c r="CT25" s="271"/>
      <c r="CU25" s="272"/>
      <c r="CV25" s="272"/>
      <c r="CW25" s="272"/>
      <c r="CX25" s="272"/>
      <c r="CY25" s="557"/>
      <c r="CZ25" s="86"/>
      <c r="DA25" s="272"/>
      <c r="DB25" s="272"/>
      <c r="DC25" s="272"/>
      <c r="DD25" s="272"/>
      <c r="DE25" s="557"/>
      <c r="DF25" s="271"/>
      <c r="DG25" s="272"/>
      <c r="DH25" s="272"/>
      <c r="DI25" s="272"/>
      <c r="DJ25" s="272"/>
      <c r="DK25" s="557"/>
      <c r="DL25" s="271"/>
      <c r="DM25" s="272"/>
      <c r="DN25" s="272"/>
      <c r="DO25" s="272"/>
      <c r="DP25" s="272"/>
      <c r="DQ25" s="557"/>
      <c r="DR25" s="271"/>
      <c r="DS25" s="272"/>
      <c r="DT25" s="272"/>
      <c r="DU25" s="272"/>
      <c r="DV25" s="272"/>
      <c r="DW25" s="557"/>
      <c r="DX25" s="271"/>
      <c r="DY25" s="272"/>
      <c r="DZ25" s="272"/>
      <c r="EA25" s="272"/>
      <c r="EB25" s="272"/>
      <c r="EC25" s="557"/>
      <c r="ED25" s="271"/>
      <c r="EE25" s="272"/>
      <c r="EF25" s="272">
        <f>+EF88</f>
        <v>18.400000000000002</v>
      </c>
      <c r="EG25" s="272">
        <f>+EG88</f>
        <v>19.647520000000004</v>
      </c>
      <c r="EH25" s="272">
        <f>+EH88</f>
        <v>20.979621856000009</v>
      </c>
      <c r="EI25" s="557">
        <f>SUM(EE25:EH25)</f>
        <v>59.027141856000014</v>
      </c>
      <c r="EJ25" s="271"/>
      <c r="EK25" s="272">
        <f>+EK88</f>
        <v>22.402040217836809</v>
      </c>
      <c r="EL25" s="272">
        <f>+EL88</f>
        <v>0</v>
      </c>
      <c r="EM25" s="272">
        <f>+EM88</f>
        <v>0</v>
      </c>
      <c r="EN25" s="272">
        <f>+EN88</f>
        <v>0</v>
      </c>
      <c r="EO25" s="557">
        <f t="shared" si="27"/>
        <v>22.402040217836809</v>
      </c>
      <c r="EP25" s="271"/>
      <c r="EQ25" s="272"/>
      <c r="ER25" s="272"/>
      <c r="ES25" s="272"/>
      <c r="ET25" s="272"/>
      <c r="EU25" s="557">
        <f t="shared" si="28"/>
        <v>0</v>
      </c>
      <c r="EV25" s="271"/>
      <c r="EW25" s="272"/>
      <c r="EX25" s="272"/>
      <c r="EY25" s="272"/>
      <c r="EZ25" s="272"/>
      <c r="FA25" s="557">
        <f t="shared" si="29"/>
        <v>0</v>
      </c>
      <c r="FB25" s="271"/>
      <c r="FC25" s="272"/>
      <c r="FD25" s="272"/>
      <c r="FE25" s="272"/>
      <c r="FF25" s="272"/>
      <c r="FG25" s="557">
        <f t="shared" si="30"/>
        <v>0</v>
      </c>
      <c r="FH25" s="271"/>
      <c r="FI25" s="272"/>
      <c r="FJ25" s="272"/>
      <c r="FK25" s="272"/>
      <c r="FL25" s="272"/>
      <c r="FM25" s="557">
        <f t="shared" si="31"/>
        <v>0</v>
      </c>
      <c r="FN25" s="27"/>
      <c r="FO25" s="60"/>
      <c r="FQ25"/>
      <c r="FR25"/>
      <c r="FS25"/>
      <c r="FT25"/>
      <c r="FU25"/>
      <c r="FV25"/>
      <c r="GB25" s="24"/>
      <c r="GC25" s="24"/>
      <c r="GD25" s="24"/>
      <c r="GE25" s="24"/>
      <c r="GF25" s="24"/>
      <c r="GG25" s="24"/>
      <c r="GH25" s="24"/>
      <c r="GI25" s="24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</row>
    <row r="26" spans="1:274" s="261" customFormat="1" ht="12" hidden="1" customHeight="1" outlineLevel="1" x14ac:dyDescent="0.2">
      <c r="A26" s="1696" t="s">
        <v>1120</v>
      </c>
      <c r="B26" s="32"/>
      <c r="C26" s="272"/>
      <c r="D26" s="272"/>
      <c r="E26" s="272"/>
      <c r="F26" s="272"/>
      <c r="G26" s="272"/>
      <c r="H26" s="272"/>
      <c r="I26" s="272"/>
      <c r="J26" s="272"/>
      <c r="K26" s="272"/>
      <c r="L26" s="272"/>
      <c r="M26" s="272"/>
      <c r="O26" s="272"/>
      <c r="P26" s="272"/>
      <c r="Q26" s="272"/>
      <c r="R26" s="272"/>
      <c r="S26" s="272"/>
      <c r="U26" s="272"/>
      <c r="V26" s="272"/>
      <c r="W26" s="272"/>
      <c r="X26" s="272"/>
      <c r="Y26" s="272"/>
      <c r="AA26" s="272"/>
      <c r="AB26" s="272"/>
      <c r="AC26" s="272"/>
      <c r="AD26" s="272"/>
      <c r="AE26" s="272"/>
      <c r="AG26" s="272"/>
      <c r="AH26" s="272"/>
      <c r="AI26" s="272"/>
      <c r="AJ26" s="272"/>
      <c r="AK26" s="272"/>
      <c r="AM26" s="272"/>
      <c r="AN26" s="272"/>
      <c r="AO26" s="272"/>
      <c r="AP26" s="272"/>
      <c r="AQ26" s="272"/>
      <c r="AS26" s="272"/>
      <c r="AT26" s="272"/>
      <c r="AU26" s="272"/>
      <c r="AV26" s="272"/>
      <c r="AW26" s="272"/>
      <c r="AY26" s="272"/>
      <c r="AZ26" s="272"/>
      <c r="BA26" s="272"/>
      <c r="BB26" s="272"/>
      <c r="BC26" s="272"/>
      <c r="BE26" s="272"/>
      <c r="BF26" s="272"/>
      <c r="BG26" s="272"/>
      <c r="BH26" s="272"/>
      <c r="BI26" s="272"/>
      <c r="BK26" s="272"/>
      <c r="BL26" s="272"/>
      <c r="BM26" s="272"/>
      <c r="BN26" s="272"/>
      <c r="BO26" s="272"/>
      <c r="BQ26" s="272"/>
      <c r="BR26" s="272"/>
      <c r="BS26" s="272"/>
      <c r="BT26" s="272"/>
      <c r="BU26" s="272"/>
      <c r="BW26" s="272"/>
      <c r="BX26" s="272"/>
      <c r="BY26" s="272"/>
      <c r="BZ26" s="272"/>
      <c r="CA26" s="272"/>
      <c r="CC26" s="272"/>
      <c r="CD26" s="272"/>
      <c r="CE26" s="272"/>
      <c r="CF26" s="272"/>
      <c r="CG26" s="557"/>
      <c r="CI26" s="272"/>
      <c r="CJ26" s="272"/>
      <c r="CK26" s="272"/>
      <c r="CL26" s="272"/>
      <c r="CM26" s="557"/>
      <c r="CO26" s="272"/>
      <c r="CP26" s="272"/>
      <c r="CQ26" s="272"/>
      <c r="CR26" s="272"/>
      <c r="CS26" s="557"/>
      <c r="CT26" s="271"/>
      <c r="CU26" s="272"/>
      <c r="CV26" s="272"/>
      <c r="CW26" s="272"/>
      <c r="CX26" s="272"/>
      <c r="CY26" s="557"/>
      <c r="CZ26" s="86"/>
      <c r="DA26" s="272"/>
      <c r="DB26" s="272"/>
      <c r="DC26" s="272"/>
      <c r="DD26" s="272"/>
      <c r="DE26" s="557"/>
      <c r="DF26" s="271"/>
      <c r="DG26" s="272"/>
      <c r="DH26" s="272"/>
      <c r="DI26" s="272"/>
      <c r="DJ26" s="272"/>
      <c r="DK26" s="557"/>
      <c r="DL26" s="271"/>
      <c r="DM26" s="272"/>
      <c r="DN26" s="272"/>
      <c r="DO26" s="272"/>
      <c r="DP26" s="272"/>
      <c r="DQ26" s="557"/>
      <c r="DR26" s="271"/>
      <c r="DS26" s="272"/>
      <c r="DT26" s="272"/>
      <c r="DU26" s="272"/>
      <c r="DV26" s="272"/>
      <c r="DW26" s="557"/>
      <c r="DX26" s="271"/>
      <c r="DY26" s="272"/>
      <c r="DZ26" s="272"/>
      <c r="EA26" s="272"/>
      <c r="EB26" s="272"/>
      <c r="EC26" s="557"/>
      <c r="ED26" s="271"/>
      <c r="EE26" s="272"/>
      <c r="EF26" s="272">
        <v>10</v>
      </c>
      <c r="EG26" s="272">
        <v>14.76</v>
      </c>
      <c r="EH26" s="272">
        <v>22.839999999999996</v>
      </c>
      <c r="EI26" s="557">
        <f>SUM(EE26:EH26)</f>
        <v>47.599999999999994</v>
      </c>
      <c r="EJ26" s="271"/>
      <c r="EK26" s="272">
        <v>29.813333333333333</v>
      </c>
      <c r="EL26" s="272">
        <v>4.88</v>
      </c>
      <c r="EM26" s="272">
        <v>0</v>
      </c>
      <c r="EN26" s="272">
        <v>0</v>
      </c>
      <c r="EO26" s="557">
        <f t="shared" si="27"/>
        <v>34.693333333333335</v>
      </c>
      <c r="EP26" s="271"/>
      <c r="EQ26" s="272"/>
      <c r="ER26" s="272"/>
      <c r="ES26" s="272"/>
      <c r="ET26" s="272"/>
      <c r="EU26" s="557">
        <f t="shared" si="28"/>
        <v>0</v>
      </c>
      <c r="EV26" s="271"/>
      <c r="EW26" s="272"/>
      <c r="EX26" s="272"/>
      <c r="EY26" s="272"/>
      <c r="EZ26" s="272"/>
      <c r="FA26" s="557">
        <f t="shared" si="29"/>
        <v>0</v>
      </c>
      <c r="FB26" s="271"/>
      <c r="FC26" s="272"/>
      <c r="FD26" s="272"/>
      <c r="FE26" s="272"/>
      <c r="FF26" s="272"/>
      <c r="FG26" s="557">
        <f t="shared" si="30"/>
        <v>0</v>
      </c>
      <c r="FH26" s="271"/>
      <c r="FI26" s="272"/>
      <c r="FJ26" s="272"/>
      <c r="FK26" s="272"/>
      <c r="FL26" s="272"/>
      <c r="FM26" s="557">
        <f t="shared" si="31"/>
        <v>0</v>
      </c>
      <c r="FN26" s="27"/>
      <c r="FO26" s="60"/>
      <c r="FQ26"/>
      <c r="FR26"/>
      <c r="FS26"/>
      <c r="FT26"/>
      <c r="FU26"/>
      <c r="FV26"/>
      <c r="GB26" s="24"/>
      <c r="GC26" s="24"/>
      <c r="GD26" s="24"/>
      <c r="GE26" s="24"/>
      <c r="GF26" s="24"/>
      <c r="GG26" s="24"/>
      <c r="GH26" s="24"/>
      <c r="GI26" s="24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</row>
    <row r="27" spans="1:274" s="261" customFormat="1" ht="12" hidden="1" customHeight="1" outlineLevel="1" x14ac:dyDescent="0.2">
      <c r="A27" s="1696" t="s">
        <v>1147</v>
      </c>
      <c r="B27" s="32"/>
      <c r="C27" s="272"/>
      <c r="D27" s="272"/>
      <c r="E27" s="272"/>
      <c r="F27" s="272"/>
      <c r="G27" s="272"/>
      <c r="H27" s="272"/>
      <c r="I27" s="272"/>
      <c r="J27" s="272"/>
      <c r="K27" s="272"/>
      <c r="L27" s="272"/>
      <c r="M27" s="272"/>
      <c r="O27" s="272"/>
      <c r="P27" s="272"/>
      <c r="Q27" s="272"/>
      <c r="R27" s="272"/>
      <c r="S27" s="272"/>
      <c r="U27" s="272"/>
      <c r="V27" s="272"/>
      <c r="W27" s="272"/>
      <c r="X27" s="272"/>
      <c r="Y27" s="272"/>
      <c r="AA27" s="272"/>
      <c r="AB27" s="272"/>
      <c r="AC27" s="272"/>
      <c r="AD27" s="272"/>
      <c r="AE27" s="272"/>
      <c r="AG27" s="272"/>
      <c r="AH27" s="272"/>
      <c r="AI27" s="272"/>
      <c r="AJ27" s="272"/>
      <c r="AK27" s="272"/>
      <c r="AM27" s="272"/>
      <c r="AN27" s="272"/>
      <c r="AO27" s="272"/>
      <c r="AP27" s="272"/>
      <c r="AQ27" s="272"/>
      <c r="AS27" s="272"/>
      <c r="AT27" s="272"/>
      <c r="AU27" s="272"/>
      <c r="AV27" s="272"/>
      <c r="AW27" s="272"/>
      <c r="AY27" s="272"/>
      <c r="AZ27" s="272"/>
      <c r="BA27" s="272"/>
      <c r="BB27" s="272"/>
      <c r="BC27" s="272"/>
      <c r="BE27" s="272"/>
      <c r="BF27" s="272"/>
      <c r="BG27" s="272"/>
      <c r="BH27" s="272"/>
      <c r="BI27" s="272"/>
      <c r="BK27" s="272"/>
      <c r="BL27" s="272"/>
      <c r="BM27" s="272"/>
      <c r="BN27" s="272"/>
      <c r="BO27" s="272"/>
      <c r="BQ27" s="272"/>
      <c r="BR27" s="272"/>
      <c r="BS27" s="272"/>
      <c r="BT27" s="272"/>
      <c r="BU27" s="272"/>
      <c r="BW27" s="272"/>
      <c r="BX27" s="272"/>
      <c r="BY27" s="272"/>
      <c r="BZ27" s="272"/>
      <c r="CA27" s="272"/>
      <c r="CC27" s="272"/>
      <c r="CD27" s="272"/>
      <c r="CE27" s="272"/>
      <c r="CF27" s="272"/>
      <c r="CG27" s="557"/>
      <c r="CI27" s="272"/>
      <c r="CJ27" s="272"/>
      <c r="CK27" s="272"/>
      <c r="CL27" s="272"/>
      <c r="CM27" s="557"/>
      <c r="CO27" s="272"/>
      <c r="CP27" s="272"/>
      <c r="CQ27" s="272"/>
      <c r="CR27" s="272"/>
      <c r="CS27" s="557"/>
      <c r="CT27" s="271"/>
      <c r="CU27" s="272"/>
      <c r="CV27" s="272"/>
      <c r="CW27" s="272"/>
      <c r="CX27" s="272"/>
      <c r="CY27" s="557"/>
      <c r="CZ27" s="86"/>
      <c r="DA27" s="272"/>
      <c r="DB27" s="272"/>
      <c r="DC27" s="272"/>
      <c r="DD27" s="272"/>
      <c r="DE27" s="557"/>
      <c r="DF27" s="271"/>
      <c r="DG27" s="272"/>
      <c r="DH27" s="272"/>
      <c r="DI27" s="272"/>
      <c r="DJ27" s="272"/>
      <c r="DK27" s="557"/>
      <c r="DL27" s="271"/>
      <c r="DM27" s="272"/>
      <c r="DN27" s="272"/>
      <c r="DO27" s="272"/>
      <c r="DP27" s="272"/>
      <c r="DQ27" s="557"/>
      <c r="DR27" s="271"/>
      <c r="DS27" s="272"/>
      <c r="DT27" s="272"/>
      <c r="DU27" s="272"/>
      <c r="DV27" s="272"/>
      <c r="DW27" s="557"/>
      <c r="DX27" s="271"/>
      <c r="DY27" s="272"/>
      <c r="DZ27" s="272"/>
      <c r="EA27" s="272"/>
      <c r="EB27" s="272"/>
      <c r="EC27" s="557"/>
      <c r="ED27" s="271"/>
      <c r="EE27" s="272"/>
      <c r="EF27" s="272"/>
      <c r="EG27" s="272">
        <f>EG153</f>
        <v>3</v>
      </c>
      <c r="EH27" s="272">
        <f>EH153</f>
        <v>18.150000000000002</v>
      </c>
      <c r="EI27" s="557">
        <f>SUM(EE27:EH27)</f>
        <v>21.150000000000002</v>
      </c>
      <c r="EJ27" s="271"/>
      <c r="EK27" s="272">
        <f>EK153</f>
        <v>23.400000000000002</v>
      </c>
      <c r="EL27" s="272">
        <f>EL153</f>
        <v>34</v>
      </c>
      <c r="EM27" s="272">
        <v>0</v>
      </c>
      <c r="EN27" s="272">
        <v>0</v>
      </c>
      <c r="EO27" s="557">
        <f t="shared" si="27"/>
        <v>57.400000000000006</v>
      </c>
      <c r="EP27" s="271"/>
      <c r="EQ27" s="272"/>
      <c r="ER27" s="272"/>
      <c r="ES27" s="272"/>
      <c r="ET27" s="272"/>
      <c r="EU27" s="557">
        <f t="shared" si="28"/>
        <v>0</v>
      </c>
      <c r="EV27" s="271"/>
      <c r="EW27" s="272"/>
      <c r="EX27" s="272"/>
      <c r="EY27" s="272"/>
      <c r="EZ27" s="272"/>
      <c r="FA27" s="557">
        <f t="shared" si="29"/>
        <v>0</v>
      </c>
      <c r="FB27" s="271"/>
      <c r="FC27" s="272"/>
      <c r="FD27" s="272"/>
      <c r="FE27" s="272"/>
      <c r="FF27" s="272"/>
      <c r="FG27" s="557">
        <f t="shared" si="30"/>
        <v>0</v>
      </c>
      <c r="FH27" s="271"/>
      <c r="FI27" s="272"/>
      <c r="FJ27" s="272"/>
      <c r="FK27" s="272"/>
      <c r="FL27" s="272"/>
      <c r="FM27" s="557">
        <f t="shared" si="31"/>
        <v>0</v>
      </c>
      <c r="FN27" s="27"/>
      <c r="FO27" s="60"/>
      <c r="FQ27"/>
      <c r="FR27"/>
      <c r="FS27"/>
      <c r="FT27"/>
      <c r="FU27"/>
      <c r="FV27"/>
      <c r="GB27" s="24"/>
      <c r="GC27" s="24"/>
      <c r="GD27" s="24"/>
      <c r="GE27" s="24"/>
      <c r="GF27" s="24"/>
      <c r="GG27" s="24"/>
      <c r="GH27" s="24"/>
      <c r="GI27" s="24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</row>
    <row r="28" spans="1:274" s="261" customFormat="1" ht="12" hidden="1" customHeight="1" outlineLevel="1" x14ac:dyDescent="0.2">
      <c r="A28" s="1696" t="s">
        <v>1164</v>
      </c>
      <c r="B28" s="32"/>
      <c r="C28" s="272"/>
      <c r="D28" s="272"/>
      <c r="E28" s="272"/>
      <c r="F28" s="272"/>
      <c r="G28" s="272"/>
      <c r="H28" s="272"/>
      <c r="I28" s="272"/>
      <c r="J28" s="272"/>
      <c r="K28" s="272"/>
      <c r="L28" s="272"/>
      <c r="M28" s="272"/>
      <c r="O28" s="272"/>
      <c r="P28" s="272"/>
      <c r="Q28" s="272"/>
      <c r="R28" s="272"/>
      <c r="S28" s="272"/>
      <c r="U28" s="272"/>
      <c r="V28" s="272"/>
      <c r="W28" s="272"/>
      <c r="X28" s="272"/>
      <c r="Y28" s="272"/>
      <c r="AA28" s="272"/>
      <c r="AB28" s="272"/>
      <c r="AC28" s="272"/>
      <c r="AD28" s="272"/>
      <c r="AE28" s="272"/>
      <c r="AG28" s="272"/>
      <c r="AH28" s="272"/>
      <c r="AI28" s="272"/>
      <c r="AJ28" s="272"/>
      <c r="AK28" s="272"/>
      <c r="AM28" s="272"/>
      <c r="AN28" s="272"/>
      <c r="AO28" s="272"/>
      <c r="AP28" s="272"/>
      <c r="AQ28" s="272"/>
      <c r="AS28" s="272"/>
      <c r="AT28" s="272"/>
      <c r="AU28" s="272"/>
      <c r="AV28" s="272"/>
      <c r="AW28" s="272"/>
      <c r="AY28" s="272"/>
      <c r="AZ28" s="272"/>
      <c r="BA28" s="272"/>
      <c r="BB28" s="272"/>
      <c r="BC28" s="272"/>
      <c r="BE28" s="272"/>
      <c r="BF28" s="272"/>
      <c r="BG28" s="272"/>
      <c r="BH28" s="272"/>
      <c r="BI28" s="272"/>
      <c r="BK28" s="272"/>
      <c r="BL28" s="272"/>
      <c r="BM28" s="272"/>
      <c r="BN28" s="272"/>
      <c r="BO28" s="272"/>
      <c r="BQ28" s="272"/>
      <c r="BR28" s="272"/>
      <c r="BS28" s="272"/>
      <c r="BT28" s="272"/>
      <c r="BU28" s="272"/>
      <c r="BW28" s="272"/>
      <c r="BX28" s="272"/>
      <c r="BY28" s="272"/>
      <c r="BZ28" s="272"/>
      <c r="CA28" s="272"/>
      <c r="CC28" s="272"/>
      <c r="CD28" s="272"/>
      <c r="CE28" s="272"/>
      <c r="CF28" s="272"/>
      <c r="CG28" s="557"/>
      <c r="CI28" s="272"/>
      <c r="CJ28" s="272"/>
      <c r="CK28" s="272"/>
      <c r="CL28" s="272"/>
      <c r="CM28" s="557"/>
      <c r="CO28" s="272"/>
      <c r="CP28" s="272"/>
      <c r="CQ28" s="272"/>
      <c r="CR28" s="272"/>
      <c r="CS28" s="557"/>
      <c r="CT28" s="271"/>
      <c r="CU28" s="272"/>
      <c r="CV28" s="272"/>
      <c r="CW28" s="272"/>
      <c r="CX28" s="272"/>
      <c r="CY28" s="557"/>
      <c r="CZ28" s="86"/>
      <c r="DA28" s="272"/>
      <c r="DB28" s="272"/>
      <c r="DC28" s="272"/>
      <c r="DD28" s="272"/>
      <c r="DE28" s="557"/>
      <c r="DF28" s="271"/>
      <c r="DG28" s="272"/>
      <c r="DH28" s="272"/>
      <c r="DI28" s="272"/>
      <c r="DJ28" s="272"/>
      <c r="DK28" s="557"/>
      <c r="DL28" s="271"/>
      <c r="DM28" s="272"/>
      <c r="DN28" s="272"/>
      <c r="DO28" s="272"/>
      <c r="DP28" s="272"/>
      <c r="DQ28" s="557"/>
      <c r="DR28" s="271"/>
      <c r="DS28" s="272"/>
      <c r="DT28" s="272"/>
      <c r="DU28" s="272"/>
      <c r="DV28" s="272"/>
      <c r="DW28" s="557"/>
      <c r="DX28" s="271"/>
      <c r="DY28" s="272"/>
      <c r="DZ28" s="272"/>
      <c r="EA28" s="272"/>
      <c r="EB28" s="272"/>
      <c r="EC28" s="557"/>
      <c r="ED28" s="271"/>
      <c r="EE28" s="272"/>
      <c r="EF28" s="272"/>
      <c r="EG28" s="272"/>
      <c r="EH28" s="272"/>
      <c r="EI28" s="557"/>
      <c r="EJ28" s="271"/>
      <c r="EK28" s="272"/>
      <c r="EL28" s="272">
        <f>EL154</f>
        <v>11.05</v>
      </c>
      <c r="EM28" s="272">
        <f>EM154</f>
        <v>9</v>
      </c>
      <c r="EN28" s="272">
        <f>EN154</f>
        <v>19.5</v>
      </c>
      <c r="EO28" s="557">
        <f t="shared" si="27"/>
        <v>39.549999999999997</v>
      </c>
      <c r="EP28" s="271"/>
      <c r="EQ28" s="272">
        <f>EQ154</f>
        <v>20.5</v>
      </c>
      <c r="ER28" s="272"/>
      <c r="ES28" s="272"/>
      <c r="ET28" s="272"/>
      <c r="EU28" s="557">
        <f t="shared" si="28"/>
        <v>20.5</v>
      </c>
      <c r="EV28" s="271"/>
      <c r="EW28" s="272"/>
      <c r="EX28" s="272"/>
      <c r="EY28" s="272"/>
      <c r="EZ28" s="272"/>
      <c r="FA28" s="557">
        <f t="shared" si="29"/>
        <v>0</v>
      </c>
      <c r="FB28" s="271"/>
      <c r="FC28" s="272"/>
      <c r="FD28" s="272"/>
      <c r="FE28" s="272"/>
      <c r="FF28" s="272"/>
      <c r="FG28" s="557">
        <f t="shared" si="30"/>
        <v>0</v>
      </c>
      <c r="FH28" s="271"/>
      <c r="FI28" s="272"/>
      <c r="FJ28" s="272"/>
      <c r="FK28" s="272"/>
      <c r="FL28" s="272"/>
      <c r="FM28" s="557">
        <f t="shared" si="31"/>
        <v>0</v>
      </c>
      <c r="FN28" s="27"/>
      <c r="FO28" s="60"/>
      <c r="FQ28"/>
      <c r="FR28"/>
      <c r="FS28"/>
      <c r="FT28"/>
      <c r="FU28"/>
      <c r="FV28"/>
      <c r="GB28" s="851"/>
      <c r="GC28" s="851"/>
      <c r="GD28" s="851"/>
      <c r="GE28" s="851"/>
      <c r="GF28" s="851"/>
      <c r="GG28" s="851"/>
      <c r="GH28" s="851"/>
      <c r="GI28" s="851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</row>
    <row r="29" spans="1:274" s="261" customFormat="1" ht="12" hidden="1" customHeight="1" outlineLevel="1" x14ac:dyDescent="0.2">
      <c r="A29" s="1696" t="s">
        <v>1206</v>
      </c>
      <c r="B29" s="32"/>
      <c r="C29" s="272"/>
      <c r="D29" s="272"/>
      <c r="E29" s="272"/>
      <c r="F29" s="272"/>
      <c r="G29" s="272"/>
      <c r="H29" s="272"/>
      <c r="I29" s="272"/>
      <c r="J29" s="272"/>
      <c r="K29" s="272"/>
      <c r="L29" s="272"/>
      <c r="M29" s="272"/>
      <c r="O29" s="272"/>
      <c r="P29" s="272"/>
      <c r="Q29" s="272"/>
      <c r="R29" s="272"/>
      <c r="S29" s="272"/>
      <c r="U29" s="272"/>
      <c r="V29" s="272"/>
      <c r="W29" s="272"/>
      <c r="X29" s="272"/>
      <c r="Y29" s="272"/>
      <c r="AA29" s="272"/>
      <c r="AB29" s="272"/>
      <c r="AC29" s="272"/>
      <c r="AD29" s="272"/>
      <c r="AE29" s="272"/>
      <c r="AG29" s="272"/>
      <c r="AH29" s="272"/>
      <c r="AI29" s="272"/>
      <c r="AJ29" s="272"/>
      <c r="AK29" s="272"/>
      <c r="AM29" s="272"/>
      <c r="AN29" s="272"/>
      <c r="AO29" s="272"/>
      <c r="AP29" s="272"/>
      <c r="AQ29" s="272"/>
      <c r="AS29" s="272"/>
      <c r="AT29" s="272"/>
      <c r="AU29" s="272"/>
      <c r="AV29" s="272"/>
      <c r="AW29" s="272"/>
      <c r="AY29" s="272"/>
      <c r="AZ29" s="272"/>
      <c r="BA29" s="272"/>
      <c r="BB29" s="272"/>
      <c r="BC29" s="272"/>
      <c r="BE29" s="272"/>
      <c r="BF29" s="272"/>
      <c r="BG29" s="272"/>
      <c r="BH29" s="272"/>
      <c r="BI29" s="272"/>
      <c r="BK29" s="272"/>
      <c r="BL29" s="272"/>
      <c r="BM29" s="272"/>
      <c r="BN29" s="272"/>
      <c r="BO29" s="272"/>
      <c r="BQ29" s="272"/>
      <c r="BR29" s="272"/>
      <c r="BS29" s="272"/>
      <c r="BT29" s="272"/>
      <c r="BU29" s="272"/>
      <c r="BW29" s="272"/>
      <c r="BX29" s="272"/>
      <c r="BY29" s="272"/>
      <c r="BZ29" s="272"/>
      <c r="CA29" s="272"/>
      <c r="CC29" s="272"/>
      <c r="CD29" s="272"/>
      <c r="CE29" s="272"/>
      <c r="CF29" s="272"/>
      <c r="CG29" s="557"/>
      <c r="CI29" s="272"/>
      <c r="CJ29" s="272"/>
      <c r="CK29" s="272"/>
      <c r="CL29" s="272"/>
      <c r="CM29" s="557"/>
      <c r="CO29" s="272"/>
      <c r="CP29" s="272"/>
      <c r="CQ29" s="272"/>
      <c r="CR29" s="272"/>
      <c r="CS29" s="557"/>
      <c r="CT29" s="271"/>
      <c r="CU29" s="272"/>
      <c r="CV29" s="272"/>
      <c r="CW29" s="272"/>
      <c r="CX29" s="272"/>
      <c r="CY29" s="557"/>
      <c r="CZ29" s="86"/>
      <c r="DA29" s="272"/>
      <c r="DB29" s="272"/>
      <c r="DC29" s="272"/>
      <c r="DD29" s="272"/>
      <c r="DE29" s="557"/>
      <c r="DF29" s="271"/>
      <c r="DG29" s="272"/>
      <c r="DH29" s="272"/>
      <c r="DI29" s="272"/>
      <c r="DJ29" s="272"/>
      <c r="DK29" s="557"/>
      <c r="DL29" s="271"/>
      <c r="DM29" s="272"/>
      <c r="DN29" s="272"/>
      <c r="DO29" s="272"/>
      <c r="DP29" s="272"/>
      <c r="DQ29" s="557"/>
      <c r="DR29" s="271"/>
      <c r="DS29" s="272"/>
      <c r="DT29" s="272"/>
      <c r="DU29" s="272"/>
      <c r="DV29" s="272"/>
      <c r="DW29" s="557"/>
      <c r="DX29" s="271"/>
      <c r="DY29" s="272"/>
      <c r="DZ29" s="272"/>
      <c r="EA29" s="272"/>
      <c r="EB29" s="272"/>
      <c r="EC29" s="557"/>
      <c r="ED29" s="271"/>
      <c r="EE29" s="272"/>
      <c r="EF29" s="272"/>
      <c r="EG29" s="272"/>
      <c r="EH29" s="272"/>
      <c r="EI29" s="557"/>
      <c r="EJ29" s="271"/>
      <c r="EK29" s="272"/>
      <c r="EL29" s="272"/>
      <c r="EM29" s="272"/>
      <c r="EN29" s="272"/>
      <c r="EO29" s="557"/>
      <c r="EP29" s="271"/>
      <c r="EQ29" s="272">
        <f>EQ155*0.95</f>
        <v>22.690750000000001</v>
      </c>
      <c r="ER29" s="272">
        <f>ER155*0.95</f>
        <v>28.31</v>
      </c>
      <c r="ES29" s="272">
        <f>ES155*0.95</f>
        <v>29.164999999999999</v>
      </c>
      <c r="ET29" s="272">
        <f>ET155*0.95</f>
        <v>31.254999999999995</v>
      </c>
      <c r="EU29" s="557">
        <f t="shared" si="28"/>
        <v>111.42075</v>
      </c>
      <c r="EV29" s="271"/>
      <c r="EW29" s="272">
        <f>EW155*0.95</f>
        <v>4.9305000000000003</v>
      </c>
      <c r="EX29" s="272"/>
      <c r="EY29" s="272"/>
      <c r="EZ29" s="272"/>
      <c r="FA29" s="557">
        <f t="shared" si="29"/>
        <v>4.9305000000000003</v>
      </c>
      <c r="FB29" s="271"/>
      <c r="FC29" s="272"/>
      <c r="FD29" s="272"/>
      <c r="FE29" s="272"/>
      <c r="FF29" s="272"/>
      <c r="FG29" s="557">
        <f t="shared" si="30"/>
        <v>0</v>
      </c>
      <c r="FH29" s="271"/>
      <c r="FI29" s="272"/>
      <c r="FJ29" s="272"/>
      <c r="FK29" s="272"/>
      <c r="FL29" s="272"/>
      <c r="FM29" s="557">
        <f t="shared" si="31"/>
        <v>0</v>
      </c>
      <c r="FN29" s="27"/>
      <c r="FO29" s="60"/>
      <c r="FQ29"/>
      <c r="FR29"/>
      <c r="FS29"/>
      <c r="FT29"/>
      <c r="FU29"/>
      <c r="FV29"/>
      <c r="GB29" s="851"/>
      <c r="GC29" s="851"/>
      <c r="GD29" s="851"/>
      <c r="GE29" s="851"/>
      <c r="GF29" s="851"/>
      <c r="GG29" s="851"/>
      <c r="GH29" s="851"/>
      <c r="GI29" s="851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</row>
    <row r="30" spans="1:274" s="261" customFormat="1" ht="12" hidden="1" customHeight="1" outlineLevel="1" x14ac:dyDescent="0.2">
      <c r="A30" s="1696" t="s">
        <v>1205</v>
      </c>
      <c r="B30" s="32"/>
      <c r="C30" s="272"/>
      <c r="D30" s="272"/>
      <c r="E30" s="272"/>
      <c r="F30" s="272"/>
      <c r="G30" s="272"/>
      <c r="H30" s="272"/>
      <c r="I30" s="272"/>
      <c r="J30" s="272"/>
      <c r="K30" s="272"/>
      <c r="L30" s="272"/>
      <c r="M30" s="272"/>
      <c r="O30" s="272"/>
      <c r="P30" s="272"/>
      <c r="Q30" s="272"/>
      <c r="R30" s="272"/>
      <c r="S30" s="272"/>
      <c r="U30" s="272"/>
      <c r="V30" s="272"/>
      <c r="W30" s="272"/>
      <c r="X30" s="272"/>
      <c r="Y30" s="272"/>
      <c r="AA30" s="272"/>
      <c r="AB30" s="272"/>
      <c r="AC30" s="272"/>
      <c r="AD30" s="272"/>
      <c r="AE30" s="272"/>
      <c r="AG30" s="272"/>
      <c r="AH30" s="272"/>
      <c r="AI30" s="272"/>
      <c r="AJ30" s="272"/>
      <c r="AK30" s="272"/>
      <c r="AM30" s="272"/>
      <c r="AN30" s="272"/>
      <c r="AO30" s="272"/>
      <c r="AP30" s="272"/>
      <c r="AQ30" s="272"/>
      <c r="AS30" s="272"/>
      <c r="AT30" s="272"/>
      <c r="AU30" s="272"/>
      <c r="AV30" s="272"/>
      <c r="AW30" s="272"/>
      <c r="AY30" s="272"/>
      <c r="AZ30" s="272"/>
      <c r="BA30" s="272"/>
      <c r="BB30" s="272"/>
      <c r="BC30" s="272"/>
      <c r="BE30" s="272"/>
      <c r="BF30" s="272"/>
      <c r="BG30" s="272"/>
      <c r="BH30" s="272"/>
      <c r="BI30" s="272"/>
      <c r="BK30" s="272"/>
      <c r="BL30" s="272"/>
      <c r="BM30" s="272"/>
      <c r="BN30" s="272"/>
      <c r="BO30" s="272"/>
      <c r="BQ30" s="272"/>
      <c r="BR30" s="272"/>
      <c r="BS30" s="272"/>
      <c r="BT30" s="272"/>
      <c r="BU30" s="272"/>
      <c r="BW30" s="272"/>
      <c r="BX30" s="272"/>
      <c r="BY30" s="272"/>
      <c r="BZ30" s="272"/>
      <c r="CA30" s="272"/>
      <c r="CC30" s="272"/>
      <c r="CD30" s="272"/>
      <c r="CE30" s="272"/>
      <c r="CF30" s="272"/>
      <c r="CG30" s="557"/>
      <c r="CI30" s="272"/>
      <c r="CJ30" s="272"/>
      <c r="CK30" s="272"/>
      <c r="CL30" s="272"/>
      <c r="CM30" s="557"/>
      <c r="CO30" s="272"/>
      <c r="CP30" s="272"/>
      <c r="CQ30" s="272"/>
      <c r="CR30" s="272"/>
      <c r="CS30" s="557"/>
      <c r="CT30" s="271"/>
      <c r="CU30" s="272"/>
      <c r="CV30" s="272"/>
      <c r="CW30" s="272"/>
      <c r="CX30" s="272"/>
      <c r="CY30" s="557"/>
      <c r="CZ30" s="86"/>
      <c r="DA30" s="272"/>
      <c r="DB30" s="272"/>
      <c r="DC30" s="272"/>
      <c r="DD30" s="272"/>
      <c r="DE30" s="557"/>
      <c r="DF30" s="271"/>
      <c r="DG30" s="272"/>
      <c r="DH30" s="272"/>
      <c r="DI30" s="272"/>
      <c r="DJ30" s="272"/>
      <c r="DK30" s="557"/>
      <c r="DL30" s="271"/>
      <c r="DM30" s="272"/>
      <c r="DN30" s="272"/>
      <c r="DO30" s="272"/>
      <c r="DP30" s="272"/>
      <c r="DQ30" s="557"/>
      <c r="DR30" s="271"/>
      <c r="DS30" s="272"/>
      <c r="DT30" s="272"/>
      <c r="DU30" s="272"/>
      <c r="DV30" s="272"/>
      <c r="DW30" s="557"/>
      <c r="DX30" s="271"/>
      <c r="DY30" s="272"/>
      <c r="DZ30" s="272"/>
      <c r="EA30" s="272"/>
      <c r="EB30" s="272"/>
      <c r="EC30" s="557"/>
      <c r="ED30" s="271"/>
      <c r="EE30" s="272"/>
      <c r="EF30" s="272"/>
      <c r="EG30" s="272"/>
      <c r="EH30" s="272"/>
      <c r="EI30" s="557"/>
      <c r="EJ30" s="271"/>
      <c r="EK30" s="272"/>
      <c r="EL30" s="272"/>
      <c r="EM30" s="272"/>
      <c r="EN30" s="272"/>
      <c r="EO30" s="557"/>
      <c r="EP30" s="271"/>
      <c r="EQ30" s="272">
        <f>EQ156*0.9</f>
        <v>31.365000000000002</v>
      </c>
      <c r="ER30" s="272">
        <f>ER156*0.9</f>
        <v>39.663000000000004</v>
      </c>
      <c r="ES30" s="272">
        <f>ES156*0.9</f>
        <v>36.729000000000006</v>
      </c>
      <c r="ET30" s="272">
        <f>ET156*0.9</f>
        <v>38.808</v>
      </c>
      <c r="EU30" s="557">
        <f t="shared" si="28"/>
        <v>146.565</v>
      </c>
      <c r="EV30" s="271"/>
      <c r="EW30" s="272">
        <f>EW156*0.9</f>
        <v>6.2882999999999996</v>
      </c>
      <c r="EX30" s="272"/>
      <c r="EY30" s="272"/>
      <c r="EZ30" s="272"/>
      <c r="FA30" s="557">
        <f t="shared" si="29"/>
        <v>6.2882999999999996</v>
      </c>
      <c r="FB30" s="271"/>
      <c r="FC30" s="272"/>
      <c r="FD30" s="272"/>
      <c r="FE30" s="272"/>
      <c r="FF30" s="272"/>
      <c r="FG30" s="557">
        <f t="shared" si="30"/>
        <v>0</v>
      </c>
      <c r="FH30" s="271"/>
      <c r="FI30" s="272"/>
      <c r="FJ30" s="272"/>
      <c r="FK30" s="272"/>
      <c r="FL30" s="272"/>
      <c r="FM30" s="557">
        <f t="shared" si="31"/>
        <v>0</v>
      </c>
      <c r="FN30" s="27"/>
      <c r="FO30" s="60"/>
      <c r="FQ30"/>
      <c r="FR30"/>
      <c r="FS30"/>
      <c r="FT30"/>
      <c r="FU30"/>
      <c r="FV30"/>
      <c r="GB30" s="851"/>
      <c r="GC30" s="851"/>
      <c r="GD30" s="851"/>
      <c r="GE30" s="851"/>
      <c r="GF30" s="851"/>
      <c r="GG30" s="851"/>
      <c r="GH30" s="851"/>
      <c r="GI30" s="851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</row>
    <row r="31" spans="1:274" s="261" customFormat="1" ht="12" hidden="1" customHeight="1" outlineLevel="1" x14ac:dyDescent="0.2">
      <c r="A31" s="1696" t="s">
        <v>1227</v>
      </c>
      <c r="B31" s="32"/>
      <c r="C31" s="272"/>
      <c r="D31" s="272"/>
      <c r="E31" s="272"/>
      <c r="F31" s="272"/>
      <c r="G31" s="272"/>
      <c r="H31" s="272"/>
      <c r="I31" s="272"/>
      <c r="J31" s="272"/>
      <c r="K31" s="272"/>
      <c r="L31" s="272"/>
      <c r="M31" s="272"/>
      <c r="O31" s="272"/>
      <c r="P31" s="272"/>
      <c r="Q31" s="272"/>
      <c r="R31" s="272"/>
      <c r="S31" s="272"/>
      <c r="U31" s="272"/>
      <c r="V31" s="272"/>
      <c r="W31" s="272"/>
      <c r="X31" s="272"/>
      <c r="Y31" s="272"/>
      <c r="AA31" s="272"/>
      <c r="AB31" s="272"/>
      <c r="AC31" s="272"/>
      <c r="AD31" s="272"/>
      <c r="AE31" s="272"/>
      <c r="AG31" s="272"/>
      <c r="AH31" s="272"/>
      <c r="AI31" s="272"/>
      <c r="AJ31" s="272"/>
      <c r="AK31" s="272"/>
      <c r="AM31" s="272"/>
      <c r="AN31" s="272"/>
      <c r="AO31" s="272"/>
      <c r="AP31" s="272"/>
      <c r="AQ31" s="272"/>
      <c r="AS31" s="272"/>
      <c r="AT31" s="272"/>
      <c r="AU31" s="272"/>
      <c r="AV31" s="272"/>
      <c r="AW31" s="272"/>
      <c r="AY31" s="272"/>
      <c r="AZ31" s="272"/>
      <c r="BA31" s="272"/>
      <c r="BB31" s="272"/>
      <c r="BC31" s="272"/>
      <c r="BE31" s="272"/>
      <c r="BF31" s="272"/>
      <c r="BG31" s="272"/>
      <c r="BH31" s="272"/>
      <c r="BI31" s="272"/>
      <c r="BK31" s="272"/>
      <c r="BL31" s="272"/>
      <c r="BM31" s="272"/>
      <c r="BN31" s="272"/>
      <c r="BO31" s="272"/>
      <c r="BQ31" s="272"/>
      <c r="BR31" s="272"/>
      <c r="BS31" s="272"/>
      <c r="BT31" s="272"/>
      <c r="BU31" s="272"/>
      <c r="BW31" s="272"/>
      <c r="BX31" s="272"/>
      <c r="BY31" s="272"/>
      <c r="BZ31" s="272"/>
      <c r="CA31" s="272"/>
      <c r="CC31" s="272"/>
      <c r="CD31" s="272"/>
      <c r="CE31" s="272"/>
      <c r="CF31" s="272"/>
      <c r="CG31" s="557"/>
      <c r="CI31" s="272"/>
      <c r="CJ31" s="272"/>
      <c r="CK31" s="272"/>
      <c r="CL31" s="272"/>
      <c r="CM31" s="557"/>
      <c r="CO31" s="272"/>
      <c r="CP31" s="272"/>
      <c r="CQ31" s="272"/>
      <c r="CR31" s="272"/>
      <c r="CS31" s="557"/>
      <c r="CT31" s="271"/>
      <c r="CU31" s="272"/>
      <c r="CV31" s="272"/>
      <c r="CW31" s="272"/>
      <c r="CX31" s="272"/>
      <c r="CY31" s="557"/>
      <c r="CZ31" s="86"/>
      <c r="DA31" s="272"/>
      <c r="DB31" s="272"/>
      <c r="DC31" s="272"/>
      <c r="DD31" s="272"/>
      <c r="DE31" s="557"/>
      <c r="DF31" s="271"/>
      <c r="DG31" s="272"/>
      <c r="DH31" s="272"/>
      <c r="DI31" s="272"/>
      <c r="DJ31" s="272"/>
      <c r="DK31" s="557"/>
      <c r="DL31" s="271"/>
      <c r="DM31" s="272"/>
      <c r="DN31" s="272"/>
      <c r="DO31" s="272"/>
      <c r="DP31" s="272"/>
      <c r="DQ31" s="557"/>
      <c r="DR31" s="271"/>
      <c r="DS31" s="272"/>
      <c r="DT31" s="272"/>
      <c r="DU31" s="272"/>
      <c r="DV31" s="272"/>
      <c r="DW31" s="557"/>
      <c r="DX31" s="271"/>
      <c r="DY31" s="272"/>
      <c r="DZ31" s="272"/>
      <c r="EA31" s="272"/>
      <c r="EB31" s="272"/>
      <c r="EC31" s="557"/>
      <c r="ED31" s="271"/>
      <c r="EE31" s="272"/>
      <c r="EF31" s="272"/>
      <c r="EG31" s="272"/>
      <c r="EH31" s="272"/>
      <c r="EI31" s="557"/>
      <c r="EJ31" s="271"/>
      <c r="EK31" s="272"/>
      <c r="EL31" s="272"/>
      <c r="EM31" s="272"/>
      <c r="EN31" s="272"/>
      <c r="EO31" s="557"/>
      <c r="EP31" s="271"/>
      <c r="EQ31" s="272"/>
      <c r="ER31" s="272">
        <f>ER157*0.7</f>
        <v>48.098883431043262</v>
      </c>
      <c r="ES31" s="272">
        <f>ES157*0.7</f>
        <v>194.94144383393891</v>
      </c>
      <c r="ET31" s="272">
        <f>ET157*0.7</f>
        <v>201.45267023374919</v>
      </c>
      <c r="EU31" s="557">
        <f t="shared" si="28"/>
        <v>444.49299749873137</v>
      </c>
      <c r="EV31" s="271"/>
      <c r="EW31" s="272">
        <f>EW157*0.7</f>
        <v>213.22322716425217</v>
      </c>
      <c r="EX31" s="272">
        <f>EX157*0.7</f>
        <v>172.41413340269955</v>
      </c>
      <c r="EY31" s="272"/>
      <c r="EZ31" s="272"/>
      <c r="FA31" s="557">
        <f t="shared" si="29"/>
        <v>385.63736056695171</v>
      </c>
      <c r="FB31" s="271"/>
      <c r="FC31" s="272"/>
      <c r="FD31" s="272"/>
      <c r="FE31" s="272"/>
      <c r="FF31" s="272"/>
      <c r="FG31" s="557">
        <f t="shared" si="30"/>
        <v>0</v>
      </c>
      <c r="FH31" s="271"/>
      <c r="FI31" s="272"/>
      <c r="FJ31" s="272"/>
      <c r="FK31" s="272"/>
      <c r="FL31" s="272"/>
      <c r="FM31" s="557">
        <f t="shared" si="31"/>
        <v>0</v>
      </c>
      <c r="FN31" s="27"/>
      <c r="FO31" s="60"/>
      <c r="FQ31"/>
      <c r="FR31"/>
      <c r="FS31"/>
      <c r="FT31"/>
      <c r="FU31"/>
      <c r="FV31"/>
      <c r="GB31" s="851"/>
      <c r="GC31" s="851"/>
      <c r="GD31" s="851"/>
      <c r="GE31" s="851"/>
      <c r="GF31" s="851"/>
      <c r="GG31" s="851"/>
      <c r="GH31" s="851"/>
      <c r="GI31" s="85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</row>
    <row r="32" spans="1:274" s="261" customFormat="1" ht="12" hidden="1" customHeight="1" outlineLevel="1" x14ac:dyDescent="0.2">
      <c r="A32" s="1696" t="s">
        <v>1226</v>
      </c>
      <c r="B32" s="32"/>
      <c r="C32" s="272"/>
      <c r="D32" s="272"/>
      <c r="E32" s="272"/>
      <c r="F32" s="272"/>
      <c r="G32" s="272"/>
      <c r="H32" s="272"/>
      <c r="I32" s="272"/>
      <c r="J32" s="272"/>
      <c r="K32" s="272"/>
      <c r="L32" s="272"/>
      <c r="M32" s="272"/>
      <c r="O32" s="272"/>
      <c r="P32" s="272"/>
      <c r="Q32" s="272"/>
      <c r="R32" s="272"/>
      <c r="S32" s="272"/>
      <c r="U32" s="272"/>
      <c r="V32" s="272"/>
      <c r="W32" s="272"/>
      <c r="X32" s="272"/>
      <c r="Y32" s="272"/>
      <c r="AA32" s="272"/>
      <c r="AB32" s="272"/>
      <c r="AC32" s="272"/>
      <c r="AD32" s="272"/>
      <c r="AE32" s="272"/>
      <c r="AG32" s="272"/>
      <c r="AH32" s="272"/>
      <c r="AI32" s="272"/>
      <c r="AJ32" s="272"/>
      <c r="AK32" s="272"/>
      <c r="AM32" s="272"/>
      <c r="AN32" s="272"/>
      <c r="AO32" s="272"/>
      <c r="AP32" s="272"/>
      <c r="AQ32" s="272"/>
      <c r="AS32" s="272"/>
      <c r="AT32" s="272"/>
      <c r="AU32" s="272"/>
      <c r="AV32" s="272"/>
      <c r="AW32" s="272"/>
      <c r="AY32" s="272"/>
      <c r="AZ32" s="272"/>
      <c r="BA32" s="272"/>
      <c r="BB32" s="272"/>
      <c r="BC32" s="272"/>
      <c r="BE32" s="272"/>
      <c r="BF32" s="272"/>
      <c r="BG32" s="272"/>
      <c r="BH32" s="272"/>
      <c r="BI32" s="272"/>
      <c r="BK32" s="272"/>
      <c r="BL32" s="272"/>
      <c r="BM32" s="272"/>
      <c r="BN32" s="272"/>
      <c r="BO32" s="272"/>
      <c r="BQ32" s="272"/>
      <c r="BR32" s="272"/>
      <c r="BS32" s="272"/>
      <c r="BT32" s="272"/>
      <c r="BU32" s="272"/>
      <c r="BW32" s="272"/>
      <c r="BX32" s="272"/>
      <c r="BY32" s="272"/>
      <c r="BZ32" s="272"/>
      <c r="CA32" s="272"/>
      <c r="CC32" s="272"/>
      <c r="CD32" s="272"/>
      <c r="CE32" s="272"/>
      <c r="CF32" s="272"/>
      <c r="CG32" s="557"/>
      <c r="CI32" s="272"/>
      <c r="CJ32" s="272"/>
      <c r="CK32" s="272"/>
      <c r="CL32" s="272"/>
      <c r="CM32" s="557"/>
      <c r="CO32" s="272"/>
      <c r="CP32" s="272"/>
      <c r="CQ32" s="272"/>
      <c r="CR32" s="272"/>
      <c r="CS32" s="557"/>
      <c r="CT32" s="271"/>
      <c r="CU32" s="272"/>
      <c r="CV32" s="272"/>
      <c r="CW32" s="272"/>
      <c r="CX32" s="272"/>
      <c r="CY32" s="557"/>
      <c r="CZ32" s="86"/>
      <c r="DA32" s="272"/>
      <c r="DB32" s="272"/>
      <c r="DC32" s="272"/>
      <c r="DD32" s="272"/>
      <c r="DE32" s="557"/>
      <c r="DF32" s="271"/>
      <c r="DG32" s="272"/>
      <c r="DH32" s="272"/>
      <c r="DI32" s="272"/>
      <c r="DJ32" s="272"/>
      <c r="DK32" s="557"/>
      <c r="DL32" s="271"/>
      <c r="DM32" s="272"/>
      <c r="DN32" s="272"/>
      <c r="DO32" s="272"/>
      <c r="DP32" s="272"/>
      <c r="DQ32" s="557"/>
      <c r="DR32" s="271"/>
      <c r="DS32" s="272"/>
      <c r="DT32" s="272"/>
      <c r="DU32" s="272"/>
      <c r="DV32" s="272"/>
      <c r="DW32" s="557"/>
      <c r="DX32" s="271"/>
      <c r="DY32" s="272"/>
      <c r="DZ32" s="272"/>
      <c r="EA32" s="272"/>
      <c r="EB32" s="272"/>
      <c r="EC32" s="557"/>
      <c r="ED32" s="271"/>
      <c r="EE32" s="272"/>
      <c r="EF32" s="272"/>
      <c r="EG32" s="272"/>
      <c r="EH32" s="272"/>
      <c r="EI32" s="557"/>
      <c r="EJ32" s="271"/>
      <c r="EK32" s="272"/>
      <c r="EL32" s="272"/>
      <c r="EM32" s="272"/>
      <c r="EN32" s="272"/>
      <c r="EO32" s="557"/>
      <c r="EP32" s="271"/>
      <c r="EQ32" s="272"/>
      <c r="ER32" s="272"/>
      <c r="ES32" s="272">
        <f>ES158</f>
        <v>9.3333333333333339</v>
      </c>
      <c r="ET32" s="272">
        <f>ET158</f>
        <v>29.5</v>
      </c>
      <c r="EU32" s="557">
        <f t="shared" si="28"/>
        <v>38.833333333333336</v>
      </c>
      <c r="EV32" s="271"/>
      <c r="EW32" s="272">
        <f>EW158</f>
        <v>31</v>
      </c>
      <c r="EX32" s="272">
        <f>EX158</f>
        <v>32.5</v>
      </c>
      <c r="EY32" s="272"/>
      <c r="EZ32" s="272"/>
      <c r="FA32" s="557">
        <f t="shared" si="29"/>
        <v>63.5</v>
      </c>
      <c r="FB32" s="271"/>
      <c r="FC32" s="272"/>
      <c r="FD32" s="272"/>
      <c r="FE32" s="272"/>
      <c r="FF32" s="272"/>
      <c r="FG32" s="557">
        <f t="shared" si="30"/>
        <v>0</v>
      </c>
      <c r="FH32" s="271"/>
      <c r="FI32" s="272"/>
      <c r="FJ32" s="272"/>
      <c r="FK32" s="272"/>
      <c r="FL32" s="272"/>
      <c r="FM32" s="557">
        <f t="shared" si="31"/>
        <v>0</v>
      </c>
      <c r="FN32" s="27"/>
      <c r="FO32" s="60"/>
      <c r="FQ32"/>
      <c r="FR32"/>
      <c r="FS32"/>
      <c r="FT32"/>
      <c r="FU32"/>
      <c r="FV32"/>
      <c r="GB32" s="851"/>
      <c r="GC32" s="851"/>
      <c r="GD32" s="851"/>
      <c r="GE32" s="851"/>
      <c r="GF32" s="851"/>
      <c r="GG32" s="851"/>
      <c r="GH32" s="851"/>
      <c r="GI32" s="851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</row>
    <row r="33" spans="1:274" s="261" customFormat="1" ht="12" hidden="1" customHeight="1" outlineLevel="1" x14ac:dyDescent="0.2">
      <c r="A33" s="1485" t="s">
        <v>1232</v>
      </c>
      <c r="B33" s="1485"/>
      <c r="C33" s="1486"/>
      <c r="D33" s="1486"/>
      <c r="E33" s="1486"/>
      <c r="F33" s="1486"/>
      <c r="G33" s="1486"/>
      <c r="H33" s="1486"/>
      <c r="I33" s="1486"/>
      <c r="J33" s="1486"/>
      <c r="K33" s="1486"/>
      <c r="L33" s="1486"/>
      <c r="M33" s="1486"/>
      <c r="N33" s="1055"/>
      <c r="O33" s="1486"/>
      <c r="P33" s="1486"/>
      <c r="Q33" s="1486"/>
      <c r="R33" s="1486"/>
      <c r="S33" s="1486"/>
      <c r="T33" s="1055"/>
      <c r="U33" s="1486"/>
      <c r="V33" s="1486"/>
      <c r="W33" s="1486"/>
      <c r="X33" s="1486"/>
      <c r="Y33" s="1486"/>
      <c r="Z33" s="1055"/>
      <c r="AA33" s="1486"/>
      <c r="AB33" s="1486"/>
      <c r="AC33" s="1486"/>
      <c r="AD33" s="1486"/>
      <c r="AE33" s="1486"/>
      <c r="AF33" s="1055"/>
      <c r="AG33" s="1486"/>
      <c r="AH33" s="1486"/>
      <c r="AI33" s="1486"/>
      <c r="AJ33" s="1486"/>
      <c r="AK33" s="1486"/>
      <c r="AL33" s="1055"/>
      <c r="AM33" s="1486"/>
      <c r="AN33" s="1486"/>
      <c r="AO33" s="1486"/>
      <c r="AP33" s="1486"/>
      <c r="AQ33" s="1486"/>
      <c r="AR33" s="1055"/>
      <c r="AS33" s="1486"/>
      <c r="AT33" s="1486"/>
      <c r="AU33" s="1486"/>
      <c r="AV33" s="1486"/>
      <c r="AW33" s="1486"/>
      <c r="AX33" s="1055"/>
      <c r="AY33" s="1486"/>
      <c r="AZ33" s="1486"/>
      <c r="BA33" s="1486"/>
      <c r="BB33" s="1486"/>
      <c r="BC33" s="1486"/>
      <c r="BD33" s="1055"/>
      <c r="BE33" s="1486"/>
      <c r="BF33" s="1486"/>
      <c r="BG33" s="1486"/>
      <c r="BH33" s="1486"/>
      <c r="BI33" s="1486"/>
      <c r="BJ33" s="1055"/>
      <c r="BK33" s="1486"/>
      <c r="BL33" s="1486"/>
      <c r="BM33" s="1486"/>
      <c r="BN33" s="1486"/>
      <c r="BO33" s="1486"/>
      <c r="BP33" s="1055"/>
      <c r="BQ33" s="1486"/>
      <c r="BR33" s="1486"/>
      <c r="BS33" s="1486"/>
      <c r="BT33" s="1486"/>
      <c r="BU33" s="1486"/>
      <c r="BV33" s="1055"/>
      <c r="BW33" s="1486"/>
      <c r="BX33" s="1486"/>
      <c r="BY33" s="1486"/>
      <c r="BZ33" s="1486"/>
      <c r="CA33" s="1486"/>
      <c r="CB33" s="1055"/>
      <c r="CC33" s="1487"/>
      <c r="CD33" s="1487"/>
      <c r="CE33" s="1487"/>
      <c r="CF33" s="1487"/>
      <c r="CG33" s="1488"/>
      <c r="CH33" s="1489"/>
      <c r="CI33" s="1487"/>
      <c r="CJ33" s="1487"/>
      <c r="CK33" s="1487"/>
      <c r="CL33" s="1487"/>
      <c r="CM33" s="1488"/>
      <c r="CN33" s="1489"/>
      <c r="CO33" s="1487"/>
      <c r="CP33" s="1487"/>
      <c r="CQ33" s="1487"/>
      <c r="CR33" s="1487"/>
      <c r="CS33" s="1488"/>
      <c r="CT33" s="1490"/>
      <c r="CU33" s="1487"/>
      <c r="CV33" s="1487"/>
      <c r="CW33" s="1487"/>
      <c r="CX33" s="1487"/>
      <c r="CY33" s="1488"/>
      <c r="CZ33" s="1491"/>
      <c r="DA33" s="1487"/>
      <c r="DB33" s="1487"/>
      <c r="DC33" s="1487"/>
      <c r="DD33" s="1487"/>
      <c r="DE33" s="1488"/>
      <c r="DF33" s="1490"/>
      <c r="DG33" s="1487"/>
      <c r="DH33" s="1487"/>
      <c r="DI33" s="1487"/>
      <c r="DJ33" s="1487"/>
      <c r="DK33" s="1488"/>
      <c r="DL33" s="1490"/>
      <c r="DM33" s="1487">
        <f>DM23-SUM(DM24:DM26)</f>
        <v>85</v>
      </c>
      <c r="DN33" s="1487">
        <f>DN23-SUM(DN24:DN26)</f>
        <v>89</v>
      </c>
      <c r="DO33" s="1487">
        <f>DO23-SUM(DO24:DO26)</f>
        <v>92.84</v>
      </c>
      <c r="DP33" s="1487">
        <f>DP23-SUM(DP24:DP26)</f>
        <v>101.79529448000001</v>
      </c>
      <c r="DQ33" s="1488">
        <f>DQ23-SUM(DQ24:DQ26)</f>
        <v>368.63529448000003</v>
      </c>
      <c r="DR33" s="1490"/>
      <c r="DS33" s="1487">
        <f>DS23-SUM(DS24:DS26)</f>
        <v>110.5</v>
      </c>
      <c r="DT33" s="1487">
        <f>DT23-SUM(DT24:DT26)</f>
        <v>110.75</v>
      </c>
      <c r="DU33" s="1487">
        <f>DU23-SUM(DU24:DU26)</f>
        <v>136.75</v>
      </c>
      <c r="DV33" s="1487">
        <f>DV23-SUM(DV24:DV26)</f>
        <v>217.89056002500001</v>
      </c>
      <c r="DW33" s="1488">
        <f>DW23-SUM(DW24:DW26)</f>
        <v>575.89056002500001</v>
      </c>
      <c r="DX33" s="1490"/>
      <c r="DY33" s="1487">
        <f>DY23-SUM(DY24:DY26)</f>
        <v>338.39133802625003</v>
      </c>
      <c r="DZ33" s="1487">
        <f>DZ23-SUM(DZ24:DZ26)</f>
        <v>330.7046549275625</v>
      </c>
      <c r="EA33" s="1487">
        <f>EA23-SUM(EA24:EA26)</f>
        <v>375.54056213268603</v>
      </c>
      <c r="EB33" s="1487">
        <f>EB23-SUM(EB24:EB26)</f>
        <v>407.33333333333331</v>
      </c>
      <c r="EC33" s="1488">
        <f>EC23-SUM(EC24:EC26)</f>
        <v>1451.9698884198319</v>
      </c>
      <c r="ED33" s="1490"/>
      <c r="EE33" s="1487">
        <f>EE23-SUM(EE24:EE26)</f>
        <v>417.9042</v>
      </c>
      <c r="EF33" s="1487">
        <f>EF23-SUM(EF24:EF26)</f>
        <v>426.78283476000001</v>
      </c>
      <c r="EG33" s="1487">
        <f>EG23-SUM(EG24:EG27)</f>
        <v>444.19995595672799</v>
      </c>
      <c r="EH33" s="1487">
        <f>EH23-SUM(EH24:EH27)</f>
        <v>509.39650763726081</v>
      </c>
      <c r="EI33" s="1488">
        <f>EI23-SUM(EI24:EI27)</f>
        <v>1798.2834983539888</v>
      </c>
      <c r="EJ33" s="1490"/>
      <c r="EK33" s="1487">
        <f>EK23-SUM(EK24:EK28)</f>
        <v>536.38462644882986</v>
      </c>
      <c r="EL33" s="1487">
        <f>EL23-SUM(EL24:EL28)</f>
        <v>602.06999999999994</v>
      </c>
      <c r="EM33" s="1487">
        <f>EM23-SUM(EM24:EM28)</f>
        <v>728</v>
      </c>
      <c r="EN33" s="1487">
        <f>EN23-SUM(EN24:EN28)</f>
        <v>840.5</v>
      </c>
      <c r="EO33" s="1488">
        <f>EO23-SUM(EO24:EO28)</f>
        <v>2706.9546264488299</v>
      </c>
      <c r="EP33" s="1490"/>
      <c r="EQ33" s="1487">
        <f>EQ23-SUM(EQ24:EQ32)</f>
        <v>911.44425000000001</v>
      </c>
      <c r="ER33" s="1487">
        <f t="shared" ref="ER33:ET33" si="32">ER23-SUM(ER24:ER32)</f>
        <v>970.92811656895674</v>
      </c>
      <c r="ES33" s="1487">
        <f t="shared" si="32"/>
        <v>987.83122283272769</v>
      </c>
      <c r="ET33" s="1487">
        <f t="shared" si="32"/>
        <v>1108.9843297662508</v>
      </c>
      <c r="EU33" s="1488">
        <f t="shared" ref="EU33" si="33">EU23-SUM(EU24:EU32)</f>
        <v>3979.1879191679354</v>
      </c>
      <c r="EV33" s="1490"/>
      <c r="EW33" s="1487">
        <f t="shared" ref="EW33" si="34">EW23-SUM(EW24:EW32)</f>
        <v>1236.5579728357479</v>
      </c>
      <c r="EX33" s="1487">
        <f t="shared" ref="EX33" si="35">EX23-SUM(EX24:EX32)</f>
        <v>1323.0858665973005</v>
      </c>
      <c r="EY33" s="1487">
        <f t="shared" ref="EY33" si="36">EY23-SUM(EY24:EY32)</f>
        <v>1571</v>
      </c>
      <c r="EZ33" s="1487">
        <f t="shared" ref="EZ33" si="37">EZ23-SUM(EZ24:EZ32)</f>
        <v>1699.1699999999998</v>
      </c>
      <c r="FA33" s="1488">
        <f t="shared" ref="FA33" si="38">FA23-SUM(FA24:FA32)</f>
        <v>5829.8138394330481</v>
      </c>
      <c r="FB33" s="1490"/>
      <c r="FC33" s="1487">
        <f t="shared" ref="FC33" si="39">FC23-SUM(FC24:FC32)</f>
        <v>1806.1068</v>
      </c>
      <c r="FD33" s="1487">
        <f t="shared" ref="FD33" si="40">FD23-SUM(FD24:FD32)</f>
        <v>1911.9</v>
      </c>
      <c r="FE33" s="1487">
        <f t="shared" ref="FE33" si="41">FE23-SUM(FE24:FE32)</f>
        <v>1984.835</v>
      </c>
      <c r="FF33" s="1487">
        <f t="shared" ref="FF33" si="42">FF23-SUM(FF24:FF32)</f>
        <v>2127.0153</v>
      </c>
      <c r="FG33" s="1488">
        <f t="shared" ref="FG33" si="43">FG23-SUM(FG24:FG32)</f>
        <v>7829.8571000000002</v>
      </c>
      <c r="FH33" s="1490"/>
      <c r="FI33" s="1487">
        <f t="shared" ref="FI33:FM33" si="44">FI23-SUM(FI24:FI32)</f>
        <v>2233.8850200000002</v>
      </c>
      <c r="FJ33" s="1487">
        <f t="shared" si="44"/>
        <v>2351.8910000000001</v>
      </c>
      <c r="FK33" s="1487">
        <f t="shared" si="44"/>
        <v>2426.09375</v>
      </c>
      <c r="FL33" s="1487">
        <f t="shared" si="44"/>
        <v>2584.2304379999996</v>
      </c>
      <c r="FM33" s="1488">
        <f t="shared" si="44"/>
        <v>9596.1002079999998</v>
      </c>
      <c r="FN33" s="27"/>
      <c r="FO33" s="60"/>
      <c r="FQ33"/>
      <c r="FR33"/>
      <c r="FS33"/>
      <c r="FT33"/>
      <c r="FU33"/>
      <c r="FV33"/>
      <c r="GB33" s="24"/>
      <c r="GC33" s="24"/>
      <c r="GD33" s="24"/>
      <c r="GE33" s="24"/>
      <c r="GF33" s="24"/>
      <c r="GG33" s="24"/>
      <c r="GH33" s="24"/>
      <c r="GI33" s="24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</row>
    <row r="34" spans="1:274" s="32" customFormat="1" ht="12" hidden="1" customHeight="1" outlineLevel="1" x14ac:dyDescent="0.2">
      <c r="A34" s="107" t="s">
        <v>914</v>
      </c>
      <c r="B34" s="107"/>
      <c r="C34" s="876"/>
      <c r="D34" s="876"/>
      <c r="E34" s="876"/>
      <c r="F34" s="876"/>
      <c r="G34" s="876"/>
      <c r="H34" s="876"/>
      <c r="I34" s="876"/>
      <c r="J34" s="876"/>
      <c r="K34" s="876"/>
      <c r="L34" s="876"/>
      <c r="M34" s="876"/>
      <c r="N34" s="107"/>
      <c r="O34" s="876"/>
      <c r="P34" s="876"/>
      <c r="Q34" s="876"/>
      <c r="R34" s="876"/>
      <c r="S34" s="876"/>
      <c r="T34" s="876"/>
      <c r="U34" s="848"/>
      <c r="V34" s="848"/>
      <c r="W34" s="848"/>
      <c r="X34" s="848"/>
      <c r="Y34" s="876"/>
      <c r="Z34" s="107"/>
      <c r="AA34" s="848"/>
      <c r="AB34" s="848"/>
      <c r="AC34" s="848"/>
      <c r="AD34" s="848"/>
      <c r="AE34" s="876"/>
      <c r="AF34" s="107"/>
      <c r="AG34" s="848"/>
      <c r="AH34" s="848"/>
      <c r="AI34" s="848"/>
      <c r="AJ34" s="848"/>
      <c r="AK34" s="876"/>
      <c r="AL34" s="632"/>
      <c r="AM34" s="848"/>
      <c r="AN34" s="848"/>
      <c r="AO34" s="848"/>
      <c r="AP34" s="848"/>
      <c r="AQ34" s="876"/>
      <c r="AR34" s="107"/>
      <c r="AS34" s="848"/>
      <c r="AT34" s="848"/>
      <c r="AU34" s="848"/>
      <c r="AV34" s="848"/>
      <c r="AW34" s="876"/>
      <c r="AX34" s="107"/>
      <c r="AY34" s="848"/>
      <c r="AZ34" s="848"/>
      <c r="BA34" s="848"/>
      <c r="BB34" s="848"/>
      <c r="BC34" s="876"/>
      <c r="BD34" s="107"/>
      <c r="BE34" s="848"/>
      <c r="BF34" s="848"/>
      <c r="BG34" s="848"/>
      <c r="BH34" s="848"/>
      <c r="BI34" s="876"/>
      <c r="BJ34" s="107"/>
      <c r="BK34" s="848"/>
      <c r="BL34" s="848"/>
      <c r="BM34" s="848"/>
      <c r="BN34" s="848"/>
      <c r="BO34" s="876"/>
      <c r="BP34" s="107"/>
      <c r="BQ34" s="848"/>
      <c r="BR34" s="848"/>
      <c r="BS34" s="848"/>
      <c r="BT34" s="848"/>
      <c r="BU34" s="876"/>
      <c r="BV34" s="107"/>
      <c r="BW34" s="848"/>
      <c r="BX34" s="848"/>
      <c r="BY34" s="848"/>
      <c r="BZ34" s="848"/>
      <c r="CA34" s="876"/>
      <c r="CB34" s="107"/>
      <c r="CC34" s="848"/>
      <c r="CD34" s="848"/>
      <c r="CE34" s="848"/>
      <c r="CF34" s="848"/>
      <c r="CG34" s="877"/>
      <c r="CH34" s="61"/>
      <c r="CI34" s="848"/>
      <c r="CJ34" s="848"/>
      <c r="CK34" s="848"/>
      <c r="CL34" s="848"/>
      <c r="CM34" s="877"/>
      <c r="CN34" s="61"/>
      <c r="CO34" s="848"/>
      <c r="CP34" s="848"/>
      <c r="CQ34" s="848"/>
      <c r="CR34" s="848"/>
      <c r="CS34" s="877"/>
      <c r="CT34" s="160"/>
      <c r="CU34" s="848"/>
      <c r="CV34" s="848"/>
      <c r="CW34" s="848"/>
      <c r="CX34" s="848"/>
      <c r="CY34" s="877"/>
      <c r="CZ34" s="157"/>
      <c r="DA34" s="848"/>
      <c r="DB34" s="848"/>
      <c r="DC34" s="848"/>
      <c r="DD34" s="848"/>
      <c r="DE34" s="877"/>
      <c r="DF34" s="160"/>
      <c r="DG34" s="848"/>
      <c r="DH34" s="848"/>
      <c r="DI34" s="848"/>
      <c r="DJ34" s="848"/>
      <c r="DK34" s="877"/>
      <c r="DL34" s="160"/>
      <c r="DM34" s="848"/>
      <c r="DN34" s="848">
        <f>DN23/DM23-1</f>
        <v>4.705882352941182E-2</v>
      </c>
      <c r="DO34" s="848">
        <f>(DO23-DO76)/DN23-1</f>
        <v>4.314606741573046E-2</v>
      </c>
      <c r="DP34" s="848">
        <f>(DP23-DP77-DP76)/(DO23-DO76)-1</f>
        <v>9.6459440758293713E-2</v>
      </c>
      <c r="DQ34" s="816"/>
      <c r="DR34" s="157"/>
      <c r="DS34" s="848">
        <f>(DS23-DS77-(DS78+DS79+DS80+DS81)*0.5)/(DP23-DP77)-1</f>
        <v>4.929582522387399E-2</v>
      </c>
      <c r="DT34" s="848">
        <f>(DT23-(DT78+DT79+DT80+DT81+DT82)*0.5)/(DS23-(DS78+DS79+DS80+DS81)*0.5)-1</f>
        <v>2.5229357798165042E-2</v>
      </c>
      <c r="DU34" s="848">
        <f>(DU23-(DU82*0.5)-DU83)/(DT23-DT82*0.5)-1</f>
        <v>8.7145969498909626E-3</v>
      </c>
      <c r="DV34" s="848">
        <f>(DV23-DV83)/(DU23-DU83)-1</f>
        <v>2.1434017200854694E-2</v>
      </c>
      <c r="DW34" s="816"/>
      <c r="DX34" s="157"/>
      <c r="DY34" s="848">
        <f>(DY23/DV23)-1</f>
        <v>0.38636363636363646</v>
      </c>
      <c r="DZ34" s="848">
        <f>(DZ23-DZ84)/DY23-1</f>
        <v>-2.3224043715846965E-2</v>
      </c>
      <c r="EA34" s="848">
        <f>(EA23-EA85)/DZ23-1</f>
        <v>0.12506963788300829</v>
      </c>
      <c r="EB34" s="848">
        <f>(EB23-EB86)/EA23-1</f>
        <v>8.5552865213882168E-2</v>
      </c>
      <c r="EC34" s="816"/>
      <c r="ED34" s="157"/>
      <c r="EE34" s="848">
        <f>EE23/EB23-1</f>
        <v>4.8351648351648402E-2</v>
      </c>
      <c r="EF34" s="848">
        <f>(EF23-EF25-EF26)/EE23-1</f>
        <v>2.8511530398322993E-2</v>
      </c>
      <c r="EG34" s="848">
        <f>(EG23-EG27)/EF23-1</f>
        <v>1.5414258188824581E-2</v>
      </c>
      <c r="EH34" s="848">
        <f>EH23/EG23-1</f>
        <v>9.2452830188679336E-2</v>
      </c>
      <c r="EI34" s="816"/>
      <c r="EJ34" s="157"/>
      <c r="EK34" s="848">
        <f>EK23/EH23-1</f>
        <v>5.6994818652849721E-2</v>
      </c>
      <c r="EL34" s="848">
        <f>(EL23-EL28)/EK23-1</f>
        <v>4.7303921568627505E-2</v>
      </c>
      <c r="EM34" s="848">
        <f>EM23/EL23-1</f>
        <v>0.13036809815950923</v>
      </c>
      <c r="EN34" s="848">
        <f>EN23/EM23-1</f>
        <v>0.16689280868385348</v>
      </c>
      <c r="EO34" s="816"/>
      <c r="EP34" s="157"/>
      <c r="EQ34" s="848">
        <f>(EQ23-EQ29-EQ30)/EN23-1</f>
        <v>8.3656104651162799E-2</v>
      </c>
      <c r="ER34" s="848">
        <f>(ER23-ER31)/EQ23-1</f>
        <v>5.3652248041538231E-2</v>
      </c>
      <c r="ES34" s="848">
        <f>(ES23-ES32)/ER23-1</f>
        <v>0.14872738423796394</v>
      </c>
      <c r="ET34" s="848">
        <f>ET23/ES23-1</f>
        <v>0.12082670906200321</v>
      </c>
      <c r="EU34" s="816"/>
      <c r="EV34" s="157"/>
      <c r="EW34" s="848">
        <f>EW23/ET23-1</f>
        <v>5.8156028368794299E-2</v>
      </c>
      <c r="EX34" s="848">
        <f>EX23/EW23-1</f>
        <v>2.4128686327077764E-2</v>
      </c>
      <c r="EY34" s="848">
        <f>EY23/EX23-1</f>
        <v>2.8141361256544428E-2</v>
      </c>
      <c r="EZ34" s="848">
        <f>EZ23/EY23-1</f>
        <v>8.158497772119655E-2</v>
      </c>
      <c r="FA34" s="816"/>
      <c r="FB34" s="157"/>
      <c r="FC34" s="848">
        <f>FC23/EZ23-1</f>
        <v>6.2934726954925191E-2</v>
      </c>
      <c r="FD34" s="848">
        <f>FD23/FC23-1</f>
        <v>5.8575273621692903E-2</v>
      </c>
      <c r="FE34" s="848">
        <f>FE23/FD23-1</f>
        <v>3.814791568596676E-2</v>
      </c>
      <c r="FF34" s="848">
        <f>FF23/FE23-1</f>
        <v>7.1633309569813175E-2</v>
      </c>
      <c r="FG34" s="816"/>
      <c r="FH34" s="157"/>
      <c r="FI34" s="848">
        <f>FI23/FF23-1</f>
        <v>5.0243982730166614E-2</v>
      </c>
      <c r="FJ34" s="848">
        <f>FJ23/FI23-1</f>
        <v>5.2825449359967358E-2</v>
      </c>
      <c r="FK34" s="848">
        <f>FK23/FJ23-1</f>
        <v>3.1550250415516734E-2</v>
      </c>
      <c r="FL34" s="848">
        <f>FL23/FK23-1</f>
        <v>6.5181606440394058E-2</v>
      </c>
      <c r="FM34" s="816"/>
      <c r="FO34" s="276"/>
      <c r="FQ34"/>
      <c r="FR34"/>
      <c r="FS34"/>
      <c r="FT34"/>
      <c r="FU34"/>
      <c r="FV34"/>
      <c r="GB34" s="24"/>
      <c r="GC34" s="24"/>
      <c r="GD34" s="24"/>
      <c r="GE34" s="24"/>
      <c r="GF34" s="24"/>
      <c r="GG34" s="24"/>
      <c r="GH34" s="24"/>
      <c r="GI34" s="2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</row>
    <row r="35" spans="1:274" s="315" customFormat="1" ht="12" hidden="1" customHeight="1" outlineLevel="1" x14ac:dyDescent="0.2">
      <c r="A35" s="110" t="s">
        <v>668</v>
      </c>
      <c r="B35" s="110"/>
      <c r="C35" s="848"/>
      <c r="D35" s="848"/>
      <c r="E35" s="848"/>
      <c r="F35" s="848"/>
      <c r="G35" s="848"/>
      <c r="H35" s="848"/>
      <c r="I35" s="848"/>
      <c r="J35" s="848"/>
      <c r="K35" s="848"/>
      <c r="L35" s="848"/>
      <c r="M35" s="848"/>
      <c r="N35" s="110"/>
      <c r="O35" s="848"/>
      <c r="P35" s="848"/>
      <c r="Q35" s="848"/>
      <c r="R35" s="848"/>
      <c r="S35" s="848"/>
      <c r="T35" s="110"/>
      <c r="U35" s="848"/>
      <c r="V35" s="848"/>
      <c r="W35" s="848"/>
      <c r="X35" s="848"/>
      <c r="Y35" s="848"/>
      <c r="Z35" s="110"/>
      <c r="AA35" s="848"/>
      <c r="AB35" s="848"/>
      <c r="AC35" s="848"/>
      <c r="AD35" s="848"/>
      <c r="AE35" s="848"/>
      <c r="AF35" s="110"/>
      <c r="AG35" s="848"/>
      <c r="AH35" s="848"/>
      <c r="AI35" s="848"/>
      <c r="AJ35" s="848"/>
      <c r="AK35" s="848"/>
      <c r="AL35" s="848"/>
      <c r="AM35" s="848"/>
      <c r="AN35" s="848"/>
      <c r="AO35" s="848"/>
      <c r="AP35" s="848"/>
      <c r="AQ35" s="848"/>
      <c r="AR35" s="110"/>
      <c r="AS35" s="848"/>
      <c r="AT35" s="848"/>
      <c r="AU35" s="848"/>
      <c r="AV35" s="848"/>
      <c r="AW35" s="848"/>
      <c r="AX35" s="110"/>
      <c r="AY35" s="848"/>
      <c r="AZ35" s="848"/>
      <c r="BA35" s="848"/>
      <c r="BB35" s="848"/>
      <c r="BC35" s="848"/>
      <c r="BD35" s="110"/>
      <c r="BE35" s="848"/>
      <c r="BF35" s="848"/>
      <c r="BG35" s="848"/>
      <c r="BH35" s="848"/>
      <c r="BI35" s="848"/>
      <c r="BJ35" s="110"/>
      <c r="BK35" s="848"/>
      <c r="BL35" s="848"/>
      <c r="BM35" s="848"/>
      <c r="BN35" s="848"/>
      <c r="BO35" s="848"/>
      <c r="BP35" s="110"/>
      <c r="BQ35" s="848"/>
      <c r="BR35" s="848"/>
      <c r="BS35" s="848"/>
      <c r="BT35" s="848"/>
      <c r="BU35" s="848"/>
      <c r="BV35" s="110"/>
      <c r="BW35" s="848"/>
      <c r="BX35" s="848"/>
      <c r="BY35" s="848"/>
      <c r="BZ35" s="848"/>
      <c r="CA35" s="848"/>
      <c r="CB35" s="110"/>
      <c r="CC35" s="848"/>
      <c r="CD35" s="848"/>
      <c r="CE35" s="848"/>
      <c r="CF35" s="848"/>
      <c r="CG35" s="816"/>
      <c r="CH35" s="110"/>
      <c r="CI35" s="848"/>
      <c r="CJ35" s="848"/>
      <c r="CK35" s="848"/>
      <c r="CL35" s="848"/>
      <c r="CM35" s="816"/>
      <c r="CN35" s="110"/>
      <c r="CO35" s="848"/>
      <c r="CP35" s="848"/>
      <c r="CQ35" s="848"/>
      <c r="CR35" s="848"/>
      <c r="CS35" s="816"/>
      <c r="CT35" s="157"/>
      <c r="CU35" s="848"/>
      <c r="CV35" s="848"/>
      <c r="CW35" s="848"/>
      <c r="CX35" s="848"/>
      <c r="CY35" s="816"/>
      <c r="CZ35" s="157"/>
      <c r="DA35" s="848"/>
      <c r="DB35" s="848"/>
      <c r="DC35" s="848"/>
      <c r="DD35" s="848"/>
      <c r="DE35" s="816"/>
      <c r="DF35" s="157"/>
      <c r="DG35" s="848"/>
      <c r="DH35" s="848"/>
      <c r="DI35" s="848"/>
      <c r="DJ35" s="848"/>
      <c r="DK35" s="816"/>
      <c r="DL35" s="157"/>
      <c r="DM35" s="848">
        <f>'Geographic Detail'!DM21/2</f>
        <v>0.03</v>
      </c>
      <c r="DN35" s="848">
        <f>'Geographic Detail'!DN21/2</f>
        <v>5.642556611275551E-3</v>
      </c>
      <c r="DO35" s="848">
        <f>'Geographic Detail'!DO21/2</f>
        <v>-4.5121678607232818E-3</v>
      </c>
      <c r="DP35" s="848">
        <f>'Geographic Detail'!DP21/2</f>
        <v>-2.1392330289719208E-2</v>
      </c>
      <c r="DQ35" s="816">
        <f>'Geographic Detail'!DQ21/2</f>
        <v>1.7330124616733444E-3</v>
      </c>
      <c r="DR35" s="157"/>
      <c r="DS35" s="848">
        <f>'Geographic Detail'!DS21/2</f>
        <v>-2.3812259405844027E-2</v>
      </c>
      <c r="DT35" s="848">
        <f>'Geographic Detail'!DT21/2</f>
        <v>-6.0832066257077155E-3</v>
      </c>
      <c r="DU35" s="848">
        <f>'Geographic Detail'!DU21/2</f>
        <v>-8.5619736199811225E-3</v>
      </c>
      <c r="DV35" s="848">
        <f>'Geographic Detail'!DV21/2</f>
        <v>-1.178062283830672E-2</v>
      </c>
      <c r="DW35" s="816">
        <f>'Geographic Detail'!DW21/2</f>
        <v>-1.2250135820332075E-2</v>
      </c>
      <c r="DX35" s="157"/>
      <c r="DY35" s="848">
        <f>'Geographic Detail'!DY21/2</f>
        <v>-1.0499342572759529E-2</v>
      </c>
      <c r="DZ35" s="848">
        <f>'Geographic Detail'!DZ21/2</f>
        <v>-9.6454395050199482E-3</v>
      </c>
      <c r="EA35" s="848">
        <f>'Geographic Detail'!EA21/2</f>
        <v>-7.0330145761026142E-3</v>
      </c>
      <c r="EB35" s="848">
        <f>'Geographic Detail'!EB21/2</f>
        <v>0</v>
      </c>
      <c r="EC35" s="816">
        <f>'Geographic Detail'!EC21/2</f>
        <v>-6.0110141730058686E-3</v>
      </c>
      <c r="ED35" s="157"/>
      <c r="EE35" s="848">
        <f>'Geographic Detail'!EE21/2</f>
        <v>5.0000000000000001E-3</v>
      </c>
      <c r="EF35" s="848">
        <f>'Geographic Detail'!EF21/2</f>
        <v>-2.0000000000000004E-2</v>
      </c>
      <c r="EG35" s="848">
        <f>'Geographic Detail'!EG21/2</f>
        <v>-0.03</v>
      </c>
      <c r="EH35" s="848">
        <f>'Geographic Detail'!EH21/2</f>
        <v>-3.8367252989339504E-2</v>
      </c>
      <c r="EI35" s="816">
        <f>'Geographic Detail'!EI21/2</f>
        <v>-0.02</v>
      </c>
      <c r="EJ35" s="157"/>
      <c r="EK35" s="848">
        <f>'Geographic Detail'!EK21/2</f>
        <v>-4.5000000000000005E-2</v>
      </c>
      <c r="EL35" s="848">
        <f>'Geographic Detail'!EL21/2</f>
        <v>-3.1384504224099601E-2</v>
      </c>
      <c r="EM35" s="848">
        <f>'Geographic Detail'!EM21/2</f>
        <v>-2.0504215664521857E-2</v>
      </c>
      <c r="EN35" s="848">
        <f>'Geographic Detail'!EN21/2</f>
        <v>-4.0659682899207242E-3</v>
      </c>
      <c r="EO35" s="816"/>
      <c r="EP35" s="157"/>
      <c r="EQ35" s="848">
        <f>'Geographic Detail'!EQ21/2</f>
        <v>-6.7098458599526194E-3</v>
      </c>
      <c r="ER35" s="848">
        <f>'Geographic Detail'!ER21/2</f>
        <v>-3.909491007527615E-3</v>
      </c>
      <c r="ES35" s="848">
        <f>'Geographic Detail'!ES21/2</f>
        <v>-1.1629286176407163E-3</v>
      </c>
      <c r="ET35" s="848">
        <f>'Geographic Detail'!ET21/2</f>
        <v>-4.9727445489097816E-3</v>
      </c>
      <c r="EU35" s="816">
        <f>'Geographic Detail'!EU21/2</f>
        <v>-4.1807705847584642E-3</v>
      </c>
      <c r="EV35" s="157"/>
      <c r="EW35" s="848">
        <f>'Geographic Detail'!EW21/2</f>
        <v>6.6806773147592164E-3</v>
      </c>
      <c r="EX35" s="848">
        <f>'Geographic Detail'!EX21/2</f>
        <v>8.1021106674272671E-3</v>
      </c>
      <c r="EY35" s="848">
        <f>'Geographic Detail'!EY21/2</f>
        <v>2.2147632311977718E-2</v>
      </c>
      <c r="EZ35" s="848"/>
      <c r="FA35" s="816">
        <f>'Geographic Detail'!FA21/2</f>
        <v>3.7075390025620644E-2</v>
      </c>
      <c r="FB35" s="157"/>
      <c r="FC35" s="848"/>
      <c r="FD35" s="848"/>
      <c r="FE35" s="848"/>
      <c r="FF35" s="848"/>
      <c r="FG35" s="816"/>
      <c r="FH35" s="157"/>
      <c r="FI35" s="848"/>
      <c r="FJ35" s="848"/>
      <c r="FK35" s="848"/>
      <c r="FL35" s="848"/>
      <c r="FM35" s="816"/>
      <c r="FO35" s="1673"/>
      <c r="FQ35"/>
      <c r="FR35"/>
      <c r="FS35"/>
      <c r="FT35"/>
      <c r="FU35"/>
      <c r="FV35"/>
      <c r="GB35" s="613"/>
      <c r="GC35" s="613"/>
      <c r="GD35" s="613"/>
      <c r="GE35" s="613"/>
      <c r="GF35" s="613"/>
      <c r="GG35" s="613"/>
      <c r="GH35" s="613"/>
      <c r="GI35" s="613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</row>
    <row r="36" spans="1:274" s="947" customFormat="1" collapsed="1" x14ac:dyDescent="0.2">
      <c r="A36" s="1228" t="s">
        <v>503</v>
      </c>
      <c r="B36" s="1422"/>
      <c r="C36" s="1423"/>
      <c r="D36" s="1423"/>
      <c r="E36" s="1423"/>
      <c r="F36" s="1423"/>
      <c r="G36" s="1423"/>
      <c r="H36" s="1422"/>
      <c r="I36" s="1423"/>
      <c r="J36" s="1423"/>
      <c r="K36" s="1423"/>
      <c r="L36" s="1423"/>
      <c r="M36" s="1423"/>
      <c r="N36" s="1422"/>
      <c r="O36" s="1423"/>
      <c r="P36" s="1423"/>
      <c r="Q36" s="1423"/>
      <c r="R36" s="1423"/>
      <c r="S36" s="1423"/>
      <c r="T36" s="1422"/>
      <c r="U36" s="1423"/>
      <c r="V36" s="1423"/>
      <c r="W36" s="1423"/>
      <c r="X36" s="1423"/>
      <c r="Y36" s="1423"/>
      <c r="Z36" s="1422"/>
      <c r="AA36" s="1424"/>
      <c r="AB36" s="1424"/>
      <c r="AC36" s="1424"/>
      <c r="AD36" s="1424"/>
      <c r="AE36" s="1424"/>
      <c r="AF36" s="1422"/>
      <c r="AG36" s="1424"/>
      <c r="AH36" s="1424"/>
      <c r="AI36" s="1424"/>
      <c r="AJ36" s="1424"/>
      <c r="AK36" s="1424"/>
      <c r="AL36" s="1422"/>
      <c r="AM36" s="1424"/>
      <c r="AN36" s="1424"/>
      <c r="AO36" s="1424"/>
      <c r="AP36" s="1424"/>
      <c r="AQ36" s="1424"/>
      <c r="AR36" s="1422"/>
      <c r="AS36" s="1424"/>
      <c r="AT36" s="1424"/>
      <c r="AU36" s="1424"/>
      <c r="AV36" s="1424"/>
      <c r="AW36" s="1424"/>
      <c r="AX36" s="1422"/>
      <c r="AY36" s="1424"/>
      <c r="AZ36" s="1424"/>
      <c r="BA36" s="1424"/>
      <c r="BB36" s="1424"/>
      <c r="BC36" s="1424"/>
      <c r="BD36" s="1422"/>
      <c r="BE36" s="1424"/>
      <c r="BF36" s="1424"/>
      <c r="BG36" s="1424"/>
      <c r="BH36" s="1424"/>
      <c r="BI36" s="1424"/>
      <c r="BJ36" s="1422"/>
      <c r="BK36" s="1424"/>
      <c r="BL36" s="1424"/>
      <c r="BM36" s="1424"/>
      <c r="BN36" s="1424"/>
      <c r="BO36" s="1424"/>
      <c r="BP36" s="1422"/>
      <c r="BQ36" s="1424"/>
      <c r="BR36" s="1424"/>
      <c r="BS36" s="1424"/>
      <c r="BT36" s="1424"/>
      <c r="BU36" s="1424"/>
      <c r="BV36" s="1422"/>
      <c r="BW36" s="1424"/>
      <c r="BX36" s="1424"/>
      <c r="BY36" s="1424"/>
      <c r="BZ36" s="1424"/>
      <c r="CA36" s="1424"/>
      <c r="CB36" s="1422"/>
      <c r="CC36" s="1424"/>
      <c r="CD36" s="1424"/>
      <c r="CE36" s="1424"/>
      <c r="CF36" s="1424"/>
      <c r="CG36" s="1425"/>
      <c r="CH36" s="1422"/>
      <c r="CI36" s="1424"/>
      <c r="CJ36" s="1424"/>
      <c r="CK36" s="1424"/>
      <c r="CL36" s="1424"/>
      <c r="CM36" s="1425"/>
      <c r="CN36" s="1422"/>
      <c r="CO36" s="1424"/>
      <c r="CP36" s="1424"/>
      <c r="CQ36" s="1424"/>
      <c r="CR36" s="1424"/>
      <c r="CS36" s="1425"/>
      <c r="CT36" s="1422"/>
      <c r="CU36" s="1424"/>
      <c r="CV36" s="1424"/>
      <c r="CW36" s="1424"/>
      <c r="CX36" s="1424"/>
      <c r="CY36" s="1426"/>
      <c r="CZ36" s="1424"/>
      <c r="DA36" s="1424"/>
      <c r="DB36" s="1424"/>
      <c r="DC36" s="1424"/>
      <c r="DD36" s="1424"/>
      <c r="DE36" s="1426"/>
      <c r="DF36" s="1422"/>
      <c r="DG36" s="1424"/>
      <c r="DH36" s="1424"/>
      <c r="DI36" s="1424"/>
      <c r="DJ36" s="1424"/>
      <c r="DK36" s="1426"/>
      <c r="DL36" s="1422"/>
      <c r="DM36" s="1424"/>
      <c r="DN36" s="1424"/>
      <c r="DO36" s="1424"/>
      <c r="DP36" s="1424"/>
      <c r="DQ36" s="1426"/>
      <c r="DR36" s="1424"/>
      <c r="DS36" s="1424">
        <f>DS33/DM23-1</f>
        <v>0.30000000000000004</v>
      </c>
      <c r="DT36" s="1424">
        <f>DT33/DN23-1</f>
        <v>0.24438202247191021</v>
      </c>
      <c r="DU36" s="1424">
        <f>DU33/DO23-1</f>
        <v>0.24318181818181817</v>
      </c>
      <c r="DV36" s="1424">
        <f>DV33/DP23-1</f>
        <v>0.12314721662371131</v>
      </c>
      <c r="DW36" s="1426">
        <f>DW33/DQ23-1</f>
        <v>0.20479196657949794</v>
      </c>
      <c r="DX36" s="1424"/>
      <c r="DY36" s="1424">
        <f>DY33/DS23-1</f>
        <v>0.52428530642454962</v>
      </c>
      <c r="DZ36" s="1424">
        <f>DZ33/DT23-1</f>
        <v>0.43784632577201088</v>
      </c>
      <c r="EA36" s="1424">
        <f>EA33/DU23-1</f>
        <v>0.57790152156590779</v>
      </c>
      <c r="EB36" s="1424">
        <f>EB33/DV23-1</f>
        <v>0.54292929292929282</v>
      </c>
      <c r="EC36" s="1426">
        <f>EC33/DW23-1</f>
        <v>0.52198101511512784</v>
      </c>
      <c r="ED36" s="1424"/>
      <c r="EE36" s="1424">
        <f>EE33/DY23-1</f>
        <v>0.14181475409836075</v>
      </c>
      <c r="EF36" s="1424">
        <f>EF33/DZ23-1</f>
        <v>0.18881012467966585</v>
      </c>
      <c r="EG36" s="1424">
        <f>EG33/EA23-1</f>
        <v>7.5544687546556855E-2</v>
      </c>
      <c r="EH36" s="1424">
        <f>EH33/EB23-1</f>
        <v>0.11955276403793591</v>
      </c>
      <c r="EI36" s="1426">
        <f>EI33/EC23-1</f>
        <v>0.12886597511235953</v>
      </c>
      <c r="EJ36" s="1428"/>
      <c r="EK36" s="1424">
        <f>EK33/EE23-1</f>
        <v>0.12449607221976899</v>
      </c>
      <c r="EL36" s="1424">
        <f>EL33/EF23-1</f>
        <v>0.16005780346820786</v>
      </c>
      <c r="EM36" s="1424">
        <f>EM33/EG23-1</f>
        <v>0.37358490566037728</v>
      </c>
      <c r="EN36" s="1424">
        <f>EN33/EH23-1</f>
        <v>0.45164075993091535</v>
      </c>
      <c r="EO36" s="1426">
        <f>EO33/EI23-1</f>
        <v>0.28596419308733023</v>
      </c>
      <c r="EP36" s="1428"/>
      <c r="EQ36" s="1761">
        <f>EQ33/EK23-1</f>
        <v>0.48928799019607849</v>
      </c>
      <c r="ER36" s="1761">
        <f>ER33/EL23-1</f>
        <v>0.48915355301987229</v>
      </c>
      <c r="ES36" s="1761">
        <f>ES33/EM23-1</f>
        <v>0.3403408722289385</v>
      </c>
      <c r="ET36" s="1761">
        <f>ET33/EN23-1</f>
        <v>0.28951666251889629</v>
      </c>
      <c r="EU36" s="1762">
        <f>EU33/EO23-1</f>
        <v>0.39083814021948116</v>
      </c>
      <c r="EV36" s="1428"/>
      <c r="EW36" s="1761">
        <f>EW33/EQ23-1</f>
        <v>0.25411559111130622</v>
      </c>
      <c r="EX36" s="1761">
        <f>EX33/ER23-1</f>
        <v>0.21719030965713015</v>
      </c>
      <c r="EY36" s="1761">
        <f>EY33/ES23-1</f>
        <v>0.24880763116057225</v>
      </c>
      <c r="EZ36" s="1761">
        <f>EZ33/ET23-1</f>
        <v>0.20508510638297861</v>
      </c>
      <c r="FA36" s="1762">
        <f>FA33/EU23-1</f>
        <v>0.22965910977284287</v>
      </c>
      <c r="FB36" s="1428"/>
      <c r="FC36" s="1761">
        <f>FC33/EW23-1</f>
        <v>0.21052734584450405</v>
      </c>
      <c r="FD36" s="1761">
        <f>FD33/EX23-1</f>
        <v>0.25124345549738236</v>
      </c>
      <c r="FE36" s="1761">
        <f>FE33/EY23-1</f>
        <v>0.26342138765117751</v>
      </c>
      <c r="FF36" s="1761">
        <f>FF33/EZ23-1</f>
        <v>0.25179664188986406</v>
      </c>
      <c r="FG36" s="1762">
        <f>FG33/FA23-1</f>
        <v>0.24477670714781952</v>
      </c>
      <c r="FH36" s="1428"/>
      <c r="FI36" s="1761">
        <f>FI33/FC23-1</f>
        <v>0.23685101013959975</v>
      </c>
      <c r="FJ36" s="1761">
        <f>FJ33/FD23-1</f>
        <v>0.23013285213661794</v>
      </c>
      <c r="FK36" s="1761">
        <f>FK33/FE23-1</f>
        <v>0.2223150790871784</v>
      </c>
      <c r="FL36" s="1761">
        <f>FL33/FF23-1</f>
        <v>0.21495620553364114</v>
      </c>
      <c r="FM36" s="1762">
        <f>FM33/FG23-1</f>
        <v>0.22557794930893427</v>
      </c>
      <c r="FO36" s="1673"/>
      <c r="FQ36"/>
      <c r="FR36"/>
      <c r="FS36"/>
      <c r="FT36"/>
      <c r="FU36"/>
      <c r="FV36"/>
      <c r="FY36" s="947" t="s">
        <v>235</v>
      </c>
      <c r="GB36" s="23"/>
      <c r="GC36" s="23"/>
      <c r="GD36" s="23"/>
      <c r="GE36" s="23"/>
      <c r="GF36" s="23"/>
      <c r="GG36" s="23"/>
      <c r="GH36" s="23"/>
      <c r="GI36" s="23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</row>
    <row r="37" spans="1:274" s="27" customFormat="1" x14ac:dyDescent="0.2">
      <c r="A37" s="27" t="s">
        <v>869</v>
      </c>
      <c r="B37" s="342"/>
      <c r="C37" s="94" t="s">
        <v>945</v>
      </c>
      <c r="D37" s="94" t="s">
        <v>945</v>
      </c>
      <c r="E37" s="94" t="s">
        <v>945</v>
      </c>
      <c r="F37" s="94" t="s">
        <v>945</v>
      </c>
      <c r="G37" s="94" t="s">
        <v>945</v>
      </c>
      <c r="H37" s="342"/>
      <c r="I37" s="94" t="s">
        <v>945</v>
      </c>
      <c r="J37" s="94" t="s">
        <v>945</v>
      </c>
      <c r="K37" s="94" t="s">
        <v>945</v>
      </c>
      <c r="L37" s="94" t="s">
        <v>945</v>
      </c>
      <c r="M37" s="94" t="s">
        <v>945</v>
      </c>
      <c r="N37" s="342"/>
      <c r="O37" s="94" t="s">
        <v>945</v>
      </c>
      <c r="P37" s="94" t="s">
        <v>945</v>
      </c>
      <c r="Q37" s="94" t="s">
        <v>945</v>
      </c>
      <c r="R37" s="94" t="s">
        <v>945</v>
      </c>
      <c r="S37" s="94" t="s">
        <v>945</v>
      </c>
      <c r="T37" s="342"/>
      <c r="U37" s="94" t="s">
        <v>945</v>
      </c>
      <c r="V37" s="94" t="s">
        <v>945</v>
      </c>
      <c r="W37" s="94" t="s">
        <v>945</v>
      </c>
      <c r="X37" s="94" t="s">
        <v>945</v>
      </c>
      <c r="Y37" s="94" t="s">
        <v>945</v>
      </c>
      <c r="Z37" s="342"/>
      <c r="AA37" s="43">
        <f>AA36-AA35</f>
        <v>0</v>
      </c>
      <c r="AB37" s="43">
        <f>AB36-AB35</f>
        <v>0</v>
      </c>
      <c r="AC37" s="43">
        <f>AC36-AC35</f>
        <v>0</v>
      </c>
      <c r="AD37" s="43">
        <f>AD36-AD35</f>
        <v>0</v>
      </c>
      <c r="AE37" s="43">
        <f>AE36-AE35</f>
        <v>0</v>
      </c>
      <c r="AF37" s="342"/>
      <c r="AG37" s="43">
        <f>AG36-AG35</f>
        <v>0</v>
      </c>
      <c r="AH37" s="43">
        <f>AH36-AH35</f>
        <v>0</v>
      </c>
      <c r="AI37" s="43">
        <f>AI36-AI35</f>
        <v>0</v>
      </c>
      <c r="AJ37" s="43">
        <f>AJ36-AJ35</f>
        <v>0</v>
      </c>
      <c r="AK37" s="43">
        <f>AK36-AK35</f>
        <v>0</v>
      </c>
      <c r="AL37" s="342"/>
      <c r="AM37" s="43">
        <f>AM36-AM35</f>
        <v>0</v>
      </c>
      <c r="AN37" s="43">
        <f>AN36-AN35</f>
        <v>0</v>
      </c>
      <c r="AO37" s="43">
        <f>AO36-AO35</f>
        <v>0</v>
      </c>
      <c r="AP37" s="43">
        <f>AP36-AP35</f>
        <v>0</v>
      </c>
      <c r="AQ37" s="43">
        <f>AQ36-AQ35</f>
        <v>0</v>
      </c>
      <c r="AR37" s="342"/>
      <c r="AS37" s="43">
        <f>AS36-AS35</f>
        <v>0</v>
      </c>
      <c r="AT37" s="43">
        <f>AT36-AT35</f>
        <v>0</v>
      </c>
      <c r="AU37" s="43">
        <f>AU36-AU35</f>
        <v>0</v>
      </c>
      <c r="AV37" s="43">
        <f>AV36-AV35</f>
        <v>0</v>
      </c>
      <c r="AW37" s="43">
        <f>AW36-AW35</f>
        <v>0</v>
      </c>
      <c r="AX37" s="342"/>
      <c r="AY37" s="43">
        <f>AY36-AY35</f>
        <v>0</v>
      </c>
      <c r="AZ37" s="43">
        <f>AZ36-AZ35</f>
        <v>0</v>
      </c>
      <c r="BA37" s="43">
        <f>BA36-BA35</f>
        <v>0</v>
      </c>
      <c r="BB37" s="43">
        <f>BB36-BB35</f>
        <v>0</v>
      </c>
      <c r="BC37" s="43">
        <f>BC36-BC35</f>
        <v>0</v>
      </c>
      <c r="BD37" s="342"/>
      <c r="BE37" s="43">
        <f>BE36-BE35</f>
        <v>0</v>
      </c>
      <c r="BF37" s="43">
        <f>BF36-BF35</f>
        <v>0</v>
      </c>
      <c r="BG37" s="43">
        <f>BG36-BG35</f>
        <v>0</v>
      </c>
      <c r="BH37" s="43">
        <f>BH36-BH35</f>
        <v>0</v>
      </c>
      <c r="BI37" s="43">
        <f>BI36-BI35</f>
        <v>0</v>
      </c>
      <c r="BJ37" s="342"/>
      <c r="BK37" s="43">
        <f>BK36-BK35</f>
        <v>0</v>
      </c>
      <c r="BL37" s="43">
        <f>BL36-BL35</f>
        <v>0</v>
      </c>
      <c r="BM37" s="43">
        <f>BM36-BM35</f>
        <v>0</v>
      </c>
      <c r="BN37" s="43">
        <f>BN36-BN35</f>
        <v>0</v>
      </c>
      <c r="BO37" s="43">
        <f>BO36-BO35</f>
        <v>0</v>
      </c>
      <c r="BP37" s="342"/>
      <c r="BQ37" s="43">
        <f>BQ36-BQ35</f>
        <v>0</v>
      </c>
      <c r="BR37" s="43">
        <f>BR36-BR35</f>
        <v>0</v>
      </c>
      <c r="BS37" s="43">
        <f>BS36-BS35</f>
        <v>0</v>
      </c>
      <c r="BT37" s="43">
        <f>BT36-BT35</f>
        <v>0</v>
      </c>
      <c r="BU37" s="43">
        <f>BU36-BU35</f>
        <v>0</v>
      </c>
      <c r="BV37" s="342"/>
      <c r="BW37" s="43">
        <f>BW36-BW35</f>
        <v>0</v>
      </c>
      <c r="BX37" s="43">
        <f>BX36-BX35</f>
        <v>0</v>
      </c>
      <c r="BY37" s="43">
        <f>BY36-BY35</f>
        <v>0</v>
      </c>
      <c r="BZ37" s="43">
        <f>BZ36-BZ35</f>
        <v>0</v>
      </c>
      <c r="CA37" s="43">
        <f>CA36-CA35</f>
        <v>0</v>
      </c>
      <c r="CB37" s="342"/>
      <c r="CC37" s="43">
        <f>CC36-CC35</f>
        <v>0</v>
      </c>
      <c r="CD37" s="43">
        <f>CD36-CD35</f>
        <v>0</v>
      </c>
      <c r="CE37" s="43">
        <f>CE36-CE35</f>
        <v>0</v>
      </c>
      <c r="CF37" s="43">
        <f>CF36-CF35</f>
        <v>0</v>
      </c>
      <c r="CG37" s="395">
        <f>CG36-CG35</f>
        <v>0</v>
      </c>
      <c r="CH37" s="342"/>
      <c r="CI37" s="43">
        <f>CI36-CI35</f>
        <v>0</v>
      </c>
      <c r="CJ37" s="43">
        <f>CJ36-CJ35</f>
        <v>0</v>
      </c>
      <c r="CK37" s="43">
        <f>CK36-CK35</f>
        <v>0</v>
      </c>
      <c r="CL37" s="43">
        <f>CL36-CL35</f>
        <v>0</v>
      </c>
      <c r="CM37" s="395">
        <f>CM36-CM35</f>
        <v>0</v>
      </c>
      <c r="CN37" s="342"/>
      <c r="CO37" s="43">
        <f>CO36-CO35</f>
        <v>0</v>
      </c>
      <c r="CP37" s="43">
        <f>CP36-CP35</f>
        <v>0</v>
      </c>
      <c r="CQ37" s="43">
        <f>CQ36-CQ35</f>
        <v>0</v>
      </c>
      <c r="CR37" s="43">
        <f>CR36-CR35</f>
        <v>0</v>
      </c>
      <c r="CS37" s="395">
        <f>CS36-CS35</f>
        <v>0</v>
      </c>
      <c r="CT37" s="475"/>
      <c r="CU37" s="43"/>
      <c r="CV37" s="43"/>
      <c r="CW37" s="43"/>
      <c r="CX37" s="43"/>
      <c r="CY37" s="148"/>
      <c r="CZ37" s="156"/>
      <c r="DA37" s="43"/>
      <c r="DB37" s="43"/>
      <c r="DC37" s="43"/>
      <c r="DD37" s="43"/>
      <c r="DE37" s="148"/>
      <c r="DF37" s="475"/>
      <c r="DG37" s="43"/>
      <c r="DH37" s="43"/>
      <c r="DI37" s="43"/>
      <c r="DJ37" s="43"/>
      <c r="DK37" s="148"/>
      <c r="DL37" s="475"/>
      <c r="DM37" s="43"/>
      <c r="DN37" s="43"/>
      <c r="DO37" s="43"/>
      <c r="DP37" s="43"/>
      <c r="DQ37" s="148"/>
      <c r="DR37" s="475"/>
      <c r="DS37" s="43">
        <f>DS36-DS35</f>
        <v>0.32381225940584407</v>
      </c>
      <c r="DT37" s="43">
        <f>DT36-DT35</f>
        <v>0.25046522909761793</v>
      </c>
      <c r="DU37" s="43">
        <f>DU36-DU35</f>
        <v>0.25174379180179929</v>
      </c>
      <c r="DV37" s="43">
        <f>DV36-DV35</f>
        <v>0.13492783946201803</v>
      </c>
      <c r="DW37" s="148">
        <f>DW36-DW35</f>
        <v>0.21704210239983002</v>
      </c>
      <c r="DX37" s="475"/>
      <c r="DY37" s="43">
        <f>DY36-DY35</f>
        <v>0.53478464899730915</v>
      </c>
      <c r="DZ37" s="43">
        <f>DZ36-DZ35</f>
        <v>0.44749176527703083</v>
      </c>
      <c r="EA37" s="43">
        <f>EA36-EA35</f>
        <v>0.58493453614201041</v>
      </c>
      <c r="EB37" s="43">
        <f>EB36-EB35</f>
        <v>0.54292929292929282</v>
      </c>
      <c r="EC37" s="148">
        <f>EC36-EC35</f>
        <v>0.52799202928813371</v>
      </c>
      <c r="ED37" s="475"/>
      <c r="EE37" s="43">
        <f>EE36-EE35</f>
        <v>0.13681475409836075</v>
      </c>
      <c r="EF37" s="43">
        <f>EF36-EF35</f>
        <v>0.20881012467966586</v>
      </c>
      <c r="EG37" s="43">
        <f>EG36-EG35</f>
        <v>0.10554468754655685</v>
      </c>
      <c r="EH37" s="43">
        <f>EH36-EH35</f>
        <v>0.15792001702727543</v>
      </c>
      <c r="EI37" s="148">
        <f>EI36-EI35</f>
        <v>0.14886597511235952</v>
      </c>
      <c r="EJ37" s="156"/>
      <c r="EK37" s="43">
        <f>EK36-EK35</f>
        <v>0.16949607221976901</v>
      </c>
      <c r="EL37" s="43">
        <f>EL36-EL35</f>
        <v>0.19144230769230747</v>
      </c>
      <c r="EM37" s="43">
        <f>EM36-EM35</f>
        <v>0.39408912132489915</v>
      </c>
      <c r="EN37" s="43">
        <f>EN36-EN35</f>
        <v>0.45570672822083608</v>
      </c>
      <c r="EO37" s="148">
        <f>EO36-EO35</f>
        <v>0.28596419308733023</v>
      </c>
      <c r="EP37" s="475"/>
      <c r="EQ37" s="43">
        <f>EQ36-EQ35</f>
        <v>0.49599783605603109</v>
      </c>
      <c r="ER37" s="43">
        <f>ER36-ER35</f>
        <v>0.49306304402739992</v>
      </c>
      <c r="ES37" s="43">
        <f>ES36-ES35</f>
        <v>0.34150380084657922</v>
      </c>
      <c r="ET37" s="43">
        <f>ET36-ET35</f>
        <v>0.29448940706780607</v>
      </c>
      <c r="EU37" s="148">
        <f>EU36-EU35</f>
        <v>0.39501891080423962</v>
      </c>
      <c r="EV37" s="475"/>
      <c r="EW37" s="43">
        <f>EW36-EW35</f>
        <v>0.247434913796547</v>
      </c>
      <c r="EX37" s="43">
        <f>EX36-EX35</f>
        <v>0.20908819898970288</v>
      </c>
      <c r="EY37" s="43">
        <f>EY36-EY35</f>
        <v>0.22665999884859453</v>
      </c>
      <c r="EZ37" s="43">
        <f>EZ36-EZ35</f>
        <v>0.20508510638297861</v>
      </c>
      <c r="FA37" s="148">
        <f>FA36-FA35</f>
        <v>0.19258371974722222</v>
      </c>
      <c r="FB37" s="475"/>
      <c r="FC37" s="43">
        <f>FC36-FC35</f>
        <v>0.21052734584450405</v>
      </c>
      <c r="FD37" s="43">
        <f>FD36-FD35</f>
        <v>0.25124345549738236</v>
      </c>
      <c r="FE37" s="43">
        <f>FE36-FE35</f>
        <v>0.26342138765117751</v>
      </c>
      <c r="FF37" s="43">
        <f>FF36-FF35</f>
        <v>0.25179664188986406</v>
      </c>
      <c r="FG37" s="148">
        <f>FG36-FG35</f>
        <v>0.24477670714781952</v>
      </c>
      <c r="FH37" s="475"/>
      <c r="FI37" s="43">
        <f>FI36-FI35</f>
        <v>0.23685101013959975</v>
      </c>
      <c r="FJ37" s="43">
        <f>FJ36-FJ35</f>
        <v>0.23013285213661794</v>
      </c>
      <c r="FK37" s="43">
        <f>FK36-FK35</f>
        <v>0.2223150790871784</v>
      </c>
      <c r="FL37" s="43">
        <f>FL36-FL35</f>
        <v>0.21495620553364114</v>
      </c>
      <c r="FM37" s="148">
        <f>FM36-FM35</f>
        <v>0.22557794930893427</v>
      </c>
      <c r="FQ37"/>
      <c r="FR37"/>
      <c r="FS37"/>
      <c r="FT37"/>
      <c r="FU37"/>
      <c r="FV37"/>
      <c r="FY37" s="27" t="s">
        <v>143</v>
      </c>
      <c r="FZ37" s="27">
        <f>37-GA37</f>
        <v>26</v>
      </c>
      <c r="GA37" s="27">
        <v>11</v>
      </c>
      <c r="GB37" s="24"/>
      <c r="GC37" s="24"/>
      <c r="GD37" s="24"/>
      <c r="GE37" s="24"/>
      <c r="GF37" s="24"/>
      <c r="GG37" s="24"/>
      <c r="GH37" s="24"/>
      <c r="GI37" s="24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</row>
    <row r="38" spans="1:274" s="27" customFormat="1" ht="12.75" customHeight="1" x14ac:dyDescent="0.2">
      <c r="B38" s="342"/>
      <c r="C38" s="94"/>
      <c r="D38" s="94"/>
      <c r="E38" s="94"/>
      <c r="F38" s="94"/>
      <c r="G38" s="94"/>
      <c r="H38" s="342"/>
      <c r="I38" s="94"/>
      <c r="J38" s="94"/>
      <c r="K38" s="94"/>
      <c r="L38" s="94"/>
      <c r="M38" s="94"/>
      <c r="N38" s="342"/>
      <c r="O38" s="94"/>
      <c r="P38" s="94"/>
      <c r="Q38" s="94"/>
      <c r="R38" s="94"/>
      <c r="S38" s="94"/>
      <c r="T38" s="342"/>
      <c r="U38" s="94"/>
      <c r="V38" s="94"/>
      <c r="W38" s="94"/>
      <c r="X38" s="94"/>
      <c r="Y38" s="94"/>
      <c r="Z38" s="342"/>
      <c r="AA38" s="43"/>
      <c r="AB38" s="43"/>
      <c r="AC38" s="43"/>
      <c r="AD38" s="43"/>
      <c r="AE38" s="43"/>
      <c r="AF38" s="342"/>
      <c r="AG38" s="43"/>
      <c r="AH38" s="43"/>
      <c r="AI38" s="43"/>
      <c r="AJ38" s="43"/>
      <c r="AK38" s="43"/>
      <c r="AL38" s="342"/>
      <c r="AM38" s="43"/>
      <c r="AN38" s="43"/>
      <c r="AO38" s="43"/>
      <c r="AP38" s="43"/>
      <c r="AQ38" s="43"/>
      <c r="AR38" s="342"/>
      <c r="AS38" s="43"/>
      <c r="AT38" s="43"/>
      <c r="AU38" s="43"/>
      <c r="AV38" s="43"/>
      <c r="AW38" s="43"/>
      <c r="AX38" s="342"/>
      <c r="AY38" s="43"/>
      <c r="AZ38" s="43"/>
      <c r="BA38" s="43"/>
      <c r="BB38" s="43"/>
      <c r="BC38" s="43"/>
      <c r="BD38" s="342"/>
      <c r="BE38" s="43"/>
      <c r="BF38" s="43"/>
      <c r="BG38" s="43"/>
      <c r="BH38" s="43"/>
      <c r="BI38" s="43"/>
      <c r="BJ38" s="342"/>
      <c r="BK38" s="43"/>
      <c r="BL38" s="43"/>
      <c r="BM38" s="43"/>
      <c r="BN38" s="43"/>
      <c r="BO38" s="43"/>
      <c r="BP38" s="342"/>
      <c r="BQ38" s="43"/>
      <c r="BR38" s="43"/>
      <c r="BS38" s="43"/>
      <c r="BT38" s="43"/>
      <c r="BU38" s="43"/>
      <c r="BV38" s="342"/>
      <c r="BW38" s="43"/>
      <c r="BX38" s="43"/>
      <c r="BY38" s="43"/>
      <c r="BZ38" s="43"/>
      <c r="CA38" s="43"/>
      <c r="CB38" s="342"/>
      <c r="CC38" s="43"/>
      <c r="CD38" s="43"/>
      <c r="CE38" s="43"/>
      <c r="CF38" s="43"/>
      <c r="CG38" s="1215"/>
      <c r="CH38" s="342"/>
      <c r="CI38" s="43"/>
      <c r="CJ38" s="43"/>
      <c r="CK38" s="43"/>
      <c r="CL38" s="43"/>
      <c r="CM38" s="1215"/>
      <c r="CN38" s="342"/>
      <c r="CO38" s="43"/>
      <c r="CP38" s="336"/>
      <c r="CQ38" s="43"/>
      <c r="CR38" s="43"/>
      <c r="CS38" s="1215"/>
      <c r="CT38" s="475"/>
      <c r="CU38" s="43"/>
      <c r="CV38" s="43"/>
      <c r="CW38" s="43"/>
      <c r="CX38" s="43"/>
      <c r="CY38" s="148"/>
      <c r="CZ38" s="156"/>
      <c r="DA38" s="43"/>
      <c r="DB38" s="43"/>
      <c r="DC38" s="43"/>
      <c r="DD38" s="43"/>
      <c r="DE38" s="148"/>
      <c r="DF38" s="475"/>
      <c r="DG38" s="43"/>
      <c r="DH38" s="43"/>
      <c r="DI38" s="43"/>
      <c r="DJ38" s="43"/>
      <c r="DK38" s="148"/>
      <c r="DL38" s="475"/>
      <c r="DM38" s="43"/>
      <c r="DN38" s="43"/>
      <c r="DO38" s="82"/>
      <c r="DP38" s="1206"/>
      <c r="DQ38" s="397"/>
      <c r="DR38" s="159"/>
      <c r="DS38" s="1206"/>
      <c r="DT38" s="82"/>
      <c r="DU38" s="43"/>
      <c r="DV38" s="43"/>
      <c r="DW38" s="148"/>
      <c r="DX38" s="475"/>
      <c r="DY38" s="43"/>
      <c r="DZ38" s="43"/>
      <c r="EA38" s="43"/>
      <c r="EB38" s="43"/>
      <c r="EC38" s="148"/>
      <c r="ED38" s="475"/>
      <c r="EE38" s="43"/>
      <c r="EF38" s="43"/>
      <c r="EG38" s="43"/>
      <c r="EH38" s="43"/>
      <c r="EI38" s="148"/>
      <c r="EJ38" s="475"/>
      <c r="EK38" s="43"/>
      <c r="EL38" s="43"/>
      <c r="EM38" s="43"/>
      <c r="EN38" s="43"/>
      <c r="EO38" s="148"/>
      <c r="EP38" s="475"/>
      <c r="EQ38" s="43"/>
      <c r="ER38" s="43"/>
      <c r="ES38" s="43"/>
      <c r="ET38" s="43"/>
      <c r="EU38" s="148"/>
      <c r="EV38" s="475"/>
      <c r="EW38" s="43"/>
      <c r="EX38" s="43"/>
      <c r="EY38" s="43"/>
      <c r="EZ38" s="43"/>
      <c r="FA38" s="148"/>
      <c r="FB38" s="475"/>
      <c r="FC38" s="43"/>
      <c r="FD38" s="43"/>
      <c r="FE38" s="43"/>
      <c r="FF38" s="43"/>
      <c r="FG38" s="148"/>
      <c r="FH38" s="475"/>
      <c r="FI38" s="43"/>
      <c r="FJ38" s="43"/>
      <c r="FK38" s="43"/>
      <c r="FL38" s="43"/>
      <c r="FM38" s="148"/>
      <c r="FO38" s="60"/>
      <c r="FQ38"/>
      <c r="FR38"/>
      <c r="FS38"/>
      <c r="FT38"/>
      <c r="FU38"/>
      <c r="FV38"/>
      <c r="GB38" s="24"/>
      <c r="GC38" s="24"/>
      <c r="GD38" s="24"/>
      <c r="GE38" s="24"/>
      <c r="GF38" s="24"/>
      <c r="GG38" s="24"/>
      <c r="GH38" s="24"/>
      <c r="GI38" s="24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</row>
    <row r="39" spans="1:274" s="1517" customFormat="1" x14ac:dyDescent="0.2">
      <c r="A39" s="1590" t="s">
        <v>1053</v>
      </c>
      <c r="B39" s="1591"/>
      <c r="C39" s="1592"/>
      <c r="D39" s="1592"/>
      <c r="E39" s="1592"/>
      <c r="F39" s="1592"/>
      <c r="G39" s="1592"/>
      <c r="H39" s="1591"/>
      <c r="I39" s="1592"/>
      <c r="J39" s="1592"/>
      <c r="K39" s="1592"/>
      <c r="L39" s="1592"/>
      <c r="M39" s="1592"/>
      <c r="N39" s="1591"/>
      <c r="O39" s="1592"/>
      <c r="P39" s="1592"/>
      <c r="Q39" s="1592"/>
      <c r="R39" s="1592"/>
      <c r="S39" s="1592"/>
      <c r="T39" s="1591"/>
      <c r="U39" s="1592"/>
      <c r="V39" s="1592"/>
      <c r="W39" s="1592"/>
      <c r="X39" s="1592"/>
      <c r="Y39" s="1592"/>
      <c r="Z39" s="1591"/>
      <c r="AA39" s="1593"/>
      <c r="AB39" s="1593"/>
      <c r="AC39" s="1593"/>
      <c r="AD39" s="1593"/>
      <c r="AE39" s="1593"/>
      <c r="AF39" s="1591"/>
      <c r="AG39" s="1593"/>
      <c r="AH39" s="1593"/>
      <c r="AI39" s="1593"/>
      <c r="AJ39" s="1593"/>
      <c r="AK39" s="1593"/>
      <c r="AL39" s="1591"/>
      <c r="AM39" s="1593"/>
      <c r="AN39" s="1593"/>
      <c r="AO39" s="1593"/>
      <c r="AP39" s="1593"/>
      <c r="AQ39" s="1593"/>
      <c r="AR39" s="1591"/>
      <c r="AS39" s="1593"/>
      <c r="AT39" s="1593"/>
      <c r="AU39" s="1593"/>
      <c r="AV39" s="1593"/>
      <c r="AW39" s="1593"/>
      <c r="AX39" s="1591"/>
      <c r="AY39" s="1593"/>
      <c r="AZ39" s="1593"/>
      <c r="BA39" s="1593"/>
      <c r="BB39" s="1593"/>
      <c r="BC39" s="1593"/>
      <c r="BD39" s="1591"/>
      <c r="BE39" s="1593"/>
      <c r="BF39" s="1593"/>
      <c r="BG39" s="1593"/>
      <c r="BH39" s="1593"/>
      <c r="BI39" s="1593"/>
      <c r="BJ39" s="1591"/>
      <c r="BK39" s="1593"/>
      <c r="BL39" s="1593"/>
      <c r="BM39" s="1593"/>
      <c r="BN39" s="1593"/>
      <c r="BO39" s="1593"/>
      <c r="BP39" s="1591"/>
      <c r="BQ39" s="1593">
        <f>BQ40/BK40-1</f>
        <v>-6.7927097278255744E-2</v>
      </c>
      <c r="BR39" s="1593">
        <f>BR40/BL40-1</f>
        <v>0.10659183702015973</v>
      </c>
      <c r="BS39" s="1593">
        <f>BS40/BM40-1</f>
        <v>0.16101638691700382</v>
      </c>
      <c r="BT39" s="1593">
        <f>BT40/BN40-1</f>
        <v>0.14944252573122974</v>
      </c>
      <c r="BU39" s="1593">
        <f>BU40/BO40-1</f>
        <v>0.10522481372969628</v>
      </c>
      <c r="BV39" s="1591"/>
      <c r="BW39" s="1593">
        <f>BW40/BQ40-1</f>
        <v>0.21078431372549011</v>
      </c>
      <c r="BX39" s="1593">
        <f>BX40/BR40-1</f>
        <v>6.1797752808988804E-2</v>
      </c>
      <c r="BY39" s="1593">
        <f>BY40/BS40-1</f>
        <v>0.13571428571428568</v>
      </c>
      <c r="BZ39" s="1593">
        <f>BZ40/BT40-1</f>
        <v>0.17334575955265619</v>
      </c>
      <c r="CA39" s="1593">
        <f>CA40/BU40-1</f>
        <v>0.1420670584168684</v>
      </c>
      <c r="CB39" s="1591"/>
      <c r="CC39" s="1593">
        <f>CC40/BW40-1</f>
        <v>1.6194331983805599E-2</v>
      </c>
      <c r="CD39" s="1593">
        <f>CD40/BX40-1</f>
        <v>4.7619047619047672E-2</v>
      </c>
      <c r="CE39" s="1593">
        <f>CE40/BY40-1</f>
        <v>4.0754716981131978E-2</v>
      </c>
      <c r="CF39" s="1593">
        <f>CF40/BZ40-1</f>
        <v>0.17553613979348692</v>
      </c>
      <c r="CG39" s="1594">
        <f>CG40/CA40-1</f>
        <v>7.8995157384987857E-2</v>
      </c>
      <c r="CH39" s="1591"/>
      <c r="CI39" s="1593">
        <f>CI40/CC40-1</f>
        <v>0.14741035856573714</v>
      </c>
      <c r="CJ39" s="1593">
        <f>CJ40/CD40-1</f>
        <v>9.4696969696969724E-2</v>
      </c>
      <c r="CK39" s="1593">
        <f>CK40/CE40-1</f>
        <v>0.16872129562484894</v>
      </c>
      <c r="CL39" s="1593">
        <f>CL40/CF40-1</f>
        <v>0.17297297297297298</v>
      </c>
      <c r="CM39" s="1594">
        <f>CM40/CG40-1</f>
        <v>0.15539971949509113</v>
      </c>
      <c r="CN39" s="1591"/>
      <c r="CO39" s="1593">
        <f>CO40/CI40-1</f>
        <v>0.234375</v>
      </c>
      <c r="CP39" s="1593">
        <f>CP40/CJ40-1</f>
        <v>0.28604382929642447</v>
      </c>
      <c r="CQ39" s="1593">
        <f>CQ40/CK40-1</f>
        <v>0.20475698035160295</v>
      </c>
      <c r="CR39" s="1593">
        <f>CR40/CL40-1</f>
        <v>0.24135944700460832</v>
      </c>
      <c r="CS39" s="1594">
        <f>CS40/CM40-1</f>
        <v>0.24933236222384081</v>
      </c>
      <c r="CT39" s="1591"/>
      <c r="CU39" s="1593">
        <f>CU40/CO40-1</f>
        <v>0.27426160337552741</v>
      </c>
      <c r="CV39" s="1593">
        <f>CV40/CP40-1</f>
        <v>3.7668161434977643E-2</v>
      </c>
      <c r="CW39" s="1593">
        <f>CW40/CQ40-1</f>
        <v>-3.8626609442060089E-2</v>
      </c>
      <c r="CX39" s="1593">
        <f>CX40/CR40-1</f>
        <v>-0.10023201856148489</v>
      </c>
      <c r="CY39" s="1594">
        <f>CY40/CS40-1</f>
        <v>-4.7609794014769058E-3</v>
      </c>
      <c r="CZ39" s="1593"/>
      <c r="DA39" s="1593">
        <f>DA40/CU40-1</f>
        <v>-0.21523178807947019</v>
      </c>
      <c r="DB39" s="1593">
        <f>DB40/CV40-1</f>
        <v>1.5557476231633505E-2</v>
      </c>
      <c r="DC39" s="1593">
        <f>DC40/CW40-1</f>
        <v>0.10803571428571423</v>
      </c>
      <c r="DD39" s="1593">
        <f>DD40/CX40-1</f>
        <v>0.17586384734399174</v>
      </c>
      <c r="DE39" s="1594">
        <f>DE40/CY40-1</f>
        <v>5.5745387093624865E-2</v>
      </c>
      <c r="DF39" s="1591"/>
      <c r="DG39" s="1593">
        <f>DG40/DA40-1</f>
        <v>0.31786216596343175</v>
      </c>
      <c r="DH39" s="1593">
        <f>DH40/DB40-1</f>
        <v>0.20851063829787231</v>
      </c>
      <c r="DI39" s="1593">
        <f>DI40/DC40-1</f>
        <v>0.26913779210314259</v>
      </c>
      <c r="DJ39" s="1593">
        <f>DJ40/DD40-1</f>
        <v>0.18157894736842106</v>
      </c>
      <c r="DK39" s="1594">
        <f>DK40/DE40-1</f>
        <v>0.22544849269465517</v>
      </c>
      <c r="DL39" s="1591"/>
      <c r="DM39" s="1593">
        <f>DM40/DG40-1</f>
        <v>0.14194236926360726</v>
      </c>
      <c r="DN39" s="1593">
        <f>DN40/DH40-1</f>
        <v>4.1549295774647943E-2</v>
      </c>
      <c r="DO39" s="1593">
        <f>DO40/DI40-1</f>
        <v>8.9523809523809561E-2</v>
      </c>
      <c r="DP39" s="1593">
        <f>DP40/DJ40-1</f>
        <v>1.0022271714922093E-2</v>
      </c>
      <c r="DQ39" s="1594">
        <f>DQ40/DK40-1</f>
        <v>5.4331421672200397E-2</v>
      </c>
      <c r="DR39" s="1591"/>
      <c r="DS39" s="1593">
        <f>DS40/DM40-1</f>
        <v>3.0000000000000027E-2</v>
      </c>
      <c r="DT39" s="1593">
        <f>DT40/DN40-1</f>
        <v>0.1100000000000001</v>
      </c>
      <c r="DU39" s="1593">
        <f>DU40/DO40-1</f>
        <v>5.0000000000000044E-2</v>
      </c>
      <c r="DV39" s="1593">
        <f>DV40/DP40-1</f>
        <v>0.1100000000000001</v>
      </c>
      <c r="DW39" s="1594">
        <f>DW40/DQ40-1</f>
        <v>8.3008874892642526E-2</v>
      </c>
      <c r="DX39" s="1591"/>
      <c r="DY39" s="1593">
        <f>DY40/DS40-1</f>
        <v>0.1100000000000001</v>
      </c>
      <c r="DZ39" s="1593">
        <f>DZ40/DT40-1</f>
        <v>1.4999999999999902E-2</v>
      </c>
      <c r="EA39" s="1593">
        <f>EA40/DU40-1</f>
        <v>7.0000000000000062E-2</v>
      </c>
      <c r="EB39" s="1593">
        <f>EB40/DV40-1</f>
        <v>2.0000000000000018E-3</v>
      </c>
      <c r="EC39" s="1594">
        <f>EC40/DW40-1</f>
        <v>3.6746847037365082E-2</v>
      </c>
      <c r="ED39" s="1591"/>
      <c r="EE39" s="1593">
        <f>EE40/DY40-1</f>
        <v>-1.0000000000000009E-2</v>
      </c>
      <c r="EF39" s="1593">
        <f>EF40/DZ40-1</f>
        <v>1.0000000000000009E-2</v>
      </c>
      <c r="EG39" s="1593">
        <f>EG40/EA40-1</f>
        <v>-1.0000000000000009E-2</v>
      </c>
      <c r="EH39" s="1593">
        <f>EH40/EB40-1</f>
        <v>-1.9999999999999907E-2</v>
      </c>
      <c r="EI39" s="1594">
        <f>EI40/EC40-1</f>
        <v>-9.6095320145654917E-3</v>
      </c>
      <c r="EJ39" s="1591"/>
      <c r="EK39" s="1593">
        <f>EK40/EE40-1</f>
        <v>-1.4999999999999902E-2</v>
      </c>
      <c r="EL39" s="1593">
        <f>EL40/EF40-1</f>
        <v>-1.5000000000000013E-2</v>
      </c>
      <c r="EM39" s="1593">
        <f>EM40/EG40-1</f>
        <v>-1.4999999999999902E-2</v>
      </c>
      <c r="EN39" s="1593">
        <f>EN40/EH40-1</f>
        <v>-1.5000000000000013E-2</v>
      </c>
      <c r="EO39" s="1594">
        <f>EO40/EI40-1</f>
        <v>-1.4999999999999902E-2</v>
      </c>
      <c r="EP39" s="1591"/>
      <c r="EQ39" s="1763">
        <f>EQ40/EK40-1</f>
        <v>-1.4999999999999902E-2</v>
      </c>
      <c r="ER39" s="1763">
        <f>ER40/EL40-1</f>
        <v>2.0000000000000018E-2</v>
      </c>
      <c r="ES39" s="1763">
        <f>ES40/EM40-1</f>
        <v>2.4999999999999911E-2</v>
      </c>
      <c r="ET39" s="1763">
        <f>ET40/EN40-1</f>
        <v>-1.5000000000000013E-2</v>
      </c>
      <c r="EU39" s="1764">
        <f>EU40/EO40-1</f>
        <v>2.4099642071975236E-3</v>
      </c>
      <c r="EV39" s="1765"/>
      <c r="EW39" s="1763">
        <f>EW40/EQ40-1</f>
        <v>-1.5000000000000124E-2</v>
      </c>
      <c r="EX39" s="1763">
        <f>EX40/ER40-1</f>
        <v>6.0000000000000053E-2</v>
      </c>
      <c r="EY39" s="1763">
        <f>EY40/ES40-1</f>
        <v>8.0000000000000071E-2</v>
      </c>
      <c r="EZ39" s="1763">
        <f>EZ40/ET40-1</f>
        <v>2.4999999999999911E-2</v>
      </c>
      <c r="FA39" s="1764">
        <f>FA40/EU40-1</f>
        <v>4.0405279035837571E-2</v>
      </c>
      <c r="FB39" s="1765"/>
      <c r="FC39" s="1763">
        <f>FC40/EW40-1</f>
        <v>2.4999999999999911E-2</v>
      </c>
      <c r="FD39" s="1763">
        <f>FD40/EX40-1</f>
        <v>2.4999999999999911E-2</v>
      </c>
      <c r="FE39" s="1763">
        <f>FE40/EY40-1</f>
        <v>2.4999999999999911E-2</v>
      </c>
      <c r="FF39" s="1763">
        <f>FF40/EZ40-1</f>
        <v>2.4999999999999911E-2</v>
      </c>
      <c r="FG39" s="1764">
        <f>FG40/FA40-1</f>
        <v>2.4999999999999911E-2</v>
      </c>
      <c r="FH39" s="1765"/>
      <c r="FI39" s="1763">
        <f>FI40/FC40-1</f>
        <v>2.4999999999999911E-2</v>
      </c>
      <c r="FJ39" s="1763">
        <f>FJ40/FD40-1</f>
        <v>2.4999999999999911E-2</v>
      </c>
      <c r="FK39" s="1763">
        <f>FK40/FE40-1</f>
        <v>2.4999999999999911E-2</v>
      </c>
      <c r="FL39" s="1763">
        <f>FL40/FF40-1</f>
        <v>2.4999999999999911E-2</v>
      </c>
      <c r="FM39" s="1764">
        <f>FM40/FG40-1</f>
        <v>2.4999999999999911E-2</v>
      </c>
      <c r="FO39" s="1529"/>
      <c r="FQ39"/>
      <c r="FR39"/>
      <c r="FS39"/>
      <c r="FT39"/>
      <c r="FU39"/>
      <c r="FV39"/>
      <c r="GB39" s="1523"/>
      <c r="GC39" s="1523"/>
      <c r="GD39" s="1523"/>
      <c r="GE39" s="1523"/>
      <c r="GF39" s="1523"/>
      <c r="GG39" s="1523"/>
      <c r="GH39" s="1523"/>
      <c r="GI39" s="1523"/>
      <c r="GJ39" s="1522"/>
      <c r="GK39" s="1522"/>
      <c r="GL39" s="1522"/>
      <c r="GM39" s="1522"/>
      <c r="GN39" s="1522"/>
      <c r="GO39" s="1522"/>
      <c r="GP39" s="1522"/>
      <c r="GQ39" s="1522"/>
      <c r="GR39" s="1522"/>
      <c r="GS39" s="1522"/>
      <c r="GT39" s="1522"/>
      <c r="GU39" s="1522"/>
      <c r="GV39" s="1522"/>
      <c r="GW39" s="1522"/>
      <c r="GX39" s="1522"/>
      <c r="GY39" s="1522"/>
      <c r="GZ39" s="1522"/>
      <c r="HA39" s="1522"/>
      <c r="HB39" s="1522"/>
      <c r="HC39" s="1522"/>
      <c r="HD39" s="1522"/>
      <c r="HE39" s="1522"/>
      <c r="HF39" s="1522"/>
      <c r="HG39" s="1522"/>
      <c r="HH39" s="1522"/>
      <c r="HI39" s="1522"/>
      <c r="HJ39" s="1522"/>
      <c r="HK39" s="1522"/>
      <c r="HL39" s="1522"/>
      <c r="HM39" s="1522"/>
      <c r="HN39" s="1522"/>
      <c r="HO39" s="1522"/>
      <c r="HP39" s="1522"/>
      <c r="HQ39" s="1522"/>
      <c r="HR39" s="1522"/>
      <c r="HS39" s="1522"/>
      <c r="HT39" s="1522"/>
      <c r="HU39" s="1522"/>
      <c r="HV39" s="1522"/>
      <c r="HW39" s="1522"/>
      <c r="HX39" s="1522"/>
      <c r="HY39" s="1522"/>
      <c r="HZ39" s="1522"/>
      <c r="IA39" s="1522"/>
      <c r="IB39" s="1522"/>
      <c r="IC39" s="1522"/>
      <c r="ID39" s="1522"/>
      <c r="IE39" s="1522"/>
      <c r="IF39" s="1522"/>
      <c r="IG39" s="1522"/>
      <c r="IH39" s="1522"/>
      <c r="II39" s="1522"/>
      <c r="IJ39" s="1522"/>
      <c r="IK39" s="1522"/>
      <c r="IL39" s="1522"/>
      <c r="IM39" s="1522"/>
      <c r="IN39" s="1522"/>
      <c r="IO39" s="1522"/>
      <c r="IP39" s="1522"/>
      <c r="IQ39" s="1522"/>
      <c r="IR39" s="1522"/>
      <c r="IS39" s="1522"/>
      <c r="IT39" s="1522"/>
      <c r="IU39" s="1522"/>
      <c r="IV39" s="1522"/>
      <c r="IW39" s="1522"/>
      <c r="IX39" s="1522"/>
      <c r="IY39" s="1522"/>
      <c r="IZ39" s="1522"/>
      <c r="JA39" s="1522"/>
      <c r="JB39" s="1522"/>
      <c r="JC39" s="1522"/>
      <c r="JD39" s="1522"/>
      <c r="JE39" s="1522"/>
      <c r="JF39" s="1522"/>
      <c r="JG39" s="1522"/>
      <c r="JH39" s="1522"/>
      <c r="JI39" s="1522"/>
      <c r="JJ39" s="1522"/>
      <c r="JK39" s="1522"/>
      <c r="JL39" s="1522"/>
      <c r="JM39" s="1522"/>
      <c r="JN39" s="1522"/>
    </row>
    <row r="40" spans="1:274" s="27" customFormat="1" hidden="1" outlineLevel="1" x14ac:dyDescent="0.2">
      <c r="A40" s="1493" t="s">
        <v>1054</v>
      </c>
      <c r="B40" s="1490"/>
      <c r="C40" s="1494"/>
      <c r="D40" s="1494"/>
      <c r="E40" s="1494"/>
      <c r="F40" s="1494"/>
      <c r="G40" s="1494"/>
      <c r="H40" s="1490"/>
      <c r="I40" s="1494"/>
      <c r="J40" s="1494"/>
      <c r="K40" s="1494"/>
      <c r="L40" s="1494"/>
      <c r="M40" s="1494"/>
      <c r="N40" s="1490"/>
      <c r="O40" s="1494"/>
      <c r="P40" s="1494"/>
      <c r="Q40" s="1494"/>
      <c r="R40" s="1494"/>
      <c r="S40" s="1494"/>
      <c r="T40" s="1490"/>
      <c r="U40" s="1494"/>
      <c r="V40" s="1494"/>
      <c r="W40" s="1494"/>
      <c r="X40" s="1494"/>
      <c r="Y40" s="1494"/>
      <c r="Z40" s="1490"/>
      <c r="AA40" s="1490"/>
      <c r="AB40" s="1490"/>
      <c r="AC40" s="1490"/>
      <c r="AD40" s="1490"/>
      <c r="AE40" s="1490"/>
      <c r="AF40" s="1490"/>
      <c r="AG40" s="1490"/>
      <c r="AH40" s="1490"/>
      <c r="AI40" s="1490"/>
      <c r="AJ40" s="1490"/>
      <c r="AK40" s="1490"/>
      <c r="AL40" s="1490"/>
      <c r="AM40" s="1490"/>
      <c r="AN40" s="1490"/>
      <c r="AO40" s="1490"/>
      <c r="AP40" s="1490"/>
      <c r="AQ40" s="1490"/>
      <c r="AR40" s="1490"/>
      <c r="AS40" s="1490"/>
      <c r="AT40" s="1490"/>
      <c r="AU40" s="1490"/>
      <c r="AV40" s="1490"/>
      <c r="AW40" s="1490"/>
      <c r="AX40" s="1490"/>
      <c r="AY40" s="1490"/>
      <c r="AZ40" s="1490"/>
      <c r="BA40" s="1490"/>
      <c r="BB40" s="1490"/>
      <c r="BC40" s="1490"/>
      <c r="BD40" s="1490"/>
      <c r="BE40" s="1490"/>
      <c r="BF40" s="1490"/>
      <c r="BG40" s="1490"/>
      <c r="BH40" s="1490"/>
      <c r="BI40" s="1490"/>
      <c r="BJ40" s="1490"/>
      <c r="BK40" s="1495">
        <f>'Geographic Detail'!BK119</f>
        <v>437.73399999999998</v>
      </c>
      <c r="BL40" s="1495">
        <f>'Geographic Detail'!BL119</f>
        <v>643.41699999999992</v>
      </c>
      <c r="BM40" s="1495">
        <f>'Geographic Detail'!BM119</f>
        <v>602.92000000000007</v>
      </c>
      <c r="BN40" s="1495">
        <f>'Geographic Detail'!BN119</f>
        <v>933.49599999999998</v>
      </c>
      <c r="BO40" s="1495">
        <f>'Geographic Detail'!BO119</f>
        <v>2617.567</v>
      </c>
      <c r="BP40" s="1490"/>
      <c r="BQ40" s="1495">
        <f>'Geographic Detail'!BQ119</f>
        <v>408</v>
      </c>
      <c r="BR40" s="1495">
        <f>'Geographic Detail'!BR119</f>
        <v>712</v>
      </c>
      <c r="BS40" s="1495">
        <f>'Geographic Detail'!BS119</f>
        <v>700</v>
      </c>
      <c r="BT40" s="1495">
        <f>'Geographic Detail'!BT119</f>
        <v>1073</v>
      </c>
      <c r="BU40" s="1495">
        <f>'Geographic Detail'!BU119</f>
        <v>2893</v>
      </c>
      <c r="BV40" s="1490"/>
      <c r="BW40" s="1495">
        <f>'Geographic Detail'!BW119</f>
        <v>494</v>
      </c>
      <c r="BX40" s="1495">
        <f>'Geographic Detail'!BX119</f>
        <v>756</v>
      </c>
      <c r="BY40" s="1495">
        <f>'Geographic Detail'!BY119</f>
        <v>795</v>
      </c>
      <c r="BZ40" s="1495">
        <f>'Geographic Detail'!BZ119</f>
        <v>1259</v>
      </c>
      <c r="CA40" s="1495">
        <f>'Geographic Detail'!CA119</f>
        <v>3304</v>
      </c>
      <c r="CB40" s="1490"/>
      <c r="CC40" s="1495">
        <f>'Geographic Detail'!CC119</f>
        <v>502</v>
      </c>
      <c r="CD40" s="1495">
        <f>'Geographic Detail'!CD119</f>
        <v>792</v>
      </c>
      <c r="CE40" s="1495">
        <f>'Geographic Detail'!CE119</f>
        <v>827.4</v>
      </c>
      <c r="CF40" s="1495">
        <f>'Geographic Detail'!CF119</f>
        <v>1480</v>
      </c>
      <c r="CG40" s="1488">
        <f>'Geographic Detail'!CG119</f>
        <v>3565</v>
      </c>
      <c r="CH40" s="1490"/>
      <c r="CI40" s="1495">
        <f>'Geographic Detail'!CI119</f>
        <v>576</v>
      </c>
      <c r="CJ40" s="1495">
        <f>'Geographic Detail'!CJ119</f>
        <v>867</v>
      </c>
      <c r="CK40" s="1495">
        <f>'Geographic Detail'!CK119</f>
        <v>967</v>
      </c>
      <c r="CL40" s="1495">
        <f>'Geographic Detail'!CL119</f>
        <v>1736</v>
      </c>
      <c r="CM40" s="1488">
        <f>'Geographic Detail'!CM119</f>
        <v>4119</v>
      </c>
      <c r="CN40" s="1490"/>
      <c r="CO40" s="1495">
        <f>'Geographic Detail'!CO119</f>
        <v>711</v>
      </c>
      <c r="CP40" s="1495">
        <f>'Geographic Detail'!CP119</f>
        <v>1115</v>
      </c>
      <c r="CQ40" s="1495">
        <f>'Geographic Detail'!CQ119</f>
        <v>1165</v>
      </c>
      <c r="CR40" s="1495">
        <f>'Geographic Detail'!CR119</f>
        <v>2155</v>
      </c>
      <c r="CS40" s="1488">
        <f>'Geographic Detail'!CS119</f>
        <v>5146</v>
      </c>
      <c r="CT40" s="1490"/>
      <c r="CU40" s="1495">
        <f>'Geographic Detail'!CU119</f>
        <v>906</v>
      </c>
      <c r="CV40" s="1495">
        <f>'Geographic Detail'!CV119</f>
        <v>1157</v>
      </c>
      <c r="CW40" s="1495">
        <f>'Geographic Detail'!CW119</f>
        <v>1120</v>
      </c>
      <c r="CX40" s="1495">
        <f>'Geographic Detail'!CX119</f>
        <v>1939</v>
      </c>
      <c r="CY40" s="1488">
        <f>'Geographic Detail'!CY119</f>
        <v>5121.5</v>
      </c>
      <c r="CZ40" s="1491"/>
      <c r="DA40" s="1495">
        <f>'Geographic Detail'!DA119</f>
        <v>711</v>
      </c>
      <c r="DB40" s="1495">
        <f>'Geographic Detail'!DB119</f>
        <v>1175</v>
      </c>
      <c r="DC40" s="1495">
        <f>'Geographic Detail'!DC119</f>
        <v>1241</v>
      </c>
      <c r="DD40" s="1495">
        <f>'Geographic Detail'!DD119</f>
        <v>2280</v>
      </c>
      <c r="DE40" s="1488">
        <f>'Geographic Detail'!DE119</f>
        <v>5407</v>
      </c>
      <c r="DF40" s="1490"/>
      <c r="DG40" s="1495">
        <f>dlrev _3c10</f>
        <v>937</v>
      </c>
      <c r="DH40" s="1495">
        <f>dlrev _4c10</f>
        <v>1420</v>
      </c>
      <c r="DI40" s="1495">
        <f>dlrev _1c11</f>
        <v>1575</v>
      </c>
      <c r="DJ40" s="1495">
        <f>dlrev _2c11</f>
        <v>2694</v>
      </c>
      <c r="DK40" s="1488">
        <f>dlrev _fy11</f>
        <v>6626</v>
      </c>
      <c r="DL40" s="1490"/>
      <c r="DM40" s="1495">
        <f>dlrev _3c11</f>
        <v>1070</v>
      </c>
      <c r="DN40" s="1495">
        <f>dlrev _4c11</f>
        <v>1479</v>
      </c>
      <c r="DO40" s="1495">
        <f>dlrev _1c12</f>
        <v>1716</v>
      </c>
      <c r="DP40" s="1495">
        <f>dlrev _2c12</f>
        <v>2721</v>
      </c>
      <c r="DQ40" s="1488">
        <f>dlrev _fy12</f>
        <v>6986</v>
      </c>
      <c r="DR40" s="1490"/>
      <c r="DS40" s="1495">
        <f>dlrev _3c12</f>
        <v>1102.1000000000001</v>
      </c>
      <c r="DT40" s="1495">
        <f>dlrev _4c12</f>
        <v>1641.69</v>
      </c>
      <c r="DU40" s="1495">
        <f>dlrev _1c13</f>
        <v>1801.8000000000002</v>
      </c>
      <c r="DV40" s="1495">
        <f>dlrev _2c13</f>
        <v>3020.3100000000004</v>
      </c>
      <c r="DW40" s="1488">
        <f>dlrev _fy13</f>
        <v>7565.9000000000005</v>
      </c>
      <c r="DX40" s="1490"/>
      <c r="DY40" s="1495">
        <f>dlrev _3c13</f>
        <v>1223.3310000000004</v>
      </c>
      <c r="DZ40" s="1495">
        <f>dlrev _4c13</f>
        <v>1666.3153499999999</v>
      </c>
      <c r="EA40" s="1495">
        <f>dlrev _1c14</f>
        <v>1927.9260000000004</v>
      </c>
      <c r="EB40" s="1495">
        <f>dlrev _2c14</f>
        <v>3026.3506200000006</v>
      </c>
      <c r="EC40" s="1488">
        <f>dlrev _fy14</f>
        <v>7843.9229700000014</v>
      </c>
      <c r="ED40" s="1490"/>
      <c r="EE40" s="1495">
        <f>Model!EE39</f>
        <v>1211.0976900000003</v>
      </c>
      <c r="EF40" s="1495">
        <f>Model!EF39</f>
        <v>1682.9785034999998</v>
      </c>
      <c r="EG40" s="1495">
        <f>Model!EG39</f>
        <v>1908.6467400000004</v>
      </c>
      <c r="EH40" s="1495">
        <f>Model!EH39</f>
        <v>2965.8236076000007</v>
      </c>
      <c r="EI40" s="1488">
        <f>Model!EI39</f>
        <v>7768.5465411000005</v>
      </c>
      <c r="EJ40" s="1490"/>
      <c r="EK40" s="1495">
        <f>Model!EK39</f>
        <v>1192.9312246500003</v>
      </c>
      <c r="EL40" s="1495">
        <f>Model!EL39</f>
        <v>1657.7338259474998</v>
      </c>
      <c r="EM40" s="1495">
        <f>Model!EM39</f>
        <v>1880.0170389000004</v>
      </c>
      <c r="EN40" s="1495">
        <f>Model!EN39</f>
        <v>2921.3362534860007</v>
      </c>
      <c r="EO40" s="1488">
        <f>Model!EO39</f>
        <v>7652.0183429835015</v>
      </c>
      <c r="EP40" s="1490"/>
      <c r="EQ40" s="1495">
        <f>Model!EQ39</f>
        <v>1175.0372562802504</v>
      </c>
      <c r="ER40" s="1495">
        <f>Model!ER39</f>
        <v>1690.8885024664498</v>
      </c>
      <c r="ES40" s="1495">
        <f>Model!ES39</f>
        <v>1927.0174648725003</v>
      </c>
      <c r="ET40" s="1495">
        <f>Model!ET39</f>
        <v>2877.5162096837107</v>
      </c>
      <c r="EU40" s="1488">
        <f>Model!EU39</f>
        <v>7670.4594333029108</v>
      </c>
      <c r="EV40" s="1490"/>
      <c r="EW40" s="1495">
        <f>Model!EW39</f>
        <v>1157.4116974360466</v>
      </c>
      <c r="EX40" s="1495">
        <f>Model!EX39</f>
        <v>1792.341812614437</v>
      </c>
      <c r="EY40" s="1495">
        <f>Model!EY39</f>
        <v>2081.1788620623006</v>
      </c>
      <c r="EZ40" s="1495">
        <f>Model!EZ39</f>
        <v>2949.4541149258034</v>
      </c>
      <c r="FA40" s="1488">
        <f>Model!FA39</f>
        <v>7980.3864870385878</v>
      </c>
      <c r="FB40" s="1490"/>
      <c r="FC40" s="1495">
        <f>Model!FC39</f>
        <v>1186.3469898719477</v>
      </c>
      <c r="FD40" s="1495">
        <f>Model!FD39</f>
        <v>1837.1503579297978</v>
      </c>
      <c r="FE40" s="1495">
        <f>Model!FE39</f>
        <v>2133.208333613858</v>
      </c>
      <c r="FF40" s="1495">
        <f>Model!FF39</f>
        <v>3023.1904677989482</v>
      </c>
      <c r="FG40" s="1488">
        <f>Model!FG39</f>
        <v>8179.8961492145518</v>
      </c>
      <c r="FH40" s="1490"/>
      <c r="FI40" s="1495">
        <f>Model!FI39</f>
        <v>1216.0056646187463</v>
      </c>
      <c r="FJ40" s="1495">
        <f>Model!FJ39</f>
        <v>1883.0791168780427</v>
      </c>
      <c r="FK40" s="1495">
        <f>Model!FK39</f>
        <v>2186.5385419542044</v>
      </c>
      <c r="FL40" s="1495">
        <f>Model!FL39</f>
        <v>3098.7702294939218</v>
      </c>
      <c r="FM40" s="1488">
        <f>Model!FM39</f>
        <v>8384.3935529449154</v>
      </c>
      <c r="FN40" s="947"/>
      <c r="FO40" s="947"/>
      <c r="FP40" s="947"/>
      <c r="FQ40"/>
      <c r="FR40"/>
      <c r="FS40"/>
      <c r="FT40"/>
      <c r="FU40"/>
      <c r="FV40"/>
      <c r="FW40" s="947"/>
      <c r="FX40" s="947"/>
      <c r="FY40" s="947"/>
      <c r="FZ40" s="947"/>
      <c r="GA40" s="947"/>
      <c r="GB40" s="23"/>
      <c r="GC40" s="23" t="s">
        <v>1055</v>
      </c>
      <c r="GD40" s="24"/>
      <c r="GE40" s="24"/>
      <c r="GF40" s="24"/>
      <c r="GG40" s="24"/>
      <c r="GH40" s="24"/>
      <c r="GI40" s="24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</row>
    <row r="41" spans="1:274" s="27" customFormat="1" ht="13.5" hidden="1" customHeight="1" outlineLevel="1" x14ac:dyDescent="0.2">
      <c r="A41" s="344" t="s">
        <v>1056</v>
      </c>
      <c r="B41" s="345"/>
      <c r="C41" s="943"/>
      <c r="D41" s="943"/>
      <c r="E41" s="943"/>
      <c r="F41" s="943"/>
      <c r="G41" s="943"/>
      <c r="H41" s="345"/>
      <c r="I41" s="943"/>
      <c r="J41" s="943"/>
      <c r="K41" s="943"/>
      <c r="L41" s="943"/>
      <c r="M41" s="943"/>
      <c r="N41" s="345"/>
      <c r="O41" s="37"/>
      <c r="P41" s="37"/>
      <c r="Q41" s="37"/>
      <c r="R41" s="37"/>
      <c r="S41" s="37"/>
      <c r="T41" s="345"/>
      <c r="U41" s="943"/>
      <c r="V41" s="943"/>
      <c r="W41" s="943"/>
      <c r="X41" s="943"/>
      <c r="Y41" s="943"/>
      <c r="Z41" s="345"/>
      <c r="AA41" s="943"/>
      <c r="AB41" s="943"/>
      <c r="AC41" s="943"/>
      <c r="AD41" s="943"/>
      <c r="AE41" s="943"/>
      <c r="AF41" s="345"/>
      <c r="AG41" s="943"/>
      <c r="AH41" s="943"/>
      <c r="AI41" s="943"/>
      <c r="AJ41" s="943"/>
      <c r="AK41" s="943"/>
      <c r="AL41" s="943"/>
      <c r="AM41" s="943"/>
      <c r="AN41" s="943"/>
      <c r="AO41" s="943"/>
      <c r="AP41" s="943"/>
      <c r="AQ41" s="943"/>
      <c r="AR41" s="345"/>
      <c r="AS41" s="943"/>
      <c r="AT41" s="943"/>
      <c r="AU41" s="943"/>
      <c r="AV41" s="943"/>
      <c r="AW41" s="943"/>
      <c r="AX41" s="345"/>
      <c r="AY41" s="943"/>
      <c r="AZ41" s="943"/>
      <c r="BA41" s="943"/>
      <c r="BB41" s="943"/>
      <c r="BC41" s="943"/>
      <c r="BD41" s="345"/>
      <c r="BE41" s="943"/>
      <c r="BF41" s="943"/>
      <c r="BG41" s="943"/>
      <c r="BH41" s="943"/>
      <c r="BI41" s="943"/>
      <c r="BJ41" s="345"/>
      <c r="BK41" s="943"/>
      <c r="BL41" s="943"/>
      <c r="BM41" s="943"/>
      <c r="BN41" s="943"/>
      <c r="BO41" s="943"/>
      <c r="BP41" s="345"/>
      <c r="BQ41" s="943"/>
      <c r="BR41" s="943"/>
      <c r="BS41" s="943"/>
      <c r="BT41" s="943"/>
      <c r="BU41" s="37">
        <f t="shared" ref="BU41:BU52" si="45">SUM(BQ41:BT41)</f>
        <v>0</v>
      </c>
      <c r="BV41" s="345"/>
      <c r="BW41" s="941"/>
      <c r="BX41" s="941"/>
      <c r="BY41" s="941"/>
      <c r="BZ41" s="1445">
        <v>2</v>
      </c>
      <c r="CA41" s="37">
        <f t="shared" ref="CA41:CA52" si="46">SUM(BW41:BZ41)</f>
        <v>2</v>
      </c>
      <c r="CB41" s="345"/>
      <c r="CC41" s="1445">
        <v>3</v>
      </c>
      <c r="CD41" s="1445">
        <v>3</v>
      </c>
      <c r="CE41" s="1445">
        <v>3</v>
      </c>
      <c r="CF41" s="1445">
        <f>3-BZ41</f>
        <v>1</v>
      </c>
      <c r="CG41" s="557">
        <f t="shared" ref="CG41:CG52" si="47">SUM(CC41:CF41)</f>
        <v>10</v>
      </c>
      <c r="CH41" s="345"/>
      <c r="CI41" s="941"/>
      <c r="CJ41" s="941"/>
      <c r="CK41" s="941"/>
      <c r="CL41" s="941"/>
      <c r="CM41" s="557">
        <f t="shared" ref="CM41:CM52" si="48">SUM(CI41:CL41)</f>
        <v>0</v>
      </c>
      <c r="CN41" s="345"/>
      <c r="CO41" s="941"/>
      <c r="CP41" s="941"/>
      <c r="CQ41" s="941"/>
      <c r="CR41" s="941"/>
      <c r="CS41" s="557">
        <f t="shared" ref="CS41:CS52" si="49">SUM(CO41:CR41)</f>
        <v>0</v>
      </c>
      <c r="CT41" s="345"/>
      <c r="CU41" s="941"/>
      <c r="CV41" s="941"/>
      <c r="CW41" s="941"/>
      <c r="CX41" s="941"/>
      <c r="CY41" s="557">
        <f t="shared" ref="CY41:CY52" si="50">SUM(CU41:CX41)</f>
        <v>0</v>
      </c>
      <c r="CZ41" s="86"/>
      <c r="DA41" s="941"/>
      <c r="DB41" s="941"/>
      <c r="DC41" s="941"/>
      <c r="DD41" s="941"/>
      <c r="DE41" s="557">
        <f t="shared" ref="DE41:DE52" si="51">SUM(DA41:DD41)</f>
        <v>0</v>
      </c>
      <c r="DF41" s="345"/>
      <c r="DG41" s="941"/>
      <c r="DH41" s="941"/>
      <c r="DI41" s="941"/>
      <c r="DJ41" s="1446"/>
      <c r="DK41" s="557">
        <f t="shared" ref="DK41:DK52" si="52">SUM(DG41:DJ41)</f>
        <v>0</v>
      </c>
      <c r="DL41" s="345"/>
      <c r="DM41" s="943"/>
      <c r="DN41" s="943"/>
      <c r="DO41" s="943"/>
      <c r="DP41" s="943"/>
      <c r="DQ41" s="557">
        <f t="shared" ref="DQ41:DQ52" si="53">SUM(DM41:DP41)</f>
        <v>0</v>
      </c>
      <c r="DR41" s="345"/>
      <c r="DS41" s="943"/>
      <c r="DT41" s="943"/>
      <c r="DU41" s="943"/>
      <c r="DV41" s="943"/>
      <c r="DW41" s="557">
        <f t="shared" ref="DW41:DW52" si="54">SUM(DS41:DV41)</f>
        <v>0</v>
      </c>
      <c r="DX41" s="345"/>
      <c r="DY41" s="943"/>
      <c r="DZ41" s="943"/>
      <c r="EA41" s="943"/>
      <c r="EB41" s="943"/>
      <c r="EC41" s="557">
        <f t="shared" ref="EC41:EC47" si="55">SUM(DY41:EB41)</f>
        <v>0</v>
      </c>
      <c r="ED41" s="345"/>
      <c r="EE41" s="943"/>
      <c r="EF41" s="943"/>
      <c r="EG41" s="943"/>
      <c r="EH41" s="943"/>
      <c r="EI41" s="557">
        <f t="shared" ref="EI41:EI47" si="56">SUM(EE41:EH41)</f>
        <v>0</v>
      </c>
      <c r="EJ41" s="345"/>
      <c r="EK41" s="943"/>
      <c r="EL41" s="943"/>
      <c r="EM41" s="943"/>
      <c r="EN41" s="943"/>
      <c r="EO41" s="557">
        <f t="shared" ref="EO41:EO47" si="57">SUM(EK41:EN41)</f>
        <v>0</v>
      </c>
      <c r="EP41" s="345"/>
      <c r="EQ41" s="943"/>
      <c r="ER41" s="943"/>
      <c r="ES41" s="943"/>
      <c r="ET41" s="943"/>
      <c r="EU41" s="557">
        <f t="shared" ref="EU41:EU47" si="58">SUM(EQ41:ET41)</f>
        <v>0</v>
      </c>
      <c r="EV41" s="345"/>
      <c r="EW41" s="943"/>
      <c r="EX41" s="943"/>
      <c r="EY41" s="943"/>
      <c r="EZ41" s="943"/>
      <c r="FA41" s="557">
        <f t="shared" ref="FA41:FA47" si="59">SUM(EW41:EZ41)</f>
        <v>0</v>
      </c>
      <c r="FB41" s="345"/>
      <c r="FC41" s="943"/>
      <c r="FD41" s="943"/>
      <c r="FE41" s="943"/>
      <c r="FF41" s="943"/>
      <c r="FG41" s="557">
        <f t="shared" ref="FG41:FG47" si="60">SUM(FC41:FF41)</f>
        <v>0</v>
      </c>
      <c r="FH41" s="345"/>
      <c r="FI41" s="943"/>
      <c r="FJ41" s="943"/>
      <c r="FK41" s="943"/>
      <c r="FL41" s="943"/>
      <c r="FM41" s="557">
        <f t="shared" ref="FM41:FM47" si="61">SUM(FI41:FL41)</f>
        <v>0</v>
      </c>
      <c r="FQ41"/>
      <c r="FR41"/>
      <c r="FS41"/>
      <c r="FT41"/>
      <c r="FU41"/>
      <c r="FV41"/>
      <c r="FY41" s="27" t="s">
        <v>651</v>
      </c>
      <c r="FZ41" s="27">
        <f>28-GA41</f>
        <v>15</v>
      </c>
      <c r="GA41" s="27">
        <v>13</v>
      </c>
      <c r="GB41" s="24"/>
      <c r="GC41" s="24" t="s">
        <v>1057</v>
      </c>
      <c r="GD41" s="24">
        <v>103</v>
      </c>
      <c r="GE41" s="24"/>
      <c r="GF41" s="24" t="s">
        <v>159</v>
      </c>
      <c r="GG41" s="24">
        <v>140</v>
      </c>
      <c r="GH41" s="24"/>
      <c r="GI41" s="24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</row>
    <row r="42" spans="1:274" s="27" customFormat="1" ht="12" hidden="1" customHeight="1" outlineLevel="1" x14ac:dyDescent="0.2">
      <c r="A42" s="344" t="s">
        <v>1058</v>
      </c>
      <c r="B42" s="345"/>
      <c r="C42" s="943"/>
      <c r="D42" s="943"/>
      <c r="E42" s="943"/>
      <c r="F42" s="943"/>
      <c r="G42" s="943"/>
      <c r="H42" s="345"/>
      <c r="I42" s="943"/>
      <c r="J42" s="943"/>
      <c r="K42" s="943"/>
      <c r="L42" s="943"/>
      <c r="M42" s="943"/>
      <c r="N42" s="345"/>
      <c r="O42" s="37"/>
      <c r="P42" s="37"/>
      <c r="Q42" s="37"/>
      <c r="R42" s="37"/>
      <c r="S42" s="37"/>
      <c r="T42" s="345"/>
      <c r="U42" s="943"/>
      <c r="V42" s="943"/>
      <c r="W42" s="943"/>
      <c r="X42" s="943"/>
      <c r="Y42" s="943"/>
      <c r="Z42" s="345"/>
      <c r="AA42" s="943"/>
      <c r="AB42" s="943"/>
      <c r="AC42" s="943"/>
      <c r="AD42" s="943"/>
      <c r="AE42" s="943"/>
      <c r="AF42" s="345"/>
      <c r="AG42" s="943"/>
      <c r="AH42" s="943"/>
      <c r="AI42" s="943"/>
      <c r="AJ42" s="943"/>
      <c r="AK42" s="943"/>
      <c r="AL42" s="943"/>
      <c r="AM42" s="943"/>
      <c r="AN42" s="943"/>
      <c r="AO42" s="943"/>
      <c r="AP42" s="943"/>
      <c r="AQ42" s="943"/>
      <c r="AR42" s="345"/>
      <c r="AS42" s="943"/>
      <c r="AT42" s="943"/>
      <c r="AU42" s="943"/>
      <c r="AV42" s="943"/>
      <c r="AW42" s="943"/>
      <c r="AX42" s="345"/>
      <c r="AY42" s="943"/>
      <c r="AZ42" s="943"/>
      <c r="BA42" s="943"/>
      <c r="BB42" s="943"/>
      <c r="BC42" s="943"/>
      <c r="BD42" s="345"/>
      <c r="BE42" s="943"/>
      <c r="BF42" s="943"/>
      <c r="BG42" s="943"/>
      <c r="BH42" s="943"/>
      <c r="BI42" s="943"/>
      <c r="BJ42" s="345"/>
      <c r="BK42" s="943"/>
      <c r="BL42" s="943"/>
      <c r="BM42" s="943"/>
      <c r="BN42" s="943"/>
      <c r="BO42" s="943"/>
      <c r="BP42" s="345"/>
      <c r="BQ42" s="943"/>
      <c r="BR42" s="943"/>
      <c r="BS42" s="943"/>
      <c r="BT42" s="943"/>
      <c r="BU42" s="37">
        <f t="shared" si="45"/>
        <v>0</v>
      </c>
      <c r="BV42" s="345"/>
      <c r="BW42" s="941"/>
      <c r="BX42" s="941"/>
      <c r="BY42" s="941"/>
      <c r="BZ42" s="1445"/>
      <c r="CA42" s="37">
        <f t="shared" si="46"/>
        <v>0</v>
      </c>
      <c r="CB42" s="345"/>
      <c r="CC42" s="1445">
        <v>1.5</v>
      </c>
      <c r="CD42" s="1445">
        <v>1.5</v>
      </c>
      <c r="CE42" s="1445">
        <v>1.5</v>
      </c>
      <c r="CF42" s="1445">
        <v>1.5</v>
      </c>
      <c r="CG42" s="557">
        <f t="shared" si="47"/>
        <v>6</v>
      </c>
      <c r="CH42" s="345"/>
      <c r="CI42" s="941"/>
      <c r="CJ42" s="941"/>
      <c r="CK42" s="941"/>
      <c r="CL42" s="941"/>
      <c r="CM42" s="557">
        <f t="shared" si="48"/>
        <v>0</v>
      </c>
      <c r="CN42" s="345"/>
      <c r="CO42" s="941"/>
      <c r="CP42" s="941"/>
      <c r="CQ42" s="941"/>
      <c r="CR42" s="941"/>
      <c r="CS42" s="557">
        <f t="shared" si="49"/>
        <v>0</v>
      </c>
      <c r="CT42" s="345"/>
      <c r="CU42" s="941"/>
      <c r="CV42" s="941"/>
      <c r="CW42" s="941"/>
      <c r="CX42" s="941"/>
      <c r="CY42" s="557">
        <f t="shared" si="50"/>
        <v>0</v>
      </c>
      <c r="CZ42" s="86"/>
      <c r="DA42" s="941"/>
      <c r="DB42" s="941"/>
      <c r="DC42" s="941"/>
      <c r="DD42" s="941"/>
      <c r="DE42" s="557">
        <f t="shared" si="51"/>
        <v>0</v>
      </c>
      <c r="DF42" s="345"/>
      <c r="DG42" s="941"/>
      <c r="DH42" s="941"/>
      <c r="DI42" s="941"/>
      <c r="DJ42" s="1446"/>
      <c r="DK42" s="557">
        <f t="shared" si="52"/>
        <v>0</v>
      </c>
      <c r="DL42" s="345"/>
      <c r="DM42" s="943"/>
      <c r="DN42" s="943"/>
      <c r="DO42" s="943"/>
      <c r="DP42" s="943"/>
      <c r="DQ42" s="557">
        <f t="shared" si="53"/>
        <v>0</v>
      </c>
      <c r="DR42" s="345"/>
      <c r="DS42" s="943"/>
      <c r="DT42" s="943"/>
      <c r="DU42" s="943"/>
      <c r="DV42" s="943"/>
      <c r="DW42" s="557">
        <f t="shared" si="54"/>
        <v>0</v>
      </c>
      <c r="DX42" s="345"/>
      <c r="DY42" s="943"/>
      <c r="DZ42" s="943"/>
      <c r="EA42" s="943"/>
      <c r="EB42" s="943"/>
      <c r="EC42" s="557">
        <f t="shared" si="55"/>
        <v>0</v>
      </c>
      <c r="ED42" s="345"/>
      <c r="EE42" s="943"/>
      <c r="EF42" s="943"/>
      <c r="EG42" s="943"/>
      <c r="EH42" s="943"/>
      <c r="EI42" s="557">
        <f t="shared" si="56"/>
        <v>0</v>
      </c>
      <c r="EJ42" s="345"/>
      <c r="EK42" s="943"/>
      <c r="EL42" s="943"/>
      <c r="EM42" s="943"/>
      <c r="EN42" s="943"/>
      <c r="EO42" s="557">
        <f t="shared" si="57"/>
        <v>0</v>
      </c>
      <c r="EP42" s="345"/>
      <c r="EQ42" s="943"/>
      <c r="ER42" s="943"/>
      <c r="ES42" s="943"/>
      <c r="ET42" s="943"/>
      <c r="EU42" s="557">
        <f t="shared" si="58"/>
        <v>0</v>
      </c>
      <c r="EV42" s="345"/>
      <c r="EW42" s="943"/>
      <c r="EX42" s="943"/>
      <c r="EY42" s="943"/>
      <c r="EZ42" s="943"/>
      <c r="FA42" s="557">
        <f t="shared" si="59"/>
        <v>0</v>
      </c>
      <c r="FB42" s="345"/>
      <c r="FC42" s="943"/>
      <c r="FD42" s="943"/>
      <c r="FE42" s="943"/>
      <c r="FF42" s="943"/>
      <c r="FG42" s="557">
        <f t="shared" si="60"/>
        <v>0</v>
      </c>
      <c r="FH42" s="345"/>
      <c r="FI42" s="943"/>
      <c r="FJ42" s="943"/>
      <c r="FK42" s="943"/>
      <c r="FL42" s="943"/>
      <c r="FM42" s="557">
        <f t="shared" si="61"/>
        <v>0</v>
      </c>
      <c r="FQ42"/>
      <c r="FR42"/>
      <c r="FS42"/>
      <c r="FT42"/>
      <c r="FU42"/>
      <c r="FV42"/>
      <c r="FY42" s="27" t="s">
        <v>1059</v>
      </c>
      <c r="FZ42" s="27">
        <f>6-GA42</f>
        <v>3</v>
      </c>
      <c r="GA42" s="27">
        <v>3</v>
      </c>
      <c r="GB42" s="24"/>
      <c r="GC42" s="24" t="s">
        <v>159</v>
      </c>
      <c r="GD42" s="24">
        <v>93</v>
      </c>
      <c r="GE42" s="24"/>
      <c r="GF42" s="24" t="s">
        <v>543</v>
      </c>
      <c r="GG42" s="24">
        <v>5</v>
      </c>
      <c r="GH42" s="24"/>
      <c r="GI42" s="24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</row>
    <row r="43" spans="1:274" s="27" customFormat="1" ht="12" hidden="1" customHeight="1" outlineLevel="1" x14ac:dyDescent="0.2">
      <c r="A43" s="344" t="s">
        <v>1060</v>
      </c>
      <c r="B43" s="345"/>
      <c r="C43" s="943"/>
      <c r="D43" s="943"/>
      <c r="E43" s="943"/>
      <c r="F43" s="943"/>
      <c r="G43" s="943"/>
      <c r="H43" s="345"/>
      <c r="I43" s="943"/>
      <c r="J43" s="943"/>
      <c r="K43" s="943"/>
      <c r="L43" s="943"/>
      <c r="M43" s="943"/>
      <c r="N43" s="345"/>
      <c r="O43" s="37"/>
      <c r="P43" s="37"/>
      <c r="Q43" s="37"/>
      <c r="R43" s="37"/>
      <c r="S43" s="37"/>
      <c r="T43" s="345"/>
      <c r="U43" s="943"/>
      <c r="V43" s="943"/>
      <c r="W43" s="943"/>
      <c r="X43" s="943"/>
      <c r="Y43" s="943"/>
      <c r="Z43" s="345"/>
      <c r="AA43" s="943"/>
      <c r="AB43" s="943"/>
      <c r="AC43" s="943"/>
      <c r="AD43" s="943"/>
      <c r="AE43" s="943"/>
      <c r="AF43" s="345"/>
      <c r="AG43" s="943"/>
      <c r="AH43" s="943"/>
      <c r="AI43" s="943"/>
      <c r="AJ43" s="943"/>
      <c r="AK43" s="943"/>
      <c r="AL43" s="943"/>
      <c r="AM43" s="943"/>
      <c r="AN43" s="943"/>
      <c r="AO43" s="943"/>
      <c r="AP43" s="943"/>
      <c r="AQ43" s="943"/>
      <c r="AR43" s="345"/>
      <c r="AS43" s="943"/>
      <c r="AT43" s="943"/>
      <c r="AU43" s="943"/>
      <c r="AV43" s="943"/>
      <c r="AW43" s="943"/>
      <c r="AX43" s="345"/>
      <c r="AY43" s="943"/>
      <c r="AZ43" s="943"/>
      <c r="BA43" s="943"/>
      <c r="BB43" s="943"/>
      <c r="BC43" s="943"/>
      <c r="BD43" s="345"/>
      <c r="BE43" s="943"/>
      <c r="BF43" s="943"/>
      <c r="BG43" s="943"/>
      <c r="BH43" s="943"/>
      <c r="BI43" s="943"/>
      <c r="BJ43" s="345"/>
      <c r="BK43" s="943"/>
      <c r="BL43" s="943"/>
      <c r="BM43" s="943"/>
      <c r="BN43" s="943"/>
      <c r="BO43" s="943"/>
      <c r="BP43" s="345"/>
      <c r="BQ43" s="943"/>
      <c r="BR43" s="943"/>
      <c r="BS43" s="943"/>
      <c r="BT43" s="943"/>
      <c r="BU43" s="37">
        <f t="shared" si="45"/>
        <v>0</v>
      </c>
      <c r="BV43" s="345"/>
      <c r="BW43" s="941"/>
      <c r="BX43" s="941"/>
      <c r="BY43" s="941"/>
      <c r="BZ43" s="1445"/>
      <c r="CA43" s="37">
        <f t="shared" si="46"/>
        <v>0</v>
      </c>
      <c r="CB43" s="345"/>
      <c r="CC43" s="1445"/>
      <c r="CD43" s="1445"/>
      <c r="CE43" s="1445">
        <v>7</v>
      </c>
      <c r="CF43" s="1445">
        <f>34-CE43</f>
        <v>27</v>
      </c>
      <c r="CG43" s="557">
        <f t="shared" si="47"/>
        <v>34</v>
      </c>
      <c r="CH43" s="345"/>
      <c r="CI43" s="1445">
        <v>17</v>
      </c>
      <c r="CJ43" s="1445">
        <v>19</v>
      </c>
      <c r="CK43" s="1445">
        <f>19-CE43</f>
        <v>12</v>
      </c>
      <c r="CL43" s="941"/>
      <c r="CM43" s="557">
        <f t="shared" si="48"/>
        <v>48</v>
      </c>
      <c r="CN43" s="345"/>
      <c r="CO43" s="941"/>
      <c r="CP43" s="941"/>
      <c r="CQ43" s="941"/>
      <c r="CR43" s="941"/>
      <c r="CS43" s="557">
        <f t="shared" si="49"/>
        <v>0</v>
      </c>
      <c r="CT43" s="345"/>
      <c r="CU43" s="941"/>
      <c r="CV43" s="941"/>
      <c r="CW43" s="941"/>
      <c r="CX43" s="941"/>
      <c r="CY43" s="557">
        <f t="shared" si="50"/>
        <v>0</v>
      </c>
      <c r="CZ43" s="86"/>
      <c r="DA43" s="941"/>
      <c r="DB43" s="941"/>
      <c r="DC43" s="941"/>
      <c r="DD43" s="941"/>
      <c r="DE43" s="557">
        <f t="shared" si="51"/>
        <v>0</v>
      </c>
      <c r="DF43" s="345"/>
      <c r="DG43" s="941"/>
      <c r="DH43" s="941"/>
      <c r="DI43" s="941"/>
      <c r="DJ43" s="1446"/>
      <c r="DK43" s="557">
        <f t="shared" si="52"/>
        <v>0</v>
      </c>
      <c r="DL43" s="345"/>
      <c r="DM43" s="943"/>
      <c r="DN43" s="943"/>
      <c r="DO43" s="943"/>
      <c r="DP43" s="943"/>
      <c r="DQ43" s="557">
        <f t="shared" si="53"/>
        <v>0</v>
      </c>
      <c r="DR43" s="345"/>
      <c r="DS43" s="943"/>
      <c r="DT43" s="943"/>
      <c r="DU43" s="943"/>
      <c r="DV43" s="943"/>
      <c r="DW43" s="557">
        <f t="shared" si="54"/>
        <v>0</v>
      </c>
      <c r="DX43" s="345"/>
      <c r="DY43" s="943"/>
      <c r="DZ43" s="943"/>
      <c r="EA43" s="943"/>
      <c r="EB43" s="943"/>
      <c r="EC43" s="557">
        <f t="shared" si="55"/>
        <v>0</v>
      </c>
      <c r="ED43" s="345"/>
      <c r="EE43" s="943"/>
      <c r="EF43" s="943"/>
      <c r="EG43" s="943"/>
      <c r="EH43" s="943"/>
      <c r="EI43" s="557">
        <f t="shared" si="56"/>
        <v>0</v>
      </c>
      <c r="EJ43" s="345"/>
      <c r="EK43" s="943"/>
      <c r="EL43" s="943"/>
      <c r="EM43" s="943"/>
      <c r="EN43" s="943"/>
      <c r="EO43" s="557">
        <f t="shared" si="57"/>
        <v>0</v>
      </c>
      <c r="EP43" s="345"/>
      <c r="EQ43" s="943"/>
      <c r="ER43" s="943"/>
      <c r="ES43" s="943"/>
      <c r="ET43" s="943"/>
      <c r="EU43" s="557">
        <f t="shared" si="58"/>
        <v>0</v>
      </c>
      <c r="EV43" s="345"/>
      <c r="EW43" s="943"/>
      <c r="EX43" s="943"/>
      <c r="EY43" s="943"/>
      <c r="EZ43" s="943"/>
      <c r="FA43" s="557">
        <f t="shared" si="59"/>
        <v>0</v>
      </c>
      <c r="FB43" s="345"/>
      <c r="FC43" s="943"/>
      <c r="FD43" s="943"/>
      <c r="FE43" s="943"/>
      <c r="FF43" s="943"/>
      <c r="FG43" s="557">
        <f t="shared" si="60"/>
        <v>0</v>
      </c>
      <c r="FH43" s="345"/>
      <c r="FI43" s="943"/>
      <c r="FJ43" s="943"/>
      <c r="FK43" s="943"/>
      <c r="FL43" s="943"/>
      <c r="FM43" s="557">
        <f t="shared" si="61"/>
        <v>0</v>
      </c>
      <c r="FQ43"/>
      <c r="FR43"/>
      <c r="FS43"/>
      <c r="FT43"/>
      <c r="FU43"/>
      <c r="FV43"/>
      <c r="FY43" s="27" t="s">
        <v>1057</v>
      </c>
      <c r="FZ43" s="27">
        <f>100-GA43</f>
        <v>52</v>
      </c>
      <c r="GA43" s="27">
        <v>48</v>
      </c>
      <c r="GB43" s="24"/>
      <c r="GC43" s="24" t="s">
        <v>50</v>
      </c>
      <c r="GD43" s="24">
        <v>37</v>
      </c>
      <c r="GE43" s="24"/>
      <c r="GF43" s="24"/>
      <c r="GG43" s="24"/>
      <c r="GH43" s="24"/>
      <c r="GI43" s="24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</row>
    <row r="44" spans="1:274" s="27" customFormat="1" ht="12" hidden="1" customHeight="1" outlineLevel="1" x14ac:dyDescent="0.2">
      <c r="A44" s="344" t="s">
        <v>651</v>
      </c>
      <c r="B44" s="345"/>
      <c r="C44" s="943"/>
      <c r="D44" s="943"/>
      <c r="E44" s="943"/>
      <c r="F44" s="943"/>
      <c r="G44" s="943"/>
      <c r="H44" s="345"/>
      <c r="I44" s="943"/>
      <c r="J44" s="943"/>
      <c r="K44" s="943"/>
      <c r="L44" s="943"/>
      <c r="M44" s="943"/>
      <c r="N44" s="345"/>
      <c r="O44" s="37"/>
      <c r="P44" s="37"/>
      <c r="Q44" s="37"/>
      <c r="R44" s="37"/>
      <c r="S44" s="37"/>
      <c r="T44" s="345"/>
      <c r="U44" s="943"/>
      <c r="V44" s="943"/>
      <c r="W44" s="943"/>
      <c r="X44" s="943"/>
      <c r="Y44" s="943"/>
      <c r="Z44" s="345"/>
      <c r="AA44" s="943"/>
      <c r="AB44" s="943"/>
      <c r="AC44" s="943"/>
      <c r="AD44" s="943"/>
      <c r="AE44" s="943"/>
      <c r="AF44" s="345"/>
      <c r="AG44" s="943"/>
      <c r="AH44" s="943"/>
      <c r="AI44" s="943"/>
      <c r="AJ44" s="943"/>
      <c r="AK44" s="943"/>
      <c r="AL44" s="943"/>
      <c r="AM44" s="943"/>
      <c r="AN44" s="943"/>
      <c r="AO44" s="943"/>
      <c r="AP44" s="943"/>
      <c r="AQ44" s="943"/>
      <c r="AR44" s="345"/>
      <c r="AS44" s="943"/>
      <c r="AT44" s="943"/>
      <c r="AU44" s="943"/>
      <c r="AV44" s="943"/>
      <c r="AW44" s="943"/>
      <c r="AX44" s="345"/>
      <c r="AY44" s="943"/>
      <c r="AZ44" s="943"/>
      <c r="BA44" s="943"/>
      <c r="BB44" s="943"/>
      <c r="BC44" s="943"/>
      <c r="BD44" s="345"/>
      <c r="BE44" s="943"/>
      <c r="BF44" s="943"/>
      <c r="BG44" s="943"/>
      <c r="BH44" s="943"/>
      <c r="BI44" s="943"/>
      <c r="BJ44" s="345"/>
      <c r="BK44" s="943"/>
      <c r="BL44" s="943"/>
      <c r="BM44" s="943"/>
      <c r="BN44" s="943"/>
      <c r="BO44" s="943"/>
      <c r="BP44" s="345"/>
      <c r="BQ44" s="943"/>
      <c r="BR44" s="943"/>
      <c r="BS44" s="943"/>
      <c r="BT44" s="943"/>
      <c r="BU44" s="37">
        <f t="shared" si="45"/>
        <v>0</v>
      </c>
      <c r="BV44" s="345"/>
      <c r="BW44" s="941"/>
      <c r="BX44" s="941"/>
      <c r="BY44" s="941"/>
      <c r="BZ44" s="1445"/>
      <c r="CA44" s="37">
        <f t="shared" si="46"/>
        <v>0</v>
      </c>
      <c r="CB44" s="345"/>
      <c r="CC44" s="1445"/>
      <c r="CD44" s="1445"/>
      <c r="CE44" s="1445"/>
      <c r="CF44" s="1445"/>
      <c r="CG44" s="557">
        <f t="shared" si="47"/>
        <v>0</v>
      </c>
      <c r="CH44" s="345"/>
      <c r="CI44" s="1445"/>
      <c r="CJ44" s="1445"/>
      <c r="CK44" s="1445">
        <v>8</v>
      </c>
      <c r="CL44" s="1445">
        <v>18</v>
      </c>
      <c r="CM44" s="557">
        <f t="shared" si="48"/>
        <v>26</v>
      </c>
      <c r="CN44" s="345"/>
      <c r="CO44" s="1445">
        <v>15</v>
      </c>
      <c r="CP44" s="1445">
        <v>13</v>
      </c>
      <c r="CQ44" s="1313">
        <f>9-CK44</f>
        <v>1</v>
      </c>
      <c r="CR44" s="941"/>
      <c r="CS44" s="557">
        <f t="shared" si="49"/>
        <v>29</v>
      </c>
      <c r="CT44" s="345"/>
      <c r="CU44" s="1445"/>
      <c r="CV44" s="1445"/>
      <c r="CW44" s="1313"/>
      <c r="CX44" s="941"/>
      <c r="CY44" s="557">
        <f t="shared" si="50"/>
        <v>0</v>
      </c>
      <c r="CZ44" s="86"/>
      <c r="DA44" s="1445"/>
      <c r="DB44" s="1445"/>
      <c r="DC44" s="1313"/>
      <c r="DD44" s="941"/>
      <c r="DE44" s="557">
        <f t="shared" si="51"/>
        <v>0</v>
      </c>
      <c r="DF44" s="345"/>
      <c r="DG44" s="941"/>
      <c r="DH44" s="941"/>
      <c r="DI44" s="941"/>
      <c r="DJ44" s="1446"/>
      <c r="DK44" s="557">
        <f t="shared" si="52"/>
        <v>0</v>
      </c>
      <c r="DL44" s="345"/>
      <c r="DM44" s="943"/>
      <c r="DN44" s="943"/>
      <c r="DO44" s="943"/>
      <c r="DP44" s="943"/>
      <c r="DQ44" s="557">
        <f t="shared" si="53"/>
        <v>0</v>
      </c>
      <c r="DR44" s="345"/>
      <c r="DS44" s="943"/>
      <c r="DT44" s="943"/>
      <c r="DU44" s="943"/>
      <c r="DV44" s="943"/>
      <c r="DW44" s="557">
        <f t="shared" si="54"/>
        <v>0</v>
      </c>
      <c r="DX44" s="345"/>
      <c r="DY44" s="943"/>
      <c r="DZ44" s="943"/>
      <c r="EA44" s="943"/>
      <c r="EB44" s="943"/>
      <c r="EC44" s="557">
        <f t="shared" si="55"/>
        <v>0</v>
      </c>
      <c r="ED44" s="345"/>
      <c r="EE44" s="943"/>
      <c r="EF44" s="943"/>
      <c r="EG44" s="943"/>
      <c r="EH44" s="943"/>
      <c r="EI44" s="557">
        <f t="shared" si="56"/>
        <v>0</v>
      </c>
      <c r="EJ44" s="345"/>
      <c r="EK44" s="943"/>
      <c r="EL44" s="943"/>
      <c r="EM44" s="943"/>
      <c r="EN44" s="943"/>
      <c r="EO44" s="557">
        <f t="shared" si="57"/>
        <v>0</v>
      </c>
      <c r="EP44" s="345"/>
      <c r="EQ44" s="943"/>
      <c r="ER44" s="943"/>
      <c r="ES44" s="943"/>
      <c r="ET44" s="943"/>
      <c r="EU44" s="557">
        <f t="shared" si="58"/>
        <v>0</v>
      </c>
      <c r="EV44" s="345"/>
      <c r="EW44" s="943"/>
      <c r="EX44" s="943"/>
      <c r="EY44" s="943"/>
      <c r="EZ44" s="943"/>
      <c r="FA44" s="557">
        <f t="shared" si="59"/>
        <v>0</v>
      </c>
      <c r="FB44" s="345"/>
      <c r="FC44" s="943"/>
      <c r="FD44" s="943"/>
      <c r="FE44" s="943"/>
      <c r="FF44" s="943"/>
      <c r="FG44" s="557">
        <f t="shared" si="60"/>
        <v>0</v>
      </c>
      <c r="FH44" s="345"/>
      <c r="FI44" s="943"/>
      <c r="FJ44" s="943"/>
      <c r="FK44" s="943"/>
      <c r="FL44" s="943"/>
      <c r="FM44" s="557">
        <f t="shared" si="61"/>
        <v>0</v>
      </c>
      <c r="FQ44"/>
      <c r="FR44"/>
      <c r="FS44"/>
      <c r="FT44"/>
      <c r="FU44"/>
      <c r="FV44"/>
      <c r="FY44" s="27" t="s">
        <v>1057</v>
      </c>
      <c r="FZ44" s="27">
        <f>119-GA44</f>
        <v>52</v>
      </c>
      <c r="GA44" s="27">
        <v>67</v>
      </c>
      <c r="GB44" s="24"/>
      <c r="GC44" s="24" t="s">
        <v>51</v>
      </c>
      <c r="GD44" s="24">
        <v>18</v>
      </c>
      <c r="GE44" s="24"/>
      <c r="GF44" s="24"/>
      <c r="GG44" s="24"/>
      <c r="GH44" s="24"/>
      <c r="GI44" s="2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</row>
    <row r="45" spans="1:274" s="27" customFormat="1" ht="12" hidden="1" customHeight="1" outlineLevel="1" x14ac:dyDescent="0.2">
      <c r="A45" s="344" t="s">
        <v>52</v>
      </c>
      <c r="B45" s="345"/>
      <c r="C45" s="943"/>
      <c r="D45" s="943"/>
      <c r="E45" s="943"/>
      <c r="F45" s="943"/>
      <c r="G45" s="943"/>
      <c r="H45" s="345"/>
      <c r="I45" s="943"/>
      <c r="J45" s="943"/>
      <c r="K45" s="943"/>
      <c r="L45" s="943"/>
      <c r="M45" s="943"/>
      <c r="N45" s="345"/>
      <c r="O45" s="37"/>
      <c r="P45" s="37"/>
      <c r="Q45" s="37"/>
      <c r="R45" s="37"/>
      <c r="S45" s="37"/>
      <c r="T45" s="345"/>
      <c r="U45" s="943"/>
      <c r="V45" s="943"/>
      <c r="W45" s="943"/>
      <c r="X45" s="943"/>
      <c r="Y45" s="943"/>
      <c r="Z45" s="345"/>
      <c r="AA45" s="943"/>
      <c r="AB45" s="943"/>
      <c r="AC45" s="943"/>
      <c r="AD45" s="943"/>
      <c r="AE45" s="943"/>
      <c r="AF45" s="345"/>
      <c r="AG45" s="943"/>
      <c r="AH45" s="943"/>
      <c r="AI45" s="943"/>
      <c r="AJ45" s="943"/>
      <c r="AK45" s="943"/>
      <c r="AL45" s="943"/>
      <c r="AM45" s="943"/>
      <c r="AN45" s="943"/>
      <c r="AO45" s="943"/>
      <c r="AP45" s="943"/>
      <c r="AQ45" s="943"/>
      <c r="AR45" s="345"/>
      <c r="AS45" s="943"/>
      <c r="AT45" s="943"/>
      <c r="AU45" s="943"/>
      <c r="AV45" s="943"/>
      <c r="AW45" s="943"/>
      <c r="AX45" s="345"/>
      <c r="AY45" s="943"/>
      <c r="AZ45" s="943"/>
      <c r="BA45" s="943"/>
      <c r="BB45" s="943"/>
      <c r="BC45" s="943"/>
      <c r="BD45" s="345"/>
      <c r="BE45" s="943"/>
      <c r="BF45" s="943"/>
      <c r="BG45" s="943"/>
      <c r="BH45" s="943"/>
      <c r="BI45" s="943"/>
      <c r="BJ45" s="345"/>
      <c r="BK45" s="943"/>
      <c r="BL45" s="943"/>
      <c r="BM45" s="943"/>
      <c r="BN45" s="943"/>
      <c r="BO45" s="943"/>
      <c r="BP45" s="345"/>
      <c r="BQ45" s="943"/>
      <c r="BR45" s="943"/>
      <c r="BS45" s="943"/>
      <c r="BT45" s="943"/>
      <c r="BU45" s="37">
        <f t="shared" si="45"/>
        <v>0</v>
      </c>
      <c r="BV45" s="345"/>
      <c r="BW45" s="941"/>
      <c r="BX45" s="941"/>
      <c r="BY45" s="941"/>
      <c r="BZ45" s="1445"/>
      <c r="CA45" s="37">
        <f t="shared" si="46"/>
        <v>0</v>
      </c>
      <c r="CB45" s="345"/>
      <c r="CC45" s="1445"/>
      <c r="CD45" s="1445"/>
      <c r="CE45" s="1445"/>
      <c r="CF45" s="1445"/>
      <c r="CG45" s="557">
        <f t="shared" si="47"/>
        <v>0</v>
      </c>
      <c r="CH45" s="345"/>
      <c r="CI45" s="1445"/>
      <c r="CJ45" s="1445"/>
      <c r="CK45" s="1445"/>
      <c r="CL45" s="1445">
        <v>16</v>
      </c>
      <c r="CM45" s="557">
        <f t="shared" si="48"/>
        <v>16</v>
      </c>
      <c r="CN45" s="345"/>
      <c r="CO45" s="1445">
        <v>28</v>
      </c>
      <c r="CP45" s="1445">
        <v>23</v>
      </c>
      <c r="CQ45" s="1445">
        <v>22</v>
      </c>
      <c r="CR45" s="1445">
        <f>103-CQ45-CP45-CO45-CL45</f>
        <v>14</v>
      </c>
      <c r="CS45" s="557">
        <f t="shared" si="49"/>
        <v>87</v>
      </c>
      <c r="CT45" s="345"/>
      <c r="CU45" s="1445"/>
      <c r="CV45" s="1445"/>
      <c r="CW45" s="1445"/>
      <c r="CX45" s="1445"/>
      <c r="CY45" s="557">
        <f t="shared" si="50"/>
        <v>0</v>
      </c>
      <c r="CZ45" s="86"/>
      <c r="DA45" s="1445"/>
      <c r="DB45" s="1445"/>
      <c r="DC45" s="1445"/>
      <c r="DD45" s="1445"/>
      <c r="DE45" s="557">
        <f t="shared" si="51"/>
        <v>0</v>
      </c>
      <c r="DF45" s="345"/>
      <c r="DG45" s="941"/>
      <c r="DH45" s="941"/>
      <c r="DI45" s="941"/>
      <c r="DJ45" s="1446"/>
      <c r="DK45" s="557">
        <f t="shared" si="52"/>
        <v>0</v>
      </c>
      <c r="DL45" s="345"/>
      <c r="DM45" s="943"/>
      <c r="DN45" s="943"/>
      <c r="DO45" s="943"/>
      <c r="DP45" s="943"/>
      <c r="DQ45" s="557">
        <f t="shared" si="53"/>
        <v>0</v>
      </c>
      <c r="DR45" s="345"/>
      <c r="DS45" s="943"/>
      <c r="DT45" s="943"/>
      <c r="DU45" s="943"/>
      <c r="DV45" s="943"/>
      <c r="DW45" s="557">
        <f t="shared" si="54"/>
        <v>0</v>
      </c>
      <c r="DX45" s="345"/>
      <c r="DY45" s="943"/>
      <c r="DZ45" s="943"/>
      <c r="EA45" s="943"/>
      <c r="EB45" s="943"/>
      <c r="EC45" s="557">
        <f t="shared" si="55"/>
        <v>0</v>
      </c>
      <c r="ED45" s="345"/>
      <c r="EE45" s="943"/>
      <c r="EF45" s="943"/>
      <c r="EG45" s="943"/>
      <c r="EH45" s="943"/>
      <c r="EI45" s="557">
        <f t="shared" si="56"/>
        <v>0</v>
      </c>
      <c r="EJ45" s="345"/>
      <c r="EK45" s="943"/>
      <c r="EL45" s="943"/>
      <c r="EM45" s="943"/>
      <c r="EN45" s="943"/>
      <c r="EO45" s="557">
        <f t="shared" si="57"/>
        <v>0</v>
      </c>
      <c r="EP45" s="345"/>
      <c r="EQ45" s="943"/>
      <c r="ER45" s="943"/>
      <c r="ES45" s="943"/>
      <c r="ET45" s="943"/>
      <c r="EU45" s="557">
        <f t="shared" si="58"/>
        <v>0</v>
      </c>
      <c r="EV45" s="345"/>
      <c r="EW45" s="943"/>
      <c r="EX45" s="943"/>
      <c r="EY45" s="943"/>
      <c r="EZ45" s="943"/>
      <c r="FA45" s="557">
        <f t="shared" si="59"/>
        <v>0</v>
      </c>
      <c r="FB45" s="345"/>
      <c r="FC45" s="943"/>
      <c r="FD45" s="943"/>
      <c r="FE45" s="943"/>
      <c r="FF45" s="943"/>
      <c r="FG45" s="557">
        <f t="shared" si="60"/>
        <v>0</v>
      </c>
      <c r="FH45" s="345"/>
      <c r="FI45" s="943"/>
      <c r="FJ45" s="943"/>
      <c r="FK45" s="943"/>
      <c r="FL45" s="943"/>
      <c r="FM45" s="557">
        <f t="shared" si="61"/>
        <v>0</v>
      </c>
      <c r="FQ45"/>
      <c r="FR45"/>
      <c r="FS45"/>
      <c r="FT45"/>
      <c r="FU45"/>
      <c r="FV45"/>
      <c r="FY45" s="27" t="s">
        <v>543</v>
      </c>
      <c r="FZ45" s="27">
        <f>45-GA45</f>
        <v>28</v>
      </c>
      <c r="GA45" s="27">
        <v>17</v>
      </c>
      <c r="GB45" s="24"/>
      <c r="GC45" s="24" t="s">
        <v>543</v>
      </c>
      <c r="GD45" s="24">
        <v>2</v>
      </c>
      <c r="GE45" s="24"/>
      <c r="GF45" s="24"/>
      <c r="GG45" s="24"/>
      <c r="GH45" s="24"/>
      <c r="GI45" s="24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</row>
    <row r="46" spans="1:274" s="27" customFormat="1" ht="12" hidden="1" customHeight="1" outlineLevel="1" x14ac:dyDescent="0.2">
      <c r="A46" s="344" t="s">
        <v>158</v>
      </c>
      <c r="B46" s="345"/>
      <c r="C46" s="943"/>
      <c r="D46" s="943"/>
      <c r="E46" s="943"/>
      <c r="F46" s="943"/>
      <c r="G46" s="943"/>
      <c r="H46" s="345"/>
      <c r="I46" s="943"/>
      <c r="J46" s="943"/>
      <c r="K46" s="943"/>
      <c r="L46" s="943"/>
      <c r="M46" s="943"/>
      <c r="N46" s="345"/>
      <c r="O46" s="37"/>
      <c r="P46" s="37"/>
      <c r="Q46" s="37"/>
      <c r="R46" s="37"/>
      <c r="S46" s="37"/>
      <c r="T46" s="345"/>
      <c r="U46" s="943"/>
      <c r="V46" s="943"/>
      <c r="W46" s="943"/>
      <c r="X46" s="943"/>
      <c r="Y46" s="943"/>
      <c r="Z46" s="345"/>
      <c r="AA46" s="943"/>
      <c r="AB46" s="943"/>
      <c r="AC46" s="943"/>
      <c r="AD46" s="943"/>
      <c r="AE46" s="943"/>
      <c r="AF46" s="345"/>
      <c r="AG46" s="943"/>
      <c r="AH46" s="943"/>
      <c r="AI46" s="943"/>
      <c r="AJ46" s="943"/>
      <c r="AK46" s="943"/>
      <c r="AL46" s="943"/>
      <c r="AM46" s="943"/>
      <c r="AN46" s="943"/>
      <c r="AO46" s="943"/>
      <c r="AP46" s="943"/>
      <c r="AQ46" s="943"/>
      <c r="AR46" s="345"/>
      <c r="AS46" s="943"/>
      <c r="AT46" s="943"/>
      <c r="AU46" s="943"/>
      <c r="AV46" s="943"/>
      <c r="AW46" s="943"/>
      <c r="AX46" s="345"/>
      <c r="AY46" s="943"/>
      <c r="AZ46" s="943"/>
      <c r="BA46" s="943"/>
      <c r="BB46" s="943"/>
      <c r="BC46" s="943"/>
      <c r="BD46" s="345"/>
      <c r="BE46" s="943"/>
      <c r="BF46" s="943"/>
      <c r="BG46" s="943"/>
      <c r="BH46" s="943"/>
      <c r="BI46" s="943"/>
      <c r="BJ46" s="345"/>
      <c r="BK46" s="943"/>
      <c r="BL46" s="943"/>
      <c r="BM46" s="943"/>
      <c r="BN46" s="943"/>
      <c r="BO46" s="943"/>
      <c r="BP46" s="345"/>
      <c r="BQ46" s="943"/>
      <c r="BR46" s="943"/>
      <c r="BS46" s="943"/>
      <c r="BT46" s="943"/>
      <c r="BU46" s="37">
        <f t="shared" si="45"/>
        <v>0</v>
      </c>
      <c r="BV46" s="345"/>
      <c r="BW46" s="941"/>
      <c r="BX46" s="941"/>
      <c r="BY46" s="941"/>
      <c r="BZ46" s="1445"/>
      <c r="CA46" s="37">
        <f t="shared" si="46"/>
        <v>0</v>
      </c>
      <c r="CB46" s="345"/>
      <c r="CC46" s="1445"/>
      <c r="CD46" s="1445"/>
      <c r="CE46" s="1445"/>
      <c r="CF46" s="1445"/>
      <c r="CG46" s="557">
        <f t="shared" si="47"/>
        <v>0</v>
      </c>
      <c r="CH46" s="345"/>
      <c r="CI46" s="1445"/>
      <c r="CJ46" s="1445"/>
      <c r="CK46" s="1445"/>
      <c r="CL46" s="1445"/>
      <c r="CM46" s="557">
        <f t="shared" si="48"/>
        <v>0</v>
      </c>
      <c r="CN46" s="345"/>
      <c r="CO46" s="1445"/>
      <c r="CP46" s="1445"/>
      <c r="CQ46" s="1445"/>
      <c r="CR46" s="1445">
        <v>93</v>
      </c>
      <c r="CS46" s="557">
        <f t="shared" si="49"/>
        <v>93</v>
      </c>
      <c r="CT46" s="345"/>
      <c r="CU46" s="1445">
        <v>84</v>
      </c>
      <c r="CV46" s="1445">
        <v>127</v>
      </c>
      <c r="CW46" s="1445">
        <v>140</v>
      </c>
      <c r="CX46" s="1445">
        <f>201-CR46</f>
        <v>108</v>
      </c>
      <c r="CY46" s="557">
        <f t="shared" si="50"/>
        <v>459</v>
      </c>
      <c r="CZ46" s="86"/>
      <c r="DA46" s="1445"/>
      <c r="DB46" s="1445"/>
      <c r="DC46" s="1445"/>
      <c r="DD46" s="1445"/>
      <c r="DE46" s="557">
        <f t="shared" si="51"/>
        <v>0</v>
      </c>
      <c r="DF46" s="345"/>
      <c r="DG46" s="941"/>
      <c r="DH46" s="941"/>
      <c r="DI46" s="941"/>
      <c r="DJ46" s="1446"/>
      <c r="DK46" s="557">
        <f t="shared" si="52"/>
        <v>0</v>
      </c>
      <c r="DL46" s="345"/>
      <c r="DM46" s="943"/>
      <c r="DN46" s="943"/>
      <c r="DO46" s="943"/>
      <c r="DP46" s="943"/>
      <c r="DQ46" s="557">
        <f t="shared" si="53"/>
        <v>0</v>
      </c>
      <c r="DR46" s="345"/>
      <c r="DS46" s="943"/>
      <c r="DT46" s="943"/>
      <c r="DU46" s="943"/>
      <c r="DV46" s="943"/>
      <c r="DW46" s="557">
        <f t="shared" si="54"/>
        <v>0</v>
      </c>
      <c r="DX46" s="345"/>
      <c r="DY46" s="943"/>
      <c r="DZ46" s="943"/>
      <c r="EA46" s="943"/>
      <c r="EB46" s="943"/>
      <c r="EC46" s="557">
        <f t="shared" si="55"/>
        <v>0</v>
      </c>
      <c r="ED46" s="345"/>
      <c r="EE46" s="943"/>
      <c r="EF46" s="943"/>
      <c r="EG46" s="943"/>
      <c r="EH46" s="943"/>
      <c r="EI46" s="557">
        <f t="shared" si="56"/>
        <v>0</v>
      </c>
      <c r="EJ46" s="345"/>
      <c r="EK46" s="943"/>
      <c r="EL46" s="943"/>
      <c r="EM46" s="943"/>
      <c r="EN46" s="943"/>
      <c r="EO46" s="557">
        <f t="shared" si="57"/>
        <v>0</v>
      </c>
      <c r="EP46" s="345"/>
      <c r="EQ46" s="943"/>
      <c r="ER46" s="943"/>
      <c r="ES46" s="943"/>
      <c r="ET46" s="943"/>
      <c r="EU46" s="557">
        <f t="shared" si="58"/>
        <v>0</v>
      </c>
      <c r="EV46" s="345"/>
      <c r="EW46" s="943"/>
      <c r="EX46" s="943"/>
      <c r="EY46" s="943"/>
      <c r="EZ46" s="943"/>
      <c r="FA46" s="557">
        <f t="shared" si="59"/>
        <v>0</v>
      </c>
      <c r="FB46" s="345"/>
      <c r="FC46" s="943"/>
      <c r="FD46" s="943"/>
      <c r="FE46" s="943"/>
      <c r="FF46" s="943"/>
      <c r="FG46" s="557">
        <f t="shared" si="60"/>
        <v>0</v>
      </c>
      <c r="FH46" s="345"/>
      <c r="FI46" s="943"/>
      <c r="FJ46" s="943"/>
      <c r="FK46" s="943"/>
      <c r="FL46" s="943"/>
      <c r="FM46" s="557">
        <f t="shared" si="61"/>
        <v>0</v>
      </c>
      <c r="FQ46"/>
      <c r="FR46"/>
      <c r="FS46"/>
      <c r="FT46"/>
      <c r="FU46"/>
      <c r="FV46"/>
      <c r="GB46" s="24"/>
      <c r="GC46" s="24"/>
      <c r="GD46" s="24"/>
      <c r="GE46" s="24"/>
      <c r="GF46" s="24"/>
      <c r="GG46" s="24"/>
      <c r="GH46" s="24"/>
      <c r="GI46" s="24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</row>
    <row r="47" spans="1:274" s="27" customFormat="1" ht="12" hidden="1" customHeight="1" outlineLevel="1" x14ac:dyDescent="0.2">
      <c r="A47" s="344" t="s">
        <v>53</v>
      </c>
      <c r="B47" s="345"/>
      <c r="C47" s="943"/>
      <c r="D47" s="943"/>
      <c r="E47" s="943"/>
      <c r="F47" s="943"/>
      <c r="G47" s="943"/>
      <c r="H47" s="345"/>
      <c r="I47" s="943"/>
      <c r="J47" s="943"/>
      <c r="K47" s="943"/>
      <c r="L47" s="943"/>
      <c r="M47" s="943"/>
      <c r="N47" s="345"/>
      <c r="O47" s="37"/>
      <c r="P47" s="37"/>
      <c r="Q47" s="37"/>
      <c r="R47" s="37"/>
      <c r="S47" s="37"/>
      <c r="T47" s="345"/>
      <c r="U47" s="943"/>
      <c r="V47" s="943"/>
      <c r="W47" s="943"/>
      <c r="X47" s="943"/>
      <c r="Y47" s="943"/>
      <c r="Z47" s="345"/>
      <c r="AA47" s="943"/>
      <c r="AB47" s="943"/>
      <c r="AC47" s="943"/>
      <c r="AD47" s="943"/>
      <c r="AE47" s="943"/>
      <c r="AF47" s="345"/>
      <c r="AG47" s="943"/>
      <c r="AH47" s="943"/>
      <c r="AI47" s="943"/>
      <c r="AJ47" s="943"/>
      <c r="AK47" s="943"/>
      <c r="AL47" s="943"/>
      <c r="AM47" s="943"/>
      <c r="AN47" s="943"/>
      <c r="AO47" s="943"/>
      <c r="AP47" s="943"/>
      <c r="AQ47" s="943"/>
      <c r="AR47" s="345"/>
      <c r="AS47" s="943"/>
      <c r="AT47" s="943"/>
      <c r="AU47" s="943"/>
      <c r="AV47" s="943"/>
      <c r="AW47" s="943"/>
      <c r="AX47" s="345"/>
      <c r="AY47" s="943"/>
      <c r="AZ47" s="943"/>
      <c r="BA47" s="943"/>
      <c r="BB47" s="943"/>
      <c r="BC47" s="943"/>
      <c r="BD47" s="345"/>
      <c r="BE47" s="943"/>
      <c r="BF47" s="943"/>
      <c r="BG47" s="943"/>
      <c r="BH47" s="943"/>
      <c r="BI47" s="943"/>
      <c r="BJ47" s="345"/>
      <c r="BK47" s="943"/>
      <c r="BL47" s="943"/>
      <c r="BM47" s="943"/>
      <c r="BN47" s="943"/>
      <c r="BO47" s="943"/>
      <c r="BP47" s="345"/>
      <c r="BQ47" s="943"/>
      <c r="BR47" s="943"/>
      <c r="BS47" s="943"/>
      <c r="BT47" s="943"/>
      <c r="BU47" s="37"/>
      <c r="BV47" s="345"/>
      <c r="BW47" s="941"/>
      <c r="BX47" s="941"/>
      <c r="BY47" s="941"/>
      <c r="BZ47" s="1445"/>
      <c r="CA47" s="37"/>
      <c r="CB47" s="345"/>
      <c r="CC47" s="1445"/>
      <c r="CD47" s="1445"/>
      <c r="CE47" s="1445"/>
      <c r="CF47" s="1445"/>
      <c r="CG47" s="557"/>
      <c r="CH47" s="345"/>
      <c r="CI47" s="1445"/>
      <c r="CJ47" s="1445"/>
      <c r="CK47" s="1445"/>
      <c r="CL47" s="1445"/>
      <c r="CM47" s="557"/>
      <c r="CN47" s="345"/>
      <c r="CO47" s="1445"/>
      <c r="CP47" s="1445"/>
      <c r="CQ47" s="1445"/>
      <c r="CR47" s="1445"/>
      <c r="CS47" s="557"/>
      <c r="CT47" s="345"/>
      <c r="CU47" s="1445"/>
      <c r="CV47" s="1445"/>
      <c r="CW47" s="1445"/>
      <c r="CX47" s="1445"/>
      <c r="CY47" s="557"/>
      <c r="CZ47" s="86"/>
      <c r="DA47" s="1445"/>
      <c r="DB47" s="1445"/>
      <c r="DC47" s="1445">
        <v>46</v>
      </c>
      <c r="DD47" s="1445">
        <v>142</v>
      </c>
      <c r="DE47" s="557">
        <f t="shared" si="51"/>
        <v>188</v>
      </c>
      <c r="DF47" s="345"/>
      <c r="DG47" s="1445">
        <v>150</v>
      </c>
      <c r="DH47" s="1445">
        <v>136</v>
      </c>
      <c r="DI47" s="1445">
        <v>114</v>
      </c>
      <c r="DJ47" s="1445">
        <v>-2</v>
      </c>
      <c r="DK47" s="557">
        <f>SUM(DG47:DJ47)</f>
        <v>398</v>
      </c>
      <c r="DL47" s="345"/>
      <c r="DM47" s="943"/>
      <c r="DN47" s="943"/>
      <c r="DO47" s="943"/>
      <c r="DP47" s="943"/>
      <c r="DQ47" s="557">
        <f t="shared" si="53"/>
        <v>0</v>
      </c>
      <c r="DR47" s="345"/>
      <c r="DS47" s="943"/>
      <c r="DT47" s="943"/>
      <c r="DU47" s="943"/>
      <c r="DV47" s="943"/>
      <c r="DW47" s="557">
        <f t="shared" si="54"/>
        <v>0</v>
      </c>
      <c r="DX47" s="345"/>
      <c r="DY47" s="943"/>
      <c r="DZ47" s="943"/>
      <c r="EA47" s="943"/>
      <c r="EB47" s="943"/>
      <c r="EC47" s="557">
        <f t="shared" si="55"/>
        <v>0</v>
      </c>
      <c r="ED47" s="345"/>
      <c r="EE47" s="943"/>
      <c r="EF47" s="943"/>
      <c r="EG47" s="943"/>
      <c r="EH47" s="943"/>
      <c r="EI47" s="557">
        <f t="shared" si="56"/>
        <v>0</v>
      </c>
      <c r="EJ47" s="345"/>
      <c r="EK47" s="943"/>
      <c r="EL47" s="943"/>
      <c r="EM47" s="943"/>
      <c r="EN47" s="943"/>
      <c r="EO47" s="557">
        <f t="shared" si="57"/>
        <v>0</v>
      </c>
      <c r="EP47" s="345"/>
      <c r="EQ47" s="943"/>
      <c r="ER47" s="943"/>
      <c r="ES47" s="943"/>
      <c r="ET47" s="943"/>
      <c r="EU47" s="557">
        <f t="shared" si="58"/>
        <v>0</v>
      </c>
      <c r="EV47" s="345"/>
      <c r="EW47" s="943"/>
      <c r="EX47" s="943"/>
      <c r="EY47" s="943"/>
      <c r="EZ47" s="943"/>
      <c r="FA47" s="557">
        <f t="shared" si="59"/>
        <v>0</v>
      </c>
      <c r="FB47" s="345"/>
      <c r="FC47" s="943"/>
      <c r="FD47" s="943"/>
      <c r="FE47" s="943"/>
      <c r="FF47" s="943"/>
      <c r="FG47" s="557">
        <f t="shared" si="60"/>
        <v>0</v>
      </c>
      <c r="FH47" s="345"/>
      <c r="FI47" s="943"/>
      <c r="FJ47" s="943"/>
      <c r="FK47" s="943"/>
      <c r="FL47" s="943"/>
      <c r="FM47" s="557">
        <f t="shared" si="61"/>
        <v>0</v>
      </c>
      <c r="FQ47"/>
      <c r="FR47"/>
      <c r="FS47"/>
      <c r="FT47"/>
      <c r="FU47"/>
      <c r="FV47"/>
      <c r="GB47" s="24"/>
      <c r="GC47" s="24"/>
      <c r="GD47" s="24"/>
      <c r="GE47" s="24"/>
      <c r="GF47" s="24"/>
      <c r="GG47" s="24"/>
      <c r="GH47" s="24"/>
      <c r="GI47" s="24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</row>
    <row r="48" spans="1:274" s="27" customFormat="1" ht="12" hidden="1" customHeight="1" outlineLevel="1" x14ac:dyDescent="0.2">
      <c r="A48" s="344" t="s">
        <v>859</v>
      </c>
      <c r="B48" s="345"/>
      <c r="C48" s="943"/>
      <c r="D48" s="943"/>
      <c r="E48" s="943"/>
      <c r="F48" s="943"/>
      <c r="G48" s="943"/>
      <c r="H48" s="345"/>
      <c r="I48" s="943"/>
      <c r="J48" s="943"/>
      <c r="K48" s="943"/>
      <c r="L48" s="943"/>
      <c r="M48" s="943"/>
      <c r="N48" s="345"/>
      <c r="O48" s="37"/>
      <c r="P48" s="37"/>
      <c r="Q48" s="37"/>
      <c r="R48" s="37"/>
      <c r="S48" s="37"/>
      <c r="T48" s="345"/>
      <c r="U48" s="943"/>
      <c r="V48" s="943"/>
      <c r="W48" s="943"/>
      <c r="X48" s="943"/>
      <c r="Y48" s="943"/>
      <c r="Z48" s="345"/>
      <c r="AA48" s="943"/>
      <c r="AB48" s="943"/>
      <c r="AC48" s="943"/>
      <c r="AD48" s="943"/>
      <c r="AE48" s="943"/>
      <c r="AF48" s="345"/>
      <c r="AG48" s="943"/>
      <c r="AH48" s="943"/>
      <c r="AI48" s="943"/>
      <c r="AJ48" s="943"/>
      <c r="AK48" s="943"/>
      <c r="AL48" s="943"/>
      <c r="AM48" s="943"/>
      <c r="AN48" s="943"/>
      <c r="AO48" s="943"/>
      <c r="AP48" s="943"/>
      <c r="AQ48" s="943"/>
      <c r="AR48" s="345"/>
      <c r="AS48" s="943"/>
      <c r="AT48" s="943"/>
      <c r="AU48" s="943"/>
      <c r="AV48" s="943"/>
      <c r="AW48" s="943"/>
      <c r="AX48" s="345"/>
      <c r="AY48" s="943"/>
      <c r="AZ48" s="943"/>
      <c r="BA48" s="943"/>
      <c r="BB48" s="943"/>
      <c r="BC48" s="943"/>
      <c r="BD48" s="345"/>
      <c r="BE48" s="943"/>
      <c r="BF48" s="943"/>
      <c r="BG48" s="943"/>
      <c r="BH48" s="943"/>
      <c r="BI48" s="943"/>
      <c r="BJ48" s="345"/>
      <c r="BK48" s="943"/>
      <c r="BL48" s="943"/>
      <c r="BM48" s="943"/>
      <c r="BN48" s="943"/>
      <c r="BO48" s="943"/>
      <c r="BP48" s="345"/>
      <c r="BQ48" s="943"/>
      <c r="BR48" s="943"/>
      <c r="BS48" s="943"/>
      <c r="BT48" s="943"/>
      <c r="BU48" s="37"/>
      <c r="BV48" s="345"/>
      <c r="BW48" s="941"/>
      <c r="BX48" s="941"/>
      <c r="BY48" s="941"/>
      <c r="BZ48" s="1445"/>
      <c r="CA48" s="37"/>
      <c r="CB48" s="345"/>
      <c r="CC48" s="1445"/>
      <c r="CD48" s="1445"/>
      <c r="CE48" s="1445"/>
      <c r="CF48" s="1445"/>
      <c r="CG48" s="557"/>
      <c r="CH48" s="345"/>
      <c r="CI48" s="1445"/>
      <c r="CJ48" s="1445"/>
      <c r="CK48" s="1445"/>
      <c r="CL48" s="1445"/>
      <c r="CM48" s="557"/>
      <c r="CN48" s="345"/>
      <c r="CO48" s="1445"/>
      <c r="CP48" s="1445"/>
      <c r="CQ48" s="1445"/>
      <c r="CR48" s="1445"/>
      <c r="CS48" s="557"/>
      <c r="CT48" s="345"/>
      <c r="CU48" s="1445"/>
      <c r="CV48" s="1445"/>
      <c r="CW48" s="1445"/>
      <c r="CX48" s="1445"/>
      <c r="CY48" s="557"/>
      <c r="CZ48" s="86"/>
      <c r="DA48" s="1445"/>
      <c r="DB48" s="1445"/>
      <c r="DC48" s="1445"/>
      <c r="DD48" s="1445"/>
      <c r="DE48" s="557"/>
      <c r="DF48" s="345"/>
      <c r="DG48" s="1445"/>
      <c r="DH48" s="1445"/>
      <c r="DI48" s="1445"/>
      <c r="DJ48" s="1445"/>
      <c r="DK48" s="557"/>
      <c r="DL48" s="345"/>
      <c r="DM48" s="943"/>
      <c r="DN48" s="943"/>
      <c r="DO48" s="1447">
        <v>19</v>
      </c>
      <c r="DP48" s="1447">
        <v>40</v>
      </c>
      <c r="DQ48" s="557">
        <f t="shared" si="53"/>
        <v>59</v>
      </c>
      <c r="DR48" s="345"/>
      <c r="DS48" s="1447">
        <v>20</v>
      </c>
      <c r="DT48" s="1447">
        <v>23</v>
      </c>
      <c r="DU48" s="943"/>
      <c r="DV48" s="943"/>
      <c r="DW48" s="557">
        <f t="shared" si="54"/>
        <v>43</v>
      </c>
      <c r="DX48" s="345"/>
      <c r="DY48" s="943"/>
      <c r="DZ48" s="943"/>
      <c r="EA48" s="943"/>
      <c r="EB48" s="943"/>
      <c r="EC48" s="557">
        <f>SUM(DY48:EB48)</f>
        <v>0</v>
      </c>
      <c r="ED48" s="345"/>
      <c r="EE48" s="943"/>
      <c r="EF48" s="943"/>
      <c r="EG48" s="943"/>
      <c r="EH48" s="943"/>
      <c r="EI48" s="557">
        <f>SUM(EE48:EH48)</f>
        <v>0</v>
      </c>
      <c r="EJ48" s="345"/>
      <c r="EK48" s="943"/>
      <c r="EL48" s="943"/>
      <c r="EM48" s="943"/>
      <c r="EN48" s="943"/>
      <c r="EO48" s="557">
        <f>SUM(EK48:EN48)</f>
        <v>0</v>
      </c>
      <c r="EP48" s="345"/>
      <c r="EQ48" s="943"/>
      <c r="ER48" s="943"/>
      <c r="ES48" s="943"/>
      <c r="ET48" s="943"/>
      <c r="EU48" s="557">
        <f>SUM(EQ48:ET48)</f>
        <v>0</v>
      </c>
      <c r="EV48" s="345"/>
      <c r="EW48" s="943"/>
      <c r="EX48" s="943"/>
      <c r="EY48" s="943"/>
      <c r="EZ48" s="943"/>
      <c r="FA48" s="557">
        <f>SUM(EW48:EZ48)</f>
        <v>0</v>
      </c>
      <c r="FB48" s="345"/>
      <c r="FC48" s="943"/>
      <c r="FD48" s="943"/>
      <c r="FE48" s="943"/>
      <c r="FF48" s="943"/>
      <c r="FG48" s="557">
        <f>SUM(FC48:FF48)</f>
        <v>0</v>
      </c>
      <c r="FH48" s="345"/>
      <c r="FI48" s="943"/>
      <c r="FJ48" s="943"/>
      <c r="FK48" s="943"/>
      <c r="FL48" s="943"/>
      <c r="FM48" s="557">
        <f>SUM(FI48:FL48)</f>
        <v>0</v>
      </c>
      <c r="FQ48"/>
      <c r="FR48"/>
      <c r="FS48"/>
      <c r="FT48"/>
      <c r="FU48"/>
      <c r="FV48"/>
      <c r="GB48" s="24"/>
      <c r="GC48" s="24"/>
      <c r="GD48" s="24"/>
      <c r="GE48" s="24"/>
      <c r="GF48" s="24"/>
      <c r="GG48" s="24"/>
      <c r="GH48" s="24"/>
      <c r="GI48" s="24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</row>
    <row r="49" spans="1:274" s="27" customFormat="1" ht="12" hidden="1" customHeight="1" outlineLevel="1" x14ac:dyDescent="0.2">
      <c r="A49" s="344" t="s">
        <v>916</v>
      </c>
      <c r="B49" s="345"/>
      <c r="C49" s="943"/>
      <c r="D49" s="943"/>
      <c r="E49" s="943"/>
      <c r="F49" s="943"/>
      <c r="G49" s="943"/>
      <c r="H49" s="345"/>
      <c r="I49" s="943"/>
      <c r="J49" s="943"/>
      <c r="K49" s="943"/>
      <c r="L49" s="943"/>
      <c r="M49" s="943"/>
      <c r="N49" s="345"/>
      <c r="O49" s="37"/>
      <c r="P49" s="37"/>
      <c r="Q49" s="37"/>
      <c r="R49" s="37"/>
      <c r="S49" s="37"/>
      <c r="T49" s="345"/>
      <c r="U49" s="943"/>
      <c r="V49" s="943"/>
      <c r="W49" s="943"/>
      <c r="X49" s="943"/>
      <c r="Y49" s="943"/>
      <c r="Z49" s="345"/>
      <c r="AA49" s="943"/>
      <c r="AB49" s="943"/>
      <c r="AC49" s="943"/>
      <c r="AD49" s="943"/>
      <c r="AE49" s="943"/>
      <c r="AF49" s="345"/>
      <c r="AG49" s="943"/>
      <c r="AH49" s="943"/>
      <c r="AI49" s="943"/>
      <c r="AJ49" s="943"/>
      <c r="AK49" s="943"/>
      <c r="AL49" s="943"/>
      <c r="AM49" s="943"/>
      <c r="AN49" s="943"/>
      <c r="AO49" s="943"/>
      <c r="AP49" s="943"/>
      <c r="AQ49" s="943"/>
      <c r="AR49" s="345"/>
      <c r="AS49" s="943"/>
      <c r="AT49" s="943"/>
      <c r="AU49" s="943"/>
      <c r="AV49" s="943"/>
      <c r="AW49" s="943"/>
      <c r="AX49" s="345"/>
      <c r="AY49" s="943"/>
      <c r="AZ49" s="943"/>
      <c r="BA49" s="943"/>
      <c r="BB49" s="943"/>
      <c r="BC49" s="943"/>
      <c r="BD49" s="345"/>
      <c r="BE49" s="943"/>
      <c r="BF49" s="943"/>
      <c r="BG49" s="943"/>
      <c r="BH49" s="943"/>
      <c r="BI49" s="943"/>
      <c r="BJ49" s="345"/>
      <c r="BK49" s="943"/>
      <c r="BL49" s="943"/>
      <c r="BM49" s="943"/>
      <c r="BN49" s="943"/>
      <c r="BO49" s="943"/>
      <c r="BP49" s="345"/>
      <c r="BQ49" s="943"/>
      <c r="BR49" s="943"/>
      <c r="BS49" s="943"/>
      <c r="BT49" s="943"/>
      <c r="BU49" s="37"/>
      <c r="BV49" s="345"/>
      <c r="BW49" s="941"/>
      <c r="BX49" s="941"/>
      <c r="BY49" s="941"/>
      <c r="BZ49" s="1445"/>
      <c r="CA49" s="37"/>
      <c r="CB49" s="345"/>
      <c r="CC49" s="1445"/>
      <c r="CD49" s="1445"/>
      <c r="CE49" s="1445"/>
      <c r="CF49" s="1445"/>
      <c r="CG49" s="557"/>
      <c r="CH49" s="345"/>
      <c r="CI49" s="1445"/>
      <c r="CJ49" s="1445"/>
      <c r="CK49" s="1445"/>
      <c r="CL49" s="1445"/>
      <c r="CM49" s="557"/>
      <c r="CN49" s="345"/>
      <c r="CO49" s="1445"/>
      <c r="CP49" s="1445"/>
      <c r="CQ49" s="1445"/>
      <c r="CR49" s="1445"/>
      <c r="CS49" s="557"/>
      <c r="CT49" s="345"/>
      <c r="CU49" s="1445"/>
      <c r="CV49" s="1445"/>
      <c r="CW49" s="1445"/>
      <c r="CX49" s="1445"/>
      <c r="CY49" s="557"/>
      <c r="CZ49" s="86"/>
      <c r="DA49" s="1445"/>
      <c r="DB49" s="1445"/>
      <c r="DC49" s="1445"/>
      <c r="DD49" s="1445"/>
      <c r="DE49" s="557"/>
      <c r="DF49" s="345"/>
      <c r="DG49" s="1445"/>
      <c r="DH49" s="1445"/>
      <c r="DI49" s="1445"/>
      <c r="DJ49" s="1445"/>
      <c r="DK49" s="557"/>
      <c r="DL49" s="345"/>
      <c r="DM49" s="943"/>
      <c r="DN49" s="943"/>
      <c r="DO49" s="1447"/>
      <c r="DP49" s="1447"/>
      <c r="DQ49" s="557"/>
      <c r="DR49" s="345"/>
      <c r="DS49" s="1447"/>
      <c r="DT49" s="1447"/>
      <c r="DU49" s="943"/>
      <c r="DV49" s="167">
        <f>DV146*0.8*0.7</f>
        <v>21.28</v>
      </c>
      <c r="DW49" s="1448">
        <f t="shared" si="54"/>
        <v>21.28</v>
      </c>
      <c r="DX49" s="367"/>
      <c r="DY49" s="167">
        <f>DY146*0.68*0.65</f>
        <v>30.94</v>
      </c>
      <c r="DZ49" s="167">
        <v>25</v>
      </c>
      <c r="EA49" s="167">
        <v>31</v>
      </c>
      <c r="EB49" s="167">
        <f>EB146*0.68*0.65</f>
        <v>13.039000000000001</v>
      </c>
      <c r="EC49" s="1448">
        <f>SUM(DY49:EB49)</f>
        <v>99.978999999999999</v>
      </c>
      <c r="ED49" s="367"/>
      <c r="EE49" s="943"/>
      <c r="EF49" s="943"/>
      <c r="EG49" s="943"/>
      <c r="EH49" s="943"/>
      <c r="EI49" s="557">
        <f>SUM(EE49:EH49)</f>
        <v>0</v>
      </c>
      <c r="EJ49" s="345"/>
      <c r="EK49" s="943"/>
      <c r="EL49" s="943"/>
      <c r="EM49" s="943"/>
      <c r="EN49" s="943"/>
      <c r="EO49" s="557">
        <f>SUM(EK49:EN49)</f>
        <v>0</v>
      </c>
      <c r="EP49" s="345"/>
      <c r="EQ49" s="943"/>
      <c r="ER49" s="943"/>
      <c r="ES49" s="943"/>
      <c r="ET49" s="943"/>
      <c r="EU49" s="557">
        <f>SUM(EQ49:ET49)</f>
        <v>0</v>
      </c>
      <c r="EV49" s="345"/>
      <c r="EW49" s="943"/>
      <c r="EX49" s="943"/>
      <c r="EY49" s="943"/>
      <c r="EZ49" s="943"/>
      <c r="FA49" s="557">
        <f>SUM(EW49:EZ49)</f>
        <v>0</v>
      </c>
      <c r="FB49" s="345"/>
      <c r="FC49" s="943"/>
      <c r="FD49" s="943"/>
      <c r="FE49" s="943"/>
      <c r="FF49" s="943"/>
      <c r="FG49" s="557">
        <f>SUM(FC49:FF49)</f>
        <v>0</v>
      </c>
      <c r="FH49" s="345"/>
      <c r="FI49" s="943"/>
      <c r="FJ49" s="943"/>
      <c r="FK49" s="943"/>
      <c r="FL49" s="943"/>
      <c r="FM49" s="557">
        <f>SUM(FI49:FL49)</f>
        <v>0</v>
      </c>
      <c r="FQ49"/>
      <c r="FR49"/>
      <c r="FS49"/>
      <c r="FT49"/>
      <c r="FU49"/>
      <c r="FV49"/>
      <c r="GB49" s="24"/>
      <c r="GC49" s="24"/>
      <c r="GD49" s="24"/>
      <c r="GE49" s="24"/>
      <c r="GF49" s="24"/>
      <c r="GG49" s="24"/>
      <c r="GH49" s="24"/>
      <c r="GI49" s="24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</row>
    <row r="50" spans="1:274" s="27" customFormat="1" ht="12" hidden="1" customHeight="1" outlineLevel="1" x14ac:dyDescent="0.2">
      <c r="A50" s="344" t="s">
        <v>860</v>
      </c>
      <c r="B50" s="345"/>
      <c r="C50" s="943"/>
      <c r="D50" s="943"/>
      <c r="E50" s="943"/>
      <c r="F50" s="943"/>
      <c r="G50" s="943"/>
      <c r="H50" s="345"/>
      <c r="I50" s="943"/>
      <c r="J50" s="943"/>
      <c r="K50" s="943"/>
      <c r="L50" s="943"/>
      <c r="M50" s="943"/>
      <c r="N50" s="345"/>
      <c r="O50" s="37"/>
      <c r="P50" s="37"/>
      <c r="Q50" s="37"/>
      <c r="R50" s="37"/>
      <c r="S50" s="37"/>
      <c r="T50" s="345"/>
      <c r="U50" s="943"/>
      <c r="V50" s="943"/>
      <c r="W50" s="943"/>
      <c r="X50" s="943"/>
      <c r="Y50" s="943"/>
      <c r="Z50" s="345"/>
      <c r="AA50" s="943"/>
      <c r="AB50" s="943"/>
      <c r="AC50" s="943"/>
      <c r="AD50" s="943"/>
      <c r="AE50" s="943"/>
      <c r="AF50" s="345"/>
      <c r="AG50" s="943"/>
      <c r="AH50" s="943"/>
      <c r="AI50" s="943"/>
      <c r="AJ50" s="943"/>
      <c r="AK50" s="943"/>
      <c r="AL50" s="943"/>
      <c r="AM50" s="943"/>
      <c r="AN50" s="943"/>
      <c r="AO50" s="943"/>
      <c r="AP50" s="943"/>
      <c r="AQ50" s="943"/>
      <c r="AR50" s="345"/>
      <c r="AS50" s="943"/>
      <c r="AT50" s="943"/>
      <c r="AU50" s="943"/>
      <c r="AV50" s="943"/>
      <c r="AW50" s="943"/>
      <c r="AX50" s="345"/>
      <c r="AY50" s="943"/>
      <c r="AZ50" s="943"/>
      <c r="BA50" s="943"/>
      <c r="BB50" s="943"/>
      <c r="BC50" s="943"/>
      <c r="BD50" s="345"/>
      <c r="BE50" s="943"/>
      <c r="BF50" s="943"/>
      <c r="BG50" s="943"/>
      <c r="BH50" s="943"/>
      <c r="BI50" s="943"/>
      <c r="BJ50" s="345"/>
      <c r="BK50" s="943"/>
      <c r="BL50" s="943"/>
      <c r="BM50" s="943"/>
      <c r="BN50" s="943"/>
      <c r="BO50" s="943"/>
      <c r="BP50" s="345"/>
      <c r="BQ50" s="943"/>
      <c r="BR50" s="943"/>
      <c r="BS50" s="943"/>
      <c r="BT50" s="943"/>
      <c r="BU50" s="37"/>
      <c r="BV50" s="345"/>
      <c r="BW50" s="941"/>
      <c r="BX50" s="941"/>
      <c r="BY50" s="941"/>
      <c r="BZ50" s="1445"/>
      <c r="CA50" s="37"/>
      <c r="CB50" s="345"/>
      <c r="CC50" s="1445"/>
      <c r="CD50" s="1445"/>
      <c r="CE50" s="1445"/>
      <c r="CF50" s="1445"/>
      <c r="CG50" s="557"/>
      <c r="CH50" s="345"/>
      <c r="CI50" s="1445"/>
      <c r="CJ50" s="1445"/>
      <c r="CK50" s="1445"/>
      <c r="CL50" s="1445"/>
      <c r="CM50" s="557"/>
      <c r="CN50" s="345"/>
      <c r="CO50" s="1445"/>
      <c r="CP50" s="1445"/>
      <c r="CQ50" s="1445"/>
      <c r="CR50" s="1445"/>
      <c r="CS50" s="557"/>
      <c r="CT50" s="345"/>
      <c r="CU50" s="1445"/>
      <c r="CV50" s="1445"/>
      <c r="CW50" s="1445"/>
      <c r="CX50" s="1445"/>
      <c r="CY50" s="557"/>
      <c r="CZ50" s="86"/>
      <c r="DA50" s="1445"/>
      <c r="DB50" s="1445"/>
      <c r="DC50" s="1445"/>
      <c r="DD50" s="1445"/>
      <c r="DE50" s="557"/>
      <c r="DF50" s="345"/>
      <c r="DG50" s="1445"/>
      <c r="DH50" s="1445"/>
      <c r="DI50" s="1445"/>
      <c r="DJ50" s="1445"/>
      <c r="DK50" s="557"/>
      <c r="DL50" s="345"/>
      <c r="DM50" s="943"/>
      <c r="DN50" s="943"/>
      <c r="DO50" s="1447"/>
      <c r="DP50" s="1447"/>
      <c r="DQ50" s="557"/>
      <c r="DR50" s="345"/>
      <c r="DS50" s="1447"/>
      <c r="DT50" s="1447"/>
      <c r="DU50" s="943"/>
      <c r="DV50" s="167"/>
      <c r="DW50" s="1448">
        <f t="shared" si="54"/>
        <v>0</v>
      </c>
      <c r="DX50" s="367"/>
      <c r="DY50" s="167">
        <f>DY147*0.7*0.25</f>
        <v>8.75</v>
      </c>
      <c r="DZ50" s="167">
        <v>6</v>
      </c>
      <c r="EA50" s="167">
        <v>9</v>
      </c>
      <c r="EB50" s="167">
        <f>EB147*0.7*0.25</f>
        <v>9.4499999999999993</v>
      </c>
      <c r="EC50" s="1448">
        <f>SUM(DY50:EB50)</f>
        <v>33.200000000000003</v>
      </c>
      <c r="ED50" s="367"/>
      <c r="EE50" s="943"/>
      <c r="EF50" s="943"/>
      <c r="EG50" s="943"/>
      <c r="EH50" s="943"/>
      <c r="EI50" s="557">
        <f>SUM(EE50:EH50)</f>
        <v>0</v>
      </c>
      <c r="EJ50" s="345"/>
      <c r="EK50" s="943"/>
      <c r="EL50" s="943"/>
      <c r="EM50" s="943"/>
      <c r="EN50" s="943"/>
      <c r="EO50" s="557">
        <f>SUM(EK50:EN50)</f>
        <v>0</v>
      </c>
      <c r="EP50" s="345"/>
      <c r="EQ50" s="943"/>
      <c r="ER50" s="943"/>
      <c r="ES50" s="943"/>
      <c r="ET50" s="943"/>
      <c r="EU50" s="557">
        <f>SUM(EQ50:ET50)</f>
        <v>0</v>
      </c>
      <c r="EV50" s="345"/>
      <c r="EW50" s="943"/>
      <c r="EX50" s="943"/>
      <c r="EY50" s="943"/>
      <c r="EZ50" s="943"/>
      <c r="FA50" s="557">
        <f>SUM(EW50:EZ50)</f>
        <v>0</v>
      </c>
      <c r="FB50" s="345"/>
      <c r="FC50" s="943"/>
      <c r="FD50" s="943"/>
      <c r="FE50" s="943"/>
      <c r="FF50" s="943"/>
      <c r="FG50" s="557">
        <f>SUM(FC50:FF50)</f>
        <v>0</v>
      </c>
      <c r="FH50" s="345"/>
      <c r="FI50" s="943"/>
      <c r="FJ50" s="943"/>
      <c r="FK50" s="943"/>
      <c r="FL50" s="943"/>
      <c r="FM50" s="557">
        <f>SUM(FI50:FL50)</f>
        <v>0</v>
      </c>
      <c r="FQ50"/>
      <c r="FR50"/>
      <c r="FS50"/>
      <c r="FT50"/>
      <c r="FU50"/>
      <c r="FV50"/>
      <c r="GB50" s="24"/>
      <c r="GC50" s="24"/>
      <c r="GD50" s="24"/>
      <c r="GE50" s="24"/>
      <c r="GF50" s="24"/>
      <c r="GG50" s="24"/>
      <c r="GH50" s="24"/>
      <c r="GI50" s="24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</row>
    <row r="51" spans="1:274" s="27" customFormat="1" ht="12" hidden="1" customHeight="1" outlineLevel="1" x14ac:dyDescent="0.2">
      <c r="A51" s="344" t="s">
        <v>1226</v>
      </c>
      <c r="B51" s="345"/>
      <c r="C51" s="943"/>
      <c r="D51" s="943"/>
      <c r="E51" s="943"/>
      <c r="F51" s="943"/>
      <c r="G51" s="943"/>
      <c r="H51" s="345"/>
      <c r="I51" s="943"/>
      <c r="J51" s="943"/>
      <c r="K51" s="943"/>
      <c r="L51" s="943"/>
      <c r="M51" s="943"/>
      <c r="N51" s="345"/>
      <c r="O51" s="37"/>
      <c r="P51" s="37"/>
      <c r="Q51" s="37"/>
      <c r="R51" s="37"/>
      <c r="S51" s="37"/>
      <c r="T51" s="345"/>
      <c r="U51" s="943"/>
      <c r="V51" s="943"/>
      <c r="W51" s="943"/>
      <c r="X51" s="943"/>
      <c r="Y51" s="943"/>
      <c r="Z51" s="345"/>
      <c r="AA51" s="943"/>
      <c r="AB51" s="943"/>
      <c r="AC51" s="943"/>
      <c r="AD51" s="943"/>
      <c r="AE51" s="943"/>
      <c r="AF51" s="345"/>
      <c r="AG51" s="943"/>
      <c r="AH51" s="943"/>
      <c r="AI51" s="943"/>
      <c r="AJ51" s="943"/>
      <c r="AK51" s="943"/>
      <c r="AL51" s="943"/>
      <c r="AM51" s="943"/>
      <c r="AN51" s="943"/>
      <c r="AO51" s="943"/>
      <c r="AP51" s="943"/>
      <c r="AQ51" s="943"/>
      <c r="AR51" s="345"/>
      <c r="AS51" s="943"/>
      <c r="AT51" s="943"/>
      <c r="AU51" s="943"/>
      <c r="AV51" s="943"/>
      <c r="AW51" s="943"/>
      <c r="AX51" s="345"/>
      <c r="AY51" s="943"/>
      <c r="AZ51" s="943"/>
      <c r="BA51" s="943"/>
      <c r="BB51" s="943"/>
      <c r="BC51" s="943"/>
      <c r="BD51" s="345"/>
      <c r="BE51" s="943"/>
      <c r="BF51" s="943"/>
      <c r="BG51" s="943"/>
      <c r="BH51" s="943"/>
      <c r="BI51" s="943"/>
      <c r="BJ51" s="345"/>
      <c r="BK51" s="943"/>
      <c r="BL51" s="943"/>
      <c r="BM51" s="943"/>
      <c r="BN51" s="943"/>
      <c r="BO51" s="943"/>
      <c r="BP51" s="345"/>
      <c r="BQ51" s="943"/>
      <c r="BR51" s="943"/>
      <c r="BS51" s="943"/>
      <c r="BT51" s="943"/>
      <c r="BU51" s="37"/>
      <c r="BV51" s="345"/>
      <c r="BW51" s="941"/>
      <c r="BX51" s="941"/>
      <c r="BY51" s="941"/>
      <c r="BZ51" s="1445"/>
      <c r="CA51" s="37"/>
      <c r="CB51" s="345"/>
      <c r="CC51" s="1445"/>
      <c r="CD51" s="1445"/>
      <c r="CE51" s="1445"/>
      <c r="CF51" s="1445"/>
      <c r="CG51" s="557"/>
      <c r="CH51" s="345"/>
      <c r="CI51" s="1445"/>
      <c r="CJ51" s="1445"/>
      <c r="CK51" s="1445"/>
      <c r="CL51" s="1445"/>
      <c r="CM51" s="557"/>
      <c r="CN51" s="345"/>
      <c r="CO51" s="1445"/>
      <c r="CP51" s="1445"/>
      <c r="CQ51" s="1445"/>
      <c r="CR51" s="1445"/>
      <c r="CS51" s="557"/>
      <c r="CT51" s="345"/>
      <c r="CU51" s="1445"/>
      <c r="CV51" s="1445"/>
      <c r="CW51" s="1445"/>
      <c r="CX51" s="1445"/>
      <c r="CY51" s="557"/>
      <c r="CZ51" s="86"/>
      <c r="DA51" s="1445"/>
      <c r="DB51" s="1445"/>
      <c r="DC51" s="1445"/>
      <c r="DD51" s="1445"/>
      <c r="DE51" s="557"/>
      <c r="DF51" s="345"/>
      <c r="DG51" s="1445"/>
      <c r="DH51" s="1445"/>
      <c r="DI51" s="1445"/>
      <c r="DJ51" s="1445"/>
      <c r="DK51" s="557"/>
      <c r="DL51" s="345"/>
      <c r="DM51" s="943"/>
      <c r="DN51" s="943"/>
      <c r="DO51" s="1447"/>
      <c r="DP51" s="1447"/>
      <c r="DQ51" s="557"/>
      <c r="DR51" s="345"/>
      <c r="DS51" s="1447"/>
      <c r="DT51" s="1447"/>
      <c r="DU51" s="943"/>
      <c r="DV51" s="167"/>
      <c r="DW51" s="1448"/>
      <c r="DX51" s="367"/>
      <c r="DY51" s="167"/>
      <c r="DZ51" s="167"/>
      <c r="EA51" s="167"/>
      <c r="EB51" s="167"/>
      <c r="EC51" s="1448"/>
      <c r="ED51" s="367"/>
      <c r="EE51" s="943"/>
      <c r="EF51" s="943"/>
      <c r="EG51" s="943"/>
      <c r="EH51" s="943"/>
      <c r="EI51" s="557"/>
      <c r="EJ51" s="345"/>
      <c r="EK51" s="943"/>
      <c r="EL51" s="943"/>
      <c r="EM51" s="943"/>
      <c r="EN51" s="943"/>
      <c r="EO51" s="557"/>
      <c r="EP51" s="345"/>
      <c r="EQ51" s="1852"/>
      <c r="ER51" s="943"/>
      <c r="ES51" s="121">
        <f>ES158</f>
        <v>9.3333333333333339</v>
      </c>
      <c r="ET51" s="121">
        <f>ET158</f>
        <v>29.5</v>
      </c>
      <c r="EU51" s="557">
        <f>SUM(EQ51:ET51)</f>
        <v>38.833333333333336</v>
      </c>
      <c r="EV51" s="271"/>
      <c r="EW51" s="121">
        <f t="shared" ref="EW51:EX51" si="62">EW158</f>
        <v>31</v>
      </c>
      <c r="EX51" s="121">
        <f t="shared" si="62"/>
        <v>32.5</v>
      </c>
      <c r="EY51" s="943"/>
      <c r="EZ51" s="943"/>
      <c r="FA51" s="557">
        <f>SUM(EW51:EZ51)</f>
        <v>63.5</v>
      </c>
      <c r="FB51" s="345"/>
      <c r="FC51" s="943"/>
      <c r="FD51" s="943"/>
      <c r="FE51" s="943"/>
      <c r="FF51" s="943"/>
      <c r="FG51" s="557"/>
      <c r="FH51" s="345"/>
      <c r="FI51" s="943"/>
      <c r="FJ51" s="943"/>
      <c r="FK51" s="943"/>
      <c r="FL51" s="943"/>
      <c r="FM51" s="557"/>
      <c r="FQ51"/>
      <c r="FR51"/>
      <c r="FS51"/>
      <c r="FT51"/>
      <c r="FU51"/>
      <c r="FV51"/>
      <c r="GB51" s="24"/>
      <c r="GC51" s="24"/>
      <c r="GD51" s="24"/>
      <c r="GE51" s="24"/>
      <c r="GF51" s="24"/>
      <c r="GG51" s="24"/>
      <c r="GH51" s="24"/>
      <c r="GI51" s="24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</row>
    <row r="52" spans="1:274" s="27" customFormat="1" ht="12" hidden="1" customHeight="1" outlineLevel="1" x14ac:dyDescent="0.2">
      <c r="A52" s="344" t="s">
        <v>54</v>
      </c>
      <c r="B52" s="345"/>
      <c r="C52" s="943"/>
      <c r="D52" s="943"/>
      <c r="E52" s="943"/>
      <c r="F52" s="943"/>
      <c r="G52" s="943"/>
      <c r="H52" s="345"/>
      <c r="I52" s="943"/>
      <c r="J52" s="943"/>
      <c r="K52" s="943"/>
      <c r="L52" s="943"/>
      <c r="M52" s="943"/>
      <c r="N52" s="345"/>
      <c r="O52" s="37"/>
      <c r="P52" s="37"/>
      <c r="Q52" s="37"/>
      <c r="R52" s="37"/>
      <c r="S52" s="37"/>
      <c r="T52" s="345"/>
      <c r="U52" s="943"/>
      <c r="V52" s="943"/>
      <c r="W52" s="943"/>
      <c r="X52" s="943"/>
      <c r="Y52" s="943"/>
      <c r="Z52" s="345"/>
      <c r="AA52" s="943"/>
      <c r="AB52" s="943"/>
      <c r="AC52" s="943"/>
      <c r="AD52" s="943"/>
      <c r="AE52" s="943"/>
      <c r="AF52" s="345"/>
      <c r="AG52" s="943"/>
      <c r="AH52" s="943"/>
      <c r="AI52" s="943"/>
      <c r="AJ52" s="943"/>
      <c r="AK52" s="943"/>
      <c r="AL52" s="943"/>
      <c r="AM52" s="943"/>
      <c r="AN52" s="943"/>
      <c r="AO52" s="943"/>
      <c r="AP52" s="943"/>
      <c r="AQ52" s="943"/>
      <c r="AR52" s="345"/>
      <c r="AS52" s="943"/>
      <c r="AT52" s="943"/>
      <c r="AU52" s="943"/>
      <c r="AV52" s="943"/>
      <c r="AW52" s="943"/>
      <c r="AX52" s="345"/>
      <c r="AY52" s="943"/>
      <c r="AZ52" s="943"/>
      <c r="BA52" s="943"/>
      <c r="BB52" s="943"/>
      <c r="BC52" s="943"/>
      <c r="BD52" s="345"/>
      <c r="BE52" s="943"/>
      <c r="BF52" s="943"/>
      <c r="BG52" s="943"/>
      <c r="BH52" s="943"/>
      <c r="BI52" s="943"/>
      <c r="BJ52" s="345"/>
      <c r="BK52" s="943"/>
      <c r="BL52" s="943"/>
      <c r="BM52" s="943"/>
      <c r="BN52" s="943"/>
      <c r="BO52" s="943"/>
      <c r="BP52" s="345"/>
      <c r="BQ52" s="943"/>
      <c r="BR52" s="943"/>
      <c r="BS52" s="943"/>
      <c r="BT52" s="943"/>
      <c r="BU52" s="37">
        <f t="shared" si="45"/>
        <v>0</v>
      </c>
      <c r="BV52" s="345"/>
      <c r="BW52" s="941"/>
      <c r="BX52" s="941"/>
      <c r="BY52" s="941"/>
      <c r="BZ52" s="1445"/>
      <c r="CA52" s="37">
        <f t="shared" si="46"/>
        <v>0</v>
      </c>
      <c r="CB52" s="345"/>
      <c r="CC52" s="1445"/>
      <c r="CD52" s="1445"/>
      <c r="CE52" s="1445"/>
      <c r="CF52" s="1445"/>
      <c r="CG52" s="557">
        <f t="shared" si="47"/>
        <v>0</v>
      </c>
      <c r="CH52" s="345"/>
      <c r="CI52" s="1445">
        <v>3</v>
      </c>
      <c r="CJ52" s="1445">
        <v>4</v>
      </c>
      <c r="CK52" s="1445">
        <v>4</v>
      </c>
      <c r="CL52" s="941">
        <v>8</v>
      </c>
      <c r="CM52" s="557">
        <f t="shared" si="48"/>
        <v>19</v>
      </c>
      <c r="CN52" s="345"/>
      <c r="CO52" s="941">
        <v>3</v>
      </c>
      <c r="CP52" s="941">
        <v>3</v>
      </c>
      <c r="CQ52" s="941">
        <v>5</v>
      </c>
      <c r="CR52" s="941">
        <v>9</v>
      </c>
      <c r="CS52" s="557">
        <f t="shared" si="49"/>
        <v>20</v>
      </c>
      <c r="CT52" s="345"/>
      <c r="CU52" s="941"/>
      <c r="CV52" s="941"/>
      <c r="CW52" s="941">
        <v>5</v>
      </c>
      <c r="CX52" s="941">
        <v>16</v>
      </c>
      <c r="CY52" s="557">
        <f t="shared" si="50"/>
        <v>21</v>
      </c>
      <c r="CZ52" s="86"/>
      <c r="DA52" s="941"/>
      <c r="DB52" s="941"/>
      <c r="DC52" s="941"/>
      <c r="DD52" s="941"/>
      <c r="DE52" s="557">
        <f t="shared" si="51"/>
        <v>0</v>
      </c>
      <c r="DF52" s="345"/>
      <c r="DG52" s="941">
        <v>10</v>
      </c>
      <c r="DH52" s="941">
        <v>6</v>
      </c>
      <c r="DI52" s="941"/>
      <c r="DJ52" s="941">
        <v>24</v>
      </c>
      <c r="DK52" s="557">
        <f t="shared" si="52"/>
        <v>40</v>
      </c>
      <c r="DL52" s="345"/>
      <c r="DM52" s="943">
        <v>0.5</v>
      </c>
      <c r="DN52" s="943">
        <v>1.5</v>
      </c>
      <c r="DO52" s="943"/>
      <c r="DP52" s="943">
        <v>1.5</v>
      </c>
      <c r="DQ52" s="557">
        <f t="shared" si="53"/>
        <v>3.5</v>
      </c>
      <c r="DR52" s="345"/>
      <c r="DS52" s="943">
        <v>1</v>
      </c>
      <c r="DT52" s="943"/>
      <c r="DU52" s="943"/>
      <c r="DV52" s="943"/>
      <c r="DW52" s="557">
        <f t="shared" si="54"/>
        <v>1</v>
      </c>
      <c r="DX52" s="345"/>
      <c r="DY52" s="943"/>
      <c r="DZ52" s="943"/>
      <c r="EA52" s="943"/>
      <c r="EB52" s="943"/>
      <c r="EC52" s="557">
        <f>SUM(DY52:EB52)</f>
        <v>0</v>
      </c>
      <c r="ED52" s="345"/>
      <c r="EE52" s="943"/>
      <c r="EF52" s="943"/>
      <c r="EG52" s="943"/>
      <c r="EH52" s="943"/>
      <c r="EI52" s="557">
        <f>SUM(EE52:EH52)</f>
        <v>0</v>
      </c>
      <c r="EJ52" s="345"/>
      <c r="EK52" s="943"/>
      <c r="EL52" s="943"/>
      <c r="EM52" s="943"/>
      <c r="EN52" s="943"/>
      <c r="EO52" s="557">
        <f>SUM(EK52:EN52)</f>
        <v>0</v>
      </c>
      <c r="EP52" s="345"/>
      <c r="EQ52" s="943"/>
      <c r="ER52" s="943"/>
      <c r="ES52" s="943"/>
      <c r="ET52" s="943"/>
      <c r="EU52" s="557">
        <f>SUM(EQ52:ET52)</f>
        <v>0</v>
      </c>
      <c r="EV52" s="345"/>
      <c r="EW52" s="943"/>
      <c r="EX52" s="943"/>
      <c r="EY52" s="943"/>
      <c r="EZ52" s="943"/>
      <c r="FA52" s="557">
        <f>SUM(EW52:EZ52)</f>
        <v>0</v>
      </c>
      <c r="FB52" s="345"/>
      <c r="FC52" s="943"/>
      <c r="FD52" s="943"/>
      <c r="FE52" s="943"/>
      <c r="FF52" s="943"/>
      <c r="FG52" s="557">
        <f>SUM(FC52:FF52)</f>
        <v>0</v>
      </c>
      <c r="FH52" s="345"/>
      <c r="FI52" s="943"/>
      <c r="FJ52" s="943"/>
      <c r="FK52" s="943"/>
      <c r="FL52" s="943"/>
      <c r="FM52" s="557">
        <f>SUM(FI52:FL52)</f>
        <v>0</v>
      </c>
      <c r="FQ52"/>
      <c r="FR52"/>
      <c r="FS52"/>
      <c r="FT52"/>
      <c r="FU52"/>
      <c r="FV52"/>
      <c r="FY52" s="27" t="s">
        <v>543</v>
      </c>
      <c r="FZ52" s="27">
        <f>16-GA52</f>
        <v>11</v>
      </c>
      <c r="GA52" s="27">
        <v>5</v>
      </c>
      <c r="GB52" s="24"/>
      <c r="GC52" s="24" t="s">
        <v>55</v>
      </c>
      <c r="GD52" s="24"/>
      <c r="GE52" s="24"/>
      <c r="GF52" s="24"/>
      <c r="GG52" s="24"/>
      <c r="GH52" s="24"/>
      <c r="GI52" s="24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</row>
    <row r="53" spans="1:274" s="27" customFormat="1" hidden="1" outlineLevel="1" x14ac:dyDescent="0.2">
      <c r="A53" s="1493" t="s">
        <v>56</v>
      </c>
      <c r="B53" s="1490"/>
      <c r="C53" s="1494"/>
      <c r="D53" s="1494"/>
      <c r="E53" s="1494"/>
      <c r="F53" s="1494"/>
      <c r="G53" s="1494"/>
      <c r="H53" s="1490"/>
      <c r="I53" s="1494"/>
      <c r="J53" s="1494"/>
      <c r="K53" s="1494"/>
      <c r="L53" s="1494"/>
      <c r="M53" s="1494"/>
      <c r="N53" s="1490"/>
      <c r="O53" s="1494"/>
      <c r="P53" s="1494"/>
      <c r="Q53" s="1494"/>
      <c r="R53" s="1494"/>
      <c r="S53" s="1494"/>
      <c r="T53" s="1490"/>
      <c r="U53" s="1494"/>
      <c r="V53" s="1494"/>
      <c r="W53" s="1494"/>
      <c r="X53" s="1494"/>
      <c r="Y53" s="1494"/>
      <c r="Z53" s="1490"/>
      <c r="AA53" s="1490"/>
      <c r="AB53" s="1490"/>
      <c r="AC53" s="1490"/>
      <c r="AD53" s="1490"/>
      <c r="AE53" s="1490"/>
      <c r="AF53" s="1490"/>
      <c r="AG53" s="1490"/>
      <c r="AH53" s="1490"/>
      <c r="AI53" s="1490"/>
      <c r="AJ53" s="1490"/>
      <c r="AK53" s="1490"/>
      <c r="AL53" s="1490"/>
      <c r="AM53" s="1490"/>
      <c r="AN53" s="1490"/>
      <c r="AO53" s="1490"/>
      <c r="AP53" s="1490"/>
      <c r="AQ53" s="1490"/>
      <c r="AR53" s="1490"/>
      <c r="AS53" s="1490"/>
      <c r="AT53" s="1490"/>
      <c r="AU53" s="1490"/>
      <c r="AV53" s="1490"/>
      <c r="AW53" s="1490"/>
      <c r="AX53" s="1490"/>
      <c r="AY53" s="1490"/>
      <c r="AZ53" s="1490"/>
      <c r="BA53" s="1490"/>
      <c r="BB53" s="1490"/>
      <c r="BC53" s="1490"/>
      <c r="BD53" s="1490"/>
      <c r="BE53" s="1490"/>
      <c r="BF53" s="1490"/>
      <c r="BG53" s="1490"/>
      <c r="BH53" s="1490"/>
      <c r="BI53" s="1490"/>
      <c r="BJ53" s="1490"/>
      <c r="BK53" s="1490"/>
      <c r="BL53" s="1490"/>
      <c r="BM53" s="1490"/>
      <c r="BN53" s="1490"/>
      <c r="BO53" s="1490"/>
      <c r="BP53" s="1490"/>
      <c r="BQ53" s="1495">
        <f>BQ40-SUM(BQ41:BQ52)</f>
        <v>408</v>
      </c>
      <c r="BR53" s="1495">
        <f>BR40-SUM(BR41:BR52)</f>
        <v>712</v>
      </c>
      <c r="BS53" s="1495">
        <f>BS40-SUM(BS41:BS52)</f>
        <v>700</v>
      </c>
      <c r="BT53" s="1495">
        <f>BT40-SUM(BT41:BT52)</f>
        <v>1073</v>
      </c>
      <c r="BU53" s="1495">
        <f>BU40-SUM(BU41:BU52)</f>
        <v>2893</v>
      </c>
      <c r="BV53" s="1495"/>
      <c r="BW53" s="1495">
        <f>BW40-SUM(BW41:BW52)</f>
        <v>494</v>
      </c>
      <c r="BX53" s="1495">
        <f>BX40-SUM(BX41:BX52)</f>
        <v>756</v>
      </c>
      <c r="BY53" s="1495">
        <f>BY40-SUM(BY41:BY52)</f>
        <v>795</v>
      </c>
      <c r="BZ53" s="1495">
        <f>BZ40-SUM(BZ41:BZ52)</f>
        <v>1257</v>
      </c>
      <c r="CA53" s="1495">
        <f>CA40-SUM(CA41:CA52)</f>
        <v>3302</v>
      </c>
      <c r="CB53" s="1495"/>
      <c r="CC53" s="1495">
        <f>CC40-SUM(CC41:CC52)</f>
        <v>497.5</v>
      </c>
      <c r="CD53" s="1495">
        <f>CD40-SUM(CD41:CD52)</f>
        <v>787.5</v>
      </c>
      <c r="CE53" s="1495">
        <f>CE40-SUM(CE41:CE52)</f>
        <v>815.9</v>
      </c>
      <c r="CF53" s="1495">
        <f>CF40-SUM(CF41:CF52)</f>
        <v>1450.5</v>
      </c>
      <c r="CG53" s="1488">
        <f>CG40-SUM(CG41:CG52)</f>
        <v>3515</v>
      </c>
      <c r="CH53" s="1495"/>
      <c r="CI53" s="1495">
        <f>CI40-SUM(CI41:CI52)</f>
        <v>556</v>
      </c>
      <c r="CJ53" s="1495">
        <f>CJ40-SUM(CJ41:CJ52)</f>
        <v>844</v>
      </c>
      <c r="CK53" s="1495">
        <f>CK40-SUM(CK41:CK52)</f>
        <v>943</v>
      </c>
      <c r="CL53" s="1495">
        <f>CL40-SUM(CL41:CL52)</f>
        <v>1694</v>
      </c>
      <c r="CM53" s="1488">
        <f>CM40-SUM(CM41:CM52)</f>
        <v>4010</v>
      </c>
      <c r="CN53" s="1495"/>
      <c r="CO53" s="1495">
        <f>CO40-SUM(CO41:CO52)</f>
        <v>665</v>
      </c>
      <c r="CP53" s="1495">
        <f>CP40-SUM(CP41:CP52)</f>
        <v>1076</v>
      </c>
      <c r="CQ53" s="1495">
        <f>CQ40-SUM(CQ41:CQ52)</f>
        <v>1137</v>
      </c>
      <c r="CR53" s="1495">
        <f>CR40-SUM(CR41:CR52)</f>
        <v>2039</v>
      </c>
      <c r="CS53" s="1488">
        <f>CS40-SUM(CS41:CS52)</f>
        <v>4917</v>
      </c>
      <c r="CT53" s="1495"/>
      <c r="CU53" s="1495">
        <f>CU40-SUM(CU41:CU52)</f>
        <v>822</v>
      </c>
      <c r="CV53" s="1495">
        <f>CV40-SUM(CV41:CV52)</f>
        <v>1030</v>
      </c>
      <c r="CW53" s="1495">
        <f>CW40-SUM(CW41:CW52)</f>
        <v>975</v>
      </c>
      <c r="CX53" s="1495">
        <f>CX40-SUM(CX41:CX52)</f>
        <v>1815</v>
      </c>
      <c r="CY53" s="1488">
        <f>CY40-SUM(CY41:CY52)</f>
        <v>4641.5</v>
      </c>
      <c r="CZ53" s="1496"/>
      <c r="DA53" s="1495">
        <f>DA40-SUM(DA41:DA52)</f>
        <v>711</v>
      </c>
      <c r="DB53" s="1495">
        <f>DB40-SUM(DB41:DB52)</f>
        <v>1175</v>
      </c>
      <c r="DC53" s="1495">
        <f>DC40-SUM(DC41:DC52)</f>
        <v>1195</v>
      </c>
      <c r="DD53" s="1495">
        <f>DD40-SUM(DD41:DD52)</f>
        <v>2138</v>
      </c>
      <c r="DE53" s="1488">
        <f>DE40-SUM(DE41:DE52)</f>
        <v>5219</v>
      </c>
      <c r="DF53" s="1495"/>
      <c r="DG53" s="1495">
        <f>DG40-SUM(DG41:DG52)</f>
        <v>777</v>
      </c>
      <c r="DH53" s="1495">
        <f>DH40-SUM(DH41:DH52)</f>
        <v>1278</v>
      </c>
      <c r="DI53" s="1495">
        <f>DI40-SUM(DI41:DI52)</f>
        <v>1461</v>
      </c>
      <c r="DJ53" s="1495">
        <f>DJ40-SUM(DJ41:DJ52)</f>
        <v>2672</v>
      </c>
      <c r="DK53" s="1488">
        <f>DK40-SUM(DK41:DK52)</f>
        <v>6188</v>
      </c>
      <c r="DL53" s="1495"/>
      <c r="DM53" s="1495">
        <f>DM40-SUM(DM41:DM52)</f>
        <v>1069.5</v>
      </c>
      <c r="DN53" s="1495">
        <f>DN40-SUM(DN41:DN52)</f>
        <v>1477.5</v>
      </c>
      <c r="DO53" s="1495">
        <f>DO40-SUM(DO41:DO52)</f>
        <v>1697</v>
      </c>
      <c r="DP53" s="1495">
        <f>DP40-SUM(DP41:DP52)</f>
        <v>2679.5</v>
      </c>
      <c r="DQ53" s="1488">
        <f>DQ40-SUM(DQ41:DQ52)</f>
        <v>6923.5</v>
      </c>
      <c r="DR53" s="1495"/>
      <c r="DS53" s="1495">
        <f>DS40-SUM(DS41:DS52)</f>
        <v>1081.1000000000001</v>
      </c>
      <c r="DT53" s="1495">
        <f>DT40-SUM(DT41:DT52)</f>
        <v>1618.69</v>
      </c>
      <c r="DU53" s="1495">
        <f>DU40-SUM(DU41:DU52)</f>
        <v>1801.8000000000002</v>
      </c>
      <c r="DV53" s="1495">
        <f>DV40-SUM(DV41:DV52)</f>
        <v>2999.03</v>
      </c>
      <c r="DW53" s="1488">
        <f>DW40-SUM(DW41:DW52)</f>
        <v>7500.6200000000008</v>
      </c>
      <c r="DX53" s="1495"/>
      <c r="DY53" s="1495">
        <f>DY40-SUM(DY41:DY52)</f>
        <v>1183.6410000000003</v>
      </c>
      <c r="DZ53" s="1495">
        <f>DZ40-SUM(DZ41:DZ52)</f>
        <v>1635.3153499999999</v>
      </c>
      <c r="EA53" s="1495">
        <f>EA40-SUM(EA41:EA52)</f>
        <v>1887.9260000000004</v>
      </c>
      <c r="EB53" s="1495">
        <f>EB40-SUM(EB41:EB52)</f>
        <v>3003.8616200000006</v>
      </c>
      <c r="EC53" s="1488">
        <f>EC40-SUM(EC41:EC52)</f>
        <v>7710.7439700000014</v>
      </c>
      <c r="ED53" s="1495"/>
      <c r="EE53" s="1495">
        <f>EE40-SUM(EE41:EE52)</f>
        <v>1211.0976900000003</v>
      </c>
      <c r="EF53" s="1495">
        <f>EF40-SUM(EF41:EF52)</f>
        <v>1682.9785034999998</v>
      </c>
      <c r="EG53" s="1495">
        <f>EG40-SUM(EG41:EG52)</f>
        <v>1908.6467400000004</v>
      </c>
      <c r="EH53" s="1495">
        <f>EH40-SUM(EH41:EH52)</f>
        <v>2965.8236076000007</v>
      </c>
      <c r="EI53" s="1488">
        <f>EI40-SUM(EI41:EI52)</f>
        <v>7768.5465411000005</v>
      </c>
      <c r="EJ53" s="1495"/>
      <c r="EK53" s="1495">
        <f>EK40-SUM(EK41:EK52)</f>
        <v>1192.9312246500003</v>
      </c>
      <c r="EL53" s="1495">
        <f>EL40-SUM(EL41:EL52)</f>
        <v>1657.7338259474998</v>
      </c>
      <c r="EM53" s="1495">
        <f>EM40-SUM(EM41:EM52)</f>
        <v>1880.0170389000004</v>
      </c>
      <c r="EN53" s="1495">
        <f>EN40-SUM(EN41:EN52)</f>
        <v>2921.3362534860007</v>
      </c>
      <c r="EO53" s="1488">
        <f>EO40-SUM(EO41:EO52)</f>
        <v>7652.0183429835015</v>
      </c>
      <c r="EP53" s="1495"/>
      <c r="EQ53" s="1495">
        <f>EQ40-SUM(EQ41:EQ52)</f>
        <v>1175.0372562802504</v>
      </c>
      <c r="ER53" s="1495">
        <f>ER40-SUM(ER41:ER52)</f>
        <v>1690.8885024664498</v>
      </c>
      <c r="ES53" s="1495">
        <f>ES40-SUM(ES41:ES52)</f>
        <v>1917.6841315391671</v>
      </c>
      <c r="ET53" s="1495">
        <f>ET40-SUM(ET41:ET52)</f>
        <v>2848.0162096837107</v>
      </c>
      <c r="EU53" s="1488">
        <f>EU40-SUM(EU41:EU52)</f>
        <v>7631.6260999695778</v>
      </c>
      <c r="EV53" s="1495"/>
      <c r="EW53" s="1495">
        <f>EW40-SUM(EW41:EW52)</f>
        <v>1126.4116974360466</v>
      </c>
      <c r="EX53" s="1495">
        <f>EX40-SUM(EX41:EX52)</f>
        <v>1759.841812614437</v>
      </c>
      <c r="EY53" s="1495">
        <f>EY40-SUM(EY41:EY52)</f>
        <v>2081.1788620623006</v>
      </c>
      <c r="EZ53" s="1495">
        <f>EZ40-SUM(EZ41:EZ52)</f>
        <v>2949.4541149258034</v>
      </c>
      <c r="FA53" s="1488">
        <f>FA40-SUM(FA41:FA52)</f>
        <v>7916.8864870385878</v>
      </c>
      <c r="FB53" s="1495"/>
      <c r="FC53" s="1495">
        <f>FC40-SUM(FC41:FC52)</f>
        <v>1186.3469898719477</v>
      </c>
      <c r="FD53" s="1495">
        <f>FD40-SUM(FD41:FD52)</f>
        <v>1837.1503579297978</v>
      </c>
      <c r="FE53" s="1495">
        <f>FE40-SUM(FE41:FE52)</f>
        <v>2133.208333613858</v>
      </c>
      <c r="FF53" s="1495">
        <f>FF40-SUM(FF41:FF52)</f>
        <v>3023.1904677989482</v>
      </c>
      <c r="FG53" s="1488">
        <f>FG40-SUM(FG41:FG52)</f>
        <v>8179.8961492145518</v>
      </c>
      <c r="FH53" s="1495"/>
      <c r="FI53" s="1495">
        <f>FI40-SUM(FI41:FI52)</f>
        <v>1216.0056646187463</v>
      </c>
      <c r="FJ53" s="1495">
        <f>FJ40-SUM(FJ41:FJ52)</f>
        <v>1883.0791168780427</v>
      </c>
      <c r="FK53" s="1495">
        <f>FK40-SUM(FK41:FK52)</f>
        <v>2186.5385419542044</v>
      </c>
      <c r="FL53" s="1495">
        <f>FL40-SUM(FL41:FL52)</f>
        <v>3098.7702294939218</v>
      </c>
      <c r="FM53" s="1488">
        <f>FM40-SUM(FM41:FM52)</f>
        <v>8384.3935529449154</v>
      </c>
      <c r="FQ53"/>
      <c r="FR53"/>
      <c r="FS53"/>
      <c r="FT53"/>
      <c r="FU53"/>
      <c r="FV53"/>
      <c r="GB53" s="24"/>
      <c r="GC53" s="24" t="s">
        <v>1057</v>
      </c>
      <c r="GD53" s="24">
        <v>199</v>
      </c>
      <c r="GE53" s="24"/>
      <c r="GF53" s="24" t="s">
        <v>543</v>
      </c>
      <c r="GG53" s="24">
        <v>20</v>
      </c>
      <c r="GH53" s="24"/>
      <c r="GI53" s="24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</row>
    <row r="54" spans="1:274" s="27" customFormat="1" hidden="1" outlineLevel="1" x14ac:dyDescent="0.2">
      <c r="A54" s="635" t="s">
        <v>668</v>
      </c>
      <c r="B54" s="62"/>
      <c r="C54" s="636"/>
      <c r="D54" s="636"/>
      <c r="E54" s="636"/>
      <c r="F54" s="636"/>
      <c r="G54" s="636"/>
      <c r="H54" s="62"/>
      <c r="I54" s="636"/>
      <c r="J54" s="636"/>
      <c r="K54" s="636"/>
      <c r="L54" s="636"/>
      <c r="M54" s="636"/>
      <c r="N54" s="62"/>
      <c r="O54" s="636"/>
      <c r="P54" s="636"/>
      <c r="Q54" s="636"/>
      <c r="R54" s="636"/>
      <c r="S54" s="636"/>
      <c r="T54" s="62"/>
      <c r="U54" s="636"/>
      <c r="V54" s="636"/>
      <c r="W54" s="636"/>
      <c r="X54" s="636"/>
      <c r="Y54" s="636"/>
      <c r="Z54" s="62"/>
      <c r="AA54" s="157"/>
      <c r="AB54" s="157"/>
      <c r="AC54" s="157"/>
      <c r="AD54" s="157"/>
      <c r="AE54" s="157"/>
      <c r="AF54" s="62"/>
      <c r="AG54" s="157"/>
      <c r="AH54" s="157"/>
      <c r="AI54" s="157"/>
      <c r="AJ54" s="157"/>
      <c r="AK54" s="157"/>
      <c r="AL54" s="62"/>
      <c r="AM54" s="157"/>
      <c r="AN54" s="157"/>
      <c r="AO54" s="157"/>
      <c r="AP54" s="157"/>
      <c r="AQ54" s="157"/>
      <c r="AR54" s="62"/>
      <c r="AS54" s="157"/>
      <c r="AT54" s="157"/>
      <c r="AU54" s="157"/>
      <c r="AV54" s="157"/>
      <c r="AW54" s="157"/>
      <c r="AX54" s="62"/>
      <c r="AY54" s="157"/>
      <c r="AZ54" s="157"/>
      <c r="BA54" s="157"/>
      <c r="BB54" s="157"/>
      <c r="BC54" s="157"/>
      <c r="BD54" s="62"/>
      <c r="BE54" s="157"/>
      <c r="BF54" s="157"/>
      <c r="BG54" s="157"/>
      <c r="BH54" s="157"/>
      <c r="BI54" s="157"/>
      <c r="BJ54" s="62"/>
      <c r="BK54" s="157"/>
      <c r="BL54" s="157"/>
      <c r="BM54" s="157"/>
      <c r="BN54" s="157"/>
      <c r="BO54" s="157"/>
      <c r="BP54" s="62"/>
      <c r="BQ54" s="636">
        <f>'Geographic Detail'!BQ123-'Geographic Detail'!BQ127</f>
        <v>4.2072902721744257E-2</v>
      </c>
      <c r="BR54" s="636">
        <f>'Geographic Detail'!BR123-'Geographic Detail'!BR127</f>
        <v>8.6591837020159726E-2</v>
      </c>
      <c r="BS54" s="636">
        <f>'Geographic Detail'!BS123-'Geographic Detail'!BS127</f>
        <v>8.1016386917003816E-2</v>
      </c>
      <c r="BT54" s="636">
        <f>'Geographic Detail'!BT123-'Geographic Detail'!BT127</f>
        <v>3.9442525731229736E-2</v>
      </c>
      <c r="BU54" s="636">
        <f>'Geographic Detail'!BU123-'Geographic Detail'!BU127</f>
        <v>6.5224813729696268E-2</v>
      </c>
      <c r="BV54" s="638"/>
      <c r="BW54" s="636">
        <f>'Geographic Detail'!BW123-'Geographic Detail'!BW127</f>
        <v>7.07843137254901E-2</v>
      </c>
      <c r="BX54" s="636">
        <f>'Geographic Detail'!BX123-'Geographic Detail'!BX127</f>
        <v>5.1797752808988802E-2</v>
      </c>
      <c r="BY54" s="636">
        <f>'Geographic Detail'!BY123-'Geographic Detail'!BY127</f>
        <v>5.5714285714285675E-2</v>
      </c>
      <c r="BZ54" s="636">
        <f>'Geographic Detail'!BZ123-'Geographic Detail'!BZ127</f>
        <v>4.3345759552656182E-2</v>
      </c>
      <c r="CA54" s="636">
        <f>'Geographic Detail'!CA123-'Geographic Detail'!CA127</f>
        <v>5.0060399821226745E-2</v>
      </c>
      <c r="CB54" s="638"/>
      <c r="CC54" s="636">
        <f>'Geographic Detail'!CC123-'Geographic Detail'!CC127</f>
        <v>1.6194331983805599E-2</v>
      </c>
      <c r="CD54" s="636">
        <f>'Geographic Detail'!CD123-'Geographic Detail'!CD127</f>
        <v>-3.238095238095233E-2</v>
      </c>
      <c r="CE54" s="636">
        <f>'Geographic Detail'!CE123-'Geographic Detail'!CE127</f>
        <v>-4.9245283018868019E-2</v>
      </c>
      <c r="CF54" s="636">
        <f>'Geographic Detail'!CF123-'Geographic Detail'!CF127</f>
        <v>-4.4638602065130706E-3</v>
      </c>
      <c r="CG54" s="816">
        <f>'Geographic Detail'!CG123-'Geographic Detail'!CG127</f>
        <v>-2.1004842615012148E-2</v>
      </c>
      <c r="CH54" s="638"/>
      <c r="CI54" s="636">
        <f>'Geographic Detail'!CI123-'Geographic Detail'!CI127</f>
        <v>1.5726330787959375E-2</v>
      </c>
      <c r="CJ54" s="636">
        <f>'Geographic Detail'!CJ123-'Geographic Detail'!CJ127</f>
        <v>4.4696969696969721E-2</v>
      </c>
      <c r="CK54" s="636">
        <f>'Geographic Detail'!CK123-'Geographic Detail'!CK127</f>
        <v>3.8721295624848939E-2</v>
      </c>
      <c r="CL54" s="636">
        <f>'Geographic Detail'!CL123-'Geographic Detail'!CL127</f>
        <v>3.2972972972972969E-2</v>
      </c>
      <c r="CM54" s="816">
        <f>'Geographic Detail'!CM123-'Geographic Detail'!CM127</f>
        <v>3.5399719495091131E-2</v>
      </c>
      <c r="CN54" s="638"/>
      <c r="CO54" s="636">
        <f>'Geographic Detail'!CO123-'Geographic Detail'!CO127</f>
        <v>3.4374999999999989E-2</v>
      </c>
      <c r="CP54" s="636">
        <f>'Geographic Detail'!CP123-'Geographic Detail'!CP127</f>
        <v>6.6043829296424467E-2</v>
      </c>
      <c r="CQ54" s="636">
        <f>'Geographic Detail'!CQ123-'Geographic Detail'!CQ127</f>
        <v>7.4756980351602942E-2</v>
      </c>
      <c r="CR54" s="636">
        <f>CR16</f>
        <v>0.06</v>
      </c>
      <c r="CS54" s="816">
        <f>CS16</f>
        <v>0.06</v>
      </c>
      <c r="CT54" s="638"/>
      <c r="CU54" s="636">
        <f>CU16</f>
        <v>4.0000000000000008E-2</v>
      </c>
      <c r="CV54" s="636">
        <f>CV16</f>
        <v>-0.08</v>
      </c>
      <c r="CW54" s="636">
        <f>CW16</f>
        <v>-9.1881188118811935E-2</v>
      </c>
      <c r="CX54" s="636">
        <f>CX16</f>
        <v>-0.09</v>
      </c>
      <c r="CY54" s="816">
        <f>CY16</f>
        <v>-0.06</v>
      </c>
      <c r="CZ54" s="636"/>
      <c r="DA54" s="636">
        <f>DA16</f>
        <v>-3.3223478381656069E-2</v>
      </c>
      <c r="DB54" s="636">
        <f>DB16</f>
        <v>5.3393784081251838E-2</v>
      </c>
      <c r="DC54" s="636">
        <f>DC16</f>
        <v>4.9999999999999989E-2</v>
      </c>
      <c r="DD54" s="636">
        <f>DD16</f>
        <v>1.1118425881908811E-2</v>
      </c>
      <c r="DE54" s="816">
        <f>DE16</f>
        <v>2.5681101033667053E-2</v>
      </c>
      <c r="DF54" s="638"/>
      <c r="DG54" s="636">
        <f>DG16</f>
        <v>-1.0000000000000009E-2</v>
      </c>
      <c r="DH54" s="636">
        <f>DH16</f>
        <v>-2.0495150252048067E-2</v>
      </c>
      <c r="DI54" s="814">
        <f>DI16</f>
        <v>2.0000000000000018E-2</v>
      </c>
      <c r="DJ54" s="814">
        <v>0.08</v>
      </c>
      <c r="DK54" s="816">
        <f>DK16</f>
        <v>8.0348225428596987E-3</v>
      </c>
      <c r="DL54" s="638"/>
      <c r="DM54" s="636">
        <v>0.06</v>
      </c>
      <c r="DN54" s="636">
        <v>0</v>
      </c>
      <c r="DO54" s="636">
        <f>DO16</f>
        <v>-9.0243357214465636E-3</v>
      </c>
      <c r="DP54" s="636">
        <f>DP16</f>
        <v>-4.2784660579438416E-2</v>
      </c>
      <c r="DQ54" s="816">
        <f>DQ16</f>
        <v>3.4660249233466889E-3</v>
      </c>
      <c r="DR54" s="638"/>
      <c r="DS54" s="636">
        <f>DS16</f>
        <v>-4.7624518811688055E-2</v>
      </c>
      <c r="DT54" s="636">
        <f>DT16</f>
        <v>-1.2166413251415431E-2</v>
      </c>
      <c r="DU54" s="636">
        <f>DU16</f>
        <v>-1.7123947239962245E-2</v>
      </c>
      <c r="DV54" s="636">
        <f>DV16</f>
        <v>-2.356124567661344E-2</v>
      </c>
      <c r="DW54" s="816">
        <f>DW16</f>
        <v>-2.4500271640664151E-2</v>
      </c>
      <c r="DX54" s="638"/>
      <c r="DY54" s="636">
        <f>DY16</f>
        <v>-2.0998685145519058E-2</v>
      </c>
      <c r="DZ54" s="636">
        <f>DZ16</f>
        <v>-1.4E-2</v>
      </c>
      <c r="EA54" s="636">
        <f>EA16</f>
        <v>-1.4066029152205228E-2</v>
      </c>
      <c r="EB54" s="636">
        <f>EB16</f>
        <v>0</v>
      </c>
      <c r="EC54" s="816">
        <f>EC16</f>
        <v>-1.2022028346011737E-2</v>
      </c>
      <c r="ED54" s="638"/>
      <c r="EE54" s="636">
        <f>EE16</f>
        <v>1.0000000000000002E-2</v>
      </c>
      <c r="EF54" s="636">
        <f>EF16</f>
        <v>-4.0000000000000008E-2</v>
      </c>
      <c r="EG54" s="636">
        <f>EG16</f>
        <v>-0.06</v>
      </c>
      <c r="EH54" s="636">
        <f>EH16</f>
        <v>-7.6734505978679007E-2</v>
      </c>
      <c r="EI54" s="816">
        <f>EI16</f>
        <v>-0.04</v>
      </c>
      <c r="EJ54" s="638"/>
      <c r="EK54" s="636">
        <f>EK16</f>
        <v>-9.0000000000000011E-2</v>
      </c>
      <c r="EL54" s="636">
        <f>EL16</f>
        <v>-6.2769008448199201E-2</v>
      </c>
      <c r="EM54" s="636">
        <f>EM16</f>
        <v>-4.1008431329043714E-2</v>
      </c>
      <c r="EN54" s="636">
        <f>EN16</f>
        <v>-8.1319365798414485E-3</v>
      </c>
      <c r="EO54" s="816">
        <f>EO16</f>
        <v>-4.8063145964325232E-2</v>
      </c>
      <c r="EP54" s="638"/>
      <c r="EQ54" s="636">
        <f>EQ16</f>
        <v>-1.341969171990523E-2</v>
      </c>
      <c r="ER54" s="636">
        <f>ER16</f>
        <v>-7.81898201505523E-3</v>
      </c>
      <c r="ES54" s="636">
        <f>ES16</f>
        <v>-2.3258572352814338E-3</v>
      </c>
      <c r="ET54" s="636">
        <f>ET16</f>
        <v>-9.9454890978195598E-3</v>
      </c>
      <c r="EU54" s="816">
        <f>EU16</f>
        <v>-8.3615411695169284E-3</v>
      </c>
      <c r="EV54" s="638"/>
      <c r="EW54" s="636">
        <f>EW16</f>
        <v>1.3361354629518429E-2</v>
      </c>
      <c r="EX54" s="636">
        <f>EX16</f>
        <v>1.6204221334854552E-2</v>
      </c>
      <c r="EY54" s="636">
        <f>EY16</f>
        <v>4.4295264623955444E-2</v>
      </c>
      <c r="EZ54" s="636">
        <f>EZ16</f>
        <v>3.2500000000000001E-2</v>
      </c>
      <c r="FA54" s="816">
        <f>FA16</f>
        <v>7.4150780051241288E-2</v>
      </c>
      <c r="FB54" s="638"/>
      <c r="FC54" s="636">
        <f>FC16</f>
        <v>2.2999999999999993E-2</v>
      </c>
      <c r="FD54" s="636">
        <f>FD16</f>
        <v>1.8000000000000002E-2</v>
      </c>
      <c r="FE54" s="636">
        <f>FE16</f>
        <v>8.0000000000000071E-3</v>
      </c>
      <c r="FF54" s="636">
        <f>FF16</f>
        <v>0</v>
      </c>
      <c r="FG54" s="816">
        <f>FG16</f>
        <v>0</v>
      </c>
      <c r="FH54" s="638"/>
      <c r="FI54" s="636">
        <f>FI16</f>
        <v>0</v>
      </c>
      <c r="FJ54" s="636">
        <f>FJ16</f>
        <v>0</v>
      </c>
      <c r="FK54" s="636">
        <f>FK16</f>
        <v>0</v>
      </c>
      <c r="FL54" s="636">
        <f>FL16</f>
        <v>0</v>
      </c>
      <c r="FM54" s="816">
        <f>FM16</f>
        <v>0</v>
      </c>
      <c r="FQ54"/>
      <c r="FR54"/>
      <c r="FS54"/>
      <c r="FT54"/>
      <c r="FU54"/>
      <c r="FV54"/>
      <c r="GB54" s="24"/>
      <c r="GC54" s="24" t="s">
        <v>57</v>
      </c>
      <c r="GD54" s="24">
        <v>58</v>
      </c>
      <c r="GE54" s="24"/>
      <c r="GF54" s="24"/>
      <c r="GG54" s="24"/>
      <c r="GH54" s="24"/>
      <c r="GI54" s="2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</row>
    <row r="55" spans="1:274" s="947" customFormat="1" collapsed="1" x14ac:dyDescent="0.2">
      <c r="A55" s="1228" t="s">
        <v>58</v>
      </c>
      <c r="B55" s="1422"/>
      <c r="C55" s="1423"/>
      <c r="D55" s="1423"/>
      <c r="E55" s="1423"/>
      <c r="F55" s="1423"/>
      <c r="G55" s="1423"/>
      <c r="H55" s="1422"/>
      <c r="I55" s="1423"/>
      <c r="J55" s="1423"/>
      <c r="K55" s="1423"/>
      <c r="L55" s="1423"/>
      <c r="M55" s="1423"/>
      <c r="N55" s="1422"/>
      <c r="O55" s="1423"/>
      <c r="P55" s="1423"/>
      <c r="Q55" s="1423"/>
      <c r="R55" s="1423"/>
      <c r="S55" s="1423"/>
      <c r="T55" s="1422"/>
      <c r="U55" s="1423"/>
      <c r="V55" s="1423"/>
      <c r="W55" s="1423"/>
      <c r="X55" s="1423"/>
      <c r="Y55" s="1423"/>
      <c r="Z55" s="1422"/>
      <c r="AA55" s="1424"/>
      <c r="AB55" s="1424"/>
      <c r="AC55" s="1424"/>
      <c r="AD55" s="1424"/>
      <c r="AE55" s="1424"/>
      <c r="AF55" s="1422"/>
      <c r="AG55" s="1424"/>
      <c r="AH55" s="1424"/>
      <c r="AI55" s="1424"/>
      <c r="AJ55" s="1424"/>
      <c r="AK55" s="1424"/>
      <c r="AL55" s="1422"/>
      <c r="AM55" s="1424"/>
      <c r="AN55" s="1424"/>
      <c r="AO55" s="1424"/>
      <c r="AP55" s="1424"/>
      <c r="AQ55" s="1424"/>
      <c r="AR55" s="1422"/>
      <c r="AS55" s="1424"/>
      <c r="AT55" s="1424"/>
      <c r="AU55" s="1424"/>
      <c r="AV55" s="1424"/>
      <c r="AW55" s="1424"/>
      <c r="AX55" s="1422"/>
      <c r="AY55" s="1424"/>
      <c r="AZ55" s="1424"/>
      <c r="BA55" s="1424"/>
      <c r="BB55" s="1424"/>
      <c r="BC55" s="1424"/>
      <c r="BD55" s="1422"/>
      <c r="BE55" s="1424"/>
      <c r="BF55" s="1424"/>
      <c r="BG55" s="1424"/>
      <c r="BH55" s="1424"/>
      <c r="BI55" s="1424"/>
      <c r="BJ55" s="1422"/>
      <c r="BK55" s="1424"/>
      <c r="BL55" s="1424"/>
      <c r="BM55" s="1424"/>
      <c r="BN55" s="1424"/>
      <c r="BO55" s="1424"/>
      <c r="BP55" s="1422"/>
      <c r="BQ55" s="1424">
        <f>'Geographic Detail'!BQ127</f>
        <v>-0.11</v>
      </c>
      <c r="BR55" s="1424">
        <f>'Geographic Detail'!BR127</f>
        <v>0.02</v>
      </c>
      <c r="BS55" s="1424">
        <f>'Geographic Detail'!BS127</f>
        <v>0.08</v>
      </c>
      <c r="BT55" s="1424">
        <f>'Geographic Detail'!BT127</f>
        <v>0.11</v>
      </c>
      <c r="BU55" s="1424">
        <f>'Geographic Detail'!BU127</f>
        <v>0.04</v>
      </c>
      <c r="BV55" s="1422"/>
      <c r="BW55" s="1424">
        <f>(BW53/BQ40-1)-BW54</f>
        <v>0.14000000000000001</v>
      </c>
      <c r="BX55" s="1424">
        <f>(BX53/BR40-1)-BX54</f>
        <v>1.0000000000000002E-2</v>
      </c>
      <c r="BY55" s="1424">
        <f>(BY53/BS40-1)-BY54</f>
        <v>0.08</v>
      </c>
      <c r="BZ55" s="1424">
        <f>(BZ53/BT40-1)-BZ54</f>
        <v>0.12813606710158421</v>
      </c>
      <c r="CA55" s="1424">
        <f>(CA53/BU40-1)-CA54</f>
        <v>9.131533471040125E-2</v>
      </c>
      <c r="CB55" s="1422"/>
      <c r="CC55" s="1424">
        <f>(CC53/BW40-1)-CC54</f>
        <v>-9.109311740890691E-3</v>
      </c>
      <c r="CD55" s="1424">
        <f>(CD53/BX40-1)-CD54</f>
        <v>7.404761904761907E-2</v>
      </c>
      <c r="CE55" s="1424">
        <f>(CE53/BY40-1)-CE54</f>
        <v>7.5534591194968664E-2</v>
      </c>
      <c r="CF55" s="1424">
        <f>(CF53/BZ40-1)-CF54</f>
        <v>0.15656870532168382</v>
      </c>
      <c r="CG55" s="1425">
        <f>(CG53/CA40-1)-CG54</f>
        <v>8.4866828087167084E-2</v>
      </c>
      <c r="CH55" s="1422"/>
      <c r="CI55" s="1424">
        <f>(CI53/CC40-1)-CI54</f>
        <v>9.1843390327578378E-2</v>
      </c>
      <c r="CJ55" s="1424">
        <f>(CJ53/CD40-1)-CJ54</f>
        <v>2.0959595959596025E-2</v>
      </c>
      <c r="CK55" s="1424">
        <f>(CK53/CE40-1)-CK54</f>
        <v>0.10099347353154464</v>
      </c>
      <c r="CL55" s="1424">
        <f>(CL53/CF40-1)-CL54</f>
        <v>0.11162162162162159</v>
      </c>
      <c r="CM55" s="1425">
        <f>(CM53/CG40-1)-CM54</f>
        <v>8.9424964936886453E-2</v>
      </c>
      <c r="CN55" s="1422"/>
      <c r="CO55" s="1424">
        <f>(CO53/CI40-1)-CO54</f>
        <v>0.12013888888888885</v>
      </c>
      <c r="CP55" s="1424">
        <f>(CP53/CJ40-1)-CP54</f>
        <v>0.17501730103806226</v>
      </c>
      <c r="CQ55" s="1424">
        <f>(CQ53/CK40-1)-CQ54</f>
        <v>0.10104446742502582</v>
      </c>
      <c r="CR55" s="1424">
        <f>(CR53/CL40-1)-CR54</f>
        <v>0.11453917050691237</v>
      </c>
      <c r="CS55" s="1425">
        <f>(CS53/CM40-1)-CS54</f>
        <v>0.13373634377276039</v>
      </c>
      <c r="CT55" s="1422"/>
      <c r="CU55" s="1424">
        <f>(CU53/CO40-1)-CU54</f>
        <v>0.1161181434599157</v>
      </c>
      <c r="CV55" s="1424">
        <f>(CV53/CP40-1)-CV54</f>
        <v>3.7668161434977615E-3</v>
      </c>
      <c r="CW55" s="1424">
        <f>(CW53/CQ40-1)-CW54</f>
        <v>-7.1208940636552837E-2</v>
      </c>
      <c r="CX55" s="1424">
        <f>(CX53/CR40-1)-CX54</f>
        <v>-6.7772621809744832E-2</v>
      </c>
      <c r="CY55" s="1426">
        <f>(CY53/CS40-1)-CY54</f>
        <v>-3.8037310532452351E-2</v>
      </c>
      <c r="CZ55" s="1424"/>
      <c r="DA55" s="1424">
        <f>(DA53/CU40-1)-DA16</f>
        <v>-0.18200830969781412</v>
      </c>
      <c r="DB55" s="1424">
        <f>(DB53/CV40-1)-DB16</f>
        <v>-3.7836307849618334E-2</v>
      </c>
      <c r="DC55" s="1424">
        <f>(DC53/CW40-1)-DC16</f>
        <v>1.6964285714285821E-2</v>
      </c>
      <c r="DD55" s="1424">
        <f>(DD53/CX40-1)-DD16</f>
        <v>9.1511795881886959E-2</v>
      </c>
      <c r="DE55" s="1426">
        <f>(DE53/CY40-1)-DE16</f>
        <v>-6.6437096444256216E-3</v>
      </c>
      <c r="DF55" s="1422"/>
      <c r="DG55" s="1424">
        <f>(DG53/DA40-1)-DG16</f>
        <v>0.10282700421940927</v>
      </c>
      <c r="DH55" s="1424">
        <f>(DH53/DB40-1)-DH16</f>
        <v>0.1081547247201331</v>
      </c>
      <c r="DI55" s="1424">
        <f>(DI53/DC40-1)-DI16</f>
        <v>0.15727639000805804</v>
      </c>
      <c r="DJ55" s="1424">
        <f>(DJ53/DD40-1)-DJ54</f>
        <v>9.1929824561403597E-2</v>
      </c>
      <c r="DK55" s="1426">
        <f>(DK53/DE40-1)-DK16</f>
        <v>0.13640756695223932</v>
      </c>
      <c r="DL55" s="1422"/>
      <c r="DM55" s="1424">
        <f>(DM53/DG40-1)-DM16</f>
        <v>8.1408751334044738E-2</v>
      </c>
      <c r="DN55" s="1424">
        <f>(DN53/DH40-1)-DN16</f>
        <v>5.0492957746478766E-2</v>
      </c>
      <c r="DO55" s="1424">
        <f>(DO53/DI40-1)-DO16</f>
        <v>8.6484653181764015E-2</v>
      </c>
      <c r="DP55" s="1424">
        <f>(DP53/DJ40-1)-DP16</f>
        <v>3.7402329473276597E-2</v>
      </c>
      <c r="DQ55" s="1426">
        <f>(DQ53/DK40-1)-DQ16</f>
        <v>4.1432858264096817E-2</v>
      </c>
      <c r="DR55" s="1424"/>
      <c r="DS55" s="1424">
        <f>(DS53/DM40-1)-DS16</f>
        <v>5.7998350587389225E-2</v>
      </c>
      <c r="DT55" s="1424">
        <f>(DT53/DN40-1)-DT16</f>
        <v>0.10661536524600645</v>
      </c>
      <c r="DU55" s="1424">
        <f>(DU53/DO40-1)-DU16</f>
        <v>6.7123947239962289E-2</v>
      </c>
      <c r="DV55" s="1424">
        <f>(DV53/DP40-1)-DV16</f>
        <v>0.12574059150535288</v>
      </c>
      <c r="DW55" s="1426">
        <f>(DW53/DQ40-1)-DW16</f>
        <v>9.8164743441408575E-2</v>
      </c>
      <c r="DX55" s="1424"/>
      <c r="DY55" s="1424">
        <f>(DY53/DS40-1)-DY16</f>
        <v>9.4985619180543157E-2</v>
      </c>
      <c r="DZ55" s="1424">
        <f>(DZ53/DT40-1)-DZ16</f>
        <v>1.0117019656573288E-2</v>
      </c>
      <c r="EA55" s="1424">
        <f>(EA53/DU40-1)-EA16</f>
        <v>6.1866006952183028E-2</v>
      </c>
      <c r="EB55" s="1424">
        <f>(EB53/DV40-1)-EB16</f>
        <v>-5.4459244249761563E-3</v>
      </c>
      <c r="EC55" s="1426">
        <f>(EC53/DW40-1)-EC16</f>
        <v>3.1166342968198313E-2</v>
      </c>
      <c r="ED55" s="1424"/>
      <c r="EE55" s="1424">
        <f>(EE53/DY40-1)-EE16</f>
        <v>-2.0000000000000011E-2</v>
      </c>
      <c r="EF55" s="1424">
        <f>(EF53/DZ40-1)-EF16</f>
        <v>5.0000000000000017E-2</v>
      </c>
      <c r="EG55" s="1424">
        <f>(EG53/EA40-1)-EG16</f>
        <v>4.9999999999999989E-2</v>
      </c>
      <c r="EH55" s="1424">
        <f>(EH53/EB40-1)-EH16</f>
        <v>5.6734505978679101E-2</v>
      </c>
      <c r="EI55" s="1426">
        <f>(EI53/EC40-1)-EI16</f>
        <v>3.0390467985434509E-2</v>
      </c>
      <c r="EJ55" s="1428"/>
      <c r="EK55" s="1424">
        <f>(EK53/EE40-1)-EK16</f>
        <v>7.5000000000000108E-2</v>
      </c>
      <c r="EL55" s="1424">
        <f>(EL53/EF40-1)-EL16</f>
        <v>4.7769008448199188E-2</v>
      </c>
      <c r="EM55" s="1424">
        <f>(EM53/EG40-1)-EM16</f>
        <v>2.6008431329043812E-2</v>
      </c>
      <c r="EN55" s="1424">
        <f>(EN53/EH40-1)-EN16</f>
        <v>-6.8680634201585648E-3</v>
      </c>
      <c r="EO55" s="1426">
        <f>(EO53/EI40-1)-EO16</f>
        <v>3.306314596432533E-2</v>
      </c>
      <c r="EP55" s="1428"/>
      <c r="EQ55" s="1761">
        <f>(EQ53/EK40-1)-EQ16</f>
        <v>-1.5803082800946722E-3</v>
      </c>
      <c r="ER55" s="1761">
        <f>(ER53/EL40-1)-ER16</f>
        <v>2.7818982015055248E-2</v>
      </c>
      <c r="ES55" s="1761">
        <f>(ES53/EM40-1)-ES16</f>
        <v>2.236136322261327E-2</v>
      </c>
      <c r="ET55" s="1761">
        <f>(ET53/EN40-1)-ET16</f>
        <v>-1.515262951649532E-2</v>
      </c>
      <c r="EU55" s="1762">
        <f>(EU53/EO40-1)-EU16</f>
        <v>5.6965915967519543E-3</v>
      </c>
      <c r="EV55" s="1428"/>
      <c r="EW55" s="1761">
        <f>(EW53/EQ40-1)-EW16</f>
        <v>-5.4743496841872685E-2</v>
      </c>
      <c r="EX55" s="1761">
        <f>(EX53/ER40-1)-EX16</f>
        <v>2.4575114527567443E-2</v>
      </c>
      <c r="EY55" s="1761">
        <f>(EY53/ES40-1)-EY16</f>
        <v>3.5704735376044627E-2</v>
      </c>
      <c r="EZ55" s="1761">
        <f>(EZ53/ET40-1)-EZ16</f>
        <v>-7.5000000000000899E-3</v>
      </c>
      <c r="FA55" s="1762">
        <f>(FA53/EU40-1)-FA16</f>
        <v>-4.2024014258600112E-2</v>
      </c>
      <c r="FB55" s="1428"/>
      <c r="FC55" s="1761">
        <f>(FC53/EW40-1)-FC16</f>
        <v>1.9999999999999185E-3</v>
      </c>
      <c r="FD55" s="1761">
        <f>(FD53/EX40-1)-FD16</f>
        <v>6.9999999999999091E-3</v>
      </c>
      <c r="FE55" s="1761">
        <f>(FE53/EY40-1)-FE16</f>
        <v>1.6999999999999904E-2</v>
      </c>
      <c r="FF55" s="1761">
        <f>(FF53/EZ40-1)-FF16</f>
        <v>2.4999999999999911E-2</v>
      </c>
      <c r="FG55" s="1762">
        <f>(FG53/FA40-1)-FG16</f>
        <v>2.4999999999999911E-2</v>
      </c>
      <c r="FH55" s="1428"/>
      <c r="FI55" s="1761">
        <f>(FI53/FC40-1)-FI16</f>
        <v>2.4999999999999911E-2</v>
      </c>
      <c r="FJ55" s="1761">
        <f>(FJ53/FD40-1)-FJ16</f>
        <v>2.4999999999999911E-2</v>
      </c>
      <c r="FK55" s="1761">
        <f>(FK53/FE40-1)-FK16</f>
        <v>2.4999999999999911E-2</v>
      </c>
      <c r="FL55" s="1761">
        <f>(FL53/FF40-1)-FL16</f>
        <v>2.4999999999999911E-2</v>
      </c>
      <c r="FM55" s="1762">
        <f>(FM53/FG40-1)-FM16</f>
        <v>2.4999999999999911E-2</v>
      </c>
      <c r="FO55" s="116"/>
      <c r="FQ55"/>
      <c r="FR55"/>
      <c r="FS55"/>
      <c r="FT55"/>
      <c r="FU55"/>
      <c r="FV55"/>
      <c r="GB55" s="23"/>
      <c r="GC55" s="23" t="s">
        <v>59</v>
      </c>
      <c r="GD55" s="23">
        <v>14</v>
      </c>
      <c r="GE55" s="23"/>
      <c r="GF55" s="23"/>
      <c r="GG55" s="23"/>
      <c r="GH55" s="23"/>
      <c r="GI55" s="23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</row>
    <row r="56" spans="1:274" s="27" customFormat="1" ht="12" customHeight="1" x14ac:dyDescent="0.2">
      <c r="B56" s="342"/>
      <c r="C56" s="94"/>
      <c r="D56" s="94"/>
      <c r="E56" s="94"/>
      <c r="F56" s="94"/>
      <c r="G56" s="94"/>
      <c r="H56" s="342"/>
      <c r="I56" s="94"/>
      <c r="J56" s="94"/>
      <c r="K56" s="94"/>
      <c r="L56" s="94"/>
      <c r="M56" s="94"/>
      <c r="N56" s="342"/>
      <c r="O56" s="94"/>
      <c r="P56" s="94"/>
      <c r="Q56" s="94"/>
      <c r="R56" s="94"/>
      <c r="S56" s="94"/>
      <c r="T56" s="342"/>
      <c r="U56" s="94"/>
      <c r="V56" s="94"/>
      <c r="W56" s="94"/>
      <c r="X56" s="94"/>
      <c r="Y56" s="94"/>
      <c r="Z56" s="342"/>
      <c r="AA56" s="43"/>
      <c r="AB56" s="43"/>
      <c r="AC56" s="43"/>
      <c r="AD56" s="43"/>
      <c r="AE56" s="43"/>
      <c r="AF56" s="342"/>
      <c r="AG56" s="43"/>
      <c r="AH56" s="43"/>
      <c r="AI56" s="43"/>
      <c r="AJ56" s="43"/>
      <c r="AK56" s="43"/>
      <c r="AL56" s="342"/>
      <c r="AM56" s="43"/>
      <c r="AN56" s="43"/>
      <c r="AO56" s="43"/>
      <c r="AP56" s="43"/>
      <c r="AQ56" s="43"/>
      <c r="AR56" s="342"/>
      <c r="AS56" s="43"/>
      <c r="AT56" s="43"/>
      <c r="AU56" s="43"/>
      <c r="AV56" s="43"/>
      <c r="AW56" s="43"/>
      <c r="AX56" s="342"/>
      <c r="AY56" s="43"/>
      <c r="AZ56" s="43"/>
      <c r="BA56" s="43"/>
      <c r="BB56" s="43"/>
      <c r="BC56" s="43"/>
      <c r="BD56" s="342"/>
      <c r="BE56" s="43"/>
      <c r="BF56" s="43"/>
      <c r="BG56" s="43"/>
      <c r="BH56" s="43"/>
      <c r="BI56" s="43"/>
      <c r="BJ56" s="342"/>
      <c r="BK56" s="43"/>
      <c r="BL56" s="43"/>
      <c r="BM56" s="43"/>
      <c r="BN56" s="43"/>
      <c r="BO56" s="43"/>
      <c r="BP56" s="342"/>
      <c r="BQ56" s="43"/>
      <c r="BR56" s="43"/>
      <c r="BS56" s="43"/>
      <c r="BT56" s="43"/>
      <c r="BU56" s="43"/>
      <c r="BV56" s="342"/>
      <c r="BW56" s="43"/>
      <c r="BX56" s="43"/>
      <c r="BY56" s="43"/>
      <c r="BZ56" s="43"/>
      <c r="CA56" s="43"/>
      <c r="CB56" s="342"/>
      <c r="CC56" s="43"/>
      <c r="CD56" s="43"/>
      <c r="CE56" s="43"/>
      <c r="CF56" s="43"/>
      <c r="CG56" s="395"/>
      <c r="CH56" s="342"/>
      <c r="CI56" s="43"/>
      <c r="CJ56" s="43"/>
      <c r="CK56" s="34">
        <f>CK53-CE40*CK54</f>
        <v>910.96199999999999</v>
      </c>
      <c r="CL56" s="34">
        <f>CL53-CF40*CL54</f>
        <v>1645.2</v>
      </c>
      <c r="CM56" s="395"/>
      <c r="CN56" s="342"/>
      <c r="CO56" s="34">
        <f>CO53-CI40*CO54</f>
        <v>645.20000000000005</v>
      </c>
      <c r="CP56" s="34">
        <f>CP53-CJ40*CP54</f>
        <v>1018.74</v>
      </c>
      <c r="CQ56" s="43">
        <f>SUM(CK56:CP56)/SUM(CE40:CF40,CI40:CJ40)-1</f>
        <v>0.12524050767918071</v>
      </c>
      <c r="CR56" s="43"/>
      <c r="CS56" s="395"/>
      <c r="CT56" s="475"/>
      <c r="CU56" s="43"/>
      <c r="CV56" s="336"/>
      <c r="CW56" s="43"/>
      <c r="CX56" s="43"/>
      <c r="CY56" s="395"/>
      <c r="CZ56" s="156"/>
      <c r="DA56" s="43"/>
      <c r="DB56" s="336"/>
      <c r="DC56" s="43"/>
      <c r="DD56" s="43"/>
      <c r="DE56" s="395"/>
      <c r="DF56" s="475"/>
      <c r="DG56" s="43"/>
      <c r="DH56" s="43"/>
      <c r="DI56" s="43"/>
      <c r="DJ56" s="43"/>
      <c r="DK56" s="148"/>
      <c r="DL56" s="475"/>
      <c r="DM56" s="43"/>
      <c r="DN56" s="43"/>
      <c r="DO56" s="43"/>
      <c r="DP56" s="43"/>
      <c r="DQ56" s="148"/>
      <c r="DR56" s="475"/>
      <c r="DS56" s="43"/>
      <c r="DT56" s="43"/>
      <c r="DU56" s="43"/>
      <c r="DV56" s="43"/>
      <c r="DW56" s="148"/>
      <c r="DX56" s="475"/>
      <c r="DY56" s="43"/>
      <c r="DZ56" s="43"/>
      <c r="EA56" s="43"/>
      <c r="EB56" s="43"/>
      <c r="EC56" s="148"/>
      <c r="ED56" s="475"/>
      <c r="EE56" s="43"/>
      <c r="EF56" s="43"/>
      <c r="EG56" s="43"/>
      <c r="EH56" s="43"/>
      <c r="EI56" s="148"/>
      <c r="EJ56" s="475"/>
      <c r="EK56" s="43"/>
      <c r="EL56" s="43"/>
      <c r="EM56" s="43"/>
      <c r="EN56" s="43"/>
      <c r="EO56" s="148"/>
      <c r="EP56" s="475"/>
      <c r="EQ56" s="43"/>
      <c r="ER56" s="43"/>
      <c r="ES56" s="43"/>
      <c r="ET56" s="43"/>
      <c r="EU56" s="148"/>
      <c r="EV56" s="475"/>
      <c r="EW56" s="43"/>
      <c r="EX56" s="43"/>
      <c r="EY56" s="43"/>
      <c r="EZ56" s="43"/>
      <c r="FA56" s="148"/>
      <c r="FB56" s="475"/>
      <c r="FC56" s="43"/>
      <c r="FD56" s="43"/>
      <c r="FE56" s="43"/>
      <c r="FF56" s="43"/>
      <c r="FG56" s="148"/>
      <c r="FH56" s="475"/>
      <c r="FI56" s="43"/>
      <c r="FJ56" s="43"/>
      <c r="FK56" s="43"/>
      <c r="FL56" s="43"/>
      <c r="FM56" s="148"/>
      <c r="FQ56"/>
      <c r="FR56"/>
      <c r="FS56"/>
      <c r="FT56"/>
      <c r="FU56"/>
      <c r="FV56"/>
      <c r="GB56" s="24"/>
      <c r="GC56" s="24" t="s">
        <v>543</v>
      </c>
      <c r="GD56" s="24">
        <v>42</v>
      </c>
      <c r="GE56" s="24"/>
      <c r="GF56" s="24"/>
      <c r="GG56" s="24"/>
      <c r="GH56" s="24"/>
      <c r="GI56" s="24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</row>
    <row r="57" spans="1:274" s="1517" customFormat="1" x14ac:dyDescent="0.2">
      <c r="A57" s="1590" t="s">
        <v>60</v>
      </c>
      <c r="B57" s="1591"/>
      <c r="C57" s="1592"/>
      <c r="D57" s="1592"/>
      <c r="E57" s="1592"/>
      <c r="F57" s="1592"/>
      <c r="G57" s="1592"/>
      <c r="H57" s="1591"/>
      <c r="I57" s="1592"/>
      <c r="J57" s="1592"/>
      <c r="K57" s="1592"/>
      <c r="L57" s="1592"/>
      <c r="M57" s="1592"/>
      <c r="N57" s="1591"/>
      <c r="O57" s="1592"/>
      <c r="P57" s="1592"/>
      <c r="Q57" s="1592"/>
      <c r="R57" s="1592"/>
      <c r="S57" s="1592"/>
      <c r="T57" s="1591"/>
      <c r="U57" s="1592"/>
      <c r="V57" s="1592"/>
      <c r="W57" s="1592"/>
      <c r="X57" s="1592"/>
      <c r="Y57" s="1592"/>
      <c r="Z57" s="1591"/>
      <c r="AA57" s="1593"/>
      <c r="AB57" s="1593"/>
      <c r="AC57" s="1593"/>
      <c r="AD57" s="1593"/>
      <c r="AE57" s="1593"/>
      <c r="AF57" s="1591"/>
      <c r="AG57" s="1593"/>
      <c r="AH57" s="1593"/>
      <c r="AI57" s="1593"/>
      <c r="AJ57" s="1593"/>
      <c r="AK57" s="1593"/>
      <c r="AL57" s="1591"/>
      <c r="AM57" s="1593"/>
      <c r="AN57" s="1593"/>
      <c r="AO57" s="1593"/>
      <c r="AP57" s="1593"/>
      <c r="AQ57" s="1593"/>
      <c r="AR57" s="1591"/>
      <c r="AS57" s="1593"/>
      <c r="AT57" s="1593"/>
      <c r="AU57" s="1593"/>
      <c r="AV57" s="1593"/>
      <c r="AW57" s="1593"/>
      <c r="AX57" s="1591"/>
      <c r="AY57" s="1593"/>
      <c r="AZ57" s="1593"/>
      <c r="BA57" s="1593"/>
      <c r="BB57" s="1593"/>
      <c r="BC57" s="1593"/>
      <c r="BD57" s="1591"/>
      <c r="BE57" s="1593"/>
      <c r="BF57" s="1593"/>
      <c r="BG57" s="1593"/>
      <c r="BH57" s="1593"/>
      <c r="BI57" s="1593"/>
      <c r="BJ57" s="1591"/>
      <c r="BK57" s="1593"/>
      <c r="BL57" s="1593"/>
      <c r="BM57" s="1593"/>
      <c r="BN57" s="1593"/>
      <c r="BO57" s="1593"/>
      <c r="BP57" s="1591"/>
      <c r="BQ57" s="1593">
        <f>BQ58/BK58-1</f>
        <v>-3.4452886715154674E-2</v>
      </c>
      <c r="BR57" s="1593">
        <f>BR58/BL58-1</f>
        <v>0.26712233742450442</v>
      </c>
      <c r="BS57" s="1593">
        <f>BS58/BM58-1</f>
        <v>-2.7135491795093891E-4</v>
      </c>
      <c r="BT57" s="1593">
        <f>BT58/BN58-1</f>
        <v>-6.1742235003107271E-2</v>
      </c>
      <c r="BU57" s="1593">
        <f>BU58/BO58-1</f>
        <v>1.6233294116091868E-2</v>
      </c>
      <c r="BV57" s="1591"/>
      <c r="BW57" s="1593">
        <f>BW58/BQ58-1</f>
        <v>-0.35514018691588789</v>
      </c>
      <c r="BX57" s="1593">
        <f>BX58/BR58-1</f>
        <v>0.56934306569343063</v>
      </c>
      <c r="BY57" s="1593">
        <f>BY58/BS58-1</f>
        <v>8.5714285714285632E-2</v>
      </c>
      <c r="BZ57" s="1593">
        <f>BZ58/BT58-1</f>
        <v>0.51515151515151514</v>
      </c>
      <c r="CA57" s="1593">
        <f>CA58/BU58-1</f>
        <v>0.2780487804878049</v>
      </c>
      <c r="CB57" s="1591"/>
      <c r="CC57" s="1593">
        <f>CC58/BW58-1</f>
        <v>0.84057971014492749</v>
      </c>
      <c r="CD57" s="1593">
        <f>CD58/BX58-1</f>
        <v>0.23720930232558146</v>
      </c>
      <c r="CE57" s="1593">
        <f>CE58/BY58-1</f>
        <v>0.76973684210526305</v>
      </c>
      <c r="CF57" s="1593">
        <f>CF58/BZ58-1</f>
        <v>0.83142857142857141</v>
      </c>
      <c r="CG57" s="1594">
        <f>CG58/CA58-1</f>
        <v>0.65699745547073807</v>
      </c>
      <c r="CH57" s="1591"/>
      <c r="CI57" s="1593">
        <f>CI58/CC58-1</f>
        <v>0.79527559055118102</v>
      </c>
      <c r="CJ57" s="1593">
        <f>CJ58/CD58-1</f>
        <v>0.27819548872180455</v>
      </c>
      <c r="CK57" s="1593">
        <f>CK58/CE58-1</f>
        <v>0.57249070631970267</v>
      </c>
      <c r="CL57" s="1593">
        <f>CL58/CF58-1</f>
        <v>0.13260530421216843</v>
      </c>
      <c r="CM57" s="1594">
        <f>CM58/CG58-1</f>
        <v>0.31833538083538082</v>
      </c>
      <c r="CN57" s="1591"/>
      <c r="CO57" s="1593">
        <f>CO58/CI58-1</f>
        <v>0.64912280701754388</v>
      </c>
      <c r="CP57" s="1593">
        <f>CP58/CJ58-1</f>
        <v>0.62647058823529411</v>
      </c>
      <c r="CQ57" s="1593">
        <f>CQ58/CK58-1</f>
        <v>6.6193853427896077E-2</v>
      </c>
      <c r="CR57" s="1593">
        <f>CR58/CL58-1</f>
        <v>0.36225895316804402</v>
      </c>
      <c r="CS57" s="1594">
        <f>CS58/CM58-1</f>
        <v>0.37973209085614434</v>
      </c>
      <c r="CT57" s="1591"/>
      <c r="CU57" s="1593">
        <f>CU58/CO58-1</f>
        <v>-0.11968085106382975</v>
      </c>
      <c r="CV57" s="1593">
        <f>CV58/CP58-1</f>
        <v>-0.15189873417721522</v>
      </c>
      <c r="CW57" s="1593">
        <f>CW58/CQ58-1</f>
        <v>-0.12195121951219512</v>
      </c>
      <c r="CX57" s="1593">
        <f>CX58/CR58-1</f>
        <v>-0.18604651162790697</v>
      </c>
      <c r="CY57" s="1594">
        <f>CY58/CS58-1</f>
        <v>-0.15538201772899951</v>
      </c>
      <c r="CZ57" s="1593"/>
      <c r="DA57" s="1593">
        <f>DA58/CU58-1</f>
        <v>-4.2296072507552851E-2</v>
      </c>
      <c r="DB57" s="1593">
        <f>DB58/CV58-1</f>
        <v>1.9189765458422103E-2</v>
      </c>
      <c r="DC57" s="1593">
        <f>DC58/CW58-1</f>
        <v>0.20555555555555549</v>
      </c>
      <c r="DD57" s="1593">
        <f>DD58/CX58-1</f>
        <v>6.211180124223592E-2</v>
      </c>
      <c r="DE57" s="1594">
        <f>DE58/CY58-1</f>
        <v>6.3021640261882172E-2</v>
      </c>
      <c r="DF57" s="1591"/>
      <c r="DG57" s="1593">
        <f>DG58/DA58-1</f>
        <v>0.10094637223974767</v>
      </c>
      <c r="DH57" s="1593">
        <f>DH58/DB58-1</f>
        <v>0.21129707112970708</v>
      </c>
      <c r="DI57" s="1593">
        <f>DI58/DC58-1</f>
        <v>0.33850020946795145</v>
      </c>
      <c r="DJ57" s="1593">
        <f>DJ58/DD58-1</f>
        <v>0.21871345029239775</v>
      </c>
      <c r="DK57" s="1594">
        <f>DK58/DE58-1</f>
        <v>0.22661024917724504</v>
      </c>
      <c r="DL57" s="1591"/>
      <c r="DM57" s="1593">
        <f>DM58/DG58-1</f>
        <v>0.22636103151862463</v>
      </c>
      <c r="DN57" s="1593">
        <f>DN58/DH58-1</f>
        <v>-1.7271157167530249E-2</v>
      </c>
      <c r="DO57" s="1593">
        <f>DO58/DI58-1</f>
        <v>2.9733959311424085E-2</v>
      </c>
      <c r="DP57" s="1593">
        <f>DP58/DJ58-1</f>
        <v>0.23416506717850294</v>
      </c>
      <c r="DQ57" s="1594">
        <f>DQ58/DK58-1</f>
        <v>0.12725182062092766</v>
      </c>
      <c r="DR57" s="1591"/>
      <c r="DS57" s="1593">
        <f>DS58/DM58-1</f>
        <v>0.4249999999999996</v>
      </c>
      <c r="DT57" s="1593">
        <f>DT58/DN58-1</f>
        <v>0.53481546572934957</v>
      </c>
      <c r="DU57" s="1593">
        <f>DU58/DO58-1</f>
        <v>-1.7933130699088418E-2</v>
      </c>
      <c r="DV57" s="1593">
        <f>DV58/DP58-1</f>
        <v>-0.12388024883359283</v>
      </c>
      <c r="DW57" s="1594">
        <f>DW58/DQ58-1</f>
        <v>0.10714042842570537</v>
      </c>
      <c r="DX57" s="1591"/>
      <c r="DY57" s="1593">
        <f>DY58/DS58-1</f>
        <v>-0.11187243810460767</v>
      </c>
      <c r="DZ57" s="1593">
        <f>DZ58/DT58-1</f>
        <v>-6.8275125671296344E-2</v>
      </c>
      <c r="EA57" s="1593">
        <f>EA58/DU58-1</f>
        <v>-5.1262766945218474E-2</v>
      </c>
      <c r="EB57" s="1593">
        <f>EB58/DV58-1</f>
        <v>6.2980393897167586E-2</v>
      </c>
      <c r="EC57" s="1594">
        <f>EC58/DW58-1</f>
        <v>-2.7647483185406108E-2</v>
      </c>
      <c r="ED57" s="1591"/>
      <c r="EE57" s="1593">
        <f>EE58/DY58-1</f>
        <v>0.17396843828980457</v>
      </c>
      <c r="EF57" s="1593">
        <f>EF58/DZ58-1</f>
        <v>8.275545876403112E-2</v>
      </c>
      <c r="EG57" s="1593">
        <f>EG58/EA58-1</f>
        <v>-1.585573682785435E-2</v>
      </c>
      <c r="EH57" s="1593">
        <f>EH58/EB58-1</f>
        <v>-0.37279106477723922</v>
      </c>
      <c r="EI57" s="1594">
        <f>EI58/EC58-1</f>
        <v>-9.3056349642889002E-2</v>
      </c>
      <c r="EJ57" s="1591"/>
      <c r="EK57" s="1593">
        <f>EK58/EE58-1</f>
        <v>-0.10352774886129923</v>
      </c>
      <c r="EL57" s="1593">
        <f>EL58/EF58-1</f>
        <v>-0.23808195745596084</v>
      </c>
      <c r="EM57" s="1593">
        <f>EM58/EG58-1</f>
        <v>-0.11000238715872712</v>
      </c>
      <c r="EN57" s="1593">
        <f>EN58/EH58-1</f>
        <v>-6.1919738634746868E-2</v>
      </c>
      <c r="EO57" s="1594">
        <f>EO58/EI58-1</f>
        <v>-0.13528751464852817</v>
      </c>
      <c r="EP57" s="1591"/>
      <c r="EQ57" s="1763">
        <f>EQ58/EK58-1</f>
        <v>0.4751952397382786</v>
      </c>
      <c r="ER57" s="1763">
        <f>ER58/EL58-1</f>
        <v>0.10702956034163402</v>
      </c>
      <c r="ES57" s="1763">
        <f>ES58/EM58-1</f>
        <v>0.38734855497354492</v>
      </c>
      <c r="ET57" s="1763">
        <f>ET58/EN58-1</f>
        <v>0.64402354463012546</v>
      </c>
      <c r="EU57" s="1764">
        <f>EU58/EO58-1</f>
        <v>0.4045776604276845</v>
      </c>
      <c r="EV57" s="1765"/>
      <c r="EW57" s="1763">
        <f>EW58/EQ58-1</f>
        <v>0.54654687413521597</v>
      </c>
      <c r="EX57" s="1763">
        <f>EX58/ER58-1</f>
        <v>0.46499978939756881</v>
      </c>
      <c r="EY57" s="1763">
        <f>EY58/ES58-1</f>
        <v>0.17831102951623579</v>
      </c>
      <c r="EZ57" s="1763">
        <f>EZ58/ET58-1</f>
        <v>3.4508117499850943E-2</v>
      </c>
      <c r="FA57" s="1764">
        <f>FA58/EU58-1</f>
        <v>0.2804233893659156</v>
      </c>
      <c r="FB57" s="1765"/>
      <c r="FC57" s="1763">
        <f>FC58/EW58-1</f>
        <v>0.21183606451093029</v>
      </c>
      <c r="FD57" s="1763">
        <f>FD58/EX58-1</f>
        <v>0.23690765170656514</v>
      </c>
      <c r="FE57" s="1763">
        <f>FE58/EY58-1</f>
        <v>0.30148001342299091</v>
      </c>
      <c r="FF57" s="1763">
        <f>FF58/EZ58-1</f>
        <v>0.13201043863610162</v>
      </c>
      <c r="FG57" s="1764">
        <f>FG58/FA58-1</f>
        <v>0.2141466200581621</v>
      </c>
      <c r="FH57" s="1765"/>
      <c r="FI57" s="1763">
        <f>FI58/FC58-1</f>
        <v>0.20405582386757071</v>
      </c>
      <c r="FJ57" s="1763">
        <f>FJ58/FD58-1</f>
        <v>0.21708245301175078</v>
      </c>
      <c r="FK57" s="1763">
        <f>FK58/FE58-1</f>
        <v>0.24916380498005775</v>
      </c>
      <c r="FL57" s="1763">
        <f>FL58/FF58-1</f>
        <v>0.1484574066155071</v>
      </c>
      <c r="FM57" s="1764">
        <f>FM58/FG58-1</f>
        <v>0.20288405765548601</v>
      </c>
      <c r="FQ57"/>
      <c r="FR57"/>
      <c r="FS57"/>
      <c r="FT57"/>
      <c r="FU57"/>
      <c r="FV57"/>
      <c r="GB57" s="1523"/>
      <c r="GC57" s="1523"/>
      <c r="GD57" s="1523"/>
      <c r="GE57" s="1523"/>
      <c r="GF57" s="1523"/>
      <c r="GG57" s="1523"/>
      <c r="GH57" s="1523"/>
      <c r="GI57" s="1523"/>
      <c r="GJ57" s="1522"/>
      <c r="GK57" s="1522"/>
      <c r="GL57" s="1522"/>
      <c r="GM57" s="1522"/>
      <c r="GN57" s="1522"/>
      <c r="GO57" s="1522"/>
      <c r="GP57" s="1522"/>
      <c r="GQ57" s="1522"/>
      <c r="GR57" s="1522"/>
      <c r="GS57" s="1522"/>
      <c r="GT57" s="1522"/>
      <c r="GU57" s="1522"/>
      <c r="GV57" s="1522"/>
      <c r="GW57" s="1522"/>
      <c r="GX57" s="1522"/>
      <c r="GY57" s="1522"/>
      <c r="GZ57" s="1522"/>
      <c r="HA57" s="1522"/>
      <c r="HB57" s="1522"/>
      <c r="HC57" s="1522"/>
      <c r="HD57" s="1522"/>
      <c r="HE57" s="1522"/>
      <c r="HF57" s="1522"/>
      <c r="HG57" s="1522"/>
      <c r="HH57" s="1522"/>
      <c r="HI57" s="1522"/>
      <c r="HJ57" s="1522"/>
      <c r="HK57" s="1522"/>
      <c r="HL57" s="1522"/>
      <c r="HM57" s="1522"/>
      <c r="HN57" s="1522"/>
      <c r="HO57" s="1522"/>
      <c r="HP57" s="1522"/>
      <c r="HQ57" s="1522"/>
      <c r="HR57" s="1522"/>
      <c r="HS57" s="1522"/>
      <c r="HT57" s="1522"/>
      <c r="HU57" s="1522"/>
      <c r="HV57" s="1522"/>
      <c r="HW57" s="1522"/>
      <c r="HX57" s="1522"/>
      <c r="HY57" s="1522"/>
      <c r="HZ57" s="1522"/>
      <c r="IA57" s="1522"/>
      <c r="IB57" s="1522"/>
      <c r="IC57" s="1522"/>
      <c r="ID57" s="1522"/>
      <c r="IE57" s="1522"/>
      <c r="IF57" s="1522"/>
      <c r="IG57" s="1522"/>
      <c r="IH57" s="1522"/>
      <c r="II57" s="1522"/>
      <c r="IJ57" s="1522"/>
      <c r="IK57" s="1522"/>
      <c r="IL57" s="1522"/>
      <c r="IM57" s="1522"/>
      <c r="IN57" s="1522"/>
      <c r="IO57" s="1522"/>
      <c r="IP57" s="1522"/>
      <c r="IQ57" s="1522"/>
      <c r="IR57" s="1522"/>
      <c r="IS57" s="1522"/>
      <c r="IT57" s="1522"/>
      <c r="IU57" s="1522"/>
      <c r="IV57" s="1522"/>
      <c r="IW57" s="1522"/>
      <c r="IX57" s="1522"/>
      <c r="IY57" s="1522"/>
      <c r="IZ57" s="1522"/>
      <c r="JA57" s="1522"/>
      <c r="JB57" s="1522"/>
      <c r="JC57" s="1522"/>
      <c r="JD57" s="1522"/>
      <c r="JE57" s="1522"/>
      <c r="JF57" s="1522"/>
      <c r="JG57" s="1522"/>
      <c r="JH57" s="1522"/>
      <c r="JI57" s="1522"/>
      <c r="JJ57" s="1522"/>
      <c r="JK57" s="1522"/>
      <c r="JL57" s="1522"/>
      <c r="JM57" s="1522"/>
      <c r="JN57" s="1522"/>
    </row>
    <row r="58" spans="1:274" s="27" customFormat="1" hidden="1" outlineLevel="1" x14ac:dyDescent="0.2">
      <c r="A58" s="1493" t="s">
        <v>61</v>
      </c>
      <c r="B58" s="1490"/>
      <c r="C58" s="1494"/>
      <c r="D58" s="1494"/>
      <c r="E58" s="1494"/>
      <c r="F58" s="1494"/>
      <c r="G58" s="1494"/>
      <c r="H58" s="1490"/>
      <c r="I58" s="1494"/>
      <c r="J58" s="1494"/>
      <c r="K58" s="1494"/>
      <c r="L58" s="1494"/>
      <c r="M58" s="1494"/>
      <c r="N58" s="1490"/>
      <c r="O58" s="1494"/>
      <c r="P58" s="1494"/>
      <c r="Q58" s="1494"/>
      <c r="R58" s="1494"/>
      <c r="S58" s="1494"/>
      <c r="T58" s="1490"/>
      <c r="U58" s="1494"/>
      <c r="V58" s="1494"/>
      <c r="W58" s="1494"/>
      <c r="X58" s="1494"/>
      <c r="Y58" s="1494"/>
      <c r="Z58" s="1490"/>
      <c r="AA58" s="1490"/>
      <c r="AB58" s="1490"/>
      <c r="AC58" s="1490"/>
      <c r="AD58" s="1490"/>
      <c r="AE58" s="1490"/>
      <c r="AF58" s="1490"/>
      <c r="AG58" s="1490"/>
      <c r="AH58" s="1490"/>
      <c r="AI58" s="1490"/>
      <c r="AJ58" s="1490"/>
      <c r="AK58" s="1490"/>
      <c r="AL58" s="1490"/>
      <c r="AM58" s="1490"/>
      <c r="AN58" s="1490"/>
      <c r="AO58" s="1490"/>
      <c r="AP58" s="1490"/>
      <c r="AQ58" s="1490"/>
      <c r="AR58" s="1490"/>
      <c r="AS58" s="1490"/>
      <c r="AT58" s="1490"/>
      <c r="AU58" s="1490"/>
      <c r="AV58" s="1490"/>
      <c r="AW58" s="1490"/>
      <c r="AX58" s="1490"/>
      <c r="AY58" s="1490"/>
      <c r="AZ58" s="1490"/>
      <c r="BA58" s="1490"/>
      <c r="BB58" s="1490"/>
      <c r="BC58" s="1490"/>
      <c r="BD58" s="1490"/>
      <c r="BE58" s="1490"/>
      <c r="BF58" s="1490"/>
      <c r="BG58" s="1490"/>
      <c r="BH58" s="1490"/>
      <c r="BI58" s="1490"/>
      <c r="BJ58" s="1490"/>
      <c r="BK58" s="1495">
        <f>'Geographic Detail'!BK120</f>
        <v>110.81800000000001</v>
      </c>
      <c r="BL58" s="1495">
        <f>'Geographic Detail'!BL120</f>
        <v>108.119</v>
      </c>
      <c r="BM58" s="1495">
        <f>'Geographic Detail'!BM120</f>
        <v>140.03800000000001</v>
      </c>
      <c r="BN58" s="1495">
        <f>'Geographic Detail'!BN120</f>
        <v>246.20100000000002</v>
      </c>
      <c r="BO58" s="1495">
        <f>'Geographic Detail'!BO120</f>
        <v>605.17599999999993</v>
      </c>
      <c r="BP58" s="1490"/>
      <c r="BQ58" s="1495">
        <f>'Geographic Detail'!BQ120</f>
        <v>107</v>
      </c>
      <c r="BR58" s="1495">
        <f>'Geographic Detail'!BR120</f>
        <v>137</v>
      </c>
      <c r="BS58" s="1495">
        <f>'Geographic Detail'!BS120</f>
        <v>140</v>
      </c>
      <c r="BT58" s="1495">
        <f>'Geographic Detail'!BT120</f>
        <v>231</v>
      </c>
      <c r="BU58" s="1495">
        <f>'Geographic Detail'!BU120</f>
        <v>615</v>
      </c>
      <c r="BV58" s="1495">
        <f>'Geographic Detail'!BV120</f>
        <v>0</v>
      </c>
      <c r="BW58" s="1495">
        <f>'Geographic Detail'!BW120</f>
        <v>69</v>
      </c>
      <c r="BX58" s="1495">
        <f>'Geographic Detail'!BX120</f>
        <v>215</v>
      </c>
      <c r="BY58" s="1495">
        <f>'Geographic Detail'!BY120</f>
        <v>152</v>
      </c>
      <c r="BZ58" s="1495">
        <f>'Geographic Detail'!BZ120</f>
        <v>350</v>
      </c>
      <c r="CA58" s="1495">
        <f>'Geographic Detail'!CA120</f>
        <v>786</v>
      </c>
      <c r="CB58" s="1490"/>
      <c r="CC58" s="1495">
        <f>'Geographic Detail'!CC120</f>
        <v>127</v>
      </c>
      <c r="CD58" s="1495">
        <f>'Geographic Detail'!CD120</f>
        <v>266</v>
      </c>
      <c r="CE58" s="1495">
        <f>'Geographic Detail'!CE120</f>
        <v>269</v>
      </c>
      <c r="CF58" s="1495">
        <f>'Geographic Detail'!CF120</f>
        <v>641</v>
      </c>
      <c r="CG58" s="1488">
        <f>'Geographic Detail'!CG120</f>
        <v>1302.4000000000001</v>
      </c>
      <c r="CH58" s="1490"/>
      <c r="CI58" s="1495">
        <f>'Geographic Detail'!CI120</f>
        <v>228</v>
      </c>
      <c r="CJ58" s="1495">
        <f>'Geographic Detail'!CJ120</f>
        <v>340</v>
      </c>
      <c r="CK58" s="1495">
        <f>'Geographic Detail'!CK120</f>
        <v>423</v>
      </c>
      <c r="CL58" s="1495">
        <f>'Geographic Detail'!CL120</f>
        <v>726</v>
      </c>
      <c r="CM58" s="1488">
        <f>'Geographic Detail'!CM120</f>
        <v>1717</v>
      </c>
      <c r="CN58" s="1490"/>
      <c r="CO58" s="1495">
        <f>'Geographic Detail'!CO120</f>
        <v>376</v>
      </c>
      <c r="CP58" s="1495">
        <f>'Geographic Detail'!CP120</f>
        <v>553</v>
      </c>
      <c r="CQ58" s="1495">
        <f>'Geographic Detail'!CQ120</f>
        <v>451</v>
      </c>
      <c r="CR58" s="1495">
        <f>'Geographic Detail'!CR120</f>
        <v>989</v>
      </c>
      <c r="CS58" s="1488">
        <f>'Geographic Detail'!CS120</f>
        <v>2369</v>
      </c>
      <c r="CT58" s="1490"/>
      <c r="CU58" s="1495">
        <f>'Geographic Detail'!CU120</f>
        <v>331</v>
      </c>
      <c r="CV58" s="1495">
        <f>'Geographic Detail'!CV120</f>
        <v>469</v>
      </c>
      <c r="CW58" s="1495">
        <f>'Geographic Detail'!CW120</f>
        <v>396</v>
      </c>
      <c r="CX58" s="1495">
        <f>'Geographic Detail'!CX120</f>
        <v>805</v>
      </c>
      <c r="CY58" s="1488">
        <f>'Geographic Detail'!CY120</f>
        <v>2000.9</v>
      </c>
      <c r="CZ58" s="1491"/>
      <c r="DA58" s="1495">
        <f>'Geographic Detail'!DA120</f>
        <v>317</v>
      </c>
      <c r="DB58" s="1495">
        <f>'Geographic Detail'!DB120</f>
        <v>478</v>
      </c>
      <c r="DC58" s="1495">
        <f>'Geographic Detail'!DC120</f>
        <v>477.4</v>
      </c>
      <c r="DD58" s="1495">
        <f>'Geographic Detail'!DD120</f>
        <v>855</v>
      </c>
      <c r="DE58" s="1488">
        <f>'Geographic Detail'!DE120</f>
        <v>2127</v>
      </c>
      <c r="DF58" s="1490"/>
      <c r="DG58" s="1495">
        <f>alrev _3c10</f>
        <v>349</v>
      </c>
      <c r="DH58" s="1495">
        <f>alrev _4c10</f>
        <v>579</v>
      </c>
      <c r="DI58" s="1495">
        <f>alrev _1c11</f>
        <v>639</v>
      </c>
      <c r="DJ58" s="1495">
        <f>alrev _2c11</f>
        <v>1042</v>
      </c>
      <c r="DK58" s="1488">
        <f>alrev _fy11</f>
        <v>2609</v>
      </c>
      <c r="DL58" s="1490"/>
      <c r="DM58" s="1495">
        <f>alrev _3c11</f>
        <v>428</v>
      </c>
      <c r="DN58" s="1495">
        <f>alrev _4c11</f>
        <v>569</v>
      </c>
      <c r="DO58" s="1495">
        <f>alrev _1c12</f>
        <v>658</v>
      </c>
      <c r="DP58" s="1495">
        <f>alrev _2c12</f>
        <v>1286</v>
      </c>
      <c r="DQ58" s="1488">
        <f>alrev _fy12</f>
        <v>2941</v>
      </c>
      <c r="DR58" s="1490"/>
      <c r="DS58" s="1495">
        <f>alrev _3c12</f>
        <v>609.89999999999986</v>
      </c>
      <c r="DT58" s="1495">
        <f>alrev _4c12</f>
        <v>873.31</v>
      </c>
      <c r="DU58" s="1495">
        <f>alrev _1c13</f>
        <v>646.19999999999982</v>
      </c>
      <c r="DV58" s="1495">
        <f>alrev _2c13</f>
        <v>1126.6899999999996</v>
      </c>
      <c r="DW58" s="1488">
        <f>alrev _fy13</f>
        <v>3256.0999999999995</v>
      </c>
      <c r="DX58" s="1490"/>
      <c r="DY58" s="1495">
        <f>alrev _3c13</f>
        <v>541.66899999999964</v>
      </c>
      <c r="DZ58" s="1495">
        <f>alrev _4c13</f>
        <v>813.68465000000015</v>
      </c>
      <c r="EA58" s="1495">
        <f>alrev _1c14</f>
        <v>613.07399999999961</v>
      </c>
      <c r="EB58" s="1495">
        <f>alrev _2c14</f>
        <v>1197.6493799999994</v>
      </c>
      <c r="EC58" s="1488">
        <f>alrev _fy14</f>
        <v>3166.0770299999986</v>
      </c>
      <c r="ED58" s="1490"/>
      <c r="EE58" s="1495">
        <f>Model!EE42</f>
        <v>635.90230999999972</v>
      </c>
      <c r="EF58" s="1495">
        <f>Model!EF42</f>
        <v>881.02149650000024</v>
      </c>
      <c r="EG58" s="1495">
        <f>Model!EG42</f>
        <v>603.35325999999964</v>
      </c>
      <c r="EH58" s="1495">
        <f>Model!EH42</f>
        <v>751.17639239999926</v>
      </c>
      <c r="EI58" s="1488">
        <f>Model!EI42</f>
        <v>2871.4534588999991</v>
      </c>
      <c r="EJ58" s="1490"/>
      <c r="EK58" s="1495">
        <f>Model!EK42</f>
        <v>570.06877534999967</v>
      </c>
      <c r="EL58" s="1495">
        <f>Model!EL42</f>
        <v>671.26617405250022</v>
      </c>
      <c r="EM58" s="1495">
        <f>Model!EM42</f>
        <v>536.98296109999956</v>
      </c>
      <c r="EN58" s="1495">
        <f>Model!EN42</f>
        <v>704.66374651399929</v>
      </c>
      <c r="EO58" s="1488">
        <f>Model!EO42</f>
        <v>2482.9816570164985</v>
      </c>
      <c r="EP58" s="1490"/>
      <c r="EQ58" s="1495">
        <f>Model!EQ42</f>
        <v>840.9627437197496</v>
      </c>
      <c r="ER58" s="1495">
        <f>Model!ER42</f>
        <v>743.11149753355016</v>
      </c>
      <c r="ES58" s="1495">
        <f>Model!ES42</f>
        <v>744.98253512749966</v>
      </c>
      <c r="ET58" s="1495">
        <f>Model!ET42</f>
        <v>1158.4837903162893</v>
      </c>
      <c r="EU58" s="1488">
        <f>Model!EU42</f>
        <v>3487.5405666970887</v>
      </c>
      <c r="EV58" s="1490"/>
      <c r="EW58" s="1495">
        <f>Model!EW42</f>
        <v>1300.5883025639534</v>
      </c>
      <c r="EX58" s="1495">
        <f>Model!EX42</f>
        <v>1088.658187385563</v>
      </c>
      <c r="EY58" s="1495">
        <f>Model!EY42</f>
        <v>877.8211379376994</v>
      </c>
      <c r="EZ58" s="1495">
        <f>Model!EZ42</f>
        <v>1198.4608850741965</v>
      </c>
      <c r="FA58" s="1488">
        <f>Model!FA42</f>
        <v>4465.5285129614122</v>
      </c>
      <c r="FB58" s="1490"/>
      <c r="FC58" s="1495">
        <f>Model!FC42</f>
        <v>1576.0998101280525</v>
      </c>
      <c r="FD58" s="1495">
        <f>Model!FD42</f>
        <v>1346.5696420702025</v>
      </c>
      <c r="FE58" s="1495">
        <f>Model!FE42</f>
        <v>1142.4666663861422</v>
      </c>
      <c r="FF58" s="1495">
        <f>Model!FF42</f>
        <v>1356.6702322010519</v>
      </c>
      <c r="FG58" s="1488">
        <f>Model!FG42</f>
        <v>5421.8063507854495</v>
      </c>
      <c r="FH58" s="1490"/>
      <c r="FI58" s="1495">
        <f>Model!FI42</f>
        <v>1897.712155381254</v>
      </c>
      <c r="FJ58" s="1495">
        <f>Model!FJ42</f>
        <v>1638.8862831219574</v>
      </c>
      <c r="FK58" s="1495">
        <f>Model!FK42</f>
        <v>1427.1280080457955</v>
      </c>
      <c r="FL58" s="1495">
        <f>Model!FL42</f>
        <v>1558.0779765060779</v>
      </c>
      <c r="FM58" s="1488">
        <f>Model!FM42</f>
        <v>6521.804423055085</v>
      </c>
      <c r="FQ58"/>
      <c r="FR58"/>
      <c r="FS58"/>
      <c r="FT58"/>
      <c r="FU58"/>
      <c r="FV58"/>
      <c r="GB58" s="24"/>
      <c r="GC58" s="24" t="s">
        <v>749</v>
      </c>
      <c r="GD58" s="24"/>
      <c r="GE58" s="24"/>
      <c r="GF58" s="24"/>
      <c r="GG58" s="24"/>
      <c r="GH58" s="24"/>
      <c r="GI58" s="24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</row>
    <row r="59" spans="1:274" s="27" customFormat="1" ht="12" hidden="1" customHeight="1" outlineLevel="1" x14ac:dyDescent="0.2">
      <c r="A59" s="344" t="s">
        <v>160</v>
      </c>
      <c r="B59" s="345"/>
      <c r="C59" s="943"/>
      <c r="D59" s="943"/>
      <c r="E59" s="943"/>
      <c r="F59" s="943"/>
      <c r="G59" s="943"/>
      <c r="H59" s="345"/>
      <c r="I59" s="943"/>
      <c r="J59" s="943"/>
      <c r="K59" s="943"/>
      <c r="L59" s="943"/>
      <c r="M59" s="943"/>
      <c r="N59" s="345"/>
      <c r="O59" s="37"/>
      <c r="P59" s="37"/>
      <c r="Q59" s="37"/>
      <c r="R59" s="37"/>
      <c r="S59" s="37"/>
      <c r="T59" s="345"/>
      <c r="U59" s="943"/>
      <c r="V59" s="943"/>
      <c r="W59" s="943"/>
      <c r="X59" s="943"/>
      <c r="Y59" s="943"/>
      <c r="Z59" s="345"/>
      <c r="AA59" s="943"/>
      <c r="AB59" s="943"/>
      <c r="AC59" s="943"/>
      <c r="AD59" s="943"/>
      <c r="AE59" s="943"/>
      <c r="AF59" s="345"/>
      <c r="AG59" s="943"/>
      <c r="AH59" s="943"/>
      <c r="AI59" s="943"/>
      <c r="AJ59" s="943"/>
      <c r="AK59" s="943"/>
      <c r="AL59" s="943"/>
      <c r="AM59" s="943"/>
      <c r="AN59" s="943"/>
      <c r="AO59" s="943"/>
      <c r="AP59" s="943"/>
      <c r="AQ59" s="943"/>
      <c r="AR59" s="345"/>
      <c r="AS59" s="943"/>
      <c r="AT59" s="943"/>
      <c r="AU59" s="943"/>
      <c r="AV59" s="943"/>
      <c r="AW59" s="943"/>
      <c r="AX59" s="345"/>
      <c r="AY59" s="943"/>
      <c r="AZ59" s="943"/>
      <c r="BA59" s="943"/>
      <c r="BB59" s="943"/>
      <c r="BC59" s="37"/>
      <c r="BD59" s="345"/>
      <c r="BE59" s="943"/>
      <c r="BF59" s="943"/>
      <c r="BG59" s="121"/>
      <c r="BH59" s="943"/>
      <c r="BI59" s="37"/>
      <c r="BJ59" s="345"/>
      <c r="BK59" s="943"/>
      <c r="BL59" s="943"/>
      <c r="BM59" s="943"/>
      <c r="BN59" s="943"/>
      <c r="BO59" s="37"/>
      <c r="BP59" s="345"/>
      <c r="BQ59" s="943"/>
      <c r="BR59" s="943"/>
      <c r="BS59" s="943"/>
      <c r="BT59" s="943"/>
      <c r="BU59" s="37">
        <f t="shared" ref="BU59:BU69" si="63">SUM(BQ59:BT59)</f>
        <v>0</v>
      </c>
      <c r="BV59" s="345"/>
      <c r="BW59" s="941"/>
      <c r="BX59" s="941"/>
      <c r="BY59" s="1313">
        <v>31</v>
      </c>
      <c r="BZ59" s="1445">
        <f>126-BY59</f>
        <v>95</v>
      </c>
      <c r="CA59" s="943">
        <f t="shared" ref="CA59:CA69" si="64">SUM(BW59:BZ59)</f>
        <v>126</v>
      </c>
      <c r="CB59" s="345"/>
      <c r="CC59" s="1445">
        <v>55</v>
      </c>
      <c r="CD59" s="1445">
        <v>66</v>
      </c>
      <c r="CE59" s="1445">
        <f>BY59+42</f>
        <v>73</v>
      </c>
      <c r="CF59" s="941"/>
      <c r="CG59" s="644">
        <f t="shared" ref="CG59:CG70" si="65">SUM(CC59:CF59)</f>
        <v>194</v>
      </c>
      <c r="CH59" s="345"/>
      <c r="CI59" s="941"/>
      <c r="CJ59" s="941"/>
      <c r="CK59" s="941"/>
      <c r="CL59" s="941"/>
      <c r="CM59" s="644">
        <f t="shared" ref="CM59:CM70" si="66">SUM(CI59:CL59)</f>
        <v>0</v>
      </c>
      <c r="CN59" s="345"/>
      <c r="CO59" s="941"/>
      <c r="CP59" s="941"/>
      <c r="CQ59" s="941"/>
      <c r="CR59" s="941"/>
      <c r="CS59" s="644">
        <f t="shared" ref="CS59:CS71" si="67">SUM(CO59:CR59)</f>
        <v>0</v>
      </c>
      <c r="CT59" s="345"/>
      <c r="CU59" s="941"/>
      <c r="CV59" s="941"/>
      <c r="CW59" s="941"/>
      <c r="CX59" s="941"/>
      <c r="CY59" s="644">
        <f t="shared" ref="CY59:CY94" si="68">SUM(CU59:CX59)</f>
        <v>0</v>
      </c>
      <c r="CZ59" s="86"/>
      <c r="DA59" s="941"/>
      <c r="DB59" s="941"/>
      <c r="DC59" s="941"/>
      <c r="DD59" s="941"/>
      <c r="DE59" s="644">
        <f t="shared" ref="DE59:DE94" si="69">SUM(DA59:DD59)</f>
        <v>0</v>
      </c>
      <c r="DF59" s="345"/>
      <c r="DG59" s="941"/>
      <c r="DH59" s="941"/>
      <c r="DI59" s="941"/>
      <c r="DJ59" s="1446"/>
      <c r="DK59" s="644">
        <f t="shared" ref="DK59:DK94" si="70">SUM(DG59:DJ59)</f>
        <v>0</v>
      </c>
      <c r="DL59" s="345"/>
      <c r="DM59" s="941"/>
      <c r="DN59" s="941"/>
      <c r="DO59" s="941"/>
      <c r="DP59" s="941"/>
      <c r="DQ59" s="644">
        <f t="shared" ref="DQ59:DQ94" si="71">SUM(DM59:DP59)</f>
        <v>0</v>
      </c>
      <c r="DR59" s="345"/>
      <c r="DS59" s="941"/>
      <c r="DT59" s="941"/>
      <c r="DU59" s="941"/>
      <c r="DV59" s="941"/>
      <c r="DW59" s="644">
        <f t="shared" ref="DW59:DW94" si="72">SUM(DS59:DV59)</f>
        <v>0</v>
      </c>
      <c r="DX59" s="345"/>
      <c r="DY59" s="941"/>
      <c r="DZ59" s="941"/>
      <c r="EA59" s="941"/>
      <c r="EB59" s="941"/>
      <c r="EC59" s="644">
        <f t="shared" ref="EC59:EC94" si="73">SUM(DY59:EB59)</f>
        <v>0</v>
      </c>
      <c r="ED59" s="345"/>
      <c r="EE59" s="941"/>
      <c r="EF59" s="941"/>
      <c r="EG59" s="941"/>
      <c r="EH59" s="941"/>
      <c r="EI59" s="644">
        <f t="shared" ref="EI59:EI94" si="74">SUM(EE59:EH59)</f>
        <v>0</v>
      </c>
      <c r="EJ59" s="345"/>
      <c r="EK59" s="941"/>
      <c r="EL59" s="941"/>
      <c r="EM59" s="941"/>
      <c r="EN59" s="941"/>
      <c r="EO59" s="644">
        <f t="shared" ref="EO59:EO94" si="75">SUM(EK59:EN59)</f>
        <v>0</v>
      </c>
      <c r="EP59" s="345"/>
      <c r="EQ59" s="941"/>
      <c r="ER59" s="941"/>
      <c r="ES59" s="941"/>
      <c r="ET59" s="941"/>
      <c r="EU59" s="644">
        <f t="shared" ref="EU59:EU94" si="76">SUM(EQ59:ET59)</f>
        <v>0</v>
      </c>
      <c r="EV59" s="345"/>
      <c r="EW59" s="941"/>
      <c r="EX59" s="941"/>
      <c r="EY59" s="941"/>
      <c r="EZ59" s="941"/>
      <c r="FA59" s="644">
        <f t="shared" ref="FA59:FA94" si="77">SUM(EW59:EZ59)</f>
        <v>0</v>
      </c>
      <c r="FB59" s="345"/>
      <c r="FC59" s="941"/>
      <c r="FD59" s="941"/>
      <c r="FE59" s="941"/>
      <c r="FF59" s="941"/>
      <c r="FG59" s="644">
        <f t="shared" ref="FG59:FG94" si="78">SUM(FC59:FF59)</f>
        <v>0</v>
      </c>
      <c r="FH59" s="345"/>
      <c r="FI59" s="941"/>
      <c r="FJ59" s="941"/>
      <c r="FK59" s="941"/>
      <c r="FL59" s="941"/>
      <c r="FM59" s="644">
        <f t="shared" ref="FM59:FM94" si="79">SUM(FI59:FL59)</f>
        <v>0</v>
      </c>
      <c r="FQ59"/>
      <c r="FR59"/>
      <c r="FS59"/>
      <c r="FT59"/>
      <c r="FU59"/>
      <c r="FV59"/>
      <c r="FY59" s="32" t="s">
        <v>109</v>
      </c>
      <c r="GB59" s="24"/>
      <c r="GC59" s="24" t="s">
        <v>1057</v>
      </c>
      <c r="GD59" s="24">
        <v>303</v>
      </c>
      <c r="GE59" s="24"/>
      <c r="GF59" s="24" t="s">
        <v>159</v>
      </c>
      <c r="GG59" s="24">
        <v>158</v>
      </c>
      <c r="GH59" s="24"/>
      <c r="GI59" s="24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</row>
    <row r="60" spans="1:274" s="27" customFormat="1" ht="12" hidden="1" customHeight="1" outlineLevel="1" x14ac:dyDescent="0.2">
      <c r="A60" s="344" t="s">
        <v>888</v>
      </c>
      <c r="B60" s="345"/>
      <c r="C60" s="943"/>
      <c r="D60" s="943"/>
      <c r="E60" s="943"/>
      <c r="F60" s="943"/>
      <c r="G60" s="943"/>
      <c r="H60" s="345"/>
      <c r="I60" s="943"/>
      <c r="J60" s="943"/>
      <c r="K60" s="943"/>
      <c r="L60" s="943"/>
      <c r="M60" s="943"/>
      <c r="N60" s="345"/>
      <c r="O60" s="37"/>
      <c r="P60" s="37"/>
      <c r="Q60" s="37"/>
      <c r="R60" s="37"/>
      <c r="S60" s="37"/>
      <c r="T60" s="345"/>
      <c r="U60" s="943"/>
      <c r="V60" s="943"/>
      <c r="W60" s="943"/>
      <c r="X60" s="943"/>
      <c r="Y60" s="943"/>
      <c r="Z60" s="345"/>
      <c r="AA60" s="943"/>
      <c r="AB60" s="943"/>
      <c r="AC60" s="943"/>
      <c r="AD60" s="943"/>
      <c r="AE60" s="943"/>
      <c r="AF60" s="345"/>
      <c r="AG60" s="943"/>
      <c r="AH60" s="943"/>
      <c r="AI60" s="943"/>
      <c r="AJ60" s="943"/>
      <c r="AK60" s="943"/>
      <c r="AL60" s="943"/>
      <c r="AM60" s="943"/>
      <c r="AN60" s="943"/>
      <c r="AO60" s="943"/>
      <c r="AP60" s="943"/>
      <c r="AQ60" s="943"/>
      <c r="AR60" s="345"/>
      <c r="AS60" s="943"/>
      <c r="AT60" s="943"/>
      <c r="AU60" s="943"/>
      <c r="AV60" s="943"/>
      <c r="AW60" s="943"/>
      <c r="AX60" s="345"/>
      <c r="AY60" s="943"/>
      <c r="AZ60" s="943"/>
      <c r="BA60" s="943"/>
      <c r="BB60" s="943"/>
      <c r="BC60" s="943"/>
      <c r="BD60" s="345"/>
      <c r="BE60" s="943"/>
      <c r="BF60" s="943"/>
      <c r="BG60" s="943"/>
      <c r="BH60" s="943"/>
      <c r="BI60" s="943"/>
      <c r="BJ60" s="345"/>
      <c r="BK60" s="943"/>
      <c r="BL60" s="943"/>
      <c r="BM60" s="943"/>
      <c r="BN60" s="943"/>
      <c r="BO60" s="943"/>
      <c r="BP60" s="345"/>
      <c r="BQ60" s="943"/>
      <c r="BR60" s="943"/>
      <c r="BS60" s="943"/>
      <c r="BT60" s="943"/>
      <c r="BU60" s="37">
        <f t="shared" si="63"/>
        <v>0</v>
      </c>
      <c r="BV60" s="345"/>
      <c r="BW60" s="941"/>
      <c r="BX60" s="941"/>
      <c r="BY60" s="941"/>
      <c r="BZ60" s="1445">
        <v>10</v>
      </c>
      <c r="CA60" s="37">
        <f t="shared" si="64"/>
        <v>10</v>
      </c>
      <c r="CB60" s="345"/>
      <c r="CC60" s="1445">
        <v>15</v>
      </c>
      <c r="CD60" s="1445">
        <v>15</v>
      </c>
      <c r="CE60" s="1445">
        <v>20</v>
      </c>
      <c r="CF60" s="1445">
        <v>16</v>
      </c>
      <c r="CG60" s="557">
        <f t="shared" si="65"/>
        <v>66</v>
      </c>
      <c r="CH60" s="345"/>
      <c r="CI60" s="941"/>
      <c r="CJ60" s="941"/>
      <c r="CK60" s="941"/>
      <c r="CL60" s="941"/>
      <c r="CM60" s="557">
        <f t="shared" si="66"/>
        <v>0</v>
      </c>
      <c r="CN60" s="345"/>
      <c r="CO60" s="941"/>
      <c r="CP60" s="941"/>
      <c r="CQ60" s="941"/>
      <c r="CR60" s="941"/>
      <c r="CS60" s="557">
        <f t="shared" si="67"/>
        <v>0</v>
      </c>
      <c r="CT60" s="345"/>
      <c r="CU60" s="941"/>
      <c r="CV60" s="941"/>
      <c r="CW60" s="941"/>
      <c r="CX60" s="941"/>
      <c r="CY60" s="557">
        <f t="shared" si="68"/>
        <v>0</v>
      </c>
      <c r="CZ60" s="86"/>
      <c r="DA60" s="941"/>
      <c r="DB60" s="941"/>
      <c r="DC60" s="941"/>
      <c r="DD60" s="941"/>
      <c r="DE60" s="557">
        <f t="shared" si="69"/>
        <v>0</v>
      </c>
      <c r="DF60" s="345"/>
      <c r="DG60" s="941"/>
      <c r="DH60" s="941"/>
      <c r="DI60" s="941"/>
      <c r="DJ60" s="1446"/>
      <c r="DK60" s="557">
        <f t="shared" si="70"/>
        <v>0</v>
      </c>
      <c r="DL60" s="345"/>
      <c r="DM60" s="941"/>
      <c r="DN60" s="941"/>
      <c r="DO60" s="941"/>
      <c r="DP60" s="941"/>
      <c r="DQ60" s="557">
        <f t="shared" si="71"/>
        <v>0</v>
      </c>
      <c r="DR60" s="345"/>
      <c r="DS60" s="941"/>
      <c r="DT60" s="941"/>
      <c r="DU60" s="941"/>
      <c r="DV60" s="941"/>
      <c r="DW60" s="557">
        <f t="shared" si="72"/>
        <v>0</v>
      </c>
      <c r="DX60" s="345"/>
      <c r="DY60" s="941"/>
      <c r="DZ60" s="941"/>
      <c r="EA60" s="941"/>
      <c r="EB60" s="941"/>
      <c r="EC60" s="557">
        <f t="shared" si="73"/>
        <v>0</v>
      </c>
      <c r="ED60" s="345"/>
      <c r="EE60" s="941"/>
      <c r="EF60" s="941"/>
      <c r="EG60" s="941"/>
      <c r="EH60" s="941"/>
      <c r="EI60" s="557">
        <f t="shared" si="74"/>
        <v>0</v>
      </c>
      <c r="EJ60" s="345"/>
      <c r="EK60" s="941"/>
      <c r="EL60" s="941"/>
      <c r="EM60" s="941"/>
      <c r="EN60" s="941"/>
      <c r="EO60" s="557">
        <f t="shared" si="75"/>
        <v>0</v>
      </c>
      <c r="EP60" s="345"/>
      <c r="EQ60" s="941"/>
      <c r="ER60" s="941"/>
      <c r="ES60" s="941"/>
      <c r="ET60" s="941"/>
      <c r="EU60" s="557">
        <f t="shared" si="76"/>
        <v>0</v>
      </c>
      <c r="EV60" s="345"/>
      <c r="EW60" s="941"/>
      <c r="EX60" s="941"/>
      <c r="EY60" s="941"/>
      <c r="EZ60" s="941"/>
      <c r="FA60" s="557">
        <f t="shared" si="77"/>
        <v>0</v>
      </c>
      <c r="FB60" s="345"/>
      <c r="FC60" s="941"/>
      <c r="FD60" s="941"/>
      <c r="FE60" s="941"/>
      <c r="FF60" s="941"/>
      <c r="FG60" s="557">
        <f t="shared" si="78"/>
        <v>0</v>
      </c>
      <c r="FH60" s="345"/>
      <c r="FI60" s="941"/>
      <c r="FJ60" s="941"/>
      <c r="FK60" s="941"/>
      <c r="FL60" s="941"/>
      <c r="FM60" s="557">
        <f t="shared" si="79"/>
        <v>0</v>
      </c>
      <c r="FQ60"/>
      <c r="FR60"/>
      <c r="FS60"/>
      <c r="FT60"/>
      <c r="FU60"/>
      <c r="FV60"/>
      <c r="FY60" s="27" t="s">
        <v>1057</v>
      </c>
      <c r="FZ60" s="27">
        <f>52-GA60</f>
        <v>29</v>
      </c>
      <c r="GA60" s="27">
        <v>23</v>
      </c>
      <c r="GB60" s="24"/>
      <c r="GC60" s="24" t="s">
        <v>157</v>
      </c>
      <c r="GD60" s="24">
        <v>38</v>
      </c>
      <c r="GE60" s="24"/>
      <c r="GF60" s="24" t="s">
        <v>62</v>
      </c>
      <c r="GG60" s="24">
        <v>16</v>
      </c>
      <c r="GH60" s="24"/>
      <c r="GI60" s="24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</row>
    <row r="61" spans="1:274" s="27" customFormat="1" ht="12" hidden="1" customHeight="1" outlineLevel="1" x14ac:dyDescent="0.2">
      <c r="A61" s="344" t="s">
        <v>63</v>
      </c>
      <c r="B61" s="345"/>
      <c r="C61" s="943"/>
      <c r="D61" s="943"/>
      <c r="E61" s="943"/>
      <c r="F61" s="943"/>
      <c r="G61" s="943"/>
      <c r="H61" s="345"/>
      <c r="I61" s="943"/>
      <c r="J61" s="943"/>
      <c r="K61" s="943"/>
      <c r="L61" s="943"/>
      <c r="M61" s="943"/>
      <c r="N61" s="345"/>
      <c r="O61" s="37"/>
      <c r="P61" s="37"/>
      <c r="Q61" s="37"/>
      <c r="R61" s="37"/>
      <c r="S61" s="37"/>
      <c r="T61" s="345"/>
      <c r="U61" s="943"/>
      <c r="V61" s="943"/>
      <c r="W61" s="943"/>
      <c r="X61" s="943"/>
      <c r="Y61" s="943"/>
      <c r="Z61" s="345"/>
      <c r="AA61" s="943"/>
      <c r="AB61" s="943"/>
      <c r="AC61" s="943"/>
      <c r="AD61" s="943"/>
      <c r="AE61" s="943"/>
      <c r="AF61" s="345"/>
      <c r="AG61" s="943"/>
      <c r="AH61" s="943"/>
      <c r="AI61" s="943"/>
      <c r="AJ61" s="943"/>
      <c r="AK61" s="943"/>
      <c r="AL61" s="943"/>
      <c r="AM61" s="943"/>
      <c r="AN61" s="943"/>
      <c r="AO61" s="943"/>
      <c r="AP61" s="943"/>
      <c r="AQ61" s="943"/>
      <c r="AR61" s="345"/>
      <c r="AS61" s="943"/>
      <c r="AT61" s="943"/>
      <c r="AU61" s="943"/>
      <c r="AV61" s="943"/>
      <c r="AW61" s="943"/>
      <c r="AX61" s="345"/>
      <c r="AY61" s="943"/>
      <c r="AZ61" s="943"/>
      <c r="BA61" s="943"/>
      <c r="BB61" s="943"/>
      <c r="BC61" s="943"/>
      <c r="BD61" s="345"/>
      <c r="BE61" s="943"/>
      <c r="BF61" s="943"/>
      <c r="BG61" s="943"/>
      <c r="BH61" s="943"/>
      <c r="BI61" s="943"/>
      <c r="BJ61" s="345"/>
      <c r="BK61" s="943"/>
      <c r="BL61" s="943"/>
      <c r="BM61" s="943"/>
      <c r="BN61" s="943"/>
      <c r="BO61" s="943"/>
      <c r="BP61" s="345"/>
      <c r="BQ61" s="943"/>
      <c r="BR61" s="943"/>
      <c r="BS61" s="943"/>
      <c r="BT61" s="943"/>
      <c r="BU61" s="37">
        <f t="shared" si="63"/>
        <v>0</v>
      </c>
      <c r="BV61" s="345"/>
      <c r="BW61" s="941"/>
      <c r="BX61" s="941"/>
      <c r="BY61" s="941"/>
      <c r="BZ61" s="1445"/>
      <c r="CA61" s="37">
        <f t="shared" si="64"/>
        <v>0</v>
      </c>
      <c r="CB61" s="345"/>
      <c r="CC61" s="1445">
        <v>0</v>
      </c>
      <c r="CD61" s="1445">
        <v>0</v>
      </c>
      <c r="CE61" s="1445">
        <v>0</v>
      </c>
      <c r="CF61" s="1445">
        <v>0</v>
      </c>
      <c r="CG61" s="557">
        <f t="shared" si="65"/>
        <v>0</v>
      </c>
      <c r="CH61" s="345"/>
      <c r="CI61" s="941"/>
      <c r="CJ61" s="941"/>
      <c r="CK61" s="941"/>
      <c r="CL61" s="941"/>
      <c r="CM61" s="557">
        <f t="shared" si="66"/>
        <v>0</v>
      </c>
      <c r="CN61" s="345"/>
      <c r="CO61" s="941"/>
      <c r="CP61" s="941"/>
      <c r="CQ61" s="941"/>
      <c r="CR61" s="941"/>
      <c r="CS61" s="557">
        <f t="shared" si="67"/>
        <v>0</v>
      </c>
      <c r="CT61" s="345"/>
      <c r="CU61" s="941"/>
      <c r="CV61" s="941"/>
      <c r="CW61" s="941"/>
      <c r="CX61" s="941"/>
      <c r="CY61" s="557">
        <f t="shared" si="68"/>
        <v>0</v>
      </c>
      <c r="CZ61" s="86"/>
      <c r="DA61" s="941"/>
      <c r="DB61" s="941"/>
      <c r="DC61" s="941"/>
      <c r="DD61" s="941"/>
      <c r="DE61" s="557">
        <f t="shared" si="69"/>
        <v>0</v>
      </c>
      <c r="DF61" s="345"/>
      <c r="DG61" s="941"/>
      <c r="DH61" s="941"/>
      <c r="DI61" s="941"/>
      <c r="DJ61" s="1446"/>
      <c r="DK61" s="557">
        <f t="shared" si="70"/>
        <v>0</v>
      </c>
      <c r="DL61" s="345"/>
      <c r="DM61" s="941"/>
      <c r="DN61" s="941"/>
      <c r="DO61" s="941"/>
      <c r="DP61" s="941"/>
      <c r="DQ61" s="557">
        <f t="shared" si="71"/>
        <v>0</v>
      </c>
      <c r="DR61" s="345"/>
      <c r="DS61" s="941"/>
      <c r="DT61" s="941"/>
      <c r="DU61" s="941"/>
      <c r="DV61" s="941"/>
      <c r="DW61" s="557">
        <f t="shared" si="72"/>
        <v>0</v>
      </c>
      <c r="DX61" s="345"/>
      <c r="DY61" s="941"/>
      <c r="DZ61" s="941"/>
      <c r="EA61" s="941"/>
      <c r="EB61" s="941"/>
      <c r="EC61" s="557">
        <f t="shared" si="73"/>
        <v>0</v>
      </c>
      <c r="ED61" s="345"/>
      <c r="EE61" s="941"/>
      <c r="EF61" s="941"/>
      <c r="EG61" s="941"/>
      <c r="EH61" s="941"/>
      <c r="EI61" s="557">
        <f t="shared" si="74"/>
        <v>0</v>
      </c>
      <c r="EJ61" s="345"/>
      <c r="EK61" s="941"/>
      <c r="EL61" s="941"/>
      <c r="EM61" s="941"/>
      <c r="EN61" s="941"/>
      <c r="EO61" s="557">
        <f t="shared" si="75"/>
        <v>0</v>
      </c>
      <c r="EP61" s="345"/>
      <c r="EQ61" s="941"/>
      <c r="ER61" s="941"/>
      <c r="ES61" s="941"/>
      <c r="ET61" s="941"/>
      <c r="EU61" s="557">
        <f t="shared" si="76"/>
        <v>0</v>
      </c>
      <c r="EV61" s="345"/>
      <c r="EW61" s="941"/>
      <c r="EX61" s="941"/>
      <c r="EY61" s="941"/>
      <c r="EZ61" s="941"/>
      <c r="FA61" s="557">
        <f t="shared" si="77"/>
        <v>0</v>
      </c>
      <c r="FB61" s="345"/>
      <c r="FC61" s="941"/>
      <c r="FD61" s="941"/>
      <c r="FE61" s="941"/>
      <c r="FF61" s="941"/>
      <c r="FG61" s="557">
        <f t="shared" si="78"/>
        <v>0</v>
      </c>
      <c r="FH61" s="345"/>
      <c r="FI61" s="941"/>
      <c r="FJ61" s="941"/>
      <c r="FK61" s="941"/>
      <c r="FL61" s="941"/>
      <c r="FM61" s="557">
        <f t="shared" si="79"/>
        <v>0</v>
      </c>
      <c r="FQ61"/>
      <c r="FR61"/>
      <c r="FS61"/>
      <c r="FT61"/>
      <c r="FU61"/>
      <c r="FV61"/>
      <c r="GB61" s="24"/>
      <c r="GC61" s="24" t="s">
        <v>57</v>
      </c>
      <c r="GD61" s="24">
        <v>38</v>
      </c>
      <c r="GE61" s="24"/>
      <c r="GF61" s="24"/>
      <c r="GG61" s="24"/>
      <c r="GH61" s="24"/>
      <c r="GI61" s="24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</row>
    <row r="62" spans="1:274" s="27" customFormat="1" ht="12" hidden="1" customHeight="1" outlineLevel="1" x14ac:dyDescent="0.2">
      <c r="A62" s="344" t="s">
        <v>64</v>
      </c>
      <c r="B62" s="345"/>
      <c r="C62" s="943"/>
      <c r="D62" s="943"/>
      <c r="E62" s="943"/>
      <c r="F62" s="943"/>
      <c r="G62" s="943"/>
      <c r="H62" s="345"/>
      <c r="I62" s="943"/>
      <c r="J62" s="943"/>
      <c r="K62" s="943"/>
      <c r="L62" s="943"/>
      <c r="M62" s="943"/>
      <c r="N62" s="345"/>
      <c r="O62" s="37"/>
      <c r="P62" s="37"/>
      <c r="Q62" s="37"/>
      <c r="R62" s="37"/>
      <c r="S62" s="37"/>
      <c r="T62" s="345"/>
      <c r="U62" s="943"/>
      <c r="V62" s="943"/>
      <c r="W62" s="943"/>
      <c r="X62" s="943"/>
      <c r="Y62" s="943"/>
      <c r="Z62" s="345"/>
      <c r="AA62" s="943"/>
      <c r="AB62" s="943"/>
      <c r="AC62" s="943"/>
      <c r="AD62" s="943"/>
      <c r="AE62" s="943"/>
      <c r="AF62" s="345"/>
      <c r="AG62" s="943"/>
      <c r="AH62" s="943"/>
      <c r="AI62" s="943"/>
      <c r="AJ62" s="943"/>
      <c r="AK62" s="943"/>
      <c r="AL62" s="943"/>
      <c r="AM62" s="943"/>
      <c r="AN62" s="943"/>
      <c r="AO62" s="943"/>
      <c r="AP62" s="943"/>
      <c r="AQ62" s="943"/>
      <c r="AR62" s="345"/>
      <c r="AS62" s="943"/>
      <c r="AT62" s="943"/>
      <c r="AU62" s="943"/>
      <c r="AV62" s="943"/>
      <c r="AW62" s="943"/>
      <c r="AX62" s="345"/>
      <c r="AY62" s="943"/>
      <c r="AZ62" s="943"/>
      <c r="BA62" s="943"/>
      <c r="BB62" s="943"/>
      <c r="BC62" s="943"/>
      <c r="BD62" s="345"/>
      <c r="BE62" s="943"/>
      <c r="BF62" s="943"/>
      <c r="BG62" s="943"/>
      <c r="BH62" s="943"/>
      <c r="BI62" s="943"/>
      <c r="BJ62" s="345"/>
      <c r="BK62" s="943"/>
      <c r="BL62" s="943"/>
      <c r="BM62" s="943"/>
      <c r="BN62" s="943"/>
      <c r="BO62" s="943"/>
      <c r="BP62" s="345"/>
      <c r="BQ62" s="943"/>
      <c r="BR62" s="943"/>
      <c r="BS62" s="943"/>
      <c r="BT62" s="943"/>
      <c r="BU62" s="37">
        <f t="shared" si="63"/>
        <v>0</v>
      </c>
      <c r="BV62" s="345"/>
      <c r="BW62" s="941"/>
      <c r="BX62" s="941"/>
      <c r="BY62" s="941"/>
      <c r="BZ62" s="1445"/>
      <c r="CA62" s="37">
        <f t="shared" si="64"/>
        <v>0</v>
      </c>
      <c r="CB62" s="345"/>
      <c r="CC62" s="1445"/>
      <c r="CD62" s="1445"/>
      <c r="CE62" s="1445">
        <v>21</v>
      </c>
      <c r="CF62" s="1445">
        <v>82</v>
      </c>
      <c r="CG62" s="557">
        <f t="shared" si="65"/>
        <v>103</v>
      </c>
      <c r="CH62" s="345"/>
      <c r="CI62" s="1445">
        <v>32</v>
      </c>
      <c r="CJ62" s="1445">
        <v>59</v>
      </c>
      <c r="CK62" s="1445">
        <v>40</v>
      </c>
      <c r="CL62" s="941"/>
      <c r="CM62" s="557">
        <f t="shared" si="66"/>
        <v>131</v>
      </c>
      <c r="CN62" s="345"/>
      <c r="CO62" s="941"/>
      <c r="CP62" s="941"/>
      <c r="CQ62" s="941"/>
      <c r="CR62" s="941"/>
      <c r="CS62" s="557">
        <f t="shared" si="67"/>
        <v>0</v>
      </c>
      <c r="CT62" s="345"/>
      <c r="CU62" s="941"/>
      <c r="CV62" s="941"/>
      <c r="CW62" s="941"/>
      <c r="CX62" s="941"/>
      <c r="CY62" s="557">
        <f t="shared" si="68"/>
        <v>0</v>
      </c>
      <c r="CZ62" s="86"/>
      <c r="DA62" s="941"/>
      <c r="DB62" s="941"/>
      <c r="DC62" s="941"/>
      <c r="DD62" s="941"/>
      <c r="DE62" s="557">
        <f t="shared" si="69"/>
        <v>0</v>
      </c>
      <c r="DF62" s="345"/>
      <c r="DG62" s="941"/>
      <c r="DH62" s="941"/>
      <c r="DI62" s="941"/>
      <c r="DJ62" s="1446"/>
      <c r="DK62" s="557">
        <f t="shared" si="70"/>
        <v>0</v>
      </c>
      <c r="DL62" s="345"/>
      <c r="DM62" s="941"/>
      <c r="DN62" s="941"/>
      <c r="DO62" s="941"/>
      <c r="DP62" s="941"/>
      <c r="DQ62" s="557">
        <f t="shared" si="71"/>
        <v>0</v>
      </c>
      <c r="DR62" s="345"/>
      <c r="DS62" s="941"/>
      <c r="DT62" s="941"/>
      <c r="DU62" s="941"/>
      <c r="DV62" s="941"/>
      <c r="DW62" s="557">
        <f t="shared" si="72"/>
        <v>0</v>
      </c>
      <c r="DX62" s="345"/>
      <c r="DY62" s="941"/>
      <c r="DZ62" s="941"/>
      <c r="EA62" s="941"/>
      <c r="EB62" s="941"/>
      <c r="EC62" s="557">
        <f t="shared" si="73"/>
        <v>0</v>
      </c>
      <c r="ED62" s="345"/>
      <c r="EE62" s="941"/>
      <c r="EF62" s="941"/>
      <c r="EG62" s="941"/>
      <c r="EH62" s="941"/>
      <c r="EI62" s="557">
        <f t="shared" si="74"/>
        <v>0</v>
      </c>
      <c r="EJ62" s="345"/>
      <c r="EK62" s="941"/>
      <c r="EL62" s="941"/>
      <c r="EM62" s="941"/>
      <c r="EN62" s="941"/>
      <c r="EO62" s="557">
        <f t="shared" si="75"/>
        <v>0</v>
      </c>
      <c r="EP62" s="345"/>
      <c r="EQ62" s="941"/>
      <c r="ER62" s="941"/>
      <c r="ES62" s="941"/>
      <c r="ET62" s="941"/>
      <c r="EU62" s="557">
        <f t="shared" si="76"/>
        <v>0</v>
      </c>
      <c r="EV62" s="345"/>
      <c r="EW62" s="941"/>
      <c r="EX62" s="941"/>
      <c r="EY62" s="941"/>
      <c r="EZ62" s="941"/>
      <c r="FA62" s="557">
        <f t="shared" si="77"/>
        <v>0</v>
      </c>
      <c r="FB62" s="345"/>
      <c r="FC62" s="941"/>
      <c r="FD62" s="941"/>
      <c r="FE62" s="941"/>
      <c r="FF62" s="941"/>
      <c r="FG62" s="557">
        <f t="shared" si="78"/>
        <v>0</v>
      </c>
      <c r="FH62" s="345"/>
      <c r="FI62" s="941"/>
      <c r="FJ62" s="941"/>
      <c r="FK62" s="941"/>
      <c r="FL62" s="941"/>
      <c r="FM62" s="557">
        <f t="shared" si="79"/>
        <v>0</v>
      </c>
      <c r="FQ62"/>
      <c r="FR62"/>
      <c r="FS62"/>
      <c r="FT62"/>
      <c r="FU62"/>
      <c r="FV62"/>
      <c r="FY62" s="27" t="s">
        <v>788</v>
      </c>
      <c r="GB62" s="24"/>
      <c r="GC62" s="24" t="s">
        <v>50</v>
      </c>
      <c r="GD62" s="24">
        <v>30</v>
      </c>
      <c r="GE62" s="24"/>
      <c r="GF62" s="24"/>
      <c r="GG62" s="24"/>
      <c r="GH62" s="24"/>
      <c r="GI62" s="24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</row>
    <row r="63" spans="1:274" s="27" customFormat="1" ht="12" hidden="1" customHeight="1" outlineLevel="1" x14ac:dyDescent="0.2">
      <c r="A63" s="344" t="s">
        <v>143</v>
      </c>
      <c r="B63" s="345"/>
      <c r="C63" s="943"/>
      <c r="D63" s="943"/>
      <c r="E63" s="943"/>
      <c r="F63" s="943"/>
      <c r="G63" s="943"/>
      <c r="H63" s="345"/>
      <c r="I63" s="943"/>
      <c r="J63" s="943"/>
      <c r="K63" s="943"/>
      <c r="L63" s="943"/>
      <c r="M63" s="943"/>
      <c r="N63" s="345"/>
      <c r="O63" s="37"/>
      <c r="P63" s="37"/>
      <c r="Q63" s="37"/>
      <c r="R63" s="37"/>
      <c r="S63" s="37"/>
      <c r="T63" s="345"/>
      <c r="U63" s="943"/>
      <c r="V63" s="943"/>
      <c r="W63" s="943"/>
      <c r="X63" s="943"/>
      <c r="Y63" s="943"/>
      <c r="Z63" s="345"/>
      <c r="AA63" s="943"/>
      <c r="AB63" s="943"/>
      <c r="AC63" s="943"/>
      <c r="AD63" s="943"/>
      <c r="AE63" s="943"/>
      <c r="AF63" s="345"/>
      <c r="AG63" s="943"/>
      <c r="AH63" s="943"/>
      <c r="AI63" s="943"/>
      <c r="AJ63" s="943"/>
      <c r="AK63" s="943"/>
      <c r="AL63" s="943"/>
      <c r="AM63" s="943"/>
      <c r="AN63" s="943"/>
      <c r="AO63" s="943"/>
      <c r="AP63" s="943"/>
      <c r="AQ63" s="943"/>
      <c r="AR63" s="345"/>
      <c r="AS63" s="943"/>
      <c r="AT63" s="943"/>
      <c r="AU63" s="943"/>
      <c r="AV63" s="943"/>
      <c r="AW63" s="943"/>
      <c r="AX63" s="345"/>
      <c r="AY63" s="943"/>
      <c r="AZ63" s="943"/>
      <c r="BA63" s="943"/>
      <c r="BB63" s="943"/>
      <c r="BC63" s="943"/>
      <c r="BD63" s="345"/>
      <c r="BE63" s="943"/>
      <c r="BF63" s="943"/>
      <c r="BG63" s="943"/>
      <c r="BH63" s="943"/>
      <c r="BI63" s="943"/>
      <c r="BJ63" s="345"/>
      <c r="BK63" s="943"/>
      <c r="BL63" s="943"/>
      <c r="BM63" s="943"/>
      <c r="BN63" s="943"/>
      <c r="BO63" s="943"/>
      <c r="BP63" s="345"/>
      <c r="BQ63" s="943"/>
      <c r="BR63" s="943"/>
      <c r="BS63" s="943"/>
      <c r="BT63" s="943"/>
      <c r="BU63" s="37">
        <f t="shared" si="63"/>
        <v>0</v>
      </c>
      <c r="BV63" s="345"/>
      <c r="BW63" s="941"/>
      <c r="BX63" s="941"/>
      <c r="BY63" s="941"/>
      <c r="BZ63" s="1445"/>
      <c r="CA63" s="37">
        <f t="shared" si="64"/>
        <v>0</v>
      </c>
      <c r="CB63" s="345"/>
      <c r="CC63" s="1445"/>
      <c r="CD63" s="1445"/>
      <c r="CE63" s="1445"/>
      <c r="CF63" s="1445"/>
      <c r="CG63" s="557">
        <f t="shared" si="65"/>
        <v>0</v>
      </c>
      <c r="CH63" s="345"/>
      <c r="CI63" s="1445">
        <v>8.6999999999999993</v>
      </c>
      <c r="CJ63" s="1445">
        <v>11</v>
      </c>
      <c r="CK63" s="1445">
        <v>14</v>
      </c>
      <c r="CL63" s="941">
        <v>16</v>
      </c>
      <c r="CM63" s="557">
        <f t="shared" si="66"/>
        <v>49.7</v>
      </c>
      <c r="CN63" s="345"/>
      <c r="CO63" s="941"/>
      <c r="CP63" s="941"/>
      <c r="CQ63" s="941"/>
      <c r="CR63" s="941"/>
      <c r="CS63" s="557">
        <f t="shared" si="67"/>
        <v>0</v>
      </c>
      <c r="CT63" s="345"/>
      <c r="CU63" s="941"/>
      <c r="CV63" s="941"/>
      <c r="CW63" s="941"/>
      <c r="CX63" s="941"/>
      <c r="CY63" s="557">
        <f t="shared" si="68"/>
        <v>0</v>
      </c>
      <c r="CZ63" s="86"/>
      <c r="DA63" s="941"/>
      <c r="DB63" s="941"/>
      <c r="DC63" s="941"/>
      <c r="DD63" s="941"/>
      <c r="DE63" s="557">
        <f t="shared" si="69"/>
        <v>0</v>
      </c>
      <c r="DF63" s="345"/>
      <c r="DG63" s="941"/>
      <c r="DH63" s="941"/>
      <c r="DI63" s="941"/>
      <c r="DJ63" s="1446"/>
      <c r="DK63" s="557">
        <f t="shared" si="70"/>
        <v>0</v>
      </c>
      <c r="DL63" s="345"/>
      <c r="DM63" s="941"/>
      <c r="DN63" s="941"/>
      <c r="DO63" s="941"/>
      <c r="DP63" s="941"/>
      <c r="DQ63" s="557">
        <f t="shared" si="71"/>
        <v>0</v>
      </c>
      <c r="DR63" s="345"/>
      <c r="DS63" s="941"/>
      <c r="DT63" s="941"/>
      <c r="DU63" s="941"/>
      <c r="DV63" s="941"/>
      <c r="DW63" s="557">
        <f t="shared" si="72"/>
        <v>0</v>
      </c>
      <c r="DX63" s="345"/>
      <c r="DY63" s="941"/>
      <c r="DZ63" s="941"/>
      <c r="EA63" s="941"/>
      <c r="EB63" s="941"/>
      <c r="EC63" s="557">
        <f t="shared" si="73"/>
        <v>0</v>
      </c>
      <c r="ED63" s="345"/>
      <c r="EE63" s="941"/>
      <c r="EF63" s="941"/>
      <c r="EG63" s="941"/>
      <c r="EH63" s="941"/>
      <c r="EI63" s="557">
        <f t="shared" si="74"/>
        <v>0</v>
      </c>
      <c r="EJ63" s="345"/>
      <c r="EK63" s="941"/>
      <c r="EL63" s="941"/>
      <c r="EM63" s="941"/>
      <c r="EN63" s="941"/>
      <c r="EO63" s="557">
        <f t="shared" si="75"/>
        <v>0</v>
      </c>
      <c r="EP63" s="345"/>
      <c r="EQ63" s="941"/>
      <c r="ER63" s="941"/>
      <c r="ES63" s="941"/>
      <c r="ET63" s="941"/>
      <c r="EU63" s="557">
        <f t="shared" si="76"/>
        <v>0</v>
      </c>
      <c r="EV63" s="345"/>
      <c r="EW63" s="941"/>
      <c r="EX63" s="941"/>
      <c r="EY63" s="941"/>
      <c r="EZ63" s="941"/>
      <c r="FA63" s="557">
        <f t="shared" si="77"/>
        <v>0</v>
      </c>
      <c r="FB63" s="345"/>
      <c r="FC63" s="941"/>
      <c r="FD63" s="941"/>
      <c r="FE63" s="941"/>
      <c r="FF63" s="941"/>
      <c r="FG63" s="557">
        <f t="shared" si="78"/>
        <v>0</v>
      </c>
      <c r="FH63" s="345"/>
      <c r="FI63" s="941"/>
      <c r="FJ63" s="941"/>
      <c r="FK63" s="941"/>
      <c r="FL63" s="941"/>
      <c r="FM63" s="557">
        <f t="shared" si="79"/>
        <v>0</v>
      </c>
      <c r="FQ63"/>
      <c r="FR63"/>
      <c r="FS63"/>
      <c r="FT63"/>
      <c r="FU63"/>
      <c r="FV63"/>
      <c r="FY63" s="27" t="s">
        <v>57</v>
      </c>
      <c r="FZ63" s="27">
        <f>20-GA63</f>
        <v>7</v>
      </c>
      <c r="GA63" s="27">
        <v>13</v>
      </c>
      <c r="GB63" s="24"/>
      <c r="GC63" s="24" t="s">
        <v>59</v>
      </c>
      <c r="GD63" s="24">
        <v>25</v>
      </c>
      <c r="GE63" s="24"/>
      <c r="GF63" s="24"/>
      <c r="GG63" s="24"/>
      <c r="GH63" s="24"/>
      <c r="GI63" s="24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</row>
    <row r="64" spans="1:274" s="27" customFormat="1" ht="12" hidden="1" customHeight="1" outlineLevel="1" x14ac:dyDescent="0.2">
      <c r="A64" s="344" t="s">
        <v>822</v>
      </c>
      <c r="B64" s="345"/>
      <c r="C64" s="943"/>
      <c r="D64" s="943"/>
      <c r="E64" s="943"/>
      <c r="F64" s="943"/>
      <c r="G64" s="943"/>
      <c r="H64" s="345"/>
      <c r="I64" s="943"/>
      <c r="J64" s="943"/>
      <c r="K64" s="943"/>
      <c r="L64" s="943"/>
      <c r="M64" s="943"/>
      <c r="N64" s="345"/>
      <c r="O64" s="37"/>
      <c r="P64" s="37"/>
      <c r="Q64" s="37"/>
      <c r="R64" s="37"/>
      <c r="S64" s="37"/>
      <c r="T64" s="345"/>
      <c r="U64" s="943"/>
      <c r="V64" s="943"/>
      <c r="W64" s="943"/>
      <c r="X64" s="943"/>
      <c r="Y64" s="943"/>
      <c r="Z64" s="345"/>
      <c r="AA64" s="943"/>
      <c r="AB64" s="943"/>
      <c r="AC64" s="943"/>
      <c r="AD64" s="943"/>
      <c r="AE64" s="943"/>
      <c r="AF64" s="345"/>
      <c r="AG64" s="943"/>
      <c r="AH64" s="943"/>
      <c r="AI64" s="943"/>
      <c r="AJ64" s="943"/>
      <c r="AK64" s="943"/>
      <c r="AL64" s="943"/>
      <c r="AM64" s="943"/>
      <c r="AN64" s="943"/>
      <c r="AO64" s="943"/>
      <c r="AP64" s="943"/>
      <c r="AQ64" s="943"/>
      <c r="AR64" s="345"/>
      <c r="AS64" s="943"/>
      <c r="AT64" s="943"/>
      <c r="AU64" s="943"/>
      <c r="AV64" s="943"/>
      <c r="AW64" s="943"/>
      <c r="AX64" s="345"/>
      <c r="AY64" s="943"/>
      <c r="AZ64" s="943"/>
      <c r="BA64" s="943"/>
      <c r="BB64" s="943"/>
      <c r="BC64" s="943"/>
      <c r="BD64" s="345"/>
      <c r="BE64" s="943"/>
      <c r="BF64" s="943"/>
      <c r="BG64" s="943"/>
      <c r="BH64" s="943"/>
      <c r="BI64" s="943"/>
      <c r="BJ64" s="345"/>
      <c r="BK64" s="943"/>
      <c r="BL64" s="943"/>
      <c r="BM64" s="943"/>
      <c r="BN64" s="943"/>
      <c r="BO64" s="943"/>
      <c r="BP64" s="345"/>
      <c r="BQ64" s="943"/>
      <c r="BR64" s="943"/>
      <c r="BS64" s="943"/>
      <c r="BT64" s="943"/>
      <c r="BU64" s="37">
        <f t="shared" si="63"/>
        <v>0</v>
      </c>
      <c r="BV64" s="345"/>
      <c r="BW64" s="941"/>
      <c r="BX64" s="941"/>
      <c r="BY64" s="941"/>
      <c r="BZ64" s="1445"/>
      <c r="CA64" s="37">
        <f t="shared" si="64"/>
        <v>0</v>
      </c>
      <c r="CB64" s="345"/>
      <c r="CC64" s="1445"/>
      <c r="CD64" s="1445"/>
      <c r="CE64" s="1445"/>
      <c r="CF64" s="1445"/>
      <c r="CG64" s="557">
        <f t="shared" si="65"/>
        <v>0</v>
      </c>
      <c r="CH64" s="345"/>
      <c r="CI64" s="1445">
        <f>10-CI63</f>
        <v>1.3000000000000007</v>
      </c>
      <c r="CJ64" s="1445">
        <v>2</v>
      </c>
      <c r="CK64" s="1445">
        <v>7</v>
      </c>
      <c r="CL64" s="941">
        <v>12</v>
      </c>
      <c r="CM64" s="557">
        <f t="shared" si="66"/>
        <v>22.3</v>
      </c>
      <c r="CN64" s="345"/>
      <c r="CO64" s="1445">
        <f>9-CI64</f>
        <v>7.6999999999999993</v>
      </c>
      <c r="CP64" s="941"/>
      <c r="CQ64" s="941"/>
      <c r="CR64" s="941"/>
      <c r="CS64" s="557">
        <f t="shared" si="67"/>
        <v>7.6999999999999993</v>
      </c>
      <c r="CT64" s="345"/>
      <c r="CU64" s="1445"/>
      <c r="CV64" s="941"/>
      <c r="CW64" s="941"/>
      <c r="CX64" s="941"/>
      <c r="CY64" s="557">
        <f t="shared" si="68"/>
        <v>0</v>
      </c>
      <c r="CZ64" s="86"/>
      <c r="DA64" s="1445"/>
      <c r="DB64" s="941"/>
      <c r="DC64" s="941"/>
      <c r="DD64" s="941"/>
      <c r="DE64" s="557">
        <f t="shared" si="69"/>
        <v>0</v>
      </c>
      <c r="DF64" s="345"/>
      <c r="DG64" s="941"/>
      <c r="DH64" s="941"/>
      <c r="DI64" s="941"/>
      <c r="DJ64" s="1446"/>
      <c r="DK64" s="557">
        <f t="shared" si="70"/>
        <v>0</v>
      </c>
      <c r="DL64" s="345"/>
      <c r="DM64" s="941"/>
      <c r="DN64" s="941"/>
      <c r="DO64" s="941"/>
      <c r="DP64" s="941"/>
      <c r="DQ64" s="557">
        <f t="shared" si="71"/>
        <v>0</v>
      </c>
      <c r="DR64" s="345"/>
      <c r="DS64" s="941"/>
      <c r="DT64" s="941"/>
      <c r="DU64" s="941"/>
      <c r="DV64" s="941"/>
      <c r="DW64" s="557">
        <f t="shared" si="72"/>
        <v>0</v>
      </c>
      <c r="DX64" s="345"/>
      <c r="DY64" s="941"/>
      <c r="DZ64" s="941"/>
      <c r="EA64" s="941"/>
      <c r="EB64" s="941"/>
      <c r="EC64" s="557">
        <f t="shared" si="73"/>
        <v>0</v>
      </c>
      <c r="ED64" s="345"/>
      <c r="EE64" s="941"/>
      <c r="EF64" s="941"/>
      <c r="EG64" s="941"/>
      <c r="EH64" s="941"/>
      <c r="EI64" s="557">
        <f t="shared" si="74"/>
        <v>0</v>
      </c>
      <c r="EJ64" s="345"/>
      <c r="EK64" s="941"/>
      <c r="EL64" s="941"/>
      <c r="EM64" s="941"/>
      <c r="EN64" s="941"/>
      <c r="EO64" s="557">
        <f t="shared" si="75"/>
        <v>0</v>
      </c>
      <c r="EP64" s="345"/>
      <c r="EQ64" s="941"/>
      <c r="ER64" s="941"/>
      <c r="ES64" s="941"/>
      <c r="ET64" s="941"/>
      <c r="EU64" s="557">
        <f t="shared" si="76"/>
        <v>0</v>
      </c>
      <c r="EV64" s="345"/>
      <c r="EW64" s="941"/>
      <c r="EX64" s="941"/>
      <c r="EY64" s="941"/>
      <c r="EZ64" s="941"/>
      <c r="FA64" s="557">
        <f t="shared" si="77"/>
        <v>0</v>
      </c>
      <c r="FB64" s="345"/>
      <c r="FC64" s="941"/>
      <c r="FD64" s="941"/>
      <c r="FE64" s="941"/>
      <c r="FF64" s="941"/>
      <c r="FG64" s="557">
        <f t="shared" si="78"/>
        <v>0</v>
      </c>
      <c r="FH64" s="345"/>
      <c r="FI64" s="941"/>
      <c r="FJ64" s="941"/>
      <c r="FK64" s="941"/>
      <c r="FL64" s="941"/>
      <c r="FM64" s="557">
        <f t="shared" si="79"/>
        <v>0</v>
      </c>
      <c r="FQ64"/>
      <c r="FR64"/>
      <c r="FS64"/>
      <c r="FT64"/>
      <c r="FU64"/>
      <c r="FV64"/>
      <c r="FY64" s="27" t="s">
        <v>259</v>
      </c>
      <c r="FZ64" s="27">
        <f>10-GA64</f>
        <v>5</v>
      </c>
      <c r="GA64" s="27">
        <v>5</v>
      </c>
      <c r="GB64" s="24"/>
      <c r="GC64" s="24" t="s">
        <v>543</v>
      </c>
      <c r="GD64" s="24">
        <v>46</v>
      </c>
      <c r="GE64" s="24"/>
      <c r="GF64" s="24"/>
      <c r="GG64" s="24"/>
      <c r="GH64" s="24"/>
      <c r="GI64" s="2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</row>
    <row r="65" spans="1:274" s="27" customFormat="1" ht="12" hidden="1" customHeight="1" outlineLevel="1" x14ac:dyDescent="0.2">
      <c r="A65" s="344" t="s">
        <v>540</v>
      </c>
      <c r="B65" s="345"/>
      <c r="C65" s="943"/>
      <c r="D65" s="943"/>
      <c r="E65" s="943"/>
      <c r="F65" s="943"/>
      <c r="G65" s="943"/>
      <c r="H65" s="345"/>
      <c r="I65" s="943"/>
      <c r="J65" s="943"/>
      <c r="K65" s="943"/>
      <c r="L65" s="943"/>
      <c r="M65" s="943"/>
      <c r="N65" s="345"/>
      <c r="O65" s="37"/>
      <c r="P65" s="37"/>
      <c r="Q65" s="37"/>
      <c r="R65" s="37"/>
      <c r="S65" s="37"/>
      <c r="T65" s="345"/>
      <c r="U65" s="943"/>
      <c r="V65" s="943"/>
      <c r="W65" s="943"/>
      <c r="X65" s="943"/>
      <c r="Y65" s="943"/>
      <c r="Z65" s="345"/>
      <c r="AA65" s="943"/>
      <c r="AB65" s="943"/>
      <c r="AC65" s="943"/>
      <c r="AD65" s="943"/>
      <c r="AE65" s="943"/>
      <c r="AF65" s="345"/>
      <c r="AG65" s="943"/>
      <c r="AH65" s="943"/>
      <c r="AI65" s="943"/>
      <c r="AJ65" s="943"/>
      <c r="AK65" s="943"/>
      <c r="AL65" s="943"/>
      <c r="AM65" s="943"/>
      <c r="AN65" s="943"/>
      <c r="AO65" s="943"/>
      <c r="AP65" s="943"/>
      <c r="AQ65" s="943"/>
      <c r="AR65" s="345"/>
      <c r="AS65" s="943"/>
      <c r="AT65" s="943"/>
      <c r="AU65" s="943"/>
      <c r="AV65" s="943"/>
      <c r="AW65" s="943"/>
      <c r="AX65" s="345"/>
      <c r="AY65" s="943"/>
      <c r="AZ65" s="943"/>
      <c r="BA65" s="943"/>
      <c r="BB65" s="943"/>
      <c r="BC65" s="943"/>
      <c r="BD65" s="345"/>
      <c r="BE65" s="943"/>
      <c r="BF65" s="943"/>
      <c r="BG65" s="943"/>
      <c r="BH65" s="943"/>
      <c r="BI65" s="943"/>
      <c r="BJ65" s="345"/>
      <c r="BK65" s="943"/>
      <c r="BL65" s="943"/>
      <c r="BM65" s="943"/>
      <c r="BN65" s="943"/>
      <c r="BO65" s="943"/>
      <c r="BP65" s="345"/>
      <c r="BQ65" s="943"/>
      <c r="BR65" s="943"/>
      <c r="BS65" s="943"/>
      <c r="BT65" s="943"/>
      <c r="BU65" s="37">
        <f t="shared" si="63"/>
        <v>0</v>
      </c>
      <c r="BV65" s="345"/>
      <c r="BW65" s="941"/>
      <c r="BX65" s="941"/>
      <c r="BY65" s="941"/>
      <c r="BZ65" s="1445"/>
      <c r="CA65" s="37">
        <f t="shared" si="64"/>
        <v>0</v>
      </c>
      <c r="CB65" s="345"/>
      <c r="CC65" s="1445"/>
      <c r="CD65" s="1445"/>
      <c r="CE65" s="1445"/>
      <c r="CF65" s="1445"/>
      <c r="CG65" s="557">
        <f t="shared" si="65"/>
        <v>0</v>
      </c>
      <c r="CH65" s="345"/>
      <c r="CI65" s="1445">
        <v>3</v>
      </c>
      <c r="CJ65" s="1445">
        <v>5</v>
      </c>
      <c r="CK65" s="1445">
        <v>5</v>
      </c>
      <c r="CL65" s="941">
        <v>8</v>
      </c>
      <c r="CM65" s="557">
        <f t="shared" si="66"/>
        <v>21</v>
      </c>
      <c r="CN65" s="345"/>
      <c r="CO65" s="941"/>
      <c r="CP65" s="941"/>
      <c r="CQ65" s="941"/>
      <c r="CR65" s="941"/>
      <c r="CS65" s="557">
        <f t="shared" si="67"/>
        <v>0</v>
      </c>
      <c r="CT65" s="345"/>
      <c r="CU65" s="941"/>
      <c r="CV65" s="941"/>
      <c r="CW65" s="941"/>
      <c r="CX65" s="941"/>
      <c r="CY65" s="557">
        <f t="shared" si="68"/>
        <v>0</v>
      </c>
      <c r="CZ65" s="86"/>
      <c r="DA65" s="941"/>
      <c r="DB65" s="941"/>
      <c r="DC65" s="941"/>
      <c r="DD65" s="941"/>
      <c r="DE65" s="557">
        <f t="shared" si="69"/>
        <v>0</v>
      </c>
      <c r="DF65" s="345"/>
      <c r="DG65" s="941"/>
      <c r="DH65" s="941"/>
      <c r="DI65" s="941"/>
      <c r="DJ65" s="1446"/>
      <c r="DK65" s="557">
        <f t="shared" si="70"/>
        <v>0</v>
      </c>
      <c r="DL65" s="345"/>
      <c r="DM65" s="941"/>
      <c r="DN65" s="941"/>
      <c r="DO65" s="941"/>
      <c r="DP65" s="941"/>
      <c r="DQ65" s="557">
        <f t="shared" si="71"/>
        <v>0</v>
      </c>
      <c r="DR65" s="345"/>
      <c r="DS65" s="941"/>
      <c r="DT65" s="941"/>
      <c r="DU65" s="941"/>
      <c r="DV65" s="941"/>
      <c r="DW65" s="557">
        <f t="shared" si="72"/>
        <v>0</v>
      </c>
      <c r="DX65" s="345"/>
      <c r="DY65" s="941"/>
      <c r="DZ65" s="941"/>
      <c r="EA65" s="941"/>
      <c r="EB65" s="941"/>
      <c r="EC65" s="557">
        <f t="shared" si="73"/>
        <v>0</v>
      </c>
      <c r="ED65" s="345"/>
      <c r="EE65" s="941"/>
      <c r="EF65" s="941"/>
      <c r="EG65" s="941"/>
      <c r="EH65" s="941"/>
      <c r="EI65" s="557">
        <f t="shared" si="74"/>
        <v>0</v>
      </c>
      <c r="EJ65" s="345"/>
      <c r="EK65" s="941"/>
      <c r="EL65" s="941"/>
      <c r="EM65" s="941"/>
      <c r="EN65" s="941"/>
      <c r="EO65" s="557">
        <f t="shared" si="75"/>
        <v>0</v>
      </c>
      <c r="EP65" s="345"/>
      <c r="EQ65" s="941"/>
      <c r="ER65" s="941"/>
      <c r="ES65" s="941"/>
      <c r="ET65" s="941"/>
      <c r="EU65" s="557">
        <f t="shared" si="76"/>
        <v>0</v>
      </c>
      <c r="EV65" s="345"/>
      <c r="EW65" s="941"/>
      <c r="EX65" s="941"/>
      <c r="EY65" s="941"/>
      <c r="EZ65" s="941"/>
      <c r="FA65" s="557">
        <f t="shared" si="77"/>
        <v>0</v>
      </c>
      <c r="FB65" s="345"/>
      <c r="FC65" s="941"/>
      <c r="FD65" s="941"/>
      <c r="FE65" s="941"/>
      <c r="FF65" s="941"/>
      <c r="FG65" s="557">
        <f t="shared" si="78"/>
        <v>0</v>
      </c>
      <c r="FH65" s="345"/>
      <c r="FI65" s="941"/>
      <c r="FJ65" s="941"/>
      <c r="FK65" s="941"/>
      <c r="FL65" s="941"/>
      <c r="FM65" s="557">
        <f t="shared" si="79"/>
        <v>0</v>
      </c>
      <c r="FQ65"/>
      <c r="FR65"/>
      <c r="FS65"/>
      <c r="FT65"/>
      <c r="FU65"/>
      <c r="FV65"/>
      <c r="FY65" s="27" t="s">
        <v>822</v>
      </c>
      <c r="FZ65" s="27">
        <v>9</v>
      </c>
      <c r="GB65" s="24"/>
      <c r="GC65" s="24"/>
      <c r="GD65" s="24"/>
      <c r="GE65" s="24"/>
      <c r="GF65" s="24"/>
      <c r="GG65" s="24"/>
      <c r="GH65" s="24"/>
      <c r="GI65" s="24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</row>
    <row r="66" spans="1:274" s="27" customFormat="1" ht="12" hidden="1" customHeight="1" outlineLevel="1" x14ac:dyDescent="0.2">
      <c r="A66" s="344" t="s">
        <v>259</v>
      </c>
      <c r="B66" s="345"/>
      <c r="C66" s="943"/>
      <c r="D66" s="943"/>
      <c r="E66" s="943"/>
      <c r="F66" s="943"/>
      <c r="G66" s="943"/>
      <c r="H66" s="345"/>
      <c r="I66" s="943"/>
      <c r="J66" s="943"/>
      <c r="K66" s="943"/>
      <c r="L66" s="943"/>
      <c r="M66" s="943"/>
      <c r="N66" s="345"/>
      <c r="O66" s="37"/>
      <c r="P66" s="37"/>
      <c r="Q66" s="37"/>
      <c r="R66" s="37"/>
      <c r="S66" s="37"/>
      <c r="T66" s="345"/>
      <c r="U66" s="943"/>
      <c r="V66" s="943"/>
      <c r="W66" s="943"/>
      <c r="X66" s="943"/>
      <c r="Y66" s="943"/>
      <c r="Z66" s="345"/>
      <c r="AA66" s="943"/>
      <c r="AB66" s="943"/>
      <c r="AC66" s="943"/>
      <c r="AD66" s="943"/>
      <c r="AE66" s="943"/>
      <c r="AF66" s="345"/>
      <c r="AG66" s="943"/>
      <c r="AH66" s="943"/>
      <c r="AI66" s="943"/>
      <c r="AJ66" s="943"/>
      <c r="AK66" s="943"/>
      <c r="AL66" s="943"/>
      <c r="AM66" s="943"/>
      <c r="AN66" s="943"/>
      <c r="AO66" s="943"/>
      <c r="AP66" s="943"/>
      <c r="AQ66" s="943"/>
      <c r="AR66" s="345"/>
      <c r="AS66" s="943"/>
      <c r="AT66" s="943"/>
      <c r="AU66" s="943"/>
      <c r="AV66" s="943"/>
      <c r="AW66" s="943"/>
      <c r="AX66" s="345"/>
      <c r="AY66" s="943"/>
      <c r="AZ66" s="943"/>
      <c r="BA66" s="943"/>
      <c r="BB66" s="943"/>
      <c r="BC66" s="943"/>
      <c r="BD66" s="345"/>
      <c r="BE66" s="943"/>
      <c r="BF66" s="943"/>
      <c r="BG66" s="943"/>
      <c r="BH66" s="943"/>
      <c r="BI66" s="943"/>
      <c r="BJ66" s="345"/>
      <c r="BK66" s="943"/>
      <c r="BL66" s="943"/>
      <c r="BM66" s="943"/>
      <c r="BN66" s="943"/>
      <c r="BO66" s="943"/>
      <c r="BP66" s="345"/>
      <c r="BQ66" s="943"/>
      <c r="BR66" s="943"/>
      <c r="BS66" s="943"/>
      <c r="BT66" s="943"/>
      <c r="BU66" s="37">
        <f t="shared" si="63"/>
        <v>0</v>
      </c>
      <c r="BV66" s="345"/>
      <c r="BW66" s="941"/>
      <c r="BX66" s="941"/>
      <c r="BY66" s="941"/>
      <c r="BZ66" s="1445"/>
      <c r="CA66" s="37">
        <f t="shared" si="64"/>
        <v>0</v>
      </c>
      <c r="CB66" s="345"/>
      <c r="CC66" s="1445"/>
      <c r="CD66" s="1445"/>
      <c r="CE66" s="1445"/>
      <c r="CF66" s="1445"/>
      <c r="CG66" s="557">
        <f t="shared" si="65"/>
        <v>0</v>
      </c>
      <c r="CH66" s="345"/>
      <c r="CI66" s="1445"/>
      <c r="CJ66" s="1445"/>
      <c r="CK66" s="1445">
        <v>9</v>
      </c>
      <c r="CL66" s="1445">
        <v>5</v>
      </c>
      <c r="CM66" s="557">
        <f t="shared" si="66"/>
        <v>14</v>
      </c>
      <c r="CN66" s="345"/>
      <c r="CO66" s="1445">
        <v>6</v>
      </c>
      <c r="CP66" s="1445">
        <v>5</v>
      </c>
      <c r="CQ66" s="941"/>
      <c r="CR66" s="941"/>
      <c r="CS66" s="557">
        <f t="shared" si="67"/>
        <v>11</v>
      </c>
      <c r="CT66" s="345"/>
      <c r="CU66" s="1445"/>
      <c r="CV66" s="1445"/>
      <c r="CW66" s="941"/>
      <c r="CX66" s="941"/>
      <c r="CY66" s="557">
        <f t="shared" si="68"/>
        <v>0</v>
      </c>
      <c r="CZ66" s="86"/>
      <c r="DA66" s="1445"/>
      <c r="DB66" s="1445"/>
      <c r="DC66" s="941"/>
      <c r="DD66" s="941"/>
      <c r="DE66" s="557">
        <f t="shared" si="69"/>
        <v>0</v>
      </c>
      <c r="DF66" s="345"/>
      <c r="DG66" s="941"/>
      <c r="DH66" s="941"/>
      <c r="DI66" s="941"/>
      <c r="DJ66" s="1446"/>
      <c r="DK66" s="557">
        <f t="shared" si="70"/>
        <v>0</v>
      </c>
      <c r="DL66" s="345"/>
      <c r="DM66" s="941"/>
      <c r="DN66" s="941"/>
      <c r="DO66" s="941"/>
      <c r="DP66" s="941"/>
      <c r="DQ66" s="557">
        <f t="shared" si="71"/>
        <v>0</v>
      </c>
      <c r="DR66" s="345"/>
      <c r="DS66" s="941"/>
      <c r="DT66" s="941"/>
      <c r="DU66" s="941"/>
      <c r="DV66" s="941"/>
      <c r="DW66" s="557">
        <f t="shared" si="72"/>
        <v>0</v>
      </c>
      <c r="DX66" s="345"/>
      <c r="DY66" s="941"/>
      <c r="DZ66" s="941"/>
      <c r="EA66" s="941"/>
      <c r="EB66" s="941"/>
      <c r="EC66" s="557">
        <f t="shared" si="73"/>
        <v>0</v>
      </c>
      <c r="ED66" s="345"/>
      <c r="EE66" s="941"/>
      <c r="EF66" s="941"/>
      <c r="EG66" s="941"/>
      <c r="EH66" s="941"/>
      <c r="EI66" s="557">
        <f t="shared" si="74"/>
        <v>0</v>
      </c>
      <c r="EJ66" s="345"/>
      <c r="EK66" s="941"/>
      <c r="EL66" s="941"/>
      <c r="EM66" s="941"/>
      <c r="EN66" s="941"/>
      <c r="EO66" s="557">
        <f t="shared" si="75"/>
        <v>0</v>
      </c>
      <c r="EP66" s="345"/>
      <c r="EQ66" s="941"/>
      <c r="ER66" s="941"/>
      <c r="ES66" s="941"/>
      <c r="ET66" s="941"/>
      <c r="EU66" s="557">
        <f t="shared" si="76"/>
        <v>0</v>
      </c>
      <c r="EV66" s="345"/>
      <c r="EW66" s="941"/>
      <c r="EX66" s="941"/>
      <c r="EY66" s="941"/>
      <c r="EZ66" s="941"/>
      <c r="FA66" s="557">
        <f t="shared" si="77"/>
        <v>0</v>
      </c>
      <c r="FB66" s="345"/>
      <c r="FC66" s="941"/>
      <c r="FD66" s="941"/>
      <c r="FE66" s="941"/>
      <c r="FF66" s="941"/>
      <c r="FG66" s="557">
        <f t="shared" si="78"/>
        <v>0</v>
      </c>
      <c r="FH66" s="345"/>
      <c r="FI66" s="941"/>
      <c r="FJ66" s="941"/>
      <c r="FK66" s="941"/>
      <c r="FL66" s="941"/>
      <c r="FM66" s="557">
        <f t="shared" si="79"/>
        <v>0</v>
      </c>
      <c r="FQ66"/>
      <c r="FR66"/>
      <c r="FS66"/>
      <c r="FT66"/>
      <c r="FU66"/>
      <c r="FV66"/>
      <c r="GB66" s="24"/>
      <c r="GC66" s="24" t="s">
        <v>65</v>
      </c>
      <c r="GD66" s="24">
        <v>179</v>
      </c>
      <c r="GE66" s="24"/>
      <c r="GF66" s="24" t="s">
        <v>65</v>
      </c>
      <c r="GG66" s="24">
        <v>51</v>
      </c>
      <c r="GH66" s="24"/>
      <c r="GI66" s="24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</row>
    <row r="67" spans="1:274" s="27" customFormat="1" ht="12" hidden="1" customHeight="1" outlineLevel="1" x14ac:dyDescent="0.2">
      <c r="A67" s="344" t="s">
        <v>66</v>
      </c>
      <c r="B67" s="345"/>
      <c r="C67" s="943"/>
      <c r="D67" s="943"/>
      <c r="E67" s="943"/>
      <c r="F67" s="943"/>
      <c r="G67" s="943"/>
      <c r="H67" s="345"/>
      <c r="I67" s="943"/>
      <c r="J67" s="943"/>
      <c r="K67" s="943"/>
      <c r="L67" s="943"/>
      <c r="M67" s="943"/>
      <c r="N67" s="345"/>
      <c r="O67" s="37"/>
      <c r="P67" s="37"/>
      <c r="Q67" s="37"/>
      <c r="R67" s="37"/>
      <c r="S67" s="37"/>
      <c r="T67" s="345"/>
      <c r="U67" s="943"/>
      <c r="V67" s="943"/>
      <c r="W67" s="943"/>
      <c r="X67" s="943"/>
      <c r="Y67" s="943"/>
      <c r="Z67" s="345"/>
      <c r="AA67" s="943"/>
      <c r="AB67" s="943"/>
      <c r="AC67" s="943"/>
      <c r="AD67" s="943"/>
      <c r="AE67" s="943"/>
      <c r="AF67" s="345"/>
      <c r="AG67" s="943"/>
      <c r="AH67" s="943"/>
      <c r="AI67" s="943"/>
      <c r="AJ67" s="943"/>
      <c r="AK67" s="943"/>
      <c r="AL67" s="943"/>
      <c r="AM67" s="943"/>
      <c r="AN67" s="943"/>
      <c r="AO67" s="943"/>
      <c r="AP67" s="943"/>
      <c r="AQ67" s="943"/>
      <c r="AR67" s="345"/>
      <c r="AS67" s="943"/>
      <c r="AT67" s="943"/>
      <c r="AU67" s="943"/>
      <c r="AV67" s="943"/>
      <c r="AW67" s="943"/>
      <c r="AX67" s="345"/>
      <c r="AY67" s="943"/>
      <c r="AZ67" s="943"/>
      <c r="BA67" s="943"/>
      <c r="BB67" s="943"/>
      <c r="BC67" s="943"/>
      <c r="BD67" s="345"/>
      <c r="BE67" s="943"/>
      <c r="BF67" s="943"/>
      <c r="BG67" s="943"/>
      <c r="BH67" s="943"/>
      <c r="BI67" s="943"/>
      <c r="BJ67" s="345"/>
      <c r="BK67" s="943"/>
      <c r="BL67" s="943"/>
      <c r="BM67" s="943"/>
      <c r="BN67" s="943"/>
      <c r="BO67" s="943"/>
      <c r="BP67" s="345"/>
      <c r="BQ67" s="943"/>
      <c r="BR67" s="943"/>
      <c r="BS67" s="943"/>
      <c r="BT67" s="943"/>
      <c r="BU67" s="37">
        <f t="shared" si="63"/>
        <v>0</v>
      </c>
      <c r="BV67" s="345"/>
      <c r="BW67" s="941"/>
      <c r="BX67" s="941"/>
      <c r="BY67" s="941"/>
      <c r="BZ67" s="1445"/>
      <c r="CA67" s="37">
        <f t="shared" si="64"/>
        <v>0</v>
      </c>
      <c r="CB67" s="345"/>
      <c r="CC67" s="1445"/>
      <c r="CD67" s="1445"/>
      <c r="CE67" s="1445"/>
      <c r="CF67" s="1445"/>
      <c r="CG67" s="557">
        <f t="shared" si="65"/>
        <v>0</v>
      </c>
      <c r="CH67" s="345"/>
      <c r="CI67" s="1445"/>
      <c r="CJ67" s="1445"/>
      <c r="CK67" s="1445">
        <v>4</v>
      </c>
      <c r="CL67" s="1445">
        <v>4</v>
      </c>
      <c r="CM67" s="557">
        <f t="shared" si="66"/>
        <v>8</v>
      </c>
      <c r="CN67" s="345"/>
      <c r="CO67" s="1445">
        <v>11</v>
      </c>
      <c r="CP67" s="1445">
        <v>5</v>
      </c>
      <c r="CQ67" s="941"/>
      <c r="CR67" s="941"/>
      <c r="CS67" s="557">
        <f t="shared" si="67"/>
        <v>16</v>
      </c>
      <c r="CT67" s="345"/>
      <c r="CU67" s="1445"/>
      <c r="CV67" s="1445"/>
      <c r="CW67" s="941"/>
      <c r="CX67" s="941"/>
      <c r="CY67" s="557">
        <f t="shared" si="68"/>
        <v>0</v>
      </c>
      <c r="CZ67" s="86"/>
      <c r="DA67" s="1445"/>
      <c r="DB67" s="1445"/>
      <c r="DC67" s="941"/>
      <c r="DD67" s="941"/>
      <c r="DE67" s="557">
        <f t="shared" si="69"/>
        <v>0</v>
      </c>
      <c r="DF67" s="345"/>
      <c r="DG67" s="941"/>
      <c r="DH67" s="941"/>
      <c r="DI67" s="941"/>
      <c r="DJ67" s="1446"/>
      <c r="DK67" s="557">
        <f t="shared" si="70"/>
        <v>0</v>
      </c>
      <c r="DL67" s="345"/>
      <c r="DM67" s="941"/>
      <c r="DN67" s="941"/>
      <c r="DO67" s="941"/>
      <c r="DP67" s="941"/>
      <c r="DQ67" s="557">
        <f t="shared" si="71"/>
        <v>0</v>
      </c>
      <c r="DR67" s="345"/>
      <c r="DS67" s="941"/>
      <c r="DT67" s="941"/>
      <c r="DU67" s="941"/>
      <c r="DV67" s="941"/>
      <c r="DW67" s="557">
        <f t="shared" si="72"/>
        <v>0</v>
      </c>
      <c r="DX67" s="345"/>
      <c r="DY67" s="941"/>
      <c r="DZ67" s="941"/>
      <c r="EA67" s="941"/>
      <c r="EB67" s="941"/>
      <c r="EC67" s="557">
        <f t="shared" si="73"/>
        <v>0</v>
      </c>
      <c r="ED67" s="345"/>
      <c r="EE67" s="941"/>
      <c r="EF67" s="941"/>
      <c r="EG67" s="941"/>
      <c r="EH67" s="941"/>
      <c r="EI67" s="557">
        <f t="shared" si="74"/>
        <v>0</v>
      </c>
      <c r="EJ67" s="345"/>
      <c r="EK67" s="941"/>
      <c r="EL67" s="941"/>
      <c r="EM67" s="941"/>
      <c r="EN67" s="941"/>
      <c r="EO67" s="557">
        <f t="shared" si="75"/>
        <v>0</v>
      </c>
      <c r="EP67" s="345"/>
      <c r="EQ67" s="941"/>
      <c r="ER67" s="941"/>
      <c r="ES67" s="941"/>
      <c r="ET67" s="941"/>
      <c r="EU67" s="557">
        <f t="shared" si="76"/>
        <v>0</v>
      </c>
      <c r="EV67" s="345"/>
      <c r="EW67" s="941"/>
      <c r="EX67" s="941"/>
      <c r="EY67" s="941"/>
      <c r="EZ67" s="941"/>
      <c r="FA67" s="557">
        <f t="shared" si="77"/>
        <v>0</v>
      </c>
      <c r="FB67" s="345"/>
      <c r="FC67" s="941"/>
      <c r="FD67" s="941"/>
      <c r="FE67" s="941"/>
      <c r="FF67" s="941"/>
      <c r="FG67" s="557">
        <f t="shared" si="78"/>
        <v>0</v>
      </c>
      <c r="FH67" s="345"/>
      <c r="FI67" s="941"/>
      <c r="FJ67" s="941"/>
      <c r="FK67" s="941"/>
      <c r="FL67" s="941"/>
      <c r="FM67" s="557">
        <f t="shared" si="79"/>
        <v>0</v>
      </c>
      <c r="FQ67"/>
      <c r="FR67"/>
      <c r="FS67"/>
      <c r="FT67"/>
      <c r="FU67"/>
      <c r="FV67"/>
      <c r="FY67" s="27" t="s">
        <v>749</v>
      </c>
      <c r="GB67" s="24"/>
      <c r="GC67" s="24"/>
      <c r="GD67" s="24"/>
      <c r="GE67" s="24"/>
      <c r="GF67" s="24"/>
      <c r="GG67" s="24"/>
      <c r="GH67" s="24"/>
      <c r="GI67" s="24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</row>
    <row r="68" spans="1:274" s="27" customFormat="1" ht="12" hidden="1" customHeight="1" outlineLevel="1" x14ac:dyDescent="0.2">
      <c r="A68" s="344" t="s">
        <v>67</v>
      </c>
      <c r="B68" s="345"/>
      <c r="C68" s="943"/>
      <c r="D68" s="943"/>
      <c r="E68" s="943"/>
      <c r="F68" s="943"/>
      <c r="G68" s="943"/>
      <c r="H68" s="345"/>
      <c r="I68" s="943"/>
      <c r="J68" s="943"/>
      <c r="K68" s="943"/>
      <c r="L68" s="943"/>
      <c r="M68" s="943"/>
      <c r="N68" s="345"/>
      <c r="O68" s="37"/>
      <c r="P68" s="37"/>
      <c r="Q68" s="37"/>
      <c r="R68" s="37"/>
      <c r="S68" s="37"/>
      <c r="T68" s="345"/>
      <c r="U68" s="943"/>
      <c r="V68" s="943"/>
      <c r="W68" s="943"/>
      <c r="X68" s="943"/>
      <c r="Y68" s="943"/>
      <c r="Z68" s="345"/>
      <c r="AA68" s="943"/>
      <c r="AB68" s="943"/>
      <c r="AC68" s="943"/>
      <c r="AD68" s="943"/>
      <c r="AE68" s="943"/>
      <c r="AF68" s="345"/>
      <c r="AG68" s="943"/>
      <c r="AH68" s="943"/>
      <c r="AI68" s="943"/>
      <c r="AJ68" s="943"/>
      <c r="AK68" s="943"/>
      <c r="AL68" s="943"/>
      <c r="AM68" s="943"/>
      <c r="AN68" s="943"/>
      <c r="AO68" s="943"/>
      <c r="AP68" s="943"/>
      <c r="AQ68" s="943"/>
      <c r="AR68" s="345"/>
      <c r="AS68" s="943"/>
      <c r="AT68" s="943"/>
      <c r="AU68" s="943"/>
      <c r="AV68" s="943"/>
      <c r="AW68" s="943"/>
      <c r="AX68" s="345"/>
      <c r="AY68" s="943"/>
      <c r="AZ68" s="943"/>
      <c r="BA68" s="943"/>
      <c r="BB68" s="943"/>
      <c r="BC68" s="943"/>
      <c r="BD68" s="345"/>
      <c r="BE68" s="943"/>
      <c r="BF68" s="943"/>
      <c r="BG68" s="943"/>
      <c r="BH68" s="943"/>
      <c r="BI68" s="943"/>
      <c r="BJ68" s="345"/>
      <c r="BK68" s="943"/>
      <c r="BL68" s="943"/>
      <c r="BM68" s="943"/>
      <c r="BN68" s="943"/>
      <c r="BO68" s="943"/>
      <c r="BP68" s="345"/>
      <c r="BQ68" s="943"/>
      <c r="BR68" s="943"/>
      <c r="BS68" s="943"/>
      <c r="BT68" s="943"/>
      <c r="BU68" s="37">
        <f t="shared" si="63"/>
        <v>0</v>
      </c>
      <c r="BV68" s="345"/>
      <c r="BW68" s="941"/>
      <c r="BX68" s="941"/>
      <c r="BY68" s="941"/>
      <c r="BZ68" s="1445"/>
      <c r="CA68" s="37">
        <f t="shared" si="64"/>
        <v>0</v>
      </c>
      <c r="CB68" s="345"/>
      <c r="CC68" s="1445"/>
      <c r="CD68" s="1445"/>
      <c r="CE68" s="1445"/>
      <c r="CF68" s="1445"/>
      <c r="CG68" s="557">
        <f t="shared" si="65"/>
        <v>0</v>
      </c>
      <c r="CH68" s="345"/>
      <c r="CI68" s="1445"/>
      <c r="CJ68" s="1445"/>
      <c r="CK68" s="1445"/>
      <c r="CL68" s="1445"/>
      <c r="CM68" s="557">
        <f t="shared" si="66"/>
        <v>0</v>
      </c>
      <c r="CN68" s="345"/>
      <c r="CO68" s="1445">
        <v>7</v>
      </c>
      <c r="CP68" s="1445">
        <v>13</v>
      </c>
      <c r="CQ68" s="941">
        <v>14</v>
      </c>
      <c r="CR68" s="941">
        <v>24</v>
      </c>
      <c r="CS68" s="557">
        <f t="shared" si="67"/>
        <v>58</v>
      </c>
      <c r="CT68" s="345"/>
      <c r="CU68" s="1445"/>
      <c r="CV68" s="1445"/>
      <c r="CW68" s="941"/>
      <c r="CX68" s="941"/>
      <c r="CY68" s="557">
        <f t="shared" si="68"/>
        <v>0</v>
      </c>
      <c r="CZ68" s="86"/>
      <c r="DA68" s="1445"/>
      <c r="DB68" s="1445"/>
      <c r="DC68" s="941"/>
      <c r="DD68" s="941"/>
      <c r="DE68" s="557">
        <f t="shared" si="69"/>
        <v>0</v>
      </c>
      <c r="DF68" s="345"/>
      <c r="DG68" s="941"/>
      <c r="DH68" s="941"/>
      <c r="DI68" s="941"/>
      <c r="DJ68" s="1446"/>
      <c r="DK68" s="557">
        <f t="shared" si="70"/>
        <v>0</v>
      </c>
      <c r="DL68" s="345"/>
      <c r="DM68" s="941"/>
      <c r="DN68" s="941"/>
      <c r="DO68" s="941"/>
      <c r="DP68" s="941"/>
      <c r="DQ68" s="557">
        <f t="shared" si="71"/>
        <v>0</v>
      </c>
      <c r="DR68" s="345"/>
      <c r="DS68" s="941"/>
      <c r="DT68" s="941"/>
      <c r="DU68" s="941"/>
      <c r="DV68" s="941"/>
      <c r="DW68" s="557">
        <f t="shared" si="72"/>
        <v>0</v>
      </c>
      <c r="DX68" s="345"/>
      <c r="DY68" s="941"/>
      <c r="DZ68" s="941"/>
      <c r="EA68" s="941"/>
      <c r="EB68" s="941"/>
      <c r="EC68" s="557">
        <f t="shared" si="73"/>
        <v>0</v>
      </c>
      <c r="ED68" s="345"/>
      <c r="EE68" s="941"/>
      <c r="EF68" s="941"/>
      <c r="EG68" s="941"/>
      <c r="EH68" s="941"/>
      <c r="EI68" s="557">
        <f t="shared" si="74"/>
        <v>0</v>
      </c>
      <c r="EJ68" s="345"/>
      <c r="EK68" s="941"/>
      <c r="EL68" s="941"/>
      <c r="EM68" s="941"/>
      <c r="EN68" s="941"/>
      <c r="EO68" s="557">
        <f t="shared" si="75"/>
        <v>0</v>
      </c>
      <c r="EP68" s="345"/>
      <c r="EQ68" s="941"/>
      <c r="ER68" s="941"/>
      <c r="ES68" s="941"/>
      <c r="ET68" s="941"/>
      <c r="EU68" s="557">
        <f t="shared" si="76"/>
        <v>0</v>
      </c>
      <c r="EV68" s="345"/>
      <c r="EW68" s="941"/>
      <c r="EX68" s="941"/>
      <c r="EY68" s="941"/>
      <c r="EZ68" s="941"/>
      <c r="FA68" s="557">
        <f t="shared" si="77"/>
        <v>0</v>
      </c>
      <c r="FB68" s="345"/>
      <c r="FC68" s="941"/>
      <c r="FD68" s="941"/>
      <c r="FE68" s="941"/>
      <c r="FF68" s="941"/>
      <c r="FG68" s="557">
        <f t="shared" si="78"/>
        <v>0</v>
      </c>
      <c r="FH68" s="345"/>
      <c r="FI68" s="941"/>
      <c r="FJ68" s="941"/>
      <c r="FK68" s="941"/>
      <c r="FL68" s="941"/>
      <c r="FM68" s="557">
        <f t="shared" si="79"/>
        <v>0</v>
      </c>
      <c r="FQ68"/>
      <c r="FR68"/>
      <c r="FS68"/>
      <c r="FT68"/>
      <c r="FU68"/>
      <c r="FV68"/>
      <c r="FY68" s="27" t="s">
        <v>259</v>
      </c>
      <c r="FZ68" s="27">
        <f>18-GA68</f>
        <v>7</v>
      </c>
      <c r="GA68" s="27">
        <v>11</v>
      </c>
      <c r="GB68" s="24"/>
      <c r="GC68" s="23" t="s">
        <v>235</v>
      </c>
      <c r="GD68" s="24"/>
      <c r="GE68" s="24"/>
      <c r="GF68" s="24"/>
      <c r="GG68" s="24"/>
      <c r="GH68" s="24"/>
      <c r="GI68" s="24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</row>
    <row r="69" spans="1:274" s="27" customFormat="1" ht="12" hidden="1" customHeight="1" outlineLevel="1" x14ac:dyDescent="0.2">
      <c r="A69" s="344" t="s">
        <v>880</v>
      </c>
      <c r="B69" s="345"/>
      <c r="C69" s="943"/>
      <c r="D69" s="943"/>
      <c r="E69" s="943"/>
      <c r="F69" s="943"/>
      <c r="G69" s="943"/>
      <c r="H69" s="345"/>
      <c r="I69" s="943"/>
      <c r="J69" s="943"/>
      <c r="K69" s="943"/>
      <c r="L69" s="943"/>
      <c r="M69" s="943"/>
      <c r="N69" s="345"/>
      <c r="O69" s="37"/>
      <c r="P69" s="37"/>
      <c r="Q69" s="37"/>
      <c r="R69" s="37"/>
      <c r="S69" s="37"/>
      <c r="T69" s="345"/>
      <c r="U69" s="943"/>
      <c r="V69" s="943"/>
      <c r="W69" s="943"/>
      <c r="X69" s="943"/>
      <c r="Y69" s="943"/>
      <c r="Z69" s="345"/>
      <c r="AA69" s="943"/>
      <c r="AB69" s="943"/>
      <c r="AC69" s="943"/>
      <c r="AD69" s="943"/>
      <c r="AE69" s="943"/>
      <c r="AF69" s="345"/>
      <c r="AG69" s="943"/>
      <c r="AH69" s="943"/>
      <c r="AI69" s="943"/>
      <c r="AJ69" s="943"/>
      <c r="AK69" s="943"/>
      <c r="AL69" s="943"/>
      <c r="AM69" s="943"/>
      <c r="AN69" s="943"/>
      <c r="AO69" s="943"/>
      <c r="AP69" s="943"/>
      <c r="AQ69" s="943"/>
      <c r="AR69" s="345"/>
      <c r="AS69" s="943"/>
      <c r="AT69" s="943"/>
      <c r="AU69" s="943"/>
      <c r="AV69" s="943"/>
      <c r="AW69" s="943"/>
      <c r="AX69" s="345"/>
      <c r="AY69" s="943"/>
      <c r="AZ69" s="943"/>
      <c r="BA69" s="943"/>
      <c r="BB69" s="943"/>
      <c r="BC69" s="943"/>
      <c r="BD69" s="345"/>
      <c r="BE69" s="943"/>
      <c r="BF69" s="943"/>
      <c r="BG69" s="943"/>
      <c r="BH69" s="943"/>
      <c r="BI69" s="943"/>
      <c r="BJ69" s="345"/>
      <c r="BK69" s="943"/>
      <c r="BL69" s="943"/>
      <c r="BM69" s="943"/>
      <c r="BN69" s="943"/>
      <c r="BO69" s="943"/>
      <c r="BP69" s="345"/>
      <c r="BQ69" s="943"/>
      <c r="BR69" s="943"/>
      <c r="BS69" s="943"/>
      <c r="BT69" s="943"/>
      <c r="BU69" s="37">
        <f t="shared" si="63"/>
        <v>0</v>
      </c>
      <c r="BV69" s="345"/>
      <c r="BW69" s="941"/>
      <c r="BX69" s="941"/>
      <c r="BY69" s="941"/>
      <c r="BZ69" s="1445"/>
      <c r="CA69" s="37">
        <f t="shared" si="64"/>
        <v>0</v>
      </c>
      <c r="CB69" s="345"/>
      <c r="CC69" s="1445"/>
      <c r="CD69" s="1445"/>
      <c r="CE69" s="1445"/>
      <c r="CF69" s="1445"/>
      <c r="CG69" s="557">
        <f t="shared" si="65"/>
        <v>0</v>
      </c>
      <c r="CH69" s="345"/>
      <c r="CI69" s="1445"/>
      <c r="CJ69" s="1445"/>
      <c r="CK69" s="1445"/>
      <c r="CL69" s="1445">
        <v>27</v>
      </c>
      <c r="CM69" s="557">
        <f t="shared" si="66"/>
        <v>27</v>
      </c>
      <c r="CN69" s="345"/>
      <c r="CO69" s="1445">
        <v>52</v>
      </c>
      <c r="CP69" s="1445">
        <v>48</v>
      </c>
      <c r="CQ69" s="1445">
        <v>42</v>
      </c>
      <c r="CR69" s="1445">
        <f>199-CQ69-CP69-CO69-CL69</f>
        <v>30</v>
      </c>
      <c r="CS69" s="557">
        <f t="shared" si="67"/>
        <v>172</v>
      </c>
      <c r="CT69" s="345"/>
      <c r="CU69" s="1445"/>
      <c r="CV69" s="1445"/>
      <c r="CW69" s="1445"/>
      <c r="CX69" s="1445"/>
      <c r="CY69" s="557">
        <f t="shared" si="68"/>
        <v>0</v>
      </c>
      <c r="CZ69" s="86"/>
      <c r="DA69" s="1445"/>
      <c r="DB69" s="1445"/>
      <c r="DC69" s="1445"/>
      <c r="DD69" s="1445"/>
      <c r="DE69" s="557">
        <f t="shared" si="69"/>
        <v>0</v>
      </c>
      <c r="DF69" s="345"/>
      <c r="DG69" s="941"/>
      <c r="DH69" s="941"/>
      <c r="DI69" s="941"/>
      <c r="DJ69" s="1446"/>
      <c r="DK69" s="557">
        <f t="shared" si="70"/>
        <v>0</v>
      </c>
      <c r="DL69" s="345"/>
      <c r="DM69" s="941"/>
      <c r="DN69" s="941"/>
      <c r="DO69" s="941"/>
      <c r="DP69" s="941"/>
      <c r="DQ69" s="557">
        <f t="shared" si="71"/>
        <v>0</v>
      </c>
      <c r="DR69" s="345"/>
      <c r="DS69" s="941"/>
      <c r="DT69" s="941"/>
      <c r="DU69" s="941"/>
      <c r="DV69" s="941"/>
      <c r="DW69" s="557">
        <f t="shared" si="72"/>
        <v>0</v>
      </c>
      <c r="DX69" s="345"/>
      <c r="DY69" s="941"/>
      <c r="DZ69" s="941"/>
      <c r="EA69" s="941"/>
      <c r="EB69" s="941"/>
      <c r="EC69" s="557">
        <f t="shared" si="73"/>
        <v>0</v>
      </c>
      <c r="ED69" s="345"/>
      <c r="EE69" s="941"/>
      <c r="EF69" s="941"/>
      <c r="EG69" s="941"/>
      <c r="EH69" s="941"/>
      <c r="EI69" s="557">
        <f t="shared" si="74"/>
        <v>0</v>
      </c>
      <c r="EJ69" s="345"/>
      <c r="EK69" s="941"/>
      <c r="EL69" s="941"/>
      <c r="EM69" s="941"/>
      <c r="EN69" s="941"/>
      <c r="EO69" s="557">
        <f t="shared" si="75"/>
        <v>0</v>
      </c>
      <c r="EP69" s="345"/>
      <c r="EQ69" s="941"/>
      <c r="ER69" s="941"/>
      <c r="ES69" s="941"/>
      <c r="ET69" s="941"/>
      <c r="EU69" s="557">
        <f t="shared" si="76"/>
        <v>0</v>
      </c>
      <c r="EV69" s="345"/>
      <c r="EW69" s="941"/>
      <c r="EX69" s="941"/>
      <c r="EY69" s="941"/>
      <c r="EZ69" s="941"/>
      <c r="FA69" s="557">
        <f t="shared" si="77"/>
        <v>0</v>
      </c>
      <c r="FB69" s="345"/>
      <c r="FC69" s="941"/>
      <c r="FD69" s="941"/>
      <c r="FE69" s="941"/>
      <c r="FF69" s="941"/>
      <c r="FG69" s="557">
        <f t="shared" si="78"/>
        <v>0</v>
      </c>
      <c r="FH69" s="345"/>
      <c r="FI69" s="941"/>
      <c r="FJ69" s="941"/>
      <c r="FK69" s="941"/>
      <c r="FL69" s="941"/>
      <c r="FM69" s="557">
        <f t="shared" si="79"/>
        <v>0</v>
      </c>
      <c r="FQ69"/>
      <c r="FR69"/>
      <c r="FS69"/>
      <c r="FT69"/>
      <c r="FU69"/>
      <c r="FV69"/>
      <c r="FY69" s="27" t="s">
        <v>651</v>
      </c>
      <c r="FZ69" s="27">
        <f>19-GA69</f>
        <v>9</v>
      </c>
      <c r="GA69" s="27">
        <v>10</v>
      </c>
      <c r="GB69" s="24"/>
      <c r="GC69" s="24" t="s">
        <v>157</v>
      </c>
      <c r="GD69" s="24">
        <v>16</v>
      </c>
      <c r="GE69" s="24"/>
      <c r="GF69" s="24"/>
      <c r="GG69" s="24"/>
      <c r="GH69" s="24"/>
      <c r="GI69" s="24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</row>
    <row r="70" spans="1:274" s="27" customFormat="1" ht="12" hidden="1" customHeight="1" outlineLevel="1" x14ac:dyDescent="0.2">
      <c r="A70" s="344" t="s">
        <v>790</v>
      </c>
      <c r="B70" s="345"/>
      <c r="C70" s="943"/>
      <c r="D70" s="943"/>
      <c r="E70" s="943"/>
      <c r="F70" s="943"/>
      <c r="G70" s="943"/>
      <c r="H70" s="345"/>
      <c r="I70" s="943"/>
      <c r="J70" s="943"/>
      <c r="K70" s="943"/>
      <c r="L70" s="943"/>
      <c r="M70" s="943"/>
      <c r="N70" s="345"/>
      <c r="O70" s="37"/>
      <c r="P70" s="37"/>
      <c r="Q70" s="37"/>
      <c r="R70" s="37"/>
      <c r="S70" s="37"/>
      <c r="T70" s="345"/>
      <c r="U70" s="943"/>
      <c r="V70" s="943"/>
      <c r="W70" s="943"/>
      <c r="X70" s="943"/>
      <c r="Y70" s="943"/>
      <c r="Z70" s="345"/>
      <c r="AA70" s="943"/>
      <c r="AB70" s="943"/>
      <c r="AC70" s="943"/>
      <c r="AD70" s="943"/>
      <c r="AE70" s="943"/>
      <c r="AF70" s="345"/>
      <c r="AG70" s="943"/>
      <c r="AH70" s="943"/>
      <c r="AI70" s="943"/>
      <c r="AJ70" s="943"/>
      <c r="AK70" s="943"/>
      <c r="AL70" s="943"/>
      <c r="AM70" s="943"/>
      <c r="AN70" s="943"/>
      <c r="AO70" s="943"/>
      <c r="AP70" s="943"/>
      <c r="AQ70" s="943"/>
      <c r="AR70" s="345"/>
      <c r="AS70" s="943"/>
      <c r="AT70" s="943"/>
      <c r="AU70" s="943"/>
      <c r="AV70" s="943"/>
      <c r="AW70" s="943"/>
      <c r="AX70" s="345"/>
      <c r="AY70" s="943"/>
      <c r="AZ70" s="943"/>
      <c r="BA70" s="943"/>
      <c r="BB70" s="943"/>
      <c r="BC70" s="943"/>
      <c r="BD70" s="345"/>
      <c r="BE70" s="943"/>
      <c r="BF70" s="943"/>
      <c r="BG70" s="943"/>
      <c r="BH70" s="943"/>
      <c r="BI70" s="943"/>
      <c r="BJ70" s="345"/>
      <c r="BK70" s="943"/>
      <c r="BL70" s="943"/>
      <c r="BM70" s="943"/>
      <c r="BN70" s="943"/>
      <c r="BO70" s="943"/>
      <c r="BP70" s="345"/>
      <c r="BQ70" s="943"/>
      <c r="BR70" s="943"/>
      <c r="BS70" s="943"/>
      <c r="BT70" s="943"/>
      <c r="BU70" s="37"/>
      <c r="BV70" s="345"/>
      <c r="BW70" s="941"/>
      <c r="BX70" s="941"/>
      <c r="BY70" s="941"/>
      <c r="BZ70" s="1445"/>
      <c r="CA70" s="37"/>
      <c r="CB70" s="345"/>
      <c r="CC70" s="1445"/>
      <c r="CD70" s="1445"/>
      <c r="CE70" s="1445"/>
      <c r="CF70" s="1445"/>
      <c r="CG70" s="557">
        <f t="shared" si="65"/>
        <v>0</v>
      </c>
      <c r="CH70" s="345"/>
      <c r="CI70" s="1445"/>
      <c r="CJ70" s="1445"/>
      <c r="CK70" s="1445"/>
      <c r="CL70" s="1445"/>
      <c r="CM70" s="557">
        <f t="shared" si="66"/>
        <v>0</v>
      </c>
      <c r="CN70" s="345"/>
      <c r="CO70" s="1445"/>
      <c r="CP70" s="1445"/>
      <c r="CQ70" s="1445"/>
      <c r="CR70" s="1445"/>
      <c r="CS70" s="557">
        <f t="shared" si="67"/>
        <v>0</v>
      </c>
      <c r="CT70" s="345"/>
      <c r="CU70" s="1445">
        <f>(50/4)*0.5</f>
        <v>6.25</v>
      </c>
      <c r="CV70" s="1445">
        <f>(52/4)*0.5</f>
        <v>6.5</v>
      </c>
      <c r="CW70" s="1445">
        <f>(54/4)*0.5+1</f>
        <v>7.75</v>
      </c>
      <c r="CX70" s="1445">
        <f>(55/4)*0.5</f>
        <v>6.875</v>
      </c>
      <c r="CY70" s="557">
        <f t="shared" si="68"/>
        <v>27.375</v>
      </c>
      <c r="CZ70" s="86"/>
      <c r="DA70" s="1445"/>
      <c r="DB70" s="1445"/>
      <c r="DC70" s="1445"/>
      <c r="DD70" s="1445"/>
      <c r="DE70" s="557">
        <f t="shared" si="69"/>
        <v>0</v>
      </c>
      <c r="DF70" s="345"/>
      <c r="DG70" s="941"/>
      <c r="DH70" s="941"/>
      <c r="DI70" s="941"/>
      <c r="DJ70" s="1446"/>
      <c r="DK70" s="557">
        <f t="shared" si="70"/>
        <v>0</v>
      </c>
      <c r="DL70" s="345"/>
      <c r="DM70" s="941"/>
      <c r="DN70" s="941"/>
      <c r="DO70" s="941"/>
      <c r="DP70" s="941"/>
      <c r="DQ70" s="557">
        <f t="shared" si="71"/>
        <v>0</v>
      </c>
      <c r="DR70" s="345"/>
      <c r="DS70" s="941"/>
      <c r="DT70" s="941"/>
      <c r="DU70" s="941"/>
      <c r="DV70" s="941"/>
      <c r="DW70" s="557">
        <f t="shared" si="72"/>
        <v>0</v>
      </c>
      <c r="DX70" s="345"/>
      <c r="DY70" s="941"/>
      <c r="DZ70" s="941"/>
      <c r="EA70" s="941"/>
      <c r="EB70" s="941"/>
      <c r="EC70" s="557">
        <f t="shared" si="73"/>
        <v>0</v>
      </c>
      <c r="ED70" s="345"/>
      <c r="EE70" s="941"/>
      <c r="EF70" s="941"/>
      <c r="EG70" s="941"/>
      <c r="EH70" s="941"/>
      <c r="EI70" s="557">
        <f t="shared" si="74"/>
        <v>0</v>
      </c>
      <c r="EJ70" s="345"/>
      <c r="EK70" s="941"/>
      <c r="EL70" s="941"/>
      <c r="EM70" s="941"/>
      <c r="EN70" s="941"/>
      <c r="EO70" s="557">
        <f t="shared" si="75"/>
        <v>0</v>
      </c>
      <c r="EP70" s="345"/>
      <c r="EQ70" s="941"/>
      <c r="ER70" s="941"/>
      <c r="ES70" s="941"/>
      <c r="ET70" s="941"/>
      <c r="EU70" s="557">
        <f t="shared" si="76"/>
        <v>0</v>
      </c>
      <c r="EV70" s="345"/>
      <c r="EW70" s="941"/>
      <c r="EX70" s="941"/>
      <c r="EY70" s="941"/>
      <c r="EZ70" s="941"/>
      <c r="FA70" s="557">
        <f t="shared" si="77"/>
        <v>0</v>
      </c>
      <c r="FB70" s="345"/>
      <c r="FC70" s="941"/>
      <c r="FD70" s="941"/>
      <c r="FE70" s="941"/>
      <c r="FF70" s="941"/>
      <c r="FG70" s="557">
        <f t="shared" si="78"/>
        <v>0</v>
      </c>
      <c r="FH70" s="345"/>
      <c r="FI70" s="941"/>
      <c r="FJ70" s="941"/>
      <c r="FK70" s="941"/>
      <c r="FL70" s="941"/>
      <c r="FM70" s="557">
        <f t="shared" si="79"/>
        <v>0</v>
      </c>
      <c r="FQ70"/>
      <c r="FR70"/>
      <c r="FS70"/>
      <c r="FT70"/>
      <c r="FU70"/>
      <c r="FV70"/>
      <c r="GB70" s="24"/>
      <c r="GC70" s="24"/>
      <c r="GD70" s="24"/>
      <c r="GE70" s="24"/>
      <c r="GF70" s="24"/>
      <c r="GG70" s="24"/>
      <c r="GH70" s="24"/>
      <c r="GI70" s="24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</row>
    <row r="71" spans="1:274" s="27" customFormat="1" ht="12" hidden="1" customHeight="1" outlineLevel="1" x14ac:dyDescent="0.2">
      <c r="A71" s="344" t="s">
        <v>875</v>
      </c>
      <c r="B71" s="345"/>
      <c r="C71" s="943"/>
      <c r="D71" s="943"/>
      <c r="E71" s="943"/>
      <c r="F71" s="943"/>
      <c r="G71" s="943"/>
      <c r="H71" s="345"/>
      <c r="I71" s="943"/>
      <c r="J71" s="943"/>
      <c r="K71" s="943"/>
      <c r="L71" s="943"/>
      <c r="M71" s="943"/>
      <c r="N71" s="345"/>
      <c r="O71" s="37"/>
      <c r="P71" s="37"/>
      <c r="Q71" s="37"/>
      <c r="R71" s="37"/>
      <c r="S71" s="37"/>
      <c r="T71" s="345"/>
      <c r="U71" s="943"/>
      <c r="V71" s="943"/>
      <c r="W71" s="943"/>
      <c r="X71" s="943"/>
      <c r="Y71" s="943"/>
      <c r="Z71" s="345"/>
      <c r="AA71" s="943"/>
      <c r="AB71" s="943"/>
      <c r="AC71" s="943"/>
      <c r="AD71" s="943"/>
      <c r="AE71" s="943"/>
      <c r="AF71" s="345"/>
      <c r="AG71" s="943"/>
      <c r="AH71" s="943"/>
      <c r="AI71" s="943"/>
      <c r="AJ71" s="943"/>
      <c r="AK71" s="943"/>
      <c r="AL71" s="943"/>
      <c r="AM71" s="943"/>
      <c r="AN71" s="943"/>
      <c r="AO71" s="943"/>
      <c r="AP71" s="943"/>
      <c r="AQ71" s="943"/>
      <c r="AR71" s="345"/>
      <c r="AS71" s="943"/>
      <c r="AT71" s="943"/>
      <c r="AU71" s="943"/>
      <c r="AV71" s="943"/>
      <c r="AW71" s="943"/>
      <c r="AX71" s="345"/>
      <c r="AY71" s="943"/>
      <c r="AZ71" s="943"/>
      <c r="BA71" s="943"/>
      <c r="BB71" s="943"/>
      <c r="BC71" s="943"/>
      <c r="BD71" s="345"/>
      <c r="BE71" s="943"/>
      <c r="BF71" s="943"/>
      <c r="BG71" s="943"/>
      <c r="BH71" s="943"/>
      <c r="BI71" s="943"/>
      <c r="BJ71" s="345"/>
      <c r="BK71" s="943"/>
      <c r="BL71" s="943"/>
      <c r="BM71" s="943"/>
      <c r="BN71" s="943"/>
      <c r="BO71" s="943"/>
      <c r="BP71" s="345"/>
      <c r="BQ71" s="943"/>
      <c r="BR71" s="943"/>
      <c r="BS71" s="943"/>
      <c r="BT71" s="943"/>
      <c r="BU71" s="37"/>
      <c r="BV71" s="345"/>
      <c r="BW71" s="941"/>
      <c r="BX71" s="941"/>
      <c r="BY71" s="941"/>
      <c r="BZ71" s="1445"/>
      <c r="CA71" s="37"/>
      <c r="CB71" s="345"/>
      <c r="CC71" s="1445"/>
      <c r="CD71" s="1445"/>
      <c r="CE71" s="1445"/>
      <c r="CF71" s="1445"/>
      <c r="CG71" s="557"/>
      <c r="CH71" s="345"/>
      <c r="CI71" s="1445"/>
      <c r="CJ71" s="1445"/>
      <c r="CK71" s="1445"/>
      <c r="CL71" s="1445"/>
      <c r="CM71" s="557"/>
      <c r="CN71" s="345"/>
      <c r="CO71" s="1445"/>
      <c r="CP71" s="1445"/>
      <c r="CQ71" s="1445"/>
      <c r="CR71" s="1445"/>
      <c r="CS71" s="557">
        <f t="shared" si="67"/>
        <v>0</v>
      </c>
      <c r="CT71" s="345"/>
      <c r="CU71" s="1445"/>
      <c r="CV71" s="1445"/>
      <c r="CW71" s="1445">
        <f>17*0.7</f>
        <v>11.899999999999999</v>
      </c>
      <c r="CX71" s="1445">
        <v>21</v>
      </c>
      <c r="CY71" s="557">
        <f t="shared" si="68"/>
        <v>32.9</v>
      </c>
      <c r="CZ71" s="86"/>
      <c r="DA71" s="1445">
        <f>19*0.7</f>
        <v>13.299999999999999</v>
      </c>
      <c r="DB71" s="1445">
        <f>20*0.7</f>
        <v>14</v>
      </c>
      <c r="DC71" s="1445"/>
      <c r="DD71" s="1445"/>
      <c r="DE71" s="557">
        <f t="shared" si="69"/>
        <v>27.299999999999997</v>
      </c>
      <c r="DF71" s="345"/>
      <c r="DG71" s="941"/>
      <c r="DH71" s="941"/>
      <c r="DI71" s="941"/>
      <c r="DJ71" s="1446"/>
      <c r="DK71" s="557">
        <f t="shared" si="70"/>
        <v>0</v>
      </c>
      <c r="DL71" s="345"/>
      <c r="DM71" s="941"/>
      <c r="DN71" s="941"/>
      <c r="DO71" s="941"/>
      <c r="DP71" s="941"/>
      <c r="DQ71" s="557">
        <f t="shared" si="71"/>
        <v>0</v>
      </c>
      <c r="DR71" s="345"/>
      <c r="DS71" s="941"/>
      <c r="DT71" s="941"/>
      <c r="DU71" s="941"/>
      <c r="DV71" s="941"/>
      <c r="DW71" s="557">
        <f t="shared" si="72"/>
        <v>0</v>
      </c>
      <c r="DX71" s="345"/>
      <c r="DY71" s="941"/>
      <c r="DZ71" s="941"/>
      <c r="EA71" s="941"/>
      <c r="EB71" s="941"/>
      <c r="EC71" s="557">
        <f t="shared" si="73"/>
        <v>0</v>
      </c>
      <c r="ED71" s="345"/>
      <c r="EE71" s="941"/>
      <c r="EF71" s="941"/>
      <c r="EG71" s="941"/>
      <c r="EH71" s="941"/>
      <c r="EI71" s="557">
        <f t="shared" si="74"/>
        <v>0</v>
      </c>
      <c r="EJ71" s="345"/>
      <c r="EK71" s="941"/>
      <c r="EL71" s="941"/>
      <c r="EM71" s="941"/>
      <c r="EN71" s="941"/>
      <c r="EO71" s="557">
        <f t="shared" si="75"/>
        <v>0</v>
      </c>
      <c r="EP71" s="345"/>
      <c r="EQ71" s="941"/>
      <c r="ER71" s="941"/>
      <c r="ES71" s="941"/>
      <c r="ET71" s="941"/>
      <c r="EU71" s="557">
        <f t="shared" si="76"/>
        <v>0</v>
      </c>
      <c r="EV71" s="345"/>
      <c r="EW71" s="941"/>
      <c r="EX71" s="941"/>
      <c r="EY71" s="941"/>
      <c r="EZ71" s="941"/>
      <c r="FA71" s="557">
        <f t="shared" si="77"/>
        <v>0</v>
      </c>
      <c r="FB71" s="345"/>
      <c r="FC71" s="941"/>
      <c r="FD71" s="941"/>
      <c r="FE71" s="941"/>
      <c r="FF71" s="941"/>
      <c r="FG71" s="557">
        <f t="shared" si="78"/>
        <v>0</v>
      </c>
      <c r="FH71" s="345"/>
      <c r="FI71" s="941"/>
      <c r="FJ71" s="941"/>
      <c r="FK71" s="941"/>
      <c r="FL71" s="941"/>
      <c r="FM71" s="557">
        <f t="shared" si="79"/>
        <v>0</v>
      </c>
      <c r="FQ71"/>
      <c r="FR71"/>
      <c r="FS71"/>
      <c r="FT71"/>
      <c r="FU71"/>
      <c r="FV71"/>
      <c r="GB71" s="24"/>
      <c r="GC71" s="24"/>
      <c r="GD71" s="24"/>
      <c r="GE71" s="24"/>
      <c r="GF71" s="24"/>
      <c r="GG71" s="24"/>
      <c r="GH71" s="24"/>
      <c r="GI71" s="24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</row>
    <row r="72" spans="1:274" s="27" customFormat="1" ht="12" hidden="1" customHeight="1" outlineLevel="1" x14ac:dyDescent="0.2">
      <c r="A72" s="344" t="s">
        <v>126</v>
      </c>
      <c r="B72" s="345"/>
      <c r="C72" s="943"/>
      <c r="D72" s="943"/>
      <c r="E72" s="943"/>
      <c r="F72" s="943"/>
      <c r="G72" s="943"/>
      <c r="H72" s="345"/>
      <c r="I72" s="943"/>
      <c r="J72" s="943"/>
      <c r="K72" s="943"/>
      <c r="L72" s="943"/>
      <c r="M72" s="943"/>
      <c r="N72" s="345"/>
      <c r="O72" s="37"/>
      <c r="P72" s="37"/>
      <c r="Q72" s="37"/>
      <c r="R72" s="37"/>
      <c r="S72" s="37"/>
      <c r="T72" s="345"/>
      <c r="U72" s="943"/>
      <c r="V72" s="943"/>
      <c r="W72" s="943"/>
      <c r="X72" s="943"/>
      <c r="Y72" s="943"/>
      <c r="Z72" s="345"/>
      <c r="AA72" s="943"/>
      <c r="AB72" s="943"/>
      <c r="AC72" s="943"/>
      <c r="AD72" s="943"/>
      <c r="AE72" s="943"/>
      <c r="AF72" s="345"/>
      <c r="AG72" s="943"/>
      <c r="AH72" s="943"/>
      <c r="AI72" s="943"/>
      <c r="AJ72" s="943"/>
      <c r="AK72" s="943"/>
      <c r="AL72" s="943"/>
      <c r="AM72" s="943"/>
      <c r="AN72" s="943"/>
      <c r="AO72" s="943"/>
      <c r="AP72" s="943"/>
      <c r="AQ72" s="943"/>
      <c r="AR72" s="345"/>
      <c r="AS72" s="943"/>
      <c r="AT72" s="943"/>
      <c r="AU72" s="943"/>
      <c r="AV72" s="943"/>
      <c r="AW72" s="943"/>
      <c r="AX72" s="345"/>
      <c r="AY72" s="943"/>
      <c r="AZ72" s="943"/>
      <c r="BA72" s="943"/>
      <c r="BB72" s="943"/>
      <c r="BC72" s="943"/>
      <c r="BD72" s="345"/>
      <c r="BE72" s="943"/>
      <c r="BF72" s="943"/>
      <c r="BG72" s="943"/>
      <c r="BH72" s="943"/>
      <c r="BI72" s="943"/>
      <c r="BJ72" s="345"/>
      <c r="BK72" s="943"/>
      <c r="BL72" s="943"/>
      <c r="BM72" s="943"/>
      <c r="BN72" s="943"/>
      <c r="BO72" s="943"/>
      <c r="BP72" s="345"/>
      <c r="BQ72" s="943"/>
      <c r="BR72" s="943"/>
      <c r="BS72" s="943"/>
      <c r="BT72" s="943"/>
      <c r="BU72" s="37"/>
      <c r="BV72" s="345"/>
      <c r="BW72" s="941"/>
      <c r="BX72" s="941"/>
      <c r="BY72" s="941"/>
      <c r="BZ72" s="1445"/>
      <c r="CA72" s="37"/>
      <c r="CB72" s="345"/>
      <c r="CC72" s="1445"/>
      <c r="CD72" s="1445"/>
      <c r="CE72" s="1445"/>
      <c r="CF72" s="1445"/>
      <c r="CG72" s="557"/>
      <c r="CH72" s="345"/>
      <c r="CI72" s="1445"/>
      <c r="CJ72" s="1445"/>
      <c r="CK72" s="1445"/>
      <c r="CL72" s="1445"/>
      <c r="CM72" s="557"/>
      <c r="CN72" s="345"/>
      <c r="CO72" s="1445"/>
      <c r="CP72" s="1445"/>
      <c r="CQ72" s="1445"/>
      <c r="CR72" s="1445"/>
      <c r="CS72" s="557"/>
      <c r="CT72" s="345"/>
      <c r="CU72" s="1445"/>
      <c r="CV72" s="1445"/>
      <c r="CW72" s="1445"/>
      <c r="CX72" s="1445"/>
      <c r="CY72" s="557">
        <f t="shared" si="68"/>
        <v>0</v>
      </c>
      <c r="CZ72" s="86"/>
      <c r="DA72" s="1445"/>
      <c r="DB72" s="1445"/>
      <c r="DC72" s="1445"/>
      <c r="DD72" s="1445"/>
      <c r="DE72" s="557">
        <f t="shared" si="69"/>
        <v>0</v>
      </c>
      <c r="DF72" s="345"/>
      <c r="DG72" s="941"/>
      <c r="DH72" s="941"/>
      <c r="DI72" s="941">
        <v>9</v>
      </c>
      <c r="DJ72" s="941">
        <v>18</v>
      </c>
      <c r="DK72" s="557">
        <f t="shared" si="70"/>
        <v>27</v>
      </c>
      <c r="DL72" s="345"/>
      <c r="DM72" s="941">
        <v>22</v>
      </c>
      <c r="DN72" s="941">
        <v>26</v>
      </c>
      <c r="DO72" s="941">
        <v>10</v>
      </c>
      <c r="DP72" s="941"/>
      <c r="DQ72" s="557">
        <f t="shared" si="71"/>
        <v>58</v>
      </c>
      <c r="DR72" s="345"/>
      <c r="DS72" s="941"/>
      <c r="DT72" s="941"/>
      <c r="DU72" s="941"/>
      <c r="DV72" s="941"/>
      <c r="DW72" s="557">
        <f t="shared" si="72"/>
        <v>0</v>
      </c>
      <c r="DX72" s="345"/>
      <c r="DY72" s="941"/>
      <c r="DZ72" s="941"/>
      <c r="EA72" s="941"/>
      <c r="EB72" s="941"/>
      <c r="EC72" s="557">
        <f t="shared" si="73"/>
        <v>0</v>
      </c>
      <c r="ED72" s="345"/>
      <c r="EE72" s="941"/>
      <c r="EF72" s="941"/>
      <c r="EG72" s="941"/>
      <c r="EH72" s="941"/>
      <c r="EI72" s="557">
        <f t="shared" si="74"/>
        <v>0</v>
      </c>
      <c r="EJ72" s="345"/>
      <c r="EK72" s="941"/>
      <c r="EL72" s="941"/>
      <c r="EM72" s="941"/>
      <c r="EN72" s="941"/>
      <c r="EO72" s="557">
        <f t="shared" si="75"/>
        <v>0</v>
      </c>
      <c r="EP72" s="345"/>
      <c r="EQ72" s="941"/>
      <c r="ER72" s="941"/>
      <c r="ES72" s="941"/>
      <c r="ET72" s="941"/>
      <c r="EU72" s="557">
        <f t="shared" si="76"/>
        <v>0</v>
      </c>
      <c r="EV72" s="345"/>
      <c r="EW72" s="941"/>
      <c r="EX72" s="941"/>
      <c r="EY72" s="941"/>
      <c r="EZ72" s="941"/>
      <c r="FA72" s="557">
        <f t="shared" si="77"/>
        <v>0</v>
      </c>
      <c r="FB72" s="345"/>
      <c r="FC72" s="941"/>
      <c r="FD72" s="941"/>
      <c r="FE72" s="941"/>
      <c r="FF72" s="941"/>
      <c r="FG72" s="557">
        <f t="shared" si="78"/>
        <v>0</v>
      </c>
      <c r="FH72" s="345"/>
      <c r="FI72" s="941"/>
      <c r="FJ72" s="941"/>
      <c r="FK72" s="941"/>
      <c r="FL72" s="941"/>
      <c r="FM72" s="557">
        <f t="shared" si="79"/>
        <v>0</v>
      </c>
      <c r="FQ72"/>
      <c r="FR72"/>
      <c r="FS72"/>
      <c r="FT72"/>
      <c r="FU72"/>
      <c r="FV72"/>
      <c r="GB72" s="24"/>
      <c r="GC72" s="24"/>
      <c r="GD72" s="24"/>
      <c r="GE72" s="24"/>
      <c r="GF72" s="24"/>
      <c r="GG72" s="24"/>
      <c r="GH72" s="24"/>
      <c r="GI72" s="24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</row>
    <row r="73" spans="1:274" s="27" customFormat="1" ht="12" hidden="1" customHeight="1" outlineLevel="1" x14ac:dyDescent="0.2">
      <c r="A73" s="344" t="s">
        <v>530</v>
      </c>
      <c r="B73" s="345"/>
      <c r="C73" s="943"/>
      <c r="D73" s="943"/>
      <c r="E73" s="943"/>
      <c r="F73" s="943"/>
      <c r="G73" s="943"/>
      <c r="H73" s="345"/>
      <c r="I73" s="943"/>
      <c r="J73" s="943"/>
      <c r="K73" s="943"/>
      <c r="L73" s="943"/>
      <c r="M73" s="943"/>
      <c r="N73" s="345"/>
      <c r="O73" s="37"/>
      <c r="P73" s="37"/>
      <c r="Q73" s="37"/>
      <c r="R73" s="37"/>
      <c r="S73" s="37"/>
      <c r="T73" s="345"/>
      <c r="U73" s="943"/>
      <c r="V73" s="943"/>
      <c r="W73" s="943"/>
      <c r="X73" s="943"/>
      <c r="Y73" s="943"/>
      <c r="Z73" s="345"/>
      <c r="AA73" s="943"/>
      <c r="AB73" s="943"/>
      <c r="AC73" s="943"/>
      <c r="AD73" s="943"/>
      <c r="AE73" s="943"/>
      <c r="AF73" s="345"/>
      <c r="AG73" s="943"/>
      <c r="AH73" s="943"/>
      <c r="AI73" s="943"/>
      <c r="AJ73" s="943"/>
      <c r="AK73" s="943"/>
      <c r="AL73" s="943"/>
      <c r="AM73" s="943"/>
      <c r="AN73" s="943"/>
      <c r="AO73" s="943"/>
      <c r="AP73" s="943"/>
      <c r="AQ73" s="943"/>
      <c r="AR73" s="345"/>
      <c r="AS73" s="943"/>
      <c r="AT73" s="943"/>
      <c r="AU73" s="943"/>
      <c r="AV73" s="943"/>
      <c r="AW73" s="943"/>
      <c r="AX73" s="345"/>
      <c r="AY73" s="943"/>
      <c r="AZ73" s="943"/>
      <c r="BA73" s="943"/>
      <c r="BB73" s="943"/>
      <c r="BC73" s="943"/>
      <c r="BD73" s="345"/>
      <c r="BE73" s="943"/>
      <c r="BF73" s="943"/>
      <c r="BG73" s="943"/>
      <c r="BH73" s="943"/>
      <c r="BI73" s="943"/>
      <c r="BJ73" s="345"/>
      <c r="BK73" s="943"/>
      <c r="BL73" s="943"/>
      <c r="BM73" s="943"/>
      <c r="BN73" s="943"/>
      <c r="BO73" s="943"/>
      <c r="BP73" s="345"/>
      <c r="BQ73" s="943"/>
      <c r="BR73" s="943"/>
      <c r="BS73" s="943"/>
      <c r="BT73" s="943"/>
      <c r="BU73" s="37"/>
      <c r="BV73" s="345"/>
      <c r="BW73" s="941"/>
      <c r="BX73" s="941"/>
      <c r="BY73" s="941"/>
      <c r="BZ73" s="1445"/>
      <c r="CA73" s="37"/>
      <c r="CB73" s="345"/>
      <c r="CC73" s="1445"/>
      <c r="CD73" s="1445"/>
      <c r="CE73" s="1445"/>
      <c r="CF73" s="1445"/>
      <c r="CG73" s="557"/>
      <c r="CH73" s="345"/>
      <c r="CI73" s="1445"/>
      <c r="CJ73" s="1445"/>
      <c r="CK73" s="1445"/>
      <c r="CL73" s="1445"/>
      <c r="CM73" s="557"/>
      <c r="CN73" s="345"/>
      <c r="CO73" s="1445"/>
      <c r="CP73" s="1445"/>
      <c r="CQ73" s="1445"/>
      <c r="CR73" s="1445"/>
      <c r="CS73" s="557"/>
      <c r="CT73" s="345"/>
      <c r="CU73" s="1445"/>
      <c r="CV73" s="1445"/>
      <c r="CW73" s="1445"/>
      <c r="CX73" s="1445"/>
      <c r="CY73" s="557">
        <f t="shared" si="68"/>
        <v>0</v>
      </c>
      <c r="CZ73" s="86"/>
      <c r="DA73" s="1445"/>
      <c r="DB73" s="1445"/>
      <c r="DC73" s="1445"/>
      <c r="DD73" s="1445"/>
      <c r="DE73" s="557">
        <f t="shared" si="69"/>
        <v>0</v>
      </c>
      <c r="DF73" s="345"/>
      <c r="DG73" s="941">
        <v>3</v>
      </c>
      <c r="DH73" s="941">
        <v>25</v>
      </c>
      <c r="DI73" s="941">
        <v>25</v>
      </c>
      <c r="DJ73" s="941">
        <v>25</v>
      </c>
      <c r="DK73" s="557">
        <f t="shared" si="70"/>
        <v>78</v>
      </c>
      <c r="DL73" s="345"/>
      <c r="DM73" s="941">
        <f>27</f>
        <v>27</v>
      </c>
      <c r="DN73" s="941"/>
      <c r="DO73" s="941"/>
      <c r="DP73" s="941"/>
      <c r="DQ73" s="557">
        <f t="shared" si="71"/>
        <v>27</v>
      </c>
      <c r="DR73" s="345"/>
      <c r="DS73" s="941"/>
      <c r="DT73" s="941"/>
      <c r="DU73" s="941"/>
      <c r="DV73" s="941"/>
      <c r="DW73" s="557">
        <f t="shared" si="72"/>
        <v>0</v>
      </c>
      <c r="DX73" s="345"/>
      <c r="DY73" s="941"/>
      <c r="DZ73" s="941"/>
      <c r="EA73" s="941"/>
      <c r="EB73" s="941"/>
      <c r="EC73" s="557">
        <f t="shared" si="73"/>
        <v>0</v>
      </c>
      <c r="ED73" s="345"/>
      <c r="EE73" s="941"/>
      <c r="EF73" s="941"/>
      <c r="EG73" s="941"/>
      <c r="EH73" s="941"/>
      <c r="EI73" s="557">
        <f t="shared" si="74"/>
        <v>0</v>
      </c>
      <c r="EJ73" s="345"/>
      <c r="EK73" s="941"/>
      <c r="EL73" s="941"/>
      <c r="EM73" s="941"/>
      <c r="EN73" s="941"/>
      <c r="EO73" s="557">
        <f t="shared" si="75"/>
        <v>0</v>
      </c>
      <c r="EP73" s="345"/>
      <c r="EQ73" s="941"/>
      <c r="ER73" s="941"/>
      <c r="ES73" s="941"/>
      <c r="ET73" s="941"/>
      <c r="EU73" s="557">
        <f t="shared" si="76"/>
        <v>0</v>
      </c>
      <c r="EV73" s="345"/>
      <c r="EW73" s="941"/>
      <c r="EX73" s="941"/>
      <c r="EY73" s="941"/>
      <c r="EZ73" s="941"/>
      <c r="FA73" s="557">
        <f t="shared" si="77"/>
        <v>0</v>
      </c>
      <c r="FB73" s="345"/>
      <c r="FC73" s="941"/>
      <c r="FD73" s="941"/>
      <c r="FE73" s="941"/>
      <c r="FF73" s="941"/>
      <c r="FG73" s="557">
        <f t="shared" si="78"/>
        <v>0</v>
      </c>
      <c r="FH73" s="345"/>
      <c r="FI73" s="941"/>
      <c r="FJ73" s="941"/>
      <c r="FK73" s="941"/>
      <c r="FL73" s="941"/>
      <c r="FM73" s="557">
        <f t="shared" si="79"/>
        <v>0</v>
      </c>
      <c r="FQ73"/>
      <c r="FR73"/>
      <c r="FS73"/>
      <c r="FT73"/>
      <c r="FU73"/>
      <c r="FV73"/>
      <c r="GB73" s="24"/>
      <c r="GC73" s="24"/>
      <c r="GD73" s="24"/>
      <c r="GE73" s="24"/>
      <c r="GF73" s="24"/>
      <c r="GG73" s="24"/>
      <c r="GH73" s="24"/>
      <c r="GI73" s="24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</row>
    <row r="74" spans="1:274" s="27" customFormat="1" ht="12" hidden="1" customHeight="1" outlineLevel="1" x14ac:dyDescent="0.2">
      <c r="A74" s="344" t="s">
        <v>210</v>
      </c>
      <c r="B74" s="345"/>
      <c r="C74" s="943"/>
      <c r="D74" s="943"/>
      <c r="E74" s="943"/>
      <c r="F74" s="943"/>
      <c r="G74" s="943"/>
      <c r="H74" s="345"/>
      <c r="I74" s="943"/>
      <c r="J74" s="943"/>
      <c r="K74" s="943"/>
      <c r="L74" s="943"/>
      <c r="M74" s="943"/>
      <c r="N74" s="345"/>
      <c r="O74" s="37"/>
      <c r="P74" s="37"/>
      <c r="Q74" s="37"/>
      <c r="R74" s="37"/>
      <c r="S74" s="37"/>
      <c r="T74" s="345"/>
      <c r="U74" s="943"/>
      <c r="V74" s="943"/>
      <c r="W74" s="943"/>
      <c r="X74" s="943"/>
      <c r="Y74" s="943"/>
      <c r="Z74" s="345"/>
      <c r="AA74" s="943"/>
      <c r="AB74" s="943"/>
      <c r="AC74" s="943"/>
      <c r="AD74" s="943"/>
      <c r="AE74" s="943"/>
      <c r="AF74" s="345"/>
      <c r="AG74" s="943"/>
      <c r="AH74" s="943"/>
      <c r="AI74" s="943"/>
      <c r="AJ74" s="943"/>
      <c r="AK74" s="943"/>
      <c r="AL74" s="943"/>
      <c r="AM74" s="943"/>
      <c r="AN74" s="943"/>
      <c r="AO74" s="943"/>
      <c r="AP74" s="943"/>
      <c r="AQ74" s="943"/>
      <c r="AR74" s="345"/>
      <c r="AS74" s="943"/>
      <c r="AT74" s="943"/>
      <c r="AU74" s="943"/>
      <c r="AV74" s="943"/>
      <c r="AW74" s="943"/>
      <c r="AX74" s="345"/>
      <c r="AY74" s="943"/>
      <c r="AZ74" s="943"/>
      <c r="BA74" s="943"/>
      <c r="BB74" s="943"/>
      <c r="BC74" s="943"/>
      <c r="BD74" s="345"/>
      <c r="BE74" s="943"/>
      <c r="BF74" s="943"/>
      <c r="BG74" s="943"/>
      <c r="BH74" s="943"/>
      <c r="BI74" s="943"/>
      <c r="BJ74" s="345"/>
      <c r="BK74" s="943"/>
      <c r="BL74" s="943"/>
      <c r="BM74" s="943"/>
      <c r="BN74" s="943"/>
      <c r="BO74" s="943"/>
      <c r="BP74" s="345"/>
      <c r="BQ74" s="943"/>
      <c r="BR74" s="943"/>
      <c r="BS74" s="943"/>
      <c r="BT74" s="943"/>
      <c r="BU74" s="37"/>
      <c r="BV74" s="345"/>
      <c r="BW74" s="941"/>
      <c r="BX74" s="941"/>
      <c r="BY74" s="941"/>
      <c r="BZ74" s="1445"/>
      <c r="CA74" s="37"/>
      <c r="CB74" s="345"/>
      <c r="CC74" s="1445"/>
      <c r="CD74" s="1445"/>
      <c r="CE74" s="1445"/>
      <c r="CF74" s="1445"/>
      <c r="CG74" s="557"/>
      <c r="CH74" s="345"/>
      <c r="CI74" s="1445"/>
      <c r="CJ74" s="1445"/>
      <c r="CK74" s="1445"/>
      <c r="CL74" s="1445"/>
      <c r="CM74" s="557"/>
      <c r="CN74" s="345"/>
      <c r="CO74" s="1445"/>
      <c r="CP74" s="1445"/>
      <c r="CQ74" s="1445"/>
      <c r="CR74" s="1445"/>
      <c r="CS74" s="557"/>
      <c r="CT74" s="345"/>
      <c r="CU74" s="1445"/>
      <c r="CV74" s="1445"/>
      <c r="CW74" s="1445"/>
      <c r="CX74" s="1445"/>
      <c r="CY74" s="557"/>
      <c r="CZ74" s="86"/>
      <c r="DA74" s="1445"/>
      <c r="DB74" s="1445"/>
      <c r="DC74" s="1445"/>
      <c r="DD74" s="1445"/>
      <c r="DE74" s="557"/>
      <c r="DF74" s="345"/>
      <c r="DG74" s="941"/>
      <c r="DH74" s="941"/>
      <c r="DI74" s="941"/>
      <c r="DJ74" s="941"/>
      <c r="DK74" s="557"/>
      <c r="DL74" s="345"/>
      <c r="DM74" s="1445">
        <f>DM134*0.5</f>
        <v>0</v>
      </c>
      <c r="DN74" s="1445">
        <f>DN134*0.5</f>
        <v>6</v>
      </c>
      <c r="DO74" s="1445">
        <f>DO134*0.5</f>
        <v>7</v>
      </c>
      <c r="DP74" s="1445">
        <f>DP134*0.5</f>
        <v>8</v>
      </c>
      <c r="DQ74" s="557">
        <f t="shared" si="71"/>
        <v>21</v>
      </c>
      <c r="DR74" s="345"/>
      <c r="DS74" s="941">
        <v>5</v>
      </c>
      <c r="DT74" s="941"/>
      <c r="DU74" s="941"/>
      <c r="DV74" s="941"/>
      <c r="DW74" s="557">
        <f t="shared" si="72"/>
        <v>5</v>
      </c>
      <c r="DX74" s="345"/>
      <c r="DY74" s="941"/>
      <c r="DZ74" s="941"/>
      <c r="EA74" s="941"/>
      <c r="EB74" s="941"/>
      <c r="EC74" s="557">
        <f t="shared" si="73"/>
        <v>0</v>
      </c>
      <c r="ED74" s="345"/>
      <c r="EE74" s="941"/>
      <c r="EF74" s="941"/>
      <c r="EG74" s="941"/>
      <c r="EH74" s="941"/>
      <c r="EI74" s="557">
        <f t="shared" si="74"/>
        <v>0</v>
      </c>
      <c r="EJ74" s="345"/>
      <c r="EK74" s="941"/>
      <c r="EL74" s="941"/>
      <c r="EM74" s="941"/>
      <c r="EN74" s="941"/>
      <c r="EO74" s="557">
        <f t="shared" si="75"/>
        <v>0</v>
      </c>
      <c r="EP74" s="345"/>
      <c r="EQ74" s="941"/>
      <c r="ER74" s="941"/>
      <c r="ES74" s="941"/>
      <c r="ET74" s="941"/>
      <c r="EU74" s="557">
        <f t="shared" si="76"/>
        <v>0</v>
      </c>
      <c r="EV74" s="345"/>
      <c r="EW74" s="941"/>
      <c r="EX74" s="941"/>
      <c r="EY74" s="941"/>
      <c r="EZ74" s="941"/>
      <c r="FA74" s="557">
        <f t="shared" si="77"/>
        <v>0</v>
      </c>
      <c r="FB74" s="345"/>
      <c r="FC74" s="941"/>
      <c r="FD74" s="941"/>
      <c r="FE74" s="941"/>
      <c r="FF74" s="941"/>
      <c r="FG74" s="557">
        <f t="shared" si="78"/>
        <v>0</v>
      </c>
      <c r="FH74" s="345"/>
      <c r="FI74" s="941"/>
      <c r="FJ74" s="941"/>
      <c r="FK74" s="941"/>
      <c r="FL74" s="941"/>
      <c r="FM74" s="557">
        <f t="shared" si="79"/>
        <v>0</v>
      </c>
      <c r="FQ74"/>
      <c r="FR74"/>
      <c r="FS74"/>
      <c r="FT74"/>
      <c r="FU74"/>
      <c r="FV74"/>
      <c r="GB74" s="24"/>
      <c r="GC74" s="24"/>
      <c r="GD74" s="24"/>
      <c r="GE74" s="24"/>
      <c r="GF74" s="24"/>
      <c r="GG74" s="24"/>
      <c r="GH74" s="24"/>
      <c r="GI74" s="2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</row>
    <row r="75" spans="1:274" s="27" customFormat="1" ht="12" hidden="1" customHeight="1" outlineLevel="1" x14ac:dyDescent="0.2">
      <c r="A75" s="344" t="s">
        <v>211</v>
      </c>
      <c r="B75" s="345"/>
      <c r="C75" s="943"/>
      <c r="D75" s="943"/>
      <c r="E75" s="943"/>
      <c r="F75" s="943"/>
      <c r="G75" s="943"/>
      <c r="H75" s="345"/>
      <c r="I75" s="943"/>
      <c r="J75" s="943"/>
      <c r="K75" s="943"/>
      <c r="L75" s="943"/>
      <c r="M75" s="943"/>
      <c r="N75" s="345"/>
      <c r="O75" s="37"/>
      <c r="P75" s="37"/>
      <c r="Q75" s="37"/>
      <c r="R75" s="37"/>
      <c r="S75" s="37"/>
      <c r="T75" s="345"/>
      <c r="U75" s="943"/>
      <c r="V75" s="943"/>
      <c r="W75" s="943"/>
      <c r="X75" s="943"/>
      <c r="Y75" s="943"/>
      <c r="Z75" s="345"/>
      <c r="AA75" s="943"/>
      <c r="AB75" s="943"/>
      <c r="AC75" s="943"/>
      <c r="AD75" s="943"/>
      <c r="AE75" s="943"/>
      <c r="AF75" s="345"/>
      <c r="AG75" s="943"/>
      <c r="AH75" s="943"/>
      <c r="AI75" s="943"/>
      <c r="AJ75" s="943"/>
      <c r="AK75" s="943"/>
      <c r="AL75" s="943"/>
      <c r="AM75" s="943"/>
      <c r="AN75" s="943"/>
      <c r="AO75" s="943"/>
      <c r="AP75" s="943"/>
      <c r="AQ75" s="943"/>
      <c r="AR75" s="345"/>
      <c r="AS75" s="943"/>
      <c r="AT75" s="943"/>
      <c r="AU75" s="943"/>
      <c r="AV75" s="943"/>
      <c r="AW75" s="943"/>
      <c r="AX75" s="345"/>
      <c r="AY75" s="943"/>
      <c r="AZ75" s="943"/>
      <c r="BA75" s="943"/>
      <c r="BB75" s="943"/>
      <c r="BC75" s="943"/>
      <c r="BD75" s="345"/>
      <c r="BE75" s="943"/>
      <c r="BF75" s="943"/>
      <c r="BG75" s="943"/>
      <c r="BH75" s="943"/>
      <c r="BI75" s="943"/>
      <c r="BJ75" s="345"/>
      <c r="BK75" s="943"/>
      <c r="BL75" s="943"/>
      <c r="BM75" s="943"/>
      <c r="BN75" s="943"/>
      <c r="BO75" s="943"/>
      <c r="BP75" s="345"/>
      <c r="BQ75" s="943"/>
      <c r="BR75" s="943"/>
      <c r="BS75" s="943"/>
      <c r="BT75" s="943"/>
      <c r="BU75" s="37"/>
      <c r="BV75" s="345"/>
      <c r="BW75" s="941"/>
      <c r="BX75" s="941"/>
      <c r="BY75" s="941"/>
      <c r="BZ75" s="1445"/>
      <c r="CA75" s="37"/>
      <c r="CB75" s="345"/>
      <c r="CC75" s="1445"/>
      <c r="CD75" s="1445"/>
      <c r="CE75" s="1445"/>
      <c r="CF75" s="1445"/>
      <c r="CG75" s="557"/>
      <c r="CH75" s="345"/>
      <c r="CI75" s="1445"/>
      <c r="CJ75" s="1445"/>
      <c r="CK75" s="1445"/>
      <c r="CL75" s="1445"/>
      <c r="CM75" s="557"/>
      <c r="CN75" s="345"/>
      <c r="CO75" s="1445"/>
      <c r="CP75" s="1445"/>
      <c r="CQ75" s="1445"/>
      <c r="CR75" s="1445"/>
      <c r="CS75" s="557"/>
      <c r="CT75" s="345"/>
      <c r="CU75" s="1445"/>
      <c r="CV75" s="1445"/>
      <c r="CW75" s="1445"/>
      <c r="CX75" s="1445"/>
      <c r="CY75" s="557"/>
      <c r="CZ75" s="86"/>
      <c r="DA75" s="1445"/>
      <c r="DB75" s="1445"/>
      <c r="DC75" s="1445"/>
      <c r="DD75" s="1445"/>
      <c r="DE75" s="557"/>
      <c r="DF75" s="345"/>
      <c r="DG75" s="941"/>
      <c r="DH75" s="941"/>
      <c r="DI75" s="941"/>
      <c r="DJ75" s="941"/>
      <c r="DK75" s="557"/>
      <c r="DL75" s="345"/>
      <c r="DM75" s="1445">
        <f>DM136*0.5</f>
        <v>2</v>
      </c>
      <c r="DN75" s="1445">
        <f>DN136*0.5</f>
        <v>4</v>
      </c>
      <c r="DO75" s="1445">
        <f>DO136*0.5</f>
        <v>4.25</v>
      </c>
      <c r="DP75" s="1445">
        <f>DP136*0.5</f>
        <v>4.5</v>
      </c>
      <c r="DQ75" s="557">
        <f t="shared" si="71"/>
        <v>14.75</v>
      </c>
      <c r="DR75" s="345"/>
      <c r="DS75" s="941">
        <v>2</v>
      </c>
      <c r="DT75" s="941"/>
      <c r="DU75" s="941"/>
      <c r="DV75" s="941"/>
      <c r="DW75" s="557">
        <f t="shared" si="72"/>
        <v>2</v>
      </c>
      <c r="DX75" s="345"/>
      <c r="DY75" s="941"/>
      <c r="DZ75" s="941"/>
      <c r="EA75" s="941"/>
      <c r="EB75" s="941"/>
      <c r="EC75" s="557">
        <f t="shared" si="73"/>
        <v>0</v>
      </c>
      <c r="ED75" s="345"/>
      <c r="EE75" s="941"/>
      <c r="EF75" s="941"/>
      <c r="EG75" s="941"/>
      <c r="EH75" s="941"/>
      <c r="EI75" s="557">
        <f t="shared" si="74"/>
        <v>0</v>
      </c>
      <c r="EJ75" s="345"/>
      <c r="EK75" s="941"/>
      <c r="EL75" s="941"/>
      <c r="EM75" s="941"/>
      <c r="EN75" s="941"/>
      <c r="EO75" s="557">
        <f t="shared" si="75"/>
        <v>0</v>
      </c>
      <c r="EP75" s="345"/>
      <c r="EQ75" s="941"/>
      <c r="ER75" s="941"/>
      <c r="ES75" s="941"/>
      <c r="ET75" s="941"/>
      <c r="EU75" s="557">
        <f t="shared" si="76"/>
        <v>0</v>
      </c>
      <c r="EV75" s="345"/>
      <c r="EW75" s="941"/>
      <c r="EX75" s="941"/>
      <c r="EY75" s="941"/>
      <c r="EZ75" s="941"/>
      <c r="FA75" s="557">
        <f t="shared" si="77"/>
        <v>0</v>
      </c>
      <c r="FB75" s="345"/>
      <c r="FC75" s="941"/>
      <c r="FD75" s="941"/>
      <c r="FE75" s="941"/>
      <c r="FF75" s="941"/>
      <c r="FG75" s="557">
        <f t="shared" si="78"/>
        <v>0</v>
      </c>
      <c r="FH75" s="345"/>
      <c r="FI75" s="941"/>
      <c r="FJ75" s="941"/>
      <c r="FK75" s="941"/>
      <c r="FL75" s="941"/>
      <c r="FM75" s="557">
        <f t="shared" si="79"/>
        <v>0</v>
      </c>
      <c r="FQ75"/>
      <c r="FR75"/>
      <c r="FS75"/>
      <c r="FT75"/>
      <c r="FU75"/>
      <c r="FV75"/>
      <c r="GB75" s="24"/>
      <c r="GC75" s="24"/>
      <c r="GD75" s="24"/>
      <c r="GE75" s="24"/>
      <c r="GF75" s="24"/>
      <c r="GG75" s="24"/>
      <c r="GH75" s="24"/>
      <c r="GI75" s="24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</row>
    <row r="76" spans="1:274" s="27" customFormat="1" ht="12" hidden="1" customHeight="1" outlineLevel="1" x14ac:dyDescent="0.2">
      <c r="A76" s="345" t="s">
        <v>760</v>
      </c>
      <c r="B76" s="345"/>
      <c r="C76" s="943"/>
      <c r="D76" s="943"/>
      <c r="E76" s="943"/>
      <c r="F76" s="943"/>
      <c r="G76" s="943"/>
      <c r="H76" s="345"/>
      <c r="I76" s="943"/>
      <c r="J76" s="943"/>
      <c r="K76" s="943"/>
      <c r="L76" s="943"/>
      <c r="M76" s="943"/>
      <c r="N76" s="345"/>
      <c r="O76" s="37"/>
      <c r="P76" s="37"/>
      <c r="Q76" s="37"/>
      <c r="R76" s="37"/>
      <c r="S76" s="37"/>
      <c r="T76" s="345"/>
      <c r="U76" s="943"/>
      <c r="V76" s="943"/>
      <c r="W76" s="943"/>
      <c r="X76" s="943"/>
      <c r="Y76" s="943"/>
      <c r="Z76" s="345"/>
      <c r="AA76" s="943"/>
      <c r="AB76" s="943"/>
      <c r="AC76" s="943"/>
      <c r="AD76" s="943"/>
      <c r="AE76" s="943"/>
      <c r="AF76" s="345"/>
      <c r="AG76" s="943"/>
      <c r="AH76" s="943"/>
      <c r="AI76" s="943"/>
      <c r="AJ76" s="943"/>
      <c r="AK76" s="943"/>
      <c r="AL76" s="943"/>
      <c r="AM76" s="943"/>
      <c r="AN76" s="943"/>
      <c r="AO76" s="943"/>
      <c r="AP76" s="943"/>
      <c r="AQ76" s="943"/>
      <c r="AR76" s="345"/>
      <c r="AS76" s="943"/>
      <c r="AT76" s="943"/>
      <c r="AU76" s="943"/>
      <c r="AV76" s="943"/>
      <c r="AW76" s="943"/>
      <c r="AX76" s="345"/>
      <c r="AY76" s="943"/>
      <c r="AZ76" s="943"/>
      <c r="BA76" s="943"/>
      <c r="BB76" s="943"/>
      <c r="BC76" s="943"/>
      <c r="BD76" s="345"/>
      <c r="BE76" s="943"/>
      <c r="BF76" s="943"/>
      <c r="BG76" s="943"/>
      <c r="BH76" s="943"/>
      <c r="BI76" s="943"/>
      <c r="BJ76" s="345"/>
      <c r="BK76" s="943"/>
      <c r="BL76" s="943"/>
      <c r="BM76" s="943"/>
      <c r="BN76" s="943"/>
      <c r="BO76" s="943"/>
      <c r="BP76" s="345"/>
      <c r="BQ76" s="943"/>
      <c r="BR76" s="943"/>
      <c r="BS76" s="943"/>
      <c r="BT76" s="943"/>
      <c r="BU76" s="37"/>
      <c r="BV76" s="345"/>
      <c r="BW76" s="941"/>
      <c r="BX76" s="941"/>
      <c r="BY76" s="941"/>
      <c r="BZ76" s="1445"/>
      <c r="CA76" s="37"/>
      <c r="CB76" s="345"/>
      <c r="CC76" s="1445"/>
      <c r="CD76" s="1445"/>
      <c r="CE76" s="1445"/>
      <c r="CF76" s="1445"/>
      <c r="CG76" s="557"/>
      <c r="CH76" s="345"/>
      <c r="CI76" s="1445"/>
      <c r="CJ76" s="1445"/>
      <c r="CK76" s="1445"/>
      <c r="CL76" s="1445"/>
      <c r="CM76" s="557"/>
      <c r="CN76" s="345"/>
      <c r="CO76" s="1445"/>
      <c r="CP76" s="1445"/>
      <c r="CQ76" s="1445"/>
      <c r="CR76" s="1445"/>
      <c r="CS76" s="557"/>
      <c r="CT76" s="345"/>
      <c r="CU76" s="1445"/>
      <c r="CV76" s="1445"/>
      <c r="CW76" s="1445"/>
      <c r="CX76" s="1445"/>
      <c r="CY76" s="557"/>
      <c r="CZ76" s="86"/>
      <c r="DA76" s="1445"/>
      <c r="DB76" s="1445"/>
      <c r="DC76" s="1445"/>
      <c r="DD76" s="1445"/>
      <c r="DE76" s="557"/>
      <c r="DF76" s="345"/>
      <c r="DG76" s="941"/>
      <c r="DH76" s="941"/>
      <c r="DI76" s="941"/>
      <c r="DJ76" s="941"/>
      <c r="DK76" s="557"/>
      <c r="DL76" s="345"/>
      <c r="DM76" s="1445"/>
      <c r="DN76" s="1445"/>
      <c r="DO76" s="1445">
        <f>52*0.33</f>
        <v>17.16</v>
      </c>
      <c r="DP76" s="1445">
        <f>54.5</f>
        <v>54.5</v>
      </c>
      <c r="DQ76" s="557">
        <f t="shared" si="71"/>
        <v>71.66</v>
      </c>
      <c r="DR76" s="345"/>
      <c r="DS76" s="1445">
        <v>56</v>
      </c>
      <c r="DT76" s="1445">
        <v>60</v>
      </c>
      <c r="DU76" s="1445">
        <v>35</v>
      </c>
      <c r="DV76" s="1445"/>
      <c r="DW76" s="557">
        <f t="shared" si="72"/>
        <v>151</v>
      </c>
      <c r="DX76" s="345"/>
      <c r="DY76" s="941"/>
      <c r="DZ76" s="941"/>
      <c r="EA76" s="941"/>
      <c r="EB76" s="941"/>
      <c r="EC76" s="557">
        <f t="shared" si="73"/>
        <v>0</v>
      </c>
      <c r="ED76" s="345"/>
      <c r="EE76" s="941"/>
      <c r="EF76" s="941"/>
      <c r="EG76" s="941"/>
      <c r="EH76" s="941"/>
      <c r="EI76" s="557">
        <f t="shared" si="74"/>
        <v>0</v>
      </c>
      <c r="EJ76" s="345"/>
      <c r="EK76" s="941"/>
      <c r="EL76" s="941"/>
      <c r="EM76" s="941"/>
      <c r="EN76" s="941"/>
      <c r="EO76" s="557">
        <f t="shared" si="75"/>
        <v>0</v>
      </c>
      <c r="EP76" s="345"/>
      <c r="EQ76" s="941"/>
      <c r="ER76" s="941"/>
      <c r="ES76" s="941"/>
      <c r="ET76" s="941"/>
      <c r="EU76" s="557">
        <f t="shared" si="76"/>
        <v>0</v>
      </c>
      <c r="EV76" s="345"/>
      <c r="EW76" s="941"/>
      <c r="EX76" s="941"/>
      <c r="EY76" s="941"/>
      <c r="EZ76" s="941"/>
      <c r="FA76" s="557">
        <f t="shared" si="77"/>
        <v>0</v>
      </c>
      <c r="FB76" s="345"/>
      <c r="FC76" s="941"/>
      <c r="FD76" s="941"/>
      <c r="FE76" s="941"/>
      <c r="FF76" s="941"/>
      <c r="FG76" s="557">
        <f t="shared" si="78"/>
        <v>0</v>
      </c>
      <c r="FH76" s="345"/>
      <c r="FI76" s="941"/>
      <c r="FJ76" s="941"/>
      <c r="FK76" s="941"/>
      <c r="FL76" s="941"/>
      <c r="FM76" s="557">
        <f t="shared" si="79"/>
        <v>0</v>
      </c>
      <c r="FQ76"/>
      <c r="FR76"/>
      <c r="FS76"/>
      <c r="FT76"/>
      <c r="FU76"/>
      <c r="FV76"/>
      <c r="GB76" s="24"/>
      <c r="GC76" s="24"/>
      <c r="GD76" s="24"/>
      <c r="GE76" s="24"/>
      <c r="GF76" s="24"/>
      <c r="GG76" s="24"/>
      <c r="GH76" s="24"/>
      <c r="GI76" s="24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</row>
    <row r="77" spans="1:274" s="27" customFormat="1" ht="12" hidden="1" customHeight="1" outlineLevel="1" x14ac:dyDescent="0.2">
      <c r="A77" s="345" t="s">
        <v>759</v>
      </c>
      <c r="B77" s="345"/>
      <c r="C77" s="943"/>
      <c r="D77" s="943"/>
      <c r="E77" s="943"/>
      <c r="F77" s="943"/>
      <c r="G77" s="943"/>
      <c r="H77" s="345"/>
      <c r="I77" s="943"/>
      <c r="J77" s="943"/>
      <c r="K77" s="943"/>
      <c r="L77" s="943"/>
      <c r="M77" s="943"/>
      <c r="N77" s="345"/>
      <c r="O77" s="37"/>
      <c r="P77" s="37"/>
      <c r="Q77" s="37"/>
      <c r="R77" s="37"/>
      <c r="S77" s="37"/>
      <c r="T77" s="345"/>
      <c r="U77" s="943"/>
      <c r="V77" s="943"/>
      <c r="W77" s="943"/>
      <c r="X77" s="943"/>
      <c r="Y77" s="943"/>
      <c r="Z77" s="345"/>
      <c r="AA77" s="943"/>
      <c r="AB77" s="943"/>
      <c r="AC77" s="943"/>
      <c r="AD77" s="943"/>
      <c r="AE77" s="943"/>
      <c r="AF77" s="345"/>
      <c r="AG77" s="943"/>
      <c r="AH77" s="943"/>
      <c r="AI77" s="943"/>
      <c r="AJ77" s="943"/>
      <c r="AK77" s="943"/>
      <c r="AL77" s="943"/>
      <c r="AM77" s="943"/>
      <c r="AN77" s="943"/>
      <c r="AO77" s="943"/>
      <c r="AP77" s="943"/>
      <c r="AQ77" s="943"/>
      <c r="AR77" s="345"/>
      <c r="AS77" s="943"/>
      <c r="AT77" s="943"/>
      <c r="AU77" s="943"/>
      <c r="AV77" s="943"/>
      <c r="AW77" s="943"/>
      <c r="AX77" s="345"/>
      <c r="AY77" s="943"/>
      <c r="AZ77" s="943"/>
      <c r="BA77" s="943"/>
      <c r="BB77" s="943"/>
      <c r="BC77" s="943"/>
      <c r="BD77" s="345"/>
      <c r="BE77" s="943"/>
      <c r="BF77" s="943"/>
      <c r="BG77" s="943"/>
      <c r="BH77" s="943"/>
      <c r="BI77" s="943"/>
      <c r="BJ77" s="345"/>
      <c r="BK77" s="943"/>
      <c r="BL77" s="943"/>
      <c r="BM77" s="943"/>
      <c r="BN77" s="943"/>
      <c r="BO77" s="943"/>
      <c r="BP77" s="345"/>
      <c r="BQ77" s="943"/>
      <c r="BR77" s="943"/>
      <c r="BS77" s="943"/>
      <c r="BT77" s="943"/>
      <c r="BU77" s="37"/>
      <c r="BV77" s="345"/>
      <c r="BW77" s="941"/>
      <c r="BX77" s="941"/>
      <c r="BY77" s="941"/>
      <c r="BZ77" s="1445"/>
      <c r="CA77" s="37"/>
      <c r="CB77" s="345"/>
      <c r="CC77" s="1445"/>
      <c r="CD77" s="1445"/>
      <c r="CE77" s="1445"/>
      <c r="CF77" s="1445"/>
      <c r="CG77" s="557"/>
      <c r="CH77" s="345"/>
      <c r="CI77" s="1445"/>
      <c r="CJ77" s="1445"/>
      <c r="CK77" s="1445"/>
      <c r="CL77" s="1445"/>
      <c r="CM77" s="557"/>
      <c r="CN77" s="345"/>
      <c r="CO77" s="1445"/>
      <c r="CP77" s="1445"/>
      <c r="CQ77" s="1445"/>
      <c r="CR77" s="1445"/>
      <c r="CS77" s="557"/>
      <c r="CT77" s="345"/>
      <c r="CU77" s="1445"/>
      <c r="CV77" s="1445"/>
      <c r="CW77" s="1445"/>
      <c r="CX77" s="1445"/>
      <c r="CY77" s="557"/>
      <c r="CZ77" s="86"/>
      <c r="DA77" s="1445"/>
      <c r="DB77" s="1445"/>
      <c r="DC77" s="1445"/>
      <c r="DD77" s="1445"/>
      <c r="DE77" s="557"/>
      <c r="DF77" s="345"/>
      <c r="DG77" s="941"/>
      <c r="DH77" s="941"/>
      <c r="DI77" s="941"/>
      <c r="DJ77" s="941"/>
      <c r="DK77" s="557"/>
      <c r="DL77" s="345"/>
      <c r="DM77" s="1445"/>
      <c r="DN77" s="1445"/>
      <c r="DO77" s="1445"/>
      <c r="DP77" s="1445">
        <v>37.70470551999999</v>
      </c>
      <c r="DQ77" s="557">
        <f t="shared" si="71"/>
        <v>37.70470551999999</v>
      </c>
      <c r="DR77" s="345"/>
      <c r="DS77" s="1445">
        <v>54</v>
      </c>
      <c r="DT77" s="1445">
        <v>57</v>
      </c>
      <c r="DU77" s="1445">
        <v>60</v>
      </c>
      <c r="DV77" s="1445">
        <v>18</v>
      </c>
      <c r="DW77" s="557">
        <f t="shared" si="72"/>
        <v>189</v>
      </c>
      <c r="DX77" s="345"/>
      <c r="DY77" s="941"/>
      <c r="DZ77" s="941"/>
      <c r="EA77" s="941"/>
      <c r="EB77" s="941"/>
      <c r="EC77" s="557">
        <f t="shared" si="73"/>
        <v>0</v>
      </c>
      <c r="ED77" s="345"/>
      <c r="EE77" s="941"/>
      <c r="EF77" s="941"/>
      <c r="EG77" s="941"/>
      <c r="EH77" s="941"/>
      <c r="EI77" s="557">
        <f t="shared" si="74"/>
        <v>0</v>
      </c>
      <c r="EJ77" s="345"/>
      <c r="EK77" s="941"/>
      <c r="EL77" s="941"/>
      <c r="EM77" s="941"/>
      <c r="EN77" s="941"/>
      <c r="EO77" s="557">
        <f t="shared" si="75"/>
        <v>0</v>
      </c>
      <c r="EP77" s="345"/>
      <c r="EQ77" s="941"/>
      <c r="ER77" s="941"/>
      <c r="ES77" s="941"/>
      <c r="ET77" s="941"/>
      <c r="EU77" s="557">
        <f t="shared" si="76"/>
        <v>0</v>
      </c>
      <c r="EV77" s="345"/>
      <c r="EW77" s="941"/>
      <c r="EX77" s="941"/>
      <c r="EY77" s="941"/>
      <c r="EZ77" s="941"/>
      <c r="FA77" s="557">
        <f t="shared" si="77"/>
        <v>0</v>
      </c>
      <c r="FB77" s="345"/>
      <c r="FC77" s="941"/>
      <c r="FD77" s="941"/>
      <c r="FE77" s="941"/>
      <c r="FF77" s="941"/>
      <c r="FG77" s="557">
        <f t="shared" si="78"/>
        <v>0</v>
      </c>
      <c r="FH77" s="345"/>
      <c r="FI77" s="941"/>
      <c r="FJ77" s="941"/>
      <c r="FK77" s="941"/>
      <c r="FL77" s="941"/>
      <c r="FM77" s="557">
        <f t="shared" si="79"/>
        <v>0</v>
      </c>
      <c r="FQ77"/>
      <c r="FR77"/>
      <c r="FS77"/>
      <c r="FT77"/>
      <c r="FU77"/>
      <c r="FV77"/>
      <c r="GB77" s="24"/>
      <c r="GC77" s="24"/>
      <c r="GD77" s="24"/>
      <c r="GE77" s="24"/>
      <c r="GF77" s="24"/>
      <c r="GG77" s="24"/>
      <c r="GH77" s="24"/>
      <c r="GI77" s="24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</row>
    <row r="78" spans="1:274" s="27" customFormat="1" ht="12" hidden="1" customHeight="1" outlineLevel="1" x14ac:dyDescent="0.2">
      <c r="A78" s="345" t="s">
        <v>102</v>
      </c>
      <c r="B78" s="345"/>
      <c r="C78" s="943"/>
      <c r="D78" s="943"/>
      <c r="E78" s="943"/>
      <c r="F78" s="943"/>
      <c r="G78" s="943"/>
      <c r="H78" s="345"/>
      <c r="I78" s="943"/>
      <c r="J78" s="943"/>
      <c r="K78" s="943"/>
      <c r="L78" s="943"/>
      <c r="M78" s="943"/>
      <c r="N78" s="345"/>
      <c r="O78" s="37"/>
      <c r="P78" s="37"/>
      <c r="Q78" s="37"/>
      <c r="R78" s="37"/>
      <c r="S78" s="37"/>
      <c r="T78" s="345"/>
      <c r="U78" s="943"/>
      <c r="V78" s="943"/>
      <c r="W78" s="943"/>
      <c r="X78" s="943"/>
      <c r="Y78" s="943"/>
      <c r="Z78" s="345"/>
      <c r="AA78" s="943"/>
      <c r="AB78" s="943"/>
      <c r="AC78" s="943"/>
      <c r="AD78" s="943"/>
      <c r="AE78" s="943"/>
      <c r="AF78" s="345"/>
      <c r="AG78" s="943"/>
      <c r="AH78" s="943"/>
      <c r="AI78" s="943"/>
      <c r="AJ78" s="943"/>
      <c r="AK78" s="943"/>
      <c r="AL78" s="943"/>
      <c r="AM78" s="943"/>
      <c r="AN78" s="943"/>
      <c r="AO78" s="943"/>
      <c r="AP78" s="943"/>
      <c r="AQ78" s="943"/>
      <c r="AR78" s="345"/>
      <c r="AS78" s="943"/>
      <c r="AT78" s="943"/>
      <c r="AU78" s="943"/>
      <c r="AV78" s="943"/>
      <c r="AW78" s="943"/>
      <c r="AX78" s="345"/>
      <c r="AY78" s="943"/>
      <c r="AZ78" s="943"/>
      <c r="BA78" s="943"/>
      <c r="BB78" s="943"/>
      <c r="BC78" s="943"/>
      <c r="BD78" s="345"/>
      <c r="BE78" s="943"/>
      <c r="BF78" s="943"/>
      <c r="BG78" s="943"/>
      <c r="BH78" s="943"/>
      <c r="BI78" s="943"/>
      <c r="BJ78" s="345"/>
      <c r="BK78" s="943"/>
      <c r="BL78" s="943"/>
      <c r="BM78" s="943"/>
      <c r="BN78" s="943"/>
      <c r="BO78" s="943"/>
      <c r="BP78" s="345"/>
      <c r="BQ78" s="943"/>
      <c r="BR78" s="943"/>
      <c r="BS78" s="943"/>
      <c r="BT78" s="943"/>
      <c r="BU78" s="37"/>
      <c r="BV78" s="345"/>
      <c r="BW78" s="941"/>
      <c r="BX78" s="941"/>
      <c r="BY78" s="941"/>
      <c r="BZ78" s="1445"/>
      <c r="CA78" s="37"/>
      <c r="CB78" s="345"/>
      <c r="CC78" s="1445"/>
      <c r="CD78" s="1445"/>
      <c r="CE78" s="1445"/>
      <c r="CF78" s="1445"/>
      <c r="CG78" s="557"/>
      <c r="CH78" s="345"/>
      <c r="CI78" s="1445"/>
      <c r="CJ78" s="1445"/>
      <c r="CK78" s="1445"/>
      <c r="CL78" s="1445"/>
      <c r="CM78" s="557"/>
      <c r="CN78" s="345"/>
      <c r="CO78" s="1445"/>
      <c r="CP78" s="1445"/>
      <c r="CQ78" s="1445"/>
      <c r="CR78" s="1445"/>
      <c r="CS78" s="557"/>
      <c r="CT78" s="345"/>
      <c r="CU78" s="1445"/>
      <c r="CV78" s="1445"/>
      <c r="CW78" s="1445"/>
      <c r="CX78" s="1445"/>
      <c r="CY78" s="557"/>
      <c r="CZ78" s="86"/>
      <c r="DA78" s="1445"/>
      <c r="DB78" s="1445"/>
      <c r="DC78" s="1445"/>
      <c r="DD78" s="1445"/>
      <c r="DE78" s="557"/>
      <c r="DF78" s="345"/>
      <c r="DG78" s="941"/>
      <c r="DH78" s="941"/>
      <c r="DI78" s="941"/>
      <c r="DJ78" s="941"/>
      <c r="DK78" s="557"/>
      <c r="DL78" s="345"/>
      <c r="DM78" s="1445"/>
      <c r="DN78" s="1445"/>
      <c r="DO78" s="1445"/>
      <c r="DP78" s="1445"/>
      <c r="DQ78" s="557"/>
      <c r="DR78" s="345"/>
      <c r="DS78" s="1445">
        <v>3</v>
      </c>
      <c r="DT78" s="1445">
        <v>4</v>
      </c>
      <c r="DU78" s="1445">
        <v>5</v>
      </c>
      <c r="DV78" s="1445">
        <v>5.5</v>
      </c>
      <c r="DW78" s="557">
        <f t="shared" si="72"/>
        <v>17.5</v>
      </c>
      <c r="DX78" s="345"/>
      <c r="DY78" s="941">
        <v>2</v>
      </c>
      <c r="DZ78" s="941"/>
      <c r="EA78" s="941"/>
      <c r="EB78" s="941"/>
      <c r="EC78" s="557">
        <f t="shared" si="73"/>
        <v>2</v>
      </c>
      <c r="ED78" s="345"/>
      <c r="EE78" s="941"/>
      <c r="EF78" s="941"/>
      <c r="EG78" s="941"/>
      <c r="EH78" s="941"/>
      <c r="EI78" s="557">
        <f t="shared" si="74"/>
        <v>0</v>
      </c>
      <c r="EJ78" s="345"/>
      <c r="EK78" s="941"/>
      <c r="EL78" s="941"/>
      <c r="EM78" s="941"/>
      <c r="EN78" s="941"/>
      <c r="EO78" s="557">
        <f t="shared" si="75"/>
        <v>0</v>
      </c>
      <c r="EP78" s="345"/>
      <c r="EQ78" s="941"/>
      <c r="ER78" s="941"/>
      <c r="ES78" s="941"/>
      <c r="ET78" s="941"/>
      <c r="EU78" s="557">
        <f t="shared" si="76"/>
        <v>0</v>
      </c>
      <c r="EV78" s="345"/>
      <c r="EW78" s="941"/>
      <c r="EX78" s="941"/>
      <c r="EY78" s="941"/>
      <c r="EZ78" s="941"/>
      <c r="FA78" s="557">
        <f t="shared" si="77"/>
        <v>0</v>
      </c>
      <c r="FB78" s="345"/>
      <c r="FC78" s="941"/>
      <c r="FD78" s="941"/>
      <c r="FE78" s="941"/>
      <c r="FF78" s="941"/>
      <c r="FG78" s="557">
        <f t="shared" si="78"/>
        <v>0</v>
      </c>
      <c r="FH78" s="345"/>
      <c r="FI78" s="941"/>
      <c r="FJ78" s="941"/>
      <c r="FK78" s="941"/>
      <c r="FL78" s="941"/>
      <c r="FM78" s="557">
        <f t="shared" si="79"/>
        <v>0</v>
      </c>
      <c r="FQ78"/>
      <c r="FR78"/>
      <c r="FS78"/>
      <c r="FT78"/>
      <c r="FU78"/>
      <c r="FV78"/>
      <c r="GB78" s="24"/>
      <c r="GC78" s="24"/>
      <c r="GD78" s="24"/>
      <c r="GE78" s="24"/>
      <c r="GF78" s="24"/>
      <c r="GG78" s="24"/>
      <c r="GH78" s="24"/>
      <c r="GI78" s="24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</row>
    <row r="79" spans="1:274" s="27" customFormat="1" ht="12" hidden="1" customHeight="1" outlineLevel="1" x14ac:dyDescent="0.2">
      <c r="A79" s="345" t="s">
        <v>101</v>
      </c>
      <c r="B79" s="345"/>
      <c r="C79" s="943"/>
      <c r="D79" s="943"/>
      <c r="E79" s="943"/>
      <c r="F79" s="943"/>
      <c r="G79" s="943"/>
      <c r="H79" s="345"/>
      <c r="I79" s="943"/>
      <c r="J79" s="943"/>
      <c r="K79" s="943"/>
      <c r="L79" s="943"/>
      <c r="M79" s="943"/>
      <c r="N79" s="345"/>
      <c r="O79" s="37"/>
      <c r="P79" s="37"/>
      <c r="Q79" s="37"/>
      <c r="R79" s="37"/>
      <c r="S79" s="37"/>
      <c r="T79" s="345"/>
      <c r="U79" s="943"/>
      <c r="V79" s="943"/>
      <c r="W79" s="943"/>
      <c r="X79" s="943"/>
      <c r="Y79" s="943"/>
      <c r="Z79" s="345"/>
      <c r="AA79" s="943"/>
      <c r="AB79" s="943"/>
      <c r="AC79" s="943"/>
      <c r="AD79" s="943"/>
      <c r="AE79" s="943"/>
      <c r="AF79" s="345"/>
      <c r="AG79" s="943"/>
      <c r="AH79" s="943"/>
      <c r="AI79" s="943"/>
      <c r="AJ79" s="943"/>
      <c r="AK79" s="943"/>
      <c r="AL79" s="943"/>
      <c r="AM79" s="943"/>
      <c r="AN79" s="943"/>
      <c r="AO79" s="943"/>
      <c r="AP79" s="943"/>
      <c r="AQ79" s="943"/>
      <c r="AR79" s="345"/>
      <c r="AS79" s="943"/>
      <c r="AT79" s="943"/>
      <c r="AU79" s="943"/>
      <c r="AV79" s="943"/>
      <c r="AW79" s="943"/>
      <c r="AX79" s="345"/>
      <c r="AY79" s="943"/>
      <c r="AZ79" s="943"/>
      <c r="BA79" s="943"/>
      <c r="BB79" s="943"/>
      <c r="BC79" s="943"/>
      <c r="BD79" s="345"/>
      <c r="BE79" s="943"/>
      <c r="BF79" s="943"/>
      <c r="BG79" s="943"/>
      <c r="BH79" s="943"/>
      <c r="BI79" s="943"/>
      <c r="BJ79" s="345"/>
      <c r="BK79" s="943"/>
      <c r="BL79" s="943"/>
      <c r="BM79" s="943"/>
      <c r="BN79" s="943"/>
      <c r="BO79" s="943"/>
      <c r="BP79" s="345"/>
      <c r="BQ79" s="943"/>
      <c r="BR79" s="943"/>
      <c r="BS79" s="943"/>
      <c r="BT79" s="943"/>
      <c r="BU79" s="37"/>
      <c r="BV79" s="345"/>
      <c r="BW79" s="941"/>
      <c r="BX79" s="941"/>
      <c r="BY79" s="941"/>
      <c r="BZ79" s="1445"/>
      <c r="CA79" s="37"/>
      <c r="CB79" s="345"/>
      <c r="CC79" s="1445"/>
      <c r="CD79" s="1445"/>
      <c r="CE79" s="1445"/>
      <c r="CF79" s="1445"/>
      <c r="CG79" s="557"/>
      <c r="CH79" s="345"/>
      <c r="CI79" s="1445"/>
      <c r="CJ79" s="1445"/>
      <c r="CK79" s="1445"/>
      <c r="CL79" s="1445"/>
      <c r="CM79" s="557"/>
      <c r="CN79" s="345"/>
      <c r="CO79" s="1445"/>
      <c r="CP79" s="1445"/>
      <c r="CQ79" s="1445"/>
      <c r="CR79" s="1445"/>
      <c r="CS79" s="557"/>
      <c r="CT79" s="345"/>
      <c r="CU79" s="1445"/>
      <c r="CV79" s="1445"/>
      <c r="CW79" s="1445"/>
      <c r="CX79" s="1445"/>
      <c r="CY79" s="557"/>
      <c r="CZ79" s="86"/>
      <c r="DA79" s="1445"/>
      <c r="DB79" s="1445"/>
      <c r="DC79" s="1445"/>
      <c r="DD79" s="1445"/>
      <c r="DE79" s="557"/>
      <c r="DF79" s="345"/>
      <c r="DG79" s="941"/>
      <c r="DH79" s="941"/>
      <c r="DI79" s="941"/>
      <c r="DJ79" s="941"/>
      <c r="DK79" s="557"/>
      <c r="DL79" s="345"/>
      <c r="DM79" s="1445"/>
      <c r="DN79" s="1445"/>
      <c r="DO79" s="1445"/>
      <c r="DP79" s="1445"/>
      <c r="DQ79" s="557"/>
      <c r="DR79" s="345"/>
      <c r="DS79" s="1445">
        <v>1.5</v>
      </c>
      <c r="DT79" s="1445">
        <v>2.5</v>
      </c>
      <c r="DU79" s="1445">
        <v>3</v>
      </c>
      <c r="DV79" s="1445">
        <v>3.5</v>
      </c>
      <c r="DW79" s="557">
        <f t="shared" si="72"/>
        <v>10.5</v>
      </c>
      <c r="DX79" s="345"/>
      <c r="DY79" s="941">
        <v>2</v>
      </c>
      <c r="DZ79" s="941"/>
      <c r="EA79" s="941"/>
      <c r="EB79" s="941"/>
      <c r="EC79" s="557">
        <f t="shared" si="73"/>
        <v>2</v>
      </c>
      <c r="ED79" s="345"/>
      <c r="EE79" s="941"/>
      <c r="EF79" s="941"/>
      <c r="EG79" s="941"/>
      <c r="EH79" s="941"/>
      <c r="EI79" s="557">
        <f t="shared" si="74"/>
        <v>0</v>
      </c>
      <c r="EJ79" s="345"/>
      <c r="EK79" s="941"/>
      <c r="EL79" s="941"/>
      <c r="EM79" s="941"/>
      <c r="EN79" s="941"/>
      <c r="EO79" s="557">
        <f t="shared" si="75"/>
        <v>0</v>
      </c>
      <c r="EP79" s="345"/>
      <c r="EQ79" s="941"/>
      <c r="ER79" s="941"/>
      <c r="ES79" s="941"/>
      <c r="ET79" s="941"/>
      <c r="EU79" s="557">
        <f t="shared" si="76"/>
        <v>0</v>
      </c>
      <c r="EV79" s="345"/>
      <c r="EW79" s="941"/>
      <c r="EX79" s="941"/>
      <c r="EY79" s="941"/>
      <c r="EZ79" s="941"/>
      <c r="FA79" s="557">
        <f t="shared" si="77"/>
        <v>0</v>
      </c>
      <c r="FB79" s="345"/>
      <c r="FC79" s="941"/>
      <c r="FD79" s="941"/>
      <c r="FE79" s="941"/>
      <c r="FF79" s="941"/>
      <c r="FG79" s="557">
        <f t="shared" si="78"/>
        <v>0</v>
      </c>
      <c r="FH79" s="345"/>
      <c r="FI79" s="941"/>
      <c r="FJ79" s="941"/>
      <c r="FK79" s="941"/>
      <c r="FL79" s="941"/>
      <c r="FM79" s="557">
        <f t="shared" si="79"/>
        <v>0</v>
      </c>
      <c r="FQ79"/>
      <c r="FR79"/>
      <c r="FS79"/>
      <c r="FT79"/>
      <c r="FU79"/>
      <c r="FV79"/>
      <c r="GB79" s="24"/>
      <c r="GC79" s="24"/>
      <c r="GD79" s="24"/>
      <c r="GE79" s="24"/>
      <c r="GF79" s="24"/>
      <c r="GG79" s="24"/>
      <c r="GH79" s="24"/>
      <c r="GI79" s="24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</row>
    <row r="80" spans="1:274" s="27" customFormat="1" ht="12" hidden="1" customHeight="1" outlineLevel="1" x14ac:dyDescent="0.2">
      <c r="A80" s="345" t="s">
        <v>260</v>
      </c>
      <c r="B80" s="345"/>
      <c r="C80" s="943"/>
      <c r="D80" s="943"/>
      <c r="E80" s="943"/>
      <c r="F80" s="943"/>
      <c r="G80" s="943"/>
      <c r="H80" s="345"/>
      <c r="I80" s="943"/>
      <c r="J80" s="943"/>
      <c r="K80" s="943"/>
      <c r="L80" s="943"/>
      <c r="M80" s="943"/>
      <c r="N80" s="345"/>
      <c r="O80" s="37"/>
      <c r="P80" s="37"/>
      <c r="Q80" s="37"/>
      <c r="R80" s="37"/>
      <c r="S80" s="37"/>
      <c r="T80" s="345"/>
      <c r="U80" s="943"/>
      <c r="V80" s="943"/>
      <c r="W80" s="943"/>
      <c r="X80" s="943"/>
      <c r="Y80" s="943"/>
      <c r="Z80" s="345"/>
      <c r="AA80" s="943"/>
      <c r="AB80" s="943"/>
      <c r="AC80" s="943"/>
      <c r="AD80" s="943"/>
      <c r="AE80" s="943"/>
      <c r="AF80" s="345"/>
      <c r="AG80" s="943"/>
      <c r="AH80" s="943"/>
      <c r="AI80" s="943"/>
      <c r="AJ80" s="943"/>
      <c r="AK80" s="943"/>
      <c r="AL80" s="943"/>
      <c r="AM80" s="943"/>
      <c r="AN80" s="943"/>
      <c r="AO80" s="943"/>
      <c r="AP80" s="943"/>
      <c r="AQ80" s="943"/>
      <c r="AR80" s="345"/>
      <c r="AS80" s="943"/>
      <c r="AT80" s="943"/>
      <c r="AU80" s="943"/>
      <c r="AV80" s="943"/>
      <c r="AW80" s="943"/>
      <c r="AX80" s="345"/>
      <c r="AY80" s="943"/>
      <c r="AZ80" s="943"/>
      <c r="BA80" s="943"/>
      <c r="BB80" s="943"/>
      <c r="BC80" s="943"/>
      <c r="BD80" s="345"/>
      <c r="BE80" s="943"/>
      <c r="BF80" s="943"/>
      <c r="BG80" s="943"/>
      <c r="BH80" s="943"/>
      <c r="BI80" s="943"/>
      <c r="BJ80" s="345"/>
      <c r="BK80" s="943"/>
      <c r="BL80" s="943"/>
      <c r="BM80" s="943"/>
      <c r="BN80" s="943"/>
      <c r="BO80" s="943"/>
      <c r="BP80" s="345"/>
      <c r="BQ80" s="943"/>
      <c r="BR80" s="943"/>
      <c r="BS80" s="943"/>
      <c r="BT80" s="943"/>
      <c r="BU80" s="37"/>
      <c r="BV80" s="345"/>
      <c r="BW80" s="941"/>
      <c r="BX80" s="941"/>
      <c r="BY80" s="941"/>
      <c r="BZ80" s="1445"/>
      <c r="CA80" s="37"/>
      <c r="CB80" s="345"/>
      <c r="CC80" s="1445"/>
      <c r="CD80" s="1445"/>
      <c r="CE80" s="1445"/>
      <c r="CF80" s="1445"/>
      <c r="CG80" s="557"/>
      <c r="CH80" s="345"/>
      <c r="CI80" s="1445"/>
      <c r="CJ80" s="1445"/>
      <c r="CK80" s="1445"/>
      <c r="CL80" s="1445"/>
      <c r="CM80" s="557"/>
      <c r="CN80" s="345"/>
      <c r="CO80" s="1445"/>
      <c r="CP80" s="1445"/>
      <c r="CQ80" s="1445"/>
      <c r="CR80" s="1445"/>
      <c r="CS80" s="557"/>
      <c r="CT80" s="345"/>
      <c r="CU80" s="1445"/>
      <c r="CV80" s="1445"/>
      <c r="CW80" s="1445"/>
      <c r="CX80" s="1445"/>
      <c r="CY80" s="557"/>
      <c r="CZ80" s="86"/>
      <c r="DA80" s="1445"/>
      <c r="DB80" s="1445"/>
      <c r="DC80" s="1445"/>
      <c r="DD80" s="1445"/>
      <c r="DE80" s="557"/>
      <c r="DF80" s="345"/>
      <c r="DG80" s="941"/>
      <c r="DH80" s="941"/>
      <c r="DI80" s="941"/>
      <c r="DJ80" s="941"/>
      <c r="DK80" s="557"/>
      <c r="DL80" s="345"/>
      <c r="DM80" s="1445"/>
      <c r="DN80" s="1445"/>
      <c r="DO80" s="1445"/>
      <c r="DP80" s="1445"/>
      <c r="DQ80" s="557"/>
      <c r="DR80" s="345"/>
      <c r="DS80" s="1445">
        <v>1.5</v>
      </c>
      <c r="DT80" s="1445">
        <v>2.5</v>
      </c>
      <c r="DU80" s="1445">
        <v>3.25</v>
      </c>
      <c r="DV80" s="1445">
        <v>3.5</v>
      </c>
      <c r="DW80" s="557">
        <f t="shared" si="72"/>
        <v>10.75</v>
      </c>
      <c r="DX80" s="345"/>
      <c r="DY80" s="941">
        <v>1.5</v>
      </c>
      <c r="DZ80" s="941"/>
      <c r="EA80" s="941"/>
      <c r="EB80" s="941"/>
      <c r="EC80" s="557">
        <f t="shared" si="73"/>
        <v>1.5</v>
      </c>
      <c r="ED80" s="345"/>
      <c r="EE80" s="941"/>
      <c r="EF80" s="941"/>
      <c r="EG80" s="941"/>
      <c r="EH80" s="941"/>
      <c r="EI80" s="557">
        <f t="shared" si="74"/>
        <v>0</v>
      </c>
      <c r="EJ80" s="345"/>
      <c r="EK80" s="941"/>
      <c r="EL80" s="941"/>
      <c r="EM80" s="941"/>
      <c r="EN80" s="941"/>
      <c r="EO80" s="557">
        <f t="shared" si="75"/>
        <v>0</v>
      </c>
      <c r="EP80" s="345"/>
      <c r="EQ80" s="941"/>
      <c r="ER80" s="941"/>
      <c r="ES80" s="941"/>
      <c r="ET80" s="941"/>
      <c r="EU80" s="557">
        <f t="shared" si="76"/>
        <v>0</v>
      </c>
      <c r="EV80" s="345"/>
      <c r="EW80" s="941"/>
      <c r="EX80" s="941"/>
      <c r="EY80" s="941"/>
      <c r="EZ80" s="941"/>
      <c r="FA80" s="557">
        <f t="shared" si="77"/>
        <v>0</v>
      </c>
      <c r="FB80" s="345"/>
      <c r="FC80" s="941"/>
      <c r="FD80" s="941"/>
      <c r="FE80" s="941"/>
      <c r="FF80" s="941"/>
      <c r="FG80" s="557">
        <f t="shared" si="78"/>
        <v>0</v>
      </c>
      <c r="FH80" s="345"/>
      <c r="FI80" s="941"/>
      <c r="FJ80" s="941"/>
      <c r="FK80" s="941"/>
      <c r="FL80" s="941"/>
      <c r="FM80" s="557">
        <f t="shared" si="79"/>
        <v>0</v>
      </c>
      <c r="FQ80"/>
      <c r="FR80"/>
      <c r="FS80"/>
      <c r="FT80"/>
      <c r="FU80"/>
      <c r="FV80"/>
      <c r="GB80" s="24"/>
      <c r="GC80" s="24"/>
      <c r="GD80" s="24"/>
      <c r="GE80" s="24"/>
      <c r="GF80" s="24"/>
      <c r="GG80" s="24"/>
      <c r="GH80" s="24"/>
      <c r="GI80" s="24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</row>
    <row r="81" spans="1:274" s="27" customFormat="1" ht="12" hidden="1" customHeight="1" outlineLevel="1" x14ac:dyDescent="0.2">
      <c r="A81" s="345" t="s">
        <v>261</v>
      </c>
      <c r="B81" s="345"/>
      <c r="C81" s="943"/>
      <c r="D81" s="943"/>
      <c r="E81" s="943"/>
      <c r="F81" s="943"/>
      <c r="G81" s="943"/>
      <c r="H81" s="345"/>
      <c r="I81" s="943"/>
      <c r="J81" s="943"/>
      <c r="K81" s="943"/>
      <c r="L81" s="943"/>
      <c r="M81" s="943"/>
      <c r="N81" s="345"/>
      <c r="O81" s="37"/>
      <c r="P81" s="37"/>
      <c r="Q81" s="37"/>
      <c r="R81" s="37"/>
      <c r="S81" s="37"/>
      <c r="T81" s="345"/>
      <c r="U81" s="943"/>
      <c r="V81" s="943"/>
      <c r="W81" s="943"/>
      <c r="X81" s="943"/>
      <c r="Y81" s="943"/>
      <c r="Z81" s="345"/>
      <c r="AA81" s="943"/>
      <c r="AB81" s="943"/>
      <c r="AC81" s="943"/>
      <c r="AD81" s="943"/>
      <c r="AE81" s="943"/>
      <c r="AF81" s="345"/>
      <c r="AG81" s="943"/>
      <c r="AH81" s="943"/>
      <c r="AI81" s="943"/>
      <c r="AJ81" s="943"/>
      <c r="AK81" s="943"/>
      <c r="AL81" s="943"/>
      <c r="AM81" s="943"/>
      <c r="AN81" s="943"/>
      <c r="AO81" s="943"/>
      <c r="AP81" s="943"/>
      <c r="AQ81" s="943"/>
      <c r="AR81" s="345"/>
      <c r="AS81" s="943"/>
      <c r="AT81" s="943"/>
      <c r="AU81" s="943"/>
      <c r="AV81" s="943"/>
      <c r="AW81" s="943"/>
      <c r="AX81" s="345"/>
      <c r="AY81" s="943"/>
      <c r="AZ81" s="943"/>
      <c r="BA81" s="943"/>
      <c r="BB81" s="943"/>
      <c r="BC81" s="943"/>
      <c r="BD81" s="345"/>
      <c r="BE81" s="943"/>
      <c r="BF81" s="943"/>
      <c r="BG81" s="943"/>
      <c r="BH81" s="943"/>
      <c r="BI81" s="943"/>
      <c r="BJ81" s="345"/>
      <c r="BK81" s="943"/>
      <c r="BL81" s="943"/>
      <c r="BM81" s="943"/>
      <c r="BN81" s="943"/>
      <c r="BO81" s="943"/>
      <c r="BP81" s="345"/>
      <c r="BQ81" s="943"/>
      <c r="BR81" s="943"/>
      <c r="BS81" s="943"/>
      <c r="BT81" s="943"/>
      <c r="BU81" s="37"/>
      <c r="BV81" s="345"/>
      <c r="BW81" s="941"/>
      <c r="BX81" s="941"/>
      <c r="BY81" s="941"/>
      <c r="BZ81" s="1445"/>
      <c r="CA81" s="37"/>
      <c r="CB81" s="345"/>
      <c r="CC81" s="1445"/>
      <c r="CD81" s="1445"/>
      <c r="CE81" s="1445"/>
      <c r="CF81" s="1445"/>
      <c r="CG81" s="557"/>
      <c r="CH81" s="345"/>
      <c r="CI81" s="1445"/>
      <c r="CJ81" s="1445"/>
      <c r="CK81" s="1445"/>
      <c r="CL81" s="1445"/>
      <c r="CM81" s="557"/>
      <c r="CN81" s="345"/>
      <c r="CO81" s="1445"/>
      <c r="CP81" s="1445"/>
      <c r="CQ81" s="1445"/>
      <c r="CR81" s="1445"/>
      <c r="CS81" s="557"/>
      <c r="CT81" s="345"/>
      <c r="CU81" s="1445"/>
      <c r="CV81" s="1445"/>
      <c r="CW81" s="1445"/>
      <c r="CX81" s="1445"/>
      <c r="CY81" s="557"/>
      <c r="CZ81" s="86"/>
      <c r="DA81" s="1445"/>
      <c r="DB81" s="1445"/>
      <c r="DC81" s="1445"/>
      <c r="DD81" s="1445"/>
      <c r="DE81" s="557"/>
      <c r="DF81" s="345"/>
      <c r="DG81" s="941"/>
      <c r="DH81" s="941"/>
      <c r="DI81" s="941"/>
      <c r="DJ81" s="941"/>
      <c r="DK81" s="557"/>
      <c r="DL81" s="345"/>
      <c r="DM81" s="1445"/>
      <c r="DN81" s="1445"/>
      <c r="DO81" s="1445"/>
      <c r="DP81" s="1445"/>
      <c r="DQ81" s="557"/>
      <c r="DR81" s="345"/>
      <c r="DS81" s="1445">
        <v>2</v>
      </c>
      <c r="DT81" s="1445">
        <v>3</v>
      </c>
      <c r="DU81" s="1445">
        <v>3.5</v>
      </c>
      <c r="DV81" s="1445">
        <v>4</v>
      </c>
      <c r="DW81" s="557">
        <f t="shared" si="72"/>
        <v>12.5</v>
      </c>
      <c r="DX81" s="345"/>
      <c r="DY81" s="941">
        <v>4</v>
      </c>
      <c r="DZ81" s="941"/>
      <c r="EA81" s="941"/>
      <c r="EB81" s="941"/>
      <c r="EC81" s="557">
        <f t="shared" si="73"/>
        <v>4</v>
      </c>
      <c r="ED81" s="345"/>
      <c r="EE81" s="941"/>
      <c r="EF81" s="941"/>
      <c r="EG81" s="941"/>
      <c r="EH81" s="941"/>
      <c r="EI81" s="557">
        <f t="shared" si="74"/>
        <v>0</v>
      </c>
      <c r="EJ81" s="345"/>
      <c r="EK81" s="941"/>
      <c r="EL81" s="941"/>
      <c r="EM81" s="941"/>
      <c r="EN81" s="941"/>
      <c r="EO81" s="557">
        <f t="shared" si="75"/>
        <v>0</v>
      </c>
      <c r="EP81" s="345"/>
      <c r="EQ81" s="941"/>
      <c r="ER81" s="941"/>
      <c r="ES81" s="941"/>
      <c r="ET81" s="941"/>
      <c r="EU81" s="557">
        <f t="shared" si="76"/>
        <v>0</v>
      </c>
      <c r="EV81" s="345"/>
      <c r="EW81" s="941"/>
      <c r="EX81" s="941"/>
      <c r="EY81" s="941"/>
      <c r="EZ81" s="941"/>
      <c r="FA81" s="557">
        <f t="shared" si="77"/>
        <v>0</v>
      </c>
      <c r="FB81" s="345"/>
      <c r="FC81" s="941"/>
      <c r="FD81" s="941"/>
      <c r="FE81" s="941"/>
      <c r="FF81" s="941"/>
      <c r="FG81" s="557">
        <f t="shared" si="78"/>
        <v>0</v>
      </c>
      <c r="FH81" s="345"/>
      <c r="FI81" s="941"/>
      <c r="FJ81" s="941"/>
      <c r="FK81" s="941"/>
      <c r="FL81" s="941"/>
      <c r="FM81" s="557">
        <f t="shared" si="79"/>
        <v>0</v>
      </c>
      <c r="FQ81"/>
      <c r="FR81"/>
      <c r="FS81"/>
      <c r="FT81"/>
      <c r="FU81"/>
      <c r="FV81"/>
      <c r="GB81" s="24"/>
      <c r="GC81" s="24"/>
      <c r="GD81" s="24"/>
      <c r="GE81" s="24"/>
      <c r="GF81" s="24"/>
      <c r="GG81" s="24"/>
      <c r="GH81" s="24"/>
      <c r="GI81" s="24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</row>
    <row r="82" spans="1:274" s="27" customFormat="1" ht="12" hidden="1" customHeight="1" outlineLevel="1" x14ac:dyDescent="0.2">
      <c r="A82" s="345" t="s">
        <v>100</v>
      </c>
      <c r="B82" s="345"/>
      <c r="C82" s="943"/>
      <c r="D82" s="943"/>
      <c r="E82" s="943"/>
      <c r="F82" s="943"/>
      <c r="G82" s="943"/>
      <c r="H82" s="345"/>
      <c r="I82" s="943"/>
      <c r="J82" s="943"/>
      <c r="K82" s="943"/>
      <c r="L82" s="943"/>
      <c r="M82" s="943"/>
      <c r="N82" s="345"/>
      <c r="O82" s="37"/>
      <c r="P82" s="37"/>
      <c r="Q82" s="37"/>
      <c r="R82" s="37"/>
      <c r="S82" s="37"/>
      <c r="T82" s="345"/>
      <c r="U82" s="943"/>
      <c r="V82" s="943"/>
      <c r="W82" s="943"/>
      <c r="X82" s="943"/>
      <c r="Y82" s="943"/>
      <c r="Z82" s="345"/>
      <c r="AA82" s="943"/>
      <c r="AB82" s="943"/>
      <c r="AC82" s="943"/>
      <c r="AD82" s="943"/>
      <c r="AE82" s="943"/>
      <c r="AF82" s="345"/>
      <c r="AG82" s="943"/>
      <c r="AH82" s="943"/>
      <c r="AI82" s="943"/>
      <c r="AJ82" s="943"/>
      <c r="AK82" s="943"/>
      <c r="AL82" s="943"/>
      <c r="AM82" s="943"/>
      <c r="AN82" s="943"/>
      <c r="AO82" s="943"/>
      <c r="AP82" s="943"/>
      <c r="AQ82" s="943"/>
      <c r="AR82" s="345"/>
      <c r="AS82" s="943"/>
      <c r="AT82" s="943"/>
      <c r="AU82" s="943"/>
      <c r="AV82" s="943"/>
      <c r="AW82" s="943"/>
      <c r="AX82" s="345"/>
      <c r="AY82" s="943"/>
      <c r="AZ82" s="943"/>
      <c r="BA82" s="943"/>
      <c r="BB82" s="943"/>
      <c r="BC82" s="943"/>
      <c r="BD82" s="345"/>
      <c r="BE82" s="943"/>
      <c r="BF82" s="943"/>
      <c r="BG82" s="943"/>
      <c r="BH82" s="943"/>
      <c r="BI82" s="943"/>
      <c r="BJ82" s="345"/>
      <c r="BK82" s="943"/>
      <c r="BL82" s="943"/>
      <c r="BM82" s="943"/>
      <c r="BN82" s="943"/>
      <c r="BO82" s="943"/>
      <c r="BP82" s="345"/>
      <c r="BQ82" s="943"/>
      <c r="BR82" s="943"/>
      <c r="BS82" s="943"/>
      <c r="BT82" s="943"/>
      <c r="BU82" s="37"/>
      <c r="BV82" s="345"/>
      <c r="BW82" s="941"/>
      <c r="BX82" s="941"/>
      <c r="BY82" s="941"/>
      <c r="BZ82" s="1445"/>
      <c r="CA82" s="37"/>
      <c r="CB82" s="345"/>
      <c r="CC82" s="1445"/>
      <c r="CD82" s="1445"/>
      <c r="CE82" s="1445"/>
      <c r="CF82" s="1445"/>
      <c r="CG82" s="557"/>
      <c r="CH82" s="345"/>
      <c r="CI82" s="1445"/>
      <c r="CJ82" s="1445"/>
      <c r="CK82" s="1445"/>
      <c r="CL82" s="1445"/>
      <c r="CM82" s="557"/>
      <c r="CN82" s="345"/>
      <c r="CO82" s="1445"/>
      <c r="CP82" s="1445"/>
      <c r="CQ82" s="1445"/>
      <c r="CR82" s="1445"/>
      <c r="CS82" s="557"/>
      <c r="CT82" s="345"/>
      <c r="CU82" s="1445"/>
      <c r="CV82" s="1445"/>
      <c r="CW82" s="1445"/>
      <c r="CX82" s="1445"/>
      <c r="CY82" s="557"/>
      <c r="CZ82" s="86"/>
      <c r="DA82" s="1445"/>
      <c r="DB82" s="1445"/>
      <c r="DC82" s="1445"/>
      <c r="DD82" s="1449"/>
      <c r="DE82" s="557"/>
      <c r="DF82" s="345"/>
      <c r="DG82" s="941"/>
      <c r="DH82" s="941"/>
      <c r="DI82" s="941"/>
      <c r="DJ82" s="1449"/>
      <c r="DK82" s="557"/>
      <c r="DL82" s="345"/>
      <c r="DM82" s="1445"/>
      <c r="DN82" s="1445"/>
      <c r="DO82" s="1449"/>
      <c r="DP82" s="1449"/>
      <c r="DQ82" s="557"/>
      <c r="DR82" s="345"/>
      <c r="DS82" s="1445"/>
      <c r="DT82" s="1445">
        <v>1</v>
      </c>
      <c r="DU82" s="1445">
        <v>5</v>
      </c>
      <c r="DV82" s="1445">
        <v>6</v>
      </c>
      <c r="DW82" s="557">
        <f t="shared" si="72"/>
        <v>12</v>
      </c>
      <c r="DX82" s="345"/>
      <c r="DY82" s="941">
        <v>5</v>
      </c>
      <c r="DZ82" s="941">
        <v>3</v>
      </c>
      <c r="EA82" s="941"/>
      <c r="EB82" s="941"/>
      <c r="EC82" s="557">
        <f t="shared" si="73"/>
        <v>8</v>
      </c>
      <c r="ED82" s="345"/>
      <c r="EE82" s="941"/>
      <c r="EF82" s="941"/>
      <c r="EG82" s="941"/>
      <c r="EH82" s="941"/>
      <c r="EI82" s="557">
        <f t="shared" si="74"/>
        <v>0</v>
      </c>
      <c r="EJ82" s="345"/>
      <c r="EK82" s="941"/>
      <c r="EL82" s="941"/>
      <c r="EM82" s="941"/>
      <c r="EN82" s="941"/>
      <c r="EO82" s="557">
        <f t="shared" si="75"/>
        <v>0</v>
      </c>
      <c r="EP82" s="345"/>
      <c r="EQ82" s="941"/>
      <c r="ER82" s="941"/>
      <c r="ES82" s="941"/>
      <c r="ET82" s="941"/>
      <c r="EU82" s="557">
        <f t="shared" si="76"/>
        <v>0</v>
      </c>
      <c r="EV82" s="345"/>
      <c r="EW82" s="941"/>
      <c r="EX82" s="941"/>
      <c r="EY82" s="941"/>
      <c r="EZ82" s="941"/>
      <c r="FA82" s="557">
        <f t="shared" si="77"/>
        <v>0</v>
      </c>
      <c r="FB82" s="345"/>
      <c r="FC82" s="941"/>
      <c r="FD82" s="941"/>
      <c r="FE82" s="941"/>
      <c r="FF82" s="941"/>
      <c r="FG82" s="557">
        <f t="shared" si="78"/>
        <v>0</v>
      </c>
      <c r="FH82" s="345"/>
      <c r="FI82" s="941"/>
      <c r="FJ82" s="941"/>
      <c r="FK82" s="941"/>
      <c r="FL82" s="941"/>
      <c r="FM82" s="557">
        <f t="shared" si="79"/>
        <v>0</v>
      </c>
      <c r="FQ82"/>
      <c r="FR82"/>
      <c r="FS82"/>
      <c r="FT82"/>
      <c r="FU82"/>
      <c r="FV82"/>
      <c r="GB82" s="24"/>
      <c r="GC82" s="24"/>
      <c r="GD82" s="24"/>
      <c r="GE82" s="24"/>
      <c r="GF82" s="24"/>
      <c r="GG82" s="24"/>
      <c r="GH82" s="24"/>
      <c r="GI82" s="24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</row>
    <row r="83" spans="1:274" s="27" customFormat="1" ht="12" hidden="1" customHeight="1" outlineLevel="1" x14ac:dyDescent="0.2">
      <c r="A83" s="345" t="s">
        <v>942</v>
      </c>
      <c r="B83" s="345"/>
      <c r="C83" s="943"/>
      <c r="D83" s="943"/>
      <c r="E83" s="943"/>
      <c r="F83" s="943"/>
      <c r="G83" s="943"/>
      <c r="H83" s="345"/>
      <c r="I83" s="943"/>
      <c r="J83" s="943"/>
      <c r="K83" s="943"/>
      <c r="L83" s="943"/>
      <c r="M83" s="943"/>
      <c r="N83" s="345"/>
      <c r="O83" s="37"/>
      <c r="P83" s="37"/>
      <c r="Q83" s="37"/>
      <c r="R83" s="37"/>
      <c r="S83" s="37"/>
      <c r="T83" s="345"/>
      <c r="U83" s="943"/>
      <c r="V83" s="943"/>
      <c r="W83" s="943"/>
      <c r="X83" s="943"/>
      <c r="Y83" s="943"/>
      <c r="Z83" s="345"/>
      <c r="AA83" s="943"/>
      <c r="AB83" s="943"/>
      <c r="AC83" s="943"/>
      <c r="AD83" s="943"/>
      <c r="AE83" s="943"/>
      <c r="AF83" s="345"/>
      <c r="AG83" s="943"/>
      <c r="AH83" s="943"/>
      <c r="AI83" s="943"/>
      <c r="AJ83" s="943"/>
      <c r="AK83" s="943"/>
      <c r="AL83" s="943"/>
      <c r="AM83" s="943"/>
      <c r="AN83" s="943"/>
      <c r="AO83" s="943"/>
      <c r="AP83" s="943"/>
      <c r="AQ83" s="943"/>
      <c r="AR83" s="345"/>
      <c r="AS83" s="943"/>
      <c r="AT83" s="943"/>
      <c r="AU83" s="943"/>
      <c r="AV83" s="943"/>
      <c r="AW83" s="943"/>
      <c r="AX83" s="345"/>
      <c r="AY83" s="943"/>
      <c r="AZ83" s="943"/>
      <c r="BA83" s="943"/>
      <c r="BB83" s="943"/>
      <c r="BC83" s="943"/>
      <c r="BD83" s="345"/>
      <c r="BE83" s="943"/>
      <c r="BF83" s="943"/>
      <c r="BG83" s="943"/>
      <c r="BH83" s="943"/>
      <c r="BI83" s="943"/>
      <c r="BJ83" s="345"/>
      <c r="BK83" s="943"/>
      <c r="BL83" s="943"/>
      <c r="BM83" s="943"/>
      <c r="BN83" s="943"/>
      <c r="BO83" s="943"/>
      <c r="BP83" s="345"/>
      <c r="BQ83" s="943"/>
      <c r="BR83" s="943"/>
      <c r="BS83" s="943"/>
      <c r="BT83" s="943"/>
      <c r="BU83" s="37"/>
      <c r="BV83" s="345"/>
      <c r="BW83" s="941"/>
      <c r="BX83" s="941"/>
      <c r="BY83" s="941"/>
      <c r="BZ83" s="1445"/>
      <c r="CA83" s="37"/>
      <c r="CB83" s="345"/>
      <c r="CC83" s="1445"/>
      <c r="CD83" s="1445"/>
      <c r="CE83" s="1445"/>
      <c r="CF83" s="1445"/>
      <c r="CG83" s="557"/>
      <c r="CH83" s="345"/>
      <c r="CI83" s="1445"/>
      <c r="CJ83" s="1445"/>
      <c r="CK83" s="1445"/>
      <c r="CL83" s="1445"/>
      <c r="CM83" s="557"/>
      <c r="CN83" s="345"/>
      <c r="CO83" s="1445"/>
      <c r="CP83" s="1445"/>
      <c r="CQ83" s="1445"/>
      <c r="CR83" s="1445"/>
      <c r="CS83" s="557"/>
      <c r="CT83" s="345"/>
      <c r="CU83" s="1445"/>
      <c r="CV83" s="1445"/>
      <c r="CW83" s="1445"/>
      <c r="CX83" s="1445"/>
      <c r="CY83" s="557"/>
      <c r="CZ83" s="86"/>
      <c r="DA83" s="1445"/>
      <c r="DB83" s="1445"/>
      <c r="DC83" s="1445"/>
      <c r="DD83" s="1445"/>
      <c r="DE83" s="557"/>
      <c r="DF83" s="345"/>
      <c r="DG83" s="941"/>
      <c r="DH83" s="941"/>
      <c r="DI83" s="941"/>
      <c r="DJ83" s="941"/>
      <c r="DK83" s="557"/>
      <c r="DL83" s="345"/>
      <c r="DM83" s="1445"/>
      <c r="DN83" s="1445"/>
      <c r="DO83" s="1445"/>
      <c r="DP83" s="1445"/>
      <c r="DQ83" s="557"/>
      <c r="DR83" s="345"/>
      <c r="DS83" s="1445"/>
      <c r="DT83" s="1445"/>
      <c r="DU83" s="1445">
        <v>4</v>
      </c>
      <c r="DV83" s="1445">
        <f>22.879*1.045^2</f>
        <v>24.984439974999997</v>
      </c>
      <c r="DW83" s="557">
        <f t="shared" si="72"/>
        <v>28.984439974999997</v>
      </c>
      <c r="DX83" s="345"/>
      <c r="DY83" s="1445">
        <f>DV83*1.05</f>
        <v>26.233661973749999</v>
      </c>
      <c r="DZ83" s="1445">
        <f>DY83*1.05</f>
        <v>27.545345072437499</v>
      </c>
      <c r="EA83" s="1445">
        <f>DZ83*1.07*(10/13)</f>
        <v>22.671937867313943</v>
      </c>
      <c r="EB83" s="941"/>
      <c r="EC83" s="557">
        <f t="shared" si="73"/>
        <v>76.450944913501445</v>
      </c>
      <c r="ED83" s="345"/>
      <c r="EE83" s="941"/>
      <c r="EF83" s="941"/>
      <c r="EG83" s="941"/>
      <c r="EH83" s="941"/>
      <c r="EI83" s="557">
        <f t="shared" si="74"/>
        <v>0</v>
      </c>
      <c r="EJ83" s="345"/>
      <c r="EK83" s="941"/>
      <c r="EL83" s="941"/>
      <c r="EM83" s="941"/>
      <c r="EN83" s="941"/>
      <c r="EO83" s="557">
        <f t="shared" si="75"/>
        <v>0</v>
      </c>
      <c r="EP83" s="345"/>
      <c r="EQ83" s="941"/>
      <c r="ER83" s="941"/>
      <c r="ES83" s="941"/>
      <c r="ET83" s="941"/>
      <c r="EU83" s="557">
        <f t="shared" si="76"/>
        <v>0</v>
      </c>
      <c r="EV83" s="345"/>
      <c r="EW83" s="941"/>
      <c r="EX83" s="941"/>
      <c r="EY83" s="941"/>
      <c r="EZ83" s="941"/>
      <c r="FA83" s="557">
        <f t="shared" si="77"/>
        <v>0</v>
      </c>
      <c r="FB83" s="345"/>
      <c r="FC83" s="941"/>
      <c r="FD83" s="941"/>
      <c r="FE83" s="941"/>
      <c r="FF83" s="941"/>
      <c r="FG83" s="557">
        <f t="shared" si="78"/>
        <v>0</v>
      </c>
      <c r="FH83" s="345"/>
      <c r="FI83" s="941"/>
      <c r="FJ83" s="941"/>
      <c r="FK83" s="941"/>
      <c r="FL83" s="941"/>
      <c r="FM83" s="557">
        <f t="shared" si="79"/>
        <v>0</v>
      </c>
      <c r="FQ83"/>
      <c r="FR83"/>
      <c r="FS83"/>
      <c r="FT83"/>
      <c r="FU83"/>
      <c r="FV83"/>
      <c r="GB83" s="24"/>
      <c r="GC83" s="24"/>
      <c r="GD83" s="24"/>
      <c r="GE83" s="24"/>
      <c r="GF83" s="24"/>
      <c r="GG83" s="24"/>
      <c r="GH83" s="24"/>
      <c r="GI83" s="24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</row>
    <row r="84" spans="1:274" s="27" customFormat="1" ht="12" hidden="1" customHeight="1" outlineLevel="1" x14ac:dyDescent="0.2">
      <c r="A84" s="345" t="s">
        <v>110</v>
      </c>
      <c r="B84" s="345"/>
      <c r="C84" s="943"/>
      <c r="D84" s="943"/>
      <c r="E84" s="943"/>
      <c r="F84" s="943"/>
      <c r="G84" s="943"/>
      <c r="H84" s="345"/>
      <c r="I84" s="943"/>
      <c r="J84" s="943"/>
      <c r="K84" s="943"/>
      <c r="L84" s="943"/>
      <c r="M84" s="943"/>
      <c r="N84" s="345"/>
      <c r="O84" s="37"/>
      <c r="P84" s="37"/>
      <c r="Q84" s="37"/>
      <c r="R84" s="37"/>
      <c r="S84" s="37"/>
      <c r="T84" s="345"/>
      <c r="U84" s="943"/>
      <c r="V84" s="943"/>
      <c r="W84" s="943"/>
      <c r="X84" s="943"/>
      <c r="Y84" s="943"/>
      <c r="Z84" s="345"/>
      <c r="AA84" s="943"/>
      <c r="AB84" s="943"/>
      <c r="AC84" s="943"/>
      <c r="AD84" s="943"/>
      <c r="AE84" s="943"/>
      <c r="AF84" s="345"/>
      <c r="AG84" s="943"/>
      <c r="AH84" s="943"/>
      <c r="AI84" s="943"/>
      <c r="AJ84" s="943"/>
      <c r="AK84" s="943"/>
      <c r="AL84" s="943"/>
      <c r="AM84" s="943"/>
      <c r="AN84" s="943"/>
      <c r="AO84" s="943"/>
      <c r="AP84" s="943"/>
      <c r="AQ84" s="943"/>
      <c r="AR84" s="345"/>
      <c r="AS84" s="943"/>
      <c r="AT84" s="943"/>
      <c r="AU84" s="943"/>
      <c r="AV84" s="943"/>
      <c r="AW84" s="943"/>
      <c r="AX84" s="345"/>
      <c r="AY84" s="943"/>
      <c r="AZ84" s="943"/>
      <c r="BA84" s="943"/>
      <c r="BB84" s="943"/>
      <c r="BC84" s="943"/>
      <c r="BD84" s="345"/>
      <c r="BE84" s="943"/>
      <c r="BF84" s="943"/>
      <c r="BG84" s="943"/>
      <c r="BH84" s="943"/>
      <c r="BI84" s="943"/>
      <c r="BJ84" s="345"/>
      <c r="BK84" s="943"/>
      <c r="BL84" s="943"/>
      <c r="BM84" s="943"/>
      <c r="BN84" s="943"/>
      <c r="BO84" s="943"/>
      <c r="BP84" s="345"/>
      <c r="BQ84" s="943"/>
      <c r="BR84" s="943"/>
      <c r="BS84" s="943"/>
      <c r="BT84" s="943"/>
      <c r="BU84" s="37"/>
      <c r="BV84" s="345"/>
      <c r="BW84" s="941"/>
      <c r="BX84" s="941"/>
      <c r="BY84" s="941"/>
      <c r="BZ84" s="1445"/>
      <c r="CA84" s="37"/>
      <c r="CB84" s="345"/>
      <c r="CC84" s="1445"/>
      <c r="CD84" s="1445"/>
      <c r="CE84" s="1445"/>
      <c r="CF84" s="1445"/>
      <c r="CG84" s="557"/>
      <c r="CH84" s="345"/>
      <c r="CI84" s="1445"/>
      <c r="CJ84" s="1445"/>
      <c r="CK84" s="1445"/>
      <c r="CL84" s="1445"/>
      <c r="CM84" s="557"/>
      <c r="CN84" s="345"/>
      <c r="CO84" s="1445"/>
      <c r="CP84" s="1445"/>
      <c r="CQ84" s="1445"/>
      <c r="CR84" s="1445"/>
      <c r="CS84" s="557"/>
      <c r="CT84" s="345"/>
      <c r="CU84" s="1445"/>
      <c r="CV84" s="1445"/>
      <c r="CW84" s="1445"/>
      <c r="CX84" s="1445"/>
      <c r="CY84" s="557"/>
      <c r="CZ84" s="86"/>
      <c r="DA84" s="1445"/>
      <c r="DB84" s="1445"/>
      <c r="DC84" s="1445"/>
      <c r="DD84" s="1445"/>
      <c r="DE84" s="557"/>
      <c r="DF84" s="345"/>
      <c r="DG84" s="941"/>
      <c r="DH84" s="941"/>
      <c r="DI84" s="941"/>
      <c r="DJ84" s="941"/>
      <c r="DK84" s="557"/>
      <c r="DL84" s="345"/>
      <c r="DM84" s="1445"/>
      <c r="DN84" s="1445"/>
      <c r="DO84" s="1445"/>
      <c r="DP84" s="1445"/>
      <c r="DQ84" s="557"/>
      <c r="DR84" s="345"/>
      <c r="DS84" s="1445"/>
      <c r="DT84" s="1445"/>
      <c r="DU84" s="1445"/>
      <c r="DV84" s="1445"/>
      <c r="DW84" s="557"/>
      <c r="DX84" s="345"/>
      <c r="DY84" s="1445"/>
      <c r="DZ84" s="1450">
        <f>DZ148*0.6</f>
        <v>1.5</v>
      </c>
      <c r="EA84" s="1450">
        <f>EA148*0.7</f>
        <v>11.375</v>
      </c>
      <c r="EB84" s="1450">
        <f>EB148*0.6</f>
        <v>12</v>
      </c>
      <c r="EC84" s="1451">
        <f t="shared" si="73"/>
        <v>24.875</v>
      </c>
      <c r="ED84" s="1452"/>
      <c r="EE84" s="1450">
        <f>EE148*0.6</f>
        <v>13.5</v>
      </c>
      <c r="EF84" s="1450">
        <f>EF148*0.6</f>
        <v>15.75</v>
      </c>
      <c r="EG84" s="941"/>
      <c r="EH84" s="941"/>
      <c r="EI84" s="557">
        <f t="shared" si="74"/>
        <v>29.25</v>
      </c>
      <c r="EJ84" s="345"/>
      <c r="EK84" s="941"/>
      <c r="EL84" s="941"/>
      <c r="EM84" s="941"/>
      <c r="EN84" s="941"/>
      <c r="EO84" s="557">
        <f t="shared" si="75"/>
        <v>0</v>
      </c>
      <c r="EP84" s="345"/>
      <c r="EQ84" s="941"/>
      <c r="ER84" s="941"/>
      <c r="ES84" s="941"/>
      <c r="ET84" s="941"/>
      <c r="EU84" s="557">
        <f t="shared" si="76"/>
        <v>0</v>
      </c>
      <c r="EV84" s="345"/>
      <c r="EW84" s="941"/>
      <c r="EX84" s="941"/>
      <c r="EY84" s="941"/>
      <c r="EZ84" s="941"/>
      <c r="FA84" s="557">
        <f t="shared" si="77"/>
        <v>0</v>
      </c>
      <c r="FB84" s="345"/>
      <c r="FC84" s="941"/>
      <c r="FD84" s="941"/>
      <c r="FE84" s="941"/>
      <c r="FF84" s="941"/>
      <c r="FG84" s="557">
        <f t="shared" si="78"/>
        <v>0</v>
      </c>
      <c r="FH84" s="345"/>
      <c r="FI84" s="941"/>
      <c r="FJ84" s="941"/>
      <c r="FK84" s="941"/>
      <c r="FL84" s="941"/>
      <c r="FM84" s="557">
        <f t="shared" si="79"/>
        <v>0</v>
      </c>
      <c r="FQ84"/>
      <c r="FR84"/>
      <c r="FS84"/>
      <c r="FT84"/>
      <c r="FU84"/>
      <c r="FV84"/>
      <c r="GB84" s="24"/>
      <c r="GC84" s="24"/>
      <c r="GD84" s="24"/>
      <c r="GE84" s="24"/>
      <c r="GF84" s="24"/>
      <c r="GG84" s="24"/>
      <c r="GH84" s="24"/>
      <c r="GI84" s="2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</row>
    <row r="85" spans="1:274" s="27" customFormat="1" ht="12" hidden="1" customHeight="1" outlineLevel="1" x14ac:dyDescent="0.2">
      <c r="A85" s="345" t="s">
        <v>1104</v>
      </c>
      <c r="B85" s="345"/>
      <c r="C85" s="943"/>
      <c r="D85" s="943"/>
      <c r="E85" s="943"/>
      <c r="F85" s="943"/>
      <c r="G85" s="943"/>
      <c r="H85" s="345"/>
      <c r="I85" s="943"/>
      <c r="J85" s="943"/>
      <c r="K85" s="943"/>
      <c r="L85" s="943"/>
      <c r="M85" s="943"/>
      <c r="N85" s="345"/>
      <c r="O85" s="37"/>
      <c r="P85" s="37"/>
      <c r="Q85" s="37"/>
      <c r="R85" s="37"/>
      <c r="S85" s="37"/>
      <c r="T85" s="345"/>
      <c r="U85" s="943"/>
      <c r="V85" s="943"/>
      <c r="W85" s="943"/>
      <c r="X85" s="943"/>
      <c r="Y85" s="943"/>
      <c r="Z85" s="345"/>
      <c r="AA85" s="943"/>
      <c r="AB85" s="943"/>
      <c r="AC85" s="943"/>
      <c r="AD85" s="943"/>
      <c r="AE85" s="943"/>
      <c r="AF85" s="345"/>
      <c r="AG85" s="943"/>
      <c r="AH85" s="943"/>
      <c r="AI85" s="943"/>
      <c r="AJ85" s="943"/>
      <c r="AK85" s="943"/>
      <c r="AL85" s="943"/>
      <c r="AM85" s="943"/>
      <c r="AN85" s="943"/>
      <c r="AO85" s="943"/>
      <c r="AP85" s="943"/>
      <c r="AQ85" s="943"/>
      <c r="AR85" s="345"/>
      <c r="AS85" s="943"/>
      <c r="AT85" s="943"/>
      <c r="AU85" s="943"/>
      <c r="AV85" s="943"/>
      <c r="AW85" s="943"/>
      <c r="AX85" s="345"/>
      <c r="AY85" s="943"/>
      <c r="AZ85" s="943"/>
      <c r="BA85" s="943"/>
      <c r="BB85" s="943"/>
      <c r="BC85" s="943"/>
      <c r="BD85" s="345"/>
      <c r="BE85" s="943"/>
      <c r="BF85" s="943"/>
      <c r="BG85" s="943"/>
      <c r="BH85" s="943"/>
      <c r="BI85" s="943"/>
      <c r="BJ85" s="345"/>
      <c r="BK85" s="943"/>
      <c r="BL85" s="943"/>
      <c r="BM85" s="943"/>
      <c r="BN85" s="943"/>
      <c r="BO85" s="943"/>
      <c r="BP85" s="345"/>
      <c r="BQ85" s="943"/>
      <c r="BR85" s="943"/>
      <c r="BS85" s="943"/>
      <c r="BT85" s="943"/>
      <c r="BU85" s="37"/>
      <c r="BV85" s="345"/>
      <c r="BW85" s="941"/>
      <c r="BX85" s="941"/>
      <c r="BY85" s="941"/>
      <c r="BZ85" s="1445"/>
      <c r="CA85" s="37"/>
      <c r="CB85" s="345"/>
      <c r="CC85" s="1445"/>
      <c r="CD85" s="1445"/>
      <c r="CE85" s="1445"/>
      <c r="CF85" s="1445"/>
      <c r="CG85" s="557"/>
      <c r="CH85" s="345"/>
      <c r="CI85" s="1445"/>
      <c r="CJ85" s="1445"/>
      <c r="CK85" s="1445"/>
      <c r="CL85" s="1445"/>
      <c r="CM85" s="557"/>
      <c r="CN85" s="345"/>
      <c r="CO85" s="1445"/>
      <c r="CP85" s="1445"/>
      <c r="CQ85" s="1445"/>
      <c r="CR85" s="1445"/>
      <c r="CS85" s="557"/>
      <c r="CT85" s="345"/>
      <c r="CU85" s="1445"/>
      <c r="CV85" s="1445"/>
      <c r="CW85" s="1445"/>
      <c r="CX85" s="1445"/>
      <c r="CY85" s="557"/>
      <c r="CZ85" s="86"/>
      <c r="DA85" s="1445"/>
      <c r="DB85" s="1445"/>
      <c r="DC85" s="1445"/>
      <c r="DD85" s="1445"/>
      <c r="DE85" s="557"/>
      <c r="DF85" s="345"/>
      <c r="DG85" s="941"/>
      <c r="DH85" s="941"/>
      <c r="DI85" s="941"/>
      <c r="DJ85" s="941"/>
      <c r="DK85" s="557"/>
      <c r="DL85" s="345"/>
      <c r="DM85" s="1445"/>
      <c r="DN85" s="1445"/>
      <c r="DO85" s="1445"/>
      <c r="DP85" s="1445"/>
      <c r="DQ85" s="557"/>
      <c r="DR85" s="345"/>
      <c r="DS85" s="1445"/>
      <c r="DT85" s="1445"/>
      <c r="DU85" s="1445"/>
      <c r="DV85" s="1445"/>
      <c r="DW85" s="557"/>
      <c r="DX85" s="345"/>
      <c r="DY85" s="1445"/>
      <c r="DZ85" s="1450"/>
      <c r="EA85" s="1450">
        <f>EA149*0.7</f>
        <v>9.1</v>
      </c>
      <c r="EB85" s="1450">
        <f>EB149*0.7</f>
        <v>35</v>
      </c>
      <c r="EC85" s="1451">
        <f t="shared" si="73"/>
        <v>44.1</v>
      </c>
      <c r="ED85" s="1452"/>
      <c r="EE85" s="1450">
        <f>EE149*0.7</f>
        <v>40.599999999999994</v>
      </c>
      <c r="EF85" s="1450">
        <f>EF149*0.7</f>
        <v>43.4</v>
      </c>
      <c r="EG85" s="941">
        <f>EG149*0.7</f>
        <v>35</v>
      </c>
      <c r="EH85" s="941"/>
      <c r="EI85" s="557">
        <f t="shared" si="74"/>
        <v>119</v>
      </c>
      <c r="EJ85" s="345"/>
      <c r="EK85" s="941"/>
      <c r="EL85" s="941"/>
      <c r="EM85" s="941"/>
      <c r="EN85" s="941"/>
      <c r="EO85" s="557">
        <f t="shared" si="75"/>
        <v>0</v>
      </c>
      <c r="EP85" s="345"/>
      <c r="EQ85" s="941"/>
      <c r="ER85" s="941"/>
      <c r="ES85" s="941"/>
      <c r="ET85" s="941"/>
      <c r="EU85" s="557">
        <f t="shared" si="76"/>
        <v>0</v>
      </c>
      <c r="EV85" s="345"/>
      <c r="EW85" s="941"/>
      <c r="EX85" s="941"/>
      <c r="EY85" s="941"/>
      <c r="EZ85" s="941"/>
      <c r="FA85" s="557">
        <f t="shared" si="77"/>
        <v>0</v>
      </c>
      <c r="FB85" s="345"/>
      <c r="FC85" s="941"/>
      <c r="FD85" s="941"/>
      <c r="FE85" s="941"/>
      <c r="FF85" s="941"/>
      <c r="FG85" s="557">
        <f t="shared" si="78"/>
        <v>0</v>
      </c>
      <c r="FH85" s="345"/>
      <c r="FI85" s="941"/>
      <c r="FJ85" s="941"/>
      <c r="FK85" s="941"/>
      <c r="FL85" s="941"/>
      <c r="FM85" s="557">
        <f t="shared" si="79"/>
        <v>0</v>
      </c>
      <c r="FQ85"/>
      <c r="FR85"/>
      <c r="FS85"/>
      <c r="FT85"/>
      <c r="FU85"/>
      <c r="FV85"/>
      <c r="GB85" s="24"/>
      <c r="GC85" s="24"/>
      <c r="GD85" s="24"/>
      <c r="GE85" s="24"/>
      <c r="GF85" s="24"/>
      <c r="GG85" s="24"/>
      <c r="GH85" s="24"/>
      <c r="GI85" s="24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</row>
    <row r="86" spans="1:274" s="27" customFormat="1" ht="12" hidden="1" customHeight="1" outlineLevel="1" x14ac:dyDescent="0.2">
      <c r="A86" s="345" t="s">
        <v>1107</v>
      </c>
      <c r="B86" s="345"/>
      <c r="C86" s="943"/>
      <c r="D86" s="943"/>
      <c r="E86" s="943"/>
      <c r="F86" s="943"/>
      <c r="G86" s="943"/>
      <c r="H86" s="345"/>
      <c r="I86" s="943"/>
      <c r="J86" s="943"/>
      <c r="K86" s="943"/>
      <c r="L86" s="943"/>
      <c r="M86" s="943"/>
      <c r="N86" s="345"/>
      <c r="O86" s="37"/>
      <c r="P86" s="37"/>
      <c r="Q86" s="37"/>
      <c r="R86" s="37"/>
      <c r="S86" s="37"/>
      <c r="T86" s="345"/>
      <c r="U86" s="943"/>
      <c r="V86" s="943"/>
      <c r="W86" s="943"/>
      <c r="X86" s="943"/>
      <c r="Y86" s="943"/>
      <c r="Z86" s="345"/>
      <c r="AA86" s="943"/>
      <c r="AB86" s="943"/>
      <c r="AC86" s="943"/>
      <c r="AD86" s="943"/>
      <c r="AE86" s="943"/>
      <c r="AF86" s="345"/>
      <c r="AG86" s="943"/>
      <c r="AH86" s="943"/>
      <c r="AI86" s="943"/>
      <c r="AJ86" s="943"/>
      <c r="AK86" s="943"/>
      <c r="AL86" s="943"/>
      <c r="AM86" s="943"/>
      <c r="AN86" s="943"/>
      <c r="AO86" s="943"/>
      <c r="AP86" s="943"/>
      <c r="AQ86" s="943"/>
      <c r="AR86" s="345"/>
      <c r="AS86" s="943"/>
      <c r="AT86" s="943"/>
      <c r="AU86" s="943"/>
      <c r="AV86" s="943"/>
      <c r="AW86" s="943"/>
      <c r="AX86" s="345"/>
      <c r="AY86" s="943"/>
      <c r="AZ86" s="943"/>
      <c r="BA86" s="943"/>
      <c r="BB86" s="943"/>
      <c r="BC86" s="943"/>
      <c r="BD86" s="345"/>
      <c r="BE86" s="943"/>
      <c r="BF86" s="943"/>
      <c r="BG86" s="943"/>
      <c r="BH86" s="943"/>
      <c r="BI86" s="943"/>
      <c r="BJ86" s="345"/>
      <c r="BK86" s="943"/>
      <c r="BL86" s="943"/>
      <c r="BM86" s="943"/>
      <c r="BN86" s="943"/>
      <c r="BO86" s="943"/>
      <c r="BP86" s="345"/>
      <c r="BQ86" s="943"/>
      <c r="BR86" s="943"/>
      <c r="BS86" s="943"/>
      <c r="BT86" s="943"/>
      <c r="BU86" s="37"/>
      <c r="BV86" s="345"/>
      <c r="BW86" s="941"/>
      <c r="BX86" s="941"/>
      <c r="BY86" s="941"/>
      <c r="BZ86" s="1445"/>
      <c r="CA86" s="37"/>
      <c r="CB86" s="345"/>
      <c r="CC86" s="1445"/>
      <c r="CD86" s="1445"/>
      <c r="CE86" s="1445"/>
      <c r="CF86" s="1445"/>
      <c r="CG86" s="557"/>
      <c r="CH86" s="345"/>
      <c r="CI86" s="1445"/>
      <c r="CJ86" s="1445"/>
      <c r="CK86" s="1445"/>
      <c r="CL86" s="1445"/>
      <c r="CM86" s="557"/>
      <c r="CN86" s="345"/>
      <c r="CO86" s="1445"/>
      <c r="CP86" s="1445"/>
      <c r="CQ86" s="1445"/>
      <c r="CR86" s="1445"/>
      <c r="CS86" s="557"/>
      <c r="CT86" s="345"/>
      <c r="CU86" s="1445"/>
      <c r="CV86" s="1445"/>
      <c r="CW86" s="1445"/>
      <c r="CX86" s="1445"/>
      <c r="CY86" s="557"/>
      <c r="CZ86" s="86"/>
      <c r="DA86" s="1445"/>
      <c r="DB86" s="1445"/>
      <c r="DC86" s="1445"/>
      <c r="DD86" s="1445"/>
      <c r="DE86" s="557"/>
      <c r="DF86" s="345"/>
      <c r="DG86" s="941"/>
      <c r="DH86" s="941"/>
      <c r="DI86" s="941"/>
      <c r="DJ86" s="941"/>
      <c r="DK86" s="557"/>
      <c r="DL86" s="345"/>
      <c r="DM86" s="1445"/>
      <c r="DN86" s="1445"/>
      <c r="DO86" s="1445"/>
      <c r="DP86" s="1445"/>
      <c r="DQ86" s="557"/>
      <c r="DR86" s="345"/>
      <c r="DS86" s="1445"/>
      <c r="DT86" s="1445"/>
      <c r="DU86" s="1445"/>
      <c r="DV86" s="1445"/>
      <c r="DW86" s="557"/>
      <c r="DX86" s="345"/>
      <c r="DY86" s="1445"/>
      <c r="DZ86" s="1450"/>
      <c r="EA86" s="1450"/>
      <c r="EB86" s="1450">
        <f>EB150</f>
        <v>6.666666666666667</v>
      </c>
      <c r="EC86" s="1451">
        <f t="shared" si="73"/>
        <v>6.666666666666667</v>
      </c>
      <c r="ED86" s="1452"/>
      <c r="EE86" s="1450">
        <f>EE150</f>
        <v>11.745800000000001</v>
      </c>
      <c r="EF86" s="1450">
        <f>EF150</f>
        <v>12.542165240000003</v>
      </c>
      <c r="EG86" s="1638">
        <f>EG150</f>
        <v>13.392524043272005</v>
      </c>
      <c r="EH86" s="1638">
        <f>EH150</f>
        <v>7.6338705067391812</v>
      </c>
      <c r="EI86" s="557">
        <f t="shared" si="74"/>
        <v>45.314359790011189</v>
      </c>
      <c r="EJ86" s="345"/>
      <c r="EK86" s="941"/>
      <c r="EL86" s="941"/>
      <c r="EM86" s="941"/>
      <c r="EN86" s="941"/>
      <c r="EO86" s="557">
        <f t="shared" si="75"/>
        <v>0</v>
      </c>
      <c r="EP86" s="345"/>
      <c r="EQ86" s="941"/>
      <c r="ER86" s="941"/>
      <c r="ES86" s="941"/>
      <c r="ET86" s="941"/>
      <c r="EU86" s="557">
        <f t="shared" si="76"/>
        <v>0</v>
      </c>
      <c r="EV86" s="345"/>
      <c r="EW86" s="941"/>
      <c r="EX86" s="941"/>
      <c r="EY86" s="941"/>
      <c r="EZ86" s="941"/>
      <c r="FA86" s="557">
        <f t="shared" si="77"/>
        <v>0</v>
      </c>
      <c r="FB86" s="345"/>
      <c r="FC86" s="941"/>
      <c r="FD86" s="941"/>
      <c r="FE86" s="941"/>
      <c r="FF86" s="941"/>
      <c r="FG86" s="557">
        <f t="shared" si="78"/>
        <v>0</v>
      </c>
      <c r="FH86" s="345"/>
      <c r="FI86" s="941"/>
      <c r="FJ86" s="941"/>
      <c r="FK86" s="941"/>
      <c r="FL86" s="941"/>
      <c r="FM86" s="557">
        <f t="shared" si="79"/>
        <v>0</v>
      </c>
      <c r="FQ86"/>
      <c r="FR86"/>
      <c r="FS86"/>
      <c r="FT86"/>
      <c r="FU86"/>
      <c r="FV86"/>
      <c r="GB86" s="24"/>
      <c r="GC86" s="24"/>
      <c r="GD86" s="24"/>
      <c r="GE86" s="24"/>
      <c r="GF86" s="24"/>
      <c r="GG86" s="24"/>
      <c r="GH86" s="24"/>
      <c r="GI86" s="24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</row>
    <row r="87" spans="1:274" s="1517" customFormat="1" ht="12" hidden="1" customHeight="1" outlineLevel="1" x14ac:dyDescent="0.2">
      <c r="A87" s="1580" t="s">
        <v>1120</v>
      </c>
      <c r="B87" s="1580"/>
      <c r="C87" s="1676"/>
      <c r="D87" s="1676"/>
      <c r="E87" s="1676"/>
      <c r="F87" s="1676"/>
      <c r="G87" s="1676"/>
      <c r="H87" s="1580"/>
      <c r="I87" s="1676"/>
      <c r="J87" s="1676"/>
      <c r="K87" s="1676"/>
      <c r="L87" s="1676"/>
      <c r="M87" s="1676"/>
      <c r="N87" s="1580"/>
      <c r="O87" s="1559"/>
      <c r="P87" s="1559"/>
      <c r="Q87" s="1559"/>
      <c r="R87" s="1559"/>
      <c r="S87" s="1559"/>
      <c r="T87" s="1580"/>
      <c r="U87" s="1676"/>
      <c r="V87" s="1676"/>
      <c r="W87" s="1676"/>
      <c r="X87" s="1676"/>
      <c r="Y87" s="1676"/>
      <c r="Z87" s="1580"/>
      <c r="AA87" s="1676"/>
      <c r="AB87" s="1676"/>
      <c r="AC87" s="1676"/>
      <c r="AD87" s="1676"/>
      <c r="AE87" s="1676"/>
      <c r="AF87" s="1580"/>
      <c r="AG87" s="1676"/>
      <c r="AH87" s="1676"/>
      <c r="AI87" s="1676"/>
      <c r="AJ87" s="1676"/>
      <c r="AK87" s="1676"/>
      <c r="AL87" s="1676"/>
      <c r="AM87" s="1676"/>
      <c r="AN87" s="1676"/>
      <c r="AO87" s="1676"/>
      <c r="AP87" s="1676"/>
      <c r="AQ87" s="1676"/>
      <c r="AR87" s="1580"/>
      <c r="AS87" s="1676"/>
      <c r="AT87" s="1676"/>
      <c r="AU87" s="1676"/>
      <c r="AV87" s="1676"/>
      <c r="AW87" s="1676"/>
      <c r="AX87" s="1580"/>
      <c r="AY87" s="1676"/>
      <c r="AZ87" s="1676"/>
      <c r="BA87" s="1676"/>
      <c r="BB87" s="1676"/>
      <c r="BC87" s="1676"/>
      <c r="BD87" s="1580"/>
      <c r="BE87" s="1676"/>
      <c r="BF87" s="1676"/>
      <c r="BG87" s="1676"/>
      <c r="BH87" s="1676"/>
      <c r="BI87" s="1676"/>
      <c r="BJ87" s="1580"/>
      <c r="BK87" s="1676"/>
      <c r="BL87" s="1676"/>
      <c r="BM87" s="1676"/>
      <c r="BN87" s="1676"/>
      <c r="BO87" s="1676"/>
      <c r="BP87" s="1580"/>
      <c r="BQ87" s="1676"/>
      <c r="BR87" s="1676"/>
      <c r="BS87" s="1676"/>
      <c r="BT87" s="1676"/>
      <c r="BU87" s="1559"/>
      <c r="BV87" s="1580"/>
      <c r="BW87" s="1677"/>
      <c r="BX87" s="1677"/>
      <c r="BY87" s="1677"/>
      <c r="BZ87" s="1678"/>
      <c r="CA87" s="1559"/>
      <c r="CB87" s="1580"/>
      <c r="CC87" s="1678"/>
      <c r="CD87" s="1678"/>
      <c r="CE87" s="1678"/>
      <c r="CF87" s="1678"/>
      <c r="CG87" s="1679"/>
      <c r="CH87" s="1580"/>
      <c r="CI87" s="1678"/>
      <c r="CJ87" s="1678"/>
      <c r="CK87" s="1678"/>
      <c r="CL87" s="1678"/>
      <c r="CM87" s="1679"/>
      <c r="CN87" s="1580"/>
      <c r="CO87" s="1678"/>
      <c r="CP87" s="1678"/>
      <c r="CQ87" s="1678"/>
      <c r="CR87" s="1678"/>
      <c r="CS87" s="1679"/>
      <c r="CT87" s="1580"/>
      <c r="CU87" s="1678"/>
      <c r="CV87" s="1678"/>
      <c r="CW87" s="1678"/>
      <c r="CX87" s="1678"/>
      <c r="CY87" s="1679"/>
      <c r="CZ87" s="1582"/>
      <c r="DA87" s="1678"/>
      <c r="DB87" s="1678"/>
      <c r="DC87" s="1678"/>
      <c r="DD87" s="1678"/>
      <c r="DE87" s="1679"/>
      <c r="DF87" s="1580"/>
      <c r="DG87" s="1677"/>
      <c r="DH87" s="1677"/>
      <c r="DI87" s="1677"/>
      <c r="DJ87" s="1677"/>
      <c r="DK87" s="1679"/>
      <c r="DL87" s="1580"/>
      <c r="DM87" s="1678"/>
      <c r="DN87" s="1678"/>
      <c r="DO87" s="1678"/>
      <c r="DP87" s="1678"/>
      <c r="DQ87" s="1679"/>
      <c r="DR87" s="1580"/>
      <c r="DS87" s="1678"/>
      <c r="DT87" s="1678"/>
      <c r="DU87" s="1678"/>
      <c r="DV87" s="1678"/>
      <c r="DW87" s="1679"/>
      <c r="DX87" s="1580"/>
      <c r="DY87" s="1678"/>
      <c r="DZ87" s="1680"/>
      <c r="EA87" s="1680"/>
      <c r="EB87" s="1680"/>
      <c r="EC87" s="1681"/>
      <c r="ED87" s="1682"/>
      <c r="EE87" s="1680"/>
      <c r="EF87" s="1680">
        <v>33.146666666666668</v>
      </c>
      <c r="EG87" s="1683">
        <v>40.590000000000003</v>
      </c>
      <c r="EH87" s="1683">
        <v>41.873333333333328</v>
      </c>
      <c r="EI87" s="557">
        <f t="shared" si="74"/>
        <v>115.61000000000001</v>
      </c>
      <c r="EJ87" s="1580"/>
      <c r="EK87" s="1678">
        <v>40.846666666666671</v>
      </c>
      <c r="EL87" s="1678">
        <v>6.71</v>
      </c>
      <c r="EM87" s="1677"/>
      <c r="EN87" s="1677"/>
      <c r="EO87" s="557">
        <f t="shared" si="75"/>
        <v>47.556666666666672</v>
      </c>
      <c r="EP87" s="1580"/>
      <c r="EQ87" s="1677"/>
      <c r="ER87" s="1677"/>
      <c r="ES87" s="1677"/>
      <c r="ET87" s="1677"/>
      <c r="EU87" s="557">
        <f t="shared" si="76"/>
        <v>0</v>
      </c>
      <c r="EV87" s="1580"/>
      <c r="EW87" s="1677"/>
      <c r="EX87" s="1677"/>
      <c r="EY87" s="1677"/>
      <c r="EZ87" s="1677"/>
      <c r="FA87" s="557">
        <f t="shared" si="77"/>
        <v>0</v>
      </c>
      <c r="FB87" s="1580"/>
      <c r="FC87" s="1677"/>
      <c r="FD87" s="1677"/>
      <c r="FE87" s="1677"/>
      <c r="FF87" s="1677"/>
      <c r="FG87" s="557">
        <f t="shared" si="78"/>
        <v>0</v>
      </c>
      <c r="FH87" s="1580"/>
      <c r="FI87" s="1677"/>
      <c r="FJ87" s="1677"/>
      <c r="FK87" s="1677"/>
      <c r="FL87" s="1677"/>
      <c r="FM87" s="557">
        <f t="shared" si="79"/>
        <v>0</v>
      </c>
      <c r="FQ87"/>
      <c r="FR87"/>
      <c r="FS87"/>
      <c r="FT87"/>
      <c r="FU87"/>
      <c r="FV87"/>
      <c r="GB87" s="1523"/>
      <c r="GC87" s="1523"/>
      <c r="GD87" s="1523"/>
      <c r="GE87" s="1523"/>
      <c r="GF87" s="1523"/>
      <c r="GG87" s="1523"/>
      <c r="GH87" s="1523"/>
      <c r="GI87" s="1523"/>
      <c r="GJ87" s="1522"/>
      <c r="GK87" s="1522"/>
      <c r="GL87" s="1522"/>
      <c r="GM87" s="1522"/>
      <c r="GN87" s="1522"/>
      <c r="GO87" s="1522"/>
      <c r="GP87" s="1522"/>
      <c r="GQ87" s="1522"/>
      <c r="GR87" s="1522"/>
      <c r="GS87" s="1522"/>
      <c r="GT87" s="1522"/>
      <c r="GU87" s="1522"/>
      <c r="GV87" s="1522"/>
      <c r="GW87" s="1522"/>
      <c r="GX87" s="1522"/>
      <c r="GY87" s="1522"/>
      <c r="GZ87" s="1522"/>
      <c r="HA87" s="1522"/>
      <c r="HB87" s="1522"/>
      <c r="HC87" s="1522"/>
      <c r="HD87" s="1522"/>
      <c r="HE87" s="1522"/>
      <c r="HF87" s="1522"/>
      <c r="HG87" s="1522"/>
      <c r="HH87" s="1522"/>
      <c r="HI87" s="1522"/>
      <c r="HJ87" s="1522"/>
      <c r="HK87" s="1522"/>
      <c r="HL87" s="1522"/>
      <c r="HM87" s="1522"/>
      <c r="HN87" s="1522"/>
      <c r="HO87" s="1522"/>
      <c r="HP87" s="1522"/>
      <c r="HQ87" s="1522"/>
      <c r="HR87" s="1522"/>
      <c r="HS87" s="1522"/>
      <c r="HT87" s="1522"/>
      <c r="HU87" s="1522"/>
      <c r="HV87" s="1522"/>
      <c r="HW87" s="1522"/>
      <c r="HX87" s="1522"/>
      <c r="HY87" s="1522"/>
      <c r="HZ87" s="1522"/>
      <c r="IA87" s="1522"/>
      <c r="IB87" s="1522"/>
      <c r="IC87" s="1522"/>
      <c r="ID87" s="1522"/>
      <c r="IE87" s="1522"/>
      <c r="IF87" s="1522"/>
      <c r="IG87" s="1522"/>
      <c r="IH87" s="1522"/>
      <c r="II87" s="1522"/>
      <c r="IJ87" s="1522"/>
      <c r="IK87" s="1522"/>
      <c r="IL87" s="1522"/>
      <c r="IM87" s="1522"/>
      <c r="IN87" s="1522"/>
      <c r="IO87" s="1522"/>
      <c r="IP87" s="1522"/>
      <c r="IQ87" s="1522"/>
      <c r="IR87" s="1522"/>
      <c r="IS87" s="1522"/>
      <c r="IT87" s="1522"/>
      <c r="IU87" s="1522"/>
      <c r="IV87" s="1522"/>
      <c r="IW87" s="1522"/>
      <c r="IX87" s="1522"/>
      <c r="IY87" s="1522"/>
      <c r="IZ87" s="1522"/>
      <c r="JA87" s="1522"/>
      <c r="JB87" s="1522"/>
      <c r="JC87" s="1522"/>
      <c r="JD87" s="1522"/>
      <c r="JE87" s="1522"/>
      <c r="JF87" s="1522"/>
      <c r="JG87" s="1522"/>
      <c r="JH87" s="1522"/>
      <c r="JI87" s="1522"/>
      <c r="JJ87" s="1522"/>
      <c r="JK87" s="1522"/>
      <c r="JL87" s="1522"/>
      <c r="JM87" s="1522"/>
      <c r="JN87" s="1522"/>
    </row>
    <row r="88" spans="1:274" s="27" customFormat="1" ht="12" hidden="1" customHeight="1" outlineLevel="1" x14ac:dyDescent="0.2">
      <c r="A88" s="345" t="s">
        <v>1121</v>
      </c>
      <c r="B88" s="345"/>
      <c r="C88" s="943"/>
      <c r="D88" s="943"/>
      <c r="E88" s="943"/>
      <c r="F88" s="943"/>
      <c r="G88" s="943"/>
      <c r="H88" s="345"/>
      <c r="I88" s="943"/>
      <c r="J88" s="943"/>
      <c r="K88" s="943"/>
      <c r="L88" s="943"/>
      <c r="M88" s="943"/>
      <c r="N88" s="345"/>
      <c r="O88" s="37"/>
      <c r="P88" s="37"/>
      <c r="Q88" s="37"/>
      <c r="R88" s="37"/>
      <c r="S88" s="37"/>
      <c r="T88" s="345"/>
      <c r="U88" s="943"/>
      <c r="V88" s="943"/>
      <c r="W88" s="943"/>
      <c r="X88" s="943"/>
      <c r="Y88" s="943"/>
      <c r="Z88" s="345"/>
      <c r="AA88" s="943"/>
      <c r="AB88" s="943"/>
      <c r="AC88" s="943"/>
      <c r="AD88" s="943"/>
      <c r="AE88" s="943"/>
      <c r="AF88" s="345"/>
      <c r="AG88" s="943"/>
      <c r="AH88" s="943"/>
      <c r="AI88" s="943"/>
      <c r="AJ88" s="943"/>
      <c r="AK88" s="943"/>
      <c r="AL88" s="943"/>
      <c r="AM88" s="943"/>
      <c r="AN88" s="943"/>
      <c r="AO88" s="943"/>
      <c r="AP88" s="943"/>
      <c r="AQ88" s="943"/>
      <c r="AR88" s="345"/>
      <c r="AS88" s="943"/>
      <c r="AT88" s="943"/>
      <c r="AU88" s="943"/>
      <c r="AV88" s="943"/>
      <c r="AW88" s="943"/>
      <c r="AX88" s="345"/>
      <c r="AY88" s="943"/>
      <c r="AZ88" s="943"/>
      <c r="BA88" s="943"/>
      <c r="BB88" s="943"/>
      <c r="BC88" s="943"/>
      <c r="BD88" s="345"/>
      <c r="BE88" s="943"/>
      <c r="BF88" s="943"/>
      <c r="BG88" s="943"/>
      <c r="BH88" s="943"/>
      <c r="BI88" s="943"/>
      <c r="BJ88" s="345"/>
      <c r="BK88" s="943"/>
      <c r="BL88" s="943"/>
      <c r="BM88" s="943"/>
      <c r="BN88" s="943"/>
      <c r="BO88" s="943"/>
      <c r="BP88" s="345"/>
      <c r="BQ88" s="943"/>
      <c r="BR88" s="943"/>
      <c r="BS88" s="943"/>
      <c r="BT88" s="943"/>
      <c r="BU88" s="37"/>
      <c r="BV88" s="345"/>
      <c r="BW88" s="941"/>
      <c r="BX88" s="941"/>
      <c r="BY88" s="941"/>
      <c r="BZ88" s="1445"/>
      <c r="CA88" s="37"/>
      <c r="CB88" s="345"/>
      <c r="CC88" s="1445"/>
      <c r="CD88" s="1445"/>
      <c r="CE88" s="1445"/>
      <c r="CF88" s="1445"/>
      <c r="CG88" s="557"/>
      <c r="CH88" s="345"/>
      <c r="CI88" s="1445"/>
      <c r="CJ88" s="1445"/>
      <c r="CK88" s="1445"/>
      <c r="CL88" s="1445"/>
      <c r="CM88" s="557"/>
      <c r="CN88" s="345"/>
      <c r="CO88" s="1445"/>
      <c r="CP88" s="1445"/>
      <c r="CQ88" s="1445"/>
      <c r="CR88" s="1445"/>
      <c r="CS88" s="557"/>
      <c r="CT88" s="345"/>
      <c r="CU88" s="1445"/>
      <c r="CV88" s="1445"/>
      <c r="CW88" s="1445"/>
      <c r="CX88" s="1445"/>
      <c r="CY88" s="557"/>
      <c r="CZ88" s="86"/>
      <c r="DA88" s="1445"/>
      <c r="DB88" s="1445"/>
      <c r="DC88" s="1445"/>
      <c r="DD88" s="1445"/>
      <c r="DE88" s="557"/>
      <c r="DF88" s="345"/>
      <c r="DG88" s="941"/>
      <c r="DH88" s="941"/>
      <c r="DI88" s="941"/>
      <c r="DJ88" s="941"/>
      <c r="DK88" s="557"/>
      <c r="DL88" s="345"/>
      <c r="DM88" s="1445"/>
      <c r="DN88" s="1445"/>
      <c r="DO88" s="1445"/>
      <c r="DP88" s="1445"/>
      <c r="DQ88" s="557"/>
      <c r="DR88" s="345"/>
      <c r="DS88" s="1445"/>
      <c r="DT88" s="1445"/>
      <c r="DU88" s="1445"/>
      <c r="DV88" s="1445"/>
      <c r="DW88" s="557"/>
      <c r="DX88" s="345"/>
      <c r="DY88" s="1445"/>
      <c r="DZ88" s="1450"/>
      <c r="EA88" s="1450"/>
      <c r="EB88" s="1450"/>
      <c r="EC88" s="1451"/>
      <c r="ED88" s="1452"/>
      <c r="EE88" s="1450"/>
      <c r="EF88" s="1450">
        <f>EF152*0.8</f>
        <v>18.400000000000002</v>
      </c>
      <c r="EG88" s="1450">
        <f>EG152*0.8</f>
        <v>19.647520000000004</v>
      </c>
      <c r="EH88" s="1450">
        <f>EH152*0.8</f>
        <v>20.979621856000009</v>
      </c>
      <c r="EI88" s="557">
        <f t="shared" si="74"/>
        <v>59.027141856000014</v>
      </c>
      <c r="EJ88" s="345"/>
      <c r="EK88" s="1450">
        <f>EK152*0.8</f>
        <v>22.402040217836809</v>
      </c>
      <c r="EL88" s="1450"/>
      <c r="EM88" s="941"/>
      <c r="EN88" s="941"/>
      <c r="EO88" s="557">
        <f t="shared" si="75"/>
        <v>22.402040217836809</v>
      </c>
      <c r="EP88" s="345"/>
      <c r="EQ88" s="941"/>
      <c r="ER88" s="941"/>
      <c r="ES88" s="941"/>
      <c r="ET88" s="941"/>
      <c r="EU88" s="557">
        <f t="shared" si="76"/>
        <v>0</v>
      </c>
      <c r="EV88" s="345"/>
      <c r="EW88" s="941"/>
      <c r="EX88" s="941"/>
      <c r="EY88" s="941"/>
      <c r="EZ88" s="941"/>
      <c r="FA88" s="557">
        <f t="shared" si="77"/>
        <v>0</v>
      </c>
      <c r="FB88" s="345"/>
      <c r="FC88" s="941"/>
      <c r="FD88" s="941"/>
      <c r="FE88" s="941"/>
      <c r="FF88" s="941"/>
      <c r="FG88" s="557">
        <f t="shared" si="78"/>
        <v>0</v>
      </c>
      <c r="FH88" s="345"/>
      <c r="FI88" s="941"/>
      <c r="FJ88" s="941"/>
      <c r="FK88" s="941"/>
      <c r="FL88" s="941"/>
      <c r="FM88" s="557">
        <f t="shared" si="79"/>
        <v>0</v>
      </c>
      <c r="FQ88"/>
      <c r="FR88"/>
      <c r="FS88"/>
      <c r="FT88"/>
      <c r="FU88"/>
      <c r="FV88"/>
      <c r="GB88" s="24"/>
      <c r="GC88" s="24"/>
      <c r="GD88" s="24"/>
      <c r="GE88" s="24"/>
      <c r="GF88" s="24"/>
      <c r="GG88" s="24"/>
      <c r="GH88" s="24"/>
      <c r="GI88" s="24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</row>
    <row r="89" spans="1:274" s="27" customFormat="1" ht="12" hidden="1" customHeight="1" outlineLevel="1" x14ac:dyDescent="0.2">
      <c r="A89" s="345" t="s">
        <v>1147</v>
      </c>
      <c r="B89" s="345"/>
      <c r="C89" s="943"/>
      <c r="D89" s="943"/>
      <c r="E89" s="943"/>
      <c r="F89" s="943"/>
      <c r="G89" s="943"/>
      <c r="H89" s="345"/>
      <c r="I89" s="943"/>
      <c r="J89" s="943"/>
      <c r="K89" s="943"/>
      <c r="L89" s="943"/>
      <c r="M89" s="943"/>
      <c r="N89" s="345"/>
      <c r="O89" s="37"/>
      <c r="P89" s="37"/>
      <c r="Q89" s="37"/>
      <c r="R89" s="37"/>
      <c r="S89" s="37"/>
      <c r="T89" s="345"/>
      <c r="U89" s="943"/>
      <c r="V89" s="943"/>
      <c r="W89" s="943"/>
      <c r="X89" s="943"/>
      <c r="Y89" s="943"/>
      <c r="Z89" s="345"/>
      <c r="AA89" s="943"/>
      <c r="AB89" s="943"/>
      <c r="AC89" s="943"/>
      <c r="AD89" s="943"/>
      <c r="AE89" s="943"/>
      <c r="AF89" s="345"/>
      <c r="AG89" s="943"/>
      <c r="AH89" s="943"/>
      <c r="AI89" s="943"/>
      <c r="AJ89" s="943"/>
      <c r="AK89" s="943"/>
      <c r="AL89" s="943"/>
      <c r="AM89" s="943"/>
      <c r="AN89" s="943"/>
      <c r="AO89" s="943"/>
      <c r="AP89" s="943"/>
      <c r="AQ89" s="943"/>
      <c r="AR89" s="345"/>
      <c r="AS89" s="943"/>
      <c r="AT89" s="943"/>
      <c r="AU89" s="943"/>
      <c r="AV89" s="943"/>
      <c r="AW89" s="943"/>
      <c r="AX89" s="345"/>
      <c r="AY89" s="943"/>
      <c r="AZ89" s="943"/>
      <c r="BA89" s="943"/>
      <c r="BB89" s="943"/>
      <c r="BC89" s="943"/>
      <c r="BD89" s="345"/>
      <c r="BE89" s="943"/>
      <c r="BF89" s="943"/>
      <c r="BG89" s="943"/>
      <c r="BH89" s="943"/>
      <c r="BI89" s="943"/>
      <c r="BJ89" s="345"/>
      <c r="BK89" s="943"/>
      <c r="BL89" s="943"/>
      <c r="BM89" s="943"/>
      <c r="BN89" s="943"/>
      <c r="BO89" s="943"/>
      <c r="BP89" s="345"/>
      <c r="BQ89" s="943"/>
      <c r="BR89" s="943"/>
      <c r="BS89" s="943"/>
      <c r="BT89" s="943"/>
      <c r="BU89" s="37"/>
      <c r="BV89" s="345"/>
      <c r="BW89" s="941"/>
      <c r="BX89" s="941"/>
      <c r="BY89" s="941"/>
      <c r="BZ89" s="1445"/>
      <c r="CA89" s="37"/>
      <c r="CB89" s="345"/>
      <c r="CC89" s="1445"/>
      <c r="CD89" s="1445"/>
      <c r="CE89" s="1445"/>
      <c r="CF89" s="1445"/>
      <c r="CG89" s="557"/>
      <c r="CH89" s="345"/>
      <c r="CI89" s="1445"/>
      <c r="CJ89" s="1445"/>
      <c r="CK89" s="1445"/>
      <c r="CL89" s="1445"/>
      <c r="CM89" s="557"/>
      <c r="CN89" s="345"/>
      <c r="CO89" s="1445"/>
      <c r="CP89" s="1445"/>
      <c r="CQ89" s="1445"/>
      <c r="CR89" s="1445"/>
      <c r="CS89" s="557"/>
      <c r="CT89" s="345"/>
      <c r="CU89" s="1445"/>
      <c r="CV89" s="1445"/>
      <c r="CW89" s="1445"/>
      <c r="CX89" s="1445"/>
      <c r="CY89" s="557"/>
      <c r="CZ89" s="86"/>
      <c r="DA89" s="1445"/>
      <c r="DB89" s="1445"/>
      <c r="DC89" s="1445"/>
      <c r="DD89" s="1445"/>
      <c r="DE89" s="557"/>
      <c r="DF89" s="345"/>
      <c r="DG89" s="941"/>
      <c r="DH89" s="941"/>
      <c r="DI89" s="941"/>
      <c r="DJ89" s="941"/>
      <c r="DK89" s="557"/>
      <c r="DL89" s="345"/>
      <c r="DM89" s="1445"/>
      <c r="DN89" s="1445"/>
      <c r="DO89" s="1445"/>
      <c r="DP89" s="1445"/>
      <c r="DQ89" s="557"/>
      <c r="DR89" s="345"/>
      <c r="DS89" s="1445"/>
      <c r="DT89" s="1445"/>
      <c r="DU89" s="1445"/>
      <c r="DV89" s="1445"/>
      <c r="DW89" s="557"/>
      <c r="DX89" s="345"/>
      <c r="DY89" s="1445"/>
      <c r="DZ89" s="1450"/>
      <c r="EA89" s="1450"/>
      <c r="EB89" s="1450"/>
      <c r="EC89" s="1451"/>
      <c r="ED89" s="1452"/>
      <c r="EE89" s="1450"/>
      <c r="EF89" s="1450"/>
      <c r="EG89" s="1450">
        <f>EG153</f>
        <v>3</v>
      </c>
      <c r="EH89" s="1450">
        <f>EH153</f>
        <v>18.150000000000002</v>
      </c>
      <c r="EI89" s="557">
        <f t="shared" si="74"/>
        <v>21.150000000000002</v>
      </c>
      <c r="EJ89" s="345"/>
      <c r="EK89" s="1450">
        <f>EK153</f>
        <v>23.400000000000002</v>
      </c>
      <c r="EL89" s="1450">
        <f>EL153</f>
        <v>34</v>
      </c>
      <c r="EM89" s="1450">
        <f>EM153</f>
        <v>17</v>
      </c>
      <c r="EN89" s="941"/>
      <c r="EO89" s="557">
        <f t="shared" si="75"/>
        <v>74.400000000000006</v>
      </c>
      <c r="EP89" s="345"/>
      <c r="EQ89" s="941"/>
      <c r="ER89" s="941"/>
      <c r="ES89" s="941"/>
      <c r="ET89" s="941"/>
      <c r="EU89" s="557">
        <f t="shared" si="76"/>
        <v>0</v>
      </c>
      <c r="EV89" s="345"/>
      <c r="EW89" s="941"/>
      <c r="EX89" s="941"/>
      <c r="EY89" s="941"/>
      <c r="EZ89" s="941"/>
      <c r="FA89" s="557">
        <f t="shared" si="77"/>
        <v>0</v>
      </c>
      <c r="FB89" s="345"/>
      <c r="FC89" s="941"/>
      <c r="FD89" s="941"/>
      <c r="FE89" s="941"/>
      <c r="FF89" s="941"/>
      <c r="FG89" s="557">
        <f t="shared" si="78"/>
        <v>0</v>
      </c>
      <c r="FH89" s="345"/>
      <c r="FI89" s="941"/>
      <c r="FJ89" s="941"/>
      <c r="FK89" s="941"/>
      <c r="FL89" s="941"/>
      <c r="FM89" s="557">
        <f t="shared" si="79"/>
        <v>0</v>
      </c>
      <c r="FQ89"/>
      <c r="FR89"/>
      <c r="FS89"/>
      <c r="FT89"/>
      <c r="FU89"/>
      <c r="FV89"/>
      <c r="GB89" s="24"/>
      <c r="GC89" s="24"/>
      <c r="GD89" s="24"/>
      <c r="GE89" s="24"/>
      <c r="GF89" s="24"/>
      <c r="GG89" s="24"/>
      <c r="GH89" s="24"/>
      <c r="GI89" s="24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</row>
    <row r="90" spans="1:274" s="27" customFormat="1" ht="12" hidden="1" customHeight="1" outlineLevel="1" x14ac:dyDescent="0.2">
      <c r="A90" s="345" t="s">
        <v>1164</v>
      </c>
      <c r="B90" s="345"/>
      <c r="C90" s="943"/>
      <c r="D90" s="943"/>
      <c r="E90" s="943"/>
      <c r="F90" s="943"/>
      <c r="G90" s="943"/>
      <c r="H90" s="345"/>
      <c r="I90" s="943"/>
      <c r="J90" s="943"/>
      <c r="K90" s="943"/>
      <c r="L90" s="943"/>
      <c r="M90" s="943"/>
      <c r="N90" s="345"/>
      <c r="O90" s="37"/>
      <c r="P90" s="37"/>
      <c r="Q90" s="37"/>
      <c r="R90" s="37"/>
      <c r="S90" s="37"/>
      <c r="T90" s="345"/>
      <c r="U90" s="943"/>
      <c r="V90" s="943"/>
      <c r="W90" s="943"/>
      <c r="X90" s="943"/>
      <c r="Y90" s="943"/>
      <c r="Z90" s="345"/>
      <c r="AA90" s="943"/>
      <c r="AB90" s="943"/>
      <c r="AC90" s="943"/>
      <c r="AD90" s="943"/>
      <c r="AE90" s="943"/>
      <c r="AF90" s="345"/>
      <c r="AG90" s="943"/>
      <c r="AH90" s="943"/>
      <c r="AI90" s="943"/>
      <c r="AJ90" s="943"/>
      <c r="AK90" s="943"/>
      <c r="AL90" s="943"/>
      <c r="AM90" s="943"/>
      <c r="AN90" s="943"/>
      <c r="AO90" s="943"/>
      <c r="AP90" s="943"/>
      <c r="AQ90" s="943"/>
      <c r="AR90" s="345"/>
      <c r="AS90" s="943"/>
      <c r="AT90" s="943"/>
      <c r="AU90" s="943"/>
      <c r="AV90" s="943"/>
      <c r="AW90" s="943"/>
      <c r="AX90" s="345"/>
      <c r="AY90" s="943"/>
      <c r="AZ90" s="943"/>
      <c r="BA90" s="943"/>
      <c r="BB90" s="943"/>
      <c r="BC90" s="943"/>
      <c r="BD90" s="345"/>
      <c r="BE90" s="943"/>
      <c r="BF90" s="943"/>
      <c r="BG90" s="943"/>
      <c r="BH90" s="943"/>
      <c r="BI90" s="943"/>
      <c r="BJ90" s="345"/>
      <c r="BK90" s="943"/>
      <c r="BL90" s="943"/>
      <c r="BM90" s="943"/>
      <c r="BN90" s="943"/>
      <c r="BO90" s="943"/>
      <c r="BP90" s="345"/>
      <c r="BQ90" s="943"/>
      <c r="BR90" s="943"/>
      <c r="BS90" s="943"/>
      <c r="BT90" s="943"/>
      <c r="BU90" s="37"/>
      <c r="BV90" s="345"/>
      <c r="BW90" s="941"/>
      <c r="BX90" s="941"/>
      <c r="BY90" s="941"/>
      <c r="BZ90" s="1445"/>
      <c r="CA90" s="37"/>
      <c r="CB90" s="345"/>
      <c r="CC90" s="1445"/>
      <c r="CD90" s="1445"/>
      <c r="CE90" s="1445"/>
      <c r="CF90" s="1445"/>
      <c r="CG90" s="557"/>
      <c r="CH90" s="345"/>
      <c r="CI90" s="1445"/>
      <c r="CJ90" s="1445"/>
      <c r="CK90" s="1445"/>
      <c r="CL90" s="1445"/>
      <c r="CM90" s="557"/>
      <c r="CN90" s="345"/>
      <c r="CO90" s="1445"/>
      <c r="CP90" s="1445"/>
      <c r="CQ90" s="1445"/>
      <c r="CR90" s="1445"/>
      <c r="CS90" s="557"/>
      <c r="CT90" s="345"/>
      <c r="CU90" s="1445"/>
      <c r="CV90" s="1445"/>
      <c r="CW90" s="1445"/>
      <c r="CX90" s="1445"/>
      <c r="CY90" s="557"/>
      <c r="CZ90" s="86"/>
      <c r="DA90" s="1445"/>
      <c r="DB90" s="1445"/>
      <c r="DC90" s="1445"/>
      <c r="DD90" s="1445"/>
      <c r="DE90" s="557"/>
      <c r="DF90" s="345"/>
      <c r="DG90" s="941"/>
      <c r="DH90" s="941"/>
      <c r="DI90" s="941"/>
      <c r="DJ90" s="941"/>
      <c r="DK90" s="557"/>
      <c r="DL90" s="345"/>
      <c r="DM90" s="1445"/>
      <c r="DN90" s="1445"/>
      <c r="DO90" s="1445"/>
      <c r="DP90" s="1445"/>
      <c r="DQ90" s="557"/>
      <c r="DR90" s="345"/>
      <c r="DS90" s="1445"/>
      <c r="DT90" s="1445"/>
      <c r="DU90" s="1445"/>
      <c r="DV90" s="1445"/>
      <c r="DW90" s="557"/>
      <c r="DX90" s="345"/>
      <c r="DY90" s="1445"/>
      <c r="DZ90" s="1450"/>
      <c r="EA90" s="1450"/>
      <c r="EB90" s="1450"/>
      <c r="EC90" s="1451"/>
      <c r="ED90" s="1452"/>
      <c r="EE90" s="1450"/>
      <c r="EF90" s="1450"/>
      <c r="EG90" s="1450"/>
      <c r="EH90" s="1450"/>
      <c r="EI90" s="557">
        <f t="shared" si="74"/>
        <v>0</v>
      </c>
      <c r="EJ90" s="345"/>
      <c r="EK90" s="1450"/>
      <c r="EL90" s="1450">
        <f>EL154</f>
        <v>11.05</v>
      </c>
      <c r="EM90" s="1450">
        <f>EM154</f>
        <v>9</v>
      </c>
      <c r="EN90" s="1450">
        <f>EN154</f>
        <v>19.5</v>
      </c>
      <c r="EO90" s="557">
        <f t="shared" si="75"/>
        <v>39.549999999999997</v>
      </c>
      <c r="EP90" s="345"/>
      <c r="EQ90" s="1450">
        <f>EQ154</f>
        <v>20.5</v>
      </c>
      <c r="ER90" s="941"/>
      <c r="ES90" s="941"/>
      <c r="ET90" s="941"/>
      <c r="EU90" s="557">
        <f t="shared" si="76"/>
        <v>20.5</v>
      </c>
      <c r="EV90" s="345"/>
      <c r="EW90" s="941"/>
      <c r="EX90" s="941"/>
      <c r="EY90" s="941"/>
      <c r="EZ90" s="941"/>
      <c r="FA90" s="557">
        <f t="shared" si="77"/>
        <v>0</v>
      </c>
      <c r="FB90" s="345"/>
      <c r="FC90" s="941"/>
      <c r="FD90" s="941"/>
      <c r="FE90" s="941"/>
      <c r="FF90" s="941"/>
      <c r="FG90" s="557">
        <f t="shared" si="78"/>
        <v>0</v>
      </c>
      <c r="FH90" s="345"/>
      <c r="FI90" s="941"/>
      <c r="FJ90" s="941"/>
      <c r="FK90" s="941"/>
      <c r="FL90" s="941"/>
      <c r="FM90" s="557">
        <f t="shared" si="79"/>
        <v>0</v>
      </c>
      <c r="FQ90"/>
      <c r="FR90"/>
      <c r="FS90"/>
      <c r="FT90"/>
      <c r="FU90"/>
      <c r="FV90"/>
      <c r="GB90" s="851"/>
      <c r="GC90" s="851"/>
      <c r="GD90" s="851"/>
      <c r="GE90" s="851"/>
      <c r="GF90" s="851"/>
      <c r="GG90" s="851"/>
      <c r="GH90" s="851"/>
      <c r="GI90" s="851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</row>
    <row r="91" spans="1:274" s="27" customFormat="1" ht="12" hidden="1" customHeight="1" outlineLevel="1" x14ac:dyDescent="0.2">
      <c r="A91" s="345" t="s">
        <v>1206</v>
      </c>
      <c r="B91" s="345"/>
      <c r="C91" s="943"/>
      <c r="D91" s="943"/>
      <c r="E91" s="943"/>
      <c r="F91" s="943"/>
      <c r="G91" s="943"/>
      <c r="H91" s="345"/>
      <c r="I91" s="943"/>
      <c r="J91" s="943"/>
      <c r="K91" s="943"/>
      <c r="L91" s="943"/>
      <c r="M91" s="943"/>
      <c r="N91" s="345"/>
      <c r="O91" s="37"/>
      <c r="P91" s="37"/>
      <c r="Q91" s="37"/>
      <c r="R91" s="37"/>
      <c r="S91" s="37"/>
      <c r="T91" s="345"/>
      <c r="U91" s="943"/>
      <c r="V91" s="943"/>
      <c r="W91" s="943"/>
      <c r="X91" s="943"/>
      <c r="Y91" s="943"/>
      <c r="Z91" s="345"/>
      <c r="AA91" s="943"/>
      <c r="AB91" s="943"/>
      <c r="AC91" s="943"/>
      <c r="AD91" s="943"/>
      <c r="AE91" s="943"/>
      <c r="AF91" s="345"/>
      <c r="AG91" s="943"/>
      <c r="AH91" s="943"/>
      <c r="AI91" s="943"/>
      <c r="AJ91" s="943"/>
      <c r="AK91" s="943"/>
      <c r="AL91" s="943"/>
      <c r="AM91" s="943"/>
      <c r="AN91" s="943"/>
      <c r="AO91" s="943"/>
      <c r="AP91" s="943"/>
      <c r="AQ91" s="943"/>
      <c r="AR91" s="345"/>
      <c r="AS91" s="943"/>
      <c r="AT91" s="943"/>
      <c r="AU91" s="943"/>
      <c r="AV91" s="943"/>
      <c r="AW91" s="943"/>
      <c r="AX91" s="345"/>
      <c r="AY91" s="943"/>
      <c r="AZ91" s="943"/>
      <c r="BA91" s="943"/>
      <c r="BB91" s="943"/>
      <c r="BC91" s="943"/>
      <c r="BD91" s="345"/>
      <c r="BE91" s="943"/>
      <c r="BF91" s="943"/>
      <c r="BG91" s="943"/>
      <c r="BH91" s="943"/>
      <c r="BI91" s="943"/>
      <c r="BJ91" s="345"/>
      <c r="BK91" s="943"/>
      <c r="BL91" s="943"/>
      <c r="BM91" s="943"/>
      <c r="BN91" s="943"/>
      <c r="BO91" s="943"/>
      <c r="BP91" s="345"/>
      <c r="BQ91" s="943"/>
      <c r="BR91" s="943"/>
      <c r="BS91" s="943"/>
      <c r="BT91" s="943"/>
      <c r="BU91" s="37"/>
      <c r="BV91" s="345"/>
      <c r="BW91" s="941"/>
      <c r="BX91" s="941"/>
      <c r="BY91" s="941"/>
      <c r="BZ91" s="1445"/>
      <c r="CA91" s="37"/>
      <c r="CB91" s="345"/>
      <c r="CC91" s="1445"/>
      <c r="CD91" s="1445"/>
      <c r="CE91" s="1445"/>
      <c r="CF91" s="1445"/>
      <c r="CG91" s="557"/>
      <c r="CH91" s="345"/>
      <c r="CI91" s="1445"/>
      <c r="CJ91" s="1445"/>
      <c r="CK91" s="1445"/>
      <c r="CL91" s="1445"/>
      <c r="CM91" s="557"/>
      <c r="CN91" s="345"/>
      <c r="CO91" s="1445"/>
      <c r="CP91" s="1445"/>
      <c r="CQ91" s="1445"/>
      <c r="CR91" s="1445"/>
      <c r="CS91" s="557"/>
      <c r="CT91" s="345"/>
      <c r="CU91" s="1445"/>
      <c r="CV91" s="1445"/>
      <c r="CW91" s="1445"/>
      <c r="CX91" s="1445"/>
      <c r="CY91" s="557"/>
      <c r="CZ91" s="86"/>
      <c r="DA91" s="1445"/>
      <c r="DB91" s="1445"/>
      <c r="DC91" s="1445"/>
      <c r="DD91" s="1445"/>
      <c r="DE91" s="557"/>
      <c r="DF91" s="345"/>
      <c r="DG91" s="941"/>
      <c r="DH91" s="941"/>
      <c r="DI91" s="941"/>
      <c r="DJ91" s="941"/>
      <c r="DK91" s="557"/>
      <c r="DL91" s="345"/>
      <c r="DM91" s="1445"/>
      <c r="DN91" s="1445"/>
      <c r="DO91" s="1445"/>
      <c r="DP91" s="1445"/>
      <c r="DQ91" s="557"/>
      <c r="DR91" s="345"/>
      <c r="DS91" s="1445"/>
      <c r="DT91" s="1445"/>
      <c r="DU91" s="1445"/>
      <c r="DV91" s="1445"/>
      <c r="DW91" s="557"/>
      <c r="DX91" s="345"/>
      <c r="DY91" s="1445"/>
      <c r="DZ91" s="1450"/>
      <c r="EA91" s="1450"/>
      <c r="EB91" s="1450"/>
      <c r="EC91" s="1451"/>
      <c r="ED91" s="1452"/>
      <c r="EE91" s="1450"/>
      <c r="EF91" s="1450"/>
      <c r="EG91" s="1450"/>
      <c r="EH91" s="1450"/>
      <c r="EI91" s="557"/>
      <c r="EJ91" s="345"/>
      <c r="EK91" s="1450"/>
      <c r="EL91" s="1450"/>
      <c r="EM91" s="1450"/>
      <c r="EN91" s="1450"/>
      <c r="EO91" s="557"/>
      <c r="EP91" s="345"/>
      <c r="EQ91" s="1450">
        <f>EQ155</f>
        <v>23.885000000000002</v>
      </c>
      <c r="ER91" s="1450">
        <f t="shared" ref="ER91:ET91" si="80">ER155</f>
        <v>29.8</v>
      </c>
      <c r="ES91" s="1450">
        <f t="shared" si="80"/>
        <v>30.7</v>
      </c>
      <c r="ET91" s="1450">
        <f t="shared" si="80"/>
        <v>32.9</v>
      </c>
      <c r="EU91" s="557">
        <f t="shared" si="76"/>
        <v>117.285</v>
      </c>
      <c r="EV91" s="345"/>
      <c r="EW91" s="1450">
        <f>EW155</f>
        <v>5.19</v>
      </c>
      <c r="EX91" s="1450">
        <f t="shared" ref="EX91:EZ91" si="81">EX155</f>
        <v>0</v>
      </c>
      <c r="EY91" s="1450">
        <f t="shared" si="81"/>
        <v>0</v>
      </c>
      <c r="EZ91" s="1450">
        <f t="shared" si="81"/>
        <v>0</v>
      </c>
      <c r="FA91" s="557">
        <f t="shared" si="77"/>
        <v>5.19</v>
      </c>
      <c r="FB91" s="345"/>
      <c r="FC91" s="941"/>
      <c r="FD91" s="941"/>
      <c r="FE91" s="941"/>
      <c r="FF91" s="941"/>
      <c r="FG91" s="557"/>
      <c r="FH91" s="345"/>
      <c r="FI91" s="941"/>
      <c r="FJ91" s="941"/>
      <c r="FK91" s="941"/>
      <c r="FL91" s="941"/>
      <c r="FM91" s="557"/>
      <c r="FQ91"/>
      <c r="FR91"/>
      <c r="FS91"/>
      <c r="FT91"/>
      <c r="FU91"/>
      <c r="FV91"/>
      <c r="GB91" s="851"/>
      <c r="GC91" s="851"/>
      <c r="GD91" s="851"/>
      <c r="GE91" s="851"/>
      <c r="GF91" s="851"/>
      <c r="GG91" s="851"/>
      <c r="GH91" s="851"/>
      <c r="GI91" s="85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</row>
    <row r="92" spans="1:274" s="27" customFormat="1" ht="12" hidden="1" customHeight="1" outlineLevel="1" x14ac:dyDescent="0.2">
      <c r="A92" s="345" t="s">
        <v>1205</v>
      </c>
      <c r="B92" s="345"/>
      <c r="C92" s="943"/>
      <c r="D92" s="943"/>
      <c r="E92" s="943"/>
      <c r="F92" s="943"/>
      <c r="G92" s="943"/>
      <c r="H92" s="345"/>
      <c r="I92" s="943"/>
      <c r="J92" s="943"/>
      <c r="K92" s="943"/>
      <c r="L92" s="943"/>
      <c r="M92" s="943"/>
      <c r="N92" s="345"/>
      <c r="O92" s="37"/>
      <c r="P92" s="37"/>
      <c r="Q92" s="37"/>
      <c r="R92" s="37"/>
      <c r="S92" s="37"/>
      <c r="T92" s="345"/>
      <c r="U92" s="943"/>
      <c r="V92" s="943"/>
      <c r="W92" s="943"/>
      <c r="X92" s="943"/>
      <c r="Y92" s="943"/>
      <c r="Z92" s="345"/>
      <c r="AA92" s="943"/>
      <c r="AB92" s="943"/>
      <c r="AC92" s="943"/>
      <c r="AD92" s="943"/>
      <c r="AE92" s="943"/>
      <c r="AF92" s="345"/>
      <c r="AG92" s="943"/>
      <c r="AH92" s="943"/>
      <c r="AI92" s="943"/>
      <c r="AJ92" s="943"/>
      <c r="AK92" s="943"/>
      <c r="AL92" s="943"/>
      <c r="AM92" s="943"/>
      <c r="AN92" s="943"/>
      <c r="AO92" s="943"/>
      <c r="AP92" s="943"/>
      <c r="AQ92" s="943"/>
      <c r="AR92" s="345"/>
      <c r="AS92" s="943"/>
      <c r="AT92" s="943"/>
      <c r="AU92" s="943"/>
      <c r="AV92" s="943"/>
      <c r="AW92" s="943"/>
      <c r="AX92" s="345"/>
      <c r="AY92" s="943"/>
      <c r="AZ92" s="943"/>
      <c r="BA92" s="943"/>
      <c r="BB92" s="943"/>
      <c r="BC92" s="943"/>
      <c r="BD92" s="345"/>
      <c r="BE92" s="943"/>
      <c r="BF92" s="943"/>
      <c r="BG92" s="943"/>
      <c r="BH92" s="943"/>
      <c r="BI92" s="943"/>
      <c r="BJ92" s="345"/>
      <c r="BK92" s="943"/>
      <c r="BL92" s="943"/>
      <c r="BM92" s="943"/>
      <c r="BN92" s="943"/>
      <c r="BO92" s="943"/>
      <c r="BP92" s="345"/>
      <c r="BQ92" s="943"/>
      <c r="BR92" s="943"/>
      <c r="BS92" s="943"/>
      <c r="BT92" s="943"/>
      <c r="BU92" s="37"/>
      <c r="BV92" s="345"/>
      <c r="BW92" s="941"/>
      <c r="BX92" s="941"/>
      <c r="BY92" s="941"/>
      <c r="BZ92" s="1445"/>
      <c r="CA92" s="37"/>
      <c r="CB92" s="345"/>
      <c r="CC92" s="1445"/>
      <c r="CD92" s="1445"/>
      <c r="CE92" s="1445"/>
      <c r="CF92" s="1445"/>
      <c r="CG92" s="557"/>
      <c r="CH92" s="345"/>
      <c r="CI92" s="1445"/>
      <c r="CJ92" s="1445"/>
      <c r="CK92" s="1445"/>
      <c r="CL92" s="1445"/>
      <c r="CM92" s="557"/>
      <c r="CN92" s="345"/>
      <c r="CO92" s="1445"/>
      <c r="CP92" s="1445"/>
      <c r="CQ92" s="1445"/>
      <c r="CR92" s="1445"/>
      <c r="CS92" s="557"/>
      <c r="CT92" s="345"/>
      <c r="CU92" s="1445"/>
      <c r="CV92" s="1445"/>
      <c r="CW92" s="1445"/>
      <c r="CX92" s="1445"/>
      <c r="CY92" s="557"/>
      <c r="CZ92" s="86"/>
      <c r="DA92" s="1445"/>
      <c r="DB92" s="1445"/>
      <c r="DC92" s="1445"/>
      <c r="DD92" s="1445"/>
      <c r="DE92" s="557"/>
      <c r="DF92" s="345"/>
      <c r="DG92" s="941"/>
      <c r="DH92" s="941"/>
      <c r="DI92" s="941"/>
      <c r="DJ92" s="941"/>
      <c r="DK92" s="557"/>
      <c r="DL92" s="345"/>
      <c r="DM92" s="1445"/>
      <c r="DN92" s="1445"/>
      <c r="DO92" s="1445"/>
      <c r="DP92" s="1445"/>
      <c r="DQ92" s="557"/>
      <c r="DR92" s="345"/>
      <c r="DS92" s="1445"/>
      <c r="DT92" s="1445"/>
      <c r="DU92" s="1445"/>
      <c r="DV92" s="1445"/>
      <c r="DW92" s="557"/>
      <c r="DX92" s="345"/>
      <c r="DY92" s="1445"/>
      <c r="DZ92" s="1450"/>
      <c r="EA92" s="1450"/>
      <c r="EB92" s="1450"/>
      <c r="EC92" s="1451"/>
      <c r="ED92" s="1452"/>
      <c r="EE92" s="1450"/>
      <c r="EF92" s="1450"/>
      <c r="EG92" s="1450"/>
      <c r="EH92" s="1450"/>
      <c r="EI92" s="557"/>
      <c r="EJ92" s="345"/>
      <c r="EK92" s="1450"/>
      <c r="EL92" s="1450"/>
      <c r="EM92" s="1450"/>
      <c r="EN92" s="1450"/>
      <c r="EO92" s="557"/>
      <c r="EP92" s="345"/>
      <c r="EQ92" s="1450">
        <f t="shared" ref="EQ92:ET92" si="82">EQ156</f>
        <v>34.85</v>
      </c>
      <c r="ER92" s="1450">
        <f t="shared" si="82"/>
        <v>44.07</v>
      </c>
      <c r="ES92" s="1450">
        <f t="shared" si="82"/>
        <v>40.81</v>
      </c>
      <c r="ET92" s="1450">
        <f t="shared" si="82"/>
        <v>43.12</v>
      </c>
      <c r="EU92" s="557">
        <f t="shared" si="76"/>
        <v>162.85</v>
      </c>
      <c r="EV92" s="345"/>
      <c r="EW92" s="1450">
        <f t="shared" ref="EW92:EZ92" si="83">EW156</f>
        <v>6.9869999999999992</v>
      </c>
      <c r="EX92" s="1450">
        <f t="shared" si="83"/>
        <v>0</v>
      </c>
      <c r="EY92" s="1450">
        <f t="shared" si="83"/>
        <v>0</v>
      </c>
      <c r="EZ92" s="1450">
        <f t="shared" si="83"/>
        <v>0</v>
      </c>
      <c r="FA92" s="557">
        <f t="shared" si="77"/>
        <v>6.9869999999999992</v>
      </c>
      <c r="FB92" s="345"/>
      <c r="FC92" s="941"/>
      <c r="FD92" s="941"/>
      <c r="FE92" s="941"/>
      <c r="FF92" s="941"/>
      <c r="FG92" s="557"/>
      <c r="FH92" s="345"/>
      <c r="FI92" s="941"/>
      <c r="FJ92" s="941"/>
      <c r="FK92" s="941"/>
      <c r="FL92" s="941"/>
      <c r="FM92" s="557"/>
      <c r="FQ92"/>
      <c r="FR92"/>
      <c r="FS92"/>
      <c r="FT92"/>
      <c r="FU92"/>
      <c r="FV92"/>
      <c r="GB92" s="851"/>
      <c r="GC92" s="851"/>
      <c r="GD92" s="851"/>
      <c r="GE92" s="851"/>
      <c r="GF92" s="851"/>
      <c r="GG92" s="851"/>
      <c r="GH92" s="851"/>
      <c r="GI92" s="851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</row>
    <row r="93" spans="1:274" s="27" customFormat="1" ht="12" hidden="1" customHeight="1" outlineLevel="1" x14ac:dyDescent="0.2">
      <c r="A93" s="345" t="s">
        <v>1227</v>
      </c>
      <c r="B93" s="345"/>
      <c r="C93" s="943"/>
      <c r="D93" s="943"/>
      <c r="E93" s="943"/>
      <c r="F93" s="943"/>
      <c r="G93" s="943"/>
      <c r="H93" s="345"/>
      <c r="I93" s="943"/>
      <c r="J93" s="943"/>
      <c r="K93" s="943"/>
      <c r="L93" s="943"/>
      <c r="M93" s="943"/>
      <c r="N93" s="345"/>
      <c r="O93" s="37"/>
      <c r="P93" s="37"/>
      <c r="Q93" s="37"/>
      <c r="R93" s="37"/>
      <c r="S93" s="37"/>
      <c r="T93" s="345"/>
      <c r="U93" s="943"/>
      <c r="V93" s="943"/>
      <c r="W93" s="943"/>
      <c r="X93" s="943"/>
      <c r="Y93" s="943"/>
      <c r="Z93" s="345"/>
      <c r="AA93" s="943"/>
      <c r="AB93" s="943"/>
      <c r="AC93" s="943"/>
      <c r="AD93" s="943"/>
      <c r="AE93" s="943"/>
      <c r="AF93" s="345"/>
      <c r="AG93" s="943"/>
      <c r="AH93" s="943"/>
      <c r="AI93" s="943"/>
      <c r="AJ93" s="943"/>
      <c r="AK93" s="943"/>
      <c r="AL93" s="943"/>
      <c r="AM93" s="943"/>
      <c r="AN93" s="943"/>
      <c r="AO93" s="943"/>
      <c r="AP93" s="943"/>
      <c r="AQ93" s="943"/>
      <c r="AR93" s="345"/>
      <c r="AS93" s="943"/>
      <c r="AT93" s="943"/>
      <c r="AU93" s="943"/>
      <c r="AV93" s="943"/>
      <c r="AW93" s="943"/>
      <c r="AX93" s="345"/>
      <c r="AY93" s="943"/>
      <c r="AZ93" s="943"/>
      <c r="BA93" s="943"/>
      <c r="BB93" s="943"/>
      <c r="BC93" s="943"/>
      <c r="BD93" s="345"/>
      <c r="BE93" s="943"/>
      <c r="BF93" s="943"/>
      <c r="BG93" s="943"/>
      <c r="BH93" s="943"/>
      <c r="BI93" s="943"/>
      <c r="BJ93" s="345"/>
      <c r="BK93" s="943"/>
      <c r="BL93" s="943"/>
      <c r="BM93" s="943"/>
      <c r="BN93" s="943"/>
      <c r="BO93" s="943"/>
      <c r="BP93" s="345"/>
      <c r="BQ93" s="943"/>
      <c r="BR93" s="943"/>
      <c r="BS93" s="943"/>
      <c r="BT93" s="943"/>
      <c r="BU93" s="37"/>
      <c r="BV93" s="345"/>
      <c r="BW93" s="941"/>
      <c r="BX93" s="941"/>
      <c r="BY93" s="941"/>
      <c r="BZ93" s="1445"/>
      <c r="CA93" s="37"/>
      <c r="CB93" s="345"/>
      <c r="CC93" s="1445"/>
      <c r="CD93" s="1445"/>
      <c r="CE93" s="1445"/>
      <c r="CF93" s="1445"/>
      <c r="CG93" s="557"/>
      <c r="CH93" s="345"/>
      <c r="CI93" s="1445"/>
      <c r="CJ93" s="1445"/>
      <c r="CK93" s="1445"/>
      <c r="CL93" s="1445"/>
      <c r="CM93" s="557"/>
      <c r="CN93" s="345"/>
      <c r="CO93" s="1445"/>
      <c r="CP93" s="1445"/>
      <c r="CQ93" s="1445"/>
      <c r="CR93" s="1445"/>
      <c r="CS93" s="557"/>
      <c r="CT93" s="345"/>
      <c r="CU93" s="1445"/>
      <c r="CV93" s="1445"/>
      <c r="CW93" s="1445"/>
      <c r="CX93" s="1445"/>
      <c r="CY93" s="557"/>
      <c r="CZ93" s="86"/>
      <c r="DA93" s="1445"/>
      <c r="DB93" s="1445"/>
      <c r="DC93" s="1445"/>
      <c r="DD93" s="1445"/>
      <c r="DE93" s="557"/>
      <c r="DF93" s="345"/>
      <c r="DG93" s="941"/>
      <c r="DH93" s="941"/>
      <c r="DI93" s="941"/>
      <c r="DJ93" s="941"/>
      <c r="DK93" s="557"/>
      <c r="DL93" s="345"/>
      <c r="DM93" s="1445"/>
      <c r="DN93" s="1445"/>
      <c r="DO93" s="1445"/>
      <c r="DP93" s="1445"/>
      <c r="DQ93" s="557"/>
      <c r="DR93" s="345"/>
      <c r="DS93" s="1445"/>
      <c r="DT93" s="1445"/>
      <c r="DU93" s="1445"/>
      <c r="DV93" s="1445"/>
      <c r="DW93" s="557"/>
      <c r="DX93" s="345"/>
      <c r="DY93" s="1445"/>
      <c r="DZ93" s="1450"/>
      <c r="EA93" s="1450"/>
      <c r="EB93" s="1450"/>
      <c r="EC93" s="1451"/>
      <c r="ED93" s="1452"/>
      <c r="EE93" s="1450"/>
      <c r="EF93" s="1450"/>
      <c r="EG93" s="1450"/>
      <c r="EH93" s="1450"/>
      <c r="EI93" s="557"/>
      <c r="EJ93" s="345"/>
      <c r="EK93" s="1450"/>
      <c r="EL93" s="1450"/>
      <c r="EM93" s="1450"/>
      <c r="EN93" s="1450"/>
      <c r="EO93" s="557"/>
      <c r="EP93" s="345"/>
      <c r="EQ93" s="1450">
        <f t="shared" ref="EQ93:ET93" si="84">EQ157</f>
        <v>0</v>
      </c>
      <c r="ER93" s="1450">
        <f t="shared" si="84"/>
        <v>68.712690615776097</v>
      </c>
      <c r="ES93" s="1450">
        <f t="shared" si="84"/>
        <v>278.48777690562702</v>
      </c>
      <c r="ET93" s="1450">
        <f t="shared" si="84"/>
        <v>287.78952890535601</v>
      </c>
      <c r="EU93" s="557">
        <f t="shared" si="76"/>
        <v>634.98999642675903</v>
      </c>
      <c r="EV93" s="345"/>
      <c r="EW93" s="1450">
        <f t="shared" ref="EW93:EZ93" si="85">EW157</f>
        <v>304.60461023464597</v>
      </c>
      <c r="EX93" s="1450">
        <f t="shared" si="85"/>
        <v>246.30590486099936</v>
      </c>
      <c r="EY93" s="1450">
        <f t="shared" si="85"/>
        <v>0</v>
      </c>
      <c r="EZ93" s="1450">
        <f t="shared" si="85"/>
        <v>0</v>
      </c>
      <c r="FA93" s="557">
        <f t="shared" si="77"/>
        <v>550.91051509564534</v>
      </c>
      <c r="FB93" s="345"/>
      <c r="FC93" s="941"/>
      <c r="FD93" s="941"/>
      <c r="FE93" s="941"/>
      <c r="FF93" s="941"/>
      <c r="FG93" s="557"/>
      <c r="FH93" s="345"/>
      <c r="FI93" s="941"/>
      <c r="FJ93" s="941"/>
      <c r="FK93" s="941"/>
      <c r="FL93" s="941"/>
      <c r="FM93" s="557"/>
      <c r="FQ93"/>
      <c r="FR93"/>
      <c r="FS93"/>
      <c r="FT93"/>
      <c r="FU93"/>
      <c r="FV93"/>
      <c r="GB93" s="851"/>
      <c r="GC93" s="851"/>
      <c r="GD93" s="851"/>
      <c r="GE93" s="851"/>
      <c r="GF93" s="851"/>
      <c r="GG93" s="851"/>
      <c r="GH93" s="851"/>
      <c r="GI93" s="851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</row>
    <row r="94" spans="1:274" s="27" customFormat="1" ht="12" hidden="1" customHeight="1" outlineLevel="1" x14ac:dyDescent="0.2">
      <c r="A94" s="344" t="s">
        <v>68</v>
      </c>
      <c r="B94" s="345"/>
      <c r="C94" s="943"/>
      <c r="D94" s="943"/>
      <c r="E94" s="943"/>
      <c r="F94" s="943"/>
      <c r="G94" s="943"/>
      <c r="H94" s="345"/>
      <c r="I94" s="943"/>
      <c r="J94" s="943"/>
      <c r="K94" s="943"/>
      <c r="L94" s="943"/>
      <c r="M94" s="943"/>
      <c r="N94" s="345"/>
      <c r="O94" s="37"/>
      <c r="P94" s="37"/>
      <c r="Q94" s="37"/>
      <c r="R94" s="37"/>
      <c r="S94" s="37"/>
      <c r="T94" s="345"/>
      <c r="U94" s="943"/>
      <c r="V94" s="943"/>
      <c r="W94" s="943"/>
      <c r="X94" s="943"/>
      <c r="Y94" s="943"/>
      <c r="Z94" s="345"/>
      <c r="AA94" s="943"/>
      <c r="AB94" s="943"/>
      <c r="AC94" s="943"/>
      <c r="AD94" s="943"/>
      <c r="AE94" s="943"/>
      <c r="AF94" s="345"/>
      <c r="AG94" s="943"/>
      <c r="AH94" s="943"/>
      <c r="AI94" s="943"/>
      <c r="AJ94" s="943"/>
      <c r="AK94" s="943"/>
      <c r="AL94" s="943"/>
      <c r="AM94" s="943"/>
      <c r="AN94" s="943"/>
      <c r="AO94" s="943"/>
      <c r="AP94" s="943"/>
      <c r="AQ94" s="943"/>
      <c r="AR94" s="345"/>
      <c r="AS94" s="943"/>
      <c r="AT94" s="943"/>
      <c r="AU94" s="943"/>
      <c r="AV94" s="943"/>
      <c r="AW94" s="943"/>
      <c r="AX94" s="345"/>
      <c r="AY94" s="943"/>
      <c r="AZ94" s="943"/>
      <c r="BA94" s="943"/>
      <c r="BB94" s="943"/>
      <c r="BC94" s="943"/>
      <c r="BD94" s="345"/>
      <c r="BE94" s="943"/>
      <c r="BF94" s="943"/>
      <c r="BG94" s="943"/>
      <c r="BH94" s="943"/>
      <c r="BI94" s="943"/>
      <c r="BJ94" s="345"/>
      <c r="BK94" s="943"/>
      <c r="BL94" s="943"/>
      <c r="BM94" s="943"/>
      <c r="BN94" s="943"/>
      <c r="BO94" s="943"/>
      <c r="BP94" s="345"/>
      <c r="BQ94" s="943"/>
      <c r="BR94" s="943"/>
      <c r="BS94" s="943"/>
      <c r="BT94" s="943"/>
      <c r="BU94" s="37">
        <f>SUM(BQ94:BT94)</f>
        <v>0</v>
      </c>
      <c r="BV94" s="345"/>
      <c r="BW94" s="941"/>
      <c r="BX94" s="941"/>
      <c r="BY94" s="941"/>
      <c r="BZ94" s="1445"/>
      <c r="CA94" s="37">
        <f>SUM(BW94:BZ94)</f>
        <v>0</v>
      </c>
      <c r="CB94" s="345"/>
      <c r="CC94" s="1445"/>
      <c r="CD94" s="1445"/>
      <c r="CE94" s="1445"/>
      <c r="CF94" s="1445"/>
      <c r="CG94" s="557">
        <f>SUM(CC94:CF94)</f>
        <v>0</v>
      </c>
      <c r="CH94" s="345"/>
      <c r="CI94" s="1445"/>
      <c r="CJ94" s="1445"/>
      <c r="CK94" s="1445"/>
      <c r="CL94" s="941"/>
      <c r="CM94" s="557">
        <f>SUM(CI94:CL94)</f>
        <v>0</v>
      </c>
      <c r="CN94" s="345"/>
      <c r="CO94" s="941"/>
      <c r="CP94" s="941"/>
      <c r="CQ94" s="941">
        <v>10</v>
      </c>
      <c r="CR94" s="941"/>
      <c r="CS94" s="557">
        <f>SUM(CO94:CR94)</f>
        <v>10</v>
      </c>
      <c r="CT94" s="345"/>
      <c r="CU94" s="941"/>
      <c r="CV94" s="941"/>
      <c r="CW94" s="941"/>
      <c r="CX94" s="941"/>
      <c r="CY94" s="557">
        <f t="shared" si="68"/>
        <v>0</v>
      </c>
      <c r="CZ94" s="86"/>
      <c r="DA94" s="941"/>
      <c r="DB94" s="941"/>
      <c r="DC94" s="941"/>
      <c r="DD94" s="941"/>
      <c r="DE94" s="557">
        <f t="shared" si="69"/>
        <v>0</v>
      </c>
      <c r="DF94" s="345"/>
      <c r="DG94" s="941">
        <v>12</v>
      </c>
      <c r="DH94" s="941">
        <v>19</v>
      </c>
      <c r="DI94" s="941">
        <f>56-DI73-DI72</f>
        <v>22</v>
      </c>
      <c r="DJ94" s="941">
        <f>76-DJ73-DJ72</f>
        <v>33</v>
      </c>
      <c r="DK94" s="557">
        <f t="shared" si="70"/>
        <v>86</v>
      </c>
      <c r="DL94" s="345"/>
      <c r="DM94" s="1445">
        <v>3.5</v>
      </c>
      <c r="DN94" s="1445">
        <v>1</v>
      </c>
      <c r="DO94" s="1445">
        <f>50-SUM(DO72:DO77)</f>
        <v>11.590000000000003</v>
      </c>
      <c r="DP94" s="1445">
        <v>8</v>
      </c>
      <c r="DQ94" s="557">
        <f t="shared" si="71"/>
        <v>24.090000000000003</v>
      </c>
      <c r="DR94" s="345"/>
      <c r="DS94" s="941">
        <v>3</v>
      </c>
      <c r="DT94" s="941">
        <v>3</v>
      </c>
      <c r="DU94" s="941">
        <v>3</v>
      </c>
      <c r="DV94" s="1449"/>
      <c r="DW94" s="557">
        <f t="shared" si="72"/>
        <v>9</v>
      </c>
      <c r="DX94" s="345"/>
      <c r="DY94" s="941"/>
      <c r="DZ94" s="941">
        <v>0.5</v>
      </c>
      <c r="EA94" s="941">
        <v>1</v>
      </c>
      <c r="EB94" s="941">
        <v>1.25</v>
      </c>
      <c r="EC94" s="557">
        <f t="shared" si="73"/>
        <v>2.75</v>
      </c>
      <c r="ED94" s="345"/>
      <c r="EE94" s="941">
        <v>1.5</v>
      </c>
      <c r="EF94" s="941">
        <v>1.5</v>
      </c>
      <c r="EG94" s="941"/>
      <c r="EH94" s="941"/>
      <c r="EI94" s="557">
        <f t="shared" si="74"/>
        <v>3</v>
      </c>
      <c r="EJ94" s="345"/>
      <c r="EK94" s="941"/>
      <c r="EL94" s="941"/>
      <c r="EM94" s="941"/>
      <c r="EN94" s="941"/>
      <c r="EO94" s="557">
        <f t="shared" si="75"/>
        <v>0</v>
      </c>
      <c r="EP94" s="345"/>
      <c r="EQ94" s="941"/>
      <c r="ER94" s="941"/>
      <c r="ES94" s="941"/>
      <c r="ET94" s="941"/>
      <c r="EU94" s="557">
        <f t="shared" si="76"/>
        <v>0</v>
      </c>
      <c r="EV94" s="345"/>
      <c r="EW94" s="941"/>
      <c r="EX94" s="941"/>
      <c r="EY94" s="941"/>
      <c r="EZ94" s="941"/>
      <c r="FA94" s="557">
        <f t="shared" si="77"/>
        <v>0</v>
      </c>
      <c r="FB94" s="345"/>
      <c r="FC94" s="941"/>
      <c r="FD94" s="941"/>
      <c r="FE94" s="941"/>
      <c r="FF94" s="941"/>
      <c r="FG94" s="557">
        <f t="shared" si="78"/>
        <v>0</v>
      </c>
      <c r="FH94" s="345"/>
      <c r="FI94" s="941"/>
      <c r="FJ94" s="941"/>
      <c r="FK94" s="941"/>
      <c r="FL94" s="941"/>
      <c r="FM94" s="557">
        <f t="shared" si="79"/>
        <v>0</v>
      </c>
      <c r="FQ94"/>
      <c r="FR94"/>
      <c r="FS94"/>
      <c r="FT94"/>
      <c r="FU94"/>
      <c r="FV94"/>
      <c r="GB94" s="24"/>
      <c r="GC94" s="24"/>
      <c r="GD94" s="24"/>
      <c r="GE94" s="24"/>
      <c r="GF94" s="24"/>
      <c r="GG94" s="24"/>
      <c r="GH94" s="24"/>
      <c r="GI94" s="2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</row>
    <row r="95" spans="1:274" s="27" customFormat="1" hidden="1" outlineLevel="1" x14ac:dyDescent="0.2">
      <c r="A95" s="1493" t="s">
        <v>69</v>
      </c>
      <c r="B95" s="1490"/>
      <c r="C95" s="1494"/>
      <c r="D95" s="1494"/>
      <c r="E95" s="1494"/>
      <c r="F95" s="1494"/>
      <c r="G95" s="1494"/>
      <c r="H95" s="1490"/>
      <c r="I95" s="1494"/>
      <c r="J95" s="1494"/>
      <c r="K95" s="1494"/>
      <c r="L95" s="1494"/>
      <c r="M95" s="1494"/>
      <c r="N95" s="1490"/>
      <c r="O95" s="1494"/>
      <c r="P95" s="1494"/>
      <c r="Q95" s="1494"/>
      <c r="R95" s="1494"/>
      <c r="S95" s="1494"/>
      <c r="T95" s="1490"/>
      <c r="U95" s="1494"/>
      <c r="V95" s="1494"/>
      <c r="W95" s="1494"/>
      <c r="X95" s="1494"/>
      <c r="Y95" s="1494"/>
      <c r="Z95" s="1490"/>
      <c r="AA95" s="1490"/>
      <c r="AB95" s="1490"/>
      <c r="AC95" s="1490"/>
      <c r="AD95" s="1490"/>
      <c r="AE95" s="1490"/>
      <c r="AF95" s="1490"/>
      <c r="AG95" s="1490"/>
      <c r="AH95" s="1490"/>
      <c r="AI95" s="1490"/>
      <c r="AJ95" s="1490"/>
      <c r="AK95" s="1490"/>
      <c r="AL95" s="1490"/>
      <c r="AM95" s="1490"/>
      <c r="AN95" s="1490"/>
      <c r="AO95" s="1490"/>
      <c r="AP95" s="1490"/>
      <c r="AQ95" s="1490"/>
      <c r="AR95" s="1490"/>
      <c r="AS95" s="1490"/>
      <c r="AT95" s="1490"/>
      <c r="AU95" s="1490"/>
      <c r="AV95" s="1490"/>
      <c r="AW95" s="1490"/>
      <c r="AX95" s="1490"/>
      <c r="AY95" s="1490"/>
      <c r="AZ95" s="1490"/>
      <c r="BA95" s="1490"/>
      <c r="BB95" s="1490"/>
      <c r="BC95" s="1490"/>
      <c r="BD95" s="1490"/>
      <c r="BE95" s="1490"/>
      <c r="BF95" s="1490"/>
      <c r="BG95" s="1490"/>
      <c r="BH95" s="1490"/>
      <c r="BI95" s="1490"/>
      <c r="BJ95" s="1490"/>
      <c r="BK95" s="1490">
        <f>BK58-SUM(BK59:BK94)</f>
        <v>110.81800000000001</v>
      </c>
      <c r="BL95" s="1490">
        <f>BL58-SUM(BL59:BL94)</f>
        <v>108.119</v>
      </c>
      <c r="BM95" s="1490">
        <f>BM58-SUM(BM59:BM94)</f>
        <v>140.03800000000001</v>
      </c>
      <c r="BN95" s="1490">
        <f>BN58-SUM(BN59:BN94)</f>
        <v>246.20100000000002</v>
      </c>
      <c r="BO95" s="1490">
        <f>BO58-SUM(BO59:BO94)</f>
        <v>605.17599999999993</v>
      </c>
      <c r="BP95" s="1490"/>
      <c r="BQ95" s="1490">
        <f>BQ58-SUM(BQ59:BQ94)</f>
        <v>107</v>
      </c>
      <c r="BR95" s="1490">
        <f>BR58-SUM(BR59:BR94)</f>
        <v>137</v>
      </c>
      <c r="BS95" s="1490">
        <f>BS58-SUM(BS59:BS94)</f>
        <v>140</v>
      </c>
      <c r="BT95" s="1490">
        <f>BT58-SUM(BT59:BT94)</f>
        <v>231</v>
      </c>
      <c r="BU95" s="1490">
        <f>BU58-SUM(BU59:BU94)</f>
        <v>615</v>
      </c>
      <c r="BV95" s="1490"/>
      <c r="BW95" s="1490">
        <f>BW58-SUM(BW59:BW94)</f>
        <v>69</v>
      </c>
      <c r="BX95" s="1490">
        <f>BX58-SUM(BX59:BX94)</f>
        <v>215</v>
      </c>
      <c r="BY95" s="1490">
        <f>BY58-SUM(BY59:BY94)</f>
        <v>121</v>
      </c>
      <c r="BZ95" s="1490">
        <f>BZ58-SUM(BZ59:BZ94)</f>
        <v>245</v>
      </c>
      <c r="CA95" s="1490">
        <f>CA58-SUM(CA59:CA94)</f>
        <v>650</v>
      </c>
      <c r="CB95" s="1490"/>
      <c r="CC95" s="1490">
        <f>CC58-SUM(CC59:CC94)</f>
        <v>57</v>
      </c>
      <c r="CD95" s="1490">
        <f>CD58-SUM(CD59:CD94)</f>
        <v>185</v>
      </c>
      <c r="CE95" s="1490">
        <f>CE58-SUM(CE59:CE94)</f>
        <v>155</v>
      </c>
      <c r="CF95" s="1490">
        <f>CF58-SUM(CF59:CF94)</f>
        <v>543</v>
      </c>
      <c r="CG95" s="1498">
        <f>CG58-SUM(CG59:CG94)</f>
        <v>939.40000000000009</v>
      </c>
      <c r="CH95" s="1490"/>
      <c r="CI95" s="1490">
        <f>CI58-SUM(CI59:CI94)</f>
        <v>183</v>
      </c>
      <c r="CJ95" s="1490">
        <f>CJ58-SUM(CJ59:CJ94)</f>
        <v>263</v>
      </c>
      <c r="CK95" s="1490">
        <f>CK58-SUM(CK59:CK94)</f>
        <v>344</v>
      </c>
      <c r="CL95" s="1490">
        <f>CL58-SUM(CL59:CL94)</f>
        <v>654</v>
      </c>
      <c r="CM95" s="1498">
        <f>CM58-SUM(CM59:CM94)</f>
        <v>1444</v>
      </c>
      <c r="CN95" s="1490"/>
      <c r="CO95" s="1490">
        <f>CO58-SUM(CO59:CO94)</f>
        <v>292.3</v>
      </c>
      <c r="CP95" s="1490">
        <f>CP58-SUM(CP59:CP94)</f>
        <v>482</v>
      </c>
      <c r="CQ95" s="1490">
        <f>CQ58-SUM(CQ59:CQ94)</f>
        <v>385</v>
      </c>
      <c r="CR95" s="1490">
        <f>CR58-SUM(CR59:CR94)</f>
        <v>935</v>
      </c>
      <c r="CS95" s="1498">
        <f>CS58-SUM(CS59:CS94)</f>
        <v>2094.3000000000002</v>
      </c>
      <c r="CT95" s="1490"/>
      <c r="CU95" s="1490">
        <f>CU58-SUM(CU59:CU94)</f>
        <v>324.75</v>
      </c>
      <c r="CV95" s="1490">
        <f>CV58-SUM(CV59:CV94)</f>
        <v>462.5</v>
      </c>
      <c r="CW95" s="1490">
        <f>CW58-SUM(CW59:CW94)</f>
        <v>376.35</v>
      </c>
      <c r="CX95" s="1490">
        <f>CX58-SUM(CX59:CX94)</f>
        <v>777.125</v>
      </c>
      <c r="CY95" s="1498">
        <f>CY58-SUM(CY59:CY94)</f>
        <v>1940.625</v>
      </c>
      <c r="CZ95" s="1491"/>
      <c r="DA95" s="1490">
        <f>DA58-SUM(DA59:DA94)</f>
        <v>303.7</v>
      </c>
      <c r="DB95" s="1490">
        <f>DB58-SUM(DB59:DB94)</f>
        <v>464</v>
      </c>
      <c r="DC95" s="1490">
        <f>DC58-SUM(DC59:DC94)</f>
        <v>477.4</v>
      </c>
      <c r="DD95" s="1490">
        <f>DD58-SUM(DD59:DD94)</f>
        <v>855</v>
      </c>
      <c r="DE95" s="1498">
        <f>DE58-SUM(DE59:DE94)</f>
        <v>2099.6999999999998</v>
      </c>
      <c r="DF95" s="1490"/>
      <c r="DG95" s="1490">
        <f>DG58-SUM(DG59:DG94)</f>
        <v>334</v>
      </c>
      <c r="DH95" s="1490">
        <f>DH58-SUM(DH59:DH94)</f>
        <v>535</v>
      </c>
      <c r="DI95" s="1490">
        <f>DI58-SUM(DI59:DI94)</f>
        <v>583</v>
      </c>
      <c r="DJ95" s="1490">
        <f>DJ58-SUM(DJ59:DJ94)</f>
        <v>966</v>
      </c>
      <c r="DK95" s="1498">
        <f>DK58-SUM(DK59:DK94)</f>
        <v>2418</v>
      </c>
      <c r="DL95" s="1490"/>
      <c r="DM95" s="1490">
        <f>DM58-SUM(DM59:DM94)</f>
        <v>373.5</v>
      </c>
      <c r="DN95" s="1490">
        <f>DN58-SUM(DN59:DN94)</f>
        <v>532</v>
      </c>
      <c r="DO95" s="1490">
        <f>DO58-SUM(DO59:DO94)</f>
        <v>608</v>
      </c>
      <c r="DP95" s="1490">
        <f>DP58-SUM(DP59:DP77)-DP94</f>
        <v>1173.2952944799999</v>
      </c>
      <c r="DQ95" s="1498">
        <f>DQ58-SUM(DQ59:DQ77)-DQ94</f>
        <v>2686.7952944799999</v>
      </c>
      <c r="DR95" s="1490"/>
      <c r="DS95" s="1490">
        <f>DS58-SUM(DS59:DS81)-DS94</f>
        <v>481.89999999999986</v>
      </c>
      <c r="DT95" s="1490">
        <f>DT58-SUM(DT59:DT82)-DT94</f>
        <v>740.31</v>
      </c>
      <c r="DU95" s="1490">
        <f>DU58-SUM(DU59:DU83)-DU94</f>
        <v>524.44999999999982</v>
      </c>
      <c r="DV95" s="1490">
        <f>DV58-SUM(DV59:DV83)-DV94</f>
        <v>1061.2055600249996</v>
      </c>
      <c r="DW95" s="1498">
        <f>DW58-SUM(DW59:DW83)-DW94</f>
        <v>2807.8655600249995</v>
      </c>
      <c r="DX95" s="1490"/>
      <c r="DY95" s="1490">
        <f>DY58-SUM(DY59:DY83)-DY94</f>
        <v>500.93533802624961</v>
      </c>
      <c r="DZ95" s="1490">
        <f>DZ58-SUM(DZ59:DZ94)</f>
        <v>781.13930492756265</v>
      </c>
      <c r="EA95" s="1490">
        <f>EA58-SUM(EA59:EA94)</f>
        <v>568.92706213268571</v>
      </c>
      <c r="EB95" s="1490">
        <f>EB58-SUM(EB59:EB94)</f>
        <v>1142.7327133333326</v>
      </c>
      <c r="EC95" s="1498">
        <f>EC58-SUM(EC59:EC85)-EC94</f>
        <v>3000.401085086497</v>
      </c>
      <c r="ED95" s="1490"/>
      <c r="EE95" s="1490">
        <f>EE58-SUM(EE59:EE94)</f>
        <v>568.55650999999966</v>
      </c>
      <c r="EF95" s="1490">
        <f>EF58-SUM(EF59:EF94)</f>
        <v>756.28266459333349</v>
      </c>
      <c r="EG95" s="1490">
        <f>EG58-SUM(EG59:EG94)</f>
        <v>491.72321595672764</v>
      </c>
      <c r="EH95" s="1490">
        <f>EH58-SUM(EH59:EH94)</f>
        <v>662.53956670392677</v>
      </c>
      <c r="EI95" s="1498">
        <f>EI58-SUM(EI59:EI85)-EI94</f>
        <v>2720.2034588999991</v>
      </c>
      <c r="EJ95" s="1490"/>
      <c r="EK95" s="1490">
        <f>EK58-SUM(EK59:EK94)</f>
        <v>483.42006846549617</v>
      </c>
      <c r="EL95" s="1490">
        <f>EL58-SUM(EL59:EL94)</f>
        <v>619.50617405250023</v>
      </c>
      <c r="EM95" s="1490">
        <f>EM58-SUM(EM59:EM94)</f>
        <v>510.98296109999956</v>
      </c>
      <c r="EN95" s="1490">
        <f>EN58-SUM(EN59:EN94)</f>
        <v>685.16374651399929</v>
      </c>
      <c r="EO95" s="1498">
        <f>EO58-SUM(EO59:EO94)</f>
        <v>2299.0729501319952</v>
      </c>
      <c r="EP95" s="1490"/>
      <c r="EQ95" s="1490">
        <f>EQ58-SUM(EQ59:EQ94)</f>
        <v>761.72774371974958</v>
      </c>
      <c r="ER95" s="1490">
        <f>ER58-SUM(ER59:ER94)</f>
        <v>600.52880691777409</v>
      </c>
      <c r="ES95" s="1490">
        <f>ES58-SUM(ES59:ES94)</f>
        <v>394.98475822187265</v>
      </c>
      <c r="ET95" s="1490">
        <f>ET58-SUM(ET59:ET94)</f>
        <v>794.67426141093324</v>
      </c>
      <c r="EU95" s="1498">
        <f>EU58-SUM(EU59:EU94)</f>
        <v>2551.9155702703297</v>
      </c>
      <c r="EV95" s="1490"/>
      <c r="EW95" s="1490">
        <f>EW58-SUM(EW59:EW94)</f>
        <v>983.80669232930745</v>
      </c>
      <c r="EX95" s="1490">
        <f>EX58-SUM(EX59:EX94)</f>
        <v>842.35228252456363</v>
      </c>
      <c r="EY95" s="1490">
        <f>EY58-SUM(EY59:EY94)</f>
        <v>877.8211379376994</v>
      </c>
      <c r="EZ95" s="1490">
        <f>EZ58-SUM(EZ59:EZ94)</f>
        <v>1198.4608850741965</v>
      </c>
      <c r="FA95" s="1498">
        <f>FA58-SUM(FA59:FA94)</f>
        <v>3902.4409978657668</v>
      </c>
      <c r="FB95" s="1490"/>
      <c r="FC95" s="1490">
        <f>FC58-SUM(FC59:FC94)</f>
        <v>1576.0998101280525</v>
      </c>
      <c r="FD95" s="1490">
        <f>FD58-SUM(FD59:FD94)</f>
        <v>1346.5696420702025</v>
      </c>
      <c r="FE95" s="1490">
        <f>FE58-SUM(FE59:FE94)</f>
        <v>1142.4666663861422</v>
      </c>
      <c r="FF95" s="1490">
        <f>FF58-SUM(FF59:FF94)</f>
        <v>1356.6702322010519</v>
      </c>
      <c r="FG95" s="1498">
        <f>FG58-SUM(FG59:FG94)</f>
        <v>5421.8063507854495</v>
      </c>
      <c r="FH95" s="1490"/>
      <c r="FI95" s="1490">
        <f>FI58-SUM(FI59:FI94)</f>
        <v>1897.712155381254</v>
      </c>
      <c r="FJ95" s="1490">
        <f>FJ58-SUM(FJ59:FJ94)</f>
        <v>1638.8862831219574</v>
      </c>
      <c r="FK95" s="1490">
        <f>FK58-SUM(FK59:FK94)</f>
        <v>1427.1280080457955</v>
      </c>
      <c r="FL95" s="1490">
        <f>FL58-SUM(FL59:FL94)</f>
        <v>1558.0779765060779</v>
      </c>
      <c r="FM95" s="1498">
        <f>FM58-SUM(FM59:FM94)</f>
        <v>6521.804423055085</v>
      </c>
      <c r="FQ95"/>
      <c r="FR95"/>
      <c r="FS95"/>
      <c r="FT95"/>
      <c r="FU95"/>
      <c r="FV95"/>
      <c r="GB95" s="24"/>
      <c r="GC95" s="23" t="s">
        <v>92</v>
      </c>
      <c r="GD95" s="24"/>
      <c r="GE95" s="24"/>
      <c r="GF95" s="24"/>
      <c r="GG95" s="24"/>
      <c r="GH95" s="24"/>
      <c r="GI95" s="24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</row>
    <row r="96" spans="1:274" s="27" customFormat="1" hidden="1" outlineLevel="1" x14ac:dyDescent="0.2">
      <c r="A96" s="635" t="s">
        <v>668</v>
      </c>
      <c r="B96" s="137"/>
      <c r="C96" s="638"/>
      <c r="D96" s="638"/>
      <c r="E96" s="638"/>
      <c r="F96" s="638"/>
      <c r="G96" s="638"/>
      <c r="H96" s="137"/>
      <c r="I96" s="638"/>
      <c r="J96" s="638"/>
      <c r="K96" s="638"/>
      <c r="L96" s="638"/>
      <c r="M96" s="638"/>
      <c r="N96" s="137"/>
      <c r="O96" s="638"/>
      <c r="P96" s="638"/>
      <c r="Q96" s="638"/>
      <c r="R96" s="638"/>
      <c r="S96" s="638"/>
      <c r="T96" s="137"/>
      <c r="U96" s="638"/>
      <c r="V96" s="638"/>
      <c r="W96" s="638"/>
      <c r="X96" s="638"/>
      <c r="Y96" s="638"/>
      <c r="Z96" s="137"/>
      <c r="AA96" s="137"/>
      <c r="AB96" s="137"/>
      <c r="AC96" s="137"/>
      <c r="AD96" s="137"/>
      <c r="AE96" s="137"/>
      <c r="AF96" s="137"/>
      <c r="AG96" s="137"/>
      <c r="AH96" s="137"/>
      <c r="AI96" s="137"/>
      <c r="AJ96" s="137"/>
      <c r="AK96" s="137"/>
      <c r="AL96" s="137"/>
      <c r="AM96" s="137"/>
      <c r="AN96" s="137"/>
      <c r="AO96" s="137"/>
      <c r="AP96" s="137"/>
      <c r="AQ96" s="137"/>
      <c r="AR96" s="137"/>
      <c r="AS96" s="137"/>
      <c r="AT96" s="137"/>
      <c r="AU96" s="137"/>
      <c r="AV96" s="137"/>
      <c r="AW96" s="137"/>
      <c r="AX96" s="137"/>
      <c r="AY96" s="137"/>
      <c r="AZ96" s="137"/>
      <c r="BA96" s="137"/>
      <c r="BB96" s="137"/>
      <c r="BC96" s="137"/>
      <c r="BD96" s="137"/>
      <c r="BE96" s="137"/>
      <c r="BF96" s="137"/>
      <c r="BG96" s="137"/>
      <c r="BH96" s="137"/>
      <c r="BI96" s="137"/>
      <c r="BJ96" s="137"/>
      <c r="BK96" s="137"/>
      <c r="BL96" s="137"/>
      <c r="BM96" s="137"/>
      <c r="BN96" s="137"/>
      <c r="BO96" s="137"/>
      <c r="BP96" s="137"/>
      <c r="BQ96" s="157">
        <f>'Geographic Detail'!BQ124-'Geographic Detail'!BQ128</f>
        <v>2.5547113284845324E-2</v>
      </c>
      <c r="BR96" s="157">
        <f>'Geographic Detail'!BR124-'Geographic Detail'!BR128</f>
        <v>8.7122337424504426E-2</v>
      </c>
      <c r="BS96" s="157">
        <f>'Geographic Detail'!BS124-'Geographic Detail'!BS128</f>
        <v>4.9728645082049064E-2</v>
      </c>
      <c r="BT96" s="157">
        <f>'Geographic Detail'!BT124-'Geographic Detail'!BT128</f>
        <v>2.8257764996892726E-2</v>
      </c>
      <c r="BU96" s="157">
        <f>'Geographic Detail'!BU124-'Geographic Detail'!BU128</f>
        <v>3.6233294116091871E-2</v>
      </c>
      <c r="BV96" s="137"/>
      <c r="BW96" s="157">
        <f>'Geographic Detail'!BW124-'Geographic Detail'!BW128</f>
        <v>2.4859813084112115E-2</v>
      </c>
      <c r="BX96" s="157">
        <f>'Geographic Detail'!BX124-'Geographic Detail'!BX128</f>
        <v>5.9343065693430619E-2</v>
      </c>
      <c r="BY96" s="157">
        <f>'Geographic Detail'!BY124-'Geographic Detail'!BY128</f>
        <v>1.5714285714285625E-2</v>
      </c>
      <c r="BZ96" s="157">
        <f>'Geographic Detail'!BZ124-'Geographic Detail'!BZ128</f>
        <v>2.5151515151515147E-2</v>
      </c>
      <c r="CA96" s="157">
        <f>'Geographic Detail'!CA124-'Geographic Detail'!CA128</f>
        <v>2.8048780487804903E-2</v>
      </c>
      <c r="CB96" s="137"/>
      <c r="CC96" s="157">
        <f>'Geographic Detail'!CC124-'Geographic Detail'!CC128</f>
        <v>2.0579710144927543E-2</v>
      </c>
      <c r="CD96" s="157">
        <f>'Geographic Detail'!CD124-'Geographic Detail'!CD128</f>
        <v>-3.2790697674418556E-2</v>
      </c>
      <c r="CE96" s="157">
        <f>'Geographic Detail'!CE124-'Geographic Detail'!CE128</f>
        <v>-5.0263157894736898E-2</v>
      </c>
      <c r="CF96" s="157">
        <f>'Geographic Detail'!CF124-'Geographic Detail'!CF128</f>
        <v>1.4285714285714457E-3</v>
      </c>
      <c r="CG96" s="639">
        <f>'Geographic Detail'!CG124-'Geographic Detail'!CG128</f>
        <v>-1.3002544529261972E-2</v>
      </c>
      <c r="CH96" s="137"/>
      <c r="CI96" s="157">
        <f>'Geographic Detail'!CI124-'Geographic Detail'!CI128</f>
        <v>1.5275590551180995E-2</v>
      </c>
      <c r="CJ96" s="157">
        <f>'Geographic Detail'!CJ124-'Geographic Detail'!CJ128</f>
        <v>2.8195488721804551E-2</v>
      </c>
      <c r="CK96" s="157">
        <f>'Geographic Detail'!CK124-'Geographic Detail'!CK128</f>
        <v>5.2490706319702651E-2</v>
      </c>
      <c r="CL96" s="157">
        <f>'Geographic Detail'!CL124-'Geographic Detail'!CL128</f>
        <v>3.2605304212168423E-2</v>
      </c>
      <c r="CM96" s="639">
        <f>'Geographic Detail'!CM124-'Geographic Detail'!CM128</f>
        <v>2.8335380835380841E-2</v>
      </c>
      <c r="CN96" s="137"/>
      <c r="CO96" s="157">
        <f>'Geographic Detail'!CO124-'Geographic Detail'!CO128</f>
        <v>3.9122807017543892E-2</v>
      </c>
      <c r="CP96" s="157">
        <f>'Geographic Detail'!CP124-'Geographic Detail'!CP128</f>
        <v>6.6470588235294059E-2</v>
      </c>
      <c r="CQ96" s="157">
        <f>'Geographic Detail'!CQ124-'Geographic Detail'!CQ128</f>
        <v>4.6193853427896073E-2</v>
      </c>
      <c r="CR96" s="157">
        <f>CR16</f>
        <v>0.06</v>
      </c>
      <c r="CS96" s="639">
        <f>CS16</f>
        <v>0.06</v>
      </c>
      <c r="CT96" s="137"/>
      <c r="CU96" s="157">
        <f>CU16</f>
        <v>4.0000000000000008E-2</v>
      </c>
      <c r="CV96" s="157">
        <f>CV16</f>
        <v>-0.08</v>
      </c>
      <c r="CW96" s="157">
        <f>CW16</f>
        <v>-9.1881188118811935E-2</v>
      </c>
      <c r="CX96" s="157">
        <f>CX16</f>
        <v>-0.09</v>
      </c>
      <c r="CY96" s="639">
        <f>CY16</f>
        <v>-0.06</v>
      </c>
      <c r="CZ96" s="157"/>
      <c r="DA96" s="157">
        <f>DA16</f>
        <v>-3.3223478381656069E-2</v>
      </c>
      <c r="DB96" s="157">
        <f>DB16</f>
        <v>5.3393784081251838E-2</v>
      </c>
      <c r="DC96" s="157">
        <f>DC16</f>
        <v>4.9999999999999989E-2</v>
      </c>
      <c r="DD96" s="157">
        <f>DD16</f>
        <v>1.1118425881908811E-2</v>
      </c>
      <c r="DE96" s="639">
        <f>DE16</f>
        <v>2.5681101033667053E-2</v>
      </c>
      <c r="DF96" s="137"/>
      <c r="DG96" s="157">
        <f>DG16</f>
        <v>-1.0000000000000009E-2</v>
      </c>
      <c r="DH96" s="157">
        <f>DH16</f>
        <v>-2.0495150252048067E-2</v>
      </c>
      <c r="DI96" s="157">
        <v>0.03</v>
      </c>
      <c r="DJ96" s="157">
        <v>0.06</v>
      </c>
      <c r="DK96" s="639">
        <f>DK16</f>
        <v>8.0348225428596987E-3</v>
      </c>
      <c r="DL96" s="137"/>
      <c r="DM96" s="157">
        <v>0.04</v>
      </c>
      <c r="DN96" s="157">
        <v>-0.01</v>
      </c>
      <c r="DO96" s="157">
        <f>DO16</f>
        <v>-9.0243357214465636E-3</v>
      </c>
      <c r="DP96" s="157">
        <f>DP16</f>
        <v>-4.2784660579438416E-2</v>
      </c>
      <c r="DQ96" s="639">
        <f>DQ16</f>
        <v>3.4660249233466889E-3</v>
      </c>
      <c r="DR96" s="137"/>
      <c r="DS96" s="157">
        <f>DS16</f>
        <v>-4.7624518811688055E-2</v>
      </c>
      <c r="DT96" s="157">
        <f>DT16</f>
        <v>-1.2166413251415431E-2</v>
      </c>
      <c r="DU96" s="157">
        <f>DU16</f>
        <v>-1.7123947239962245E-2</v>
      </c>
      <c r="DV96" s="157">
        <f>DV16</f>
        <v>-2.356124567661344E-2</v>
      </c>
      <c r="DW96" s="639">
        <f>DW16</f>
        <v>-2.4500271640664151E-2</v>
      </c>
      <c r="DX96" s="137"/>
      <c r="DY96" s="157">
        <f>DY16</f>
        <v>-2.0998685145519058E-2</v>
      </c>
      <c r="DZ96" s="157">
        <f>DZ16</f>
        <v>-1.4E-2</v>
      </c>
      <c r="EA96" s="157">
        <f>EA16</f>
        <v>-1.4066029152205228E-2</v>
      </c>
      <c r="EB96" s="157">
        <f>EB16</f>
        <v>0</v>
      </c>
      <c r="EC96" s="639">
        <f>EC16</f>
        <v>-1.2022028346011737E-2</v>
      </c>
      <c r="ED96" s="137"/>
      <c r="EE96" s="157">
        <f>EE16</f>
        <v>1.0000000000000002E-2</v>
      </c>
      <c r="EF96" s="157">
        <f>EF16</f>
        <v>-4.0000000000000008E-2</v>
      </c>
      <c r="EG96" s="157">
        <f>EG16</f>
        <v>-0.06</v>
      </c>
      <c r="EH96" s="157">
        <f>EH16</f>
        <v>-7.6734505978679007E-2</v>
      </c>
      <c r="EI96" s="639">
        <f>EI16</f>
        <v>-0.04</v>
      </c>
      <c r="EJ96" s="137"/>
      <c r="EK96" s="157">
        <f>EK16</f>
        <v>-9.0000000000000011E-2</v>
      </c>
      <c r="EL96" s="157">
        <f>EL16</f>
        <v>-6.2769008448199201E-2</v>
      </c>
      <c r="EM96" s="157">
        <f>EM16</f>
        <v>-4.1008431329043714E-2</v>
      </c>
      <c r="EN96" s="157">
        <f>EN16</f>
        <v>-8.1319365798414485E-3</v>
      </c>
      <c r="EO96" s="639">
        <f>EO16</f>
        <v>-4.8063145964325232E-2</v>
      </c>
      <c r="EP96" s="137"/>
      <c r="EQ96" s="157">
        <f>EQ16</f>
        <v>-1.341969171990523E-2</v>
      </c>
      <c r="ER96" s="157">
        <f>ER16</f>
        <v>-7.81898201505523E-3</v>
      </c>
      <c r="ES96" s="157">
        <f>ES16</f>
        <v>-2.3258572352814338E-3</v>
      </c>
      <c r="ET96" s="157">
        <f>ET16</f>
        <v>-9.9454890978195598E-3</v>
      </c>
      <c r="EU96" s="639">
        <f>EU16</f>
        <v>-8.3615411695169284E-3</v>
      </c>
      <c r="EV96" s="137"/>
      <c r="EW96" s="157">
        <f>EW16</f>
        <v>1.3361354629518429E-2</v>
      </c>
      <c r="EX96" s="157">
        <f>EX16</f>
        <v>1.6204221334854552E-2</v>
      </c>
      <c r="EY96" s="157">
        <f>EY16</f>
        <v>4.4295264623955444E-2</v>
      </c>
      <c r="EZ96" s="157">
        <f>EZ16</f>
        <v>3.2500000000000001E-2</v>
      </c>
      <c r="FA96" s="639">
        <f>FA16</f>
        <v>7.4150780051241288E-2</v>
      </c>
      <c r="FB96" s="137"/>
      <c r="FC96" s="157">
        <f>FC16</f>
        <v>2.2999999999999993E-2</v>
      </c>
      <c r="FD96" s="157">
        <f>FD16</f>
        <v>1.8000000000000002E-2</v>
      </c>
      <c r="FE96" s="157">
        <f>FE16</f>
        <v>8.0000000000000071E-3</v>
      </c>
      <c r="FF96" s="157">
        <f>FF16</f>
        <v>0</v>
      </c>
      <c r="FG96" s="639">
        <f>FG16</f>
        <v>0</v>
      </c>
      <c r="FH96" s="137"/>
      <c r="FI96" s="157">
        <f>FI16</f>
        <v>0</v>
      </c>
      <c r="FJ96" s="157">
        <f>FJ16</f>
        <v>0</v>
      </c>
      <c r="FK96" s="157">
        <f>FK16</f>
        <v>0</v>
      </c>
      <c r="FL96" s="157">
        <f>FL16</f>
        <v>0</v>
      </c>
      <c r="FM96" s="639">
        <f>FM16</f>
        <v>0</v>
      </c>
      <c r="FQ96"/>
      <c r="FR96"/>
      <c r="FS96"/>
      <c r="FT96"/>
      <c r="FU96"/>
      <c r="FV96"/>
      <c r="GB96" s="24"/>
      <c r="GC96" s="24" t="s">
        <v>157</v>
      </c>
      <c r="GD96" s="24">
        <v>2</v>
      </c>
      <c r="GE96" s="24"/>
      <c r="GF96" s="24"/>
      <c r="GG96" s="24"/>
      <c r="GH96" s="24"/>
      <c r="GI96" s="24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</row>
    <row r="97" spans="1:274" s="947" customFormat="1" collapsed="1" x14ac:dyDescent="0.2">
      <c r="A97" s="1228" t="s">
        <v>301</v>
      </c>
      <c r="B97" s="1422"/>
      <c r="C97" s="1423"/>
      <c r="D97" s="1423"/>
      <c r="E97" s="1423"/>
      <c r="F97" s="1423"/>
      <c r="G97" s="1423"/>
      <c r="H97" s="1422"/>
      <c r="I97" s="1423"/>
      <c r="J97" s="1423"/>
      <c r="K97" s="1423"/>
      <c r="L97" s="1423"/>
      <c r="M97" s="1423"/>
      <c r="N97" s="1422"/>
      <c r="O97" s="1423"/>
      <c r="P97" s="1423"/>
      <c r="Q97" s="1423"/>
      <c r="R97" s="1423"/>
      <c r="S97" s="1423"/>
      <c r="T97" s="1422"/>
      <c r="U97" s="1423"/>
      <c r="V97" s="1423"/>
      <c r="W97" s="1423"/>
      <c r="X97" s="1423"/>
      <c r="Y97" s="1423"/>
      <c r="Z97" s="1422"/>
      <c r="AA97" s="1424"/>
      <c r="AB97" s="1424"/>
      <c r="AC97" s="1424"/>
      <c r="AD97" s="1424"/>
      <c r="AE97" s="1424"/>
      <c r="AF97" s="1422"/>
      <c r="AG97" s="1424"/>
      <c r="AH97" s="1424"/>
      <c r="AI97" s="1424"/>
      <c r="AJ97" s="1424"/>
      <c r="AK97" s="1424"/>
      <c r="AL97" s="1422"/>
      <c r="AM97" s="1424"/>
      <c r="AN97" s="1424"/>
      <c r="AO97" s="1424"/>
      <c r="AP97" s="1424"/>
      <c r="AQ97" s="1424"/>
      <c r="AR97" s="1422"/>
      <c r="AS97" s="1424"/>
      <c r="AT97" s="1424"/>
      <c r="AU97" s="1424"/>
      <c r="AV97" s="1424"/>
      <c r="AW97" s="1424"/>
      <c r="AX97" s="1422"/>
      <c r="AY97" s="1424"/>
      <c r="AZ97" s="1424"/>
      <c r="BA97" s="1424"/>
      <c r="BB97" s="1424"/>
      <c r="BC97" s="1424"/>
      <c r="BD97" s="1422"/>
      <c r="BE97" s="1424"/>
      <c r="BF97" s="1424"/>
      <c r="BG97" s="1424"/>
      <c r="BH97" s="1424"/>
      <c r="BI97" s="1424"/>
      <c r="BJ97" s="1422"/>
      <c r="BK97" s="1424"/>
      <c r="BL97" s="1424"/>
      <c r="BM97" s="1424"/>
      <c r="BN97" s="1424"/>
      <c r="BO97" s="1424"/>
      <c r="BP97" s="1422"/>
      <c r="BQ97" s="1424">
        <f>'Geographic Detail'!BQ128</f>
        <v>-0.06</v>
      </c>
      <c r="BR97" s="1424">
        <f>'Geographic Detail'!BR128</f>
        <v>0.18</v>
      </c>
      <c r="BS97" s="1424">
        <f>'Geographic Detail'!BS128</f>
        <v>-0.05</v>
      </c>
      <c r="BT97" s="1424">
        <f>'Geographic Detail'!BT128</f>
        <v>-0.09</v>
      </c>
      <c r="BU97" s="1424">
        <f>'Geographic Detail'!BU128</f>
        <v>-0.02</v>
      </c>
      <c r="BV97" s="1422"/>
      <c r="BW97" s="1424">
        <f>(BW95/BQ58-1)-BW96</f>
        <v>-0.38</v>
      </c>
      <c r="BX97" s="1424">
        <f>(BX95/BR58-1)-BX96</f>
        <v>0.51</v>
      </c>
      <c r="BY97" s="1424">
        <f>(BY95/BS58-1)-BY96</f>
        <v>-0.1514285714285713</v>
      </c>
      <c r="BZ97" s="1424">
        <f>(BZ95/BT58-1)-BZ96</f>
        <v>3.5454545454545405E-2</v>
      </c>
      <c r="CA97" s="1424">
        <f>(CA95/BU58-1)-CA96</f>
        <v>2.886178861788613E-2</v>
      </c>
      <c r="CB97" s="1422"/>
      <c r="CC97" s="1424">
        <f>(CC95/BW58-1)-CC96</f>
        <v>-0.19449275362318841</v>
      </c>
      <c r="CD97" s="1424">
        <f>(CD95/BX58-1)-CD96</f>
        <v>-0.1067441860465117</v>
      </c>
      <c r="CE97" s="1424">
        <f>(CE95/BY58-1)-CE96</f>
        <v>6.9999999999999951E-2</v>
      </c>
      <c r="CF97" s="1424">
        <f>(CF95/BZ58-1)-CF96</f>
        <v>0.54999999999999993</v>
      </c>
      <c r="CG97" s="1425">
        <f>(CG95/CA58-1)-CG96</f>
        <v>0.2081679389312977</v>
      </c>
      <c r="CH97" s="1422"/>
      <c r="CI97" s="1424">
        <f>(CI95/CC58-1)-CI96</f>
        <v>0.42566929133858289</v>
      </c>
      <c r="CJ97" s="1424">
        <f>(CJ95/CD58-1)-CJ96</f>
        <v>-3.9473684210526327E-2</v>
      </c>
      <c r="CK97" s="1424">
        <f>(CK95/CE58-1)-CK96</f>
        <v>0.22631970260223033</v>
      </c>
      <c r="CL97" s="1424">
        <f>(CL95/CF58-1)-CL96</f>
        <v>-1.2324492979719132E-2</v>
      </c>
      <c r="CM97" s="1425">
        <f>(CM95/CG58-1)-CM96</f>
        <v>8.0386977886977851E-2</v>
      </c>
      <c r="CN97" s="1422"/>
      <c r="CO97" s="1424">
        <f>(CO95/CI58-1)-CO96</f>
        <v>0.24289473684210539</v>
      </c>
      <c r="CP97" s="1424">
        <f>(CP95/CJ58-1)-CP96</f>
        <v>0.35117647058823542</v>
      </c>
      <c r="CQ97" s="1424">
        <f>(CQ95/CK58-1)-CQ96</f>
        <v>-0.13602836879432634</v>
      </c>
      <c r="CR97" s="1424">
        <f>(CR95/CL58-1)-CR96</f>
        <v>0.22787878787878785</v>
      </c>
      <c r="CS97" s="1425">
        <f>(CS95/CM58-1)-CS96</f>
        <v>0.1597437390797905</v>
      </c>
      <c r="CT97" s="1422"/>
      <c r="CU97" s="1424">
        <f>(CU95/CO58-1)-CU96</f>
        <v>-0.17630319148936166</v>
      </c>
      <c r="CV97" s="1424">
        <f>(CV95/CP58-1)-CV96</f>
        <v>-8.3652802893309189E-2</v>
      </c>
      <c r="CW97" s="1424">
        <f>(CW95/CQ58-1)-CW96</f>
        <v>-7.3639876182740066E-2</v>
      </c>
      <c r="CX97" s="1424">
        <f>(CX95/CR58-1)-CX96</f>
        <v>-0.12423154701718905</v>
      </c>
      <c r="CY97" s="1426">
        <f>(CY95/CS58-1)-CY96</f>
        <v>-0.12082524271844658</v>
      </c>
      <c r="CZ97" s="1424"/>
      <c r="DA97" s="1424">
        <f>(DA95/CU58-1)-DA96</f>
        <v>-4.9253863008072107E-2</v>
      </c>
      <c r="DB97" s="1424">
        <f>(DB95/CV58-1)-DB96</f>
        <v>-6.4054764891486426E-2</v>
      </c>
      <c r="DC97" s="1424">
        <f>(DC95/CW58-1)-DC96</f>
        <v>0.1555555555555555</v>
      </c>
      <c r="DD97" s="1424">
        <f>(DD95/CX58-1)-DD96</f>
        <v>5.0993375360327109E-2</v>
      </c>
      <c r="DE97" s="1426">
        <f>(DE95/CY58-1)-DE96</f>
        <v>2.3696678965333229E-2</v>
      </c>
      <c r="DF97" s="1422"/>
      <c r="DG97" s="1424">
        <f>(DG95/DA58-1)-DG96</f>
        <v>6.362776025236605E-2</v>
      </c>
      <c r="DH97" s="1424">
        <f>(DH95/DB58-1)-DH96</f>
        <v>0.13974201217673432</v>
      </c>
      <c r="DI97" s="1424">
        <f>(DI95/DC58-1)-DI96</f>
        <v>0.1911981566820278</v>
      </c>
      <c r="DJ97" s="1424">
        <f>(DJ95/DD58-1)-DJ96</f>
        <v>6.9824561403508734E-2</v>
      </c>
      <c r="DK97" s="1426">
        <f>(DK95/DE58-1)-DK96</f>
        <v>0.12877758930481309</v>
      </c>
      <c r="DL97" s="1422"/>
      <c r="DM97" s="1424">
        <f>(DM95/DG58-1)-DM96</f>
        <v>3.0200573065902549E-2</v>
      </c>
      <c r="DN97" s="1424">
        <f>(DN95/DH58-1)-DN96</f>
        <v>-7.1174438687392053E-2</v>
      </c>
      <c r="DO97" s="1424">
        <f>(DO95/DI58-1)-DO96</f>
        <v>-3.9488966312982265E-2</v>
      </c>
      <c r="DP97" s="1424">
        <f>(DP95/DJ58-1)-DP96</f>
        <v>0.16878782226849776</v>
      </c>
      <c r="DQ97" s="1426">
        <f>(DQ95/DK58-1)-DQ96</f>
        <v>2.6352025854729177E-2</v>
      </c>
      <c r="DR97" s="1424"/>
      <c r="DS97" s="1424">
        <f>(DS95/DM58-1)-DS96</f>
        <v>0.17355909825094018</v>
      </c>
      <c r="DT97" s="1424">
        <f>(DT95/DN58-1)-DT96</f>
        <v>0.3132384694904311</v>
      </c>
      <c r="DU97" s="1424">
        <f>(DU95/DO58-1)-DU96</f>
        <v>-0.18583957859590428</v>
      </c>
      <c r="DV97" s="1424">
        <f>(DV95/DP58-1)-DV96</f>
        <v>-0.15124002957610849</v>
      </c>
      <c r="DW97" s="1426">
        <f>(DW95/DQ58-1)-DW96</f>
        <v>-2.0768154056377885E-2</v>
      </c>
      <c r="DX97" s="1424"/>
      <c r="DY97" s="1424">
        <f>(DY95/DS58-1)-DY96</f>
        <v>-0.1576611967593019</v>
      </c>
      <c r="DZ97" s="1424">
        <f>(DZ95/DT58-1)-DZ96</f>
        <v>-9.1541783642048472E-2</v>
      </c>
      <c r="EA97" s="1424">
        <f>(EA95/DU58-1)-EA96</f>
        <v>-0.10551449989037309</v>
      </c>
      <c r="EB97" s="1424">
        <f>(EB95/DV58-1)-EB96</f>
        <v>1.4238799788169887E-2</v>
      </c>
      <c r="EC97" s="1426">
        <f>(EC95/DW58-1)-EC96</f>
        <v>-6.6507167598063188E-2</v>
      </c>
      <c r="ED97" s="1427"/>
      <c r="EE97" s="1424">
        <f>(EE95/DY58-1)-EE96</f>
        <v>3.9638266173622767E-2</v>
      </c>
      <c r="EF97" s="1424">
        <f>(EF95/DZ58-1)-EF96</f>
        <v>-3.0545739564666247E-2</v>
      </c>
      <c r="EG97" s="1424">
        <f>(EG95/EA58-1)-EG96</f>
        <v>-0.13793823264935728</v>
      </c>
      <c r="EH97" s="1424">
        <f>(EH95/EB58-1)-EH96</f>
        <v>-0.37006555272971597</v>
      </c>
      <c r="EI97" s="1426">
        <f>(EI95/EC58-1)-EI96</f>
        <v>-0.10082840274419971</v>
      </c>
      <c r="EJ97" s="1428"/>
      <c r="EK97" s="1424">
        <f>(EK95/EE58-1)-EK96</f>
        <v>-0.1497887838062793</v>
      </c>
      <c r="EL97" s="1424">
        <f>(EL95/EF58-1)-EL96</f>
        <v>-0.23406293434367564</v>
      </c>
      <c r="EM97" s="1424">
        <f>(EM95/EG58-1)-EM96</f>
        <v>-0.11208645523873609</v>
      </c>
      <c r="EN97" s="1424">
        <f>(EN95/EH58-1)-EN96</f>
        <v>-7.9747084318419717E-2</v>
      </c>
      <c r="EO97" s="1426">
        <f>(EO95/EI58-1)-EO96</f>
        <v>-0.15127162193655255</v>
      </c>
      <c r="EP97" s="1428"/>
      <c r="EQ97" s="1761">
        <f>(EQ95/EK58-1)-EQ96</f>
        <v>0.34962293009597456</v>
      </c>
      <c r="ER97" s="1761">
        <f>(ER95/EL58-1)-ER96</f>
        <v>-9.7560031361527827E-2</v>
      </c>
      <c r="ES97" s="1761">
        <f>(ES95/EM58-1)-ES96</f>
        <v>-0.26211121649839209</v>
      </c>
      <c r="ET97" s="1761">
        <f>(ET95/EN58-1)-ET96</f>
        <v>0.13768090239560837</v>
      </c>
      <c r="EU97" s="1762">
        <f>(EU95/EO58-1)-EU96</f>
        <v>3.6124095539999401E-2</v>
      </c>
      <c r="EV97" s="1428"/>
      <c r="EW97" s="1761">
        <f>(EW95/EQ58-1)-EW96</f>
        <v>0.15649628731277504</v>
      </c>
      <c r="EX97" s="1761">
        <f>(EX95/ER58-1)-EX96</f>
        <v>0.11734341629476375</v>
      </c>
      <c r="EY97" s="1761">
        <f>(EY95/ES58-1)-EY96</f>
        <v>0.13401576489228034</v>
      </c>
      <c r="EZ97" s="1761">
        <f>(EZ95/ET58-1)-EZ96</f>
        <v>2.0081174998509421E-3</v>
      </c>
      <c r="FA97" s="1762">
        <f>(FA95/EU58-1)-FA96</f>
        <v>4.4815701695410964E-2</v>
      </c>
      <c r="FB97" s="1428"/>
      <c r="FC97" s="1761">
        <f>(FC95/EW58-1)-FC96</f>
        <v>0.1888360645109303</v>
      </c>
      <c r="FD97" s="1761">
        <f>(FD95/EX58-1)-FD96</f>
        <v>0.21890765170656512</v>
      </c>
      <c r="FE97" s="1761">
        <f>(FE95/EY58-1)-FE96</f>
        <v>0.2934800134229909</v>
      </c>
      <c r="FF97" s="1761">
        <f>(FF95/EZ58-1)-FF96</f>
        <v>0.13201043863610162</v>
      </c>
      <c r="FG97" s="1762">
        <f>(FG95/FA58-1)-FG96</f>
        <v>0.2141466200581621</v>
      </c>
      <c r="FH97" s="1428"/>
      <c r="FI97" s="1761">
        <f>(FI95/FC58-1)-FI96</f>
        <v>0.20405582386757071</v>
      </c>
      <c r="FJ97" s="1761">
        <f>(FJ95/FD58-1)-FJ96</f>
        <v>0.21708245301175078</v>
      </c>
      <c r="FK97" s="1761">
        <f>(FK95/FE58-1)-FK96</f>
        <v>0.24916380498005775</v>
      </c>
      <c r="FL97" s="1761">
        <f>(FL95/FF58-1)-FL96</f>
        <v>0.1484574066155071</v>
      </c>
      <c r="FM97" s="1762">
        <f>(FM95/FG58-1)-FM96</f>
        <v>0.20288405765548601</v>
      </c>
      <c r="FQ97"/>
      <c r="FR97"/>
      <c r="FS97"/>
      <c r="FT97"/>
      <c r="FU97"/>
      <c r="FV97"/>
      <c r="GB97" s="23"/>
      <c r="GC97" s="23"/>
      <c r="GD97" s="23"/>
      <c r="GE97" s="23"/>
      <c r="GF97" s="23"/>
      <c r="GG97" s="23"/>
      <c r="GH97" s="23"/>
      <c r="GI97" s="23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</row>
    <row r="98" spans="1:274" s="27" customFormat="1" ht="18" customHeight="1" x14ac:dyDescent="0.2">
      <c r="B98" s="342"/>
      <c r="C98" s="94"/>
      <c r="D98" s="94"/>
      <c r="E98" s="94"/>
      <c r="F98" s="94"/>
      <c r="G98" s="94"/>
      <c r="H98" s="342"/>
      <c r="I98" s="94"/>
      <c r="J98" s="94"/>
      <c r="K98" s="94"/>
      <c r="L98" s="94"/>
      <c r="M98" s="94"/>
      <c r="N98" s="342"/>
      <c r="O98" s="94"/>
      <c r="P98" s="94"/>
      <c r="Q98" s="94"/>
      <c r="R98" s="94"/>
      <c r="S98" s="94"/>
      <c r="T98" s="342"/>
      <c r="U98" s="94"/>
      <c r="V98" s="94"/>
      <c r="W98" s="94"/>
      <c r="X98" s="94"/>
      <c r="Y98" s="94"/>
      <c r="Z98" s="342"/>
      <c r="AA98" s="43"/>
      <c r="AB98" s="43"/>
      <c r="AC98" s="43"/>
      <c r="AD98" s="43"/>
      <c r="AE98" s="43"/>
      <c r="AF98" s="342"/>
      <c r="AG98" s="43"/>
      <c r="AH98" s="43"/>
      <c r="AI98" s="43"/>
      <c r="AJ98" s="43"/>
      <c r="AK98" s="43"/>
      <c r="AL98" s="342"/>
      <c r="AM98" s="43"/>
      <c r="AN98" s="43"/>
      <c r="AO98" s="43"/>
      <c r="AP98" s="43"/>
      <c r="AQ98" s="43"/>
      <c r="AR98" s="342"/>
      <c r="AS98" s="43"/>
      <c r="AT98" s="43"/>
      <c r="AU98" s="43"/>
      <c r="AV98" s="43"/>
      <c r="AW98" s="43"/>
      <c r="AX98" s="342"/>
      <c r="AY98" s="43"/>
      <c r="AZ98" s="43"/>
      <c r="BA98" s="43"/>
      <c r="BB98" s="43"/>
      <c r="BC98" s="43"/>
      <c r="BD98" s="342"/>
      <c r="BE98" s="43"/>
      <c r="BF98" s="43"/>
      <c r="BG98" s="43"/>
      <c r="BH98" s="43"/>
      <c r="BI98" s="43"/>
      <c r="BJ98" s="342"/>
      <c r="BK98" s="43"/>
      <c r="BL98" s="43"/>
      <c r="BM98" s="43"/>
      <c r="BN98" s="43"/>
      <c r="BO98" s="43"/>
      <c r="BP98" s="342"/>
      <c r="BQ98" s="43"/>
      <c r="BR98" s="43"/>
      <c r="BS98" s="43"/>
      <c r="BT98" s="43"/>
      <c r="BU98" s="43"/>
      <c r="BV98" s="342"/>
      <c r="BW98" s="43"/>
      <c r="BX98" s="43"/>
      <c r="BY98" s="43"/>
      <c r="BZ98" s="43"/>
      <c r="CA98" s="43"/>
      <c r="CB98" s="342"/>
      <c r="CC98" s="43"/>
      <c r="CD98" s="43"/>
      <c r="CE98" s="43"/>
      <c r="CF98" s="43"/>
      <c r="CG98" s="395"/>
      <c r="CH98" s="342"/>
      <c r="CI98" s="43"/>
      <c r="CJ98" s="43"/>
      <c r="CK98" s="34"/>
      <c r="CL98" s="34"/>
      <c r="CM98" s="395"/>
      <c r="CN98" s="342"/>
      <c r="CO98" s="34"/>
      <c r="CP98" s="34"/>
      <c r="CQ98" s="43"/>
      <c r="CR98" s="43"/>
      <c r="CS98" s="395"/>
      <c r="CT98" s="475"/>
      <c r="CU98" s="43"/>
      <c r="CV98" s="336"/>
      <c r="CW98" s="43"/>
      <c r="CX98" s="43"/>
      <c r="CY98" s="395"/>
      <c r="CZ98" s="156"/>
      <c r="DA98" s="43"/>
      <c r="DB98" s="336"/>
      <c r="DC98" s="43"/>
      <c r="DD98" s="43"/>
      <c r="DE98" s="395"/>
      <c r="DF98" s="475"/>
      <c r="DG98" s="43"/>
      <c r="DH98" s="43"/>
      <c r="DI98" s="43"/>
      <c r="DJ98" s="43"/>
      <c r="DK98" s="148"/>
      <c r="DL98" s="475"/>
      <c r="DM98" s="43"/>
      <c r="DN98" s="43"/>
      <c r="DO98" s="1198"/>
      <c r="DP98" s="43"/>
      <c r="DQ98" s="1199"/>
      <c r="DR98" s="475"/>
      <c r="DS98" s="43"/>
      <c r="DT98" s="1198"/>
      <c r="DU98" s="1198"/>
      <c r="DV98" s="1198"/>
      <c r="DW98" s="1199"/>
      <c r="DX98" s="475"/>
      <c r="DY98" s="43"/>
      <c r="DZ98" s="43"/>
      <c r="EA98" s="43"/>
      <c r="EB98" s="43"/>
      <c r="EC98" s="148"/>
      <c r="ED98" s="475"/>
      <c r="EE98" s="43"/>
      <c r="EF98" s="43"/>
      <c r="EG98" s="43"/>
      <c r="EH98" s="43"/>
      <c r="EI98" s="148"/>
      <c r="EJ98" s="475"/>
      <c r="EK98" s="43"/>
      <c r="EL98" s="43"/>
      <c r="EM98" s="43"/>
      <c r="EN98" s="43"/>
      <c r="EO98" s="148"/>
      <c r="EP98" s="475"/>
      <c r="EQ98" s="43"/>
      <c r="ER98" s="43"/>
      <c r="ES98" s="43"/>
      <c r="ET98" s="43"/>
      <c r="EU98" s="148"/>
      <c r="EV98" s="475"/>
      <c r="EW98" s="43"/>
      <c r="EX98" s="43"/>
      <c r="EY98" s="43"/>
      <c r="EZ98" s="43"/>
      <c r="FA98" s="148"/>
      <c r="FB98" s="475"/>
      <c r="FC98" s="43"/>
      <c r="FD98" s="43"/>
      <c r="FE98" s="43"/>
      <c r="FF98" s="43"/>
      <c r="FG98" s="148"/>
      <c r="FH98" s="475"/>
      <c r="FI98" s="43"/>
      <c r="FJ98" s="43"/>
      <c r="FK98" s="43"/>
      <c r="FL98" s="43"/>
      <c r="FM98" s="148"/>
      <c r="FQ98"/>
      <c r="FR98"/>
      <c r="FS98"/>
      <c r="FT98"/>
      <c r="FU98"/>
      <c r="FV98"/>
      <c r="GB98" s="24"/>
      <c r="GC98" s="24" t="s">
        <v>543</v>
      </c>
      <c r="GD98" s="24">
        <v>42</v>
      </c>
      <c r="GE98" s="24"/>
      <c r="GF98" s="24"/>
      <c r="GG98" s="24"/>
      <c r="GH98" s="24"/>
      <c r="GI98" s="24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</row>
    <row r="99" spans="1:274" s="1517" customFormat="1" x14ac:dyDescent="0.2">
      <c r="A99" s="1590" t="s">
        <v>975</v>
      </c>
      <c r="B99" s="1591"/>
      <c r="C99" s="1592"/>
      <c r="D99" s="1592"/>
      <c r="E99" s="1592"/>
      <c r="F99" s="1592"/>
      <c r="G99" s="1592"/>
      <c r="H99" s="1591"/>
      <c r="I99" s="1592"/>
      <c r="J99" s="1592"/>
      <c r="K99" s="1592"/>
      <c r="L99" s="1592"/>
      <c r="M99" s="1592"/>
      <c r="N99" s="1591"/>
      <c r="O99" s="1592"/>
      <c r="P99" s="1592"/>
      <c r="Q99" s="1592"/>
      <c r="R99" s="1592"/>
      <c r="S99" s="1592"/>
      <c r="T99" s="1591"/>
      <c r="U99" s="1592"/>
      <c r="V99" s="1592"/>
      <c r="W99" s="1592"/>
      <c r="X99" s="1592"/>
      <c r="Y99" s="1592"/>
      <c r="Z99" s="1591"/>
      <c r="AA99" s="1593"/>
      <c r="AB99" s="1593"/>
      <c r="AC99" s="1593"/>
      <c r="AD99" s="1593"/>
      <c r="AE99" s="1593"/>
      <c r="AF99" s="1591"/>
      <c r="AG99" s="1593"/>
      <c r="AH99" s="1593"/>
      <c r="AI99" s="1593"/>
      <c r="AJ99" s="1593"/>
      <c r="AK99" s="1593"/>
      <c r="AL99" s="1591"/>
      <c r="AM99" s="1593"/>
      <c r="AN99" s="1593"/>
      <c r="AO99" s="1593"/>
      <c r="AP99" s="1593"/>
      <c r="AQ99" s="1593"/>
      <c r="AR99" s="1591"/>
      <c r="AS99" s="1593"/>
      <c r="AT99" s="1593"/>
      <c r="AU99" s="1593"/>
      <c r="AV99" s="1593"/>
      <c r="AW99" s="1593"/>
      <c r="AX99" s="1591"/>
      <c r="AY99" s="1593"/>
      <c r="AZ99" s="1593"/>
      <c r="BA99" s="1593"/>
      <c r="BB99" s="1593"/>
      <c r="BC99" s="1593"/>
      <c r="BD99" s="1591"/>
      <c r="BE99" s="1593"/>
      <c r="BF99" s="1593"/>
      <c r="BG99" s="1593"/>
      <c r="BH99" s="1593"/>
      <c r="BI99" s="1593"/>
      <c r="BJ99" s="1591"/>
      <c r="BK99" s="1593"/>
      <c r="BL99" s="1593"/>
      <c r="BM99" s="1593"/>
      <c r="BN99" s="1593"/>
      <c r="BO99" s="1593"/>
      <c r="BP99" s="1591"/>
      <c r="BQ99" s="1593"/>
      <c r="BR99" s="1593"/>
      <c r="BS99" s="1593"/>
      <c r="BT99" s="1593"/>
      <c r="BU99" s="1593"/>
      <c r="BV99" s="1591"/>
      <c r="BW99" s="1593"/>
      <c r="BX99" s="1593"/>
      <c r="BY99" s="1593"/>
      <c r="BZ99" s="1593"/>
      <c r="CA99" s="1593"/>
      <c r="CB99" s="1591"/>
      <c r="CC99" s="1593"/>
      <c r="CD99" s="1593"/>
      <c r="CE99" s="1593"/>
      <c r="CF99" s="1593"/>
      <c r="CG99" s="1594"/>
      <c r="CH99" s="1591"/>
      <c r="CI99" s="1593"/>
      <c r="CJ99" s="1593"/>
      <c r="CK99" s="1593"/>
      <c r="CL99" s="1593"/>
      <c r="CM99" s="1594"/>
      <c r="CN99" s="1591"/>
      <c r="CO99" s="1593"/>
      <c r="CP99" s="1593"/>
      <c r="CQ99" s="1593"/>
      <c r="CR99" s="1593"/>
      <c r="CS99" s="1594"/>
      <c r="CT99" s="1591"/>
      <c r="CU99" s="1593"/>
      <c r="CV99" s="1593"/>
      <c r="CW99" s="1593"/>
      <c r="CX99" s="1593"/>
      <c r="CY99" s="1594"/>
      <c r="CZ99" s="1593"/>
      <c r="DA99" s="1593"/>
      <c r="DB99" s="1593"/>
      <c r="DC99" s="1593"/>
      <c r="DD99" s="1593"/>
      <c r="DE99" s="1594"/>
      <c r="DF99" s="1591"/>
      <c r="DG99" s="1593"/>
      <c r="DH99" s="1593"/>
      <c r="DI99" s="1593"/>
      <c r="DJ99" s="1593">
        <f>DJ100/DD100-1</f>
        <v>-6.1638280616382768E-2</v>
      </c>
      <c r="DK99" s="1594">
        <f>DK100/DE100-1</f>
        <v>1.9103585657370519</v>
      </c>
      <c r="DL99" s="1591"/>
      <c r="DM99" s="1593">
        <f>DM100/DG100-1</f>
        <v>-4.6339202965709037E-2</v>
      </c>
      <c r="DN99" s="1593">
        <f>DN100/DH100-1</f>
        <v>-0.14298561151079137</v>
      </c>
      <c r="DO99" s="1593">
        <f>DO100/DI100-1</f>
        <v>-0.16038647342995171</v>
      </c>
      <c r="DP99" s="1593">
        <f>DP100/DJ100-1</f>
        <v>-0.15557476231633538</v>
      </c>
      <c r="DQ99" s="1594">
        <f>DQ100/DK100-1</f>
        <v>-0.12662559890485969</v>
      </c>
      <c r="DR99" s="1591"/>
      <c r="DS99" s="1593">
        <f>DS100/DM100-1</f>
        <v>-0.24295432458697763</v>
      </c>
      <c r="DT99" s="1593">
        <f>DT100/DN100-1</f>
        <v>-0.22980062959076597</v>
      </c>
      <c r="DU99" s="1593">
        <f>DU100/DO100-1</f>
        <v>-0.22784810126582278</v>
      </c>
      <c r="DV99" s="1593">
        <f>DV100/DP100-1</f>
        <v>-0.13101330603889461</v>
      </c>
      <c r="DW99" s="1594">
        <f>DW100/DQ100-1</f>
        <v>-0.20768025078369901</v>
      </c>
      <c r="DX99" s="1591"/>
      <c r="DY99" s="1593">
        <f>DY100/DS100-1</f>
        <v>-0.14120667522464703</v>
      </c>
      <c r="DZ99" s="1593">
        <f>DZ100/DT100-1</f>
        <v>-2.7247956403269713E-2</v>
      </c>
      <c r="EA99" s="1593">
        <f>EA100/DU100-1</f>
        <v>8.0476900149031305E-2</v>
      </c>
      <c r="EB99" s="1593">
        <f>EB100/DV100-1</f>
        <v>2.4734982332155431E-2</v>
      </c>
      <c r="EC99" s="1594">
        <f>EC100/DW100-1</f>
        <v>-1.8133860863831175E-2</v>
      </c>
      <c r="ED99" s="1591"/>
      <c r="EE99" s="1593">
        <f>EE100/DY100-1</f>
        <v>-0.13602391629297461</v>
      </c>
      <c r="EF99" s="1593">
        <f>EF100/DZ100-1</f>
        <v>4.2016806722688926E-3</v>
      </c>
      <c r="EG99" s="1593">
        <f>EG100/EA100-1</f>
        <v>-1.7931034482758568E-2</v>
      </c>
      <c r="EH99" s="1593">
        <f>EH100/EB100-1</f>
        <v>-5.9770114942528707E-2</v>
      </c>
      <c r="EI99" s="1594">
        <f>EI100/EC100-1</f>
        <v>-5.1376762928139641E-2</v>
      </c>
      <c r="EJ99" s="1591"/>
      <c r="EK99" s="1593">
        <f>EK100/EE100-1</f>
        <v>-1.384083044982698E-2</v>
      </c>
      <c r="EL99" s="1593">
        <f>EL100/EF100-1</f>
        <v>-0.20083682008368198</v>
      </c>
      <c r="EM99" s="1593">
        <f>EM100/EG100-1</f>
        <v>-0.151685393258427</v>
      </c>
      <c r="EN99" s="1593">
        <f>EN100/EH100-1</f>
        <v>-0.11369193154034229</v>
      </c>
      <c r="EO99" s="1594">
        <f>EO100/EI100-1</f>
        <v>-0.12495575221238941</v>
      </c>
      <c r="EP99" s="1591"/>
      <c r="EQ99" s="1763">
        <f>EQ100/EK100-1</f>
        <v>-0.18947368421052635</v>
      </c>
      <c r="ER99" s="1763">
        <f>ER100/EL100-1</f>
        <v>-0.13263525305410118</v>
      </c>
      <c r="ES99" s="1763">
        <f>ES100/EM100-1</f>
        <v>-0.13907284768211925</v>
      </c>
      <c r="ET99" s="1763">
        <f>ET100/EN100-1</f>
        <v>-0.17655172413793108</v>
      </c>
      <c r="EU99" s="1764">
        <f>EU100/EO100-1</f>
        <v>-0.16019417475728159</v>
      </c>
      <c r="EV99" s="1765"/>
      <c r="EW99" s="1763">
        <f>EW100/EQ100-1</f>
        <v>-0.16000000000000003</v>
      </c>
      <c r="EX99" s="1763">
        <f>EX100/ER100-1</f>
        <v>-0.16000000000000003</v>
      </c>
      <c r="EY99" s="1763">
        <f>EY100/ES100-1</f>
        <v>-0.12</v>
      </c>
      <c r="EZ99" s="1763">
        <f>EZ100/ET100-1</f>
        <v>-0.13</v>
      </c>
      <c r="FA99" s="1764">
        <f>FA100/EU100-1</f>
        <v>-0.14135356454720627</v>
      </c>
      <c r="FB99" s="1765"/>
      <c r="FC99" s="1763">
        <f>FC100/EW100-1</f>
        <v>-0.15000000000000002</v>
      </c>
      <c r="FD99" s="1763">
        <f>FD100/EX100-1</f>
        <v>-0.15000000000000002</v>
      </c>
      <c r="FE99" s="1763">
        <f>FE100/EY100-1</f>
        <v>-0.14999999999999991</v>
      </c>
      <c r="FF99" s="1763">
        <f>FF100/EZ100-1</f>
        <v>-0.15000000000000002</v>
      </c>
      <c r="FG99" s="1764">
        <f>FG100/FA100-1</f>
        <v>-0.14999999999999991</v>
      </c>
      <c r="FH99" s="1765"/>
      <c r="FI99" s="1763">
        <f>FI100/FC100-1</f>
        <v>-0.15000000000000002</v>
      </c>
      <c r="FJ99" s="1763">
        <f>FJ100/FD100-1</f>
        <v>-0.15000000000000002</v>
      </c>
      <c r="FK99" s="1763">
        <f>FK100/FE100-1</f>
        <v>-0.15000000000000002</v>
      </c>
      <c r="FL99" s="1763">
        <f>FL100/FF100-1</f>
        <v>-0.14999999999999991</v>
      </c>
      <c r="FM99" s="1764">
        <f>FM100/FG100-1</f>
        <v>-0.15000000000000002</v>
      </c>
      <c r="FQ99"/>
      <c r="FR99"/>
      <c r="FS99"/>
      <c r="FT99"/>
      <c r="FU99"/>
      <c r="FV99"/>
      <c r="GB99" s="1523"/>
      <c r="GC99" s="1523"/>
      <c r="GD99" s="1523"/>
      <c r="GE99" s="1523"/>
      <c r="GF99" s="1523"/>
      <c r="GG99" s="1523"/>
      <c r="GH99" s="1523"/>
      <c r="GI99" s="1523"/>
      <c r="GJ99" s="1522"/>
      <c r="GK99" s="1522"/>
      <c r="GL99" s="1522"/>
      <c r="GM99" s="1522"/>
      <c r="GN99" s="1522"/>
      <c r="GO99" s="1522"/>
      <c r="GP99" s="1522"/>
      <c r="GQ99" s="1522"/>
      <c r="GR99" s="1522"/>
      <c r="GS99" s="1522"/>
      <c r="GT99" s="1522"/>
      <c r="GU99" s="1522"/>
      <c r="GV99" s="1522"/>
      <c r="GW99" s="1522"/>
      <c r="GX99" s="1522"/>
      <c r="GY99" s="1522"/>
      <c r="GZ99" s="1522"/>
      <c r="HA99" s="1522"/>
      <c r="HB99" s="1522"/>
      <c r="HC99" s="1522"/>
      <c r="HD99" s="1522"/>
      <c r="HE99" s="1522"/>
      <c r="HF99" s="1522"/>
      <c r="HG99" s="1522"/>
      <c r="HH99" s="1522"/>
      <c r="HI99" s="1522"/>
      <c r="HJ99" s="1522"/>
      <c r="HK99" s="1522"/>
      <c r="HL99" s="1522"/>
      <c r="HM99" s="1522"/>
      <c r="HN99" s="1522"/>
      <c r="HO99" s="1522"/>
      <c r="HP99" s="1522"/>
      <c r="HQ99" s="1522"/>
      <c r="HR99" s="1522"/>
      <c r="HS99" s="1522"/>
      <c r="HT99" s="1522"/>
      <c r="HU99" s="1522"/>
      <c r="HV99" s="1522"/>
      <c r="HW99" s="1522"/>
      <c r="HX99" s="1522"/>
      <c r="HY99" s="1522"/>
      <c r="HZ99" s="1522"/>
      <c r="IA99" s="1522"/>
      <c r="IB99" s="1522"/>
      <c r="IC99" s="1522"/>
      <c r="ID99" s="1522"/>
      <c r="IE99" s="1522"/>
      <c r="IF99" s="1522"/>
      <c r="IG99" s="1522"/>
      <c r="IH99" s="1522"/>
      <c r="II99" s="1522"/>
      <c r="IJ99" s="1522"/>
      <c r="IK99" s="1522"/>
      <c r="IL99" s="1522"/>
      <c r="IM99" s="1522"/>
      <c r="IN99" s="1522"/>
      <c r="IO99" s="1522"/>
      <c r="IP99" s="1522"/>
      <c r="IQ99" s="1522"/>
      <c r="IR99" s="1522"/>
      <c r="IS99" s="1522"/>
      <c r="IT99" s="1522"/>
      <c r="IU99" s="1522"/>
      <c r="IV99" s="1522"/>
      <c r="IW99" s="1522"/>
      <c r="IX99" s="1522"/>
      <c r="IY99" s="1522"/>
      <c r="IZ99" s="1522"/>
      <c r="JA99" s="1522"/>
      <c r="JB99" s="1522"/>
      <c r="JC99" s="1522"/>
      <c r="JD99" s="1522"/>
      <c r="JE99" s="1522"/>
      <c r="JF99" s="1522"/>
      <c r="JG99" s="1522"/>
      <c r="JH99" s="1522"/>
      <c r="JI99" s="1522"/>
      <c r="JJ99" s="1522"/>
      <c r="JK99" s="1522"/>
      <c r="JL99" s="1522"/>
      <c r="JM99" s="1522"/>
      <c r="JN99" s="1522"/>
    </row>
    <row r="100" spans="1:274" s="27" customFormat="1" hidden="1" outlineLevel="1" x14ac:dyDescent="0.2">
      <c r="A100" s="1493" t="s">
        <v>976</v>
      </c>
      <c r="B100" s="1490"/>
      <c r="C100" s="1494"/>
      <c r="D100" s="1494"/>
      <c r="E100" s="1494"/>
      <c r="F100" s="1494"/>
      <c r="G100" s="1494"/>
      <c r="H100" s="1490"/>
      <c r="I100" s="1494"/>
      <c r="J100" s="1494"/>
      <c r="K100" s="1494"/>
      <c r="L100" s="1494"/>
      <c r="M100" s="1494"/>
      <c r="N100" s="1490"/>
      <c r="O100" s="1494"/>
      <c r="P100" s="1494"/>
      <c r="Q100" s="1494"/>
      <c r="R100" s="1494"/>
      <c r="S100" s="1494"/>
      <c r="T100" s="1490"/>
      <c r="U100" s="1494"/>
      <c r="V100" s="1494"/>
      <c r="W100" s="1494"/>
      <c r="X100" s="1494"/>
      <c r="Y100" s="1494"/>
      <c r="Z100" s="1490"/>
      <c r="AA100" s="1490"/>
      <c r="AB100" s="1490"/>
      <c r="AC100" s="1490"/>
      <c r="AD100" s="1490"/>
      <c r="AE100" s="1490"/>
      <c r="AF100" s="1490"/>
      <c r="AG100" s="1490"/>
      <c r="AH100" s="1490"/>
      <c r="AI100" s="1490"/>
      <c r="AJ100" s="1490"/>
      <c r="AK100" s="1490"/>
      <c r="AL100" s="1490"/>
      <c r="AM100" s="1490"/>
      <c r="AN100" s="1490"/>
      <c r="AO100" s="1490"/>
      <c r="AP100" s="1490"/>
      <c r="AQ100" s="1490"/>
      <c r="AR100" s="1490"/>
      <c r="AS100" s="1490"/>
      <c r="AT100" s="1490"/>
      <c r="AU100" s="1490"/>
      <c r="AV100" s="1490"/>
      <c r="AW100" s="1490"/>
      <c r="AX100" s="1490"/>
      <c r="AY100" s="1490"/>
      <c r="AZ100" s="1490"/>
      <c r="BA100" s="1490"/>
      <c r="BB100" s="1490"/>
      <c r="BC100" s="1490"/>
      <c r="BD100" s="1490"/>
      <c r="BE100" s="1490"/>
      <c r="BF100" s="1490"/>
      <c r="BG100" s="1490"/>
      <c r="BH100" s="1490"/>
      <c r="BI100" s="1490"/>
      <c r="BJ100" s="1490"/>
      <c r="BK100" s="1495">
        <f>'Geographic Detail'!BK144</f>
        <v>-0.16122783584120937</v>
      </c>
      <c r="BL100" s="1495">
        <f>'Geographic Detail'!BL144</f>
        <v>-0.11683346948817341</v>
      </c>
      <c r="BM100" s="1495">
        <f>'Geographic Detail'!BM144</f>
        <v>-0.14133083538667268</v>
      </c>
      <c r="BN100" s="1495">
        <f>'Geographic Detail'!BN144</f>
        <v>-0.24351770319870969</v>
      </c>
      <c r="BO100" s="1495"/>
      <c r="BP100" s="1490"/>
      <c r="BQ100" s="1495"/>
      <c r="BR100" s="1495"/>
      <c r="BS100" s="1495"/>
      <c r="BT100" s="1495"/>
      <c r="BU100" s="1495"/>
      <c r="BV100" s="1495"/>
      <c r="BW100" s="1495"/>
      <c r="BX100" s="1495"/>
      <c r="BY100" s="1495"/>
      <c r="BZ100" s="1495"/>
      <c r="CA100" s="1495"/>
      <c r="CB100" s="1490"/>
      <c r="CC100" s="1495"/>
      <c r="CD100" s="1495"/>
      <c r="CE100" s="1495"/>
      <c r="CF100" s="1495"/>
      <c r="CG100" s="1488"/>
      <c r="CH100" s="1490"/>
      <c r="CI100" s="1495"/>
      <c r="CJ100" s="1495"/>
      <c r="CK100" s="1495"/>
      <c r="CL100" s="1495"/>
      <c r="CM100" s="1488"/>
      <c r="CN100" s="1490"/>
      <c r="CO100" s="1495"/>
      <c r="CP100" s="1495"/>
      <c r="CQ100" s="1495"/>
      <c r="CR100" s="1495"/>
      <c r="CS100" s="1488"/>
      <c r="CT100" s="1490"/>
      <c r="CU100" s="1495"/>
      <c r="CV100" s="1495"/>
      <c r="CW100" s="1495"/>
      <c r="CX100" s="1495"/>
      <c r="CY100" s="1488"/>
      <c r="CZ100" s="1491"/>
      <c r="DA100" s="1495"/>
      <c r="DB100" s="1495"/>
      <c r="DC100" s="1495">
        <f>Model!DC60</f>
        <v>273</v>
      </c>
      <c r="DD100" s="1495">
        <f>Model!DD60</f>
        <v>1233</v>
      </c>
      <c r="DE100" s="1488">
        <f>Model!DE60</f>
        <v>1506</v>
      </c>
      <c r="DF100" s="1490"/>
      <c r="DG100" s="1495">
        <f>Model!DG60</f>
        <v>1079</v>
      </c>
      <c r="DH100" s="1495">
        <f>Model!DH60</f>
        <v>1112</v>
      </c>
      <c r="DI100" s="1495">
        <f>Model!DI60</f>
        <v>1035</v>
      </c>
      <c r="DJ100" s="1495">
        <f>Model!DJ60</f>
        <v>1157</v>
      </c>
      <c r="DK100" s="1488">
        <f>Model!DK60</f>
        <v>4383</v>
      </c>
      <c r="DL100" s="1490"/>
      <c r="DM100" s="1495">
        <f>Model!DM60</f>
        <v>1029</v>
      </c>
      <c r="DN100" s="1495">
        <f>Model!DN60</f>
        <v>953</v>
      </c>
      <c r="DO100" s="1495">
        <f>Model!DO60</f>
        <v>869</v>
      </c>
      <c r="DP100" s="1495">
        <f>Model!DP60</f>
        <v>977</v>
      </c>
      <c r="DQ100" s="1488">
        <f>Model!DQ60</f>
        <v>3828</v>
      </c>
      <c r="DR100" s="1490"/>
      <c r="DS100" s="1495">
        <f>Model!DS60</f>
        <v>779</v>
      </c>
      <c r="DT100" s="1495">
        <f>Model!DT60</f>
        <v>734</v>
      </c>
      <c r="DU100" s="1495">
        <f>Model!DU60</f>
        <v>671</v>
      </c>
      <c r="DV100" s="1495">
        <f>Model!DV60</f>
        <v>849</v>
      </c>
      <c r="DW100" s="1488">
        <f>Model!DW60</f>
        <v>3033</v>
      </c>
      <c r="DX100" s="1490"/>
      <c r="DY100" s="1495">
        <f>Model!DY60</f>
        <v>669</v>
      </c>
      <c r="DZ100" s="1495">
        <f>Model!DZ60</f>
        <v>714</v>
      </c>
      <c r="EA100" s="1495">
        <f>Model!EA60</f>
        <v>725</v>
      </c>
      <c r="EB100" s="1495">
        <f>Model!EB60</f>
        <v>870</v>
      </c>
      <c r="EC100" s="1488">
        <f>Model!EC60</f>
        <v>2978</v>
      </c>
      <c r="ED100" s="1490"/>
      <c r="EE100" s="1495">
        <f>Model!EE60</f>
        <v>578</v>
      </c>
      <c r="EF100" s="1495">
        <f>Model!EF60</f>
        <v>717</v>
      </c>
      <c r="EG100" s="1495">
        <f>Model!EG60</f>
        <v>712</v>
      </c>
      <c r="EH100" s="1495">
        <f>Model!EH60</f>
        <v>818</v>
      </c>
      <c r="EI100" s="1488">
        <f>Model!EI60</f>
        <v>2825</v>
      </c>
      <c r="EJ100" s="1490"/>
      <c r="EK100" s="1495">
        <f>Model!EK60</f>
        <v>570</v>
      </c>
      <c r="EL100" s="1495">
        <f>Model!EL60</f>
        <v>573</v>
      </c>
      <c r="EM100" s="1495">
        <f>Model!EM60</f>
        <v>604</v>
      </c>
      <c r="EN100" s="1495">
        <f>Model!EN60</f>
        <v>725</v>
      </c>
      <c r="EO100" s="1488">
        <f>Model!EO60</f>
        <v>2472</v>
      </c>
      <c r="EP100" s="1490"/>
      <c r="EQ100" s="1495">
        <f>Model!EQ60</f>
        <v>462</v>
      </c>
      <c r="ER100" s="1495">
        <f>Model!ER60</f>
        <v>497</v>
      </c>
      <c r="ES100" s="1495">
        <f>Model!ES60</f>
        <v>520</v>
      </c>
      <c r="ET100" s="1495">
        <f>Model!ET60</f>
        <v>597</v>
      </c>
      <c r="EU100" s="1488">
        <f>Model!EU60</f>
        <v>2076</v>
      </c>
      <c r="EV100" s="1490"/>
      <c r="EW100" s="1495">
        <f>Model!EW60</f>
        <v>388.08</v>
      </c>
      <c r="EX100" s="1495">
        <f>Model!EX60</f>
        <v>417.47999999999996</v>
      </c>
      <c r="EY100" s="1495">
        <f>Model!EY60</f>
        <v>457.6</v>
      </c>
      <c r="EZ100" s="1495">
        <f>Model!EZ60</f>
        <v>519.39</v>
      </c>
      <c r="FA100" s="1488">
        <f>Model!FA60</f>
        <v>1782.5499999999997</v>
      </c>
      <c r="FB100" s="1490"/>
      <c r="FC100" s="1495">
        <f>Model!FC60</f>
        <v>329.86799999999999</v>
      </c>
      <c r="FD100" s="1495">
        <f>Model!FD60</f>
        <v>354.85799999999995</v>
      </c>
      <c r="FE100" s="1495">
        <f>Model!FE60</f>
        <v>388.96000000000004</v>
      </c>
      <c r="FF100" s="1495">
        <f>Model!FF60</f>
        <v>441.48149999999998</v>
      </c>
      <c r="FG100" s="1488">
        <f>Model!FG60</f>
        <v>1515.1675</v>
      </c>
      <c r="FH100" s="1490"/>
      <c r="FI100" s="1495">
        <f>Model!FI60</f>
        <v>280.38779999999997</v>
      </c>
      <c r="FJ100" s="1495">
        <f>Model!FJ60</f>
        <v>301.62929999999994</v>
      </c>
      <c r="FK100" s="1495">
        <f>Model!FK60</f>
        <v>330.61600000000004</v>
      </c>
      <c r="FL100" s="1495">
        <f>Model!FL60</f>
        <v>375.259275</v>
      </c>
      <c r="FM100" s="1488">
        <f>Model!FM60</f>
        <v>1287.8923749999999</v>
      </c>
      <c r="FQ100"/>
      <c r="FR100"/>
      <c r="FS100"/>
      <c r="FT100"/>
      <c r="FU100"/>
      <c r="FV100"/>
      <c r="GB100" s="24"/>
      <c r="GC100" s="24" t="s">
        <v>749</v>
      </c>
      <c r="GD100" s="24"/>
      <c r="GE100" s="24"/>
      <c r="GF100" s="24"/>
      <c r="GG100" s="24"/>
      <c r="GH100" s="24"/>
      <c r="GI100" s="24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</row>
    <row r="101" spans="1:274" s="27" customFormat="1" ht="12" hidden="1" customHeight="1" outlineLevel="1" x14ac:dyDescent="0.2">
      <c r="A101" s="344" t="s">
        <v>53</v>
      </c>
      <c r="B101" s="345"/>
      <c r="C101" s="943"/>
      <c r="D101" s="943"/>
      <c r="E101" s="943"/>
      <c r="F101" s="943"/>
      <c r="G101" s="943"/>
      <c r="H101" s="345"/>
      <c r="I101" s="943"/>
      <c r="J101" s="943"/>
      <c r="K101" s="943"/>
      <c r="L101" s="943"/>
      <c r="M101" s="943"/>
      <c r="N101" s="345"/>
      <c r="O101" s="37"/>
      <c r="P101" s="37"/>
      <c r="Q101" s="37"/>
      <c r="R101" s="37"/>
      <c r="S101" s="37"/>
      <c r="T101" s="345"/>
      <c r="U101" s="943"/>
      <c r="V101" s="943"/>
      <c r="W101" s="943"/>
      <c r="X101" s="943"/>
      <c r="Y101" s="943"/>
      <c r="Z101" s="345"/>
      <c r="AA101" s="943"/>
      <c r="AB101" s="943"/>
      <c r="AC101" s="943"/>
      <c r="AD101" s="943"/>
      <c r="AE101" s="943"/>
      <c r="AF101" s="345"/>
      <c r="AG101" s="943"/>
      <c r="AH101" s="943"/>
      <c r="AI101" s="943"/>
      <c r="AJ101" s="943"/>
      <c r="AK101" s="943"/>
      <c r="AL101" s="943"/>
      <c r="AM101" s="943"/>
      <c r="AN101" s="943"/>
      <c r="AO101" s="943"/>
      <c r="AP101" s="943"/>
      <c r="AQ101" s="943"/>
      <c r="AR101" s="345"/>
      <c r="AS101" s="943"/>
      <c r="AT101" s="943"/>
      <c r="AU101" s="943"/>
      <c r="AV101" s="943"/>
      <c r="AW101" s="943"/>
      <c r="AX101" s="345"/>
      <c r="AY101" s="943"/>
      <c r="AZ101" s="943"/>
      <c r="BA101" s="943"/>
      <c r="BB101" s="943"/>
      <c r="BC101" s="943"/>
      <c r="BD101" s="345"/>
      <c r="BE101" s="943"/>
      <c r="BF101" s="943"/>
      <c r="BG101" s="943"/>
      <c r="BH101" s="943"/>
      <c r="BI101" s="943"/>
      <c r="BJ101" s="345"/>
      <c r="BK101" s="943"/>
      <c r="BL101" s="943"/>
      <c r="BM101" s="943"/>
      <c r="BN101" s="943"/>
      <c r="BO101" s="943"/>
      <c r="BP101" s="345"/>
      <c r="BQ101" s="943"/>
      <c r="BR101" s="943"/>
      <c r="BS101" s="943"/>
      <c r="BT101" s="943"/>
      <c r="BU101" s="37"/>
      <c r="BV101" s="345"/>
      <c r="BW101" s="941"/>
      <c r="BX101" s="941"/>
      <c r="BY101" s="941"/>
      <c r="BZ101" s="1445"/>
      <c r="CA101" s="37"/>
      <c r="CB101" s="345"/>
      <c r="CC101" s="1445"/>
      <c r="CD101" s="1445"/>
      <c r="CE101" s="1445"/>
      <c r="CF101" s="1445"/>
      <c r="CG101" s="557"/>
      <c r="CH101" s="345"/>
      <c r="CI101" s="1445"/>
      <c r="CJ101" s="1445"/>
      <c r="CK101" s="1445"/>
      <c r="CL101" s="1445"/>
      <c r="CM101" s="557"/>
      <c r="CN101" s="345"/>
      <c r="CO101" s="1445"/>
      <c r="CP101" s="1445"/>
      <c r="CQ101" s="1445"/>
      <c r="CR101" s="1445"/>
      <c r="CS101" s="557"/>
      <c r="CT101" s="345"/>
      <c r="CU101" s="1445"/>
      <c r="CV101" s="1445"/>
      <c r="CW101" s="1445"/>
      <c r="CX101" s="1445"/>
      <c r="CY101" s="557"/>
      <c r="CZ101" s="86"/>
      <c r="DA101" s="1445"/>
      <c r="DB101" s="1445"/>
      <c r="DC101" s="1445">
        <f>DC100</f>
        <v>273</v>
      </c>
      <c r="DD101" s="941">
        <f>DD100</f>
        <v>1233</v>
      </c>
      <c r="DE101" s="557">
        <f>SUM(DA101:DD101)</f>
        <v>1506</v>
      </c>
      <c r="DF101" s="345"/>
      <c r="DG101" s="1445">
        <f>DG100</f>
        <v>1079</v>
      </c>
      <c r="DH101" s="1445">
        <f>DH100</f>
        <v>1112</v>
      </c>
      <c r="DI101" s="1445">
        <f>DI100</f>
        <v>1035</v>
      </c>
      <c r="DJ101" s="1453"/>
      <c r="DK101" s="557">
        <f>SUM(DG101:DJ101)</f>
        <v>3226</v>
      </c>
      <c r="DL101" s="345"/>
      <c r="DM101" s="943"/>
      <c r="DN101" s="943"/>
      <c r="DO101" s="943"/>
      <c r="DP101" s="1453"/>
      <c r="DQ101" s="557">
        <f>SUM(DM101:DP101)</f>
        <v>0</v>
      </c>
      <c r="DR101" s="345"/>
      <c r="DS101" s="943"/>
      <c r="DT101" s="943"/>
      <c r="DU101" s="943"/>
      <c r="DV101" s="1453"/>
      <c r="DW101" s="557">
        <f t="shared" ref="DW101:DW107" si="86">SUM(DS101:DV101)</f>
        <v>0</v>
      </c>
      <c r="DX101" s="345"/>
      <c r="DY101" s="943"/>
      <c r="DZ101" s="943"/>
      <c r="EA101" s="943"/>
      <c r="EB101" s="943"/>
      <c r="EC101" s="557">
        <f t="shared" ref="EC101:EC107" si="87">SUM(DY101:EB101)</f>
        <v>0</v>
      </c>
      <c r="ED101" s="345"/>
      <c r="EE101" s="943"/>
      <c r="EF101" s="943"/>
      <c r="EG101" s="943"/>
      <c r="EH101" s="943"/>
      <c r="EI101" s="557">
        <f>SUM(EE101:EH101)</f>
        <v>0</v>
      </c>
      <c r="EJ101" s="345"/>
      <c r="EK101" s="943"/>
      <c r="EL101" s="943"/>
      <c r="EM101" s="943"/>
      <c r="EN101" s="943"/>
      <c r="EO101" s="557">
        <f t="shared" ref="EO101:EO107" si="88">SUM(EK101:EN101)</f>
        <v>0</v>
      </c>
      <c r="EP101" s="345"/>
      <c r="EQ101" s="943"/>
      <c r="ER101" s="943"/>
      <c r="ES101" s="943"/>
      <c r="ET101" s="943"/>
      <c r="EU101" s="557">
        <f t="shared" ref="EU101:EU107" si="89">SUM(EQ101:ET101)</f>
        <v>0</v>
      </c>
      <c r="EV101" s="345"/>
      <c r="EW101" s="943"/>
      <c r="EX101" s="943"/>
      <c r="EY101" s="943"/>
      <c r="EZ101" s="943"/>
      <c r="FA101" s="557">
        <f t="shared" ref="FA101:FA107" si="90">SUM(EW101:EZ101)</f>
        <v>0</v>
      </c>
      <c r="FB101" s="345"/>
      <c r="FC101" s="943"/>
      <c r="FD101" s="943"/>
      <c r="FE101" s="943"/>
      <c r="FF101" s="943"/>
      <c r="FG101" s="557">
        <f t="shared" ref="FG101:FG107" si="91">SUM(FC101:FF101)</f>
        <v>0</v>
      </c>
      <c r="FH101" s="345"/>
      <c r="FI101" s="943"/>
      <c r="FJ101" s="943"/>
      <c r="FK101" s="943"/>
      <c r="FL101" s="943"/>
      <c r="FM101" s="557">
        <f t="shared" ref="FM101:FM107" si="92">SUM(FI101:FL101)</f>
        <v>0</v>
      </c>
      <c r="FQ101"/>
      <c r="FR101"/>
      <c r="FS101"/>
      <c r="FT101"/>
      <c r="FU101"/>
      <c r="FV101"/>
      <c r="GB101" s="24"/>
      <c r="GC101" s="24"/>
      <c r="GD101" s="24"/>
      <c r="GE101" s="24"/>
      <c r="GF101" s="24"/>
      <c r="GG101" s="24"/>
      <c r="GH101" s="24"/>
      <c r="GI101" s="24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</row>
    <row r="102" spans="1:274" s="27" customFormat="1" ht="12" hidden="1" customHeight="1" outlineLevel="1" x14ac:dyDescent="0.2">
      <c r="A102" s="344" t="s">
        <v>209</v>
      </c>
      <c r="B102" s="345"/>
      <c r="C102" s="943"/>
      <c r="D102" s="943"/>
      <c r="E102" s="943"/>
      <c r="F102" s="943"/>
      <c r="G102" s="943"/>
      <c r="H102" s="345"/>
      <c r="I102" s="943"/>
      <c r="J102" s="943"/>
      <c r="K102" s="943"/>
      <c r="L102" s="943"/>
      <c r="M102" s="943"/>
      <c r="N102" s="345"/>
      <c r="O102" s="37"/>
      <c r="P102" s="37"/>
      <c r="Q102" s="37"/>
      <c r="R102" s="37"/>
      <c r="S102" s="37"/>
      <c r="T102" s="345"/>
      <c r="U102" s="943"/>
      <c r="V102" s="943"/>
      <c r="W102" s="943"/>
      <c r="X102" s="943"/>
      <c r="Y102" s="943"/>
      <c r="Z102" s="345"/>
      <c r="AA102" s="943"/>
      <c r="AB102" s="943"/>
      <c r="AC102" s="943"/>
      <c r="AD102" s="943"/>
      <c r="AE102" s="943"/>
      <c r="AF102" s="345"/>
      <c r="AG102" s="943"/>
      <c r="AH102" s="943"/>
      <c r="AI102" s="943"/>
      <c r="AJ102" s="943"/>
      <c r="AK102" s="943"/>
      <c r="AL102" s="943"/>
      <c r="AM102" s="943"/>
      <c r="AN102" s="943"/>
      <c r="AO102" s="943"/>
      <c r="AP102" s="943"/>
      <c r="AQ102" s="943"/>
      <c r="AR102" s="345"/>
      <c r="AS102" s="943"/>
      <c r="AT102" s="943"/>
      <c r="AU102" s="943"/>
      <c r="AV102" s="943"/>
      <c r="AW102" s="943"/>
      <c r="AX102" s="345"/>
      <c r="AY102" s="943"/>
      <c r="AZ102" s="943"/>
      <c r="BA102" s="943"/>
      <c r="BB102" s="943"/>
      <c r="BC102" s="943"/>
      <c r="BD102" s="345"/>
      <c r="BE102" s="943"/>
      <c r="BF102" s="943"/>
      <c r="BG102" s="943"/>
      <c r="BH102" s="943"/>
      <c r="BI102" s="943"/>
      <c r="BJ102" s="345"/>
      <c r="BK102" s="943"/>
      <c r="BL102" s="943"/>
      <c r="BM102" s="943"/>
      <c r="BN102" s="943"/>
      <c r="BO102" s="943"/>
      <c r="BP102" s="345"/>
      <c r="BQ102" s="943"/>
      <c r="BR102" s="943"/>
      <c r="BS102" s="943"/>
      <c r="BT102" s="943"/>
      <c r="BU102" s="37"/>
      <c r="BV102" s="345"/>
      <c r="BW102" s="941"/>
      <c r="BX102" s="941"/>
      <c r="BY102" s="941"/>
      <c r="BZ102" s="1445"/>
      <c r="CA102" s="37"/>
      <c r="CB102" s="345"/>
      <c r="CC102" s="1445"/>
      <c r="CD102" s="1445"/>
      <c r="CE102" s="1445"/>
      <c r="CF102" s="1445"/>
      <c r="CG102" s="557"/>
      <c r="CH102" s="345"/>
      <c r="CI102" s="1445"/>
      <c r="CJ102" s="1445"/>
      <c r="CK102" s="1445"/>
      <c r="CL102" s="1445"/>
      <c r="CM102" s="557"/>
      <c r="CN102" s="345"/>
      <c r="CO102" s="1445"/>
      <c r="CP102" s="1445"/>
      <c r="CQ102" s="1445"/>
      <c r="CR102" s="1445"/>
      <c r="CS102" s="557"/>
      <c r="CT102" s="345"/>
      <c r="CU102" s="1445"/>
      <c r="CV102" s="1445"/>
      <c r="CW102" s="1445"/>
      <c r="CX102" s="1445"/>
      <c r="CY102" s="557"/>
      <c r="CZ102" s="86"/>
      <c r="DA102" s="1445"/>
      <c r="DB102" s="1445"/>
      <c r="DC102" s="1445"/>
      <c r="DD102" s="941"/>
      <c r="DE102" s="557">
        <f>SUM(DA102:DD102)</f>
        <v>0</v>
      </c>
      <c r="DF102" s="345"/>
      <c r="DG102" s="1445"/>
      <c r="DH102" s="1445"/>
      <c r="DI102" s="1445"/>
      <c r="DJ102" s="941"/>
      <c r="DK102" s="557">
        <f>SUM(DG102:DJ102)</f>
        <v>0</v>
      </c>
      <c r="DL102" s="345"/>
      <c r="DM102" s="943">
        <f>DM135*0.8</f>
        <v>4.8000000000000007</v>
      </c>
      <c r="DN102" s="943">
        <f>DN135*0.8</f>
        <v>10</v>
      </c>
      <c r="DO102" s="943">
        <f>DO135*0.8</f>
        <v>10.4</v>
      </c>
      <c r="DP102" s="943">
        <f>DP135*0.8</f>
        <v>10.8</v>
      </c>
      <c r="DQ102" s="557">
        <f>SUM(DM102:DP102)</f>
        <v>36</v>
      </c>
      <c r="DR102" s="345"/>
      <c r="DS102" s="943">
        <f>DS135*0.8</f>
        <v>4</v>
      </c>
      <c r="DT102" s="943"/>
      <c r="DU102" s="943"/>
      <c r="DV102" s="943"/>
      <c r="DW102" s="557">
        <f t="shared" si="86"/>
        <v>4</v>
      </c>
      <c r="DX102" s="345"/>
      <c r="DY102" s="943"/>
      <c r="DZ102" s="943"/>
      <c r="EA102" s="943"/>
      <c r="EB102" s="943"/>
      <c r="EC102" s="557">
        <f t="shared" si="87"/>
        <v>0</v>
      </c>
      <c r="ED102" s="345"/>
      <c r="EE102" s="943"/>
      <c r="EF102" s="943"/>
      <c r="EG102" s="943"/>
      <c r="EH102" s="943"/>
      <c r="EI102" s="557">
        <f>SUM(EE102:EH102)</f>
        <v>0</v>
      </c>
      <c r="EJ102" s="345"/>
      <c r="EK102" s="943"/>
      <c r="EL102" s="943"/>
      <c r="EM102" s="943"/>
      <c r="EN102" s="943"/>
      <c r="EO102" s="557">
        <f t="shared" si="88"/>
        <v>0</v>
      </c>
      <c r="EP102" s="345"/>
      <c r="EQ102" s="943"/>
      <c r="ER102" s="943"/>
      <c r="ES102" s="943"/>
      <c r="ET102" s="943"/>
      <c r="EU102" s="557">
        <f t="shared" si="89"/>
        <v>0</v>
      </c>
      <c r="EV102" s="345"/>
      <c r="EW102" s="943"/>
      <c r="EX102" s="943"/>
      <c r="EY102" s="943"/>
      <c r="EZ102" s="943"/>
      <c r="FA102" s="557">
        <f t="shared" si="90"/>
        <v>0</v>
      </c>
      <c r="FB102" s="345"/>
      <c r="FC102" s="943"/>
      <c r="FD102" s="943"/>
      <c r="FE102" s="943"/>
      <c r="FF102" s="943"/>
      <c r="FG102" s="557">
        <f t="shared" si="91"/>
        <v>0</v>
      </c>
      <c r="FH102" s="345"/>
      <c r="FI102" s="943"/>
      <c r="FJ102" s="943"/>
      <c r="FK102" s="943"/>
      <c r="FL102" s="943"/>
      <c r="FM102" s="557">
        <f t="shared" si="92"/>
        <v>0</v>
      </c>
      <c r="FQ102"/>
      <c r="FR102"/>
      <c r="FS102"/>
      <c r="FT102"/>
      <c r="FU102"/>
      <c r="FV102"/>
      <c r="GB102" s="24"/>
      <c r="GC102" s="24"/>
      <c r="GD102" s="24"/>
      <c r="GE102" s="24"/>
      <c r="GF102" s="24"/>
      <c r="GG102" s="24"/>
      <c r="GH102" s="24"/>
      <c r="GI102" s="24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</row>
    <row r="103" spans="1:274" s="27" customFormat="1" ht="12" hidden="1" customHeight="1" outlineLevel="1" x14ac:dyDescent="0.2">
      <c r="A103" s="344" t="s">
        <v>461</v>
      </c>
      <c r="B103" s="345"/>
      <c r="C103" s="943"/>
      <c r="D103" s="943"/>
      <c r="E103" s="943"/>
      <c r="F103" s="943"/>
      <c r="G103" s="943"/>
      <c r="H103" s="345"/>
      <c r="I103" s="943"/>
      <c r="J103" s="943"/>
      <c r="K103" s="943"/>
      <c r="L103" s="943"/>
      <c r="M103" s="943"/>
      <c r="N103" s="345"/>
      <c r="O103" s="37"/>
      <c r="P103" s="37"/>
      <c r="Q103" s="37"/>
      <c r="R103" s="37"/>
      <c r="S103" s="37"/>
      <c r="T103" s="345"/>
      <c r="U103" s="943"/>
      <c r="V103" s="943"/>
      <c r="W103" s="943"/>
      <c r="X103" s="943"/>
      <c r="Y103" s="943"/>
      <c r="Z103" s="345"/>
      <c r="AA103" s="943"/>
      <c r="AB103" s="943"/>
      <c r="AC103" s="943"/>
      <c r="AD103" s="943"/>
      <c r="AE103" s="943"/>
      <c r="AF103" s="345"/>
      <c r="AG103" s="943"/>
      <c r="AH103" s="943"/>
      <c r="AI103" s="943"/>
      <c r="AJ103" s="943"/>
      <c r="AK103" s="943"/>
      <c r="AL103" s="943"/>
      <c r="AM103" s="943"/>
      <c r="AN103" s="943"/>
      <c r="AO103" s="943"/>
      <c r="AP103" s="943"/>
      <c r="AQ103" s="943"/>
      <c r="AR103" s="345"/>
      <c r="AS103" s="943"/>
      <c r="AT103" s="943"/>
      <c r="AU103" s="943"/>
      <c r="AV103" s="943"/>
      <c r="AW103" s="943"/>
      <c r="AX103" s="345"/>
      <c r="AY103" s="943"/>
      <c r="AZ103" s="943"/>
      <c r="BA103" s="943"/>
      <c r="BB103" s="943"/>
      <c r="BC103" s="943"/>
      <c r="BD103" s="345"/>
      <c r="BE103" s="943"/>
      <c r="BF103" s="943"/>
      <c r="BG103" s="943"/>
      <c r="BH103" s="943"/>
      <c r="BI103" s="943"/>
      <c r="BJ103" s="345"/>
      <c r="BK103" s="943"/>
      <c r="BL103" s="943"/>
      <c r="BM103" s="943"/>
      <c r="BN103" s="943"/>
      <c r="BO103" s="943"/>
      <c r="BP103" s="345"/>
      <c r="BQ103" s="943"/>
      <c r="BR103" s="943"/>
      <c r="BS103" s="943"/>
      <c r="BT103" s="943"/>
      <c r="BU103" s="37"/>
      <c r="BV103" s="345"/>
      <c r="BW103" s="941"/>
      <c r="BX103" s="941"/>
      <c r="BY103" s="941"/>
      <c r="BZ103" s="1445"/>
      <c r="CA103" s="37"/>
      <c r="CB103" s="345"/>
      <c r="CC103" s="1445"/>
      <c r="CD103" s="1445"/>
      <c r="CE103" s="1445"/>
      <c r="CF103" s="1445"/>
      <c r="CG103" s="557"/>
      <c r="CH103" s="345"/>
      <c r="CI103" s="1445"/>
      <c r="CJ103" s="1445"/>
      <c r="CK103" s="1445"/>
      <c r="CL103" s="1445"/>
      <c r="CM103" s="557"/>
      <c r="CN103" s="345"/>
      <c r="CO103" s="1445"/>
      <c r="CP103" s="1445"/>
      <c r="CQ103" s="1445"/>
      <c r="CR103" s="1445"/>
      <c r="CS103" s="557"/>
      <c r="CT103" s="345"/>
      <c r="CU103" s="1445"/>
      <c r="CV103" s="1445"/>
      <c r="CW103" s="1445"/>
      <c r="CX103" s="1445"/>
      <c r="CY103" s="557"/>
      <c r="CZ103" s="86"/>
      <c r="DA103" s="1445"/>
      <c r="DB103" s="1445"/>
      <c r="DC103" s="1445"/>
      <c r="DD103" s="941"/>
      <c r="DE103" s="557"/>
      <c r="DF103" s="345"/>
      <c r="DG103" s="1445"/>
      <c r="DH103" s="1445"/>
      <c r="DI103" s="1445"/>
      <c r="DJ103" s="941"/>
      <c r="DK103" s="557"/>
      <c r="DL103" s="345"/>
      <c r="DM103" s="943"/>
      <c r="DN103" s="943"/>
      <c r="DO103" s="943"/>
      <c r="DP103" s="943"/>
      <c r="DQ103" s="557"/>
      <c r="DR103" s="345"/>
      <c r="DS103" s="943"/>
      <c r="DT103" s="943">
        <v>10</v>
      </c>
      <c r="DU103" s="943">
        <v>11</v>
      </c>
      <c r="DV103" s="943">
        <v>15</v>
      </c>
      <c r="DW103" s="557">
        <f t="shared" si="86"/>
        <v>36</v>
      </c>
      <c r="DX103" s="345"/>
      <c r="DY103" s="943">
        <v>9</v>
      </c>
      <c r="DZ103" s="943"/>
      <c r="EA103" s="943"/>
      <c r="EB103" s="943"/>
      <c r="EC103" s="557">
        <f t="shared" si="87"/>
        <v>9</v>
      </c>
      <c r="ED103" s="345"/>
      <c r="EE103" s="943"/>
      <c r="EF103" s="943"/>
      <c r="EG103" s="943"/>
      <c r="EH103" s="943"/>
      <c r="EI103" s="557"/>
      <c r="EJ103" s="345"/>
      <c r="EK103" s="943"/>
      <c r="EL103" s="943"/>
      <c r="EM103" s="943"/>
      <c r="EN103" s="943"/>
      <c r="EO103" s="557">
        <f t="shared" si="88"/>
        <v>0</v>
      </c>
      <c r="EP103" s="345"/>
      <c r="EQ103" s="943"/>
      <c r="ER103" s="943"/>
      <c r="ES103" s="943"/>
      <c r="ET103" s="943"/>
      <c r="EU103" s="557">
        <f t="shared" si="89"/>
        <v>0</v>
      </c>
      <c r="EV103" s="345"/>
      <c r="EW103" s="943"/>
      <c r="EX103" s="943"/>
      <c r="EY103" s="943"/>
      <c r="EZ103" s="943"/>
      <c r="FA103" s="557">
        <f t="shared" si="90"/>
        <v>0</v>
      </c>
      <c r="FB103" s="345"/>
      <c r="FC103" s="943"/>
      <c r="FD103" s="943"/>
      <c r="FE103" s="943"/>
      <c r="FF103" s="943"/>
      <c r="FG103" s="557">
        <f t="shared" si="91"/>
        <v>0</v>
      </c>
      <c r="FH103" s="345"/>
      <c r="FI103" s="943"/>
      <c r="FJ103" s="943"/>
      <c r="FK103" s="943"/>
      <c r="FL103" s="943"/>
      <c r="FM103" s="557">
        <f t="shared" si="92"/>
        <v>0</v>
      </c>
      <c r="FQ103"/>
      <c r="FR103"/>
      <c r="FS103"/>
      <c r="FT103"/>
      <c r="FU103"/>
      <c r="FV103"/>
      <c r="GB103" s="24"/>
      <c r="GC103" s="24"/>
      <c r="GD103" s="24"/>
      <c r="GE103" s="24"/>
      <c r="GF103" s="24"/>
      <c r="GG103" s="24"/>
      <c r="GH103" s="24"/>
      <c r="GI103" s="24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</row>
    <row r="104" spans="1:274" s="27" customFormat="1" ht="12" hidden="1" customHeight="1" outlineLevel="1" x14ac:dyDescent="0.2">
      <c r="A104" s="344" t="s">
        <v>916</v>
      </c>
      <c r="B104" s="345"/>
      <c r="C104" s="943"/>
      <c r="D104" s="943"/>
      <c r="E104" s="943"/>
      <c r="F104" s="943"/>
      <c r="G104" s="943"/>
      <c r="H104" s="345"/>
      <c r="I104" s="943"/>
      <c r="J104" s="943"/>
      <c r="K104" s="943"/>
      <c r="L104" s="943"/>
      <c r="M104" s="943"/>
      <c r="N104" s="345"/>
      <c r="O104" s="37"/>
      <c r="P104" s="37"/>
      <c r="Q104" s="37"/>
      <c r="R104" s="37"/>
      <c r="S104" s="37"/>
      <c r="T104" s="345"/>
      <c r="U104" s="943"/>
      <c r="V104" s="943"/>
      <c r="W104" s="943"/>
      <c r="X104" s="943"/>
      <c r="Y104" s="943"/>
      <c r="Z104" s="345"/>
      <c r="AA104" s="943"/>
      <c r="AB104" s="943"/>
      <c r="AC104" s="943"/>
      <c r="AD104" s="943"/>
      <c r="AE104" s="943"/>
      <c r="AF104" s="345"/>
      <c r="AG104" s="943"/>
      <c r="AH104" s="943"/>
      <c r="AI104" s="943"/>
      <c r="AJ104" s="943"/>
      <c r="AK104" s="943"/>
      <c r="AL104" s="943"/>
      <c r="AM104" s="943"/>
      <c r="AN104" s="943"/>
      <c r="AO104" s="943"/>
      <c r="AP104" s="943"/>
      <c r="AQ104" s="943"/>
      <c r="AR104" s="345"/>
      <c r="AS104" s="943"/>
      <c r="AT104" s="943"/>
      <c r="AU104" s="943"/>
      <c r="AV104" s="943"/>
      <c r="AW104" s="943"/>
      <c r="AX104" s="345"/>
      <c r="AY104" s="943"/>
      <c r="AZ104" s="943"/>
      <c r="BA104" s="943"/>
      <c r="BB104" s="943"/>
      <c r="BC104" s="943"/>
      <c r="BD104" s="345"/>
      <c r="BE104" s="943"/>
      <c r="BF104" s="943"/>
      <c r="BG104" s="943"/>
      <c r="BH104" s="943"/>
      <c r="BI104" s="943"/>
      <c r="BJ104" s="345"/>
      <c r="BK104" s="943"/>
      <c r="BL104" s="943"/>
      <c r="BM104" s="943"/>
      <c r="BN104" s="943"/>
      <c r="BO104" s="943"/>
      <c r="BP104" s="345"/>
      <c r="BQ104" s="943"/>
      <c r="BR104" s="943"/>
      <c r="BS104" s="943"/>
      <c r="BT104" s="943"/>
      <c r="BU104" s="37"/>
      <c r="BV104" s="345"/>
      <c r="BW104" s="941"/>
      <c r="BX104" s="941"/>
      <c r="BY104" s="941"/>
      <c r="BZ104" s="1445"/>
      <c r="CA104" s="37"/>
      <c r="CB104" s="345"/>
      <c r="CC104" s="1445"/>
      <c r="CD104" s="1445"/>
      <c r="CE104" s="1445"/>
      <c r="CF104" s="1445"/>
      <c r="CG104" s="557"/>
      <c r="CH104" s="345"/>
      <c r="CI104" s="1445"/>
      <c r="CJ104" s="1445"/>
      <c r="CK104" s="1445"/>
      <c r="CL104" s="1445"/>
      <c r="CM104" s="557"/>
      <c r="CN104" s="345"/>
      <c r="CO104" s="1445"/>
      <c r="CP104" s="1445"/>
      <c r="CQ104" s="1445"/>
      <c r="CR104" s="1445"/>
      <c r="CS104" s="557"/>
      <c r="CT104" s="345"/>
      <c r="CU104" s="1445"/>
      <c r="CV104" s="1445"/>
      <c r="CW104" s="1445"/>
      <c r="CX104" s="1445"/>
      <c r="CY104" s="557"/>
      <c r="CZ104" s="86"/>
      <c r="DA104" s="1445"/>
      <c r="DB104" s="1445"/>
      <c r="DC104" s="1445"/>
      <c r="DD104" s="941"/>
      <c r="DE104" s="557"/>
      <c r="DF104" s="345"/>
      <c r="DG104" s="1445"/>
      <c r="DH104" s="1445"/>
      <c r="DI104" s="1445"/>
      <c r="DJ104" s="941"/>
      <c r="DK104" s="557"/>
      <c r="DL104" s="345"/>
      <c r="DM104" s="943"/>
      <c r="DN104" s="943"/>
      <c r="DO104" s="943"/>
      <c r="DP104" s="943"/>
      <c r="DQ104" s="557"/>
      <c r="DR104" s="345"/>
      <c r="DS104" s="943"/>
      <c r="DT104" s="943"/>
      <c r="DU104" s="943"/>
      <c r="DV104" s="121">
        <f>DV146*0.8*0.3</f>
        <v>9.120000000000001</v>
      </c>
      <c r="DW104" s="557">
        <f t="shared" si="86"/>
        <v>9.120000000000001</v>
      </c>
      <c r="DX104" s="271"/>
      <c r="DY104" s="121">
        <f>DY146*0.65*0.35</f>
        <v>15.924999999999999</v>
      </c>
      <c r="DZ104" s="121">
        <v>22</v>
      </c>
      <c r="EA104" s="121">
        <f>EA146*0.65*0.35</f>
        <v>17.0625</v>
      </c>
      <c r="EB104" s="121">
        <f>EB146*0.7*0.35</f>
        <v>7.2274999999999991</v>
      </c>
      <c r="EC104" s="557">
        <f t="shared" si="87"/>
        <v>62.214999999999996</v>
      </c>
      <c r="ED104" s="345"/>
      <c r="EE104" s="943"/>
      <c r="EF104" s="943"/>
      <c r="EG104" s="943"/>
      <c r="EH104" s="943"/>
      <c r="EI104" s="557"/>
      <c r="EJ104" s="345"/>
      <c r="EK104" s="943"/>
      <c r="EL104" s="943"/>
      <c r="EM104" s="943"/>
      <c r="EN104" s="943"/>
      <c r="EO104" s="557">
        <f t="shared" si="88"/>
        <v>0</v>
      </c>
      <c r="EP104" s="345"/>
      <c r="EQ104" s="943"/>
      <c r="ER104" s="943"/>
      <c r="ES104" s="943"/>
      <c r="ET104" s="943"/>
      <c r="EU104" s="557">
        <f t="shared" si="89"/>
        <v>0</v>
      </c>
      <c r="EV104" s="345"/>
      <c r="EW104" s="943"/>
      <c r="EX104" s="943"/>
      <c r="EY104" s="943"/>
      <c r="EZ104" s="943"/>
      <c r="FA104" s="557">
        <f t="shared" si="90"/>
        <v>0</v>
      </c>
      <c r="FB104" s="345"/>
      <c r="FC104" s="943"/>
      <c r="FD104" s="943"/>
      <c r="FE104" s="943"/>
      <c r="FF104" s="943"/>
      <c r="FG104" s="557">
        <f t="shared" si="91"/>
        <v>0</v>
      </c>
      <c r="FH104" s="345"/>
      <c r="FI104" s="943"/>
      <c r="FJ104" s="943"/>
      <c r="FK104" s="943"/>
      <c r="FL104" s="943"/>
      <c r="FM104" s="557">
        <f t="shared" si="92"/>
        <v>0</v>
      </c>
      <c r="FQ104"/>
      <c r="FR104"/>
      <c r="FS104"/>
      <c r="FT104"/>
      <c r="FU104"/>
      <c r="FV104"/>
      <c r="GB104" s="24"/>
      <c r="GC104" s="24"/>
      <c r="GD104" s="24"/>
      <c r="GE104" s="24"/>
      <c r="GF104" s="24"/>
      <c r="GG104" s="24"/>
      <c r="GH104" s="24"/>
      <c r="GI104" s="2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</row>
    <row r="105" spans="1:274" s="27" customFormat="1" ht="12" hidden="1" customHeight="1" outlineLevel="1" x14ac:dyDescent="0.2">
      <c r="A105" s="344" t="s">
        <v>860</v>
      </c>
      <c r="B105" s="345"/>
      <c r="C105" s="943"/>
      <c r="D105" s="943"/>
      <c r="E105" s="943"/>
      <c r="F105" s="943"/>
      <c r="G105" s="943"/>
      <c r="H105" s="345"/>
      <c r="I105" s="943"/>
      <c r="J105" s="943"/>
      <c r="K105" s="943"/>
      <c r="L105" s="943"/>
      <c r="M105" s="943"/>
      <c r="N105" s="345"/>
      <c r="O105" s="37"/>
      <c r="P105" s="37"/>
      <c r="Q105" s="37"/>
      <c r="R105" s="37"/>
      <c r="S105" s="37"/>
      <c r="T105" s="345"/>
      <c r="U105" s="943"/>
      <c r="V105" s="943"/>
      <c r="W105" s="943"/>
      <c r="X105" s="943"/>
      <c r="Y105" s="943"/>
      <c r="Z105" s="345"/>
      <c r="AA105" s="943"/>
      <c r="AB105" s="943"/>
      <c r="AC105" s="943"/>
      <c r="AD105" s="943"/>
      <c r="AE105" s="943"/>
      <c r="AF105" s="345"/>
      <c r="AG105" s="943"/>
      <c r="AH105" s="943"/>
      <c r="AI105" s="943"/>
      <c r="AJ105" s="943"/>
      <c r="AK105" s="943"/>
      <c r="AL105" s="943"/>
      <c r="AM105" s="943"/>
      <c r="AN105" s="943"/>
      <c r="AO105" s="943"/>
      <c r="AP105" s="943"/>
      <c r="AQ105" s="943"/>
      <c r="AR105" s="345"/>
      <c r="AS105" s="943"/>
      <c r="AT105" s="943"/>
      <c r="AU105" s="943"/>
      <c r="AV105" s="943"/>
      <c r="AW105" s="943"/>
      <c r="AX105" s="345"/>
      <c r="AY105" s="943"/>
      <c r="AZ105" s="943"/>
      <c r="BA105" s="943"/>
      <c r="BB105" s="943"/>
      <c r="BC105" s="943"/>
      <c r="BD105" s="345"/>
      <c r="BE105" s="943"/>
      <c r="BF105" s="943"/>
      <c r="BG105" s="943"/>
      <c r="BH105" s="943"/>
      <c r="BI105" s="943"/>
      <c r="BJ105" s="345"/>
      <c r="BK105" s="943"/>
      <c r="BL105" s="943"/>
      <c r="BM105" s="943"/>
      <c r="BN105" s="943"/>
      <c r="BO105" s="943"/>
      <c r="BP105" s="345"/>
      <c r="BQ105" s="943"/>
      <c r="BR105" s="943"/>
      <c r="BS105" s="943"/>
      <c r="BT105" s="943"/>
      <c r="BU105" s="37"/>
      <c r="BV105" s="345"/>
      <c r="BW105" s="941"/>
      <c r="BX105" s="941"/>
      <c r="BY105" s="941"/>
      <c r="BZ105" s="1445"/>
      <c r="CA105" s="37"/>
      <c r="CB105" s="345"/>
      <c r="CC105" s="1445"/>
      <c r="CD105" s="1445"/>
      <c r="CE105" s="1445"/>
      <c r="CF105" s="1445"/>
      <c r="CG105" s="557"/>
      <c r="CH105" s="345"/>
      <c r="CI105" s="1445"/>
      <c r="CJ105" s="1445"/>
      <c r="CK105" s="1445"/>
      <c r="CL105" s="1445"/>
      <c r="CM105" s="557"/>
      <c r="CN105" s="345"/>
      <c r="CO105" s="1445"/>
      <c r="CP105" s="1445"/>
      <c r="CQ105" s="1445"/>
      <c r="CR105" s="1445"/>
      <c r="CS105" s="557"/>
      <c r="CT105" s="345"/>
      <c r="CU105" s="1445"/>
      <c r="CV105" s="1445"/>
      <c r="CW105" s="1445"/>
      <c r="CX105" s="1445"/>
      <c r="CY105" s="557"/>
      <c r="CZ105" s="86"/>
      <c r="DA105" s="1445"/>
      <c r="DB105" s="1445"/>
      <c r="DC105" s="1445"/>
      <c r="DD105" s="941"/>
      <c r="DE105" s="557"/>
      <c r="DF105" s="345"/>
      <c r="DG105" s="1445"/>
      <c r="DH105" s="1445"/>
      <c r="DI105" s="1445"/>
      <c r="DJ105" s="941"/>
      <c r="DK105" s="557"/>
      <c r="DL105" s="345"/>
      <c r="DM105" s="943"/>
      <c r="DN105" s="943"/>
      <c r="DO105" s="943"/>
      <c r="DP105" s="943"/>
      <c r="DQ105" s="557"/>
      <c r="DR105" s="345"/>
      <c r="DS105" s="943"/>
      <c r="DT105" s="943"/>
      <c r="DU105" s="943"/>
      <c r="DV105" s="943"/>
      <c r="DW105" s="557">
        <f t="shared" si="86"/>
        <v>0</v>
      </c>
      <c r="DX105" s="345"/>
      <c r="DY105" s="121">
        <f>DY147*0.65*0.75</f>
        <v>24.375</v>
      </c>
      <c r="DZ105" s="121">
        <v>34</v>
      </c>
      <c r="EA105" s="121">
        <f>EA147*0.65*0.8</f>
        <v>30.160000000000004</v>
      </c>
      <c r="EB105" s="121">
        <f>EB147*0.7*0.75</f>
        <v>28.349999999999998</v>
      </c>
      <c r="EC105" s="557">
        <f t="shared" si="87"/>
        <v>116.88499999999999</v>
      </c>
      <c r="ED105" s="345"/>
      <c r="EE105" s="943"/>
      <c r="EF105" s="943"/>
      <c r="EG105" s="943"/>
      <c r="EH105" s="943"/>
      <c r="EI105" s="557"/>
      <c r="EJ105" s="345"/>
      <c r="EK105" s="943"/>
      <c r="EL105" s="943"/>
      <c r="EM105" s="943"/>
      <c r="EN105" s="943"/>
      <c r="EO105" s="557">
        <f t="shared" si="88"/>
        <v>0</v>
      </c>
      <c r="EP105" s="345"/>
      <c r="EQ105" s="943"/>
      <c r="ER105" s="943"/>
      <c r="ES105" s="943"/>
      <c r="ET105" s="943"/>
      <c r="EU105" s="557">
        <f t="shared" si="89"/>
        <v>0</v>
      </c>
      <c r="EV105" s="345"/>
      <c r="EW105" s="943"/>
      <c r="EX105" s="943"/>
      <c r="EY105" s="943"/>
      <c r="EZ105" s="943"/>
      <c r="FA105" s="557">
        <f t="shared" si="90"/>
        <v>0</v>
      </c>
      <c r="FB105" s="345"/>
      <c r="FC105" s="943"/>
      <c r="FD105" s="943"/>
      <c r="FE105" s="943"/>
      <c r="FF105" s="943"/>
      <c r="FG105" s="557">
        <f t="shared" si="91"/>
        <v>0</v>
      </c>
      <c r="FH105" s="345"/>
      <c r="FI105" s="943"/>
      <c r="FJ105" s="943"/>
      <c r="FK105" s="943"/>
      <c r="FL105" s="943"/>
      <c r="FM105" s="557">
        <f t="shared" si="92"/>
        <v>0</v>
      </c>
      <c r="FQ105"/>
      <c r="FR105"/>
      <c r="FS105"/>
      <c r="FT105"/>
      <c r="FU105"/>
      <c r="FV105"/>
      <c r="GB105" s="24"/>
      <c r="GC105" s="24"/>
      <c r="GD105" s="24"/>
      <c r="GE105" s="24"/>
      <c r="GF105" s="24"/>
      <c r="GG105" s="24"/>
      <c r="GH105" s="24"/>
      <c r="GI105" s="24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</row>
    <row r="106" spans="1:274" s="27" customFormat="1" ht="12" hidden="1" customHeight="1" outlineLevel="1" x14ac:dyDescent="0.2">
      <c r="A106" s="344" t="s">
        <v>1120</v>
      </c>
      <c r="B106" s="345"/>
      <c r="C106" s="943"/>
      <c r="D106" s="943"/>
      <c r="E106" s="943"/>
      <c r="F106" s="943"/>
      <c r="G106" s="943"/>
      <c r="H106" s="345"/>
      <c r="I106" s="943"/>
      <c r="J106" s="943"/>
      <c r="K106" s="943"/>
      <c r="L106" s="943"/>
      <c r="M106" s="943"/>
      <c r="N106" s="345"/>
      <c r="O106" s="37"/>
      <c r="P106" s="37"/>
      <c r="Q106" s="37"/>
      <c r="R106" s="37"/>
      <c r="S106" s="37"/>
      <c r="T106" s="345"/>
      <c r="U106" s="943"/>
      <c r="V106" s="943"/>
      <c r="W106" s="943"/>
      <c r="X106" s="943"/>
      <c r="Y106" s="943"/>
      <c r="Z106" s="345"/>
      <c r="AA106" s="943"/>
      <c r="AB106" s="943"/>
      <c r="AC106" s="943"/>
      <c r="AD106" s="943"/>
      <c r="AE106" s="943"/>
      <c r="AF106" s="345"/>
      <c r="AG106" s="943"/>
      <c r="AH106" s="943"/>
      <c r="AI106" s="943"/>
      <c r="AJ106" s="943"/>
      <c r="AK106" s="943"/>
      <c r="AL106" s="943"/>
      <c r="AM106" s="943"/>
      <c r="AN106" s="943"/>
      <c r="AO106" s="943"/>
      <c r="AP106" s="943"/>
      <c r="AQ106" s="943"/>
      <c r="AR106" s="345"/>
      <c r="AS106" s="943"/>
      <c r="AT106" s="943"/>
      <c r="AU106" s="943"/>
      <c r="AV106" s="943"/>
      <c r="AW106" s="943"/>
      <c r="AX106" s="345"/>
      <c r="AY106" s="943"/>
      <c r="AZ106" s="943"/>
      <c r="BA106" s="943"/>
      <c r="BB106" s="943"/>
      <c r="BC106" s="943"/>
      <c r="BD106" s="345"/>
      <c r="BE106" s="943"/>
      <c r="BF106" s="943"/>
      <c r="BG106" s="943"/>
      <c r="BH106" s="943"/>
      <c r="BI106" s="943"/>
      <c r="BJ106" s="345"/>
      <c r="BK106" s="943"/>
      <c r="BL106" s="943"/>
      <c r="BM106" s="943"/>
      <c r="BN106" s="943"/>
      <c r="BO106" s="943"/>
      <c r="BP106" s="345"/>
      <c r="BQ106" s="943"/>
      <c r="BR106" s="943"/>
      <c r="BS106" s="943"/>
      <c r="BT106" s="943"/>
      <c r="BU106" s="37"/>
      <c r="BV106" s="345"/>
      <c r="BW106" s="941"/>
      <c r="BX106" s="941"/>
      <c r="BY106" s="941"/>
      <c r="BZ106" s="1445"/>
      <c r="CA106" s="37"/>
      <c r="CB106" s="345"/>
      <c r="CC106" s="1445"/>
      <c r="CD106" s="1445"/>
      <c r="CE106" s="1445"/>
      <c r="CF106" s="1445"/>
      <c r="CG106" s="557"/>
      <c r="CH106" s="345"/>
      <c r="CI106" s="1445"/>
      <c r="CJ106" s="1445"/>
      <c r="CK106" s="1445"/>
      <c r="CL106" s="1445"/>
      <c r="CM106" s="557"/>
      <c r="CN106" s="345"/>
      <c r="CO106" s="1445"/>
      <c r="CP106" s="1445"/>
      <c r="CQ106" s="1445"/>
      <c r="CR106" s="1445"/>
      <c r="CS106" s="557"/>
      <c r="CT106" s="345"/>
      <c r="CU106" s="1445"/>
      <c r="CV106" s="1445"/>
      <c r="CW106" s="1445"/>
      <c r="CX106" s="1445"/>
      <c r="CY106" s="557"/>
      <c r="CZ106" s="86"/>
      <c r="DA106" s="1445"/>
      <c r="DB106" s="1445"/>
      <c r="DC106" s="1445"/>
      <c r="DD106" s="941"/>
      <c r="DE106" s="557"/>
      <c r="DF106" s="345"/>
      <c r="DG106" s="1445"/>
      <c r="DH106" s="1445"/>
      <c r="DI106" s="1445"/>
      <c r="DJ106" s="941"/>
      <c r="DK106" s="557"/>
      <c r="DL106" s="345"/>
      <c r="DM106" s="943"/>
      <c r="DN106" s="943"/>
      <c r="DO106" s="943"/>
      <c r="DP106" s="943"/>
      <c r="DQ106" s="557"/>
      <c r="DR106" s="345"/>
      <c r="DS106" s="943"/>
      <c r="DT106" s="943"/>
      <c r="DU106" s="943"/>
      <c r="DV106" s="943"/>
      <c r="DW106" s="557"/>
      <c r="DX106" s="345"/>
      <c r="DY106" s="121"/>
      <c r="DZ106" s="121"/>
      <c r="EA106" s="121"/>
      <c r="EB106" s="121"/>
      <c r="EC106" s="557"/>
      <c r="ED106" s="345"/>
      <c r="EE106" s="943"/>
      <c r="EF106" s="121">
        <v>69.306666666666672</v>
      </c>
      <c r="EG106" s="121">
        <v>84.87</v>
      </c>
      <c r="EH106" s="121">
        <v>87.553333333333327</v>
      </c>
      <c r="EI106" s="557">
        <f>SUM(EE106:EH106)</f>
        <v>241.73000000000002</v>
      </c>
      <c r="EJ106" s="271"/>
      <c r="EK106" s="121">
        <v>85.713333333333324</v>
      </c>
      <c r="EL106" s="121">
        <v>14.030000000000001</v>
      </c>
      <c r="EM106" s="943"/>
      <c r="EN106" s="943"/>
      <c r="EO106" s="557">
        <f t="shared" si="88"/>
        <v>99.743333333333325</v>
      </c>
      <c r="EP106" s="345"/>
      <c r="EQ106" s="943"/>
      <c r="ER106" s="943"/>
      <c r="ES106" s="943"/>
      <c r="ET106" s="943"/>
      <c r="EU106" s="557">
        <f t="shared" si="89"/>
        <v>0</v>
      </c>
      <c r="EV106" s="345"/>
      <c r="EW106" s="943"/>
      <c r="EX106" s="943"/>
      <c r="EY106" s="943"/>
      <c r="EZ106" s="943"/>
      <c r="FA106" s="557">
        <f t="shared" si="90"/>
        <v>0</v>
      </c>
      <c r="FB106" s="345"/>
      <c r="FC106" s="943"/>
      <c r="FD106" s="943"/>
      <c r="FE106" s="943"/>
      <c r="FF106" s="943"/>
      <c r="FG106" s="557">
        <f t="shared" si="91"/>
        <v>0</v>
      </c>
      <c r="FH106" s="345"/>
      <c r="FI106" s="943"/>
      <c r="FJ106" s="943"/>
      <c r="FK106" s="943"/>
      <c r="FL106" s="943"/>
      <c r="FM106" s="557">
        <f t="shared" si="92"/>
        <v>0</v>
      </c>
      <c r="FQ106"/>
      <c r="FR106"/>
      <c r="FS106"/>
      <c r="FT106"/>
      <c r="FU106"/>
      <c r="FV106"/>
      <c r="GB106" s="24"/>
      <c r="GC106" s="24"/>
      <c r="GD106" s="24"/>
      <c r="GE106" s="24"/>
      <c r="GF106" s="24"/>
      <c r="GG106" s="24"/>
      <c r="GH106" s="24"/>
      <c r="GI106" s="24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</row>
    <row r="107" spans="1:274" s="27" customFormat="1" ht="12" hidden="1" customHeight="1" outlineLevel="1" x14ac:dyDescent="0.2">
      <c r="A107" s="344" t="s">
        <v>213</v>
      </c>
      <c r="B107" s="345"/>
      <c r="C107" s="943"/>
      <c r="D107" s="943"/>
      <c r="E107" s="943"/>
      <c r="F107" s="943"/>
      <c r="G107" s="943"/>
      <c r="H107" s="345"/>
      <c r="I107" s="943"/>
      <c r="J107" s="943"/>
      <c r="K107" s="943"/>
      <c r="L107" s="943"/>
      <c r="M107" s="943"/>
      <c r="N107" s="345"/>
      <c r="O107" s="37"/>
      <c r="P107" s="37"/>
      <c r="Q107" s="37"/>
      <c r="R107" s="37"/>
      <c r="S107" s="37"/>
      <c r="T107" s="345"/>
      <c r="U107" s="943"/>
      <c r="V107" s="943"/>
      <c r="W107" s="943"/>
      <c r="X107" s="943"/>
      <c r="Y107" s="943"/>
      <c r="Z107" s="345"/>
      <c r="AA107" s="943"/>
      <c r="AB107" s="943"/>
      <c r="AC107" s="943"/>
      <c r="AD107" s="943"/>
      <c r="AE107" s="943"/>
      <c r="AF107" s="345"/>
      <c r="AG107" s="943"/>
      <c r="AH107" s="943"/>
      <c r="AI107" s="943"/>
      <c r="AJ107" s="943"/>
      <c r="AK107" s="943"/>
      <c r="AL107" s="943"/>
      <c r="AM107" s="943"/>
      <c r="AN107" s="943"/>
      <c r="AO107" s="943"/>
      <c r="AP107" s="943"/>
      <c r="AQ107" s="943"/>
      <c r="AR107" s="345"/>
      <c r="AS107" s="943"/>
      <c r="AT107" s="943"/>
      <c r="AU107" s="943"/>
      <c r="AV107" s="943"/>
      <c r="AW107" s="943"/>
      <c r="AX107" s="345"/>
      <c r="AY107" s="943"/>
      <c r="AZ107" s="943"/>
      <c r="BA107" s="943"/>
      <c r="BB107" s="943"/>
      <c r="BC107" s="943"/>
      <c r="BD107" s="345"/>
      <c r="BE107" s="943"/>
      <c r="BF107" s="943"/>
      <c r="BG107" s="943"/>
      <c r="BH107" s="943"/>
      <c r="BI107" s="943"/>
      <c r="BJ107" s="345"/>
      <c r="BK107" s="943"/>
      <c r="BL107" s="943"/>
      <c r="BM107" s="943"/>
      <c r="BN107" s="943"/>
      <c r="BO107" s="943"/>
      <c r="BP107" s="345"/>
      <c r="BQ107" s="943"/>
      <c r="BR107" s="943"/>
      <c r="BS107" s="943"/>
      <c r="BT107" s="943"/>
      <c r="BU107" s="37"/>
      <c r="BV107" s="345"/>
      <c r="BW107" s="941"/>
      <c r="BX107" s="941"/>
      <c r="BY107" s="941"/>
      <c r="BZ107" s="1445"/>
      <c r="CA107" s="37"/>
      <c r="CB107" s="345"/>
      <c r="CC107" s="1445"/>
      <c r="CD107" s="1445"/>
      <c r="CE107" s="1445"/>
      <c r="CF107" s="1445"/>
      <c r="CG107" s="557"/>
      <c r="CH107" s="345"/>
      <c r="CI107" s="1445"/>
      <c r="CJ107" s="1445"/>
      <c r="CK107" s="1445"/>
      <c r="CL107" s="941"/>
      <c r="CM107" s="557"/>
      <c r="CN107" s="345"/>
      <c r="CO107" s="941"/>
      <c r="CP107" s="941"/>
      <c r="CQ107" s="941"/>
      <c r="CR107" s="941"/>
      <c r="CS107" s="557"/>
      <c r="CT107" s="345"/>
      <c r="CU107" s="941"/>
      <c r="CV107" s="941"/>
      <c r="CW107" s="941"/>
      <c r="CX107" s="941"/>
      <c r="CY107" s="557"/>
      <c r="CZ107" s="86"/>
      <c r="DA107" s="941"/>
      <c r="DB107" s="941"/>
      <c r="DC107" s="941"/>
      <c r="DD107" s="941"/>
      <c r="DE107" s="557">
        <f>SUM(DA107:DD107)</f>
        <v>0</v>
      </c>
      <c r="DF107" s="345"/>
      <c r="DG107" s="941"/>
      <c r="DH107" s="941"/>
      <c r="DI107" s="941"/>
      <c r="DJ107" s="941"/>
      <c r="DK107" s="557">
        <f>SUM(DG107:DJ107)</f>
        <v>0</v>
      </c>
      <c r="DL107" s="345"/>
      <c r="DM107" s="941"/>
      <c r="DN107" s="941"/>
      <c r="DO107" s="941"/>
      <c r="DP107" s="941"/>
      <c r="DQ107" s="557">
        <f>SUM(DM107:DP107)</f>
        <v>0</v>
      </c>
      <c r="DR107" s="345"/>
      <c r="DS107" s="941"/>
      <c r="DT107" s="941"/>
      <c r="DU107" s="941"/>
      <c r="DV107" s="941"/>
      <c r="DW107" s="557">
        <f t="shared" si="86"/>
        <v>0</v>
      </c>
      <c r="DX107" s="345"/>
      <c r="DY107" s="941"/>
      <c r="DZ107" s="941"/>
      <c r="EA107" s="941"/>
      <c r="EB107" s="941"/>
      <c r="EC107" s="557">
        <f t="shared" si="87"/>
        <v>0</v>
      </c>
      <c r="ED107" s="345"/>
      <c r="EE107" s="941"/>
      <c r="EF107" s="941"/>
      <c r="EG107" s="941"/>
      <c r="EH107" s="941"/>
      <c r="EI107" s="557">
        <f>SUM(EE107:EH107)</f>
        <v>0</v>
      </c>
      <c r="EJ107" s="345"/>
      <c r="EK107" s="941"/>
      <c r="EL107" s="941"/>
      <c r="EM107" s="941"/>
      <c r="EN107" s="941"/>
      <c r="EO107" s="557">
        <f t="shared" si="88"/>
        <v>0</v>
      </c>
      <c r="EP107" s="345"/>
      <c r="EQ107" s="941"/>
      <c r="ER107" s="941"/>
      <c r="ES107" s="941"/>
      <c r="ET107" s="941"/>
      <c r="EU107" s="557">
        <f t="shared" si="89"/>
        <v>0</v>
      </c>
      <c r="EV107" s="345"/>
      <c r="EW107" s="941"/>
      <c r="EX107" s="941"/>
      <c r="EY107" s="941"/>
      <c r="EZ107" s="941"/>
      <c r="FA107" s="557">
        <f t="shared" si="90"/>
        <v>0</v>
      </c>
      <c r="FB107" s="345"/>
      <c r="FC107" s="941"/>
      <c r="FD107" s="941"/>
      <c r="FE107" s="941"/>
      <c r="FF107" s="941"/>
      <c r="FG107" s="557">
        <f t="shared" si="91"/>
        <v>0</v>
      </c>
      <c r="FH107" s="345"/>
      <c r="FI107" s="941"/>
      <c r="FJ107" s="941"/>
      <c r="FK107" s="941"/>
      <c r="FL107" s="941"/>
      <c r="FM107" s="557">
        <f t="shared" si="92"/>
        <v>0</v>
      </c>
      <c r="FQ107"/>
      <c r="FR107"/>
      <c r="FS107"/>
      <c r="FT107"/>
      <c r="FU107"/>
      <c r="FV107"/>
      <c r="GB107" s="24"/>
      <c r="GC107" s="24"/>
      <c r="GD107" s="24"/>
      <c r="GE107" s="24"/>
      <c r="GF107" s="24"/>
      <c r="GG107" s="24"/>
      <c r="GH107" s="24"/>
      <c r="GI107" s="24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</row>
    <row r="108" spans="1:274" s="27" customFormat="1" hidden="1" outlineLevel="1" x14ac:dyDescent="0.2">
      <c r="A108" s="1493" t="s">
        <v>977</v>
      </c>
      <c r="B108" s="1490"/>
      <c r="C108" s="1494"/>
      <c r="D108" s="1494"/>
      <c r="E108" s="1494"/>
      <c r="F108" s="1494"/>
      <c r="G108" s="1494"/>
      <c r="H108" s="1490"/>
      <c r="I108" s="1494"/>
      <c r="J108" s="1494"/>
      <c r="K108" s="1494"/>
      <c r="L108" s="1494"/>
      <c r="M108" s="1494"/>
      <c r="N108" s="1490"/>
      <c r="O108" s="1494"/>
      <c r="P108" s="1494"/>
      <c r="Q108" s="1494"/>
      <c r="R108" s="1494"/>
      <c r="S108" s="1494"/>
      <c r="T108" s="1490"/>
      <c r="U108" s="1494"/>
      <c r="V108" s="1494"/>
      <c r="W108" s="1494"/>
      <c r="X108" s="1494"/>
      <c r="Y108" s="1494"/>
      <c r="Z108" s="1490"/>
      <c r="AA108" s="1490"/>
      <c r="AB108" s="1490"/>
      <c r="AC108" s="1490"/>
      <c r="AD108" s="1490"/>
      <c r="AE108" s="1490"/>
      <c r="AF108" s="1490"/>
      <c r="AG108" s="1490"/>
      <c r="AH108" s="1490"/>
      <c r="AI108" s="1490"/>
      <c r="AJ108" s="1490"/>
      <c r="AK108" s="1490"/>
      <c r="AL108" s="1490"/>
      <c r="AM108" s="1490"/>
      <c r="AN108" s="1490"/>
      <c r="AO108" s="1490"/>
      <c r="AP108" s="1490"/>
      <c r="AQ108" s="1490"/>
      <c r="AR108" s="1490"/>
      <c r="AS108" s="1490"/>
      <c r="AT108" s="1490"/>
      <c r="AU108" s="1490"/>
      <c r="AV108" s="1490"/>
      <c r="AW108" s="1490"/>
      <c r="AX108" s="1490"/>
      <c r="AY108" s="1490"/>
      <c r="AZ108" s="1490"/>
      <c r="BA108" s="1490"/>
      <c r="BB108" s="1490"/>
      <c r="BC108" s="1490"/>
      <c r="BD108" s="1490"/>
      <c r="BE108" s="1490"/>
      <c r="BF108" s="1490"/>
      <c r="BG108" s="1490"/>
      <c r="BH108" s="1490"/>
      <c r="BI108" s="1490"/>
      <c r="BJ108" s="1490"/>
      <c r="BK108" s="1490">
        <f>BK100-SUM(BK102:BK107)</f>
        <v>-0.16122783584120937</v>
      </c>
      <c r="BL108" s="1490">
        <f>BL100-SUM(BL102:BL107)</f>
        <v>-0.11683346948817341</v>
      </c>
      <c r="BM108" s="1490">
        <f>BM100-SUM(BM102:BM107)</f>
        <v>-0.14133083538667268</v>
      </c>
      <c r="BN108" s="1490">
        <f>BN100-SUM(BN102:BN107)</f>
        <v>-0.24351770319870969</v>
      </c>
      <c r="BO108" s="1490"/>
      <c r="BP108" s="1490"/>
      <c r="BQ108" s="1490"/>
      <c r="BR108" s="1490"/>
      <c r="BS108" s="1490"/>
      <c r="BT108" s="1490"/>
      <c r="BU108" s="1490"/>
      <c r="BV108" s="1490"/>
      <c r="BW108" s="1490"/>
      <c r="BX108" s="1490"/>
      <c r="BY108" s="1490"/>
      <c r="BZ108" s="1490"/>
      <c r="CA108" s="1490"/>
      <c r="CB108" s="1490"/>
      <c r="CC108" s="1490"/>
      <c r="CD108" s="1490"/>
      <c r="CE108" s="1490"/>
      <c r="CF108" s="1490"/>
      <c r="CG108" s="1498"/>
      <c r="CH108" s="1490"/>
      <c r="CI108" s="1490"/>
      <c r="CJ108" s="1490"/>
      <c r="CK108" s="1490"/>
      <c r="CL108" s="1490"/>
      <c r="CM108" s="1498"/>
      <c r="CN108" s="1490"/>
      <c r="CO108" s="1490"/>
      <c r="CP108" s="1490"/>
      <c r="CQ108" s="1490"/>
      <c r="CR108" s="1490"/>
      <c r="CS108" s="1498"/>
      <c r="CT108" s="1490"/>
      <c r="CU108" s="1490"/>
      <c r="CV108" s="1490"/>
      <c r="CW108" s="1490"/>
      <c r="CX108" s="1490"/>
      <c r="CY108" s="1498"/>
      <c r="CZ108" s="1491"/>
      <c r="DA108" s="1490"/>
      <c r="DB108" s="1490"/>
      <c r="DC108" s="1490">
        <f>DC100-SUM(DC101:DC107)</f>
        <v>0</v>
      </c>
      <c r="DD108" s="1490">
        <f>DD100-SUM(DD101:DD107)</f>
        <v>0</v>
      </c>
      <c r="DE108" s="1498">
        <f>DE100-SUM(DE101:DE107)</f>
        <v>0</v>
      </c>
      <c r="DF108" s="1490"/>
      <c r="DG108" s="1490">
        <f>DG100-SUM(DG101:DG107)</f>
        <v>0</v>
      </c>
      <c r="DH108" s="1490">
        <f>DH100-SUM(DH101:DH107)</f>
        <v>0</v>
      </c>
      <c r="DI108" s="1490">
        <f>DI100-SUM(DI101:DI107)</f>
        <v>0</v>
      </c>
      <c r="DJ108" s="1490">
        <f>DJ100-SUM(DJ101:DJ107)</f>
        <v>1157</v>
      </c>
      <c r="DK108" s="1498">
        <f>DK100-SUM(DK101:DK107)</f>
        <v>1157</v>
      </c>
      <c r="DL108" s="1490"/>
      <c r="DM108" s="1490">
        <f>DM100-SUM(DM101:DM107)</f>
        <v>1024.2</v>
      </c>
      <c r="DN108" s="1490">
        <f>DN100-SUM(DN101:DN107)</f>
        <v>943</v>
      </c>
      <c r="DO108" s="1490">
        <f>DO100-SUM(DO101:DO107)</f>
        <v>858.6</v>
      </c>
      <c r="DP108" s="1490">
        <f>DP100-SUM(DP101:DP107)</f>
        <v>966.2</v>
      </c>
      <c r="DQ108" s="1498">
        <f>DQ100-SUM(DQ101:DQ107)</f>
        <v>3792</v>
      </c>
      <c r="DR108" s="1490"/>
      <c r="DS108" s="1490">
        <f>DS100-SUM(DS101:DS107)</f>
        <v>775</v>
      </c>
      <c r="DT108" s="1490">
        <f>DT100-SUM(DT101:DT107)</f>
        <v>724</v>
      </c>
      <c r="DU108" s="1490">
        <f>DU100-SUM(DU101:DU107)</f>
        <v>660</v>
      </c>
      <c r="DV108" s="1490">
        <f>DV100-SUM(DV101:DV107)</f>
        <v>824.88</v>
      </c>
      <c r="DW108" s="1498">
        <f>DW100-SUM(DW101:DW107)</f>
        <v>2983.88</v>
      </c>
      <c r="DX108" s="1490"/>
      <c r="DY108" s="1490">
        <f>DY100-SUM(DY101:DY107)</f>
        <v>619.70000000000005</v>
      </c>
      <c r="DZ108" s="1490">
        <f>DZ100-SUM(DZ101:DZ107)</f>
        <v>658</v>
      </c>
      <c r="EA108" s="1490">
        <f>EA100-SUM(EA101:EA107)</f>
        <v>677.77750000000003</v>
      </c>
      <c r="EB108" s="1490">
        <f>EB100-SUM(EB101:EB107)</f>
        <v>834.42250000000001</v>
      </c>
      <c r="EC108" s="1498">
        <f>EC100-SUM(EC101:EC107)</f>
        <v>2789.9</v>
      </c>
      <c r="ED108" s="1490"/>
      <c r="EE108" s="1490">
        <f>EE100-SUM(EE101:EE107)</f>
        <v>578</v>
      </c>
      <c r="EF108" s="1490">
        <f>EF100-SUM(EF101:EF107)</f>
        <v>647.69333333333338</v>
      </c>
      <c r="EG108" s="1490">
        <f>EG100-SUM(EG101:EG107)</f>
        <v>627.13</v>
      </c>
      <c r="EH108" s="1490">
        <f>EH100-SUM(EH101:EH107)</f>
        <v>730.44666666666672</v>
      </c>
      <c r="EI108" s="1498">
        <f>EI100-SUM(EI101:EI107)</f>
        <v>2583.27</v>
      </c>
      <c r="EJ108" s="1490"/>
      <c r="EK108" s="1490">
        <f>EK100-SUM(EK101:EK107)</f>
        <v>484.28666666666669</v>
      </c>
      <c r="EL108" s="1490">
        <f>EL100-SUM(EL101:EL107)</f>
        <v>558.97</v>
      </c>
      <c r="EM108" s="1490">
        <f>EM100-SUM(EM101:EM107)</f>
        <v>604</v>
      </c>
      <c r="EN108" s="1490">
        <f>EN100-SUM(EN101:EN107)</f>
        <v>725</v>
      </c>
      <c r="EO108" s="1498">
        <f>EO100-SUM(EO101:EO107)</f>
        <v>2372.2566666666667</v>
      </c>
      <c r="EP108" s="1490"/>
      <c r="EQ108" s="1490">
        <f>EQ100-SUM(EQ101:EQ107)</f>
        <v>462</v>
      </c>
      <c r="ER108" s="1490">
        <f>ER100-SUM(ER101:ER107)</f>
        <v>497</v>
      </c>
      <c r="ES108" s="1490">
        <f>ES100-SUM(ES101:ES107)</f>
        <v>520</v>
      </c>
      <c r="ET108" s="1490">
        <f>ET100-SUM(ET101:ET107)</f>
        <v>597</v>
      </c>
      <c r="EU108" s="1498">
        <f>EU100-SUM(EU101:EU107)</f>
        <v>2076</v>
      </c>
      <c r="EV108" s="1490"/>
      <c r="EW108" s="1490">
        <f>EW100-SUM(EW101:EW107)</f>
        <v>388.08</v>
      </c>
      <c r="EX108" s="1490">
        <f>EX100-SUM(EX101:EX107)</f>
        <v>417.47999999999996</v>
      </c>
      <c r="EY108" s="1490">
        <f>EY100-SUM(EY101:EY107)</f>
        <v>457.6</v>
      </c>
      <c r="EZ108" s="1490">
        <f>EZ100-SUM(EZ101:EZ107)</f>
        <v>519.39</v>
      </c>
      <c r="FA108" s="1498">
        <f>FA100-SUM(FA101:FA107)</f>
        <v>1782.5499999999997</v>
      </c>
      <c r="FB108" s="1490"/>
      <c r="FC108" s="1490">
        <f>FC100-SUM(FC101:FC107)</f>
        <v>329.86799999999999</v>
      </c>
      <c r="FD108" s="1490">
        <f>FD100-SUM(FD101:FD107)</f>
        <v>354.85799999999995</v>
      </c>
      <c r="FE108" s="1490">
        <f>FE100-SUM(FE101:FE107)</f>
        <v>388.96000000000004</v>
      </c>
      <c r="FF108" s="1490">
        <f>FF100-SUM(FF101:FF107)</f>
        <v>441.48149999999998</v>
      </c>
      <c r="FG108" s="1498">
        <f>FG100-SUM(FG101:FG107)</f>
        <v>1515.1675</v>
      </c>
      <c r="FH108" s="1490"/>
      <c r="FI108" s="1490">
        <f>FI100-SUM(FI101:FI107)</f>
        <v>280.38779999999997</v>
      </c>
      <c r="FJ108" s="1490">
        <f>FJ100-SUM(FJ101:FJ107)</f>
        <v>301.62929999999994</v>
      </c>
      <c r="FK108" s="1490">
        <f>FK100-SUM(FK101:FK107)</f>
        <v>330.61600000000004</v>
      </c>
      <c r="FL108" s="1490">
        <f>FL100-SUM(FL101:FL107)</f>
        <v>375.259275</v>
      </c>
      <c r="FM108" s="1498">
        <f>FM100-SUM(FM101:FM107)</f>
        <v>1287.8923749999999</v>
      </c>
      <c r="FQ108"/>
      <c r="FR108"/>
      <c r="FS108"/>
      <c r="FT108"/>
      <c r="FU108"/>
      <c r="FV108"/>
      <c r="GB108" s="24"/>
      <c r="GC108" s="23" t="s">
        <v>92</v>
      </c>
      <c r="GD108" s="24"/>
      <c r="GE108" s="24"/>
      <c r="GF108" s="24"/>
      <c r="GG108" s="24"/>
      <c r="GH108" s="24"/>
      <c r="GI108" s="24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</row>
    <row r="109" spans="1:274" s="27" customFormat="1" hidden="1" outlineLevel="1" x14ac:dyDescent="0.2">
      <c r="A109" s="635" t="s">
        <v>668</v>
      </c>
      <c r="B109" s="137"/>
      <c r="C109" s="638"/>
      <c r="D109" s="638"/>
      <c r="E109" s="638"/>
      <c r="F109" s="638"/>
      <c r="G109" s="638"/>
      <c r="H109" s="137"/>
      <c r="I109" s="638"/>
      <c r="J109" s="638"/>
      <c r="K109" s="638"/>
      <c r="L109" s="638"/>
      <c r="M109" s="638"/>
      <c r="N109" s="137"/>
      <c r="O109" s="638"/>
      <c r="P109" s="638"/>
      <c r="Q109" s="638"/>
      <c r="R109" s="638"/>
      <c r="S109" s="638"/>
      <c r="T109" s="137"/>
      <c r="U109" s="638"/>
      <c r="V109" s="638"/>
      <c r="W109" s="638"/>
      <c r="X109" s="638"/>
      <c r="Y109" s="638"/>
      <c r="Z109" s="137"/>
      <c r="AA109" s="137"/>
      <c r="AB109" s="137"/>
      <c r="AC109" s="137"/>
      <c r="AD109" s="137"/>
      <c r="AE109" s="137"/>
      <c r="AF109" s="137"/>
      <c r="AG109" s="137"/>
      <c r="AH109" s="137"/>
      <c r="AI109" s="137"/>
      <c r="AJ109" s="137"/>
      <c r="AK109" s="137"/>
      <c r="AL109" s="137"/>
      <c r="AM109" s="137"/>
      <c r="AN109" s="137"/>
      <c r="AO109" s="137"/>
      <c r="AP109" s="137"/>
      <c r="AQ109" s="137"/>
      <c r="AR109" s="137"/>
      <c r="AS109" s="137"/>
      <c r="AT109" s="137"/>
      <c r="AU109" s="137"/>
      <c r="AV109" s="137"/>
      <c r="AW109" s="137"/>
      <c r="AX109" s="137"/>
      <c r="AY109" s="137"/>
      <c r="AZ109" s="137"/>
      <c r="BA109" s="137"/>
      <c r="BB109" s="137"/>
      <c r="BC109" s="137"/>
      <c r="BD109" s="137"/>
      <c r="BE109" s="137"/>
      <c r="BF109" s="137"/>
      <c r="BG109" s="137"/>
      <c r="BH109" s="137"/>
      <c r="BI109" s="137"/>
      <c r="BJ109" s="137"/>
      <c r="BK109" s="137"/>
      <c r="BL109" s="137"/>
      <c r="BM109" s="137"/>
      <c r="BN109" s="137"/>
      <c r="BO109" s="137"/>
      <c r="BP109" s="137"/>
      <c r="BQ109" s="157"/>
      <c r="BR109" s="157"/>
      <c r="BS109" s="157"/>
      <c r="BT109" s="157"/>
      <c r="BU109" s="157"/>
      <c r="BV109" s="137"/>
      <c r="BW109" s="157"/>
      <c r="BX109" s="157"/>
      <c r="BY109" s="157"/>
      <c r="BZ109" s="157"/>
      <c r="CA109" s="157"/>
      <c r="CB109" s="137"/>
      <c r="CC109" s="157"/>
      <c r="CD109" s="157"/>
      <c r="CE109" s="157"/>
      <c r="CF109" s="157"/>
      <c r="CG109" s="639"/>
      <c r="CH109" s="137"/>
      <c r="CI109" s="157"/>
      <c r="CJ109" s="157"/>
      <c r="CK109" s="157"/>
      <c r="CL109" s="157"/>
      <c r="CM109" s="639"/>
      <c r="CN109" s="137"/>
      <c r="CO109" s="157"/>
      <c r="CP109" s="157"/>
      <c r="CQ109" s="157"/>
      <c r="CR109" s="157"/>
      <c r="CS109" s="639"/>
      <c r="CT109" s="137"/>
      <c r="CU109" s="157"/>
      <c r="CV109" s="157"/>
      <c r="CW109" s="157"/>
      <c r="CX109" s="157"/>
      <c r="CY109" s="639"/>
      <c r="CZ109" s="157"/>
      <c r="DA109" s="157"/>
      <c r="DB109" s="157"/>
      <c r="DC109" s="157">
        <v>0</v>
      </c>
      <c r="DD109" s="157">
        <v>0</v>
      </c>
      <c r="DE109" s="639">
        <f>DE62</f>
        <v>0</v>
      </c>
      <c r="DF109" s="137"/>
      <c r="DG109" s="157">
        <f>DG62</f>
        <v>0</v>
      </c>
      <c r="DH109" s="157">
        <f>DH62</f>
        <v>0</v>
      </c>
      <c r="DI109" s="157">
        <v>0</v>
      </c>
      <c r="DJ109" s="157">
        <v>0.05</v>
      </c>
      <c r="DK109" s="639">
        <v>0</v>
      </c>
      <c r="DL109" s="137"/>
      <c r="DM109" s="157">
        <v>0.06</v>
      </c>
      <c r="DN109" s="157">
        <v>0</v>
      </c>
      <c r="DO109" s="157">
        <f>DO16</f>
        <v>-9.0243357214465636E-3</v>
      </c>
      <c r="DP109" s="157">
        <f>DP16</f>
        <v>-4.2784660579438416E-2</v>
      </c>
      <c r="DQ109" s="639">
        <v>0</v>
      </c>
      <c r="DR109" s="137"/>
      <c r="DS109" s="157">
        <f>DS16</f>
        <v>-4.7624518811688055E-2</v>
      </c>
      <c r="DT109" s="157">
        <f>DT16</f>
        <v>-1.2166413251415431E-2</v>
      </c>
      <c r="DU109" s="157">
        <v>0.01</v>
      </c>
      <c r="DV109" s="157">
        <f>DV16</f>
        <v>-2.356124567661344E-2</v>
      </c>
      <c r="DW109" s="639">
        <f>DW16</f>
        <v>-2.4500271640664151E-2</v>
      </c>
      <c r="DX109" s="137"/>
      <c r="DY109" s="157">
        <f>DY16</f>
        <v>-2.0998685145519058E-2</v>
      </c>
      <c r="DZ109" s="157">
        <f>DZ16</f>
        <v>-1.4E-2</v>
      </c>
      <c r="EA109" s="157">
        <f>EA16</f>
        <v>-1.4066029152205228E-2</v>
      </c>
      <c r="EB109" s="157">
        <f>EB16</f>
        <v>0</v>
      </c>
      <c r="EC109" s="639">
        <f>EC16</f>
        <v>-1.2022028346011737E-2</v>
      </c>
      <c r="ED109" s="137"/>
      <c r="EE109" s="157">
        <v>0</v>
      </c>
      <c r="EF109" s="157">
        <v>0</v>
      </c>
      <c r="EG109" s="157">
        <v>0</v>
      </c>
      <c r="EH109" s="157">
        <v>0</v>
      </c>
      <c r="EI109" s="639">
        <v>0</v>
      </c>
      <c r="EJ109" s="137"/>
      <c r="EK109" s="157">
        <v>0</v>
      </c>
      <c r="EL109" s="157">
        <v>0</v>
      </c>
      <c r="EM109" s="157">
        <v>0</v>
      </c>
      <c r="EN109" s="157">
        <v>0</v>
      </c>
      <c r="EO109" s="639">
        <v>0</v>
      </c>
      <c r="EP109" s="137"/>
      <c r="EQ109" s="157">
        <v>0</v>
      </c>
      <c r="ER109" s="157">
        <v>0</v>
      </c>
      <c r="ES109" s="157">
        <v>0</v>
      </c>
      <c r="ET109" s="157">
        <v>0</v>
      </c>
      <c r="EU109" s="639">
        <v>0</v>
      </c>
      <c r="EV109" s="137"/>
      <c r="EW109" s="157">
        <v>0</v>
      </c>
      <c r="EX109" s="157">
        <v>0</v>
      </c>
      <c r="EY109" s="157">
        <v>0</v>
      </c>
      <c r="EZ109" s="157">
        <v>0</v>
      </c>
      <c r="FA109" s="639">
        <v>0</v>
      </c>
      <c r="FB109" s="137"/>
      <c r="FC109" s="157">
        <v>0</v>
      </c>
      <c r="FD109" s="157">
        <v>0</v>
      </c>
      <c r="FE109" s="157">
        <v>0</v>
      </c>
      <c r="FF109" s="157">
        <v>0</v>
      </c>
      <c r="FG109" s="639">
        <v>0</v>
      </c>
      <c r="FH109" s="137"/>
      <c r="FI109" s="157">
        <v>0</v>
      </c>
      <c r="FJ109" s="157">
        <v>0</v>
      </c>
      <c r="FK109" s="157">
        <v>0</v>
      </c>
      <c r="FL109" s="157">
        <v>0</v>
      </c>
      <c r="FM109" s="639">
        <v>0</v>
      </c>
      <c r="FQ109"/>
      <c r="FR109"/>
      <c r="FS109"/>
      <c r="FT109"/>
      <c r="FU109"/>
      <c r="FV109"/>
      <c r="GB109" s="24"/>
      <c r="GC109" s="24" t="s">
        <v>157</v>
      </c>
      <c r="GD109" s="24">
        <v>2</v>
      </c>
      <c r="GE109" s="24"/>
      <c r="GF109" s="24"/>
      <c r="GG109" s="24"/>
      <c r="GH109" s="24"/>
      <c r="GI109" s="24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</row>
    <row r="110" spans="1:274" s="27" customFormat="1" collapsed="1" x14ac:dyDescent="0.2">
      <c r="A110" s="1228" t="s">
        <v>321</v>
      </c>
      <c r="B110" s="1422"/>
      <c r="C110" s="1423"/>
      <c r="D110" s="1423"/>
      <c r="E110" s="1423"/>
      <c r="F110" s="1423"/>
      <c r="G110" s="1423"/>
      <c r="H110" s="1422"/>
      <c r="I110" s="1423"/>
      <c r="J110" s="1423"/>
      <c r="K110" s="1423"/>
      <c r="L110" s="1423"/>
      <c r="M110" s="1423"/>
      <c r="N110" s="1422"/>
      <c r="O110" s="1423"/>
      <c r="P110" s="1423"/>
      <c r="Q110" s="1423"/>
      <c r="R110" s="1423"/>
      <c r="S110" s="1423"/>
      <c r="T110" s="1422"/>
      <c r="U110" s="1423"/>
      <c r="V110" s="1423"/>
      <c r="W110" s="1423"/>
      <c r="X110" s="1423"/>
      <c r="Y110" s="1423"/>
      <c r="Z110" s="1422"/>
      <c r="AA110" s="1424"/>
      <c r="AB110" s="1424"/>
      <c r="AC110" s="1424"/>
      <c r="AD110" s="1424"/>
      <c r="AE110" s="1424"/>
      <c r="AF110" s="1422"/>
      <c r="AG110" s="1424"/>
      <c r="AH110" s="1424"/>
      <c r="AI110" s="1424"/>
      <c r="AJ110" s="1424"/>
      <c r="AK110" s="1424"/>
      <c r="AL110" s="1422"/>
      <c r="AM110" s="1424"/>
      <c r="AN110" s="1424"/>
      <c r="AO110" s="1424"/>
      <c r="AP110" s="1424"/>
      <c r="AQ110" s="1424"/>
      <c r="AR110" s="1422"/>
      <c r="AS110" s="1424"/>
      <c r="AT110" s="1424"/>
      <c r="AU110" s="1424"/>
      <c r="AV110" s="1424"/>
      <c r="AW110" s="1424"/>
      <c r="AX110" s="1422"/>
      <c r="AY110" s="1424"/>
      <c r="AZ110" s="1424"/>
      <c r="BA110" s="1424"/>
      <c r="BB110" s="1424"/>
      <c r="BC110" s="1424"/>
      <c r="BD110" s="1422"/>
      <c r="BE110" s="1424"/>
      <c r="BF110" s="1424"/>
      <c r="BG110" s="1424"/>
      <c r="BH110" s="1424"/>
      <c r="BI110" s="1424"/>
      <c r="BJ110" s="1422"/>
      <c r="BK110" s="1424"/>
      <c r="BL110" s="1424"/>
      <c r="BM110" s="1424"/>
      <c r="BN110" s="1424"/>
      <c r="BO110" s="1424"/>
      <c r="BP110" s="1422"/>
      <c r="BQ110" s="1424"/>
      <c r="BR110" s="1424"/>
      <c r="BS110" s="1424"/>
      <c r="BT110" s="1424"/>
      <c r="BU110" s="1424"/>
      <c r="BV110" s="1422"/>
      <c r="BW110" s="1424"/>
      <c r="BX110" s="1424"/>
      <c r="BY110" s="1424"/>
      <c r="BZ110" s="1424"/>
      <c r="CA110" s="1424"/>
      <c r="CB110" s="1422"/>
      <c r="CC110" s="1424"/>
      <c r="CD110" s="1424"/>
      <c r="CE110" s="1424"/>
      <c r="CF110" s="1424"/>
      <c r="CG110" s="1425"/>
      <c r="CH110" s="1422"/>
      <c r="CI110" s="1424"/>
      <c r="CJ110" s="1424"/>
      <c r="CK110" s="1424"/>
      <c r="CL110" s="1424"/>
      <c r="CM110" s="1425"/>
      <c r="CN110" s="1422"/>
      <c r="CO110" s="1424"/>
      <c r="CP110" s="1424"/>
      <c r="CQ110" s="1424"/>
      <c r="CR110" s="1424"/>
      <c r="CS110" s="1425"/>
      <c r="CT110" s="1422"/>
      <c r="CU110" s="1424"/>
      <c r="CV110" s="1424"/>
      <c r="CW110" s="1424"/>
      <c r="CX110" s="1424"/>
      <c r="CY110" s="1426"/>
      <c r="CZ110" s="1424"/>
      <c r="DA110" s="1424"/>
      <c r="DB110" s="1424"/>
      <c r="DC110" s="1424"/>
      <c r="DD110" s="1424"/>
      <c r="DE110" s="1426"/>
      <c r="DF110" s="1422"/>
      <c r="DG110" s="1424"/>
      <c r="DH110" s="1424"/>
      <c r="DI110" s="1424"/>
      <c r="DJ110" s="1424">
        <f>(DJ108/DD100-1)-DJ109</f>
        <v>-0.11163828061638277</v>
      </c>
      <c r="DK110" s="1426">
        <f>(DK108/DE100-1)-DK109</f>
        <v>-0.23173970783532538</v>
      </c>
      <c r="DL110" s="1422"/>
      <c r="DM110" s="1424">
        <f>(DM108/DG100-1)-DM109</f>
        <v>-0.11078776645041705</v>
      </c>
      <c r="DN110" s="1424">
        <f>(DN108/DH100-1)-DN109</f>
        <v>-0.1519784172661871</v>
      </c>
      <c r="DO110" s="1424">
        <f>(DO108/DI100-1)-DO109</f>
        <v>-0.16141044688724904</v>
      </c>
      <c r="DP110" s="1424">
        <f>(DP108/DJ100-1)-DP109</f>
        <v>-0.12212458747587707</v>
      </c>
      <c r="DQ110" s="1426">
        <f>(DQ108/DK100-1)-DQ109</f>
        <v>-0.13483915126625601</v>
      </c>
      <c r="DR110" s="1424"/>
      <c r="DS110" s="1424">
        <f>(DS108/DM100-1)-DS109</f>
        <v>-0.19921707496868124</v>
      </c>
      <c r="DT110" s="1424">
        <f>(DT108/DN100-1)-DT109</f>
        <v>-0.2281273957727189</v>
      </c>
      <c r="DU110" s="1424">
        <f>(DU108/DO100-1)-DU109</f>
        <v>-0.25050632911392401</v>
      </c>
      <c r="DV110" s="1424">
        <f>(DV108/DP100-1)-DV109</f>
        <v>-0.13213988021898537</v>
      </c>
      <c r="DW110" s="1426">
        <f>(DW108/DQ100-1)-DW109</f>
        <v>-0.19601174507824914</v>
      </c>
      <c r="DX110" s="1424"/>
      <c r="DY110" s="1424">
        <f>(DY108/DS100-1)-DY109</f>
        <v>-0.18349425452071966</v>
      </c>
      <c r="DZ110" s="1424">
        <f>(DZ108/DT100-1)-DZ109</f>
        <v>-8.9542234332425044E-2</v>
      </c>
      <c r="EA110" s="1424">
        <f>(EA108/DU100-1)-EA109</f>
        <v>2.4166625277391551E-2</v>
      </c>
      <c r="EB110" s="1424">
        <f>(EB108/DV100-1)-EB109</f>
        <v>-1.7170200235571254E-2</v>
      </c>
      <c r="EC110" s="1426">
        <f>(EC108/DW100-1)-EC109</f>
        <v>-6.8129636672122129E-2</v>
      </c>
      <c r="ED110" s="1427"/>
      <c r="EE110" s="1424">
        <f>(EE108/DY100-1)-EE109</f>
        <v>-0.13602391629297461</v>
      </c>
      <c r="EF110" s="1424">
        <f>(EF108/DZ100-1)-EF109</f>
        <v>-9.2866479925303391E-2</v>
      </c>
      <c r="EG110" s="1424">
        <f>(EG108/EA100-1)-EG109</f>
        <v>-0.13499310344827586</v>
      </c>
      <c r="EH110" s="1424">
        <f>(EH108/EB100-1)-EH109</f>
        <v>-0.16040613026819917</v>
      </c>
      <c r="EI110" s="1426">
        <f>(EI108/EC100-1)-EI109</f>
        <v>-0.13254869039623907</v>
      </c>
      <c r="EJ110" s="1428"/>
      <c r="EK110" s="1424">
        <f>(EK108/EE100-1)-EK109</f>
        <v>-0.1621337946943483</v>
      </c>
      <c r="EL110" s="1424">
        <f>(EL108/EF100-1)-EL109</f>
        <v>-0.22040446304044625</v>
      </c>
      <c r="EM110" s="1424">
        <f>(EM108/EG100-1)-EM109</f>
        <v>-0.151685393258427</v>
      </c>
      <c r="EN110" s="1424">
        <f>(EN108/EH100-1)-EN109</f>
        <v>-0.11369193154034229</v>
      </c>
      <c r="EO110" s="1426">
        <f>(EO108/EI100-1)-EO109</f>
        <v>-0.16026312684365784</v>
      </c>
      <c r="EP110" s="1428"/>
      <c r="EQ110" s="1761">
        <f>(EQ108/EK100-1)-EQ109</f>
        <v>-0.18947368421052635</v>
      </c>
      <c r="ER110" s="1761">
        <f>(ER108/EL100-1)-ER109</f>
        <v>-0.13263525305410118</v>
      </c>
      <c r="ES110" s="1761">
        <f>(ES108/EM100-1)-ES109</f>
        <v>-0.13907284768211925</v>
      </c>
      <c r="ET110" s="1761">
        <f>(ET108/EN100-1)-ET109</f>
        <v>-0.17655172413793108</v>
      </c>
      <c r="EU110" s="1762">
        <f>(EU108/EO100-1)-EU109</f>
        <v>-0.16019417475728159</v>
      </c>
      <c r="EV110" s="1428"/>
      <c r="EW110" s="1761">
        <f>(EW108/EQ100-1)-EW109</f>
        <v>-0.16000000000000003</v>
      </c>
      <c r="EX110" s="1761">
        <f>(EX108/ER100-1)-EX109</f>
        <v>-0.16000000000000003</v>
      </c>
      <c r="EY110" s="1761">
        <f>(EY108/ES100-1)-EY109</f>
        <v>-0.12</v>
      </c>
      <c r="EZ110" s="1761">
        <f>(EZ108/ET100-1)-EZ109</f>
        <v>-0.13</v>
      </c>
      <c r="FA110" s="1762">
        <f>(FA108/EU100-1)-FA109</f>
        <v>-0.14135356454720627</v>
      </c>
      <c r="FB110" s="1428"/>
      <c r="FC110" s="1761">
        <f>(FC108/EW100-1)-FC109</f>
        <v>-0.15000000000000002</v>
      </c>
      <c r="FD110" s="1761">
        <f>(FD108/EX100-1)-FD109</f>
        <v>-0.15000000000000002</v>
      </c>
      <c r="FE110" s="1761">
        <f>(FE108/EY100-1)-FE109</f>
        <v>-0.14999999999999991</v>
      </c>
      <c r="FF110" s="1761">
        <f>(FF108/EZ100-1)-FF109</f>
        <v>-0.15000000000000002</v>
      </c>
      <c r="FG110" s="1762">
        <f>(FG108/FA100-1)-FG109</f>
        <v>-0.14999999999999991</v>
      </c>
      <c r="FH110" s="1428"/>
      <c r="FI110" s="1761">
        <f>(FI108/FC100-1)-FI109</f>
        <v>-0.15000000000000002</v>
      </c>
      <c r="FJ110" s="1761">
        <f>(FJ108/FD100-1)-FJ109</f>
        <v>-0.15000000000000002</v>
      </c>
      <c r="FK110" s="1761">
        <f>(FK108/FE100-1)-FK109</f>
        <v>-0.15000000000000002</v>
      </c>
      <c r="FL110" s="1761">
        <f>(FL108/FF100-1)-FL109</f>
        <v>-0.14999999999999991</v>
      </c>
      <c r="FM110" s="1762">
        <f>(FM108/FG100-1)-FM109</f>
        <v>-0.15000000000000002</v>
      </c>
      <c r="FQ110"/>
      <c r="FR110"/>
      <c r="FS110"/>
      <c r="FT110"/>
      <c r="FU110"/>
      <c r="FV110"/>
      <c r="GB110" s="24"/>
      <c r="GC110" s="24"/>
      <c r="GD110" s="24"/>
      <c r="GE110" s="24"/>
      <c r="GF110" s="24"/>
      <c r="GG110" s="24"/>
      <c r="GH110" s="24"/>
      <c r="GI110" s="24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</row>
    <row r="111" spans="1:274" s="28" customFormat="1" ht="10.5" customHeight="1" x14ac:dyDescent="0.2">
      <c r="A111" s="18"/>
      <c r="CG111" s="416"/>
      <c r="CK111" s="33"/>
      <c r="CL111" s="33"/>
      <c r="CM111" s="416"/>
      <c r="CO111" s="33"/>
      <c r="CP111" s="33"/>
      <c r="CQ111" s="879"/>
      <c r="CS111" s="416"/>
      <c r="CY111" s="1028"/>
      <c r="CZ111" s="382"/>
      <c r="DA111" s="382"/>
      <c r="DB111" s="382"/>
      <c r="DC111" s="382"/>
      <c r="DD111" s="382"/>
      <c r="DE111" s="1028"/>
      <c r="DK111" s="415"/>
      <c r="DQ111" s="415"/>
      <c r="DW111" s="415"/>
      <c r="EC111" s="415"/>
      <c r="EI111" s="415"/>
      <c r="EO111" s="415"/>
      <c r="EU111" s="415"/>
      <c r="FA111" s="415"/>
      <c r="FG111" s="415"/>
      <c r="FM111" s="415"/>
      <c r="FQ111"/>
      <c r="FR111"/>
      <c r="FS111"/>
      <c r="FT111"/>
      <c r="FU111"/>
      <c r="FV111"/>
      <c r="GB111" s="24"/>
      <c r="GC111" s="24"/>
      <c r="GD111" s="24"/>
      <c r="GE111" s="24"/>
      <c r="GF111" s="24"/>
      <c r="GG111" s="24">
        <f>SUM(GG41:GG96)</f>
        <v>390</v>
      </c>
      <c r="GH111" s="24"/>
      <c r="GI111" s="24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</row>
    <row r="112" spans="1:274" s="32" customFormat="1" x14ac:dyDescent="0.2">
      <c r="A112" s="1221" t="s">
        <v>84</v>
      </c>
      <c r="B112" s="1221"/>
      <c r="C112" s="1221"/>
      <c r="D112" s="1221"/>
      <c r="E112" s="1221"/>
      <c r="F112" s="1221"/>
      <c r="G112" s="1221"/>
      <c r="H112" s="1221"/>
      <c r="I112" s="1221"/>
      <c r="J112" s="1221"/>
      <c r="K112" s="1221"/>
      <c r="L112" s="1221"/>
      <c r="M112" s="1221"/>
      <c r="N112" s="1221"/>
      <c r="O112" s="1221"/>
      <c r="P112" s="1221"/>
      <c r="Q112" s="1221"/>
      <c r="R112" s="1221"/>
      <c r="S112" s="1221"/>
      <c r="T112" s="1221"/>
      <c r="U112" s="1221"/>
      <c r="V112" s="1221"/>
      <c r="W112" s="1221"/>
      <c r="X112" s="1221"/>
      <c r="Y112" s="1221"/>
      <c r="Z112" s="1221"/>
      <c r="AA112" s="1221"/>
      <c r="AB112" s="1221"/>
      <c r="AC112" s="1221"/>
      <c r="AD112" s="1221"/>
      <c r="AE112" s="1221"/>
      <c r="AF112" s="1221"/>
      <c r="AG112" s="1221"/>
      <c r="AH112" s="1221"/>
      <c r="AI112" s="1221"/>
      <c r="AJ112" s="1221"/>
      <c r="AK112" s="1221"/>
      <c r="AL112" s="1221"/>
      <c r="AM112" s="1221"/>
      <c r="AN112" s="1221"/>
      <c r="AO112" s="1221"/>
      <c r="AP112" s="1221"/>
      <c r="AQ112" s="1221"/>
      <c r="AR112" s="1221"/>
      <c r="AS112" s="1221"/>
      <c r="AT112" s="1221"/>
      <c r="AU112" s="1221"/>
      <c r="AV112" s="1221"/>
      <c r="AW112" s="1221"/>
      <c r="AX112" s="1221"/>
      <c r="AY112" s="1221"/>
      <c r="AZ112" s="1221"/>
      <c r="BA112" s="1221"/>
      <c r="BB112" s="1221"/>
      <c r="BC112" s="1221"/>
      <c r="BD112" s="1221"/>
      <c r="BE112" s="1221"/>
      <c r="BF112" s="1221"/>
      <c r="BG112" s="1221"/>
      <c r="BH112" s="1221"/>
      <c r="BI112" s="1221"/>
      <c r="BJ112" s="1221"/>
      <c r="BK112" s="1221"/>
      <c r="BL112" s="1221"/>
      <c r="BM112" s="1221"/>
      <c r="BN112" s="1221"/>
      <c r="BO112" s="1221"/>
      <c r="BP112" s="1221"/>
      <c r="BQ112" s="1221"/>
      <c r="BR112" s="1221"/>
      <c r="BS112" s="1221"/>
      <c r="BT112" s="1221"/>
      <c r="BU112" s="1221"/>
      <c r="BV112" s="1221"/>
      <c r="BW112" s="1221"/>
      <c r="BX112" s="1221"/>
      <c r="BY112" s="1221"/>
      <c r="BZ112" s="1221"/>
      <c r="CA112" s="1221"/>
      <c r="CB112" s="1221"/>
      <c r="CC112" s="1221"/>
      <c r="CD112" s="1221"/>
      <c r="CE112" s="1221"/>
      <c r="CF112" s="1221"/>
      <c r="CG112" s="1374"/>
      <c r="CH112" s="1221"/>
      <c r="CI112" s="1221"/>
      <c r="CJ112" s="1221"/>
      <c r="CK112" s="1221"/>
      <c r="CL112" s="1221"/>
      <c r="CM112" s="1374"/>
      <c r="CN112" s="1221"/>
      <c r="CO112" s="1221"/>
      <c r="CP112" s="1221"/>
      <c r="CQ112" s="1221"/>
      <c r="CR112" s="1221"/>
      <c r="CS112" s="1374"/>
      <c r="CT112" s="1428"/>
      <c r="CU112" s="1442">
        <f>CU113-CU162</f>
        <v>0.1404920531243197</v>
      </c>
      <c r="CV112" s="1442">
        <f>CV113-CV162</f>
        <v>0.1202162565249813</v>
      </c>
      <c r="CW112" s="1442">
        <f>CW113-CW162</f>
        <v>0.12918483652800128</v>
      </c>
      <c r="CX112" s="1442">
        <f>CX113-CX162</f>
        <v>3.506249141601428E-2</v>
      </c>
      <c r="CY112" s="1443"/>
      <c r="CZ112" s="1427"/>
      <c r="DA112" s="1442"/>
      <c r="DB112" s="1442"/>
      <c r="DC112" s="1442"/>
      <c r="DD112" s="1442"/>
      <c r="DE112" s="1443"/>
      <c r="DF112" s="1428"/>
      <c r="DG112" s="1221"/>
      <c r="DH112" s="1221"/>
      <c r="DI112" s="1221"/>
      <c r="DJ112" s="1221"/>
      <c r="DK112" s="1444"/>
      <c r="DL112" s="1428"/>
      <c r="DM112" s="1221"/>
      <c r="DN112" s="1221"/>
      <c r="DO112" s="1221"/>
      <c r="DP112" s="1221"/>
      <c r="DQ112" s="1444"/>
      <c r="DR112" s="1428"/>
      <c r="DS112" s="1221"/>
      <c r="DT112" s="1221"/>
      <c r="DU112" s="1221"/>
      <c r="DV112" s="1221"/>
      <c r="DW112" s="1444"/>
      <c r="DX112" s="1428"/>
      <c r="DY112" s="1221"/>
      <c r="DZ112" s="1221"/>
      <c r="EA112" s="1221"/>
      <c r="EB112" s="1221"/>
      <c r="EC112" s="1444"/>
      <c r="ED112" s="1428"/>
      <c r="EE112" s="1221"/>
      <c r="EF112" s="1221"/>
      <c r="EG112" s="1221"/>
      <c r="EH112" s="1221"/>
      <c r="EI112" s="1444"/>
      <c r="EJ112" s="1428"/>
      <c r="EK112" s="1221"/>
      <c r="EL112" s="1221"/>
      <c r="EM112" s="1221"/>
      <c r="EN112" s="1221"/>
      <c r="EO112" s="1444"/>
      <c r="EP112" s="1428"/>
      <c r="EQ112" s="1221"/>
      <c r="ER112" s="1221"/>
      <c r="ES112" s="1221"/>
      <c r="ET112" s="1221"/>
      <c r="EU112" s="1444"/>
      <c r="EV112" s="1428"/>
      <c r="EW112" s="1221"/>
      <c r="EX112" s="1221"/>
      <c r="EY112" s="1221"/>
      <c r="EZ112" s="1221"/>
      <c r="FA112" s="1444"/>
      <c r="FB112" s="1428"/>
      <c r="FC112" s="1221"/>
      <c r="FD112" s="1221"/>
      <c r="FE112" s="1221"/>
      <c r="FF112" s="1221"/>
      <c r="FG112" s="1444"/>
      <c r="FH112" s="1428"/>
      <c r="FI112" s="1221"/>
      <c r="FJ112" s="1221"/>
      <c r="FK112" s="1221"/>
      <c r="FL112" s="1221"/>
      <c r="FM112" s="1444"/>
      <c r="FQ112"/>
      <c r="FR112"/>
      <c r="FS112"/>
      <c r="FT112"/>
      <c r="FU112"/>
      <c r="FV112"/>
      <c r="GB112" s="24"/>
      <c r="GC112" s="24"/>
      <c r="GD112" s="24"/>
      <c r="GE112" s="24"/>
      <c r="GF112" s="24"/>
      <c r="GG112" s="24"/>
      <c r="GH112" s="24"/>
      <c r="GI112" s="24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</row>
    <row r="113" spans="1:274" s="1517" customFormat="1" x14ac:dyDescent="0.2">
      <c r="A113" s="1517" t="s">
        <v>85</v>
      </c>
      <c r="C113" s="1525" t="s">
        <v>945</v>
      </c>
      <c r="D113" s="1577">
        <f t="shared" ref="D113:M113" si="93">D114/C114-1</f>
        <v>0.82076287848997209</v>
      </c>
      <c r="E113" s="1577">
        <f t="shared" si="93"/>
        <v>1.3906094769124446</v>
      </c>
      <c r="F113" s="1577">
        <f t="shared" si="93"/>
        <v>1.3714698708103712</v>
      </c>
      <c r="G113" s="1577">
        <f t="shared" si="93"/>
        <v>1.1494487577048207</v>
      </c>
      <c r="H113" s="1577">
        <f t="shared" si="93"/>
        <v>1.0693835448915858</v>
      </c>
      <c r="I113" s="1577">
        <f t="shared" si="93"/>
        <v>0.56969852689277167</v>
      </c>
      <c r="J113" s="1577">
        <f t="shared" si="93"/>
        <v>0.12173746985453793</v>
      </c>
      <c r="K113" s="1577">
        <f t="shared" si="93"/>
        <v>0.14694406045436104</v>
      </c>
      <c r="L113" s="1577">
        <f t="shared" si="93"/>
        <v>0.27480916030534353</v>
      </c>
      <c r="M113" s="1577">
        <f t="shared" si="93"/>
        <v>0.33143512974051892</v>
      </c>
      <c r="O113" s="1578" t="s">
        <v>945</v>
      </c>
      <c r="P113" s="1578" t="s">
        <v>945</v>
      </c>
      <c r="Q113" s="1578" t="s">
        <v>945</v>
      </c>
      <c r="R113" s="1578" t="s">
        <v>945</v>
      </c>
      <c r="S113" s="1577">
        <f>S114/M114-1</f>
        <v>0.48258873536027069</v>
      </c>
      <c r="U113" s="1577">
        <f>U114/O114-1</f>
        <v>0.38695249014329502</v>
      </c>
      <c r="V113" s="1577">
        <f>V114/P114-1</f>
        <v>0.44268067076445661</v>
      </c>
      <c r="W113" s="1577">
        <f>W114/Q114-1</f>
        <v>0.41259406434104773</v>
      </c>
      <c r="X113" s="1577">
        <f>X114/R114-1</f>
        <v>0.4383576043910915</v>
      </c>
      <c r="Y113" s="1577">
        <f>Y114/S114-1</f>
        <v>0.42342084844742534</v>
      </c>
      <c r="AA113" s="1577">
        <f>AA114/U114-1</f>
        <v>0.36345544134967089</v>
      </c>
      <c r="AB113" s="1577">
        <f>AB114/V114-1</f>
        <v>0.35612512926577056</v>
      </c>
      <c r="AC113" s="1577">
        <f>AC114/W114-1</f>
        <v>0.3453837777226707</v>
      </c>
      <c r="AD113" s="1577">
        <f>AD114/X114-1</f>
        <v>0.33055501292967437</v>
      </c>
      <c r="AE113" s="1577">
        <f>AE114/Y114-1</f>
        <v>0.34600517721985358</v>
      </c>
      <c r="AG113" s="1577">
        <f>AG114/AA114-1</f>
        <v>0.30077286450211393</v>
      </c>
      <c r="AH113" s="1577">
        <f>AH114/AB114-1</f>
        <v>0.23056292908272469</v>
      </c>
      <c r="AI113" s="1577">
        <f>AI114/AC114-1</f>
        <v>0.27403499748290328</v>
      </c>
      <c r="AJ113" s="1577">
        <f>AJ114/AD114-1</f>
        <v>0.23845719087632578</v>
      </c>
      <c r="AK113" s="1577">
        <f>AK114/AE114-1</f>
        <v>0.25676332292813098</v>
      </c>
      <c r="AM113" s="1577">
        <f>AM114/AG114-1</f>
        <v>0.27781576648052186</v>
      </c>
      <c r="AN113" s="1577">
        <f>AN114/AH114-1</f>
        <v>0.27403457957882638</v>
      </c>
      <c r="AO113" s="1577">
        <f>AO114/AI114-1</f>
        <v>0.18879867242847359</v>
      </c>
      <c r="AP113" s="1577">
        <f>AP114/AJ114-1</f>
        <v>0.21998480447890678</v>
      </c>
      <c r="AQ113" s="1577">
        <f>AQ114/AK114-1</f>
        <v>0.2356409310646268</v>
      </c>
      <c r="AS113" s="1577">
        <f>AS114/AM114-1</f>
        <v>0.13458673268119226</v>
      </c>
      <c r="AT113" s="1577">
        <f>AT114/AN114-1</f>
        <v>0.12935128583268773</v>
      </c>
      <c r="AU113" s="1577">
        <f>AU114/AO114-1</f>
        <v>0.17821657399034097</v>
      </c>
      <c r="AV113" s="1577">
        <f>AV114/AP114-1</f>
        <v>0.14644624123171535</v>
      </c>
      <c r="AW113" s="1577">
        <f>AW114/AQ114-1</f>
        <v>0.14759700980554302</v>
      </c>
      <c r="AY113" s="1577">
        <f>AY114/AS114-1</f>
        <v>0.15292134055792928</v>
      </c>
      <c r="AZ113" s="1577">
        <f>AZ114/AT114-1</f>
        <v>0.15699542138858846</v>
      </c>
      <c r="BA113" s="1577">
        <f>BA114/AU114-1</f>
        <v>0.10069494059405137</v>
      </c>
      <c r="BB113" s="1577">
        <f>BB114/AV114-1</f>
        <v>-2.4917686875242762E-2</v>
      </c>
      <c r="BC113" s="1577">
        <f>BC114/AW114-1</f>
        <v>8.1989487200951228E-2</v>
      </c>
      <c r="BE113" s="1577">
        <f>BE114/AY114-1</f>
        <v>-1.0024947639677206E-2</v>
      </c>
      <c r="BF113" s="1577">
        <f>BF114/AZ114-1</f>
        <v>-0.11389595325803081</v>
      </c>
      <c r="BG113" s="1577">
        <f>BG114/BA114-1</f>
        <v>-0.16421803356154285</v>
      </c>
      <c r="BH113" s="1577">
        <f>BH114/BB114-1</f>
        <v>-0.15690362071952413</v>
      </c>
      <c r="BI113" s="1577">
        <f>BI114/BC114-1</f>
        <v>-0.11750161394919223</v>
      </c>
      <c r="BK113" s="1577">
        <f>BK114/BE114-1</f>
        <v>-0.10465750279794528</v>
      </c>
      <c r="BL113" s="1577">
        <f>BL114/BF114-1</f>
        <v>-3.0010035972386495E-2</v>
      </c>
      <c r="BM113" s="1577">
        <f>BM114/BG114-1</f>
        <v>2.3822626169385686E-2</v>
      </c>
      <c r="BN113" s="1577">
        <f>BN114/BH114-1</f>
        <v>2.0699132402132392E-2</v>
      </c>
      <c r="BO113" s="1577">
        <f>BO114/BI114-1</f>
        <v>-2.0407032384544999E-2</v>
      </c>
      <c r="BQ113" s="1577">
        <f>BQ114/BK114-1</f>
        <v>2.1696252465483346E-2</v>
      </c>
      <c r="BR113" s="1577">
        <f>BR114/BL114-1</f>
        <v>8.1853616284105701E-2</v>
      </c>
      <c r="BS113" s="1577">
        <f>BS114/BM114-1</f>
        <v>8.7559601213697436E-2</v>
      </c>
      <c r="BT113" s="1577">
        <f>BT114/BN114-1</f>
        <v>8.6741541286995849E-2</v>
      </c>
      <c r="BU113" s="1577">
        <f>BU114/BO114-1</f>
        <v>7.1828102243704839E-2</v>
      </c>
      <c r="BW113" s="1577">
        <f>BW114/BQ114-1</f>
        <v>6.9015444015444016E-2</v>
      </c>
      <c r="BX113" s="1577">
        <f>BX114/BR114-1</f>
        <v>0.10328262610088079</v>
      </c>
      <c r="BY113" s="1577">
        <f>BY114/BS114-1</f>
        <v>0.2327620565962536</v>
      </c>
      <c r="BZ113" s="1577">
        <f>BZ114/BT114-1</f>
        <v>0.31784205394865128</v>
      </c>
      <c r="CA113" s="1577">
        <f>CA114/BU114-1</f>
        <v>0.19328475777865295</v>
      </c>
      <c r="CC113" s="1577">
        <f>CC114/BW114-1</f>
        <v>0.31241534988713315</v>
      </c>
      <c r="CD113" s="1577">
        <f>CD114/BX114-1</f>
        <v>0.2314949201741654</v>
      </c>
      <c r="CE113" s="1577">
        <f>CE114/BY114-1</f>
        <v>0.1427093436792759</v>
      </c>
      <c r="CF113" s="1577">
        <f>CF114/BZ114-1</f>
        <v>0.21750924784217007</v>
      </c>
      <c r="CG113" s="1579">
        <f>CG114/CA114-1</f>
        <v>0.21894545754600214</v>
      </c>
      <c r="CI113" s="1577">
        <f>CI114/CC114-1</f>
        <v>0.25937392500860001</v>
      </c>
      <c r="CJ113" s="1577">
        <f>CJ114/CD114-1</f>
        <v>0.24219210371243372</v>
      </c>
      <c r="CK113" s="1577">
        <f>CK114/CE114-1</f>
        <v>0.25877093707559973</v>
      </c>
      <c r="CL113" s="1577">
        <f>CL114/CF114-1</f>
        <v>0.19161434069272842</v>
      </c>
      <c r="CM113" s="1579">
        <f>CM114/CG114-1</f>
        <v>0.23263653840946641</v>
      </c>
      <c r="CO113" s="1577">
        <f>CO114/CI114-1</f>
        <v>0.2545752526632068</v>
      </c>
      <c r="CP113" s="1577">
        <f>CP114/CJ114-1</f>
        <v>0.27229601518026558</v>
      </c>
      <c r="CQ113" s="1577">
        <f>CQ114/CK114-1</f>
        <v>0.20723758147898397</v>
      </c>
      <c r="CR113" s="1577">
        <f>CR114/CL114-1</f>
        <v>0.23763386027536981</v>
      </c>
      <c r="CS113" s="1579">
        <f>CS114/CM114-1</f>
        <v>0.24163875006864743</v>
      </c>
      <c r="CT113" s="1580"/>
      <c r="CU113" s="1577">
        <f>CU114/CO114-1</f>
        <v>0.18049205312431971</v>
      </c>
      <c r="CV113" s="1577">
        <f>CV114/CP114-1</f>
        <v>6.0216256524981304E-2</v>
      </c>
      <c r="CW113" s="1577">
        <f>CW114/CQ114-1</f>
        <v>2.4762614038354114E-2</v>
      </c>
      <c r="CX113" s="1577">
        <f>CX114/CR114-1</f>
        <v>-5.4937508583985717E-2</v>
      </c>
      <c r="CY113" s="1579">
        <f>CY114/CS114-1</f>
        <v>3.9143703834755961E-2</v>
      </c>
      <c r="CZ113" s="1582"/>
      <c r="DA113" s="1577">
        <f>DA114/CU114-1</f>
        <v>-6.6211729988933987E-2</v>
      </c>
      <c r="DB113" s="1577">
        <f>DB114/CV114-1</f>
        <v>3.2530332336908829E-2</v>
      </c>
      <c r="DC113" s="1577">
        <f>DC114/CW114-1</f>
        <v>0.17539970930232562</v>
      </c>
      <c r="DD113" s="1577">
        <f>DD114/CX114-1</f>
        <v>0.39965121348641186</v>
      </c>
      <c r="DE113" s="1579">
        <f>DE114/CY114-1</f>
        <v>0.1507363582191199</v>
      </c>
      <c r="DF113" s="1580"/>
      <c r="DG113" s="1577">
        <f>DG114/DA114-1</f>
        <v>0.49871617618013042</v>
      </c>
      <c r="DH113" s="1577">
        <f>DH114/DB114-1</f>
        <v>0.48058583106267028</v>
      </c>
      <c r="DI113" s="1577">
        <f>DI114/DC114-1</f>
        <v>0.36133180820477939</v>
      </c>
      <c r="DJ113" s="1577">
        <f>DJ114/DD114-1</f>
        <v>0.12200186896480125</v>
      </c>
      <c r="DK113" s="1579">
        <f>DK114/DE114-1</f>
        <v>0.32770367740074113</v>
      </c>
      <c r="DL113" s="1580"/>
      <c r="DM113" s="1577">
        <f>DM114/DG114-1</f>
        <v>0.106747496046389</v>
      </c>
      <c r="DN113" s="1577">
        <f>DN114/DH114-1</f>
        <v>1.3457556935817738E-2</v>
      </c>
      <c r="DO113" s="1577">
        <f>DO114/DI114-1</f>
        <v>2.8992755762461631E-2</v>
      </c>
      <c r="DP113" s="1577">
        <f>DP114/DJ114-1</f>
        <v>1.3340708865445139E-2</v>
      </c>
      <c r="DQ113" s="1579">
        <f>DQ114/DK114-1</f>
        <v>3.6954977016297796E-2</v>
      </c>
      <c r="DR113" s="1582"/>
      <c r="DS113" s="1577">
        <f>DS114/DM114-1</f>
        <v>-2.2505358418671073E-2</v>
      </c>
      <c r="DT113" s="1577">
        <f>DT114/DN114-1</f>
        <v>3.4275337646124227E-2</v>
      </c>
      <c r="DU113" s="1577">
        <f>DU114/DO114-1</f>
        <v>-1.0189333897367314E-2</v>
      </c>
      <c r="DV113" s="1577">
        <f>DV114/DP114-1</f>
        <v>9.89967297006622E-4</v>
      </c>
      <c r="DW113" s="1579">
        <f>DW114/DQ114-1</f>
        <v>8.4631465499618308E-4</v>
      </c>
      <c r="DX113" s="1580"/>
      <c r="DY113" s="1577">
        <f>DY114/DS114-1</f>
        <v>2.0952612985747354E-2</v>
      </c>
      <c r="DZ113" s="1577">
        <f>DZ114/DT114-1</f>
        <v>1.8654669153955972E-2</v>
      </c>
      <c r="EA113" s="1577">
        <f>EA114/DU114-1</f>
        <v>3.8461538461538547E-2</v>
      </c>
      <c r="EB113" s="1577">
        <f>EB114/DV114-1</f>
        <v>3.3299881397682585E-2</v>
      </c>
      <c r="EC113" s="1579">
        <f>EC114/DW114-1</f>
        <v>2.8239336429280781E-2</v>
      </c>
      <c r="ED113" s="1580"/>
      <c r="EE113" s="1577">
        <f>EE114/DY114-1</f>
        <v>2.6011215845364477E-2</v>
      </c>
      <c r="EF113" s="1577">
        <f>EF114/DZ114-1</f>
        <v>3.5010233760637721E-2</v>
      </c>
      <c r="EG113" s="1577">
        <f>EG114/EA114-1</f>
        <v>2.0397208803006883E-3</v>
      </c>
      <c r="EH113" s="1577">
        <f>EH114/EB114-1</f>
        <v>-5.4211548649125918E-2</v>
      </c>
      <c r="EI113" s="1579">
        <f>EI114/EC114-1</f>
        <v>-1.3575251272679445E-3</v>
      </c>
      <c r="EJ113" s="1580"/>
      <c r="EK113" s="1577">
        <f>EK114/EE114-1</f>
        <v>-1.7211303639958153E-2</v>
      </c>
      <c r="EL113" s="1577">
        <f>EL114/EF114-1</f>
        <v>-6.3696919233971694E-2</v>
      </c>
      <c r="EM113" s="1577">
        <f>EM114/EG114-1</f>
        <v>-3.4283265481037106E-2</v>
      </c>
      <c r="EN113" s="1577">
        <f>EN114/EH114-1</f>
        <v>-1.0828976848394345E-2</v>
      </c>
      <c r="EO113" s="1579">
        <f>EO114/EI114-1</f>
        <v>-3.1265521658431994E-2</v>
      </c>
      <c r="EP113" s="1580"/>
      <c r="EQ113" s="1827">
        <f>EQ114/EK114-1</f>
        <v>1.9169329073482455E-2</v>
      </c>
      <c r="ER113" s="1827">
        <f>ER114/EL114-1</f>
        <v>8.201422854601903E-3</v>
      </c>
      <c r="ES113" s="1827">
        <f>ES114/EM114-1</f>
        <v>2.8844020412691407E-2</v>
      </c>
      <c r="ET113" s="1827">
        <f>ET114/EN114-1</f>
        <v>3.2559456398641107E-2</v>
      </c>
      <c r="EU113" s="1828">
        <f>EU114/EO114-1</f>
        <v>2.2688830720241748E-2</v>
      </c>
      <c r="EV113" s="1829"/>
      <c r="EW113" s="1827">
        <f>EW114/EQ114-1</f>
        <v>6.954603506327639E-2</v>
      </c>
      <c r="EX113" s="1827">
        <f>EX114/ER114-1</f>
        <v>6.1767760629254598E-2</v>
      </c>
      <c r="EY113" s="1827">
        <f>EY114/ES114-1</f>
        <v>5.4129825318093516E-2</v>
      </c>
      <c r="EZ113" s="1827">
        <f>EZ114/ET114-1</f>
        <v>2.272851349033167E-2</v>
      </c>
      <c r="FA113" s="1828">
        <f>FA114/EU114-1</f>
        <v>5.0395898284746998E-2</v>
      </c>
      <c r="FB113" s="1829"/>
      <c r="FC113" s="1827">
        <f>FC114/EW114-1</f>
        <v>3.6625560043136218E-2</v>
      </c>
      <c r="FD113" s="1827">
        <f>FD114/EX114-1</f>
        <v>3.6539671034598209E-2</v>
      </c>
      <c r="FE113" s="1827">
        <f>FE114/EY114-1</f>
        <v>3.2307231133390735E-2</v>
      </c>
      <c r="FF113" s="1827">
        <f>FF114/EZ114-1</f>
        <v>1.9107308187735317E-2</v>
      </c>
      <c r="FG113" s="1828">
        <f>FG114/FA114-1</f>
        <v>3.0620019339379079E-2</v>
      </c>
      <c r="FH113" s="1829"/>
      <c r="FI113" s="1827">
        <f>FI114/FC114-1</f>
        <v>4.0861215517648208E-2</v>
      </c>
      <c r="FJ113" s="1827">
        <f>FJ114/FD114-1</f>
        <v>3.6163195563325479E-2</v>
      </c>
      <c r="FK113" s="1827">
        <f>FK114/FE114-1</f>
        <v>3.4500426358212266E-2</v>
      </c>
      <c r="FL113" s="1827">
        <f>FL114/FF114-1</f>
        <v>2.3933269721764683E-2</v>
      </c>
      <c r="FM113" s="1828">
        <f>FM114/FG114-1</f>
        <v>3.3448350330823162E-2</v>
      </c>
      <c r="FQ113"/>
      <c r="FR113"/>
      <c r="FS113"/>
      <c r="FT113"/>
      <c r="FU113"/>
      <c r="FV113"/>
      <c r="GB113" s="1523"/>
      <c r="GC113" s="1523"/>
      <c r="GD113" s="1523"/>
      <c r="GE113" s="1523"/>
      <c r="GF113" s="1523"/>
      <c r="GG113" s="1523"/>
      <c r="GH113" s="1523"/>
      <c r="GI113" s="1523"/>
      <c r="GJ113" s="1522"/>
      <c r="GK113" s="1522"/>
      <c r="GL113" s="1522"/>
      <c r="GM113" s="1522"/>
      <c r="GN113" s="1522"/>
      <c r="GO113" s="1522"/>
      <c r="GP113" s="1522"/>
      <c r="GQ113" s="1522"/>
      <c r="GR113" s="1522"/>
      <c r="GS113" s="1522"/>
      <c r="GT113" s="1522"/>
      <c r="GU113" s="1522"/>
      <c r="GV113" s="1522"/>
      <c r="GW113" s="1522"/>
      <c r="GX113" s="1522"/>
      <c r="GY113" s="1522"/>
      <c r="GZ113" s="1522"/>
      <c r="HA113" s="1522"/>
      <c r="HB113" s="1522"/>
      <c r="HC113" s="1522"/>
      <c r="HD113" s="1522"/>
      <c r="HE113" s="1522"/>
      <c r="HF113" s="1522"/>
      <c r="HG113" s="1522"/>
      <c r="HH113" s="1522"/>
      <c r="HI113" s="1522"/>
      <c r="HJ113" s="1522"/>
      <c r="HK113" s="1522"/>
      <c r="HL113" s="1522"/>
      <c r="HM113" s="1522"/>
      <c r="HN113" s="1522"/>
      <c r="HO113" s="1522"/>
      <c r="HP113" s="1522"/>
      <c r="HQ113" s="1522"/>
      <c r="HR113" s="1522"/>
      <c r="HS113" s="1522"/>
      <c r="HT113" s="1522"/>
      <c r="HU113" s="1522"/>
      <c r="HV113" s="1522"/>
      <c r="HW113" s="1522"/>
      <c r="HX113" s="1522"/>
      <c r="HY113" s="1522"/>
      <c r="HZ113" s="1522"/>
      <c r="IA113" s="1522"/>
      <c r="IB113" s="1522"/>
      <c r="IC113" s="1522"/>
      <c r="ID113" s="1522"/>
      <c r="IE113" s="1522"/>
      <c r="IF113" s="1522"/>
      <c r="IG113" s="1522"/>
      <c r="IH113" s="1522"/>
      <c r="II113" s="1522"/>
      <c r="IJ113" s="1522"/>
      <c r="IK113" s="1522"/>
      <c r="IL113" s="1522"/>
      <c r="IM113" s="1522"/>
      <c r="IN113" s="1522"/>
      <c r="IO113" s="1522"/>
      <c r="IP113" s="1522"/>
      <c r="IQ113" s="1522"/>
      <c r="IR113" s="1522"/>
      <c r="IS113" s="1522"/>
      <c r="IT113" s="1522"/>
      <c r="IU113" s="1522"/>
      <c r="IV113" s="1522"/>
      <c r="IW113" s="1522"/>
      <c r="IX113" s="1522"/>
      <c r="IY113" s="1522"/>
      <c r="IZ113" s="1522"/>
      <c r="JA113" s="1522"/>
      <c r="JB113" s="1522"/>
      <c r="JC113" s="1522"/>
      <c r="JD113" s="1522"/>
      <c r="JE113" s="1522"/>
      <c r="JF113" s="1522"/>
      <c r="JG113" s="1522"/>
      <c r="JH113" s="1522"/>
      <c r="JI113" s="1522"/>
      <c r="JJ113" s="1522"/>
      <c r="JK113" s="1522"/>
      <c r="JL113" s="1522"/>
      <c r="JM113" s="1522"/>
      <c r="JN113" s="1522"/>
    </row>
    <row r="114" spans="1:274" s="261" customFormat="1" ht="12" hidden="1" customHeight="1" outlineLevel="1" x14ac:dyDescent="0.2">
      <c r="A114" s="1489" t="s">
        <v>85</v>
      </c>
      <c r="B114" s="1489"/>
      <c r="C114" s="1487">
        <f>rev _fy84</f>
        <v>12.715</v>
      </c>
      <c r="D114" s="1487">
        <f>rev _fy85</f>
        <v>23.150999999999996</v>
      </c>
      <c r="E114" s="1487">
        <f>rev _fy86</f>
        <v>55.344999999999999</v>
      </c>
      <c r="F114" s="1487">
        <f>rev _fy87</f>
        <v>131.249</v>
      </c>
      <c r="G114" s="1487">
        <f>rev _fy88</f>
        <v>282.113</v>
      </c>
      <c r="H114" s="1487">
        <f>rev _fy89</f>
        <v>583.79999999999995</v>
      </c>
      <c r="I114" s="1487">
        <f>rev _fy90</f>
        <v>916.39</v>
      </c>
      <c r="J114" s="1487">
        <f>rev _fy91</f>
        <v>1027.9490000000001</v>
      </c>
      <c r="K114" s="1487">
        <f>rev _fy92</f>
        <v>1179</v>
      </c>
      <c r="L114" s="1487">
        <f>rev _fy93</f>
        <v>1503</v>
      </c>
      <c r="M114" s="1487">
        <f>rev _fy94</f>
        <v>2001.1469999999999</v>
      </c>
      <c r="N114" s="1489"/>
      <c r="O114" s="1487">
        <f>rev _3c94</f>
        <v>556.47400000000005</v>
      </c>
      <c r="P114" s="1487">
        <f>rev _4c94</f>
        <v>670.28</v>
      </c>
      <c r="Q114" s="1487">
        <f>rev _1c95</f>
        <v>722.245</v>
      </c>
      <c r="R114" s="1487">
        <f>rev _2c95</f>
        <v>1017.879</v>
      </c>
      <c r="S114" s="1487">
        <f>rev _fy95</f>
        <v>2966.8779999999997</v>
      </c>
      <c r="T114" s="1489"/>
      <c r="U114" s="1487">
        <f>rev _3c95</f>
        <v>771.803</v>
      </c>
      <c r="V114" s="1487">
        <f>rev _4c95</f>
        <v>967</v>
      </c>
      <c r="W114" s="1487">
        <f>rev _1c96</f>
        <v>1020.239</v>
      </c>
      <c r="X114" s="1487">
        <f>rev _2c96</f>
        <v>1464.0739999999998</v>
      </c>
      <c r="Y114" s="1487">
        <f>rev _fy96</f>
        <v>4223.116</v>
      </c>
      <c r="Z114" s="1489"/>
      <c r="AA114" s="1487">
        <f>rev _3c96</f>
        <v>1052.319</v>
      </c>
      <c r="AB114" s="1487">
        <f>rev _4c96</f>
        <v>1311.373</v>
      </c>
      <c r="AC114" s="1487">
        <f>rev _1c97</f>
        <v>1372.6129999999998</v>
      </c>
      <c r="AD114" s="1487">
        <f>rev _2c97</f>
        <v>1948.0309999999999</v>
      </c>
      <c r="AE114" s="1487">
        <f>rev _fy97</f>
        <v>5684.3359999999993</v>
      </c>
      <c r="AF114" s="1489"/>
      <c r="AG114" s="1487">
        <f>rev _3c97</f>
        <v>1368.828</v>
      </c>
      <c r="AH114" s="1487">
        <f>rev _4c97</f>
        <v>1613.7269999999999</v>
      </c>
      <c r="AI114" s="1487">
        <f>rev _1c98</f>
        <v>1748.7570000000001</v>
      </c>
      <c r="AJ114" s="1487">
        <f>rev _2c98</f>
        <v>2412.5529999999999</v>
      </c>
      <c r="AK114" s="1487">
        <f>rev _fy98</f>
        <v>7143.8649999999998</v>
      </c>
      <c r="AL114" s="1489"/>
      <c r="AM114" s="1487">
        <f>rev _3c98</f>
        <v>1749.11</v>
      </c>
      <c r="AN114" s="1487">
        <f>rev _4c98</f>
        <v>2055.9440000000004</v>
      </c>
      <c r="AO114" s="1487">
        <f>rev _1c99</f>
        <v>2078.92</v>
      </c>
      <c r="AP114" s="1487">
        <f>rev _2c99</f>
        <v>2943.2779999999998</v>
      </c>
      <c r="AQ114" s="1487">
        <f>rev _fy99</f>
        <v>8827.2520000000004</v>
      </c>
      <c r="AR114" s="1489"/>
      <c r="AS114" s="1487">
        <f>rev _3c99</f>
        <v>1984.5170000000001</v>
      </c>
      <c r="AT114" s="1487">
        <f>rev _4c99</f>
        <v>2321.8829999999998</v>
      </c>
      <c r="AU114" s="1487">
        <f>rev _1c00</f>
        <v>2449.4179999999997</v>
      </c>
      <c r="AV114" s="1487">
        <f>rev _2c00</f>
        <v>3374.3100000000004</v>
      </c>
      <c r="AW114" s="1487">
        <f>rev _fy00</f>
        <v>10130.128000000001</v>
      </c>
      <c r="AX114" s="1489"/>
      <c r="AY114" s="1487">
        <f>rev _3c00</f>
        <v>2287.9920000000002</v>
      </c>
      <c r="AZ114" s="1487">
        <f>rev _4c00</f>
        <v>2686.4079999999999</v>
      </c>
      <c r="BA114" s="1487">
        <f>rev _1c01</f>
        <v>2696.0619999999999</v>
      </c>
      <c r="BB114" s="1487">
        <f>rev _2c01</f>
        <v>3290.23</v>
      </c>
      <c r="BC114" s="1487">
        <f>rev _fy01</f>
        <v>10960.691999999999</v>
      </c>
      <c r="BD114" s="1489"/>
      <c r="BE114" s="1487">
        <f>rev _3c01</f>
        <v>2265.0549999999998</v>
      </c>
      <c r="BF114" s="1487">
        <f>rev _4c01</f>
        <v>2380.4369999999999</v>
      </c>
      <c r="BG114" s="1487">
        <f>rev _1c02</f>
        <v>2253.3199999999997</v>
      </c>
      <c r="BH114" s="1487">
        <f>rev _2c02</f>
        <v>2773.9810000000002</v>
      </c>
      <c r="BI114" s="1487">
        <f>rev _fy02</f>
        <v>9672.7929999999997</v>
      </c>
      <c r="BJ114" s="1489"/>
      <c r="BK114" s="1487">
        <f>rev _3c02</f>
        <v>2028</v>
      </c>
      <c r="BL114" s="1487">
        <f>rev _4c02</f>
        <v>2309</v>
      </c>
      <c r="BM114" s="1487">
        <f>rev _1c03</f>
        <v>2307</v>
      </c>
      <c r="BN114" s="1487">
        <f>rev _2c03</f>
        <v>2831.4</v>
      </c>
      <c r="BO114" s="1487">
        <f>rev _fy03</f>
        <v>9475.4</v>
      </c>
      <c r="BP114" s="1489"/>
      <c r="BQ114" s="1487">
        <f>rev _3c03</f>
        <v>2072</v>
      </c>
      <c r="BR114" s="1487">
        <f>rev _4c03</f>
        <v>2498</v>
      </c>
      <c r="BS114" s="1487">
        <f>rev _1c04</f>
        <v>2509</v>
      </c>
      <c r="BT114" s="1487">
        <f>rev _2c04</f>
        <v>3077</v>
      </c>
      <c r="BU114" s="1487">
        <f>rev _fy04</f>
        <v>10156</v>
      </c>
      <c r="BV114" s="1489"/>
      <c r="BW114" s="1487">
        <f>rev _3c04</f>
        <v>2215</v>
      </c>
      <c r="BX114" s="1487">
        <f>rev _4c04</f>
        <v>2756</v>
      </c>
      <c r="BY114" s="1487">
        <f>rev _1c05</f>
        <v>3093</v>
      </c>
      <c r="BZ114" s="1487">
        <f>rev _2c05</f>
        <v>4055</v>
      </c>
      <c r="CA114" s="1487">
        <f>rev _fy05</f>
        <v>12119</v>
      </c>
      <c r="CB114" s="1489"/>
      <c r="CC114" s="1487">
        <f>rev _3c05</f>
        <v>2907</v>
      </c>
      <c r="CD114" s="1487">
        <f>rev _4c05</f>
        <v>3394</v>
      </c>
      <c r="CE114" s="1487">
        <f>rev _1c06</f>
        <v>3534.4</v>
      </c>
      <c r="CF114" s="1487">
        <f>rev _2c06</f>
        <v>4937</v>
      </c>
      <c r="CG114" s="1488">
        <f>rev _fy06</f>
        <v>14772.4</v>
      </c>
      <c r="CH114" s="1489"/>
      <c r="CI114" s="1487">
        <f>rev _3c06</f>
        <v>3661</v>
      </c>
      <c r="CJ114" s="1487">
        <f>rev _4c06</f>
        <v>4216</v>
      </c>
      <c r="CK114" s="1487">
        <f>rev _1c07</f>
        <v>4449</v>
      </c>
      <c r="CL114" s="1487">
        <f>rev _2c07</f>
        <v>5883</v>
      </c>
      <c r="CM114" s="1488">
        <f>rev _fy07</f>
        <v>18209</v>
      </c>
      <c r="CN114" s="1489"/>
      <c r="CO114" s="1487">
        <f>rev _3c07</f>
        <v>4593</v>
      </c>
      <c r="CP114" s="1487">
        <f>rev _4c07</f>
        <v>5364</v>
      </c>
      <c r="CQ114" s="1487">
        <f>rev _1c08</f>
        <v>5371</v>
      </c>
      <c r="CR114" s="1487">
        <f>rev _2c08</f>
        <v>7281</v>
      </c>
      <c r="CS114" s="1488">
        <f>rev _fy08</f>
        <v>22609</v>
      </c>
      <c r="CT114" s="1490"/>
      <c r="CU114" s="1487">
        <f>rev _3c08</f>
        <v>5422</v>
      </c>
      <c r="CV114" s="1487">
        <f>rev _4c08</f>
        <v>5687</v>
      </c>
      <c r="CW114" s="1487">
        <f>rev _1c09</f>
        <v>5504</v>
      </c>
      <c r="CX114" s="1487">
        <f>rev _2c09</f>
        <v>6881</v>
      </c>
      <c r="CY114" s="1488">
        <f>rev _fy09</f>
        <v>23494</v>
      </c>
      <c r="CZ114" s="1491"/>
      <c r="DA114" s="1487">
        <f>rev _3c09</f>
        <v>5063</v>
      </c>
      <c r="DB114" s="1487">
        <f>rev _4c09</f>
        <v>5872</v>
      </c>
      <c r="DC114" s="1487">
        <f>rev _1c10</f>
        <v>6469.4</v>
      </c>
      <c r="DD114" s="1487">
        <f>rev _2c10</f>
        <v>9631</v>
      </c>
      <c r="DE114" s="1488">
        <f>rev _fy10</f>
        <v>27035.4</v>
      </c>
      <c r="DF114" s="1490"/>
      <c r="DG114" s="1487">
        <f>rev _3c10</f>
        <v>7588</v>
      </c>
      <c r="DH114" s="1487">
        <f>rev _4c10</f>
        <v>8694</v>
      </c>
      <c r="DI114" s="1487">
        <f>rev _1c11</f>
        <v>8807</v>
      </c>
      <c r="DJ114" s="1487">
        <f>rev _2c11</f>
        <v>10806</v>
      </c>
      <c r="DK114" s="1488">
        <f>rev _fy11</f>
        <v>35895</v>
      </c>
      <c r="DL114" s="1490"/>
      <c r="DM114" s="1487">
        <f>rev _3c11</f>
        <v>8398</v>
      </c>
      <c r="DN114" s="1487">
        <f>rev _4c11</f>
        <v>8811</v>
      </c>
      <c r="DO114" s="1487">
        <f>rev _1c12</f>
        <v>9062.3392000000003</v>
      </c>
      <c r="DP114" s="1487">
        <f>rev _2c12</f>
        <v>10950.1597</v>
      </c>
      <c r="DQ114" s="1488">
        <f>rev _fy12</f>
        <v>37221.498900000006</v>
      </c>
      <c r="DR114" s="1490"/>
      <c r="DS114" s="1487">
        <f>rev _3c12</f>
        <v>8209</v>
      </c>
      <c r="DT114" s="1487">
        <f>rev _4c12</f>
        <v>9113</v>
      </c>
      <c r="DU114" s="1487">
        <f>rev _1c13</f>
        <v>8970</v>
      </c>
      <c r="DV114" s="1487">
        <f>rev _2c13</f>
        <v>10961</v>
      </c>
      <c r="DW114" s="1488">
        <f>rev _fy13</f>
        <v>37253</v>
      </c>
      <c r="DX114" s="1490"/>
      <c r="DY114" s="1487">
        <f>rev _3c13</f>
        <v>8381</v>
      </c>
      <c r="DZ114" s="1487">
        <f>rev _4c13</f>
        <v>9283</v>
      </c>
      <c r="EA114" s="1487">
        <f>rev _1c14</f>
        <v>9315</v>
      </c>
      <c r="EB114" s="1487">
        <f>rev _2c14</f>
        <v>11326</v>
      </c>
      <c r="EC114" s="1488">
        <f>rev _fy14</f>
        <v>38305</v>
      </c>
      <c r="ED114" s="1490"/>
      <c r="EE114" s="1487">
        <f>Model!EE91</f>
        <v>8599</v>
      </c>
      <c r="EF114" s="1487">
        <f>Model!EF91</f>
        <v>9608</v>
      </c>
      <c r="EG114" s="1487">
        <f>Model!EG91</f>
        <v>9334</v>
      </c>
      <c r="EH114" s="1487">
        <f>Model!EH91</f>
        <v>10712</v>
      </c>
      <c r="EI114" s="1488">
        <f>Model!EI91</f>
        <v>38253</v>
      </c>
      <c r="EJ114" s="1490"/>
      <c r="EK114" s="1487">
        <f>Model!EK91</f>
        <v>8451</v>
      </c>
      <c r="EL114" s="1487">
        <f>Model!EL91</f>
        <v>8996</v>
      </c>
      <c r="EM114" s="1487">
        <f>Model!EM91</f>
        <v>9014</v>
      </c>
      <c r="EN114" s="1487">
        <f>Model!EN91</f>
        <v>10596</v>
      </c>
      <c r="EO114" s="1488">
        <f>Model!EO91</f>
        <v>37057</v>
      </c>
      <c r="EP114" s="1490"/>
      <c r="EQ114" s="1487">
        <f>Model!EQ91</f>
        <v>8613</v>
      </c>
      <c r="ER114" s="1487">
        <f>Model!ER91</f>
        <v>9069.7799999999988</v>
      </c>
      <c r="ES114" s="1487">
        <f>Model!ES91</f>
        <v>9274</v>
      </c>
      <c r="ET114" s="1487">
        <f>Model!ET91</f>
        <v>10941</v>
      </c>
      <c r="EU114" s="1488">
        <f>Model!EU91</f>
        <v>37897.78</v>
      </c>
      <c r="EV114" s="1830"/>
      <c r="EW114" s="1487">
        <f>Model!EW91</f>
        <v>9212</v>
      </c>
      <c r="EX114" s="1487">
        <f>Model!EX91</f>
        <v>9630</v>
      </c>
      <c r="EY114" s="1487">
        <f>Model!EY91</f>
        <v>9776</v>
      </c>
      <c r="EZ114" s="1487">
        <f>Model!EZ91</f>
        <v>11189.672666097718</v>
      </c>
      <c r="FA114" s="1488">
        <f>Model!FA91</f>
        <v>39807.672666097715</v>
      </c>
      <c r="FB114" s="1830"/>
      <c r="FC114" s="1487">
        <f>Model!FC91</f>
        <v>9549.3946591173699</v>
      </c>
      <c r="FD114" s="1487">
        <f>Model!FD91</f>
        <v>9981.8770320631811</v>
      </c>
      <c r="FE114" s="1487">
        <f>Model!FE91</f>
        <v>10091.835491560028</v>
      </c>
      <c r="FF114" s="1487">
        <f>Model!FF91</f>
        <v>11403.477190248725</v>
      </c>
      <c r="FG114" s="1488">
        <f>Model!FG91</f>
        <v>41026.584372989302</v>
      </c>
      <c r="FH114" s="1830"/>
      <c r="FI114" s="1487">
        <f>Model!FI91</f>
        <v>9939.594532346644</v>
      </c>
      <c r="FJ114" s="1487">
        <f>Model!FJ91</f>
        <v>10342.853603262749</v>
      </c>
      <c r="FK114" s="1487">
        <f>Model!FK91</f>
        <v>10440.008118755788</v>
      </c>
      <c r="FL114" s="1487">
        <f>Model!FL91</f>
        <v>11676.39968560894</v>
      </c>
      <c r="FM114" s="1488">
        <f>Model!FM91</f>
        <v>42398.855939974121</v>
      </c>
      <c r="FN114" s="947"/>
      <c r="FO114" s="27"/>
      <c r="FQ114"/>
      <c r="FR114"/>
      <c r="FS114"/>
      <c r="FT114"/>
      <c r="FU114"/>
      <c r="FV114"/>
      <c r="GB114" s="24"/>
      <c r="GC114" s="24"/>
      <c r="GD114" s="24"/>
      <c r="GE114" s="24"/>
      <c r="GF114" s="24"/>
      <c r="GG114" s="24"/>
      <c r="GH114" s="24"/>
      <c r="GI114" s="2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</row>
    <row r="115" spans="1:274" s="27" customFormat="1" ht="12" hidden="1" customHeight="1" outlineLevel="1" x14ac:dyDescent="0.2">
      <c r="A115" s="60" t="s">
        <v>160</v>
      </c>
      <c r="B115" s="60"/>
      <c r="C115" s="600"/>
      <c r="D115" s="600"/>
      <c r="E115" s="600"/>
      <c r="F115" s="600"/>
      <c r="G115" s="600"/>
      <c r="H115" s="60"/>
      <c r="I115" s="600"/>
      <c r="J115" s="600"/>
      <c r="K115" s="600"/>
      <c r="L115" s="600"/>
      <c r="M115" s="600"/>
      <c r="N115" s="60"/>
      <c r="O115" s="600"/>
      <c r="P115" s="600"/>
      <c r="Q115" s="600"/>
      <c r="R115" s="600"/>
      <c r="S115" s="600"/>
      <c r="T115" s="60"/>
      <c r="U115" s="600"/>
      <c r="V115" s="600"/>
      <c r="W115" s="600"/>
      <c r="X115" s="600"/>
      <c r="Y115" s="600"/>
      <c r="Z115" s="60"/>
      <c r="AA115" s="600"/>
      <c r="AB115" s="600"/>
      <c r="AC115" s="600"/>
      <c r="AD115" s="600"/>
      <c r="AE115" s="600"/>
      <c r="AF115" s="60"/>
      <c r="AG115" s="600"/>
      <c r="AH115" s="600"/>
      <c r="AI115" s="600"/>
      <c r="AJ115" s="600"/>
      <c r="AK115" s="600"/>
      <c r="AL115" s="600"/>
      <c r="AM115" s="600"/>
      <c r="AN115" s="600"/>
      <c r="AO115" s="600"/>
      <c r="AP115" s="600"/>
      <c r="AQ115" s="600"/>
      <c r="AR115" s="60"/>
      <c r="AS115" s="600"/>
      <c r="AT115" s="600"/>
      <c r="AU115" s="600"/>
      <c r="AV115" s="600"/>
      <c r="AW115" s="600"/>
      <c r="AX115" s="60"/>
      <c r="AY115" s="600"/>
      <c r="AZ115" s="600"/>
      <c r="BA115" s="600"/>
      <c r="BB115" s="600"/>
      <c r="BC115" s="600"/>
      <c r="BD115" s="60"/>
      <c r="BE115" s="600"/>
      <c r="BF115" s="600"/>
      <c r="BG115" s="600"/>
      <c r="BH115" s="600"/>
      <c r="BI115" s="600"/>
      <c r="BJ115" s="60"/>
      <c r="BK115" s="600"/>
      <c r="BL115" s="600"/>
      <c r="BM115" s="600"/>
      <c r="BN115" s="600"/>
      <c r="BO115" s="600"/>
      <c r="BP115" s="60"/>
      <c r="BQ115" s="600"/>
      <c r="BR115" s="600"/>
      <c r="BS115" s="600"/>
      <c r="BT115" s="600"/>
      <c r="BU115" s="600"/>
      <c r="BV115" s="60"/>
      <c r="BW115" s="447"/>
      <c r="BX115" s="447"/>
      <c r="BY115" s="447">
        <v>374</v>
      </c>
      <c r="BZ115" s="447">
        <v>535</v>
      </c>
      <c r="CA115" s="600">
        <f>SUM(BW115:BZ115)</f>
        <v>909</v>
      </c>
      <c r="CB115" s="60"/>
      <c r="CC115" s="447">
        <v>472.63679999999999</v>
      </c>
      <c r="CD115" s="447">
        <v>484.38569599999994</v>
      </c>
      <c r="CE115" s="447">
        <v>102.96412511999995</v>
      </c>
      <c r="CF115" s="447"/>
      <c r="CG115" s="1448">
        <f t="shared" ref="CG115:CG129" si="94">SUM(CC115:CF115)</f>
        <v>1059.9866211199999</v>
      </c>
      <c r="CH115" s="60"/>
      <c r="CI115" s="447"/>
      <c r="CJ115" s="447"/>
      <c r="CK115" s="447"/>
      <c r="CL115" s="447"/>
      <c r="CM115" s="1448">
        <f t="shared" ref="CM115:CM129" si="95">SUM(CI115:CL115)</f>
        <v>0</v>
      </c>
      <c r="CN115" s="60"/>
      <c r="CO115" s="447"/>
      <c r="CP115" s="447"/>
      <c r="CQ115" s="447"/>
      <c r="CR115" s="447"/>
      <c r="CS115" s="1448">
        <f t="shared" ref="CS115:CS129" si="96">SUM(CO115:CR115)</f>
        <v>0</v>
      </c>
      <c r="CT115" s="367"/>
      <c r="CU115" s="447"/>
      <c r="CV115" s="447"/>
      <c r="CW115" s="447"/>
      <c r="CX115" s="447"/>
      <c r="CY115" s="1448">
        <f t="shared" ref="CY115:CY130" si="97">SUM(CU115:CX115)</f>
        <v>0</v>
      </c>
      <c r="CZ115" s="86"/>
      <c r="DA115" s="447"/>
      <c r="DB115" s="447"/>
      <c r="DC115" s="447"/>
      <c r="DD115" s="447"/>
      <c r="DE115" s="1448">
        <f t="shared" ref="DE115:DE131" si="98">SUM(DA115:DD115)</f>
        <v>0</v>
      </c>
      <c r="DF115" s="367"/>
      <c r="DG115" s="447"/>
      <c r="DH115" s="447"/>
      <c r="DI115" s="447"/>
      <c r="DJ115" s="447"/>
      <c r="DK115" s="1448">
        <f t="shared" ref="DK115:DK159" si="99">SUM(DG115:DJ115)</f>
        <v>0</v>
      </c>
      <c r="DL115" s="367"/>
      <c r="DM115" s="447"/>
      <c r="DN115" s="447"/>
      <c r="DO115" s="447"/>
      <c r="DP115" s="447"/>
      <c r="DQ115" s="1448">
        <f t="shared" ref="DQ115:DQ159" si="100">SUM(DM115:DP115)</f>
        <v>0</v>
      </c>
      <c r="DR115" s="367"/>
      <c r="DS115" s="447"/>
      <c r="DT115" s="447"/>
      <c r="DU115" s="447"/>
      <c r="DV115" s="447"/>
      <c r="DW115" s="1448">
        <f t="shared" ref="DW115:DW159" si="101">SUM(DS115:DV115)</f>
        <v>0</v>
      </c>
      <c r="DX115" s="367"/>
      <c r="DY115" s="447"/>
      <c r="DZ115" s="447"/>
      <c r="EA115" s="447"/>
      <c r="EB115" s="447"/>
      <c r="EC115" s="1448">
        <f t="shared" ref="EC115:EC159" si="102">SUM(DY115:EB115)</f>
        <v>0</v>
      </c>
      <c r="ED115" s="367"/>
      <c r="EE115" s="447"/>
      <c r="EF115" s="447"/>
      <c r="EG115" s="447"/>
      <c r="EH115" s="447"/>
      <c r="EI115" s="1448">
        <f t="shared" ref="EI115:EI159" si="103">SUM(EE115:EH115)</f>
        <v>0</v>
      </c>
      <c r="EJ115" s="367"/>
      <c r="EK115" s="447"/>
      <c r="EL115" s="447"/>
      <c r="EM115" s="447"/>
      <c r="EN115" s="447"/>
      <c r="EO115" s="1448">
        <f t="shared" ref="EO115:EO159" si="104">SUM(EK115:EN115)</f>
        <v>0</v>
      </c>
      <c r="EP115" s="367"/>
      <c r="EQ115" s="1832"/>
      <c r="ER115" s="1832"/>
      <c r="ES115" s="1832"/>
      <c r="ET115" s="1832"/>
      <c r="EU115" s="1833">
        <f t="shared" ref="EU115:EU159" si="105">SUM(EQ115:ET115)</f>
        <v>0</v>
      </c>
      <c r="EV115" s="1834"/>
      <c r="EW115" s="1832"/>
      <c r="EX115" s="1832"/>
      <c r="EY115" s="1832"/>
      <c r="EZ115" s="1832"/>
      <c r="FA115" s="1833">
        <f t="shared" ref="FA115:FA159" si="106">SUM(EW115:EZ115)</f>
        <v>0</v>
      </c>
      <c r="FB115" s="1834"/>
      <c r="FC115" s="1832"/>
      <c r="FD115" s="1832"/>
      <c r="FE115" s="1832"/>
      <c r="FF115" s="1832"/>
      <c r="FG115" s="1833">
        <f t="shared" ref="FG115:FG159" si="107">SUM(FC115:FF115)</f>
        <v>0</v>
      </c>
      <c r="FH115" s="1834"/>
      <c r="FI115" s="1832"/>
      <c r="FJ115" s="1832"/>
      <c r="FK115" s="1832"/>
      <c r="FL115" s="1832"/>
      <c r="FM115" s="1833">
        <f t="shared" ref="FM115:FM159" si="108">SUM(FI115:FL115)</f>
        <v>0</v>
      </c>
      <c r="FQ115"/>
      <c r="FR115"/>
      <c r="FS115"/>
      <c r="FT115"/>
      <c r="FU115"/>
      <c r="FV115"/>
      <c r="GB115" s="24"/>
      <c r="GC115" s="24"/>
      <c r="GD115" s="24"/>
      <c r="GE115" s="24"/>
      <c r="GF115" s="24"/>
      <c r="GG115" s="24"/>
      <c r="GH115" s="24"/>
      <c r="GI115" s="24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</row>
    <row r="116" spans="1:274" s="27" customFormat="1" ht="12" hidden="1" customHeight="1" outlineLevel="1" x14ac:dyDescent="0.2">
      <c r="A116" s="60" t="s">
        <v>888</v>
      </c>
      <c r="B116" s="60"/>
      <c r="C116" s="600"/>
      <c r="D116" s="600"/>
      <c r="E116" s="600"/>
      <c r="F116" s="600"/>
      <c r="G116" s="600"/>
      <c r="H116" s="60"/>
      <c r="I116" s="600"/>
      <c r="J116" s="600"/>
      <c r="K116" s="600"/>
      <c r="L116" s="600"/>
      <c r="M116" s="600"/>
      <c r="N116" s="60"/>
      <c r="O116" s="600"/>
      <c r="P116" s="600"/>
      <c r="Q116" s="600"/>
      <c r="R116" s="600"/>
      <c r="S116" s="600"/>
      <c r="T116" s="60"/>
      <c r="U116" s="600"/>
      <c r="V116" s="600"/>
      <c r="W116" s="600"/>
      <c r="X116" s="600"/>
      <c r="Y116" s="600"/>
      <c r="Z116" s="60"/>
      <c r="AA116" s="600"/>
      <c r="AB116" s="600"/>
      <c r="AC116" s="600"/>
      <c r="AD116" s="600"/>
      <c r="AE116" s="600"/>
      <c r="AF116" s="60"/>
      <c r="AG116" s="600"/>
      <c r="AH116" s="600"/>
      <c r="AI116" s="600"/>
      <c r="AJ116" s="600"/>
      <c r="AK116" s="600"/>
      <c r="AL116" s="600"/>
      <c r="AM116" s="600"/>
      <c r="AN116" s="600"/>
      <c r="AO116" s="600"/>
      <c r="AP116" s="600"/>
      <c r="AQ116" s="600"/>
      <c r="AR116" s="60"/>
      <c r="AS116" s="600"/>
      <c r="AT116" s="600"/>
      <c r="AU116" s="600"/>
      <c r="AV116" s="600"/>
      <c r="AW116" s="600"/>
      <c r="AX116" s="60"/>
      <c r="AY116" s="600"/>
      <c r="AZ116" s="600"/>
      <c r="BA116" s="600"/>
      <c r="BB116" s="600"/>
      <c r="BC116" s="600"/>
      <c r="BD116" s="60"/>
      <c r="BE116" s="600"/>
      <c r="BF116" s="600"/>
      <c r="BG116" s="600"/>
      <c r="BH116" s="600"/>
      <c r="BI116" s="600"/>
      <c r="BJ116" s="60"/>
      <c r="BK116" s="600"/>
      <c r="BL116" s="600"/>
      <c r="BM116" s="600"/>
      <c r="BN116" s="600"/>
      <c r="BO116" s="600"/>
      <c r="BP116" s="60"/>
      <c r="BQ116" s="600"/>
      <c r="BR116" s="600"/>
      <c r="BS116" s="600"/>
      <c r="BT116" s="600"/>
      <c r="BU116" s="600"/>
      <c r="BV116" s="60"/>
      <c r="BW116" s="447"/>
      <c r="BX116" s="447"/>
      <c r="BY116" s="447"/>
      <c r="BZ116" s="447">
        <v>28</v>
      </c>
      <c r="CA116" s="600">
        <f>SUM(BW116:BZ116)</f>
        <v>28</v>
      </c>
      <c r="CB116" s="60"/>
      <c r="CC116" s="447">
        <v>44.842500000000001</v>
      </c>
      <c r="CD116" s="447">
        <v>45.426112500000002</v>
      </c>
      <c r="CE116" s="447">
        <v>46.0009708125</v>
      </c>
      <c r="CF116" s="447">
        <v>18.567206250312495</v>
      </c>
      <c r="CG116" s="1448">
        <f t="shared" si="94"/>
        <v>154.8367895628125</v>
      </c>
      <c r="CH116" s="60"/>
      <c r="CI116" s="447"/>
      <c r="CJ116" s="447"/>
      <c r="CK116" s="447"/>
      <c r="CL116" s="447"/>
      <c r="CM116" s="1448">
        <f t="shared" si="95"/>
        <v>0</v>
      </c>
      <c r="CN116" s="60"/>
      <c r="CO116" s="447"/>
      <c r="CP116" s="447"/>
      <c r="CQ116" s="447"/>
      <c r="CR116" s="447"/>
      <c r="CS116" s="1448">
        <f t="shared" si="96"/>
        <v>0</v>
      </c>
      <c r="CT116" s="367"/>
      <c r="CU116" s="447"/>
      <c r="CV116" s="447"/>
      <c r="CW116" s="447"/>
      <c r="CX116" s="447"/>
      <c r="CY116" s="1448">
        <f t="shared" si="97"/>
        <v>0</v>
      </c>
      <c r="CZ116" s="86"/>
      <c r="DA116" s="447"/>
      <c r="DB116" s="447"/>
      <c r="DC116" s="447"/>
      <c r="DD116" s="447"/>
      <c r="DE116" s="1448">
        <f t="shared" si="98"/>
        <v>0</v>
      </c>
      <c r="DF116" s="367"/>
      <c r="DG116" s="447"/>
      <c r="DH116" s="447"/>
      <c r="DI116" s="447"/>
      <c r="DJ116" s="447"/>
      <c r="DK116" s="1448">
        <f t="shared" si="99"/>
        <v>0</v>
      </c>
      <c r="DL116" s="367"/>
      <c r="DM116" s="447"/>
      <c r="DN116" s="447"/>
      <c r="DO116" s="447"/>
      <c r="DP116" s="447"/>
      <c r="DQ116" s="1448">
        <f t="shared" si="100"/>
        <v>0</v>
      </c>
      <c r="DR116" s="367"/>
      <c r="DS116" s="447"/>
      <c r="DT116" s="447"/>
      <c r="DU116" s="447"/>
      <c r="DV116" s="447"/>
      <c r="DW116" s="1448">
        <f t="shared" si="101"/>
        <v>0</v>
      </c>
      <c r="DX116" s="367"/>
      <c r="DY116" s="447"/>
      <c r="DZ116" s="447"/>
      <c r="EA116" s="447"/>
      <c r="EB116" s="447"/>
      <c r="EC116" s="1448">
        <f t="shared" si="102"/>
        <v>0</v>
      </c>
      <c r="ED116" s="367"/>
      <c r="EE116" s="447"/>
      <c r="EF116" s="447"/>
      <c r="EG116" s="447"/>
      <c r="EH116" s="447"/>
      <c r="EI116" s="1448">
        <f t="shared" si="103"/>
        <v>0</v>
      </c>
      <c r="EJ116" s="367"/>
      <c r="EK116" s="447"/>
      <c r="EL116" s="447"/>
      <c r="EM116" s="447"/>
      <c r="EN116" s="447"/>
      <c r="EO116" s="1448">
        <f t="shared" si="104"/>
        <v>0</v>
      </c>
      <c r="EP116" s="367"/>
      <c r="EQ116" s="1832"/>
      <c r="ER116" s="1832"/>
      <c r="ES116" s="1832"/>
      <c r="ET116" s="1832"/>
      <c r="EU116" s="1833">
        <f t="shared" si="105"/>
        <v>0</v>
      </c>
      <c r="EV116" s="1834"/>
      <c r="EW116" s="1832"/>
      <c r="EX116" s="1832"/>
      <c r="EY116" s="1832"/>
      <c r="EZ116" s="1832"/>
      <c r="FA116" s="1833">
        <f t="shared" si="106"/>
        <v>0</v>
      </c>
      <c r="FB116" s="1834"/>
      <c r="FC116" s="1832"/>
      <c r="FD116" s="1832"/>
      <c r="FE116" s="1832"/>
      <c r="FF116" s="1832"/>
      <c r="FG116" s="1833">
        <f t="shared" si="107"/>
        <v>0</v>
      </c>
      <c r="FH116" s="1834"/>
      <c r="FI116" s="1832"/>
      <c r="FJ116" s="1832"/>
      <c r="FK116" s="1832"/>
      <c r="FL116" s="1832"/>
      <c r="FM116" s="1833">
        <f t="shared" si="108"/>
        <v>0</v>
      </c>
      <c r="FQ116"/>
      <c r="FR116"/>
      <c r="FS116"/>
      <c r="FT116"/>
      <c r="FU116"/>
      <c r="FV116"/>
      <c r="GB116" s="24"/>
      <c r="GC116" s="24"/>
      <c r="GD116" s="24"/>
      <c r="GE116" s="24"/>
      <c r="GF116" s="24"/>
      <c r="GG116" s="24"/>
      <c r="GH116" s="24"/>
      <c r="GI116" s="24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</row>
    <row r="117" spans="1:274" s="27" customFormat="1" ht="12" hidden="1" customHeight="1" outlineLevel="1" x14ac:dyDescent="0.2">
      <c r="A117" s="60" t="s">
        <v>1056</v>
      </c>
      <c r="B117" s="60"/>
      <c r="C117" s="600"/>
      <c r="D117" s="600"/>
      <c r="E117" s="600"/>
      <c r="F117" s="600"/>
      <c r="G117" s="600"/>
      <c r="H117" s="60"/>
      <c r="I117" s="600"/>
      <c r="J117" s="600"/>
      <c r="K117" s="600"/>
      <c r="L117" s="600"/>
      <c r="M117" s="600"/>
      <c r="N117" s="60"/>
      <c r="O117" s="600"/>
      <c r="P117" s="600"/>
      <c r="Q117" s="600"/>
      <c r="R117" s="600"/>
      <c r="S117" s="600"/>
      <c r="T117" s="60"/>
      <c r="U117" s="600"/>
      <c r="V117" s="600"/>
      <c r="W117" s="600"/>
      <c r="X117" s="600"/>
      <c r="Y117" s="600"/>
      <c r="Z117" s="60"/>
      <c r="AA117" s="600"/>
      <c r="AB117" s="600"/>
      <c r="AC117" s="600"/>
      <c r="AD117" s="600"/>
      <c r="AE117" s="600"/>
      <c r="AF117" s="60"/>
      <c r="AG117" s="600"/>
      <c r="AH117" s="600"/>
      <c r="AI117" s="600"/>
      <c r="AJ117" s="600"/>
      <c r="AK117" s="600"/>
      <c r="AL117" s="600"/>
      <c r="AM117" s="600"/>
      <c r="AN117" s="600"/>
      <c r="AO117" s="600"/>
      <c r="AP117" s="600"/>
      <c r="AQ117" s="600"/>
      <c r="AR117" s="60"/>
      <c r="AS117" s="600"/>
      <c r="AT117" s="600"/>
      <c r="AU117" s="600"/>
      <c r="AV117" s="600"/>
      <c r="AW117" s="600"/>
      <c r="AX117" s="60"/>
      <c r="AY117" s="600"/>
      <c r="AZ117" s="600"/>
      <c r="BA117" s="600"/>
      <c r="BB117" s="600"/>
      <c r="BC117" s="600"/>
      <c r="BD117" s="60"/>
      <c r="BE117" s="600"/>
      <c r="BF117" s="600"/>
      <c r="BG117" s="600"/>
      <c r="BH117" s="600"/>
      <c r="BI117" s="600"/>
      <c r="BJ117" s="60"/>
      <c r="BK117" s="600"/>
      <c r="BL117" s="600"/>
      <c r="BM117" s="600"/>
      <c r="BN117" s="600"/>
      <c r="BO117" s="600"/>
      <c r="BP117" s="60"/>
      <c r="BQ117" s="600"/>
      <c r="BR117" s="600"/>
      <c r="BS117" s="600"/>
      <c r="BT117" s="600"/>
      <c r="BU117" s="600"/>
      <c r="BV117" s="60"/>
      <c r="BW117" s="447"/>
      <c r="BX117" s="447"/>
      <c r="BY117" s="447"/>
      <c r="BZ117" s="447">
        <v>5</v>
      </c>
      <c r="CA117" s="600">
        <f>SUM(BW117:BZ117)</f>
        <v>5</v>
      </c>
      <c r="CB117" s="60"/>
      <c r="CC117" s="447">
        <v>8</v>
      </c>
      <c r="CD117" s="447">
        <v>8</v>
      </c>
      <c r="CE117" s="447">
        <v>8</v>
      </c>
      <c r="CF117" s="447">
        <f>8-BZ117</f>
        <v>3</v>
      </c>
      <c r="CG117" s="1448">
        <f t="shared" si="94"/>
        <v>27</v>
      </c>
      <c r="CH117" s="60"/>
      <c r="CI117" s="447"/>
      <c r="CJ117" s="447"/>
      <c r="CK117" s="447"/>
      <c r="CL117" s="447"/>
      <c r="CM117" s="1448">
        <f t="shared" si="95"/>
        <v>0</v>
      </c>
      <c r="CN117" s="60"/>
      <c r="CO117" s="447"/>
      <c r="CP117" s="447"/>
      <c r="CQ117" s="447"/>
      <c r="CR117" s="447"/>
      <c r="CS117" s="1448">
        <f t="shared" si="96"/>
        <v>0</v>
      </c>
      <c r="CT117" s="367"/>
      <c r="CU117" s="447"/>
      <c r="CV117" s="447"/>
      <c r="CW117" s="447"/>
      <c r="CX117" s="447"/>
      <c r="CY117" s="1448">
        <f t="shared" si="97"/>
        <v>0</v>
      </c>
      <c r="CZ117" s="86"/>
      <c r="DA117" s="447"/>
      <c r="DB117" s="447"/>
      <c r="DC117" s="447"/>
      <c r="DD117" s="447"/>
      <c r="DE117" s="1448">
        <f t="shared" si="98"/>
        <v>0</v>
      </c>
      <c r="DF117" s="367"/>
      <c r="DG117" s="447"/>
      <c r="DH117" s="447"/>
      <c r="DI117" s="447"/>
      <c r="DJ117" s="447"/>
      <c r="DK117" s="1448">
        <f t="shared" si="99"/>
        <v>0</v>
      </c>
      <c r="DL117" s="367"/>
      <c r="DM117" s="447"/>
      <c r="DN117" s="447"/>
      <c r="DO117" s="447"/>
      <c r="DP117" s="447"/>
      <c r="DQ117" s="1448">
        <f t="shared" si="100"/>
        <v>0</v>
      </c>
      <c r="DR117" s="367"/>
      <c r="DS117" s="447"/>
      <c r="DT117" s="447"/>
      <c r="DU117" s="447"/>
      <c r="DV117" s="447"/>
      <c r="DW117" s="1448">
        <f t="shared" si="101"/>
        <v>0</v>
      </c>
      <c r="DX117" s="367"/>
      <c r="DY117" s="447"/>
      <c r="DZ117" s="447"/>
      <c r="EA117" s="447"/>
      <c r="EB117" s="447"/>
      <c r="EC117" s="1448">
        <f t="shared" si="102"/>
        <v>0</v>
      </c>
      <c r="ED117" s="367"/>
      <c r="EE117" s="447"/>
      <c r="EF117" s="447"/>
      <c r="EG117" s="447"/>
      <c r="EH117" s="447"/>
      <c r="EI117" s="1448">
        <f t="shared" si="103"/>
        <v>0</v>
      </c>
      <c r="EJ117" s="367"/>
      <c r="EK117" s="447"/>
      <c r="EL117" s="447"/>
      <c r="EM117" s="447"/>
      <c r="EN117" s="447"/>
      <c r="EO117" s="1448">
        <f t="shared" si="104"/>
        <v>0</v>
      </c>
      <c r="EP117" s="367"/>
      <c r="EQ117" s="1832"/>
      <c r="ER117" s="1832"/>
      <c r="ES117" s="1832"/>
      <c r="ET117" s="1832"/>
      <c r="EU117" s="1833">
        <f t="shared" si="105"/>
        <v>0</v>
      </c>
      <c r="EV117" s="1834"/>
      <c r="EW117" s="1832"/>
      <c r="EX117" s="1832"/>
      <c r="EY117" s="1832"/>
      <c r="EZ117" s="1832"/>
      <c r="FA117" s="1833">
        <f t="shared" si="106"/>
        <v>0</v>
      </c>
      <c r="FB117" s="1834"/>
      <c r="FC117" s="1832"/>
      <c r="FD117" s="1832"/>
      <c r="FE117" s="1832"/>
      <c r="FF117" s="1832"/>
      <c r="FG117" s="1833">
        <f t="shared" si="107"/>
        <v>0</v>
      </c>
      <c r="FH117" s="1834"/>
      <c r="FI117" s="1832"/>
      <c r="FJ117" s="1832"/>
      <c r="FK117" s="1832"/>
      <c r="FL117" s="1832"/>
      <c r="FM117" s="1833">
        <f t="shared" si="108"/>
        <v>0</v>
      </c>
      <c r="FQ117"/>
      <c r="FR117"/>
      <c r="FS117"/>
      <c r="FT117"/>
      <c r="FU117"/>
      <c r="FV117"/>
      <c r="GB117" s="24"/>
      <c r="GC117" s="24"/>
      <c r="GD117" s="24"/>
      <c r="GE117" s="24"/>
      <c r="GF117" s="24"/>
      <c r="GG117" s="24"/>
      <c r="GH117" s="24"/>
      <c r="GI117" s="24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</row>
    <row r="118" spans="1:274" s="27" customFormat="1" ht="12" hidden="1" customHeight="1" outlineLevel="1" x14ac:dyDescent="0.2">
      <c r="A118" s="60" t="s">
        <v>1058</v>
      </c>
      <c r="B118" s="60"/>
      <c r="C118" s="600"/>
      <c r="D118" s="600"/>
      <c r="E118" s="600"/>
      <c r="F118" s="600"/>
      <c r="G118" s="600"/>
      <c r="H118" s="60"/>
      <c r="I118" s="600"/>
      <c r="J118" s="600"/>
      <c r="K118" s="600"/>
      <c r="L118" s="600"/>
      <c r="M118" s="600"/>
      <c r="N118" s="60"/>
      <c r="O118" s="600"/>
      <c r="P118" s="600"/>
      <c r="Q118" s="600"/>
      <c r="R118" s="600"/>
      <c r="S118" s="600"/>
      <c r="T118" s="60"/>
      <c r="U118" s="600"/>
      <c r="V118" s="600"/>
      <c r="W118" s="600"/>
      <c r="X118" s="600"/>
      <c r="Y118" s="600"/>
      <c r="Z118" s="60"/>
      <c r="AA118" s="600"/>
      <c r="AB118" s="600"/>
      <c r="AC118" s="600"/>
      <c r="AD118" s="600"/>
      <c r="AE118" s="600"/>
      <c r="AF118" s="60"/>
      <c r="AG118" s="600"/>
      <c r="AH118" s="600"/>
      <c r="AI118" s="600"/>
      <c r="AJ118" s="600"/>
      <c r="AK118" s="600"/>
      <c r="AL118" s="600"/>
      <c r="AM118" s="600"/>
      <c r="AN118" s="600"/>
      <c r="AO118" s="600"/>
      <c r="AP118" s="600"/>
      <c r="AQ118" s="600"/>
      <c r="AR118" s="60"/>
      <c r="AS118" s="600"/>
      <c r="AT118" s="600"/>
      <c r="AU118" s="600"/>
      <c r="AV118" s="600"/>
      <c r="AW118" s="600"/>
      <c r="AX118" s="60"/>
      <c r="AY118" s="600"/>
      <c r="AZ118" s="600"/>
      <c r="BA118" s="600"/>
      <c r="BB118" s="600"/>
      <c r="BC118" s="600"/>
      <c r="BD118" s="60"/>
      <c r="BE118" s="600"/>
      <c r="BF118" s="600"/>
      <c r="BG118" s="600"/>
      <c r="BH118" s="600"/>
      <c r="BI118" s="600"/>
      <c r="BJ118" s="60"/>
      <c r="BK118" s="600"/>
      <c r="BL118" s="600"/>
      <c r="BM118" s="600"/>
      <c r="BN118" s="600"/>
      <c r="BO118" s="600"/>
      <c r="BP118" s="60"/>
      <c r="BQ118" s="600"/>
      <c r="BR118" s="600"/>
      <c r="BS118" s="600"/>
      <c r="BT118" s="600"/>
      <c r="BU118" s="600"/>
      <c r="BV118" s="60"/>
      <c r="BW118" s="447"/>
      <c r="BX118" s="447"/>
      <c r="BY118" s="447"/>
      <c r="BZ118" s="447"/>
      <c r="CA118" s="600"/>
      <c r="CB118" s="60"/>
      <c r="CC118" s="447">
        <v>4</v>
      </c>
      <c r="CD118" s="447">
        <v>4</v>
      </c>
      <c r="CE118" s="447">
        <v>4</v>
      </c>
      <c r="CF118" s="447">
        <v>4</v>
      </c>
      <c r="CG118" s="1448">
        <f t="shared" si="94"/>
        <v>16</v>
      </c>
      <c r="CH118" s="60"/>
      <c r="CI118" s="447"/>
      <c r="CJ118" s="447"/>
      <c r="CK118" s="447"/>
      <c r="CL118" s="447"/>
      <c r="CM118" s="1448">
        <f t="shared" si="95"/>
        <v>0</v>
      </c>
      <c r="CN118" s="60"/>
      <c r="CO118" s="447"/>
      <c r="CP118" s="447"/>
      <c r="CQ118" s="447"/>
      <c r="CR118" s="447"/>
      <c r="CS118" s="1448">
        <f t="shared" si="96"/>
        <v>0</v>
      </c>
      <c r="CT118" s="367"/>
      <c r="CU118" s="447"/>
      <c r="CV118" s="447"/>
      <c r="CW118" s="447"/>
      <c r="CX118" s="447"/>
      <c r="CY118" s="1448">
        <f t="shared" si="97"/>
        <v>0</v>
      </c>
      <c r="CZ118" s="86"/>
      <c r="DA118" s="447"/>
      <c r="DB118" s="447"/>
      <c r="DC118" s="447"/>
      <c r="DD118" s="447"/>
      <c r="DE118" s="1448">
        <f t="shared" si="98"/>
        <v>0</v>
      </c>
      <c r="DF118" s="367"/>
      <c r="DG118" s="447"/>
      <c r="DH118" s="447"/>
      <c r="DI118" s="447"/>
      <c r="DJ118" s="447"/>
      <c r="DK118" s="1448">
        <f t="shared" si="99"/>
        <v>0</v>
      </c>
      <c r="DL118" s="367"/>
      <c r="DM118" s="447"/>
      <c r="DN118" s="447"/>
      <c r="DO118" s="447"/>
      <c r="DP118" s="447"/>
      <c r="DQ118" s="1448">
        <f t="shared" si="100"/>
        <v>0</v>
      </c>
      <c r="DR118" s="367"/>
      <c r="DS118" s="447"/>
      <c r="DT118" s="447"/>
      <c r="DU118" s="447"/>
      <c r="DV118" s="447"/>
      <c r="DW118" s="1448">
        <f t="shared" si="101"/>
        <v>0</v>
      </c>
      <c r="DX118" s="367"/>
      <c r="DY118" s="447"/>
      <c r="DZ118" s="447"/>
      <c r="EA118" s="447"/>
      <c r="EB118" s="447"/>
      <c r="EC118" s="1448">
        <f t="shared" si="102"/>
        <v>0</v>
      </c>
      <c r="ED118" s="367"/>
      <c r="EE118" s="447"/>
      <c r="EF118" s="447"/>
      <c r="EG118" s="447"/>
      <c r="EH118" s="447"/>
      <c r="EI118" s="1448">
        <f t="shared" si="103"/>
        <v>0</v>
      </c>
      <c r="EJ118" s="367"/>
      <c r="EK118" s="447"/>
      <c r="EL118" s="447"/>
      <c r="EM118" s="447"/>
      <c r="EN118" s="447"/>
      <c r="EO118" s="1448">
        <f t="shared" si="104"/>
        <v>0</v>
      </c>
      <c r="EP118" s="367"/>
      <c r="EQ118" s="1832"/>
      <c r="ER118" s="1832"/>
      <c r="ES118" s="1832"/>
      <c r="ET118" s="1832"/>
      <c r="EU118" s="1833">
        <f t="shared" si="105"/>
        <v>0</v>
      </c>
      <c r="EV118" s="1834"/>
      <c r="EW118" s="1832"/>
      <c r="EX118" s="1832"/>
      <c r="EY118" s="1832"/>
      <c r="EZ118" s="1832"/>
      <c r="FA118" s="1833">
        <f t="shared" si="106"/>
        <v>0</v>
      </c>
      <c r="FB118" s="1834"/>
      <c r="FC118" s="1832"/>
      <c r="FD118" s="1832"/>
      <c r="FE118" s="1832"/>
      <c r="FF118" s="1832"/>
      <c r="FG118" s="1833">
        <f t="shared" si="107"/>
        <v>0</v>
      </c>
      <c r="FH118" s="1834"/>
      <c r="FI118" s="1832"/>
      <c r="FJ118" s="1832"/>
      <c r="FK118" s="1832"/>
      <c r="FL118" s="1832"/>
      <c r="FM118" s="1833">
        <f t="shared" si="108"/>
        <v>0</v>
      </c>
      <c r="FQ118"/>
      <c r="FR118"/>
      <c r="FS118"/>
      <c r="FT118"/>
      <c r="FU118"/>
      <c r="FV118"/>
      <c r="GB118" s="24"/>
      <c r="GC118" s="24"/>
      <c r="GD118" s="24"/>
      <c r="GE118" s="24"/>
      <c r="GF118" s="24"/>
      <c r="GG118" s="24"/>
      <c r="GH118" s="24"/>
      <c r="GI118" s="24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</row>
    <row r="119" spans="1:274" s="27" customFormat="1" ht="12" hidden="1" customHeight="1" outlineLevel="1" x14ac:dyDescent="0.2">
      <c r="A119" s="60" t="s">
        <v>63</v>
      </c>
      <c r="B119" s="60"/>
      <c r="C119" s="600"/>
      <c r="D119" s="600"/>
      <c r="E119" s="600"/>
      <c r="F119" s="600"/>
      <c r="G119" s="600"/>
      <c r="H119" s="60"/>
      <c r="I119" s="600"/>
      <c r="J119" s="600"/>
      <c r="K119" s="600"/>
      <c r="L119" s="600"/>
      <c r="M119" s="600"/>
      <c r="N119" s="60"/>
      <c r="O119" s="600"/>
      <c r="P119" s="600"/>
      <c r="Q119" s="600"/>
      <c r="R119" s="600"/>
      <c r="S119" s="600"/>
      <c r="T119" s="60"/>
      <c r="U119" s="600"/>
      <c r="V119" s="600"/>
      <c r="W119" s="600"/>
      <c r="X119" s="600"/>
      <c r="Y119" s="600"/>
      <c r="Z119" s="60"/>
      <c r="AA119" s="600"/>
      <c r="AB119" s="600"/>
      <c r="AC119" s="600"/>
      <c r="AD119" s="600"/>
      <c r="AE119" s="600"/>
      <c r="AF119" s="60"/>
      <c r="AG119" s="600"/>
      <c r="AH119" s="600"/>
      <c r="AI119" s="600"/>
      <c r="AJ119" s="600"/>
      <c r="AK119" s="600"/>
      <c r="AL119" s="600"/>
      <c r="AM119" s="600"/>
      <c r="AN119" s="600"/>
      <c r="AO119" s="600"/>
      <c r="AP119" s="600"/>
      <c r="AQ119" s="600"/>
      <c r="AR119" s="60"/>
      <c r="AS119" s="600"/>
      <c r="AT119" s="600"/>
      <c r="AU119" s="600"/>
      <c r="AV119" s="600"/>
      <c r="AW119" s="600"/>
      <c r="AX119" s="60"/>
      <c r="AY119" s="600"/>
      <c r="AZ119" s="600"/>
      <c r="BA119" s="600"/>
      <c r="BB119" s="600"/>
      <c r="BC119" s="600"/>
      <c r="BD119" s="60"/>
      <c r="BE119" s="600"/>
      <c r="BF119" s="600"/>
      <c r="BG119" s="600"/>
      <c r="BH119" s="600"/>
      <c r="BI119" s="600"/>
      <c r="BJ119" s="60"/>
      <c r="BK119" s="600"/>
      <c r="BL119" s="600"/>
      <c r="BM119" s="600"/>
      <c r="BN119" s="600"/>
      <c r="BO119" s="600"/>
      <c r="BP119" s="60"/>
      <c r="BQ119" s="600"/>
      <c r="BR119" s="600"/>
      <c r="BS119" s="600"/>
      <c r="BT119" s="600"/>
      <c r="BU119" s="600"/>
      <c r="BV119" s="60"/>
      <c r="BW119" s="447"/>
      <c r="BX119" s="447"/>
      <c r="BY119" s="447"/>
      <c r="BZ119" s="447"/>
      <c r="CA119" s="600"/>
      <c r="CB119" s="60"/>
      <c r="CC119" s="447">
        <f>16-CC61</f>
        <v>16</v>
      </c>
      <c r="CD119" s="447">
        <f>16-CD61</f>
        <v>16</v>
      </c>
      <c r="CE119" s="447">
        <f>16-CE61</f>
        <v>16</v>
      </c>
      <c r="CF119" s="447">
        <f>16-CF61</f>
        <v>16</v>
      </c>
      <c r="CG119" s="1448">
        <f t="shared" si="94"/>
        <v>64</v>
      </c>
      <c r="CH119" s="60"/>
      <c r="CI119" s="447"/>
      <c r="CJ119" s="447"/>
      <c r="CK119" s="447"/>
      <c r="CL119" s="447"/>
      <c r="CM119" s="1448">
        <f t="shared" si="95"/>
        <v>0</v>
      </c>
      <c r="CN119" s="60"/>
      <c r="CO119" s="447"/>
      <c r="CP119" s="447"/>
      <c r="CQ119" s="447"/>
      <c r="CR119" s="447"/>
      <c r="CS119" s="1448">
        <f t="shared" si="96"/>
        <v>0</v>
      </c>
      <c r="CT119" s="367"/>
      <c r="CU119" s="447"/>
      <c r="CV119" s="447"/>
      <c r="CW119" s="447"/>
      <c r="CX119" s="447"/>
      <c r="CY119" s="1448">
        <f t="shared" si="97"/>
        <v>0</v>
      </c>
      <c r="CZ119" s="86"/>
      <c r="DA119" s="447"/>
      <c r="DB119" s="447"/>
      <c r="DC119" s="447"/>
      <c r="DD119" s="447"/>
      <c r="DE119" s="1448">
        <f t="shared" si="98"/>
        <v>0</v>
      </c>
      <c r="DF119" s="367"/>
      <c r="DG119" s="447"/>
      <c r="DH119" s="447"/>
      <c r="DI119" s="447"/>
      <c r="DJ119" s="447"/>
      <c r="DK119" s="1448">
        <f t="shared" si="99"/>
        <v>0</v>
      </c>
      <c r="DL119" s="367"/>
      <c r="DM119" s="447"/>
      <c r="DN119" s="447"/>
      <c r="DO119" s="447"/>
      <c r="DP119" s="447"/>
      <c r="DQ119" s="1448">
        <f t="shared" si="100"/>
        <v>0</v>
      </c>
      <c r="DR119" s="367"/>
      <c r="DS119" s="447"/>
      <c r="DT119" s="447"/>
      <c r="DU119" s="447"/>
      <c r="DV119" s="447"/>
      <c r="DW119" s="1448">
        <f t="shared" si="101"/>
        <v>0</v>
      </c>
      <c r="DX119" s="367"/>
      <c r="DY119" s="447"/>
      <c r="DZ119" s="447"/>
      <c r="EA119" s="447"/>
      <c r="EB119" s="447"/>
      <c r="EC119" s="1448">
        <f t="shared" si="102"/>
        <v>0</v>
      </c>
      <c r="ED119" s="367"/>
      <c r="EE119" s="447"/>
      <c r="EF119" s="447"/>
      <c r="EG119" s="447"/>
      <c r="EH119" s="447"/>
      <c r="EI119" s="1448">
        <f t="shared" si="103"/>
        <v>0</v>
      </c>
      <c r="EJ119" s="367"/>
      <c r="EK119" s="447"/>
      <c r="EL119" s="447"/>
      <c r="EM119" s="447"/>
      <c r="EN119" s="447"/>
      <c r="EO119" s="1448">
        <f t="shared" si="104"/>
        <v>0</v>
      </c>
      <c r="EP119" s="367"/>
      <c r="EQ119" s="1832"/>
      <c r="ER119" s="1832"/>
      <c r="ES119" s="1832"/>
      <c r="ET119" s="1832"/>
      <c r="EU119" s="1833">
        <f t="shared" si="105"/>
        <v>0</v>
      </c>
      <c r="EV119" s="1834"/>
      <c r="EW119" s="1832"/>
      <c r="EX119" s="1832"/>
      <c r="EY119" s="1832"/>
      <c r="EZ119" s="1832"/>
      <c r="FA119" s="1833">
        <f t="shared" si="106"/>
        <v>0</v>
      </c>
      <c r="FB119" s="1834"/>
      <c r="FC119" s="1832"/>
      <c r="FD119" s="1832"/>
      <c r="FE119" s="1832"/>
      <c r="FF119" s="1832"/>
      <c r="FG119" s="1833">
        <f t="shared" si="107"/>
        <v>0</v>
      </c>
      <c r="FH119" s="1834"/>
      <c r="FI119" s="1832"/>
      <c r="FJ119" s="1832"/>
      <c r="FK119" s="1832"/>
      <c r="FL119" s="1832"/>
      <c r="FM119" s="1833">
        <f t="shared" si="108"/>
        <v>0</v>
      </c>
      <c r="FQ119"/>
      <c r="FR119"/>
      <c r="FS119"/>
      <c r="FT119"/>
      <c r="FU119"/>
      <c r="FV119"/>
      <c r="GB119" s="24"/>
      <c r="GC119" s="24"/>
      <c r="GD119" s="24"/>
      <c r="GE119" s="24"/>
      <c r="GF119" s="24"/>
      <c r="GG119" s="24"/>
      <c r="GH119" s="24"/>
      <c r="GI119" s="24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</row>
    <row r="120" spans="1:274" s="27" customFormat="1" ht="12" hidden="1" customHeight="1" outlineLevel="1" x14ac:dyDescent="0.2">
      <c r="A120" s="60" t="s">
        <v>903</v>
      </c>
      <c r="B120" s="60"/>
      <c r="C120" s="600"/>
      <c r="D120" s="600"/>
      <c r="E120" s="600"/>
      <c r="F120" s="600"/>
      <c r="G120" s="600"/>
      <c r="H120" s="60"/>
      <c r="I120" s="600"/>
      <c r="J120" s="600"/>
      <c r="K120" s="600"/>
      <c r="L120" s="600"/>
      <c r="M120" s="600"/>
      <c r="N120" s="60"/>
      <c r="O120" s="600"/>
      <c r="P120" s="600"/>
      <c r="Q120" s="600"/>
      <c r="R120" s="600"/>
      <c r="S120" s="600"/>
      <c r="T120" s="60"/>
      <c r="U120" s="600"/>
      <c r="V120" s="600"/>
      <c r="W120" s="600"/>
      <c r="X120" s="600"/>
      <c r="Y120" s="600"/>
      <c r="Z120" s="60"/>
      <c r="AA120" s="600"/>
      <c r="AB120" s="600"/>
      <c r="AC120" s="600"/>
      <c r="AD120" s="600"/>
      <c r="AE120" s="600"/>
      <c r="AF120" s="60"/>
      <c r="AG120" s="600"/>
      <c r="AH120" s="600"/>
      <c r="AI120" s="600"/>
      <c r="AJ120" s="600"/>
      <c r="AK120" s="600"/>
      <c r="AL120" s="600"/>
      <c r="AM120" s="600"/>
      <c r="AN120" s="600"/>
      <c r="AO120" s="600"/>
      <c r="AP120" s="600"/>
      <c r="AQ120" s="600"/>
      <c r="AR120" s="60"/>
      <c r="AS120" s="600"/>
      <c r="AT120" s="600"/>
      <c r="AU120" s="600"/>
      <c r="AV120" s="600"/>
      <c r="AW120" s="600"/>
      <c r="AX120" s="60"/>
      <c r="AY120" s="600"/>
      <c r="AZ120" s="600"/>
      <c r="BA120" s="600"/>
      <c r="BB120" s="600"/>
      <c r="BC120" s="600"/>
      <c r="BD120" s="60"/>
      <c r="BE120" s="600"/>
      <c r="BF120" s="600"/>
      <c r="BG120" s="600"/>
      <c r="BH120" s="600"/>
      <c r="BI120" s="600"/>
      <c r="BJ120" s="60"/>
      <c r="BK120" s="600"/>
      <c r="BL120" s="600"/>
      <c r="BM120" s="600"/>
      <c r="BN120" s="600"/>
      <c r="BO120" s="600"/>
      <c r="BP120" s="60"/>
      <c r="BQ120" s="600"/>
      <c r="BR120" s="600"/>
      <c r="BS120" s="600"/>
      <c r="BT120" s="600"/>
      <c r="BU120" s="600"/>
      <c r="BV120" s="60"/>
      <c r="BW120" s="447"/>
      <c r="BX120" s="447"/>
      <c r="BY120" s="447"/>
      <c r="BZ120" s="447"/>
      <c r="CA120" s="600"/>
      <c r="CB120" s="60"/>
      <c r="CC120" s="447"/>
      <c r="CD120" s="447"/>
      <c r="CE120" s="447">
        <v>98</v>
      </c>
      <c r="CF120" s="447">
        <v>282</v>
      </c>
      <c r="CG120" s="1448">
        <f t="shared" si="94"/>
        <v>380</v>
      </c>
      <c r="CH120" s="60"/>
      <c r="CI120" s="447">
        <v>270</v>
      </c>
      <c r="CJ120" s="447">
        <f>59+19+106+34+53+30</f>
        <v>301</v>
      </c>
      <c r="CK120" s="447">
        <f>310-CE120</f>
        <v>212</v>
      </c>
      <c r="CL120" s="447"/>
      <c r="CM120" s="1448">
        <f t="shared" si="95"/>
        <v>783</v>
      </c>
      <c r="CN120" s="60"/>
      <c r="CO120" s="447"/>
      <c r="CP120" s="447"/>
      <c r="CQ120" s="447"/>
      <c r="CR120" s="447"/>
      <c r="CS120" s="1448">
        <f t="shared" si="96"/>
        <v>0</v>
      </c>
      <c r="CT120" s="367"/>
      <c r="CU120" s="447"/>
      <c r="CV120" s="447"/>
      <c r="CW120" s="447"/>
      <c r="CX120" s="447"/>
      <c r="CY120" s="1448">
        <f t="shared" si="97"/>
        <v>0</v>
      </c>
      <c r="CZ120" s="86"/>
      <c r="DA120" s="447"/>
      <c r="DB120" s="447"/>
      <c r="DC120" s="447"/>
      <c r="DD120" s="447"/>
      <c r="DE120" s="1448">
        <f t="shared" si="98"/>
        <v>0</v>
      </c>
      <c r="DF120" s="367"/>
      <c r="DG120" s="447"/>
      <c r="DH120" s="447"/>
      <c r="DI120" s="447"/>
      <c r="DJ120" s="447"/>
      <c r="DK120" s="1448">
        <f t="shared" si="99"/>
        <v>0</v>
      </c>
      <c r="DL120" s="367"/>
      <c r="DM120" s="447"/>
      <c r="DN120" s="447"/>
      <c r="DO120" s="447"/>
      <c r="DP120" s="447"/>
      <c r="DQ120" s="1448">
        <f t="shared" si="100"/>
        <v>0</v>
      </c>
      <c r="DR120" s="367"/>
      <c r="DS120" s="447"/>
      <c r="DT120" s="447"/>
      <c r="DU120" s="447"/>
      <c r="DV120" s="447"/>
      <c r="DW120" s="1448">
        <f t="shared" si="101"/>
        <v>0</v>
      </c>
      <c r="DX120" s="367"/>
      <c r="DY120" s="447"/>
      <c r="DZ120" s="447"/>
      <c r="EA120" s="447"/>
      <c r="EB120" s="447"/>
      <c r="EC120" s="1448">
        <f t="shared" si="102"/>
        <v>0</v>
      </c>
      <c r="ED120" s="367"/>
      <c r="EE120" s="447"/>
      <c r="EF120" s="447"/>
      <c r="EG120" s="447"/>
      <c r="EH120" s="447"/>
      <c r="EI120" s="1448">
        <f t="shared" si="103"/>
        <v>0</v>
      </c>
      <c r="EJ120" s="367"/>
      <c r="EK120" s="447"/>
      <c r="EL120" s="447"/>
      <c r="EM120" s="447"/>
      <c r="EN120" s="447"/>
      <c r="EO120" s="1448">
        <f t="shared" si="104"/>
        <v>0</v>
      </c>
      <c r="EP120" s="367"/>
      <c r="EQ120" s="1832"/>
      <c r="ER120" s="1832"/>
      <c r="ES120" s="1832"/>
      <c r="ET120" s="1832"/>
      <c r="EU120" s="1833">
        <f t="shared" si="105"/>
        <v>0</v>
      </c>
      <c r="EV120" s="1834"/>
      <c r="EW120" s="1832"/>
      <c r="EX120" s="1832"/>
      <c r="EY120" s="1832"/>
      <c r="EZ120" s="1832"/>
      <c r="FA120" s="1833">
        <f t="shared" si="106"/>
        <v>0</v>
      </c>
      <c r="FB120" s="1834"/>
      <c r="FC120" s="1832"/>
      <c r="FD120" s="1832"/>
      <c r="FE120" s="1832"/>
      <c r="FF120" s="1832"/>
      <c r="FG120" s="1833">
        <f t="shared" si="107"/>
        <v>0</v>
      </c>
      <c r="FH120" s="1834"/>
      <c r="FI120" s="1832"/>
      <c r="FJ120" s="1832"/>
      <c r="FK120" s="1832"/>
      <c r="FL120" s="1832"/>
      <c r="FM120" s="1833">
        <f t="shared" si="108"/>
        <v>0</v>
      </c>
      <c r="FQ120"/>
      <c r="FR120"/>
      <c r="FS120"/>
      <c r="FT120"/>
      <c r="FU120"/>
      <c r="FV120"/>
      <c r="GB120" s="24"/>
      <c r="GC120" s="24"/>
      <c r="GD120" s="24"/>
      <c r="GE120" s="24"/>
      <c r="GF120" s="24"/>
      <c r="GG120" s="24"/>
      <c r="GH120" s="24"/>
      <c r="GI120" s="24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</row>
    <row r="121" spans="1:274" s="27" customFormat="1" ht="12" hidden="1" customHeight="1" outlineLevel="1" x14ac:dyDescent="0.2">
      <c r="A121" s="60" t="s">
        <v>143</v>
      </c>
      <c r="B121" s="60"/>
      <c r="C121" s="600"/>
      <c r="D121" s="600"/>
      <c r="E121" s="600"/>
      <c r="F121" s="600"/>
      <c r="G121" s="600"/>
      <c r="H121" s="60"/>
      <c r="I121" s="600"/>
      <c r="J121" s="600"/>
      <c r="K121" s="600"/>
      <c r="L121" s="600"/>
      <c r="M121" s="600"/>
      <c r="N121" s="60"/>
      <c r="O121" s="600"/>
      <c r="P121" s="600"/>
      <c r="Q121" s="600"/>
      <c r="R121" s="600"/>
      <c r="S121" s="600"/>
      <c r="T121" s="60"/>
      <c r="U121" s="600"/>
      <c r="V121" s="600"/>
      <c r="W121" s="600"/>
      <c r="X121" s="600"/>
      <c r="Y121" s="600"/>
      <c r="Z121" s="60"/>
      <c r="AA121" s="600"/>
      <c r="AB121" s="600"/>
      <c r="AC121" s="600"/>
      <c r="AD121" s="600"/>
      <c r="AE121" s="600"/>
      <c r="AF121" s="60"/>
      <c r="AG121" s="600"/>
      <c r="AH121" s="600"/>
      <c r="AI121" s="600"/>
      <c r="AJ121" s="600"/>
      <c r="AK121" s="600"/>
      <c r="AL121" s="600"/>
      <c r="AM121" s="600"/>
      <c r="AN121" s="600"/>
      <c r="AO121" s="600"/>
      <c r="AP121" s="600"/>
      <c r="AQ121" s="600"/>
      <c r="AR121" s="60"/>
      <c r="AS121" s="600"/>
      <c r="AT121" s="600"/>
      <c r="AU121" s="600"/>
      <c r="AV121" s="600"/>
      <c r="AW121" s="600"/>
      <c r="AX121" s="60"/>
      <c r="AY121" s="600"/>
      <c r="AZ121" s="600"/>
      <c r="BA121" s="600"/>
      <c r="BB121" s="600"/>
      <c r="BC121" s="600"/>
      <c r="BD121" s="60"/>
      <c r="BE121" s="600"/>
      <c r="BF121" s="600"/>
      <c r="BG121" s="600"/>
      <c r="BH121" s="600"/>
      <c r="BI121" s="600"/>
      <c r="BJ121" s="60"/>
      <c r="BK121" s="600"/>
      <c r="BL121" s="600"/>
      <c r="BM121" s="600"/>
      <c r="BN121" s="600"/>
      <c r="BO121" s="600"/>
      <c r="BP121" s="60"/>
      <c r="BQ121" s="600"/>
      <c r="BR121" s="600"/>
      <c r="BS121" s="600"/>
      <c r="BT121" s="600"/>
      <c r="BU121" s="600"/>
      <c r="BV121" s="60"/>
      <c r="BW121" s="447"/>
      <c r="BX121" s="447"/>
      <c r="BY121" s="447"/>
      <c r="BZ121" s="447"/>
      <c r="CA121" s="600"/>
      <c r="CB121" s="60"/>
      <c r="CC121" s="447"/>
      <c r="CD121" s="447"/>
      <c r="CE121" s="447"/>
      <c r="CF121" s="447"/>
      <c r="CG121" s="1448">
        <f t="shared" si="94"/>
        <v>0</v>
      </c>
      <c r="CH121" s="60"/>
      <c r="CI121" s="447">
        <f>66+9+9</f>
        <v>84</v>
      </c>
      <c r="CJ121" s="447">
        <f>89+11+9</f>
        <v>109</v>
      </c>
      <c r="CK121" s="447">
        <f>93+14+9</f>
        <v>116</v>
      </c>
      <c r="CL121" s="447">
        <f>446-CK121-CJ121-CI121</f>
        <v>137</v>
      </c>
      <c r="CM121" s="1448">
        <f t="shared" si="95"/>
        <v>446</v>
      </c>
      <c r="CN121" s="60"/>
      <c r="CO121" s="447"/>
      <c r="CP121" s="447"/>
      <c r="CQ121" s="447"/>
      <c r="CR121" s="447"/>
      <c r="CS121" s="1448">
        <f t="shared" si="96"/>
        <v>0</v>
      </c>
      <c r="CT121" s="367"/>
      <c r="CU121" s="447"/>
      <c r="CV121" s="447"/>
      <c r="CW121" s="447"/>
      <c r="CX121" s="447"/>
      <c r="CY121" s="1448">
        <f t="shared" si="97"/>
        <v>0</v>
      </c>
      <c r="CZ121" s="86"/>
      <c r="DA121" s="447"/>
      <c r="DB121" s="447"/>
      <c r="DC121" s="447"/>
      <c r="DD121" s="447"/>
      <c r="DE121" s="1448">
        <f t="shared" si="98"/>
        <v>0</v>
      </c>
      <c r="DF121" s="367"/>
      <c r="DG121" s="447"/>
      <c r="DH121" s="447"/>
      <c r="DI121" s="447"/>
      <c r="DJ121" s="447"/>
      <c r="DK121" s="1448">
        <f t="shared" si="99"/>
        <v>0</v>
      </c>
      <c r="DL121" s="367"/>
      <c r="DM121" s="447"/>
      <c r="DN121" s="447"/>
      <c r="DO121" s="447"/>
      <c r="DP121" s="447"/>
      <c r="DQ121" s="1448">
        <f t="shared" si="100"/>
        <v>0</v>
      </c>
      <c r="DR121" s="367"/>
      <c r="DS121" s="447"/>
      <c r="DT121" s="447"/>
      <c r="DU121" s="447"/>
      <c r="DV121" s="447"/>
      <c r="DW121" s="1448">
        <f t="shared" si="101"/>
        <v>0</v>
      </c>
      <c r="DX121" s="367"/>
      <c r="DY121" s="447"/>
      <c r="DZ121" s="447"/>
      <c r="EA121" s="447"/>
      <c r="EB121" s="447"/>
      <c r="EC121" s="1448">
        <f t="shared" si="102"/>
        <v>0</v>
      </c>
      <c r="ED121" s="367"/>
      <c r="EE121" s="447"/>
      <c r="EF121" s="447"/>
      <c r="EG121" s="447"/>
      <c r="EH121" s="447"/>
      <c r="EI121" s="1448">
        <f t="shared" si="103"/>
        <v>0</v>
      </c>
      <c r="EJ121" s="367"/>
      <c r="EK121" s="447"/>
      <c r="EL121" s="447"/>
      <c r="EM121" s="447"/>
      <c r="EN121" s="447"/>
      <c r="EO121" s="1448">
        <f t="shared" si="104"/>
        <v>0</v>
      </c>
      <c r="EP121" s="367"/>
      <c r="EQ121" s="1832"/>
      <c r="ER121" s="1832"/>
      <c r="ES121" s="1832"/>
      <c r="ET121" s="1832"/>
      <c r="EU121" s="1833">
        <f t="shared" si="105"/>
        <v>0</v>
      </c>
      <c r="EV121" s="1834"/>
      <c r="EW121" s="1832"/>
      <c r="EX121" s="1832"/>
      <c r="EY121" s="1832"/>
      <c r="EZ121" s="1832"/>
      <c r="FA121" s="1833">
        <f t="shared" si="106"/>
        <v>0</v>
      </c>
      <c r="FB121" s="1834"/>
      <c r="FC121" s="1832"/>
      <c r="FD121" s="1832"/>
      <c r="FE121" s="1832"/>
      <c r="FF121" s="1832"/>
      <c r="FG121" s="1833">
        <f t="shared" si="107"/>
        <v>0</v>
      </c>
      <c r="FH121" s="1834"/>
      <c r="FI121" s="1832"/>
      <c r="FJ121" s="1832"/>
      <c r="FK121" s="1832"/>
      <c r="FL121" s="1832"/>
      <c r="FM121" s="1833">
        <f t="shared" si="108"/>
        <v>0</v>
      </c>
      <c r="FQ121"/>
      <c r="FR121"/>
      <c r="FS121"/>
      <c r="FT121"/>
      <c r="FU121"/>
      <c r="FV121"/>
      <c r="GB121" s="24"/>
      <c r="GC121" s="24"/>
      <c r="GD121" s="24"/>
      <c r="GE121" s="24"/>
      <c r="GF121" s="24"/>
      <c r="GG121" s="24"/>
      <c r="GH121" s="24"/>
      <c r="GI121" s="24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</row>
    <row r="122" spans="1:274" s="27" customFormat="1" ht="12" hidden="1" customHeight="1" outlineLevel="1" x14ac:dyDescent="0.2">
      <c r="A122" s="60" t="s">
        <v>822</v>
      </c>
      <c r="B122" s="60"/>
      <c r="C122" s="600"/>
      <c r="D122" s="600"/>
      <c r="E122" s="600"/>
      <c r="F122" s="600"/>
      <c r="G122" s="600"/>
      <c r="H122" s="60"/>
      <c r="I122" s="600"/>
      <c r="J122" s="600"/>
      <c r="K122" s="600"/>
      <c r="L122" s="600"/>
      <c r="M122" s="600"/>
      <c r="N122" s="60"/>
      <c r="O122" s="600"/>
      <c r="P122" s="600"/>
      <c r="Q122" s="600"/>
      <c r="R122" s="600"/>
      <c r="S122" s="600"/>
      <c r="T122" s="60"/>
      <c r="U122" s="600"/>
      <c r="V122" s="600"/>
      <c r="W122" s="600"/>
      <c r="X122" s="600"/>
      <c r="Y122" s="600"/>
      <c r="Z122" s="60"/>
      <c r="AA122" s="600"/>
      <c r="AB122" s="600"/>
      <c r="AC122" s="600"/>
      <c r="AD122" s="600"/>
      <c r="AE122" s="600"/>
      <c r="AF122" s="60"/>
      <c r="AG122" s="600"/>
      <c r="AH122" s="600"/>
      <c r="AI122" s="600"/>
      <c r="AJ122" s="600"/>
      <c r="AK122" s="600"/>
      <c r="AL122" s="600"/>
      <c r="AM122" s="600"/>
      <c r="AN122" s="600"/>
      <c r="AO122" s="600"/>
      <c r="AP122" s="600"/>
      <c r="AQ122" s="600"/>
      <c r="AR122" s="60"/>
      <c r="AS122" s="600"/>
      <c r="AT122" s="600"/>
      <c r="AU122" s="600"/>
      <c r="AV122" s="600"/>
      <c r="AW122" s="600"/>
      <c r="AX122" s="60"/>
      <c r="AY122" s="600"/>
      <c r="AZ122" s="600"/>
      <c r="BA122" s="600"/>
      <c r="BB122" s="600"/>
      <c r="BC122" s="600"/>
      <c r="BD122" s="60"/>
      <c r="BE122" s="600"/>
      <c r="BF122" s="600"/>
      <c r="BG122" s="600"/>
      <c r="BH122" s="600"/>
      <c r="BI122" s="600"/>
      <c r="BJ122" s="60"/>
      <c r="BK122" s="600"/>
      <c r="BL122" s="600"/>
      <c r="BM122" s="600"/>
      <c r="BN122" s="600"/>
      <c r="BO122" s="600"/>
      <c r="BP122" s="60"/>
      <c r="BQ122" s="600"/>
      <c r="BR122" s="600"/>
      <c r="BS122" s="600"/>
      <c r="BT122" s="600"/>
      <c r="BU122" s="600"/>
      <c r="BV122" s="60"/>
      <c r="BW122" s="447"/>
      <c r="BX122" s="447"/>
      <c r="BY122" s="447"/>
      <c r="BZ122" s="447"/>
      <c r="CA122" s="600"/>
      <c r="CB122" s="60"/>
      <c r="CC122" s="447"/>
      <c r="CD122" s="447"/>
      <c r="CE122" s="447"/>
      <c r="CF122" s="447"/>
      <c r="CG122" s="1448">
        <f t="shared" si="94"/>
        <v>0</v>
      </c>
      <c r="CH122" s="60"/>
      <c r="CI122" s="447">
        <v>15</v>
      </c>
      <c r="CJ122" s="447">
        <v>30</v>
      </c>
      <c r="CK122" s="447">
        <v>30</v>
      </c>
      <c r="CL122" s="447">
        <v>35</v>
      </c>
      <c r="CM122" s="1448">
        <f t="shared" si="95"/>
        <v>110</v>
      </c>
      <c r="CN122" s="60"/>
      <c r="CO122" s="447">
        <v>20</v>
      </c>
      <c r="CP122" s="447"/>
      <c r="CQ122" s="447"/>
      <c r="CR122" s="447"/>
      <c r="CS122" s="1448">
        <f t="shared" si="96"/>
        <v>20</v>
      </c>
      <c r="CT122" s="367"/>
      <c r="CU122" s="447"/>
      <c r="CV122" s="447"/>
      <c r="CW122" s="447"/>
      <c r="CX122" s="447"/>
      <c r="CY122" s="1448">
        <f t="shared" si="97"/>
        <v>0</v>
      </c>
      <c r="CZ122" s="86"/>
      <c r="DA122" s="447"/>
      <c r="DB122" s="447"/>
      <c r="DC122" s="447"/>
      <c r="DD122" s="447"/>
      <c r="DE122" s="1448">
        <f t="shared" si="98"/>
        <v>0</v>
      </c>
      <c r="DF122" s="367"/>
      <c r="DG122" s="447"/>
      <c r="DH122" s="447"/>
      <c r="DI122" s="447"/>
      <c r="DJ122" s="447"/>
      <c r="DK122" s="1448">
        <f t="shared" si="99"/>
        <v>0</v>
      </c>
      <c r="DL122" s="367"/>
      <c r="DM122" s="447"/>
      <c r="DN122" s="447"/>
      <c r="DO122" s="447"/>
      <c r="DP122" s="447"/>
      <c r="DQ122" s="1448">
        <f t="shared" si="100"/>
        <v>0</v>
      </c>
      <c r="DR122" s="367"/>
      <c r="DS122" s="447"/>
      <c r="DT122" s="447"/>
      <c r="DU122" s="447"/>
      <c r="DV122" s="447"/>
      <c r="DW122" s="1448">
        <f t="shared" si="101"/>
        <v>0</v>
      </c>
      <c r="DX122" s="367"/>
      <c r="DY122" s="447"/>
      <c r="DZ122" s="447"/>
      <c r="EA122" s="447"/>
      <c r="EB122" s="447"/>
      <c r="EC122" s="1448">
        <f t="shared" si="102"/>
        <v>0</v>
      </c>
      <c r="ED122" s="367"/>
      <c r="EE122" s="447"/>
      <c r="EF122" s="447"/>
      <c r="EG122" s="447"/>
      <c r="EH122" s="447"/>
      <c r="EI122" s="1448">
        <f t="shared" si="103"/>
        <v>0</v>
      </c>
      <c r="EJ122" s="367"/>
      <c r="EK122" s="447"/>
      <c r="EL122" s="447"/>
      <c r="EM122" s="447"/>
      <c r="EN122" s="447"/>
      <c r="EO122" s="1448">
        <f t="shared" si="104"/>
        <v>0</v>
      </c>
      <c r="EP122" s="367"/>
      <c r="EQ122" s="1832"/>
      <c r="ER122" s="1832"/>
      <c r="ES122" s="1832"/>
      <c r="ET122" s="1832"/>
      <c r="EU122" s="1833">
        <f t="shared" si="105"/>
        <v>0</v>
      </c>
      <c r="EV122" s="1834"/>
      <c r="EW122" s="1832"/>
      <c r="EX122" s="1832"/>
      <c r="EY122" s="1832"/>
      <c r="EZ122" s="1832"/>
      <c r="FA122" s="1833">
        <f t="shared" si="106"/>
        <v>0</v>
      </c>
      <c r="FB122" s="1834"/>
      <c r="FC122" s="1832"/>
      <c r="FD122" s="1832"/>
      <c r="FE122" s="1832"/>
      <c r="FF122" s="1832"/>
      <c r="FG122" s="1833">
        <f t="shared" si="107"/>
        <v>0</v>
      </c>
      <c r="FH122" s="1834"/>
      <c r="FI122" s="1832"/>
      <c r="FJ122" s="1832"/>
      <c r="FK122" s="1832"/>
      <c r="FL122" s="1832"/>
      <c r="FM122" s="1833">
        <f t="shared" si="108"/>
        <v>0</v>
      </c>
      <c r="FQ122"/>
      <c r="FR122"/>
      <c r="FS122"/>
      <c r="FT122"/>
      <c r="FU122"/>
      <c r="FV122"/>
      <c r="GB122" s="24"/>
      <c r="GC122" s="24"/>
      <c r="GD122" s="24"/>
      <c r="GE122" s="24"/>
      <c r="GF122" s="24"/>
      <c r="GG122" s="24"/>
      <c r="GH122" s="24"/>
      <c r="GI122" s="24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</row>
    <row r="123" spans="1:274" s="27" customFormat="1" ht="12" hidden="1" customHeight="1" outlineLevel="1" x14ac:dyDescent="0.2">
      <c r="A123" s="60" t="s">
        <v>259</v>
      </c>
      <c r="B123" s="60"/>
      <c r="C123" s="600"/>
      <c r="D123" s="600"/>
      <c r="E123" s="600"/>
      <c r="F123" s="600"/>
      <c r="G123" s="600"/>
      <c r="H123" s="60"/>
      <c r="I123" s="600"/>
      <c r="J123" s="600"/>
      <c r="K123" s="600"/>
      <c r="L123" s="600"/>
      <c r="M123" s="600"/>
      <c r="N123" s="60"/>
      <c r="O123" s="600"/>
      <c r="P123" s="600"/>
      <c r="Q123" s="600"/>
      <c r="R123" s="600"/>
      <c r="S123" s="600"/>
      <c r="T123" s="60"/>
      <c r="U123" s="600"/>
      <c r="V123" s="600"/>
      <c r="W123" s="600"/>
      <c r="X123" s="600"/>
      <c r="Y123" s="600"/>
      <c r="Z123" s="60"/>
      <c r="AA123" s="600"/>
      <c r="AB123" s="600"/>
      <c r="AC123" s="600"/>
      <c r="AD123" s="600"/>
      <c r="AE123" s="600"/>
      <c r="AF123" s="60"/>
      <c r="AG123" s="600"/>
      <c r="AH123" s="600"/>
      <c r="AI123" s="600"/>
      <c r="AJ123" s="600"/>
      <c r="AK123" s="600"/>
      <c r="AL123" s="600"/>
      <c r="AM123" s="600"/>
      <c r="AN123" s="600"/>
      <c r="AO123" s="600"/>
      <c r="AP123" s="600"/>
      <c r="AQ123" s="600"/>
      <c r="AR123" s="60"/>
      <c r="AS123" s="600"/>
      <c r="AT123" s="600"/>
      <c r="AU123" s="600"/>
      <c r="AV123" s="600"/>
      <c r="AW123" s="600"/>
      <c r="AX123" s="60"/>
      <c r="AY123" s="600"/>
      <c r="AZ123" s="600"/>
      <c r="BA123" s="600"/>
      <c r="BB123" s="600"/>
      <c r="BC123" s="600"/>
      <c r="BD123" s="60"/>
      <c r="BE123" s="600"/>
      <c r="BF123" s="600"/>
      <c r="BG123" s="600"/>
      <c r="BH123" s="600"/>
      <c r="BI123" s="600"/>
      <c r="BJ123" s="60"/>
      <c r="BK123" s="600"/>
      <c r="BL123" s="600"/>
      <c r="BM123" s="600"/>
      <c r="BN123" s="600"/>
      <c r="BO123" s="600"/>
      <c r="BP123" s="60"/>
      <c r="BQ123" s="600"/>
      <c r="BR123" s="600"/>
      <c r="BS123" s="600"/>
      <c r="BT123" s="600"/>
      <c r="BU123" s="600"/>
      <c r="BV123" s="60"/>
      <c r="BW123" s="447"/>
      <c r="BX123" s="447"/>
      <c r="BY123" s="447"/>
      <c r="BZ123" s="447"/>
      <c r="CA123" s="600"/>
      <c r="CB123" s="60"/>
      <c r="CC123" s="447"/>
      <c r="CD123" s="447"/>
      <c r="CE123" s="447"/>
      <c r="CF123" s="447"/>
      <c r="CG123" s="1448">
        <f t="shared" si="94"/>
        <v>0</v>
      </c>
      <c r="CH123" s="60"/>
      <c r="CI123" s="447"/>
      <c r="CJ123" s="447"/>
      <c r="CK123" s="447">
        <f>26</f>
        <v>26</v>
      </c>
      <c r="CL123" s="447">
        <f>28</f>
        <v>28</v>
      </c>
      <c r="CM123" s="1448">
        <f t="shared" si="95"/>
        <v>54</v>
      </c>
      <c r="CN123" s="60"/>
      <c r="CO123" s="447">
        <f>27</f>
        <v>27</v>
      </c>
      <c r="CP123" s="447">
        <f>28</f>
        <v>28</v>
      </c>
      <c r="CQ123" s="447"/>
      <c r="CR123" s="447"/>
      <c r="CS123" s="1448">
        <f t="shared" si="96"/>
        <v>55</v>
      </c>
      <c r="CT123" s="367"/>
      <c r="CU123" s="447"/>
      <c r="CV123" s="447"/>
      <c r="CW123" s="447"/>
      <c r="CX123" s="447"/>
      <c r="CY123" s="1448">
        <f t="shared" si="97"/>
        <v>0</v>
      </c>
      <c r="CZ123" s="86"/>
      <c r="DA123" s="447"/>
      <c r="DB123" s="447"/>
      <c r="DC123" s="447"/>
      <c r="DD123" s="447"/>
      <c r="DE123" s="1448">
        <f t="shared" si="98"/>
        <v>0</v>
      </c>
      <c r="DF123" s="367"/>
      <c r="DG123" s="447"/>
      <c r="DH123" s="447"/>
      <c r="DI123" s="447"/>
      <c r="DJ123" s="447"/>
      <c r="DK123" s="1448">
        <f t="shared" si="99"/>
        <v>0</v>
      </c>
      <c r="DL123" s="367"/>
      <c r="DM123" s="447"/>
      <c r="DN123" s="447"/>
      <c r="DO123" s="447"/>
      <c r="DP123" s="447"/>
      <c r="DQ123" s="1448">
        <f t="shared" si="100"/>
        <v>0</v>
      </c>
      <c r="DR123" s="367"/>
      <c r="DS123" s="447"/>
      <c r="DT123" s="447"/>
      <c r="DU123" s="447"/>
      <c r="DV123" s="447"/>
      <c r="DW123" s="1448">
        <f t="shared" si="101"/>
        <v>0</v>
      </c>
      <c r="DX123" s="367"/>
      <c r="DY123" s="447"/>
      <c r="DZ123" s="447"/>
      <c r="EA123" s="447"/>
      <c r="EB123" s="447"/>
      <c r="EC123" s="1448">
        <f t="shared" si="102"/>
        <v>0</v>
      </c>
      <c r="ED123" s="367"/>
      <c r="EE123" s="447"/>
      <c r="EF123" s="447"/>
      <c r="EG123" s="447"/>
      <c r="EH123" s="447"/>
      <c r="EI123" s="1448">
        <f t="shared" si="103"/>
        <v>0</v>
      </c>
      <c r="EJ123" s="367"/>
      <c r="EK123" s="447"/>
      <c r="EL123" s="447"/>
      <c r="EM123" s="447"/>
      <c r="EN123" s="447"/>
      <c r="EO123" s="1448">
        <f t="shared" si="104"/>
        <v>0</v>
      </c>
      <c r="EP123" s="367"/>
      <c r="EQ123" s="1832"/>
      <c r="ER123" s="1832"/>
      <c r="ES123" s="1832"/>
      <c r="ET123" s="1832"/>
      <c r="EU123" s="1833">
        <f t="shared" si="105"/>
        <v>0</v>
      </c>
      <c r="EV123" s="1834"/>
      <c r="EW123" s="1832"/>
      <c r="EX123" s="1832"/>
      <c r="EY123" s="1832"/>
      <c r="EZ123" s="1832"/>
      <c r="FA123" s="1833">
        <f t="shared" si="106"/>
        <v>0</v>
      </c>
      <c r="FB123" s="1834"/>
      <c r="FC123" s="1832"/>
      <c r="FD123" s="1832"/>
      <c r="FE123" s="1832"/>
      <c r="FF123" s="1832"/>
      <c r="FG123" s="1833">
        <f t="shared" si="107"/>
        <v>0</v>
      </c>
      <c r="FH123" s="1834"/>
      <c r="FI123" s="1832"/>
      <c r="FJ123" s="1832"/>
      <c r="FK123" s="1832"/>
      <c r="FL123" s="1832"/>
      <c r="FM123" s="1833">
        <f t="shared" si="108"/>
        <v>0</v>
      </c>
      <c r="FQ123"/>
      <c r="FR123"/>
      <c r="FS123"/>
      <c r="FT123"/>
      <c r="FU123"/>
      <c r="FV123"/>
      <c r="GB123" s="24"/>
      <c r="GC123" s="24"/>
      <c r="GD123" s="24"/>
      <c r="GE123" s="24"/>
      <c r="GF123" s="24"/>
      <c r="GG123" s="24"/>
      <c r="GH123" s="24"/>
      <c r="GI123" s="24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</row>
    <row r="124" spans="1:274" s="27" customFormat="1" ht="12" hidden="1" customHeight="1" outlineLevel="1" x14ac:dyDescent="0.2">
      <c r="A124" s="60" t="s">
        <v>66</v>
      </c>
      <c r="B124" s="60"/>
      <c r="C124" s="600"/>
      <c r="D124" s="600"/>
      <c r="E124" s="600"/>
      <c r="F124" s="600"/>
      <c r="G124" s="600"/>
      <c r="H124" s="60"/>
      <c r="I124" s="600"/>
      <c r="J124" s="600"/>
      <c r="K124" s="600"/>
      <c r="L124" s="600"/>
      <c r="M124" s="600"/>
      <c r="N124" s="60"/>
      <c r="O124" s="600"/>
      <c r="P124" s="600"/>
      <c r="Q124" s="600"/>
      <c r="R124" s="600"/>
      <c r="S124" s="600"/>
      <c r="T124" s="60"/>
      <c r="U124" s="600"/>
      <c r="V124" s="600"/>
      <c r="W124" s="600"/>
      <c r="X124" s="600"/>
      <c r="Y124" s="600"/>
      <c r="Z124" s="60"/>
      <c r="AA124" s="600"/>
      <c r="AB124" s="600"/>
      <c r="AC124" s="600"/>
      <c r="AD124" s="600"/>
      <c r="AE124" s="600"/>
      <c r="AF124" s="60"/>
      <c r="AG124" s="600"/>
      <c r="AH124" s="600"/>
      <c r="AI124" s="600"/>
      <c r="AJ124" s="600"/>
      <c r="AK124" s="600"/>
      <c r="AL124" s="600"/>
      <c r="AM124" s="600"/>
      <c r="AN124" s="600"/>
      <c r="AO124" s="600"/>
      <c r="AP124" s="600"/>
      <c r="AQ124" s="600"/>
      <c r="AR124" s="60"/>
      <c r="AS124" s="600"/>
      <c r="AT124" s="600"/>
      <c r="AU124" s="600"/>
      <c r="AV124" s="600"/>
      <c r="AW124" s="600"/>
      <c r="AX124" s="60"/>
      <c r="AY124" s="600"/>
      <c r="AZ124" s="600"/>
      <c r="BA124" s="600"/>
      <c r="BB124" s="600"/>
      <c r="BC124" s="600"/>
      <c r="BD124" s="60"/>
      <c r="BE124" s="600"/>
      <c r="BF124" s="600"/>
      <c r="BG124" s="600"/>
      <c r="BH124" s="600"/>
      <c r="BI124" s="600"/>
      <c r="BJ124" s="60"/>
      <c r="BK124" s="600"/>
      <c r="BL124" s="600"/>
      <c r="BM124" s="600"/>
      <c r="BN124" s="600"/>
      <c r="BO124" s="600"/>
      <c r="BP124" s="60"/>
      <c r="BQ124" s="600"/>
      <c r="BR124" s="600"/>
      <c r="BS124" s="600"/>
      <c r="BT124" s="600"/>
      <c r="BU124" s="600"/>
      <c r="BV124" s="60"/>
      <c r="BW124" s="447"/>
      <c r="BX124" s="447"/>
      <c r="BY124" s="447"/>
      <c r="BZ124" s="447"/>
      <c r="CA124" s="600"/>
      <c r="CB124" s="60"/>
      <c r="CC124" s="447"/>
      <c r="CD124" s="447"/>
      <c r="CE124" s="447"/>
      <c r="CF124" s="447"/>
      <c r="CG124" s="1448">
        <f t="shared" si="94"/>
        <v>0</v>
      </c>
      <c r="CH124" s="60"/>
      <c r="CI124" s="447"/>
      <c r="CJ124" s="447"/>
      <c r="CK124" s="447">
        <v>10</v>
      </c>
      <c r="CL124" s="447">
        <v>35</v>
      </c>
      <c r="CM124" s="1448">
        <f t="shared" si="95"/>
        <v>45</v>
      </c>
      <c r="CN124" s="60"/>
      <c r="CO124" s="447">
        <v>35</v>
      </c>
      <c r="CP124" s="447">
        <v>35</v>
      </c>
      <c r="CQ124" s="447"/>
      <c r="CR124" s="447"/>
      <c r="CS124" s="1448">
        <f t="shared" si="96"/>
        <v>70</v>
      </c>
      <c r="CT124" s="367"/>
      <c r="CU124" s="447"/>
      <c r="CV124" s="447"/>
      <c r="CW124" s="447"/>
      <c r="CX124" s="447"/>
      <c r="CY124" s="1448">
        <f t="shared" si="97"/>
        <v>0</v>
      </c>
      <c r="CZ124" s="86"/>
      <c r="DA124" s="447"/>
      <c r="DB124" s="447"/>
      <c r="DC124" s="447"/>
      <c r="DD124" s="447"/>
      <c r="DE124" s="1448">
        <f t="shared" si="98"/>
        <v>0</v>
      </c>
      <c r="DF124" s="367"/>
      <c r="DG124" s="447"/>
      <c r="DH124" s="447"/>
      <c r="DI124" s="447"/>
      <c r="DJ124" s="447"/>
      <c r="DK124" s="1448">
        <f t="shared" si="99"/>
        <v>0</v>
      </c>
      <c r="DL124" s="367"/>
      <c r="DM124" s="447"/>
      <c r="DN124" s="447"/>
      <c r="DO124" s="447"/>
      <c r="DP124" s="447"/>
      <c r="DQ124" s="1448">
        <f t="shared" si="100"/>
        <v>0</v>
      </c>
      <c r="DR124" s="367"/>
      <c r="DS124" s="447"/>
      <c r="DT124" s="447"/>
      <c r="DU124" s="447"/>
      <c r="DV124" s="447"/>
      <c r="DW124" s="1448">
        <f t="shared" si="101"/>
        <v>0</v>
      </c>
      <c r="DX124" s="367"/>
      <c r="DY124" s="447"/>
      <c r="DZ124" s="447"/>
      <c r="EA124" s="447"/>
      <c r="EB124" s="447"/>
      <c r="EC124" s="1448">
        <f t="shared" si="102"/>
        <v>0</v>
      </c>
      <c r="ED124" s="367"/>
      <c r="EE124" s="447"/>
      <c r="EF124" s="447"/>
      <c r="EG124" s="447"/>
      <c r="EH124" s="447"/>
      <c r="EI124" s="1448">
        <f t="shared" si="103"/>
        <v>0</v>
      </c>
      <c r="EJ124" s="367"/>
      <c r="EK124" s="447"/>
      <c r="EL124" s="447"/>
      <c r="EM124" s="447"/>
      <c r="EN124" s="447"/>
      <c r="EO124" s="1448">
        <f t="shared" si="104"/>
        <v>0</v>
      </c>
      <c r="EP124" s="367"/>
      <c r="EQ124" s="1832"/>
      <c r="ER124" s="1832"/>
      <c r="ES124" s="1832"/>
      <c r="ET124" s="1832"/>
      <c r="EU124" s="1833">
        <f t="shared" si="105"/>
        <v>0</v>
      </c>
      <c r="EV124" s="1834"/>
      <c r="EW124" s="1832"/>
      <c r="EX124" s="1832"/>
      <c r="EY124" s="1832"/>
      <c r="EZ124" s="1832"/>
      <c r="FA124" s="1833">
        <f t="shared" si="106"/>
        <v>0</v>
      </c>
      <c r="FB124" s="1834"/>
      <c r="FC124" s="1832"/>
      <c r="FD124" s="1832"/>
      <c r="FE124" s="1832"/>
      <c r="FF124" s="1832"/>
      <c r="FG124" s="1833">
        <f t="shared" si="107"/>
        <v>0</v>
      </c>
      <c r="FH124" s="1834"/>
      <c r="FI124" s="1832"/>
      <c r="FJ124" s="1832"/>
      <c r="FK124" s="1832"/>
      <c r="FL124" s="1832"/>
      <c r="FM124" s="1833">
        <f t="shared" si="108"/>
        <v>0</v>
      </c>
      <c r="FQ124"/>
      <c r="FR124"/>
      <c r="FS124"/>
      <c r="FT124"/>
      <c r="FU124"/>
      <c r="FV124"/>
      <c r="GB124" s="24"/>
      <c r="GC124" s="24"/>
      <c r="GD124" s="24"/>
      <c r="GE124" s="24"/>
      <c r="GF124" s="24"/>
      <c r="GG124" s="24"/>
      <c r="GH124" s="24"/>
      <c r="GI124" s="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</row>
    <row r="125" spans="1:274" s="27" customFormat="1" ht="12" hidden="1" customHeight="1" outlineLevel="1" x14ac:dyDescent="0.2">
      <c r="A125" s="60" t="s">
        <v>651</v>
      </c>
      <c r="B125" s="60"/>
      <c r="C125" s="600"/>
      <c r="D125" s="600"/>
      <c r="E125" s="600"/>
      <c r="F125" s="600"/>
      <c r="G125" s="600"/>
      <c r="H125" s="60"/>
      <c r="I125" s="600"/>
      <c r="J125" s="600"/>
      <c r="K125" s="600"/>
      <c r="L125" s="600"/>
      <c r="M125" s="600"/>
      <c r="N125" s="60"/>
      <c r="O125" s="600"/>
      <c r="P125" s="600"/>
      <c r="Q125" s="600"/>
      <c r="R125" s="600"/>
      <c r="S125" s="600"/>
      <c r="T125" s="60"/>
      <c r="U125" s="600"/>
      <c r="V125" s="600"/>
      <c r="W125" s="600"/>
      <c r="X125" s="600"/>
      <c r="Y125" s="600"/>
      <c r="Z125" s="60"/>
      <c r="AA125" s="600"/>
      <c r="AB125" s="600"/>
      <c r="AC125" s="600"/>
      <c r="AD125" s="600"/>
      <c r="AE125" s="600"/>
      <c r="AF125" s="60"/>
      <c r="AG125" s="600"/>
      <c r="AH125" s="600"/>
      <c r="AI125" s="600"/>
      <c r="AJ125" s="600"/>
      <c r="AK125" s="600"/>
      <c r="AL125" s="600"/>
      <c r="AM125" s="600"/>
      <c r="AN125" s="600"/>
      <c r="AO125" s="600"/>
      <c r="AP125" s="600"/>
      <c r="AQ125" s="600"/>
      <c r="AR125" s="60"/>
      <c r="AS125" s="600"/>
      <c r="AT125" s="600"/>
      <c r="AU125" s="600"/>
      <c r="AV125" s="600"/>
      <c r="AW125" s="600"/>
      <c r="AX125" s="60"/>
      <c r="AY125" s="600"/>
      <c r="AZ125" s="600"/>
      <c r="BA125" s="600"/>
      <c r="BB125" s="600"/>
      <c r="BC125" s="600"/>
      <c r="BD125" s="60"/>
      <c r="BE125" s="600"/>
      <c r="BF125" s="600"/>
      <c r="BG125" s="600"/>
      <c r="BH125" s="600"/>
      <c r="BI125" s="600"/>
      <c r="BJ125" s="60"/>
      <c r="BK125" s="600"/>
      <c r="BL125" s="600"/>
      <c r="BM125" s="600"/>
      <c r="BN125" s="600"/>
      <c r="BO125" s="600"/>
      <c r="BP125" s="60"/>
      <c r="BQ125" s="600"/>
      <c r="BR125" s="600"/>
      <c r="BS125" s="600"/>
      <c r="BT125" s="600"/>
      <c r="BU125" s="600"/>
      <c r="BV125" s="60"/>
      <c r="BW125" s="447"/>
      <c r="BX125" s="447"/>
      <c r="BY125" s="447"/>
      <c r="BZ125" s="447"/>
      <c r="CA125" s="600"/>
      <c r="CB125" s="60"/>
      <c r="CC125" s="447"/>
      <c r="CD125" s="447"/>
      <c r="CE125" s="447"/>
      <c r="CF125" s="447"/>
      <c r="CG125" s="1448">
        <f t="shared" si="94"/>
        <v>0</v>
      </c>
      <c r="CH125" s="60"/>
      <c r="CI125" s="447"/>
      <c r="CJ125" s="447"/>
      <c r="CK125" s="447">
        <f>33</f>
        <v>33</v>
      </c>
      <c r="CL125" s="447">
        <f>35</f>
        <v>35</v>
      </c>
      <c r="CM125" s="1448">
        <f t="shared" si="95"/>
        <v>68</v>
      </c>
      <c r="CN125" s="60"/>
      <c r="CO125" s="447">
        <f>35</f>
        <v>35</v>
      </c>
      <c r="CP125" s="447">
        <f>36</f>
        <v>36</v>
      </c>
      <c r="CQ125" s="447"/>
      <c r="CR125" s="447"/>
      <c r="CS125" s="1448">
        <f t="shared" si="96"/>
        <v>71</v>
      </c>
      <c r="CT125" s="367"/>
      <c r="CU125" s="447"/>
      <c r="CV125" s="447"/>
      <c r="CW125" s="447"/>
      <c r="CX125" s="447"/>
      <c r="CY125" s="1448">
        <f t="shared" si="97"/>
        <v>0</v>
      </c>
      <c r="CZ125" s="86"/>
      <c r="DA125" s="447"/>
      <c r="DB125" s="447"/>
      <c r="DC125" s="447"/>
      <c r="DD125" s="447"/>
      <c r="DE125" s="1448">
        <f t="shared" si="98"/>
        <v>0</v>
      </c>
      <c r="DF125" s="367"/>
      <c r="DG125" s="447"/>
      <c r="DH125" s="447"/>
      <c r="DI125" s="447"/>
      <c r="DJ125" s="447"/>
      <c r="DK125" s="1448">
        <f t="shared" si="99"/>
        <v>0</v>
      </c>
      <c r="DL125" s="367"/>
      <c r="DM125" s="447"/>
      <c r="DN125" s="447"/>
      <c r="DO125" s="447"/>
      <c r="DP125" s="447"/>
      <c r="DQ125" s="1448">
        <f t="shared" si="100"/>
        <v>0</v>
      </c>
      <c r="DR125" s="367"/>
      <c r="DS125" s="447"/>
      <c r="DT125" s="447"/>
      <c r="DU125" s="447"/>
      <c r="DV125" s="447"/>
      <c r="DW125" s="1448">
        <f t="shared" si="101"/>
        <v>0</v>
      </c>
      <c r="DX125" s="367"/>
      <c r="DY125" s="447"/>
      <c r="DZ125" s="447"/>
      <c r="EA125" s="447"/>
      <c r="EB125" s="447"/>
      <c r="EC125" s="1448">
        <f t="shared" si="102"/>
        <v>0</v>
      </c>
      <c r="ED125" s="367"/>
      <c r="EE125" s="447"/>
      <c r="EF125" s="447"/>
      <c r="EG125" s="447"/>
      <c r="EH125" s="447"/>
      <c r="EI125" s="1448">
        <f t="shared" si="103"/>
        <v>0</v>
      </c>
      <c r="EJ125" s="367"/>
      <c r="EK125" s="447"/>
      <c r="EL125" s="447"/>
      <c r="EM125" s="447"/>
      <c r="EN125" s="447"/>
      <c r="EO125" s="1448">
        <f t="shared" si="104"/>
        <v>0</v>
      </c>
      <c r="EP125" s="367"/>
      <c r="EQ125" s="1832"/>
      <c r="ER125" s="1832"/>
      <c r="ES125" s="1832"/>
      <c r="ET125" s="1832"/>
      <c r="EU125" s="1833">
        <f t="shared" si="105"/>
        <v>0</v>
      </c>
      <c r="EV125" s="1834"/>
      <c r="EW125" s="1832"/>
      <c r="EX125" s="1832"/>
      <c r="EY125" s="1832"/>
      <c r="EZ125" s="1832"/>
      <c r="FA125" s="1833">
        <f t="shared" si="106"/>
        <v>0</v>
      </c>
      <c r="FB125" s="1834"/>
      <c r="FC125" s="1832"/>
      <c r="FD125" s="1832"/>
      <c r="FE125" s="1832"/>
      <c r="FF125" s="1832"/>
      <c r="FG125" s="1833">
        <f t="shared" si="107"/>
        <v>0</v>
      </c>
      <c r="FH125" s="1834"/>
      <c r="FI125" s="1832"/>
      <c r="FJ125" s="1832"/>
      <c r="FK125" s="1832"/>
      <c r="FL125" s="1832"/>
      <c r="FM125" s="1833">
        <f t="shared" si="108"/>
        <v>0</v>
      </c>
      <c r="FO125" s="242"/>
      <c r="FQ125"/>
      <c r="FR125"/>
      <c r="FS125"/>
      <c r="FT125"/>
      <c r="FU125"/>
      <c r="FV125"/>
      <c r="GB125" s="24"/>
      <c r="GC125" s="24"/>
      <c r="GD125" s="24"/>
      <c r="GE125" s="24"/>
      <c r="GF125" s="24"/>
      <c r="GG125" s="24"/>
      <c r="GH125" s="24"/>
      <c r="GI125" s="24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</row>
    <row r="126" spans="1:274" s="27" customFormat="1" ht="12" hidden="1" customHeight="1" outlineLevel="1" x14ac:dyDescent="0.2">
      <c r="A126" s="60" t="s">
        <v>67</v>
      </c>
      <c r="B126" s="60"/>
      <c r="C126" s="600"/>
      <c r="D126" s="600"/>
      <c r="E126" s="600"/>
      <c r="F126" s="600"/>
      <c r="G126" s="600"/>
      <c r="H126" s="60"/>
      <c r="I126" s="600"/>
      <c r="J126" s="600"/>
      <c r="K126" s="600"/>
      <c r="L126" s="600"/>
      <c r="M126" s="600"/>
      <c r="N126" s="60"/>
      <c r="O126" s="600"/>
      <c r="P126" s="600"/>
      <c r="Q126" s="600"/>
      <c r="R126" s="600"/>
      <c r="S126" s="600"/>
      <c r="T126" s="60"/>
      <c r="U126" s="600"/>
      <c r="V126" s="600"/>
      <c r="W126" s="600"/>
      <c r="X126" s="600"/>
      <c r="Y126" s="600"/>
      <c r="Z126" s="60"/>
      <c r="AA126" s="600"/>
      <c r="AB126" s="600"/>
      <c r="AC126" s="600"/>
      <c r="AD126" s="600"/>
      <c r="AE126" s="600"/>
      <c r="AF126" s="60"/>
      <c r="AG126" s="600"/>
      <c r="AH126" s="600"/>
      <c r="AI126" s="600"/>
      <c r="AJ126" s="600"/>
      <c r="AK126" s="600"/>
      <c r="AL126" s="600"/>
      <c r="AM126" s="600"/>
      <c r="AN126" s="600"/>
      <c r="AO126" s="600"/>
      <c r="AP126" s="600"/>
      <c r="AQ126" s="600"/>
      <c r="AR126" s="60"/>
      <c r="AS126" s="600"/>
      <c r="AT126" s="600"/>
      <c r="AU126" s="600"/>
      <c r="AV126" s="600"/>
      <c r="AW126" s="600"/>
      <c r="AX126" s="60"/>
      <c r="AY126" s="600"/>
      <c r="AZ126" s="600"/>
      <c r="BA126" s="600"/>
      <c r="BB126" s="600"/>
      <c r="BC126" s="600"/>
      <c r="BD126" s="60"/>
      <c r="BE126" s="600"/>
      <c r="BF126" s="600"/>
      <c r="BG126" s="600"/>
      <c r="BH126" s="600"/>
      <c r="BI126" s="600"/>
      <c r="BJ126" s="60"/>
      <c r="BK126" s="600"/>
      <c r="BL126" s="600"/>
      <c r="BM126" s="600"/>
      <c r="BN126" s="600"/>
      <c r="BO126" s="600"/>
      <c r="BP126" s="60"/>
      <c r="BQ126" s="600"/>
      <c r="BR126" s="600"/>
      <c r="BS126" s="600"/>
      <c r="BT126" s="600"/>
      <c r="BU126" s="600"/>
      <c r="BV126" s="60"/>
      <c r="BW126" s="447"/>
      <c r="BX126" s="447"/>
      <c r="BY126" s="447"/>
      <c r="BZ126" s="447"/>
      <c r="CA126" s="600"/>
      <c r="CB126" s="60"/>
      <c r="CC126" s="447"/>
      <c r="CD126" s="447"/>
      <c r="CE126" s="447"/>
      <c r="CF126" s="447"/>
      <c r="CG126" s="1448">
        <f t="shared" si="94"/>
        <v>0</v>
      </c>
      <c r="CH126" s="60"/>
      <c r="CI126" s="447"/>
      <c r="CJ126" s="447"/>
      <c r="CK126" s="447"/>
      <c r="CL126" s="447"/>
      <c r="CM126" s="1448">
        <f t="shared" si="95"/>
        <v>0</v>
      </c>
      <c r="CN126" s="60"/>
      <c r="CO126" s="447">
        <f>CO44+2</f>
        <v>17</v>
      </c>
      <c r="CP126" s="447">
        <f>CP44+6</f>
        <v>19</v>
      </c>
      <c r="CQ126" s="447">
        <f>CQ44+12</f>
        <v>13</v>
      </c>
      <c r="CR126" s="447">
        <f>CR44+15</f>
        <v>15</v>
      </c>
      <c r="CS126" s="1448">
        <f t="shared" si="96"/>
        <v>64</v>
      </c>
      <c r="CT126" s="367"/>
      <c r="CU126" s="447"/>
      <c r="CV126" s="447"/>
      <c r="CW126" s="447"/>
      <c r="CX126" s="447"/>
      <c r="CY126" s="1448">
        <f t="shared" si="97"/>
        <v>0</v>
      </c>
      <c r="CZ126" s="86"/>
      <c r="DA126" s="447"/>
      <c r="DB126" s="447"/>
      <c r="DC126" s="447"/>
      <c r="DD126" s="447"/>
      <c r="DE126" s="1448">
        <f t="shared" si="98"/>
        <v>0</v>
      </c>
      <c r="DF126" s="367"/>
      <c r="DG126" s="447"/>
      <c r="DH126" s="447"/>
      <c r="DI126" s="447"/>
      <c r="DJ126" s="447"/>
      <c r="DK126" s="1448">
        <f t="shared" si="99"/>
        <v>0</v>
      </c>
      <c r="DL126" s="367"/>
      <c r="DM126" s="447"/>
      <c r="DN126" s="447"/>
      <c r="DO126" s="447"/>
      <c r="DP126" s="447"/>
      <c r="DQ126" s="1448">
        <f t="shared" si="100"/>
        <v>0</v>
      </c>
      <c r="DR126" s="367"/>
      <c r="DS126" s="447"/>
      <c r="DT126" s="447"/>
      <c r="DU126" s="447"/>
      <c r="DV126" s="447"/>
      <c r="DW126" s="1448">
        <f t="shared" si="101"/>
        <v>0</v>
      </c>
      <c r="DX126" s="367"/>
      <c r="DY126" s="447"/>
      <c r="DZ126" s="447"/>
      <c r="EA126" s="447"/>
      <c r="EB126" s="447"/>
      <c r="EC126" s="1448">
        <f t="shared" si="102"/>
        <v>0</v>
      </c>
      <c r="ED126" s="367"/>
      <c r="EE126" s="447"/>
      <c r="EF126" s="447"/>
      <c r="EG126" s="447"/>
      <c r="EH126" s="447"/>
      <c r="EI126" s="1448">
        <f t="shared" si="103"/>
        <v>0</v>
      </c>
      <c r="EJ126" s="367"/>
      <c r="EK126" s="447"/>
      <c r="EL126" s="447"/>
      <c r="EM126" s="447"/>
      <c r="EN126" s="447"/>
      <c r="EO126" s="1448">
        <f t="shared" si="104"/>
        <v>0</v>
      </c>
      <c r="EP126" s="367"/>
      <c r="EQ126" s="1832"/>
      <c r="ER126" s="1832"/>
      <c r="ES126" s="1832"/>
      <c r="ET126" s="1832"/>
      <c r="EU126" s="1833">
        <f t="shared" si="105"/>
        <v>0</v>
      </c>
      <c r="EV126" s="1834"/>
      <c r="EW126" s="1832"/>
      <c r="EX126" s="1832"/>
      <c r="EY126" s="1832"/>
      <c r="EZ126" s="1832"/>
      <c r="FA126" s="1833">
        <f t="shared" si="106"/>
        <v>0</v>
      </c>
      <c r="FB126" s="1834"/>
      <c r="FC126" s="1832"/>
      <c r="FD126" s="1832"/>
      <c r="FE126" s="1832"/>
      <c r="FF126" s="1832"/>
      <c r="FG126" s="1833">
        <f t="shared" si="107"/>
        <v>0</v>
      </c>
      <c r="FH126" s="1834"/>
      <c r="FI126" s="1832"/>
      <c r="FJ126" s="1832"/>
      <c r="FK126" s="1832"/>
      <c r="FL126" s="1832"/>
      <c r="FM126" s="1833">
        <f t="shared" si="108"/>
        <v>0</v>
      </c>
      <c r="FQ126"/>
      <c r="FR126"/>
      <c r="FS126"/>
      <c r="FT126"/>
      <c r="FU126"/>
      <c r="FV126"/>
      <c r="GB126" s="24"/>
      <c r="GC126" s="24"/>
      <c r="GD126" s="24"/>
      <c r="GE126" s="24"/>
      <c r="GF126" s="24"/>
      <c r="GG126" s="24"/>
      <c r="GH126" s="24"/>
      <c r="GI126" s="24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</row>
    <row r="127" spans="1:274" s="27" customFormat="1" ht="12" hidden="1" customHeight="1" outlineLevel="1" x14ac:dyDescent="0.2">
      <c r="A127" s="60" t="s">
        <v>158</v>
      </c>
      <c r="B127" s="60"/>
      <c r="C127" s="600"/>
      <c r="D127" s="600"/>
      <c r="E127" s="600"/>
      <c r="F127" s="600"/>
      <c r="G127" s="600"/>
      <c r="H127" s="60"/>
      <c r="I127" s="600"/>
      <c r="J127" s="600"/>
      <c r="K127" s="600"/>
      <c r="L127" s="600"/>
      <c r="M127" s="600"/>
      <c r="N127" s="60"/>
      <c r="O127" s="600"/>
      <c r="P127" s="600"/>
      <c r="Q127" s="600"/>
      <c r="R127" s="600"/>
      <c r="S127" s="600"/>
      <c r="T127" s="60"/>
      <c r="U127" s="600"/>
      <c r="V127" s="600"/>
      <c r="W127" s="600"/>
      <c r="X127" s="600"/>
      <c r="Y127" s="600"/>
      <c r="Z127" s="60"/>
      <c r="AA127" s="600"/>
      <c r="AB127" s="600"/>
      <c r="AC127" s="600"/>
      <c r="AD127" s="600"/>
      <c r="AE127" s="600"/>
      <c r="AF127" s="60"/>
      <c r="AG127" s="600"/>
      <c r="AH127" s="600"/>
      <c r="AI127" s="600"/>
      <c r="AJ127" s="600"/>
      <c r="AK127" s="600"/>
      <c r="AL127" s="600"/>
      <c r="AM127" s="600"/>
      <c r="AN127" s="600"/>
      <c r="AO127" s="600"/>
      <c r="AP127" s="600"/>
      <c r="AQ127" s="600"/>
      <c r="AR127" s="60"/>
      <c r="AS127" s="600"/>
      <c r="AT127" s="600"/>
      <c r="AU127" s="600"/>
      <c r="AV127" s="600"/>
      <c r="AW127" s="600"/>
      <c r="AX127" s="60"/>
      <c r="AY127" s="600"/>
      <c r="AZ127" s="600"/>
      <c r="BA127" s="600"/>
      <c r="BB127" s="600"/>
      <c r="BC127" s="600"/>
      <c r="BD127" s="60"/>
      <c r="BE127" s="600"/>
      <c r="BF127" s="600"/>
      <c r="BG127" s="600"/>
      <c r="BH127" s="600"/>
      <c r="BI127" s="600"/>
      <c r="BJ127" s="60"/>
      <c r="BK127" s="600"/>
      <c r="BL127" s="600"/>
      <c r="BM127" s="600"/>
      <c r="BN127" s="600"/>
      <c r="BO127" s="600"/>
      <c r="BP127" s="60"/>
      <c r="BQ127" s="600"/>
      <c r="BR127" s="600"/>
      <c r="BS127" s="600"/>
      <c r="BT127" s="600"/>
      <c r="BU127" s="600"/>
      <c r="BV127" s="60"/>
      <c r="BW127" s="447"/>
      <c r="BX127" s="447"/>
      <c r="BY127" s="447"/>
      <c r="BZ127" s="447"/>
      <c r="CA127" s="600"/>
      <c r="CB127" s="60"/>
      <c r="CC127" s="447"/>
      <c r="CD127" s="447"/>
      <c r="CE127" s="447"/>
      <c r="CF127" s="447"/>
      <c r="CG127" s="1448">
        <f t="shared" si="94"/>
        <v>0</v>
      </c>
      <c r="CH127" s="60"/>
      <c r="CI127" s="447"/>
      <c r="CJ127" s="447"/>
      <c r="CK127" s="447"/>
      <c r="CL127" s="447"/>
      <c r="CM127" s="1448">
        <f t="shared" si="95"/>
        <v>0</v>
      </c>
      <c r="CN127" s="60"/>
      <c r="CO127" s="447"/>
      <c r="CP127" s="447"/>
      <c r="CQ127" s="447"/>
      <c r="CR127" s="447">
        <v>173.68755000000002</v>
      </c>
      <c r="CS127" s="1448">
        <f t="shared" si="96"/>
        <v>173.68755000000002</v>
      </c>
      <c r="CT127" s="367"/>
      <c r="CU127" s="447">
        <v>269.92032749999998</v>
      </c>
      <c r="CV127" s="447">
        <v>345.60433099999995</v>
      </c>
      <c r="CW127" s="447">
        <v>369.43469800000003</v>
      </c>
      <c r="CX127" s="447">
        <v>234.508512</v>
      </c>
      <c r="CY127" s="1448">
        <f t="shared" si="97"/>
        <v>1219.4678684999999</v>
      </c>
      <c r="CZ127" s="86"/>
      <c r="DA127" s="447"/>
      <c r="DB127" s="447"/>
      <c r="DC127" s="447"/>
      <c r="DD127" s="447"/>
      <c r="DE127" s="1448">
        <f t="shared" si="98"/>
        <v>0</v>
      </c>
      <c r="DF127" s="367"/>
      <c r="DG127" s="447"/>
      <c r="DH127" s="447"/>
      <c r="DI127" s="447"/>
      <c r="DJ127" s="447"/>
      <c r="DK127" s="1448">
        <f t="shared" si="99"/>
        <v>0</v>
      </c>
      <c r="DL127" s="367"/>
      <c r="DM127" s="447"/>
      <c r="DN127" s="447"/>
      <c r="DO127" s="447"/>
      <c r="DP127" s="447"/>
      <c r="DQ127" s="1448">
        <f t="shared" si="100"/>
        <v>0</v>
      </c>
      <c r="DR127" s="367"/>
      <c r="DS127" s="447"/>
      <c r="DT127" s="447"/>
      <c r="DU127" s="447"/>
      <c r="DV127" s="447"/>
      <c r="DW127" s="1448">
        <f t="shared" si="101"/>
        <v>0</v>
      </c>
      <c r="DX127" s="367"/>
      <c r="DY127" s="447"/>
      <c r="DZ127" s="447"/>
      <c r="EA127" s="447"/>
      <c r="EB127" s="447"/>
      <c r="EC127" s="1448">
        <f t="shared" si="102"/>
        <v>0</v>
      </c>
      <c r="ED127" s="367"/>
      <c r="EE127" s="447"/>
      <c r="EF127" s="447"/>
      <c r="EG127" s="447"/>
      <c r="EH127" s="447"/>
      <c r="EI127" s="1448">
        <f t="shared" si="103"/>
        <v>0</v>
      </c>
      <c r="EJ127" s="367"/>
      <c r="EK127" s="447"/>
      <c r="EL127" s="447"/>
      <c r="EM127" s="447"/>
      <c r="EN127" s="447"/>
      <c r="EO127" s="1448">
        <f t="shared" si="104"/>
        <v>0</v>
      </c>
      <c r="EP127" s="367"/>
      <c r="EQ127" s="1832"/>
      <c r="ER127" s="1832"/>
      <c r="ES127" s="1832"/>
      <c r="ET127" s="1832"/>
      <c r="EU127" s="1833">
        <f t="shared" si="105"/>
        <v>0</v>
      </c>
      <c r="EV127" s="1834"/>
      <c r="EW127" s="1832"/>
      <c r="EX127" s="1832"/>
      <c r="EY127" s="1832"/>
      <c r="EZ127" s="1832"/>
      <c r="FA127" s="1833">
        <f t="shared" si="106"/>
        <v>0</v>
      </c>
      <c r="FB127" s="1834"/>
      <c r="FC127" s="1832"/>
      <c r="FD127" s="1832"/>
      <c r="FE127" s="1832"/>
      <c r="FF127" s="1832"/>
      <c r="FG127" s="1833">
        <f t="shared" si="107"/>
        <v>0</v>
      </c>
      <c r="FH127" s="1834"/>
      <c r="FI127" s="1832"/>
      <c r="FJ127" s="1832"/>
      <c r="FK127" s="1832"/>
      <c r="FL127" s="1832"/>
      <c r="FM127" s="1833">
        <f t="shared" si="108"/>
        <v>0</v>
      </c>
      <c r="FQ127"/>
      <c r="FR127"/>
      <c r="FS127"/>
      <c r="FT127"/>
      <c r="FU127"/>
      <c r="FV127"/>
      <c r="GB127" s="24"/>
      <c r="GC127" s="24"/>
      <c r="GD127" s="24"/>
      <c r="GE127" s="24"/>
      <c r="GF127" s="24"/>
      <c r="GG127" s="24"/>
      <c r="GH127" s="24"/>
      <c r="GI127" s="24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</row>
    <row r="128" spans="1:274" s="27" customFormat="1" ht="12" hidden="1" customHeight="1" outlineLevel="1" x14ac:dyDescent="0.2">
      <c r="A128" s="60" t="s">
        <v>430</v>
      </c>
      <c r="B128" s="60"/>
      <c r="C128" s="600"/>
      <c r="D128" s="600"/>
      <c r="E128" s="600"/>
      <c r="F128" s="600"/>
      <c r="G128" s="600"/>
      <c r="H128" s="60"/>
      <c r="I128" s="600"/>
      <c r="J128" s="600"/>
      <c r="K128" s="600"/>
      <c r="L128" s="600"/>
      <c r="M128" s="600"/>
      <c r="N128" s="60"/>
      <c r="O128" s="600"/>
      <c r="P128" s="600"/>
      <c r="Q128" s="600"/>
      <c r="R128" s="600"/>
      <c r="S128" s="600"/>
      <c r="T128" s="60"/>
      <c r="U128" s="600"/>
      <c r="V128" s="600"/>
      <c r="W128" s="600"/>
      <c r="X128" s="600"/>
      <c r="Y128" s="600"/>
      <c r="Z128" s="60"/>
      <c r="AA128" s="600"/>
      <c r="AB128" s="600"/>
      <c r="AC128" s="600"/>
      <c r="AD128" s="600"/>
      <c r="AE128" s="600"/>
      <c r="AF128" s="60"/>
      <c r="AG128" s="600"/>
      <c r="AH128" s="600"/>
      <c r="AI128" s="600"/>
      <c r="AJ128" s="600"/>
      <c r="AK128" s="600"/>
      <c r="AL128" s="600"/>
      <c r="AM128" s="600"/>
      <c r="AN128" s="600"/>
      <c r="AO128" s="600"/>
      <c r="AP128" s="600"/>
      <c r="AQ128" s="600"/>
      <c r="AR128" s="60"/>
      <c r="AS128" s="600"/>
      <c r="AT128" s="600"/>
      <c r="AU128" s="600"/>
      <c r="AV128" s="600"/>
      <c r="AW128" s="600"/>
      <c r="AX128" s="60"/>
      <c r="AY128" s="600"/>
      <c r="AZ128" s="600"/>
      <c r="BA128" s="600"/>
      <c r="BB128" s="600"/>
      <c r="BC128" s="600"/>
      <c r="BD128" s="60"/>
      <c r="BE128" s="600"/>
      <c r="BF128" s="600"/>
      <c r="BG128" s="600"/>
      <c r="BH128" s="600"/>
      <c r="BI128" s="600"/>
      <c r="BJ128" s="60"/>
      <c r="BK128" s="600"/>
      <c r="BL128" s="600"/>
      <c r="BM128" s="600"/>
      <c r="BN128" s="600"/>
      <c r="BO128" s="600"/>
      <c r="BP128" s="60"/>
      <c r="BQ128" s="600"/>
      <c r="BR128" s="600"/>
      <c r="BS128" s="600"/>
      <c r="BT128" s="600"/>
      <c r="BU128" s="600"/>
      <c r="BV128" s="60"/>
      <c r="BW128" s="447"/>
      <c r="BX128" s="447"/>
      <c r="BY128" s="447"/>
      <c r="BZ128" s="447"/>
      <c r="CA128" s="600"/>
      <c r="CB128" s="60"/>
      <c r="CC128" s="447"/>
      <c r="CD128" s="447"/>
      <c r="CE128" s="447"/>
      <c r="CF128" s="447"/>
      <c r="CG128" s="1448">
        <f t="shared" si="94"/>
        <v>0</v>
      </c>
      <c r="CH128" s="60"/>
      <c r="CI128" s="447"/>
      <c r="CJ128" s="447"/>
      <c r="CK128" s="447"/>
      <c r="CL128" s="447">
        <v>83</v>
      </c>
      <c r="CM128" s="1448">
        <f t="shared" si="95"/>
        <v>83</v>
      </c>
      <c r="CN128" s="60"/>
      <c r="CO128" s="447">
        <v>195</v>
      </c>
      <c r="CP128" s="447">
        <v>215</v>
      </c>
      <c r="CQ128" s="447">
        <v>214</v>
      </c>
      <c r="CR128" s="447">
        <f>234-CL128</f>
        <v>151</v>
      </c>
      <c r="CS128" s="1448">
        <f t="shared" si="96"/>
        <v>775</v>
      </c>
      <c r="CT128" s="367"/>
      <c r="CU128" s="447"/>
      <c r="CV128" s="447"/>
      <c r="CW128" s="447"/>
      <c r="CX128" s="447"/>
      <c r="CY128" s="1448">
        <f t="shared" si="97"/>
        <v>0</v>
      </c>
      <c r="CZ128" s="86"/>
      <c r="DA128" s="447"/>
      <c r="DB128" s="447"/>
      <c r="DC128" s="447"/>
      <c r="DD128" s="447"/>
      <c r="DE128" s="1448">
        <f t="shared" si="98"/>
        <v>0</v>
      </c>
      <c r="DF128" s="367"/>
      <c r="DG128" s="447"/>
      <c r="DH128" s="447"/>
      <c r="DI128" s="447"/>
      <c r="DJ128" s="447"/>
      <c r="DK128" s="1448">
        <f t="shared" si="99"/>
        <v>0</v>
      </c>
      <c r="DL128" s="367"/>
      <c r="DM128" s="447"/>
      <c r="DN128" s="447"/>
      <c r="DO128" s="447"/>
      <c r="DP128" s="447"/>
      <c r="DQ128" s="1448">
        <f t="shared" si="100"/>
        <v>0</v>
      </c>
      <c r="DR128" s="367"/>
      <c r="DS128" s="447"/>
      <c r="DT128" s="447"/>
      <c r="DU128" s="447"/>
      <c r="DV128" s="447"/>
      <c r="DW128" s="1448">
        <f t="shared" si="101"/>
        <v>0</v>
      </c>
      <c r="DX128" s="367"/>
      <c r="DY128" s="447"/>
      <c r="DZ128" s="447"/>
      <c r="EA128" s="447"/>
      <c r="EB128" s="447"/>
      <c r="EC128" s="1448">
        <f t="shared" si="102"/>
        <v>0</v>
      </c>
      <c r="ED128" s="367"/>
      <c r="EE128" s="447"/>
      <c r="EF128" s="447"/>
      <c r="EG128" s="447"/>
      <c r="EH128" s="447"/>
      <c r="EI128" s="1448">
        <f t="shared" si="103"/>
        <v>0</v>
      </c>
      <c r="EJ128" s="367"/>
      <c r="EK128" s="447"/>
      <c r="EL128" s="447"/>
      <c r="EM128" s="447"/>
      <c r="EN128" s="447"/>
      <c r="EO128" s="1448">
        <f t="shared" si="104"/>
        <v>0</v>
      </c>
      <c r="EP128" s="367"/>
      <c r="EQ128" s="1832"/>
      <c r="ER128" s="1832"/>
      <c r="ES128" s="1832"/>
      <c r="ET128" s="1832"/>
      <c r="EU128" s="1833">
        <f t="shared" si="105"/>
        <v>0</v>
      </c>
      <c r="EV128" s="1834"/>
      <c r="EW128" s="1832"/>
      <c r="EX128" s="1832"/>
      <c r="EY128" s="1832"/>
      <c r="EZ128" s="1832"/>
      <c r="FA128" s="1833">
        <f t="shared" si="106"/>
        <v>0</v>
      </c>
      <c r="FB128" s="1834"/>
      <c r="FC128" s="1832"/>
      <c r="FD128" s="1832"/>
      <c r="FE128" s="1832"/>
      <c r="FF128" s="1832"/>
      <c r="FG128" s="1833">
        <f t="shared" si="107"/>
        <v>0</v>
      </c>
      <c r="FH128" s="1834"/>
      <c r="FI128" s="1832"/>
      <c r="FJ128" s="1832"/>
      <c r="FK128" s="1832"/>
      <c r="FL128" s="1832"/>
      <c r="FM128" s="1833">
        <f t="shared" si="108"/>
        <v>0</v>
      </c>
      <c r="FQ128"/>
      <c r="FR128"/>
      <c r="FS128"/>
      <c r="FT128"/>
      <c r="FU128"/>
      <c r="FV128"/>
      <c r="GB128" s="24"/>
      <c r="GC128" s="24"/>
      <c r="GD128" s="24"/>
      <c r="GE128" s="24"/>
      <c r="GF128" s="24"/>
      <c r="GG128" s="24"/>
      <c r="GH128" s="24"/>
      <c r="GI128" s="24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</row>
    <row r="129" spans="1:274" s="27" customFormat="1" ht="12" hidden="1" customHeight="1" outlineLevel="1" x14ac:dyDescent="0.2">
      <c r="A129" s="60" t="s">
        <v>790</v>
      </c>
      <c r="B129" s="60"/>
      <c r="C129" s="600"/>
      <c r="D129" s="600"/>
      <c r="E129" s="600"/>
      <c r="F129" s="600"/>
      <c r="G129" s="600"/>
      <c r="H129" s="60"/>
      <c r="I129" s="600"/>
      <c r="J129" s="600"/>
      <c r="K129" s="600"/>
      <c r="L129" s="600"/>
      <c r="M129" s="600"/>
      <c r="N129" s="60"/>
      <c r="O129" s="600"/>
      <c r="P129" s="600"/>
      <c r="Q129" s="600"/>
      <c r="R129" s="600"/>
      <c r="S129" s="600"/>
      <c r="T129" s="60"/>
      <c r="U129" s="600"/>
      <c r="V129" s="600"/>
      <c r="W129" s="600"/>
      <c r="X129" s="600"/>
      <c r="Y129" s="600"/>
      <c r="Z129" s="60"/>
      <c r="AA129" s="600"/>
      <c r="AB129" s="600"/>
      <c r="AC129" s="600"/>
      <c r="AD129" s="600"/>
      <c r="AE129" s="600"/>
      <c r="AF129" s="60"/>
      <c r="AG129" s="600"/>
      <c r="AH129" s="600"/>
      <c r="AI129" s="600"/>
      <c r="AJ129" s="600"/>
      <c r="AK129" s="600"/>
      <c r="AL129" s="600"/>
      <c r="AM129" s="600"/>
      <c r="AN129" s="600"/>
      <c r="AO129" s="600"/>
      <c r="AP129" s="600"/>
      <c r="AQ129" s="600"/>
      <c r="AR129" s="60"/>
      <c r="AS129" s="600"/>
      <c r="AT129" s="600"/>
      <c r="AU129" s="600"/>
      <c r="AV129" s="600"/>
      <c r="AW129" s="600"/>
      <c r="AX129" s="60"/>
      <c r="AY129" s="600"/>
      <c r="AZ129" s="600"/>
      <c r="BA129" s="600"/>
      <c r="BB129" s="600"/>
      <c r="BC129" s="600"/>
      <c r="BD129" s="60"/>
      <c r="BE129" s="600"/>
      <c r="BF129" s="600"/>
      <c r="BG129" s="600"/>
      <c r="BH129" s="600"/>
      <c r="BI129" s="600"/>
      <c r="BJ129" s="60"/>
      <c r="BK129" s="600"/>
      <c r="BL129" s="600"/>
      <c r="BM129" s="600"/>
      <c r="BN129" s="600"/>
      <c r="BO129" s="600"/>
      <c r="BP129" s="60"/>
      <c r="BQ129" s="600"/>
      <c r="BR129" s="600"/>
      <c r="BS129" s="600"/>
      <c r="BT129" s="600"/>
      <c r="BU129" s="600"/>
      <c r="BV129" s="60"/>
      <c r="BW129" s="447"/>
      <c r="BX129" s="447"/>
      <c r="BY129" s="447"/>
      <c r="BZ129" s="447"/>
      <c r="CA129" s="600"/>
      <c r="CB129" s="60"/>
      <c r="CC129" s="447"/>
      <c r="CD129" s="447"/>
      <c r="CE129" s="447"/>
      <c r="CF129" s="447"/>
      <c r="CG129" s="1448">
        <f t="shared" si="94"/>
        <v>0</v>
      </c>
      <c r="CH129" s="60"/>
      <c r="CI129" s="447"/>
      <c r="CJ129" s="447"/>
      <c r="CK129" s="447"/>
      <c r="CL129" s="447"/>
      <c r="CM129" s="1448">
        <f t="shared" si="95"/>
        <v>0</v>
      </c>
      <c r="CN129" s="60"/>
      <c r="CO129" s="447"/>
      <c r="CP129" s="447"/>
      <c r="CQ129" s="447"/>
      <c r="CR129" s="447"/>
      <c r="CS129" s="1448">
        <f t="shared" si="96"/>
        <v>0</v>
      </c>
      <c r="CT129" s="367"/>
      <c r="CU129" s="447">
        <f>50/4</f>
        <v>12.5</v>
      </c>
      <c r="CV129" s="447">
        <f>52/4</f>
        <v>13</v>
      </c>
      <c r="CW129" s="447">
        <f>55/4</f>
        <v>13.75</v>
      </c>
      <c r="CX129" s="447">
        <f>55/4</f>
        <v>13.75</v>
      </c>
      <c r="CY129" s="1448">
        <f t="shared" si="97"/>
        <v>53</v>
      </c>
      <c r="CZ129" s="86"/>
      <c r="DA129" s="447"/>
      <c r="DB129" s="447"/>
      <c r="DC129" s="447"/>
      <c r="DD129" s="447"/>
      <c r="DE129" s="1448">
        <f t="shared" si="98"/>
        <v>0</v>
      </c>
      <c r="DF129" s="367"/>
      <c r="DG129" s="447"/>
      <c r="DH129" s="447"/>
      <c r="DI129" s="447"/>
      <c r="DJ129" s="447"/>
      <c r="DK129" s="1448">
        <f t="shared" si="99"/>
        <v>0</v>
      </c>
      <c r="DL129" s="367"/>
      <c r="DM129" s="447"/>
      <c r="DN129" s="447"/>
      <c r="DO129" s="447"/>
      <c r="DP129" s="447"/>
      <c r="DQ129" s="1448">
        <f t="shared" si="100"/>
        <v>0</v>
      </c>
      <c r="DR129" s="367"/>
      <c r="DS129" s="447"/>
      <c r="DT129" s="447"/>
      <c r="DU129" s="447"/>
      <c r="DV129" s="447"/>
      <c r="DW129" s="1448">
        <f t="shared" si="101"/>
        <v>0</v>
      </c>
      <c r="DX129" s="367"/>
      <c r="DY129" s="447"/>
      <c r="DZ129" s="447"/>
      <c r="EA129" s="447"/>
      <c r="EB129" s="447"/>
      <c r="EC129" s="1448">
        <f t="shared" si="102"/>
        <v>0</v>
      </c>
      <c r="ED129" s="367"/>
      <c r="EE129" s="447"/>
      <c r="EF129" s="447"/>
      <c r="EG129" s="447"/>
      <c r="EH129" s="447"/>
      <c r="EI129" s="1448">
        <f t="shared" si="103"/>
        <v>0</v>
      </c>
      <c r="EJ129" s="367"/>
      <c r="EK129" s="447"/>
      <c r="EL129" s="447"/>
      <c r="EM129" s="447"/>
      <c r="EN129" s="447"/>
      <c r="EO129" s="1448">
        <f t="shared" si="104"/>
        <v>0</v>
      </c>
      <c r="EP129" s="367"/>
      <c r="EQ129" s="1832"/>
      <c r="ER129" s="1832"/>
      <c r="ES129" s="1832"/>
      <c r="ET129" s="1832"/>
      <c r="EU129" s="1833">
        <f t="shared" si="105"/>
        <v>0</v>
      </c>
      <c r="EV129" s="1834"/>
      <c r="EW129" s="1832"/>
      <c r="EX129" s="1832"/>
      <c r="EY129" s="1832"/>
      <c r="EZ129" s="1832"/>
      <c r="FA129" s="1833">
        <f t="shared" si="106"/>
        <v>0</v>
      </c>
      <c r="FB129" s="1834"/>
      <c r="FC129" s="1832"/>
      <c r="FD129" s="1832"/>
      <c r="FE129" s="1832"/>
      <c r="FF129" s="1832"/>
      <c r="FG129" s="1833">
        <f t="shared" si="107"/>
        <v>0</v>
      </c>
      <c r="FH129" s="1834"/>
      <c r="FI129" s="1832"/>
      <c r="FJ129" s="1832"/>
      <c r="FK129" s="1832"/>
      <c r="FL129" s="1832"/>
      <c r="FM129" s="1833">
        <f t="shared" si="108"/>
        <v>0</v>
      </c>
      <c r="FQ129"/>
      <c r="FR129"/>
      <c r="FS129"/>
      <c r="FT129"/>
      <c r="FU129"/>
      <c r="FV129"/>
      <c r="GB129" s="24"/>
      <c r="GC129" s="24"/>
      <c r="GD129" s="24"/>
      <c r="GE129" s="24"/>
      <c r="GF129" s="24"/>
      <c r="GG129" s="24"/>
      <c r="GH129" s="24"/>
      <c r="GI129" s="24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</row>
    <row r="130" spans="1:274" s="27" customFormat="1" ht="12" hidden="1" customHeight="1" outlineLevel="1" x14ac:dyDescent="0.2">
      <c r="A130" s="344" t="s">
        <v>875</v>
      </c>
      <c r="B130" s="60"/>
      <c r="C130" s="600"/>
      <c r="D130" s="600"/>
      <c r="E130" s="600"/>
      <c r="F130" s="600"/>
      <c r="G130" s="600"/>
      <c r="H130" s="60"/>
      <c r="I130" s="600"/>
      <c r="J130" s="600"/>
      <c r="K130" s="600"/>
      <c r="L130" s="600"/>
      <c r="M130" s="600"/>
      <c r="N130" s="60"/>
      <c r="O130" s="600"/>
      <c r="P130" s="600"/>
      <c r="Q130" s="600"/>
      <c r="R130" s="600"/>
      <c r="S130" s="600"/>
      <c r="T130" s="60"/>
      <c r="U130" s="600"/>
      <c r="V130" s="600"/>
      <c r="W130" s="600"/>
      <c r="X130" s="600"/>
      <c r="Y130" s="600"/>
      <c r="Z130" s="60"/>
      <c r="AA130" s="600"/>
      <c r="AB130" s="600"/>
      <c r="AC130" s="600"/>
      <c r="AD130" s="600"/>
      <c r="AE130" s="600"/>
      <c r="AF130" s="60"/>
      <c r="AG130" s="600"/>
      <c r="AH130" s="600"/>
      <c r="AI130" s="600"/>
      <c r="AJ130" s="600"/>
      <c r="AK130" s="600"/>
      <c r="AL130" s="600"/>
      <c r="AM130" s="600"/>
      <c r="AN130" s="600"/>
      <c r="AO130" s="600"/>
      <c r="AP130" s="600"/>
      <c r="AQ130" s="600"/>
      <c r="AR130" s="60"/>
      <c r="AS130" s="600"/>
      <c r="AT130" s="600"/>
      <c r="AU130" s="600"/>
      <c r="AV130" s="600"/>
      <c r="AW130" s="600"/>
      <c r="AX130" s="60"/>
      <c r="AY130" s="600"/>
      <c r="AZ130" s="600"/>
      <c r="BA130" s="600"/>
      <c r="BB130" s="600"/>
      <c r="BC130" s="600"/>
      <c r="BD130" s="60"/>
      <c r="BE130" s="600"/>
      <c r="BF130" s="600"/>
      <c r="BG130" s="600"/>
      <c r="BH130" s="600"/>
      <c r="BI130" s="600"/>
      <c r="BJ130" s="60"/>
      <c r="BK130" s="600"/>
      <c r="BL130" s="600"/>
      <c r="BM130" s="600"/>
      <c r="BN130" s="600"/>
      <c r="BO130" s="600"/>
      <c r="BP130" s="60"/>
      <c r="BQ130" s="600"/>
      <c r="BR130" s="600"/>
      <c r="BS130" s="600"/>
      <c r="BT130" s="600"/>
      <c r="BU130" s="600"/>
      <c r="BV130" s="60"/>
      <c r="BW130" s="447"/>
      <c r="BX130" s="447"/>
      <c r="BY130" s="447"/>
      <c r="BZ130" s="447"/>
      <c r="CA130" s="600"/>
      <c r="CB130" s="60"/>
      <c r="CC130" s="447"/>
      <c r="CD130" s="447"/>
      <c r="CE130" s="447"/>
      <c r="CF130" s="447"/>
      <c r="CG130" s="1448"/>
      <c r="CH130" s="60"/>
      <c r="CI130" s="447"/>
      <c r="CJ130" s="447"/>
      <c r="CK130" s="447"/>
      <c r="CL130" s="447"/>
      <c r="CM130" s="1448"/>
      <c r="CN130" s="60"/>
      <c r="CO130" s="447"/>
      <c r="CP130" s="447"/>
      <c r="CQ130" s="447"/>
      <c r="CR130" s="447"/>
      <c r="CS130" s="1448"/>
      <c r="CT130" s="367"/>
      <c r="CU130" s="447"/>
      <c r="CV130" s="447"/>
      <c r="CW130" s="447">
        <f>CW71/0.4</f>
        <v>29.749999999999996</v>
      </c>
      <c r="CX130" s="447">
        <f>CX71/0.4</f>
        <v>52.5</v>
      </c>
      <c r="CY130" s="1448">
        <f t="shared" si="97"/>
        <v>82.25</v>
      </c>
      <c r="CZ130" s="86"/>
      <c r="DA130" s="447">
        <f>DA71/0.4</f>
        <v>33.249999999999993</v>
      </c>
      <c r="DB130" s="447">
        <f>DB71/0.4</f>
        <v>35</v>
      </c>
      <c r="DC130" s="447"/>
      <c r="DD130" s="447"/>
      <c r="DE130" s="1448">
        <f t="shared" si="98"/>
        <v>68.25</v>
      </c>
      <c r="DF130" s="367"/>
      <c r="DG130" s="447"/>
      <c r="DH130" s="447"/>
      <c r="DI130" s="447"/>
      <c r="DJ130" s="447"/>
      <c r="DK130" s="1448">
        <f t="shared" si="99"/>
        <v>0</v>
      </c>
      <c r="DL130" s="367"/>
      <c r="DM130" s="447"/>
      <c r="DN130" s="447"/>
      <c r="DO130" s="447"/>
      <c r="DP130" s="447"/>
      <c r="DQ130" s="1448">
        <f t="shared" si="100"/>
        <v>0</v>
      </c>
      <c r="DR130" s="367"/>
      <c r="DS130" s="447"/>
      <c r="DT130" s="447"/>
      <c r="DU130" s="447"/>
      <c r="DV130" s="447"/>
      <c r="DW130" s="1448">
        <f t="shared" si="101"/>
        <v>0</v>
      </c>
      <c r="DX130" s="367"/>
      <c r="DY130" s="447"/>
      <c r="DZ130" s="447"/>
      <c r="EA130" s="447"/>
      <c r="EB130" s="447"/>
      <c r="EC130" s="1448">
        <f t="shared" si="102"/>
        <v>0</v>
      </c>
      <c r="ED130" s="367"/>
      <c r="EE130" s="447"/>
      <c r="EF130" s="447"/>
      <c r="EG130" s="447"/>
      <c r="EH130" s="447"/>
      <c r="EI130" s="1448">
        <f t="shared" si="103"/>
        <v>0</v>
      </c>
      <c r="EJ130" s="367"/>
      <c r="EK130" s="447"/>
      <c r="EL130" s="447"/>
      <c r="EM130" s="447"/>
      <c r="EN130" s="447"/>
      <c r="EO130" s="1448">
        <f t="shared" si="104"/>
        <v>0</v>
      </c>
      <c r="EP130" s="367"/>
      <c r="EQ130" s="1832"/>
      <c r="ER130" s="1832"/>
      <c r="ES130" s="1832"/>
      <c r="ET130" s="1832"/>
      <c r="EU130" s="1833">
        <f t="shared" si="105"/>
        <v>0</v>
      </c>
      <c r="EV130" s="1834"/>
      <c r="EW130" s="1832"/>
      <c r="EX130" s="1832"/>
      <c r="EY130" s="1832"/>
      <c r="EZ130" s="1832"/>
      <c r="FA130" s="1833">
        <f t="shared" si="106"/>
        <v>0</v>
      </c>
      <c r="FB130" s="1834"/>
      <c r="FC130" s="1832"/>
      <c r="FD130" s="1832"/>
      <c r="FE130" s="1832"/>
      <c r="FF130" s="1832"/>
      <c r="FG130" s="1833">
        <f t="shared" si="107"/>
        <v>0</v>
      </c>
      <c r="FH130" s="1834"/>
      <c r="FI130" s="1832"/>
      <c r="FJ130" s="1832"/>
      <c r="FK130" s="1832"/>
      <c r="FL130" s="1832"/>
      <c r="FM130" s="1833">
        <f t="shared" si="108"/>
        <v>0</v>
      </c>
      <c r="FQ130"/>
      <c r="FR130"/>
      <c r="FS130"/>
      <c r="FT130"/>
      <c r="FU130"/>
      <c r="FV130"/>
      <c r="GB130" s="24"/>
      <c r="GC130" s="24"/>
      <c r="GD130" s="24"/>
      <c r="GE130" s="24"/>
      <c r="GF130" s="24"/>
      <c r="GG130" s="24"/>
      <c r="GH130" s="24"/>
      <c r="GI130" s="24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</row>
    <row r="131" spans="1:274" s="27" customFormat="1" ht="12" hidden="1" customHeight="1" outlineLevel="1" x14ac:dyDescent="0.2">
      <c r="A131" s="345" t="s">
        <v>53</v>
      </c>
      <c r="B131" s="60"/>
      <c r="C131" s="600"/>
      <c r="D131" s="600"/>
      <c r="E131" s="600"/>
      <c r="F131" s="600"/>
      <c r="G131" s="600"/>
      <c r="H131" s="60"/>
      <c r="I131" s="600"/>
      <c r="J131" s="600"/>
      <c r="K131" s="600"/>
      <c r="L131" s="600"/>
      <c r="M131" s="600"/>
      <c r="N131" s="60"/>
      <c r="O131" s="600"/>
      <c r="P131" s="600"/>
      <c r="Q131" s="600"/>
      <c r="R131" s="600"/>
      <c r="S131" s="600"/>
      <c r="T131" s="60"/>
      <c r="U131" s="600"/>
      <c r="V131" s="600"/>
      <c r="W131" s="600"/>
      <c r="X131" s="600"/>
      <c r="Y131" s="600"/>
      <c r="Z131" s="60"/>
      <c r="AA131" s="600"/>
      <c r="AB131" s="600"/>
      <c r="AC131" s="600"/>
      <c r="AD131" s="600"/>
      <c r="AE131" s="600"/>
      <c r="AF131" s="60"/>
      <c r="AG131" s="600"/>
      <c r="AH131" s="600"/>
      <c r="AI131" s="600"/>
      <c r="AJ131" s="600"/>
      <c r="AK131" s="600"/>
      <c r="AL131" s="600"/>
      <c r="AM131" s="600"/>
      <c r="AN131" s="600"/>
      <c r="AO131" s="600"/>
      <c r="AP131" s="600"/>
      <c r="AQ131" s="600"/>
      <c r="AR131" s="60"/>
      <c r="AS131" s="600"/>
      <c r="AT131" s="600"/>
      <c r="AU131" s="600"/>
      <c r="AV131" s="600"/>
      <c r="AW131" s="600"/>
      <c r="AX131" s="60"/>
      <c r="AY131" s="600"/>
      <c r="AZ131" s="600"/>
      <c r="BA131" s="600"/>
      <c r="BB131" s="600"/>
      <c r="BC131" s="600"/>
      <c r="BD131" s="60"/>
      <c r="BE131" s="600"/>
      <c r="BF131" s="600"/>
      <c r="BG131" s="600"/>
      <c r="BH131" s="600"/>
      <c r="BI131" s="600"/>
      <c r="BJ131" s="60"/>
      <c r="BK131" s="600"/>
      <c r="BL131" s="600"/>
      <c r="BM131" s="600"/>
      <c r="BN131" s="600"/>
      <c r="BO131" s="600"/>
      <c r="BP131" s="60"/>
      <c r="BQ131" s="600"/>
      <c r="BR131" s="600"/>
      <c r="BS131" s="600"/>
      <c r="BT131" s="600"/>
      <c r="BU131" s="600"/>
      <c r="BV131" s="60"/>
      <c r="BW131" s="447"/>
      <c r="BX131" s="447"/>
      <c r="BY131" s="447"/>
      <c r="BZ131" s="447"/>
      <c r="CA131" s="600"/>
      <c r="CB131" s="60"/>
      <c r="CC131" s="447"/>
      <c r="CD131" s="447"/>
      <c r="CE131" s="447"/>
      <c r="CF131" s="447"/>
      <c r="CG131" s="1448"/>
      <c r="CH131" s="60"/>
      <c r="CI131" s="447"/>
      <c r="CJ131" s="447"/>
      <c r="CK131" s="447"/>
      <c r="CL131" s="447"/>
      <c r="CM131" s="1448"/>
      <c r="CN131" s="60"/>
      <c r="CO131" s="447"/>
      <c r="CP131" s="447"/>
      <c r="CQ131" s="447"/>
      <c r="CR131" s="447"/>
      <c r="CS131" s="1448"/>
      <c r="CT131" s="367"/>
      <c r="CU131" s="447"/>
      <c r="CV131" s="447"/>
      <c r="CW131" s="447"/>
      <c r="CX131" s="447"/>
      <c r="CY131" s="1448"/>
      <c r="CZ131" s="86"/>
      <c r="DA131" s="447"/>
      <c r="DB131" s="447"/>
      <c r="DC131" s="447">
        <v>593</v>
      </c>
      <c r="DD131" s="447">
        <v>2213</v>
      </c>
      <c r="DE131" s="1448">
        <f t="shared" si="98"/>
        <v>2806</v>
      </c>
      <c r="DF131" s="367"/>
      <c r="DG131" s="447">
        <v>2156.9080535295998</v>
      </c>
      <c r="DH131" s="447">
        <v>2237.1514222400001</v>
      </c>
      <c r="DI131" s="447">
        <v>1442.478270081087</v>
      </c>
      <c r="DJ131" s="447"/>
      <c r="DK131" s="1448">
        <f t="shared" si="99"/>
        <v>5836.5377458506864</v>
      </c>
      <c r="DL131" s="367"/>
      <c r="DM131" s="447"/>
      <c r="DN131" s="447"/>
      <c r="DO131" s="447"/>
      <c r="DP131" s="447"/>
      <c r="DQ131" s="1448">
        <f t="shared" si="100"/>
        <v>0</v>
      </c>
      <c r="DR131" s="367"/>
      <c r="DS131" s="447"/>
      <c r="DT131" s="447"/>
      <c r="DU131" s="447"/>
      <c r="DV131" s="447"/>
      <c r="DW131" s="1448">
        <f t="shared" si="101"/>
        <v>0</v>
      </c>
      <c r="DX131" s="367"/>
      <c r="DY131" s="447"/>
      <c r="DZ131" s="447"/>
      <c r="EA131" s="447"/>
      <c r="EB131" s="447"/>
      <c r="EC131" s="1448">
        <f t="shared" si="102"/>
        <v>0</v>
      </c>
      <c r="ED131" s="367"/>
      <c r="EE131" s="447"/>
      <c r="EF131" s="447"/>
      <c r="EG131" s="447"/>
      <c r="EH131" s="447"/>
      <c r="EI131" s="1448">
        <f t="shared" si="103"/>
        <v>0</v>
      </c>
      <c r="EJ131" s="367"/>
      <c r="EK131" s="447"/>
      <c r="EL131" s="447"/>
      <c r="EM131" s="447"/>
      <c r="EN131" s="447"/>
      <c r="EO131" s="1448">
        <f t="shared" si="104"/>
        <v>0</v>
      </c>
      <c r="EP131" s="367"/>
      <c r="EQ131" s="1832"/>
      <c r="ER131" s="1832"/>
      <c r="ES131" s="1832"/>
      <c r="ET131" s="1832"/>
      <c r="EU131" s="1833">
        <f t="shared" si="105"/>
        <v>0</v>
      </c>
      <c r="EV131" s="1834"/>
      <c r="EW131" s="1832"/>
      <c r="EX131" s="1832"/>
      <c r="EY131" s="1832"/>
      <c r="EZ131" s="1832"/>
      <c r="FA131" s="1833">
        <f t="shared" si="106"/>
        <v>0</v>
      </c>
      <c r="FB131" s="1834"/>
      <c r="FC131" s="1832"/>
      <c r="FD131" s="1832"/>
      <c r="FE131" s="1832"/>
      <c r="FF131" s="1832"/>
      <c r="FG131" s="1833">
        <f t="shared" si="107"/>
        <v>0</v>
      </c>
      <c r="FH131" s="1834"/>
      <c r="FI131" s="1832"/>
      <c r="FJ131" s="1832"/>
      <c r="FK131" s="1832"/>
      <c r="FL131" s="1832"/>
      <c r="FM131" s="1833">
        <f t="shared" si="108"/>
        <v>0</v>
      </c>
      <c r="FQ131"/>
      <c r="FR131"/>
      <c r="FS131"/>
      <c r="FT131"/>
      <c r="FU131"/>
      <c r="FV131"/>
      <c r="GB131" s="24"/>
      <c r="GC131" s="24"/>
      <c r="GD131" s="24"/>
      <c r="GE131" s="24"/>
      <c r="GF131" s="24"/>
      <c r="GG131" s="24"/>
      <c r="GH131" s="24"/>
      <c r="GI131" s="24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</row>
    <row r="132" spans="1:274" s="27" customFormat="1" ht="12" hidden="1" customHeight="1" outlineLevel="1" x14ac:dyDescent="0.2">
      <c r="A132" s="344" t="s">
        <v>126</v>
      </c>
      <c r="B132" s="60"/>
      <c r="C132" s="600"/>
      <c r="D132" s="600"/>
      <c r="E132" s="600"/>
      <c r="F132" s="600"/>
      <c r="G132" s="600"/>
      <c r="H132" s="60"/>
      <c r="I132" s="600"/>
      <c r="J132" s="600"/>
      <c r="K132" s="600"/>
      <c r="L132" s="600"/>
      <c r="M132" s="600"/>
      <c r="N132" s="60"/>
      <c r="O132" s="600"/>
      <c r="P132" s="600"/>
      <c r="Q132" s="600"/>
      <c r="R132" s="600"/>
      <c r="S132" s="600"/>
      <c r="T132" s="60"/>
      <c r="U132" s="600"/>
      <c r="V132" s="600"/>
      <c r="W132" s="600"/>
      <c r="X132" s="600"/>
      <c r="Y132" s="600"/>
      <c r="Z132" s="60"/>
      <c r="AA132" s="600"/>
      <c r="AB132" s="600"/>
      <c r="AC132" s="600"/>
      <c r="AD132" s="600"/>
      <c r="AE132" s="600"/>
      <c r="AF132" s="60"/>
      <c r="AG132" s="600"/>
      <c r="AH132" s="600"/>
      <c r="AI132" s="600"/>
      <c r="AJ132" s="600"/>
      <c r="AK132" s="600"/>
      <c r="AL132" s="600"/>
      <c r="AM132" s="600"/>
      <c r="AN132" s="600"/>
      <c r="AO132" s="600"/>
      <c r="AP132" s="600"/>
      <c r="AQ132" s="600"/>
      <c r="AR132" s="60"/>
      <c r="AS132" s="600"/>
      <c r="AT132" s="600"/>
      <c r="AU132" s="600"/>
      <c r="AV132" s="600"/>
      <c r="AW132" s="600"/>
      <c r="AX132" s="60"/>
      <c r="AY132" s="600"/>
      <c r="AZ132" s="600"/>
      <c r="BA132" s="600"/>
      <c r="BB132" s="600"/>
      <c r="BC132" s="600"/>
      <c r="BD132" s="60"/>
      <c r="BE132" s="600"/>
      <c r="BF132" s="600"/>
      <c r="BG132" s="600"/>
      <c r="BH132" s="600"/>
      <c r="BI132" s="600"/>
      <c r="BJ132" s="60"/>
      <c r="BK132" s="600"/>
      <c r="BL132" s="600"/>
      <c r="BM132" s="600"/>
      <c r="BN132" s="600"/>
      <c r="BO132" s="600"/>
      <c r="BP132" s="60"/>
      <c r="BQ132" s="600"/>
      <c r="BR132" s="600"/>
      <c r="BS132" s="600"/>
      <c r="BT132" s="600"/>
      <c r="BU132" s="600"/>
      <c r="BV132" s="60"/>
      <c r="BW132" s="447"/>
      <c r="BX132" s="447"/>
      <c r="BY132" s="447"/>
      <c r="BZ132" s="447"/>
      <c r="CA132" s="600"/>
      <c r="CB132" s="60"/>
      <c r="CC132" s="447"/>
      <c r="CD132" s="447"/>
      <c r="CE132" s="447"/>
      <c r="CF132" s="447"/>
      <c r="CG132" s="1448"/>
      <c r="CH132" s="60"/>
      <c r="CI132" s="447"/>
      <c r="CJ132" s="447"/>
      <c r="CK132" s="447"/>
      <c r="CL132" s="447"/>
      <c r="CM132" s="1448"/>
      <c r="CN132" s="60"/>
      <c r="CO132" s="447"/>
      <c r="CP132" s="447"/>
      <c r="CQ132" s="447"/>
      <c r="CR132" s="447"/>
      <c r="CS132" s="1448"/>
      <c r="CT132" s="367"/>
      <c r="CU132" s="447"/>
      <c r="CV132" s="447"/>
      <c r="CW132" s="447"/>
      <c r="CX132" s="447"/>
      <c r="CY132" s="1448"/>
      <c r="CZ132" s="86"/>
      <c r="DA132" s="447"/>
      <c r="DB132" s="447"/>
      <c r="DC132" s="447"/>
      <c r="DD132" s="447"/>
      <c r="DE132" s="1448"/>
      <c r="DF132" s="367"/>
      <c r="DG132" s="447"/>
      <c r="DH132" s="447"/>
      <c r="DI132" s="447">
        <v>30</v>
      </c>
      <c r="DJ132" s="447">
        <v>54</v>
      </c>
      <c r="DK132" s="1448">
        <f t="shared" si="99"/>
        <v>84</v>
      </c>
      <c r="DL132" s="367"/>
      <c r="DM132" s="447">
        <v>55</v>
      </c>
      <c r="DN132" s="447">
        <v>64</v>
      </c>
      <c r="DO132" s="447">
        <v>17</v>
      </c>
      <c r="DP132" s="447"/>
      <c r="DQ132" s="1448">
        <f t="shared" si="100"/>
        <v>136</v>
      </c>
      <c r="DR132" s="367"/>
      <c r="DS132" s="447"/>
      <c r="DT132" s="447"/>
      <c r="DU132" s="447"/>
      <c r="DV132" s="447"/>
      <c r="DW132" s="1448">
        <f t="shared" si="101"/>
        <v>0</v>
      </c>
      <c r="DX132" s="367"/>
      <c r="DY132" s="447"/>
      <c r="DZ132" s="447"/>
      <c r="EA132" s="447"/>
      <c r="EB132" s="447"/>
      <c r="EC132" s="1448">
        <f t="shared" si="102"/>
        <v>0</v>
      </c>
      <c r="ED132" s="367"/>
      <c r="EE132" s="447"/>
      <c r="EF132" s="447"/>
      <c r="EG132" s="447"/>
      <c r="EH132" s="447"/>
      <c r="EI132" s="1448">
        <f t="shared" si="103"/>
        <v>0</v>
      </c>
      <c r="EJ132" s="367"/>
      <c r="EK132" s="447"/>
      <c r="EL132" s="447"/>
      <c r="EM132" s="447"/>
      <c r="EN132" s="447"/>
      <c r="EO132" s="1448">
        <f t="shared" si="104"/>
        <v>0</v>
      </c>
      <c r="EP132" s="367"/>
      <c r="EQ132" s="1832"/>
      <c r="ER132" s="1832"/>
      <c r="ES132" s="1832"/>
      <c r="ET132" s="1832"/>
      <c r="EU132" s="1833">
        <f t="shared" si="105"/>
        <v>0</v>
      </c>
      <c r="EV132" s="1834"/>
      <c r="EW132" s="1832"/>
      <c r="EX132" s="1832"/>
      <c r="EY132" s="1832"/>
      <c r="EZ132" s="1832"/>
      <c r="FA132" s="1833">
        <f t="shared" si="106"/>
        <v>0</v>
      </c>
      <c r="FB132" s="1834"/>
      <c r="FC132" s="1832"/>
      <c r="FD132" s="1832"/>
      <c r="FE132" s="1832"/>
      <c r="FF132" s="1832"/>
      <c r="FG132" s="1833">
        <f t="shared" si="107"/>
        <v>0</v>
      </c>
      <c r="FH132" s="1834"/>
      <c r="FI132" s="1832"/>
      <c r="FJ132" s="1832"/>
      <c r="FK132" s="1832"/>
      <c r="FL132" s="1832"/>
      <c r="FM132" s="1833">
        <f t="shared" si="108"/>
        <v>0</v>
      </c>
      <c r="FQ132"/>
      <c r="FR132"/>
      <c r="FS132"/>
      <c r="FT132"/>
      <c r="FU132"/>
      <c r="FV132"/>
      <c r="GB132" s="24"/>
      <c r="GC132" s="24"/>
      <c r="GD132" s="24"/>
      <c r="GE132" s="24"/>
      <c r="GF132" s="24"/>
      <c r="GG132" s="24"/>
      <c r="GH132" s="24"/>
      <c r="GI132" s="24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</row>
    <row r="133" spans="1:274" s="27" customFormat="1" ht="12" hidden="1" customHeight="1" outlineLevel="1" x14ac:dyDescent="0.2">
      <c r="A133" s="345" t="s">
        <v>530</v>
      </c>
      <c r="B133" s="60"/>
      <c r="C133" s="600"/>
      <c r="D133" s="600"/>
      <c r="E133" s="600"/>
      <c r="F133" s="600"/>
      <c r="G133" s="600"/>
      <c r="H133" s="60"/>
      <c r="I133" s="600"/>
      <c r="J133" s="600"/>
      <c r="K133" s="600"/>
      <c r="L133" s="600"/>
      <c r="M133" s="600"/>
      <c r="N133" s="60"/>
      <c r="O133" s="600"/>
      <c r="P133" s="600"/>
      <c r="Q133" s="600"/>
      <c r="R133" s="600"/>
      <c r="S133" s="600"/>
      <c r="T133" s="60"/>
      <c r="U133" s="600"/>
      <c r="V133" s="600"/>
      <c r="W133" s="600"/>
      <c r="X133" s="600"/>
      <c r="Y133" s="600"/>
      <c r="Z133" s="60"/>
      <c r="AA133" s="600"/>
      <c r="AB133" s="600"/>
      <c r="AC133" s="600"/>
      <c r="AD133" s="600"/>
      <c r="AE133" s="600"/>
      <c r="AF133" s="60"/>
      <c r="AG133" s="600"/>
      <c r="AH133" s="600"/>
      <c r="AI133" s="600"/>
      <c r="AJ133" s="600"/>
      <c r="AK133" s="600"/>
      <c r="AL133" s="600"/>
      <c r="AM133" s="600"/>
      <c r="AN133" s="600"/>
      <c r="AO133" s="600"/>
      <c r="AP133" s="600"/>
      <c r="AQ133" s="600"/>
      <c r="AR133" s="60"/>
      <c r="AS133" s="600"/>
      <c r="AT133" s="600"/>
      <c r="AU133" s="600"/>
      <c r="AV133" s="600"/>
      <c r="AW133" s="600"/>
      <c r="AX133" s="60"/>
      <c r="AY133" s="600"/>
      <c r="AZ133" s="600"/>
      <c r="BA133" s="600"/>
      <c r="BB133" s="600"/>
      <c r="BC133" s="600"/>
      <c r="BD133" s="60"/>
      <c r="BE133" s="600"/>
      <c r="BF133" s="600"/>
      <c r="BG133" s="600"/>
      <c r="BH133" s="600"/>
      <c r="BI133" s="600"/>
      <c r="BJ133" s="60"/>
      <c r="BK133" s="600"/>
      <c r="BL133" s="600"/>
      <c r="BM133" s="600"/>
      <c r="BN133" s="600"/>
      <c r="BO133" s="600"/>
      <c r="BP133" s="60"/>
      <c r="BQ133" s="600"/>
      <c r="BR133" s="600"/>
      <c r="BS133" s="600"/>
      <c r="BT133" s="600"/>
      <c r="BU133" s="600"/>
      <c r="BV133" s="60"/>
      <c r="BW133" s="447"/>
      <c r="BX133" s="447"/>
      <c r="BY133" s="447"/>
      <c r="BZ133" s="447"/>
      <c r="CA133" s="600"/>
      <c r="CB133" s="60"/>
      <c r="CC133" s="447"/>
      <c r="CD133" s="447"/>
      <c r="CE133" s="447"/>
      <c r="CF133" s="447"/>
      <c r="CG133" s="1448"/>
      <c r="CH133" s="60"/>
      <c r="CI133" s="447"/>
      <c r="CJ133" s="447"/>
      <c r="CK133" s="447"/>
      <c r="CL133" s="447"/>
      <c r="CM133" s="1448"/>
      <c r="CN133" s="60"/>
      <c r="CO133" s="447"/>
      <c r="CP133" s="447"/>
      <c r="CQ133" s="447"/>
      <c r="CR133" s="447"/>
      <c r="CS133" s="1448"/>
      <c r="CT133" s="367"/>
      <c r="CU133" s="447"/>
      <c r="CV133" s="447"/>
      <c r="CW133" s="447"/>
      <c r="CX133" s="447"/>
      <c r="CY133" s="1448"/>
      <c r="CZ133" s="86"/>
      <c r="DA133" s="447"/>
      <c r="DB133" s="447"/>
      <c r="DC133" s="447"/>
      <c r="DD133" s="447"/>
      <c r="DE133" s="1448"/>
      <c r="DF133" s="367"/>
      <c r="DG133" s="447">
        <v>8</v>
      </c>
      <c r="DH133" s="447">
        <v>70</v>
      </c>
      <c r="DI133" s="447">
        <v>70</v>
      </c>
      <c r="DJ133" s="447">
        <v>70</v>
      </c>
      <c r="DK133" s="1448">
        <f t="shared" si="99"/>
        <v>218</v>
      </c>
      <c r="DL133" s="367"/>
      <c r="DM133" s="447">
        <v>66</v>
      </c>
      <c r="DN133" s="447"/>
      <c r="DO133" s="447"/>
      <c r="DP133" s="447"/>
      <c r="DQ133" s="1448">
        <f t="shared" si="100"/>
        <v>66</v>
      </c>
      <c r="DR133" s="367"/>
      <c r="DS133" s="447"/>
      <c r="DT133" s="447"/>
      <c r="DU133" s="447"/>
      <c r="DV133" s="447"/>
      <c r="DW133" s="1448">
        <f t="shared" si="101"/>
        <v>0</v>
      </c>
      <c r="DX133" s="367"/>
      <c r="DY133" s="447"/>
      <c r="DZ133" s="447"/>
      <c r="EA133" s="447"/>
      <c r="EB133" s="447"/>
      <c r="EC133" s="1448">
        <f t="shared" si="102"/>
        <v>0</v>
      </c>
      <c r="ED133" s="367"/>
      <c r="EE133" s="447"/>
      <c r="EF133" s="447"/>
      <c r="EG133" s="447"/>
      <c r="EH133" s="447"/>
      <c r="EI133" s="1448">
        <f t="shared" si="103"/>
        <v>0</v>
      </c>
      <c r="EJ133" s="367"/>
      <c r="EK133" s="447"/>
      <c r="EL133" s="447"/>
      <c r="EM133" s="447"/>
      <c r="EN133" s="447"/>
      <c r="EO133" s="1448">
        <f t="shared" si="104"/>
        <v>0</v>
      </c>
      <c r="EP133" s="367"/>
      <c r="EQ133" s="1832"/>
      <c r="ER133" s="1832"/>
      <c r="ES133" s="1832"/>
      <c r="ET133" s="1832"/>
      <c r="EU133" s="1833">
        <f t="shared" si="105"/>
        <v>0</v>
      </c>
      <c r="EV133" s="1834"/>
      <c r="EW133" s="1832"/>
      <c r="EX133" s="1832"/>
      <c r="EY133" s="1832"/>
      <c r="EZ133" s="1832"/>
      <c r="FA133" s="1833">
        <f t="shared" si="106"/>
        <v>0</v>
      </c>
      <c r="FB133" s="1834"/>
      <c r="FC133" s="1832"/>
      <c r="FD133" s="1832"/>
      <c r="FE133" s="1832"/>
      <c r="FF133" s="1832"/>
      <c r="FG133" s="1833">
        <f t="shared" si="107"/>
        <v>0</v>
      </c>
      <c r="FH133" s="1834"/>
      <c r="FI133" s="1832"/>
      <c r="FJ133" s="1832"/>
      <c r="FK133" s="1832"/>
      <c r="FL133" s="1832"/>
      <c r="FM133" s="1833">
        <f t="shared" si="108"/>
        <v>0</v>
      </c>
      <c r="FQ133"/>
      <c r="FR133"/>
      <c r="FS133"/>
      <c r="FT133"/>
      <c r="FU133"/>
      <c r="FV133"/>
      <c r="GB133" s="24"/>
      <c r="GC133" s="24"/>
      <c r="GD133" s="24"/>
      <c r="GE133" s="24"/>
      <c r="GF133" s="24"/>
      <c r="GG133" s="24"/>
      <c r="GH133" s="24"/>
      <c r="GI133" s="24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</row>
    <row r="134" spans="1:274" s="27" customFormat="1" ht="12" hidden="1" customHeight="1" outlineLevel="1" x14ac:dyDescent="0.2">
      <c r="A134" s="345" t="s">
        <v>90</v>
      </c>
      <c r="B134" s="60"/>
      <c r="C134" s="600"/>
      <c r="D134" s="600"/>
      <c r="E134" s="600"/>
      <c r="F134" s="600"/>
      <c r="G134" s="600"/>
      <c r="H134" s="60"/>
      <c r="I134" s="600"/>
      <c r="J134" s="600"/>
      <c r="K134" s="600"/>
      <c r="L134" s="600"/>
      <c r="M134" s="600"/>
      <c r="N134" s="60"/>
      <c r="O134" s="600"/>
      <c r="P134" s="600"/>
      <c r="Q134" s="600"/>
      <c r="R134" s="600"/>
      <c r="S134" s="600"/>
      <c r="T134" s="60"/>
      <c r="U134" s="600"/>
      <c r="V134" s="600"/>
      <c r="W134" s="600"/>
      <c r="X134" s="600"/>
      <c r="Y134" s="600"/>
      <c r="Z134" s="60"/>
      <c r="AA134" s="600"/>
      <c r="AB134" s="600"/>
      <c r="AC134" s="600"/>
      <c r="AD134" s="600"/>
      <c r="AE134" s="600"/>
      <c r="AF134" s="60"/>
      <c r="AG134" s="600"/>
      <c r="AH134" s="600"/>
      <c r="AI134" s="600"/>
      <c r="AJ134" s="600"/>
      <c r="AK134" s="600"/>
      <c r="AL134" s="600"/>
      <c r="AM134" s="600"/>
      <c r="AN134" s="600"/>
      <c r="AO134" s="600"/>
      <c r="AP134" s="600"/>
      <c r="AQ134" s="600"/>
      <c r="AR134" s="60"/>
      <c r="AS134" s="600"/>
      <c r="AT134" s="600"/>
      <c r="AU134" s="600"/>
      <c r="AV134" s="600"/>
      <c r="AW134" s="600"/>
      <c r="AX134" s="60"/>
      <c r="AY134" s="600"/>
      <c r="AZ134" s="600"/>
      <c r="BA134" s="600"/>
      <c r="BB134" s="600"/>
      <c r="BC134" s="600"/>
      <c r="BD134" s="60"/>
      <c r="BE134" s="600"/>
      <c r="BF134" s="600"/>
      <c r="BG134" s="600"/>
      <c r="BH134" s="600"/>
      <c r="BI134" s="600"/>
      <c r="BJ134" s="60"/>
      <c r="BK134" s="600"/>
      <c r="BL134" s="600"/>
      <c r="BM134" s="600"/>
      <c r="BN134" s="600"/>
      <c r="BO134" s="600"/>
      <c r="BP134" s="60"/>
      <c r="BQ134" s="600"/>
      <c r="BR134" s="600"/>
      <c r="BS134" s="600"/>
      <c r="BT134" s="600"/>
      <c r="BU134" s="600"/>
      <c r="BV134" s="60"/>
      <c r="BW134" s="447"/>
      <c r="BX134" s="447"/>
      <c r="BY134" s="447"/>
      <c r="BZ134" s="447"/>
      <c r="CA134" s="600"/>
      <c r="CB134" s="60"/>
      <c r="CC134" s="447"/>
      <c r="CD134" s="447"/>
      <c r="CE134" s="447"/>
      <c r="CF134" s="447"/>
      <c r="CG134" s="1448"/>
      <c r="CH134" s="60"/>
      <c r="CI134" s="447"/>
      <c r="CJ134" s="447"/>
      <c r="CK134" s="447"/>
      <c r="CL134" s="447"/>
      <c r="CM134" s="1448"/>
      <c r="CN134" s="60"/>
      <c r="CO134" s="447"/>
      <c r="CP134" s="447"/>
      <c r="CQ134" s="447"/>
      <c r="CR134" s="447"/>
      <c r="CS134" s="1448"/>
      <c r="CT134" s="367"/>
      <c r="CU134" s="447"/>
      <c r="CV134" s="447"/>
      <c r="CW134" s="447"/>
      <c r="CX134" s="447"/>
      <c r="CY134" s="1448"/>
      <c r="CZ134" s="86"/>
      <c r="DA134" s="447"/>
      <c r="DB134" s="447"/>
      <c r="DC134" s="447"/>
      <c r="DD134" s="447"/>
      <c r="DE134" s="1448"/>
      <c r="DF134" s="367"/>
      <c r="DG134" s="447"/>
      <c r="DH134" s="447"/>
      <c r="DI134" s="447"/>
      <c r="DJ134" s="447"/>
      <c r="DK134" s="1448">
        <f t="shared" si="99"/>
        <v>0</v>
      </c>
      <c r="DL134" s="367"/>
      <c r="DM134" s="447"/>
      <c r="DN134" s="447">
        <v>12</v>
      </c>
      <c r="DO134" s="447">
        <v>14</v>
      </c>
      <c r="DP134" s="447">
        <v>16</v>
      </c>
      <c r="DQ134" s="1448">
        <f t="shared" si="100"/>
        <v>42</v>
      </c>
      <c r="DR134" s="367"/>
      <c r="DS134" s="447">
        <v>18</v>
      </c>
      <c r="DT134" s="447"/>
      <c r="DU134" s="447"/>
      <c r="DV134" s="447"/>
      <c r="DW134" s="1448">
        <f t="shared" si="101"/>
        <v>18</v>
      </c>
      <c r="DX134" s="367"/>
      <c r="DY134" s="447"/>
      <c r="DZ134" s="447"/>
      <c r="EA134" s="447"/>
      <c r="EB134" s="447"/>
      <c r="EC134" s="1448">
        <f t="shared" si="102"/>
        <v>0</v>
      </c>
      <c r="ED134" s="367"/>
      <c r="EE134" s="447"/>
      <c r="EF134" s="447"/>
      <c r="EG134" s="447"/>
      <c r="EH134" s="447"/>
      <c r="EI134" s="1448">
        <f t="shared" si="103"/>
        <v>0</v>
      </c>
      <c r="EJ134" s="367"/>
      <c r="EK134" s="447"/>
      <c r="EL134" s="447"/>
      <c r="EM134" s="447"/>
      <c r="EN134" s="447"/>
      <c r="EO134" s="1448">
        <f t="shared" si="104"/>
        <v>0</v>
      </c>
      <c r="EP134" s="367"/>
      <c r="EQ134" s="1832"/>
      <c r="ER134" s="1832"/>
      <c r="ES134" s="1832"/>
      <c r="ET134" s="1832"/>
      <c r="EU134" s="1833">
        <f t="shared" si="105"/>
        <v>0</v>
      </c>
      <c r="EV134" s="1834"/>
      <c r="EW134" s="1832"/>
      <c r="EX134" s="1832"/>
      <c r="EY134" s="1832"/>
      <c r="EZ134" s="1832"/>
      <c r="FA134" s="1833">
        <f t="shared" si="106"/>
        <v>0</v>
      </c>
      <c r="FB134" s="1834"/>
      <c r="FC134" s="1832"/>
      <c r="FD134" s="1832"/>
      <c r="FE134" s="1832"/>
      <c r="FF134" s="1832"/>
      <c r="FG134" s="1833">
        <f t="shared" si="107"/>
        <v>0</v>
      </c>
      <c r="FH134" s="1834"/>
      <c r="FI134" s="1832"/>
      <c r="FJ134" s="1832"/>
      <c r="FK134" s="1832"/>
      <c r="FL134" s="1832"/>
      <c r="FM134" s="1833">
        <f t="shared" si="108"/>
        <v>0</v>
      </c>
      <c r="FQ134"/>
      <c r="FR134"/>
      <c r="FS134"/>
      <c r="FT134"/>
      <c r="FU134"/>
      <c r="FV134"/>
      <c r="GB134" s="24"/>
      <c r="GC134" s="24"/>
      <c r="GD134" s="24"/>
      <c r="GE134" s="24"/>
      <c r="GF134" s="24"/>
      <c r="GG134" s="24"/>
      <c r="GH134" s="24"/>
      <c r="GI134" s="2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</row>
    <row r="135" spans="1:274" s="27" customFormat="1" ht="12" hidden="1" customHeight="1" outlineLevel="1" x14ac:dyDescent="0.2">
      <c r="A135" s="345" t="s">
        <v>208</v>
      </c>
      <c r="B135" s="60"/>
      <c r="C135" s="600"/>
      <c r="D135" s="600"/>
      <c r="E135" s="600"/>
      <c r="F135" s="600"/>
      <c r="G135" s="600"/>
      <c r="H135" s="60"/>
      <c r="I135" s="600"/>
      <c r="J135" s="600"/>
      <c r="K135" s="600"/>
      <c r="L135" s="600"/>
      <c r="M135" s="600"/>
      <c r="N135" s="60"/>
      <c r="O135" s="600"/>
      <c r="P135" s="600"/>
      <c r="Q135" s="600"/>
      <c r="R135" s="600"/>
      <c r="S135" s="600"/>
      <c r="T135" s="60"/>
      <c r="U135" s="600"/>
      <c r="V135" s="600"/>
      <c r="W135" s="600"/>
      <c r="X135" s="600"/>
      <c r="Y135" s="600"/>
      <c r="Z135" s="60"/>
      <c r="AA135" s="600"/>
      <c r="AB135" s="600"/>
      <c r="AC135" s="600"/>
      <c r="AD135" s="600"/>
      <c r="AE135" s="600"/>
      <c r="AF135" s="60"/>
      <c r="AG135" s="600"/>
      <c r="AH135" s="600"/>
      <c r="AI135" s="600"/>
      <c r="AJ135" s="600"/>
      <c r="AK135" s="600"/>
      <c r="AL135" s="600"/>
      <c r="AM135" s="600"/>
      <c r="AN135" s="600"/>
      <c r="AO135" s="600"/>
      <c r="AP135" s="600"/>
      <c r="AQ135" s="600"/>
      <c r="AR135" s="60"/>
      <c r="AS135" s="600"/>
      <c r="AT135" s="600"/>
      <c r="AU135" s="600"/>
      <c r="AV135" s="600"/>
      <c r="AW135" s="600"/>
      <c r="AX135" s="60"/>
      <c r="AY135" s="600"/>
      <c r="AZ135" s="600"/>
      <c r="BA135" s="600"/>
      <c r="BB135" s="600"/>
      <c r="BC135" s="600"/>
      <c r="BD135" s="60"/>
      <c r="BE135" s="600"/>
      <c r="BF135" s="600"/>
      <c r="BG135" s="600"/>
      <c r="BH135" s="600"/>
      <c r="BI135" s="600"/>
      <c r="BJ135" s="60"/>
      <c r="BK135" s="600"/>
      <c r="BL135" s="600"/>
      <c r="BM135" s="600"/>
      <c r="BN135" s="600"/>
      <c r="BO135" s="600"/>
      <c r="BP135" s="60"/>
      <c r="BQ135" s="600"/>
      <c r="BR135" s="600"/>
      <c r="BS135" s="600"/>
      <c r="BT135" s="600"/>
      <c r="BU135" s="600"/>
      <c r="BV135" s="60"/>
      <c r="BW135" s="447"/>
      <c r="BX135" s="447"/>
      <c r="BY135" s="447"/>
      <c r="BZ135" s="447"/>
      <c r="CA135" s="600"/>
      <c r="CB135" s="60"/>
      <c r="CC135" s="447"/>
      <c r="CD135" s="447"/>
      <c r="CE135" s="447"/>
      <c r="CF135" s="447"/>
      <c r="CG135" s="1448"/>
      <c r="CH135" s="60"/>
      <c r="CI135" s="447"/>
      <c r="CJ135" s="447"/>
      <c r="CK135" s="447"/>
      <c r="CL135" s="447"/>
      <c r="CM135" s="1448"/>
      <c r="CN135" s="60"/>
      <c r="CO135" s="447"/>
      <c r="CP135" s="447"/>
      <c r="CQ135" s="447"/>
      <c r="CR135" s="447"/>
      <c r="CS135" s="1448"/>
      <c r="CT135" s="367"/>
      <c r="CU135" s="447"/>
      <c r="CV135" s="447"/>
      <c r="CW135" s="447"/>
      <c r="CX135" s="447"/>
      <c r="CY135" s="1448"/>
      <c r="CZ135" s="86"/>
      <c r="DA135" s="447"/>
      <c r="DB135" s="447"/>
      <c r="DC135" s="447"/>
      <c r="DD135" s="447"/>
      <c r="DE135" s="1448"/>
      <c r="DF135" s="367"/>
      <c r="DG135" s="447"/>
      <c r="DH135" s="447"/>
      <c r="DI135" s="447"/>
      <c r="DJ135" s="447"/>
      <c r="DK135" s="1448"/>
      <c r="DL135" s="367"/>
      <c r="DM135" s="447">
        <v>6</v>
      </c>
      <c r="DN135" s="447">
        <v>12.5</v>
      </c>
      <c r="DO135" s="447">
        <v>13</v>
      </c>
      <c r="DP135" s="447">
        <v>13.5</v>
      </c>
      <c r="DQ135" s="1448">
        <f t="shared" si="100"/>
        <v>45</v>
      </c>
      <c r="DR135" s="367"/>
      <c r="DS135" s="447">
        <v>5</v>
      </c>
      <c r="DT135" s="447"/>
      <c r="DU135" s="447"/>
      <c r="DV135" s="447"/>
      <c r="DW135" s="1448">
        <f t="shared" si="101"/>
        <v>5</v>
      </c>
      <c r="DX135" s="367"/>
      <c r="DY135" s="447"/>
      <c r="DZ135" s="447"/>
      <c r="EA135" s="447"/>
      <c r="EB135" s="447"/>
      <c r="EC135" s="1448">
        <f t="shared" si="102"/>
        <v>0</v>
      </c>
      <c r="ED135" s="367"/>
      <c r="EE135" s="447"/>
      <c r="EF135" s="447"/>
      <c r="EG135" s="447"/>
      <c r="EH135" s="447"/>
      <c r="EI135" s="1448">
        <f t="shared" si="103"/>
        <v>0</v>
      </c>
      <c r="EJ135" s="367"/>
      <c r="EK135" s="447"/>
      <c r="EL135" s="447"/>
      <c r="EM135" s="447"/>
      <c r="EN135" s="447"/>
      <c r="EO135" s="1448">
        <f t="shared" si="104"/>
        <v>0</v>
      </c>
      <c r="EP135" s="367"/>
      <c r="EQ135" s="1832"/>
      <c r="ER135" s="1832"/>
      <c r="ES135" s="1832"/>
      <c r="ET135" s="1832"/>
      <c r="EU135" s="1833">
        <f t="shared" si="105"/>
        <v>0</v>
      </c>
      <c r="EV135" s="1834"/>
      <c r="EW135" s="1832"/>
      <c r="EX135" s="1832"/>
      <c r="EY135" s="1832"/>
      <c r="EZ135" s="1832"/>
      <c r="FA135" s="1833">
        <f t="shared" si="106"/>
        <v>0</v>
      </c>
      <c r="FB135" s="1834"/>
      <c r="FC135" s="1832"/>
      <c r="FD135" s="1832"/>
      <c r="FE135" s="1832"/>
      <c r="FF135" s="1832"/>
      <c r="FG135" s="1833">
        <f t="shared" si="107"/>
        <v>0</v>
      </c>
      <c r="FH135" s="1834"/>
      <c r="FI135" s="1832"/>
      <c r="FJ135" s="1832"/>
      <c r="FK135" s="1832"/>
      <c r="FL135" s="1832"/>
      <c r="FM135" s="1833">
        <f t="shared" si="108"/>
        <v>0</v>
      </c>
      <c r="FQ135"/>
      <c r="FR135"/>
      <c r="FS135"/>
      <c r="FT135"/>
      <c r="FU135"/>
      <c r="FV135"/>
      <c r="GB135" s="24"/>
      <c r="GC135" s="24"/>
      <c r="GD135" s="24"/>
      <c r="GE135" s="24"/>
      <c r="GF135" s="24"/>
      <c r="GG135" s="24"/>
      <c r="GH135" s="24"/>
      <c r="GI135" s="24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</row>
    <row r="136" spans="1:274" s="27" customFormat="1" ht="12" hidden="1" customHeight="1" outlineLevel="1" x14ac:dyDescent="0.2">
      <c r="A136" s="345" t="s">
        <v>212</v>
      </c>
      <c r="B136" s="60"/>
      <c r="C136" s="600"/>
      <c r="D136" s="600"/>
      <c r="E136" s="600"/>
      <c r="F136" s="600"/>
      <c r="G136" s="600"/>
      <c r="H136" s="60"/>
      <c r="I136" s="600"/>
      <c r="J136" s="600"/>
      <c r="K136" s="600"/>
      <c r="L136" s="600"/>
      <c r="M136" s="600"/>
      <c r="N136" s="60"/>
      <c r="O136" s="600"/>
      <c r="P136" s="600"/>
      <c r="Q136" s="600"/>
      <c r="R136" s="600"/>
      <c r="S136" s="600"/>
      <c r="T136" s="60"/>
      <c r="U136" s="600"/>
      <c r="V136" s="600"/>
      <c r="W136" s="600"/>
      <c r="X136" s="600"/>
      <c r="Y136" s="600"/>
      <c r="Z136" s="60"/>
      <c r="AA136" s="600"/>
      <c r="AB136" s="600"/>
      <c r="AC136" s="600"/>
      <c r="AD136" s="600"/>
      <c r="AE136" s="600"/>
      <c r="AF136" s="60"/>
      <c r="AG136" s="600"/>
      <c r="AH136" s="600"/>
      <c r="AI136" s="600"/>
      <c r="AJ136" s="600"/>
      <c r="AK136" s="600"/>
      <c r="AL136" s="600"/>
      <c r="AM136" s="600"/>
      <c r="AN136" s="600"/>
      <c r="AO136" s="600"/>
      <c r="AP136" s="600"/>
      <c r="AQ136" s="600"/>
      <c r="AR136" s="60"/>
      <c r="AS136" s="600"/>
      <c r="AT136" s="600"/>
      <c r="AU136" s="600"/>
      <c r="AV136" s="600"/>
      <c r="AW136" s="600"/>
      <c r="AX136" s="60"/>
      <c r="AY136" s="600"/>
      <c r="AZ136" s="600"/>
      <c r="BA136" s="600"/>
      <c r="BB136" s="600"/>
      <c r="BC136" s="600"/>
      <c r="BD136" s="60"/>
      <c r="BE136" s="600"/>
      <c r="BF136" s="600"/>
      <c r="BG136" s="600"/>
      <c r="BH136" s="600"/>
      <c r="BI136" s="600"/>
      <c r="BJ136" s="60"/>
      <c r="BK136" s="600"/>
      <c r="BL136" s="600"/>
      <c r="BM136" s="600"/>
      <c r="BN136" s="600"/>
      <c r="BO136" s="600"/>
      <c r="BP136" s="60"/>
      <c r="BQ136" s="600"/>
      <c r="BR136" s="600"/>
      <c r="BS136" s="600"/>
      <c r="BT136" s="600"/>
      <c r="BU136" s="600"/>
      <c r="BV136" s="60"/>
      <c r="BW136" s="447"/>
      <c r="BX136" s="447"/>
      <c r="BY136" s="447"/>
      <c r="BZ136" s="447"/>
      <c r="CA136" s="600"/>
      <c r="CB136" s="60"/>
      <c r="CC136" s="447"/>
      <c r="CD136" s="447"/>
      <c r="CE136" s="447"/>
      <c r="CF136" s="447"/>
      <c r="CG136" s="1448"/>
      <c r="CH136" s="60"/>
      <c r="CI136" s="447"/>
      <c r="CJ136" s="447"/>
      <c r="CK136" s="447"/>
      <c r="CL136" s="447"/>
      <c r="CM136" s="1448"/>
      <c r="CN136" s="60"/>
      <c r="CO136" s="447"/>
      <c r="CP136" s="447"/>
      <c r="CQ136" s="447"/>
      <c r="CR136" s="447"/>
      <c r="CS136" s="1448"/>
      <c r="CT136" s="367"/>
      <c r="CU136" s="447"/>
      <c r="CV136" s="447"/>
      <c r="CW136" s="447"/>
      <c r="CX136" s="447"/>
      <c r="CY136" s="1448"/>
      <c r="CZ136" s="86"/>
      <c r="DA136" s="447"/>
      <c r="DB136" s="447"/>
      <c r="DC136" s="447"/>
      <c r="DD136" s="447"/>
      <c r="DE136" s="1448"/>
      <c r="DF136" s="367"/>
      <c r="DG136" s="447"/>
      <c r="DH136" s="447"/>
      <c r="DI136" s="447"/>
      <c r="DJ136" s="447"/>
      <c r="DK136" s="1448"/>
      <c r="DL136" s="367"/>
      <c r="DM136" s="447">
        <v>4</v>
      </c>
      <c r="DN136" s="447">
        <v>8</v>
      </c>
      <c r="DO136" s="447">
        <v>8.5</v>
      </c>
      <c r="DP136" s="447">
        <v>9</v>
      </c>
      <c r="DQ136" s="1448">
        <f t="shared" si="100"/>
        <v>29.5</v>
      </c>
      <c r="DR136" s="367"/>
      <c r="DS136" s="447">
        <v>6</v>
      </c>
      <c r="DT136" s="447"/>
      <c r="DU136" s="447"/>
      <c r="DV136" s="447"/>
      <c r="DW136" s="1448">
        <f t="shared" si="101"/>
        <v>6</v>
      </c>
      <c r="DX136" s="367"/>
      <c r="DY136" s="447"/>
      <c r="DZ136" s="447"/>
      <c r="EA136" s="447"/>
      <c r="EB136" s="447"/>
      <c r="EC136" s="1448">
        <f t="shared" si="102"/>
        <v>0</v>
      </c>
      <c r="ED136" s="367"/>
      <c r="EE136" s="447"/>
      <c r="EF136" s="447"/>
      <c r="EG136" s="447"/>
      <c r="EH136" s="447"/>
      <c r="EI136" s="1448">
        <f t="shared" si="103"/>
        <v>0</v>
      </c>
      <c r="EJ136" s="367"/>
      <c r="EK136" s="447"/>
      <c r="EL136" s="447"/>
      <c r="EM136" s="447"/>
      <c r="EN136" s="447"/>
      <c r="EO136" s="1448">
        <f t="shared" si="104"/>
        <v>0</v>
      </c>
      <c r="EP136" s="367"/>
      <c r="EQ136" s="1832"/>
      <c r="ER136" s="1832"/>
      <c r="ES136" s="1832"/>
      <c r="ET136" s="1832"/>
      <c r="EU136" s="1833">
        <f t="shared" si="105"/>
        <v>0</v>
      </c>
      <c r="EV136" s="1834"/>
      <c r="EW136" s="1832"/>
      <c r="EX136" s="1832"/>
      <c r="EY136" s="1832"/>
      <c r="EZ136" s="1832"/>
      <c r="FA136" s="1833">
        <f t="shared" si="106"/>
        <v>0</v>
      </c>
      <c r="FB136" s="1834"/>
      <c r="FC136" s="1832"/>
      <c r="FD136" s="1832"/>
      <c r="FE136" s="1832"/>
      <c r="FF136" s="1832"/>
      <c r="FG136" s="1833">
        <f t="shared" si="107"/>
        <v>0</v>
      </c>
      <c r="FH136" s="1834"/>
      <c r="FI136" s="1832"/>
      <c r="FJ136" s="1832"/>
      <c r="FK136" s="1832"/>
      <c r="FL136" s="1832"/>
      <c r="FM136" s="1833">
        <f t="shared" si="108"/>
        <v>0</v>
      </c>
      <c r="FQ136"/>
      <c r="FR136"/>
      <c r="FS136"/>
      <c r="FT136"/>
      <c r="FU136"/>
      <c r="FV136"/>
      <c r="GB136" s="24"/>
      <c r="GC136" s="24"/>
      <c r="GD136" s="24"/>
      <c r="GE136" s="24"/>
      <c r="GF136" s="24"/>
      <c r="GG136" s="24"/>
      <c r="GH136" s="24"/>
      <c r="GI136" s="24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</row>
    <row r="137" spans="1:274" s="27" customFormat="1" ht="12" hidden="1" customHeight="1" outlineLevel="1" x14ac:dyDescent="0.2">
      <c r="A137" s="345" t="s">
        <v>984</v>
      </c>
      <c r="B137" s="60"/>
      <c r="C137" s="600"/>
      <c r="D137" s="600"/>
      <c r="E137" s="600"/>
      <c r="F137" s="600"/>
      <c r="G137" s="600"/>
      <c r="H137" s="60"/>
      <c r="I137" s="600"/>
      <c r="J137" s="600"/>
      <c r="K137" s="600"/>
      <c r="L137" s="600"/>
      <c r="M137" s="600"/>
      <c r="N137" s="60"/>
      <c r="O137" s="600"/>
      <c r="P137" s="600"/>
      <c r="Q137" s="600"/>
      <c r="R137" s="600"/>
      <c r="S137" s="600"/>
      <c r="T137" s="60"/>
      <c r="U137" s="600"/>
      <c r="V137" s="600"/>
      <c r="W137" s="600"/>
      <c r="X137" s="600"/>
      <c r="Y137" s="600"/>
      <c r="Z137" s="60"/>
      <c r="AA137" s="600"/>
      <c r="AB137" s="600"/>
      <c r="AC137" s="600"/>
      <c r="AD137" s="600"/>
      <c r="AE137" s="600"/>
      <c r="AF137" s="60"/>
      <c r="AG137" s="600"/>
      <c r="AH137" s="600"/>
      <c r="AI137" s="600"/>
      <c r="AJ137" s="600"/>
      <c r="AK137" s="600"/>
      <c r="AL137" s="600"/>
      <c r="AM137" s="600"/>
      <c r="AN137" s="600"/>
      <c r="AO137" s="600"/>
      <c r="AP137" s="600"/>
      <c r="AQ137" s="600"/>
      <c r="AR137" s="60"/>
      <c r="AS137" s="600"/>
      <c r="AT137" s="600"/>
      <c r="AU137" s="600"/>
      <c r="AV137" s="600"/>
      <c r="AW137" s="600"/>
      <c r="AX137" s="60"/>
      <c r="AY137" s="600"/>
      <c r="AZ137" s="600"/>
      <c r="BA137" s="600"/>
      <c r="BB137" s="600"/>
      <c r="BC137" s="600"/>
      <c r="BD137" s="60"/>
      <c r="BE137" s="600"/>
      <c r="BF137" s="600"/>
      <c r="BG137" s="600"/>
      <c r="BH137" s="600"/>
      <c r="BI137" s="600"/>
      <c r="BJ137" s="60"/>
      <c r="BK137" s="600"/>
      <c r="BL137" s="600"/>
      <c r="BM137" s="600"/>
      <c r="BN137" s="600"/>
      <c r="BO137" s="600"/>
      <c r="BP137" s="60"/>
      <c r="BQ137" s="600"/>
      <c r="BR137" s="600"/>
      <c r="BS137" s="600"/>
      <c r="BT137" s="600"/>
      <c r="BU137" s="600"/>
      <c r="BV137" s="60"/>
      <c r="BW137" s="447"/>
      <c r="BX137" s="447"/>
      <c r="BY137" s="447"/>
      <c r="BZ137" s="447"/>
      <c r="CA137" s="600"/>
      <c r="CB137" s="60"/>
      <c r="CC137" s="447"/>
      <c r="CD137" s="447"/>
      <c r="CE137" s="447"/>
      <c r="CF137" s="447"/>
      <c r="CG137" s="1448"/>
      <c r="CH137" s="60"/>
      <c r="CI137" s="447"/>
      <c r="CJ137" s="447"/>
      <c r="CK137" s="447"/>
      <c r="CL137" s="447"/>
      <c r="CM137" s="1448"/>
      <c r="CN137" s="60"/>
      <c r="CO137" s="447"/>
      <c r="CP137" s="447"/>
      <c r="CQ137" s="447"/>
      <c r="CR137" s="447"/>
      <c r="CS137" s="1448"/>
      <c r="CT137" s="367"/>
      <c r="CU137" s="447"/>
      <c r="CV137" s="447"/>
      <c r="CW137" s="447"/>
      <c r="CX137" s="447"/>
      <c r="CY137" s="1448"/>
      <c r="CZ137" s="86"/>
      <c r="DA137" s="447"/>
      <c r="DB137" s="447"/>
      <c r="DC137" s="447"/>
      <c r="DD137" s="447"/>
      <c r="DE137" s="1448"/>
      <c r="DF137" s="367"/>
      <c r="DG137" s="447"/>
      <c r="DH137" s="447"/>
      <c r="DI137" s="447"/>
      <c r="DJ137" s="447"/>
      <c r="DK137" s="1448"/>
      <c r="DL137" s="367"/>
      <c r="DM137" s="447"/>
      <c r="DN137" s="447"/>
      <c r="DO137" s="1445">
        <f>150/4</f>
        <v>37.5</v>
      </c>
      <c r="DP137" s="1445">
        <f>DP48*1.25</f>
        <v>50</v>
      </c>
      <c r="DQ137" s="1448">
        <f t="shared" si="100"/>
        <v>87.5</v>
      </c>
      <c r="DR137" s="345"/>
      <c r="DS137" s="1445">
        <f>DS48*1.25</f>
        <v>25</v>
      </c>
      <c r="DT137" s="1445">
        <f>DT48*1.25</f>
        <v>28.75</v>
      </c>
      <c r="DU137" s="447"/>
      <c r="DV137" s="447"/>
      <c r="DW137" s="1448">
        <f t="shared" si="101"/>
        <v>53.75</v>
      </c>
      <c r="DX137" s="367"/>
      <c r="DY137" s="447"/>
      <c r="DZ137" s="447"/>
      <c r="EA137" s="447"/>
      <c r="EB137" s="447"/>
      <c r="EC137" s="1448">
        <f t="shared" si="102"/>
        <v>0</v>
      </c>
      <c r="ED137" s="367"/>
      <c r="EE137" s="447"/>
      <c r="EF137" s="447"/>
      <c r="EG137" s="447"/>
      <c r="EH137" s="447"/>
      <c r="EI137" s="1448">
        <f t="shared" si="103"/>
        <v>0</v>
      </c>
      <c r="EJ137" s="367"/>
      <c r="EK137" s="447"/>
      <c r="EL137" s="447"/>
      <c r="EM137" s="447"/>
      <c r="EN137" s="447"/>
      <c r="EO137" s="1448">
        <f t="shared" si="104"/>
        <v>0</v>
      </c>
      <c r="EP137" s="367"/>
      <c r="EQ137" s="1832"/>
      <c r="ER137" s="1832"/>
      <c r="ES137" s="1832"/>
      <c r="ET137" s="1832"/>
      <c r="EU137" s="1833">
        <f t="shared" si="105"/>
        <v>0</v>
      </c>
      <c r="EV137" s="1834"/>
      <c r="EW137" s="1832"/>
      <c r="EX137" s="1832"/>
      <c r="EY137" s="1832"/>
      <c r="EZ137" s="1832"/>
      <c r="FA137" s="1833">
        <f t="shared" si="106"/>
        <v>0</v>
      </c>
      <c r="FB137" s="1834"/>
      <c r="FC137" s="1832"/>
      <c r="FD137" s="1832"/>
      <c r="FE137" s="1832"/>
      <c r="FF137" s="1832"/>
      <c r="FG137" s="1833">
        <f t="shared" si="107"/>
        <v>0</v>
      </c>
      <c r="FH137" s="1834"/>
      <c r="FI137" s="1832"/>
      <c r="FJ137" s="1832"/>
      <c r="FK137" s="1832"/>
      <c r="FL137" s="1832"/>
      <c r="FM137" s="1833">
        <f t="shared" si="108"/>
        <v>0</v>
      </c>
      <c r="FQ137"/>
      <c r="FR137"/>
      <c r="FS137"/>
      <c r="FT137"/>
      <c r="FU137"/>
      <c r="FV137"/>
      <c r="GB137" s="24"/>
      <c r="GC137" s="24"/>
      <c r="GD137" s="24"/>
      <c r="GE137" s="24"/>
      <c r="GF137" s="24"/>
      <c r="GG137" s="24"/>
      <c r="GH137" s="24"/>
      <c r="GI137" s="24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</row>
    <row r="138" spans="1:274" s="27" customFormat="1" ht="12" hidden="1" customHeight="1" outlineLevel="1" x14ac:dyDescent="0.2">
      <c r="A138" s="345" t="s">
        <v>9</v>
      </c>
      <c r="B138" s="60"/>
      <c r="C138" s="600"/>
      <c r="D138" s="600"/>
      <c r="E138" s="600"/>
      <c r="F138" s="600"/>
      <c r="G138" s="600"/>
      <c r="H138" s="60"/>
      <c r="I138" s="600"/>
      <c r="J138" s="600"/>
      <c r="K138" s="600"/>
      <c r="L138" s="600"/>
      <c r="M138" s="600"/>
      <c r="N138" s="60"/>
      <c r="O138" s="600"/>
      <c r="P138" s="600"/>
      <c r="Q138" s="600"/>
      <c r="R138" s="600"/>
      <c r="S138" s="600"/>
      <c r="T138" s="60"/>
      <c r="U138" s="600"/>
      <c r="V138" s="600"/>
      <c r="W138" s="600"/>
      <c r="X138" s="600"/>
      <c r="Y138" s="600"/>
      <c r="Z138" s="60"/>
      <c r="AA138" s="600"/>
      <c r="AB138" s="600"/>
      <c r="AC138" s="600"/>
      <c r="AD138" s="600"/>
      <c r="AE138" s="600"/>
      <c r="AF138" s="60"/>
      <c r="AG138" s="600"/>
      <c r="AH138" s="600"/>
      <c r="AI138" s="600"/>
      <c r="AJ138" s="600"/>
      <c r="AK138" s="600"/>
      <c r="AL138" s="600"/>
      <c r="AM138" s="600"/>
      <c r="AN138" s="600"/>
      <c r="AO138" s="600"/>
      <c r="AP138" s="600"/>
      <c r="AQ138" s="600"/>
      <c r="AR138" s="60"/>
      <c r="AS138" s="600"/>
      <c r="AT138" s="600"/>
      <c r="AU138" s="600"/>
      <c r="AV138" s="600"/>
      <c r="AW138" s="600"/>
      <c r="AX138" s="60"/>
      <c r="AY138" s="600"/>
      <c r="AZ138" s="600"/>
      <c r="BA138" s="600"/>
      <c r="BB138" s="600"/>
      <c r="BC138" s="600"/>
      <c r="BD138" s="60"/>
      <c r="BE138" s="600"/>
      <c r="BF138" s="600"/>
      <c r="BG138" s="600"/>
      <c r="BH138" s="600"/>
      <c r="BI138" s="600"/>
      <c r="BJ138" s="60"/>
      <c r="BK138" s="600"/>
      <c r="BL138" s="600"/>
      <c r="BM138" s="600"/>
      <c r="BN138" s="600"/>
      <c r="BO138" s="600"/>
      <c r="BP138" s="60"/>
      <c r="BQ138" s="600"/>
      <c r="BR138" s="600"/>
      <c r="BS138" s="600"/>
      <c r="BT138" s="600"/>
      <c r="BU138" s="600"/>
      <c r="BV138" s="60"/>
      <c r="BW138" s="447"/>
      <c r="BX138" s="447"/>
      <c r="BY138" s="447"/>
      <c r="BZ138" s="447"/>
      <c r="CA138" s="600"/>
      <c r="CB138" s="60"/>
      <c r="CC138" s="447"/>
      <c r="CD138" s="447"/>
      <c r="CE138" s="447"/>
      <c r="CF138" s="447"/>
      <c r="CG138" s="1448"/>
      <c r="CH138" s="60"/>
      <c r="CI138" s="447"/>
      <c r="CJ138" s="447"/>
      <c r="CK138" s="447"/>
      <c r="CL138" s="447"/>
      <c r="CM138" s="1448"/>
      <c r="CN138" s="60"/>
      <c r="CO138" s="447"/>
      <c r="CP138" s="447"/>
      <c r="CQ138" s="447"/>
      <c r="CR138" s="447"/>
      <c r="CS138" s="1448"/>
      <c r="CT138" s="367"/>
      <c r="CU138" s="447"/>
      <c r="CV138" s="447"/>
      <c r="CW138" s="447"/>
      <c r="CX138" s="447"/>
      <c r="CY138" s="1448"/>
      <c r="CZ138" s="86"/>
      <c r="DA138" s="447"/>
      <c r="DB138" s="447"/>
      <c r="DC138" s="447"/>
      <c r="DD138" s="447"/>
      <c r="DE138" s="1448"/>
      <c r="DF138" s="367"/>
      <c r="DG138" s="447"/>
      <c r="DH138" s="447"/>
      <c r="DI138" s="447"/>
      <c r="DJ138" s="447"/>
      <c r="DK138" s="1448"/>
      <c r="DL138" s="367"/>
      <c r="DM138" s="447"/>
      <c r="DN138" s="447"/>
      <c r="DO138" s="447">
        <f>DO76</f>
        <v>17.16</v>
      </c>
      <c r="DP138" s="447">
        <f>DP76</f>
        <v>54.5</v>
      </c>
      <c r="DQ138" s="1448">
        <f t="shared" si="100"/>
        <v>71.66</v>
      </c>
      <c r="DR138" s="1454"/>
      <c r="DS138" s="447">
        <f t="shared" ref="DS138:DU142" si="109">DS76</f>
        <v>56</v>
      </c>
      <c r="DT138" s="447">
        <f t="shared" si="109"/>
        <v>60</v>
      </c>
      <c r="DU138" s="447">
        <f t="shared" si="109"/>
        <v>35</v>
      </c>
      <c r="DV138" s="447"/>
      <c r="DW138" s="1448">
        <f t="shared" si="101"/>
        <v>151</v>
      </c>
      <c r="DX138" s="367"/>
      <c r="DY138" s="447"/>
      <c r="DZ138" s="447"/>
      <c r="EA138" s="447"/>
      <c r="EB138" s="447"/>
      <c r="EC138" s="1448">
        <f t="shared" si="102"/>
        <v>0</v>
      </c>
      <c r="ED138" s="367"/>
      <c r="EE138" s="447"/>
      <c r="EF138" s="447"/>
      <c r="EG138" s="447"/>
      <c r="EH138" s="447"/>
      <c r="EI138" s="1448">
        <f t="shared" si="103"/>
        <v>0</v>
      </c>
      <c r="EJ138" s="367"/>
      <c r="EK138" s="447"/>
      <c r="EL138" s="447"/>
      <c r="EM138" s="447"/>
      <c r="EN138" s="447"/>
      <c r="EO138" s="1448">
        <f t="shared" si="104"/>
        <v>0</v>
      </c>
      <c r="EP138" s="367"/>
      <c r="EQ138" s="1832"/>
      <c r="ER138" s="1832"/>
      <c r="ES138" s="1832"/>
      <c r="ET138" s="1832"/>
      <c r="EU138" s="1833">
        <f t="shared" si="105"/>
        <v>0</v>
      </c>
      <c r="EV138" s="1834"/>
      <c r="EW138" s="1832"/>
      <c r="EX138" s="1832"/>
      <c r="EY138" s="1832"/>
      <c r="EZ138" s="1832"/>
      <c r="FA138" s="1833">
        <f t="shared" si="106"/>
        <v>0</v>
      </c>
      <c r="FB138" s="1834"/>
      <c r="FC138" s="1832"/>
      <c r="FD138" s="1832"/>
      <c r="FE138" s="1832"/>
      <c r="FF138" s="1832"/>
      <c r="FG138" s="1833">
        <f t="shared" si="107"/>
        <v>0</v>
      </c>
      <c r="FH138" s="1834"/>
      <c r="FI138" s="1832"/>
      <c r="FJ138" s="1832"/>
      <c r="FK138" s="1832"/>
      <c r="FL138" s="1832"/>
      <c r="FM138" s="1833">
        <f t="shared" si="108"/>
        <v>0</v>
      </c>
      <c r="FQ138"/>
      <c r="FR138"/>
      <c r="FS138"/>
      <c r="FT138"/>
      <c r="FU138"/>
      <c r="FV138"/>
      <c r="GB138" s="24"/>
      <c r="GC138" s="24"/>
      <c r="GD138" s="24"/>
      <c r="GE138" s="24"/>
      <c r="GF138" s="24"/>
      <c r="GG138" s="24"/>
      <c r="GH138" s="24"/>
      <c r="GI138" s="24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</row>
    <row r="139" spans="1:274" s="27" customFormat="1" ht="12" hidden="1" customHeight="1" outlineLevel="1" x14ac:dyDescent="0.2">
      <c r="A139" s="345" t="s">
        <v>10</v>
      </c>
      <c r="B139" s="60"/>
      <c r="C139" s="600"/>
      <c r="D139" s="600"/>
      <c r="E139" s="600"/>
      <c r="F139" s="600"/>
      <c r="G139" s="600"/>
      <c r="H139" s="60"/>
      <c r="I139" s="600"/>
      <c r="J139" s="600"/>
      <c r="K139" s="600"/>
      <c r="L139" s="600"/>
      <c r="M139" s="600"/>
      <c r="N139" s="60"/>
      <c r="O139" s="600"/>
      <c r="P139" s="600"/>
      <c r="Q139" s="600"/>
      <c r="R139" s="600"/>
      <c r="S139" s="600"/>
      <c r="T139" s="60"/>
      <c r="U139" s="600"/>
      <c r="V139" s="600"/>
      <c r="W139" s="600"/>
      <c r="X139" s="600"/>
      <c r="Y139" s="600"/>
      <c r="Z139" s="60"/>
      <c r="AA139" s="600"/>
      <c r="AB139" s="600"/>
      <c r="AC139" s="600"/>
      <c r="AD139" s="600"/>
      <c r="AE139" s="600"/>
      <c r="AF139" s="60"/>
      <c r="AG139" s="600"/>
      <c r="AH139" s="600"/>
      <c r="AI139" s="600"/>
      <c r="AJ139" s="600"/>
      <c r="AK139" s="600"/>
      <c r="AL139" s="600"/>
      <c r="AM139" s="600"/>
      <c r="AN139" s="600"/>
      <c r="AO139" s="600"/>
      <c r="AP139" s="600"/>
      <c r="AQ139" s="600"/>
      <c r="AR139" s="60"/>
      <c r="AS139" s="600"/>
      <c r="AT139" s="600"/>
      <c r="AU139" s="600"/>
      <c r="AV139" s="600"/>
      <c r="AW139" s="600"/>
      <c r="AX139" s="60"/>
      <c r="AY139" s="600"/>
      <c r="AZ139" s="600"/>
      <c r="BA139" s="600"/>
      <c r="BB139" s="600"/>
      <c r="BC139" s="600"/>
      <c r="BD139" s="60"/>
      <c r="BE139" s="600"/>
      <c r="BF139" s="600"/>
      <c r="BG139" s="600"/>
      <c r="BH139" s="600"/>
      <c r="BI139" s="600"/>
      <c r="BJ139" s="60"/>
      <c r="BK139" s="600"/>
      <c r="BL139" s="600"/>
      <c r="BM139" s="600"/>
      <c r="BN139" s="600"/>
      <c r="BO139" s="600"/>
      <c r="BP139" s="60"/>
      <c r="BQ139" s="600"/>
      <c r="BR139" s="600"/>
      <c r="BS139" s="600"/>
      <c r="BT139" s="600"/>
      <c r="BU139" s="600"/>
      <c r="BV139" s="60"/>
      <c r="BW139" s="447"/>
      <c r="BX139" s="447"/>
      <c r="BY139" s="447"/>
      <c r="BZ139" s="447"/>
      <c r="CA139" s="600"/>
      <c r="CB139" s="60"/>
      <c r="CC139" s="447"/>
      <c r="CD139" s="447"/>
      <c r="CE139" s="447"/>
      <c r="CF139" s="447"/>
      <c r="CG139" s="1448"/>
      <c r="CH139" s="60"/>
      <c r="CI139" s="447"/>
      <c r="CJ139" s="447"/>
      <c r="CK139" s="447"/>
      <c r="CL139" s="447"/>
      <c r="CM139" s="1448"/>
      <c r="CN139" s="60"/>
      <c r="CO139" s="447"/>
      <c r="CP139" s="447"/>
      <c r="CQ139" s="447"/>
      <c r="CR139" s="447"/>
      <c r="CS139" s="1448"/>
      <c r="CT139" s="367"/>
      <c r="CU139" s="447"/>
      <c r="CV139" s="447"/>
      <c r="CW139" s="447"/>
      <c r="CX139" s="447"/>
      <c r="CY139" s="1448"/>
      <c r="CZ139" s="86"/>
      <c r="DA139" s="447"/>
      <c r="DB139" s="447"/>
      <c r="DC139" s="447"/>
      <c r="DD139" s="447"/>
      <c r="DE139" s="1448"/>
      <c r="DF139" s="367"/>
      <c r="DG139" s="447"/>
      <c r="DH139" s="447"/>
      <c r="DI139" s="447"/>
      <c r="DJ139" s="447"/>
      <c r="DK139" s="1448"/>
      <c r="DL139" s="367"/>
      <c r="DM139" s="447"/>
      <c r="DN139" s="447"/>
      <c r="DO139" s="447"/>
      <c r="DP139" s="447">
        <f>DP77</f>
        <v>37.70470551999999</v>
      </c>
      <c r="DQ139" s="1448">
        <f t="shared" si="100"/>
        <v>37.70470551999999</v>
      </c>
      <c r="DR139" s="1454"/>
      <c r="DS139" s="447">
        <f t="shared" si="109"/>
        <v>54</v>
      </c>
      <c r="DT139" s="447">
        <f t="shared" si="109"/>
        <v>57</v>
      </c>
      <c r="DU139" s="447">
        <f t="shared" si="109"/>
        <v>60</v>
      </c>
      <c r="DV139" s="447">
        <f>DV77</f>
        <v>18</v>
      </c>
      <c r="DW139" s="1448">
        <f t="shared" si="101"/>
        <v>189</v>
      </c>
      <c r="DX139" s="367"/>
      <c r="DY139" s="447"/>
      <c r="DZ139" s="447"/>
      <c r="EA139" s="447"/>
      <c r="EB139" s="447"/>
      <c r="EC139" s="1448">
        <f t="shared" si="102"/>
        <v>0</v>
      </c>
      <c r="ED139" s="367"/>
      <c r="EE139" s="447"/>
      <c r="EF139" s="447"/>
      <c r="EG139" s="447"/>
      <c r="EH139" s="447"/>
      <c r="EI139" s="1448">
        <f t="shared" si="103"/>
        <v>0</v>
      </c>
      <c r="EJ139" s="367"/>
      <c r="EK139" s="447"/>
      <c r="EL139" s="447"/>
      <c r="EM139" s="447"/>
      <c r="EN139" s="447"/>
      <c r="EO139" s="1448">
        <f t="shared" si="104"/>
        <v>0</v>
      </c>
      <c r="EP139" s="367"/>
      <c r="EQ139" s="1832"/>
      <c r="ER139" s="1832"/>
      <c r="ES139" s="1832"/>
      <c r="ET139" s="1832"/>
      <c r="EU139" s="1833">
        <f t="shared" si="105"/>
        <v>0</v>
      </c>
      <c r="EV139" s="1834"/>
      <c r="EW139" s="1832"/>
      <c r="EX139" s="1832"/>
      <c r="EY139" s="1832"/>
      <c r="EZ139" s="1832"/>
      <c r="FA139" s="1833">
        <f t="shared" si="106"/>
        <v>0</v>
      </c>
      <c r="FB139" s="1834"/>
      <c r="FC139" s="1832"/>
      <c r="FD139" s="1832"/>
      <c r="FE139" s="1832"/>
      <c r="FF139" s="1832"/>
      <c r="FG139" s="1833">
        <f t="shared" si="107"/>
        <v>0</v>
      </c>
      <c r="FH139" s="1834"/>
      <c r="FI139" s="1832"/>
      <c r="FJ139" s="1832"/>
      <c r="FK139" s="1832"/>
      <c r="FL139" s="1832"/>
      <c r="FM139" s="1833">
        <f t="shared" si="108"/>
        <v>0</v>
      </c>
      <c r="FQ139"/>
      <c r="FR139"/>
      <c r="FS139"/>
      <c r="FT139"/>
      <c r="FU139"/>
      <c r="FV139"/>
      <c r="GB139" s="24"/>
      <c r="GC139" s="24"/>
      <c r="GD139" s="24"/>
      <c r="GE139" s="24"/>
      <c r="GF139" s="24"/>
      <c r="GG139" s="24"/>
      <c r="GH139" s="24"/>
      <c r="GI139" s="24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</row>
    <row r="140" spans="1:274" s="27" customFormat="1" ht="12" hidden="1" customHeight="1" outlineLevel="1" x14ac:dyDescent="0.2">
      <c r="A140" s="345" t="s">
        <v>103</v>
      </c>
      <c r="B140" s="60"/>
      <c r="C140" s="600"/>
      <c r="D140" s="600"/>
      <c r="E140" s="600"/>
      <c r="F140" s="600"/>
      <c r="G140" s="600"/>
      <c r="H140" s="60"/>
      <c r="I140" s="600"/>
      <c r="J140" s="600"/>
      <c r="K140" s="600"/>
      <c r="L140" s="600"/>
      <c r="M140" s="600"/>
      <c r="N140" s="60"/>
      <c r="O140" s="600"/>
      <c r="P140" s="600"/>
      <c r="Q140" s="600"/>
      <c r="R140" s="600"/>
      <c r="S140" s="600"/>
      <c r="T140" s="60"/>
      <c r="U140" s="600"/>
      <c r="V140" s="600"/>
      <c r="W140" s="600"/>
      <c r="X140" s="600"/>
      <c r="Y140" s="600"/>
      <c r="Z140" s="60"/>
      <c r="AA140" s="600"/>
      <c r="AB140" s="600"/>
      <c r="AC140" s="600"/>
      <c r="AD140" s="600"/>
      <c r="AE140" s="600"/>
      <c r="AF140" s="60"/>
      <c r="AG140" s="600"/>
      <c r="AH140" s="600"/>
      <c r="AI140" s="600"/>
      <c r="AJ140" s="600"/>
      <c r="AK140" s="600"/>
      <c r="AL140" s="600"/>
      <c r="AM140" s="600"/>
      <c r="AN140" s="600"/>
      <c r="AO140" s="600"/>
      <c r="AP140" s="600"/>
      <c r="AQ140" s="600"/>
      <c r="AR140" s="60"/>
      <c r="AS140" s="600"/>
      <c r="AT140" s="600"/>
      <c r="AU140" s="600"/>
      <c r="AV140" s="600"/>
      <c r="AW140" s="600"/>
      <c r="AX140" s="60"/>
      <c r="AY140" s="600"/>
      <c r="AZ140" s="600"/>
      <c r="BA140" s="600"/>
      <c r="BB140" s="600"/>
      <c r="BC140" s="600"/>
      <c r="BD140" s="60"/>
      <c r="BE140" s="600"/>
      <c r="BF140" s="600"/>
      <c r="BG140" s="600"/>
      <c r="BH140" s="600"/>
      <c r="BI140" s="600"/>
      <c r="BJ140" s="60"/>
      <c r="BK140" s="600"/>
      <c r="BL140" s="600"/>
      <c r="BM140" s="600"/>
      <c r="BN140" s="600"/>
      <c r="BO140" s="600"/>
      <c r="BP140" s="60"/>
      <c r="BQ140" s="600"/>
      <c r="BR140" s="600"/>
      <c r="BS140" s="600"/>
      <c r="BT140" s="600"/>
      <c r="BU140" s="600"/>
      <c r="BV140" s="60"/>
      <c r="BW140" s="447"/>
      <c r="BX140" s="447"/>
      <c r="BY140" s="447"/>
      <c r="BZ140" s="447"/>
      <c r="CA140" s="600"/>
      <c r="CB140" s="60"/>
      <c r="CC140" s="447"/>
      <c r="CD140" s="447"/>
      <c r="CE140" s="447"/>
      <c r="CF140" s="447"/>
      <c r="CG140" s="1448"/>
      <c r="CH140" s="60"/>
      <c r="CI140" s="447"/>
      <c r="CJ140" s="447"/>
      <c r="CK140" s="447"/>
      <c r="CL140" s="447"/>
      <c r="CM140" s="1448"/>
      <c r="CN140" s="60"/>
      <c r="CO140" s="447"/>
      <c r="CP140" s="447"/>
      <c r="CQ140" s="447"/>
      <c r="CR140" s="447"/>
      <c r="CS140" s="1448"/>
      <c r="CT140" s="367"/>
      <c r="CU140" s="447"/>
      <c r="CV140" s="447"/>
      <c r="CW140" s="447"/>
      <c r="CX140" s="447"/>
      <c r="CY140" s="1448"/>
      <c r="CZ140" s="86"/>
      <c r="DA140" s="447"/>
      <c r="DB140" s="447"/>
      <c r="DC140" s="447"/>
      <c r="DD140" s="447"/>
      <c r="DE140" s="1448"/>
      <c r="DF140" s="367"/>
      <c r="DG140" s="447"/>
      <c r="DH140" s="447"/>
      <c r="DI140" s="447"/>
      <c r="DJ140" s="447"/>
      <c r="DK140" s="1448"/>
      <c r="DL140" s="367"/>
      <c r="DM140" s="447"/>
      <c r="DN140" s="447"/>
      <c r="DO140" s="447"/>
      <c r="DP140" s="447"/>
      <c r="DQ140" s="1448"/>
      <c r="DR140" s="1454"/>
      <c r="DS140" s="447">
        <f t="shared" si="109"/>
        <v>3</v>
      </c>
      <c r="DT140" s="447">
        <f t="shared" si="109"/>
        <v>4</v>
      </c>
      <c r="DU140" s="447">
        <f t="shared" si="109"/>
        <v>5</v>
      </c>
      <c r="DV140" s="447">
        <f>DV78</f>
        <v>5.5</v>
      </c>
      <c r="DW140" s="1448">
        <f t="shared" si="101"/>
        <v>17.5</v>
      </c>
      <c r="DX140" s="367"/>
      <c r="DY140" s="447">
        <f>DY78</f>
        <v>2</v>
      </c>
      <c r="DZ140" s="447"/>
      <c r="EA140" s="447"/>
      <c r="EB140" s="447"/>
      <c r="EC140" s="1448">
        <f t="shared" si="102"/>
        <v>2</v>
      </c>
      <c r="ED140" s="367"/>
      <c r="EE140" s="447"/>
      <c r="EF140" s="447"/>
      <c r="EG140" s="447"/>
      <c r="EH140" s="447"/>
      <c r="EI140" s="1448">
        <f t="shared" si="103"/>
        <v>0</v>
      </c>
      <c r="EJ140" s="367"/>
      <c r="EK140" s="447"/>
      <c r="EL140" s="447"/>
      <c r="EM140" s="447"/>
      <c r="EN140" s="447"/>
      <c r="EO140" s="1448">
        <f t="shared" si="104"/>
        <v>0</v>
      </c>
      <c r="EP140" s="367"/>
      <c r="EQ140" s="1832"/>
      <c r="ER140" s="1832"/>
      <c r="ES140" s="1832"/>
      <c r="ET140" s="1832"/>
      <c r="EU140" s="1833">
        <f t="shared" si="105"/>
        <v>0</v>
      </c>
      <c r="EV140" s="1834"/>
      <c r="EW140" s="1832"/>
      <c r="EX140" s="1832"/>
      <c r="EY140" s="1832"/>
      <c r="EZ140" s="1832"/>
      <c r="FA140" s="1833">
        <f t="shared" si="106"/>
        <v>0</v>
      </c>
      <c r="FB140" s="1834"/>
      <c r="FC140" s="1832"/>
      <c r="FD140" s="1832"/>
      <c r="FE140" s="1832"/>
      <c r="FF140" s="1832"/>
      <c r="FG140" s="1833">
        <f t="shared" si="107"/>
        <v>0</v>
      </c>
      <c r="FH140" s="1834"/>
      <c r="FI140" s="1832"/>
      <c r="FJ140" s="1832"/>
      <c r="FK140" s="1832"/>
      <c r="FL140" s="1832"/>
      <c r="FM140" s="1833">
        <f t="shared" si="108"/>
        <v>0</v>
      </c>
      <c r="FQ140"/>
      <c r="FR140"/>
      <c r="FS140"/>
      <c r="FT140"/>
      <c r="FU140"/>
      <c r="FV140"/>
      <c r="GB140" s="24"/>
      <c r="GC140" s="24"/>
      <c r="GD140" s="24"/>
      <c r="GE140" s="24"/>
      <c r="GF140" s="24"/>
      <c r="GG140" s="24"/>
      <c r="GH140" s="24"/>
      <c r="GI140" s="24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</row>
    <row r="141" spans="1:274" s="27" customFormat="1" ht="12" hidden="1" customHeight="1" outlineLevel="1" x14ac:dyDescent="0.2">
      <c r="A141" s="345" t="s">
        <v>101</v>
      </c>
      <c r="B141" s="60"/>
      <c r="C141" s="600"/>
      <c r="D141" s="600"/>
      <c r="E141" s="600"/>
      <c r="F141" s="600"/>
      <c r="G141" s="600"/>
      <c r="H141" s="60"/>
      <c r="I141" s="600"/>
      <c r="J141" s="600"/>
      <c r="K141" s="600"/>
      <c r="L141" s="600"/>
      <c r="M141" s="600"/>
      <c r="N141" s="60"/>
      <c r="O141" s="600"/>
      <c r="P141" s="600"/>
      <c r="Q141" s="600"/>
      <c r="R141" s="600"/>
      <c r="S141" s="600"/>
      <c r="T141" s="60"/>
      <c r="U141" s="600"/>
      <c r="V141" s="600"/>
      <c r="W141" s="600"/>
      <c r="X141" s="600"/>
      <c r="Y141" s="600"/>
      <c r="Z141" s="60"/>
      <c r="AA141" s="600"/>
      <c r="AB141" s="600"/>
      <c r="AC141" s="600"/>
      <c r="AD141" s="600"/>
      <c r="AE141" s="600"/>
      <c r="AF141" s="60"/>
      <c r="AG141" s="600"/>
      <c r="AH141" s="600"/>
      <c r="AI141" s="600"/>
      <c r="AJ141" s="600"/>
      <c r="AK141" s="600"/>
      <c r="AL141" s="600"/>
      <c r="AM141" s="600"/>
      <c r="AN141" s="600"/>
      <c r="AO141" s="600"/>
      <c r="AP141" s="600"/>
      <c r="AQ141" s="600"/>
      <c r="AR141" s="60"/>
      <c r="AS141" s="600"/>
      <c r="AT141" s="600"/>
      <c r="AU141" s="600"/>
      <c r="AV141" s="600"/>
      <c r="AW141" s="600"/>
      <c r="AX141" s="60"/>
      <c r="AY141" s="600"/>
      <c r="AZ141" s="600"/>
      <c r="BA141" s="600"/>
      <c r="BB141" s="600"/>
      <c r="BC141" s="600"/>
      <c r="BD141" s="60"/>
      <c r="BE141" s="600"/>
      <c r="BF141" s="600"/>
      <c r="BG141" s="600"/>
      <c r="BH141" s="600"/>
      <c r="BI141" s="600"/>
      <c r="BJ141" s="60"/>
      <c r="BK141" s="600"/>
      <c r="BL141" s="600"/>
      <c r="BM141" s="600"/>
      <c r="BN141" s="600"/>
      <c r="BO141" s="600"/>
      <c r="BP141" s="60"/>
      <c r="BQ141" s="600"/>
      <c r="BR141" s="600"/>
      <c r="BS141" s="600"/>
      <c r="BT141" s="600"/>
      <c r="BU141" s="600"/>
      <c r="BV141" s="60"/>
      <c r="BW141" s="447"/>
      <c r="BX141" s="447"/>
      <c r="BY141" s="447"/>
      <c r="BZ141" s="447"/>
      <c r="CA141" s="600"/>
      <c r="CB141" s="60"/>
      <c r="CC141" s="447"/>
      <c r="CD141" s="447"/>
      <c r="CE141" s="447"/>
      <c r="CF141" s="447"/>
      <c r="CG141" s="1448"/>
      <c r="CH141" s="60"/>
      <c r="CI141" s="447"/>
      <c r="CJ141" s="447"/>
      <c r="CK141" s="447"/>
      <c r="CL141" s="447"/>
      <c r="CM141" s="1448"/>
      <c r="CN141" s="60"/>
      <c r="CO141" s="447"/>
      <c r="CP141" s="447"/>
      <c r="CQ141" s="447"/>
      <c r="CR141" s="447"/>
      <c r="CS141" s="1448"/>
      <c r="CT141" s="367"/>
      <c r="CU141" s="447"/>
      <c r="CV141" s="447"/>
      <c r="CW141" s="447"/>
      <c r="CX141" s="447"/>
      <c r="CY141" s="1448"/>
      <c r="CZ141" s="86"/>
      <c r="DA141" s="447"/>
      <c r="DB141" s="447"/>
      <c r="DC141" s="447"/>
      <c r="DD141" s="447"/>
      <c r="DE141" s="1448"/>
      <c r="DF141" s="367"/>
      <c r="DG141" s="447"/>
      <c r="DH141" s="447"/>
      <c r="DI141" s="447"/>
      <c r="DJ141" s="447"/>
      <c r="DK141" s="1448"/>
      <c r="DL141" s="367"/>
      <c r="DM141" s="447"/>
      <c r="DN141" s="447"/>
      <c r="DO141" s="447"/>
      <c r="DP141" s="447"/>
      <c r="DQ141" s="1448"/>
      <c r="DR141" s="1454"/>
      <c r="DS141" s="447">
        <f t="shared" si="109"/>
        <v>1.5</v>
      </c>
      <c r="DT141" s="447">
        <f t="shared" si="109"/>
        <v>2.5</v>
      </c>
      <c r="DU141" s="447">
        <f t="shared" si="109"/>
        <v>3</v>
      </c>
      <c r="DV141" s="447">
        <f>DV79</f>
        <v>3.5</v>
      </c>
      <c r="DW141" s="1448">
        <f t="shared" si="101"/>
        <v>10.5</v>
      </c>
      <c r="DX141" s="447"/>
      <c r="DY141" s="447">
        <f>DY79</f>
        <v>2</v>
      </c>
      <c r="DZ141" s="447"/>
      <c r="EA141" s="447"/>
      <c r="EB141" s="447"/>
      <c r="EC141" s="1448">
        <f t="shared" si="102"/>
        <v>2</v>
      </c>
      <c r="ED141" s="367"/>
      <c r="EE141" s="447"/>
      <c r="EF141" s="447"/>
      <c r="EG141" s="447"/>
      <c r="EH141" s="447"/>
      <c r="EI141" s="1448">
        <f t="shared" si="103"/>
        <v>0</v>
      </c>
      <c r="EJ141" s="367"/>
      <c r="EK141" s="447"/>
      <c r="EL141" s="447"/>
      <c r="EM141" s="447"/>
      <c r="EN141" s="447"/>
      <c r="EO141" s="1448">
        <f t="shared" si="104"/>
        <v>0</v>
      </c>
      <c r="EP141" s="367"/>
      <c r="EQ141" s="1832"/>
      <c r="ER141" s="1832"/>
      <c r="ES141" s="1832"/>
      <c r="ET141" s="1832"/>
      <c r="EU141" s="1833">
        <f t="shared" si="105"/>
        <v>0</v>
      </c>
      <c r="EV141" s="1834"/>
      <c r="EW141" s="1832"/>
      <c r="EX141" s="1832"/>
      <c r="EY141" s="1832"/>
      <c r="EZ141" s="1832"/>
      <c r="FA141" s="1833">
        <f t="shared" si="106"/>
        <v>0</v>
      </c>
      <c r="FB141" s="1834"/>
      <c r="FC141" s="1832"/>
      <c r="FD141" s="1832"/>
      <c r="FE141" s="1832"/>
      <c r="FF141" s="1832"/>
      <c r="FG141" s="1833">
        <f t="shared" si="107"/>
        <v>0</v>
      </c>
      <c r="FH141" s="1834"/>
      <c r="FI141" s="1832"/>
      <c r="FJ141" s="1832"/>
      <c r="FK141" s="1832"/>
      <c r="FL141" s="1832"/>
      <c r="FM141" s="1833">
        <f t="shared" si="108"/>
        <v>0</v>
      </c>
      <c r="FQ141"/>
      <c r="FR141"/>
      <c r="FS141"/>
      <c r="FT141"/>
      <c r="FU141"/>
      <c r="FV141"/>
      <c r="GB141" s="24"/>
      <c r="GC141" s="24"/>
      <c r="GD141" s="24"/>
      <c r="GE141" s="24"/>
      <c r="GF141" s="24"/>
      <c r="GG141" s="24"/>
      <c r="GH141" s="24"/>
      <c r="GI141" s="24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</row>
    <row r="142" spans="1:274" s="27" customFormat="1" ht="12" hidden="1" customHeight="1" outlineLevel="1" x14ac:dyDescent="0.2">
      <c r="A142" s="345" t="s">
        <v>260</v>
      </c>
      <c r="B142" s="60"/>
      <c r="C142" s="600"/>
      <c r="D142" s="600"/>
      <c r="E142" s="600"/>
      <c r="F142" s="600"/>
      <c r="G142" s="600"/>
      <c r="H142" s="60"/>
      <c r="I142" s="600"/>
      <c r="J142" s="600"/>
      <c r="K142" s="600"/>
      <c r="L142" s="600"/>
      <c r="M142" s="600"/>
      <c r="N142" s="60"/>
      <c r="O142" s="600"/>
      <c r="P142" s="600"/>
      <c r="Q142" s="600"/>
      <c r="R142" s="600"/>
      <c r="S142" s="600"/>
      <c r="T142" s="60"/>
      <c r="U142" s="600"/>
      <c r="V142" s="600"/>
      <c r="W142" s="600"/>
      <c r="X142" s="600"/>
      <c r="Y142" s="600"/>
      <c r="Z142" s="60"/>
      <c r="AA142" s="600"/>
      <c r="AB142" s="600"/>
      <c r="AC142" s="600"/>
      <c r="AD142" s="600"/>
      <c r="AE142" s="600"/>
      <c r="AF142" s="60"/>
      <c r="AG142" s="600"/>
      <c r="AH142" s="600"/>
      <c r="AI142" s="600"/>
      <c r="AJ142" s="600"/>
      <c r="AK142" s="600"/>
      <c r="AL142" s="600"/>
      <c r="AM142" s="600"/>
      <c r="AN142" s="600"/>
      <c r="AO142" s="600"/>
      <c r="AP142" s="600"/>
      <c r="AQ142" s="600"/>
      <c r="AR142" s="60"/>
      <c r="AS142" s="600"/>
      <c r="AT142" s="600"/>
      <c r="AU142" s="600"/>
      <c r="AV142" s="600"/>
      <c r="AW142" s="600"/>
      <c r="AX142" s="60"/>
      <c r="AY142" s="600"/>
      <c r="AZ142" s="600"/>
      <c r="BA142" s="600"/>
      <c r="BB142" s="600"/>
      <c r="BC142" s="600"/>
      <c r="BD142" s="60"/>
      <c r="BE142" s="600"/>
      <c r="BF142" s="600"/>
      <c r="BG142" s="600"/>
      <c r="BH142" s="600"/>
      <c r="BI142" s="600"/>
      <c r="BJ142" s="60"/>
      <c r="BK142" s="600"/>
      <c r="BL142" s="600"/>
      <c r="BM142" s="600"/>
      <c r="BN142" s="600"/>
      <c r="BO142" s="600"/>
      <c r="BP142" s="60"/>
      <c r="BQ142" s="600"/>
      <c r="BR142" s="600"/>
      <c r="BS142" s="600"/>
      <c r="BT142" s="600"/>
      <c r="BU142" s="600"/>
      <c r="BV142" s="60"/>
      <c r="BW142" s="447"/>
      <c r="BX142" s="447"/>
      <c r="BY142" s="447"/>
      <c r="BZ142" s="447"/>
      <c r="CA142" s="600"/>
      <c r="CB142" s="60"/>
      <c r="CC142" s="447"/>
      <c r="CD142" s="447"/>
      <c r="CE142" s="447"/>
      <c r="CF142" s="447"/>
      <c r="CG142" s="1448"/>
      <c r="CH142" s="60"/>
      <c r="CI142" s="447"/>
      <c r="CJ142" s="447"/>
      <c r="CK142" s="447"/>
      <c r="CL142" s="447"/>
      <c r="CM142" s="1448"/>
      <c r="CN142" s="60"/>
      <c r="CO142" s="447"/>
      <c r="CP142" s="447"/>
      <c r="CQ142" s="447"/>
      <c r="CR142" s="447"/>
      <c r="CS142" s="1448"/>
      <c r="CT142" s="367"/>
      <c r="CU142" s="447"/>
      <c r="CV142" s="447"/>
      <c r="CW142" s="447"/>
      <c r="CX142" s="447"/>
      <c r="CY142" s="1448"/>
      <c r="CZ142" s="86"/>
      <c r="DA142" s="447"/>
      <c r="DB142" s="447"/>
      <c r="DC142" s="447"/>
      <c r="DD142" s="447"/>
      <c r="DE142" s="1448"/>
      <c r="DF142" s="367"/>
      <c r="DG142" s="447"/>
      <c r="DH142" s="447"/>
      <c r="DI142" s="447"/>
      <c r="DJ142" s="447"/>
      <c r="DK142" s="1448"/>
      <c r="DL142" s="367"/>
      <c r="DM142" s="447"/>
      <c r="DN142" s="447"/>
      <c r="DO142" s="447"/>
      <c r="DP142" s="447"/>
      <c r="DQ142" s="1448"/>
      <c r="DR142" s="1454"/>
      <c r="DS142" s="447">
        <f t="shared" si="109"/>
        <v>1.5</v>
      </c>
      <c r="DT142" s="447">
        <f t="shared" si="109"/>
        <v>2.5</v>
      </c>
      <c r="DU142" s="447">
        <f t="shared" si="109"/>
        <v>3.25</v>
      </c>
      <c r="DV142" s="447">
        <f>DV80</f>
        <v>3.5</v>
      </c>
      <c r="DW142" s="1448">
        <f t="shared" si="101"/>
        <v>10.75</v>
      </c>
      <c r="DX142" s="447"/>
      <c r="DY142" s="447">
        <f>DY80</f>
        <v>1.5</v>
      </c>
      <c r="DZ142" s="447"/>
      <c r="EA142" s="447"/>
      <c r="EB142" s="447"/>
      <c r="EC142" s="1448">
        <f t="shared" si="102"/>
        <v>1.5</v>
      </c>
      <c r="ED142" s="367"/>
      <c r="EE142" s="447"/>
      <c r="EF142" s="447"/>
      <c r="EG142" s="447"/>
      <c r="EH142" s="447"/>
      <c r="EI142" s="1448">
        <f t="shared" si="103"/>
        <v>0</v>
      </c>
      <c r="EJ142" s="367"/>
      <c r="EK142" s="447"/>
      <c r="EL142" s="447"/>
      <c r="EM142" s="447"/>
      <c r="EN142" s="447"/>
      <c r="EO142" s="1448">
        <f t="shared" si="104"/>
        <v>0</v>
      </c>
      <c r="EP142" s="367"/>
      <c r="EQ142" s="1832"/>
      <c r="ER142" s="1832"/>
      <c r="ES142" s="1832"/>
      <c r="ET142" s="1832"/>
      <c r="EU142" s="1833">
        <f t="shared" si="105"/>
        <v>0</v>
      </c>
      <c r="EV142" s="1834"/>
      <c r="EW142" s="1832"/>
      <c r="EX142" s="1832"/>
      <c r="EY142" s="1832"/>
      <c r="EZ142" s="1832"/>
      <c r="FA142" s="1833">
        <f t="shared" si="106"/>
        <v>0</v>
      </c>
      <c r="FB142" s="1834"/>
      <c r="FC142" s="1832"/>
      <c r="FD142" s="1832"/>
      <c r="FE142" s="1832"/>
      <c r="FF142" s="1832"/>
      <c r="FG142" s="1833">
        <f t="shared" si="107"/>
        <v>0</v>
      </c>
      <c r="FH142" s="1834"/>
      <c r="FI142" s="1832"/>
      <c r="FJ142" s="1832"/>
      <c r="FK142" s="1832"/>
      <c r="FL142" s="1832"/>
      <c r="FM142" s="1833">
        <f t="shared" si="108"/>
        <v>0</v>
      </c>
      <c r="FQ142"/>
      <c r="FR142"/>
      <c r="FS142"/>
      <c r="FT142"/>
      <c r="FU142"/>
      <c r="FV142"/>
      <c r="GB142" s="24"/>
      <c r="GC142" s="24"/>
      <c r="GD142" s="24"/>
      <c r="GE142" s="24"/>
      <c r="GF142" s="24"/>
      <c r="GG142" s="24"/>
      <c r="GH142" s="24"/>
      <c r="GI142" s="24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</row>
    <row r="143" spans="1:274" s="27" customFormat="1" ht="12" hidden="1" customHeight="1" outlineLevel="1" x14ac:dyDescent="0.2">
      <c r="A143" s="345" t="s">
        <v>262</v>
      </c>
      <c r="B143" s="60"/>
      <c r="C143" s="600"/>
      <c r="D143" s="600"/>
      <c r="E143" s="600"/>
      <c r="F143" s="600"/>
      <c r="G143" s="600"/>
      <c r="H143" s="60"/>
      <c r="I143" s="600"/>
      <c r="J143" s="600"/>
      <c r="K143" s="600"/>
      <c r="L143" s="600"/>
      <c r="M143" s="600"/>
      <c r="N143" s="60"/>
      <c r="O143" s="600"/>
      <c r="P143" s="600"/>
      <c r="Q143" s="600"/>
      <c r="R143" s="600"/>
      <c r="S143" s="600"/>
      <c r="T143" s="60"/>
      <c r="U143" s="600"/>
      <c r="V143" s="600"/>
      <c r="W143" s="600"/>
      <c r="X143" s="600"/>
      <c r="Y143" s="600"/>
      <c r="Z143" s="60"/>
      <c r="AA143" s="600"/>
      <c r="AB143" s="600"/>
      <c r="AC143" s="600"/>
      <c r="AD143" s="600"/>
      <c r="AE143" s="600"/>
      <c r="AF143" s="60"/>
      <c r="AG143" s="600"/>
      <c r="AH143" s="600"/>
      <c r="AI143" s="600"/>
      <c r="AJ143" s="600"/>
      <c r="AK143" s="600"/>
      <c r="AL143" s="600"/>
      <c r="AM143" s="600"/>
      <c r="AN143" s="600"/>
      <c r="AO143" s="600"/>
      <c r="AP143" s="600"/>
      <c r="AQ143" s="600"/>
      <c r="AR143" s="60"/>
      <c r="AS143" s="600"/>
      <c r="AT143" s="600"/>
      <c r="AU143" s="600"/>
      <c r="AV143" s="600"/>
      <c r="AW143" s="600"/>
      <c r="AX143" s="60"/>
      <c r="AY143" s="600"/>
      <c r="AZ143" s="600"/>
      <c r="BA143" s="600"/>
      <c r="BB143" s="600"/>
      <c r="BC143" s="600"/>
      <c r="BD143" s="60"/>
      <c r="BE143" s="600"/>
      <c r="BF143" s="600"/>
      <c r="BG143" s="600"/>
      <c r="BH143" s="600"/>
      <c r="BI143" s="600"/>
      <c r="BJ143" s="60"/>
      <c r="BK143" s="600"/>
      <c r="BL143" s="600"/>
      <c r="BM143" s="600"/>
      <c r="BN143" s="600"/>
      <c r="BO143" s="600"/>
      <c r="BP143" s="60"/>
      <c r="BQ143" s="600"/>
      <c r="BR143" s="600"/>
      <c r="BS143" s="600"/>
      <c r="BT143" s="600"/>
      <c r="BU143" s="600"/>
      <c r="BV143" s="60"/>
      <c r="BW143" s="447"/>
      <c r="BX143" s="447"/>
      <c r="BY143" s="447"/>
      <c r="BZ143" s="447"/>
      <c r="CA143" s="600"/>
      <c r="CB143" s="60"/>
      <c r="CC143" s="447"/>
      <c r="CD143" s="447"/>
      <c r="CE143" s="447"/>
      <c r="CF143" s="447"/>
      <c r="CG143" s="1448"/>
      <c r="CH143" s="60"/>
      <c r="CI143" s="447"/>
      <c r="CJ143" s="447"/>
      <c r="CK143" s="447"/>
      <c r="CL143" s="447"/>
      <c r="CM143" s="1448"/>
      <c r="CN143" s="60"/>
      <c r="CO143" s="447"/>
      <c r="CP143" s="447"/>
      <c r="CQ143" s="447"/>
      <c r="CR143" s="447"/>
      <c r="CS143" s="1448"/>
      <c r="CT143" s="367"/>
      <c r="CU143" s="447"/>
      <c r="CV143" s="447"/>
      <c r="CW143" s="447"/>
      <c r="CX143" s="447"/>
      <c r="CY143" s="1448"/>
      <c r="CZ143" s="86"/>
      <c r="DA143" s="447"/>
      <c r="DB143" s="447"/>
      <c r="DC143" s="447"/>
      <c r="DD143" s="447"/>
      <c r="DE143" s="1448"/>
      <c r="DF143" s="367"/>
      <c r="DG143" s="447"/>
      <c r="DH143" s="447"/>
      <c r="DI143" s="447"/>
      <c r="DJ143" s="447"/>
      <c r="DK143" s="1448"/>
      <c r="DL143" s="367"/>
      <c r="DM143" s="447"/>
      <c r="DN143" s="447"/>
      <c r="DO143" s="447"/>
      <c r="DP143" s="447"/>
      <c r="DQ143" s="1448"/>
      <c r="DR143" s="1454"/>
      <c r="DS143" s="447">
        <f>DS81*1.2</f>
        <v>2.4</v>
      </c>
      <c r="DT143" s="447">
        <f>DT81*1.2</f>
        <v>3.5999999999999996</v>
      </c>
      <c r="DU143" s="447">
        <f>DU81*1.2</f>
        <v>4.2</v>
      </c>
      <c r="DV143" s="447">
        <f>DV81*1.2</f>
        <v>4.8</v>
      </c>
      <c r="DW143" s="1448">
        <f t="shared" si="101"/>
        <v>15</v>
      </c>
      <c r="DX143" s="447"/>
      <c r="DY143" s="447">
        <v>2</v>
      </c>
      <c r="DZ143" s="447"/>
      <c r="EA143" s="447"/>
      <c r="EB143" s="447"/>
      <c r="EC143" s="1448">
        <f t="shared" si="102"/>
        <v>2</v>
      </c>
      <c r="ED143" s="367"/>
      <c r="EE143" s="447"/>
      <c r="EF143" s="447"/>
      <c r="EG143" s="447"/>
      <c r="EH143" s="447"/>
      <c r="EI143" s="1448">
        <f t="shared" si="103"/>
        <v>0</v>
      </c>
      <c r="EJ143" s="367"/>
      <c r="EK143" s="447"/>
      <c r="EL143" s="447"/>
      <c r="EM143" s="447"/>
      <c r="EN143" s="447"/>
      <c r="EO143" s="1448">
        <f t="shared" si="104"/>
        <v>0</v>
      </c>
      <c r="EP143" s="367"/>
      <c r="EQ143" s="1832"/>
      <c r="ER143" s="1832"/>
      <c r="ES143" s="1832"/>
      <c r="ET143" s="1832"/>
      <c r="EU143" s="1833">
        <f t="shared" si="105"/>
        <v>0</v>
      </c>
      <c r="EV143" s="1834"/>
      <c r="EW143" s="1832"/>
      <c r="EX143" s="1832"/>
      <c r="EY143" s="1832"/>
      <c r="EZ143" s="1832"/>
      <c r="FA143" s="1833">
        <f t="shared" si="106"/>
        <v>0</v>
      </c>
      <c r="FB143" s="1834"/>
      <c r="FC143" s="1832"/>
      <c r="FD143" s="1832"/>
      <c r="FE143" s="1832"/>
      <c r="FF143" s="1832"/>
      <c r="FG143" s="1833">
        <f t="shared" si="107"/>
        <v>0</v>
      </c>
      <c r="FH143" s="1834"/>
      <c r="FI143" s="1832"/>
      <c r="FJ143" s="1832"/>
      <c r="FK143" s="1832"/>
      <c r="FL143" s="1832"/>
      <c r="FM143" s="1833">
        <f t="shared" si="108"/>
        <v>0</v>
      </c>
      <c r="FQ143"/>
      <c r="FR143"/>
      <c r="FS143"/>
      <c r="FT143"/>
      <c r="FU143"/>
      <c r="FV143"/>
      <c r="GB143" s="24"/>
      <c r="GC143" s="24"/>
      <c r="GD143" s="24"/>
      <c r="GE143" s="24"/>
      <c r="GF143" s="24"/>
      <c r="GG143" s="24"/>
      <c r="GH143" s="24"/>
      <c r="GI143" s="24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</row>
    <row r="144" spans="1:274" s="27" customFormat="1" ht="12" hidden="1" customHeight="1" outlineLevel="1" x14ac:dyDescent="0.2">
      <c r="A144" s="345" t="s">
        <v>524</v>
      </c>
      <c r="B144" s="60"/>
      <c r="C144" s="600"/>
      <c r="D144" s="600"/>
      <c r="E144" s="600"/>
      <c r="F144" s="600"/>
      <c r="G144" s="600"/>
      <c r="H144" s="60"/>
      <c r="I144" s="600"/>
      <c r="J144" s="600"/>
      <c r="K144" s="600"/>
      <c r="L144" s="600"/>
      <c r="M144" s="600"/>
      <c r="N144" s="60"/>
      <c r="O144" s="600"/>
      <c r="P144" s="600"/>
      <c r="Q144" s="600"/>
      <c r="R144" s="600"/>
      <c r="S144" s="600"/>
      <c r="T144" s="60"/>
      <c r="U144" s="600"/>
      <c r="V144" s="600"/>
      <c r="W144" s="600"/>
      <c r="X144" s="600"/>
      <c r="Y144" s="600"/>
      <c r="Z144" s="60"/>
      <c r="AA144" s="600"/>
      <c r="AB144" s="600"/>
      <c r="AC144" s="600"/>
      <c r="AD144" s="600"/>
      <c r="AE144" s="600"/>
      <c r="AF144" s="60"/>
      <c r="AG144" s="600"/>
      <c r="AH144" s="600"/>
      <c r="AI144" s="600"/>
      <c r="AJ144" s="600"/>
      <c r="AK144" s="600"/>
      <c r="AL144" s="600"/>
      <c r="AM144" s="600"/>
      <c r="AN144" s="600"/>
      <c r="AO144" s="600"/>
      <c r="AP144" s="600"/>
      <c r="AQ144" s="600"/>
      <c r="AR144" s="60"/>
      <c r="AS144" s="600"/>
      <c r="AT144" s="600"/>
      <c r="AU144" s="600"/>
      <c r="AV144" s="600"/>
      <c r="AW144" s="600"/>
      <c r="AX144" s="60"/>
      <c r="AY144" s="600"/>
      <c r="AZ144" s="600"/>
      <c r="BA144" s="600"/>
      <c r="BB144" s="600"/>
      <c r="BC144" s="600"/>
      <c r="BD144" s="60"/>
      <c r="BE144" s="600"/>
      <c r="BF144" s="600"/>
      <c r="BG144" s="600"/>
      <c r="BH144" s="600"/>
      <c r="BI144" s="600"/>
      <c r="BJ144" s="60"/>
      <c r="BK144" s="600"/>
      <c r="BL144" s="600"/>
      <c r="BM144" s="600"/>
      <c r="BN144" s="600"/>
      <c r="BO144" s="600"/>
      <c r="BP144" s="60"/>
      <c r="BQ144" s="600"/>
      <c r="BR144" s="600"/>
      <c r="BS144" s="600"/>
      <c r="BT144" s="600"/>
      <c r="BU144" s="600"/>
      <c r="BV144" s="60"/>
      <c r="BW144" s="447"/>
      <c r="BX144" s="447"/>
      <c r="BY144" s="447"/>
      <c r="BZ144" s="447"/>
      <c r="CA144" s="600"/>
      <c r="CB144" s="60"/>
      <c r="CC144" s="447"/>
      <c r="CD144" s="447"/>
      <c r="CE144" s="447"/>
      <c r="CF144" s="447"/>
      <c r="CG144" s="1448"/>
      <c r="CH144" s="60"/>
      <c r="CI144" s="447"/>
      <c r="CJ144" s="447"/>
      <c r="CK144" s="447"/>
      <c r="CL144" s="447"/>
      <c r="CM144" s="1448"/>
      <c r="CN144" s="60"/>
      <c r="CO144" s="447"/>
      <c r="CP144" s="447"/>
      <c r="CQ144" s="447"/>
      <c r="CR144" s="447"/>
      <c r="CS144" s="1448"/>
      <c r="CT144" s="367"/>
      <c r="CU144" s="447"/>
      <c r="CV144" s="447"/>
      <c r="CW144" s="447"/>
      <c r="CX144" s="447"/>
      <c r="CY144" s="1448"/>
      <c r="CZ144" s="86"/>
      <c r="DA144" s="447"/>
      <c r="DB144" s="447"/>
      <c r="DC144" s="447"/>
      <c r="DD144" s="447"/>
      <c r="DE144" s="1448"/>
      <c r="DF144" s="367"/>
      <c r="DG144" s="447"/>
      <c r="DH144" s="447"/>
      <c r="DI144" s="447"/>
      <c r="DJ144" s="447"/>
      <c r="DK144" s="1448"/>
      <c r="DL144" s="367"/>
      <c r="DM144" s="447"/>
      <c r="DN144" s="447"/>
      <c r="DO144" s="447"/>
      <c r="DP144" s="447"/>
      <c r="DQ144" s="1448"/>
      <c r="DR144" s="1454"/>
      <c r="DS144" s="447"/>
      <c r="DT144" s="447">
        <f t="shared" ref="DT144:DY144" si="110">DT82</f>
        <v>1</v>
      </c>
      <c r="DU144" s="447">
        <f t="shared" si="110"/>
        <v>5</v>
      </c>
      <c r="DV144" s="447">
        <f t="shared" si="110"/>
        <v>6</v>
      </c>
      <c r="DW144" s="1448">
        <f t="shared" si="110"/>
        <v>12</v>
      </c>
      <c r="DX144" s="447">
        <f t="shared" si="110"/>
        <v>0</v>
      </c>
      <c r="DY144" s="447">
        <f t="shared" si="110"/>
        <v>5</v>
      </c>
      <c r="DZ144" s="447">
        <v>3</v>
      </c>
      <c r="EA144" s="447"/>
      <c r="EB144" s="447"/>
      <c r="EC144" s="1448">
        <f>EC82</f>
        <v>8</v>
      </c>
      <c r="ED144" s="367"/>
      <c r="EE144" s="447"/>
      <c r="EF144" s="447"/>
      <c r="EG144" s="447"/>
      <c r="EH144" s="447"/>
      <c r="EI144" s="1448">
        <f t="shared" si="103"/>
        <v>0</v>
      </c>
      <c r="EJ144" s="367"/>
      <c r="EK144" s="447"/>
      <c r="EL144" s="447"/>
      <c r="EM144" s="447"/>
      <c r="EN144" s="447"/>
      <c r="EO144" s="1448">
        <f t="shared" si="104"/>
        <v>0</v>
      </c>
      <c r="EP144" s="367"/>
      <c r="EQ144" s="1832"/>
      <c r="ER144" s="1832"/>
      <c r="ES144" s="1832"/>
      <c r="ET144" s="1832"/>
      <c r="EU144" s="1833">
        <f t="shared" si="105"/>
        <v>0</v>
      </c>
      <c r="EV144" s="1834"/>
      <c r="EW144" s="1832"/>
      <c r="EX144" s="1832"/>
      <c r="EY144" s="1832"/>
      <c r="EZ144" s="1832"/>
      <c r="FA144" s="1833">
        <f t="shared" si="106"/>
        <v>0</v>
      </c>
      <c r="FB144" s="1834"/>
      <c r="FC144" s="1832"/>
      <c r="FD144" s="1832"/>
      <c r="FE144" s="1832"/>
      <c r="FF144" s="1832"/>
      <c r="FG144" s="1833">
        <f t="shared" si="107"/>
        <v>0</v>
      </c>
      <c r="FH144" s="1834"/>
      <c r="FI144" s="1832"/>
      <c r="FJ144" s="1832"/>
      <c r="FK144" s="1832"/>
      <c r="FL144" s="1832"/>
      <c r="FM144" s="1833">
        <f t="shared" si="108"/>
        <v>0</v>
      </c>
      <c r="FQ144"/>
      <c r="FR144"/>
      <c r="FS144"/>
      <c r="FT144"/>
      <c r="FU144"/>
      <c r="FV144"/>
      <c r="GB144" s="24"/>
      <c r="GC144" s="24"/>
      <c r="GD144" s="24"/>
      <c r="GE144" s="24"/>
      <c r="GF144" s="24"/>
      <c r="GG144" s="24"/>
      <c r="GH144" s="24"/>
      <c r="GI144" s="2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</row>
    <row r="145" spans="1:274" s="27" customFormat="1" ht="12" hidden="1" customHeight="1" outlineLevel="1" x14ac:dyDescent="0.2">
      <c r="A145" s="345" t="s">
        <v>460</v>
      </c>
      <c r="B145" s="60"/>
      <c r="C145" s="600"/>
      <c r="D145" s="600"/>
      <c r="E145" s="600"/>
      <c r="F145" s="600"/>
      <c r="G145" s="600"/>
      <c r="H145" s="60"/>
      <c r="I145" s="600"/>
      <c r="J145" s="600"/>
      <c r="K145" s="600"/>
      <c r="L145" s="600"/>
      <c r="M145" s="600"/>
      <c r="N145" s="60"/>
      <c r="O145" s="600"/>
      <c r="P145" s="600"/>
      <c r="Q145" s="600"/>
      <c r="R145" s="600"/>
      <c r="S145" s="600"/>
      <c r="T145" s="60"/>
      <c r="U145" s="600"/>
      <c r="V145" s="600"/>
      <c r="W145" s="600"/>
      <c r="X145" s="600"/>
      <c r="Y145" s="600"/>
      <c r="Z145" s="60"/>
      <c r="AA145" s="600"/>
      <c r="AB145" s="600"/>
      <c r="AC145" s="600"/>
      <c r="AD145" s="600"/>
      <c r="AE145" s="600"/>
      <c r="AF145" s="60"/>
      <c r="AG145" s="600"/>
      <c r="AH145" s="600"/>
      <c r="AI145" s="600"/>
      <c r="AJ145" s="600"/>
      <c r="AK145" s="600"/>
      <c r="AL145" s="600"/>
      <c r="AM145" s="600"/>
      <c r="AN145" s="600"/>
      <c r="AO145" s="600"/>
      <c r="AP145" s="600"/>
      <c r="AQ145" s="600"/>
      <c r="AR145" s="60"/>
      <c r="AS145" s="600"/>
      <c r="AT145" s="600"/>
      <c r="AU145" s="600"/>
      <c r="AV145" s="600"/>
      <c r="AW145" s="600"/>
      <c r="AX145" s="60"/>
      <c r="AY145" s="600"/>
      <c r="AZ145" s="600"/>
      <c r="BA145" s="600"/>
      <c r="BB145" s="600"/>
      <c r="BC145" s="600"/>
      <c r="BD145" s="60"/>
      <c r="BE145" s="600"/>
      <c r="BF145" s="600"/>
      <c r="BG145" s="600"/>
      <c r="BH145" s="600"/>
      <c r="BI145" s="600"/>
      <c r="BJ145" s="60"/>
      <c r="BK145" s="600"/>
      <c r="BL145" s="600"/>
      <c r="BM145" s="600"/>
      <c r="BN145" s="600"/>
      <c r="BO145" s="600"/>
      <c r="BP145" s="60"/>
      <c r="BQ145" s="600"/>
      <c r="BR145" s="600"/>
      <c r="BS145" s="600"/>
      <c r="BT145" s="600"/>
      <c r="BU145" s="600"/>
      <c r="BV145" s="60"/>
      <c r="BW145" s="447"/>
      <c r="BX145" s="447"/>
      <c r="BY145" s="447"/>
      <c r="BZ145" s="447"/>
      <c r="CA145" s="600"/>
      <c r="CB145" s="60"/>
      <c r="CC145" s="447"/>
      <c r="CD145" s="447"/>
      <c r="CE145" s="447"/>
      <c r="CF145" s="447"/>
      <c r="CG145" s="1448"/>
      <c r="CH145" s="60"/>
      <c r="CI145" s="447"/>
      <c r="CJ145" s="447"/>
      <c r="CK145" s="447"/>
      <c r="CL145" s="447"/>
      <c r="CM145" s="1448"/>
      <c r="CN145" s="60"/>
      <c r="CO145" s="447"/>
      <c r="CP145" s="447"/>
      <c r="CQ145" s="447"/>
      <c r="CR145" s="447"/>
      <c r="CS145" s="1448"/>
      <c r="CT145" s="367"/>
      <c r="CU145" s="447"/>
      <c r="CV145" s="447"/>
      <c r="CW145" s="447"/>
      <c r="CX145" s="447"/>
      <c r="CY145" s="1448"/>
      <c r="CZ145" s="86"/>
      <c r="DA145" s="447"/>
      <c r="DB145" s="447"/>
      <c r="DC145" s="447"/>
      <c r="DD145" s="447"/>
      <c r="DE145" s="1448"/>
      <c r="DF145" s="367"/>
      <c r="DG145" s="447"/>
      <c r="DH145" s="447"/>
      <c r="DI145" s="447"/>
      <c r="DJ145" s="447"/>
      <c r="DK145" s="1448"/>
      <c r="DL145" s="367"/>
      <c r="DM145" s="447"/>
      <c r="DN145" s="447"/>
      <c r="DO145" s="447"/>
      <c r="DP145" s="447"/>
      <c r="DQ145" s="1448"/>
      <c r="DR145" s="1454"/>
      <c r="DS145" s="447"/>
      <c r="DT145" s="447"/>
      <c r="DU145" s="447">
        <f>DU83/0.85</f>
        <v>4.7058823529411766</v>
      </c>
      <c r="DV145" s="447">
        <f>DV83/0.85</f>
        <v>29.393458794117645</v>
      </c>
      <c r="DW145" s="557">
        <f>SUM(DS145:DV145)</f>
        <v>34.099341147058823</v>
      </c>
      <c r="DX145" s="345"/>
      <c r="DY145" s="447">
        <f>DY83/0.85</f>
        <v>30.863131733823529</v>
      </c>
      <c r="DZ145" s="447">
        <v>31</v>
      </c>
      <c r="EA145" s="447">
        <f>EA83/0.85</f>
        <v>26.672868079192874</v>
      </c>
      <c r="EB145" s="447"/>
      <c r="EC145" s="557">
        <f t="shared" ref="EC145:EC150" si="111">SUM(DY145:EB145)</f>
        <v>88.535999813016403</v>
      </c>
      <c r="ED145" s="367"/>
      <c r="EE145" s="447"/>
      <c r="EF145" s="447"/>
      <c r="EG145" s="447"/>
      <c r="EH145" s="447"/>
      <c r="EI145" s="1448">
        <f t="shared" si="103"/>
        <v>0</v>
      </c>
      <c r="EJ145" s="367"/>
      <c r="EK145" s="447"/>
      <c r="EL145" s="447"/>
      <c r="EM145" s="447"/>
      <c r="EN145" s="447"/>
      <c r="EO145" s="1448">
        <f t="shared" si="104"/>
        <v>0</v>
      </c>
      <c r="EP145" s="367"/>
      <c r="EQ145" s="1832"/>
      <c r="ER145" s="1832"/>
      <c r="ES145" s="1832"/>
      <c r="ET145" s="1832"/>
      <c r="EU145" s="1833">
        <f t="shared" si="105"/>
        <v>0</v>
      </c>
      <c r="EV145" s="1834"/>
      <c r="EW145" s="1832"/>
      <c r="EX145" s="1832"/>
      <c r="EY145" s="1832"/>
      <c r="EZ145" s="1832"/>
      <c r="FA145" s="1833">
        <f t="shared" si="106"/>
        <v>0</v>
      </c>
      <c r="FB145" s="1834"/>
      <c r="FC145" s="1832"/>
      <c r="FD145" s="1832"/>
      <c r="FE145" s="1832"/>
      <c r="FF145" s="1832"/>
      <c r="FG145" s="1833">
        <f t="shared" si="107"/>
        <v>0</v>
      </c>
      <c r="FH145" s="1834"/>
      <c r="FI145" s="1832"/>
      <c r="FJ145" s="1832"/>
      <c r="FK145" s="1832"/>
      <c r="FL145" s="1832"/>
      <c r="FM145" s="1833">
        <f t="shared" si="108"/>
        <v>0</v>
      </c>
      <c r="FQ145"/>
      <c r="FR145"/>
      <c r="FS145"/>
      <c r="FT145"/>
      <c r="FU145"/>
      <c r="FV145"/>
      <c r="GB145" s="24"/>
      <c r="GC145" s="24"/>
      <c r="GD145" s="24"/>
      <c r="GE145" s="24"/>
      <c r="GF145" s="24"/>
      <c r="GG145" s="24"/>
      <c r="GH145" s="24"/>
      <c r="GI145" s="24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</row>
    <row r="146" spans="1:274" s="27" customFormat="1" ht="12" hidden="1" customHeight="1" outlineLevel="1" x14ac:dyDescent="0.2">
      <c r="A146" s="345" t="s">
        <v>916</v>
      </c>
      <c r="B146" s="60"/>
      <c r="C146" s="600"/>
      <c r="D146" s="600"/>
      <c r="E146" s="600"/>
      <c r="F146" s="600"/>
      <c r="G146" s="600"/>
      <c r="H146" s="60"/>
      <c r="I146" s="600"/>
      <c r="J146" s="600"/>
      <c r="K146" s="600"/>
      <c r="L146" s="600"/>
      <c r="M146" s="600"/>
      <c r="N146" s="60"/>
      <c r="O146" s="600"/>
      <c r="P146" s="600"/>
      <c r="Q146" s="600"/>
      <c r="R146" s="600"/>
      <c r="S146" s="600"/>
      <c r="T146" s="60"/>
      <c r="U146" s="600"/>
      <c r="V146" s="600"/>
      <c r="W146" s="600"/>
      <c r="X146" s="600"/>
      <c r="Y146" s="600"/>
      <c r="Z146" s="60"/>
      <c r="AA146" s="600"/>
      <c r="AB146" s="600"/>
      <c r="AC146" s="600"/>
      <c r="AD146" s="600"/>
      <c r="AE146" s="600"/>
      <c r="AF146" s="60"/>
      <c r="AG146" s="600"/>
      <c r="AH146" s="600"/>
      <c r="AI146" s="600"/>
      <c r="AJ146" s="600"/>
      <c r="AK146" s="600"/>
      <c r="AL146" s="600"/>
      <c r="AM146" s="600"/>
      <c r="AN146" s="600"/>
      <c r="AO146" s="600"/>
      <c r="AP146" s="600"/>
      <c r="AQ146" s="600"/>
      <c r="AR146" s="60"/>
      <c r="AS146" s="600"/>
      <c r="AT146" s="600"/>
      <c r="AU146" s="600"/>
      <c r="AV146" s="600"/>
      <c r="AW146" s="600"/>
      <c r="AX146" s="60"/>
      <c r="AY146" s="600"/>
      <c r="AZ146" s="600"/>
      <c r="BA146" s="600"/>
      <c r="BB146" s="600"/>
      <c r="BC146" s="600"/>
      <c r="BD146" s="60"/>
      <c r="BE146" s="600"/>
      <c r="BF146" s="600"/>
      <c r="BG146" s="600"/>
      <c r="BH146" s="600"/>
      <c r="BI146" s="600"/>
      <c r="BJ146" s="60"/>
      <c r="BK146" s="600"/>
      <c r="BL146" s="600"/>
      <c r="BM146" s="600"/>
      <c r="BN146" s="600"/>
      <c r="BO146" s="600"/>
      <c r="BP146" s="60"/>
      <c r="BQ146" s="600"/>
      <c r="BR146" s="600"/>
      <c r="BS146" s="600"/>
      <c r="BT146" s="600"/>
      <c r="BU146" s="600"/>
      <c r="BV146" s="60"/>
      <c r="BW146" s="447"/>
      <c r="BX146" s="447"/>
      <c r="BY146" s="447"/>
      <c r="BZ146" s="447"/>
      <c r="CA146" s="600"/>
      <c r="CB146" s="60"/>
      <c r="CC146" s="447"/>
      <c r="CD146" s="447"/>
      <c r="CE146" s="447"/>
      <c r="CF146" s="447"/>
      <c r="CG146" s="1448"/>
      <c r="CH146" s="60"/>
      <c r="CI146" s="447"/>
      <c r="CJ146" s="447"/>
      <c r="CK146" s="447"/>
      <c r="CL146" s="447"/>
      <c r="CM146" s="1448"/>
      <c r="CN146" s="60"/>
      <c r="CO146" s="447"/>
      <c r="CP146" s="447"/>
      <c r="CQ146" s="447"/>
      <c r="CR146" s="447"/>
      <c r="CS146" s="1448"/>
      <c r="CT146" s="367"/>
      <c r="CU146" s="447"/>
      <c r="CV146" s="447"/>
      <c r="CW146" s="447"/>
      <c r="CX146" s="447"/>
      <c r="CY146" s="1448"/>
      <c r="CZ146" s="86"/>
      <c r="DA146" s="447"/>
      <c r="DB146" s="447"/>
      <c r="DC146" s="447"/>
      <c r="DD146" s="447"/>
      <c r="DE146" s="1448"/>
      <c r="DF146" s="367"/>
      <c r="DG146" s="447"/>
      <c r="DH146" s="447"/>
      <c r="DI146" s="447"/>
      <c r="DJ146" s="447"/>
      <c r="DK146" s="1448"/>
      <c r="DL146" s="367"/>
      <c r="DM146" s="447"/>
      <c r="DN146" s="447"/>
      <c r="DO146" s="447"/>
      <c r="DP146" s="447"/>
      <c r="DQ146" s="1448"/>
      <c r="DR146" s="1454"/>
      <c r="DS146" s="447"/>
      <c r="DT146" s="447"/>
      <c r="DU146" s="447"/>
      <c r="DV146" s="447">
        <v>38</v>
      </c>
      <c r="DW146" s="557">
        <f>SUM(DS146:DV146)</f>
        <v>38</v>
      </c>
      <c r="DX146" s="345"/>
      <c r="DY146" s="447">
        <v>70</v>
      </c>
      <c r="DZ146" s="447">
        <v>70</v>
      </c>
      <c r="EA146" s="447">
        <v>75</v>
      </c>
      <c r="EB146" s="447">
        <f>88.5*(1/3)</f>
        <v>29.5</v>
      </c>
      <c r="EC146" s="557">
        <f t="shared" si="111"/>
        <v>244.5</v>
      </c>
      <c r="ED146" s="367"/>
      <c r="EE146" s="447"/>
      <c r="EF146" s="447"/>
      <c r="EG146" s="447"/>
      <c r="EH146" s="447"/>
      <c r="EI146" s="1448">
        <f t="shared" si="103"/>
        <v>0</v>
      </c>
      <c r="EJ146" s="367"/>
      <c r="EK146" s="447"/>
      <c r="EL146" s="447"/>
      <c r="EM146" s="447"/>
      <c r="EN146" s="447"/>
      <c r="EO146" s="1448">
        <f t="shared" si="104"/>
        <v>0</v>
      </c>
      <c r="EP146" s="367"/>
      <c r="EQ146" s="1832"/>
      <c r="ER146" s="1832"/>
      <c r="ES146" s="1832"/>
      <c r="ET146" s="1832"/>
      <c r="EU146" s="1833">
        <f t="shared" si="105"/>
        <v>0</v>
      </c>
      <c r="EV146" s="1834"/>
      <c r="EW146" s="1832"/>
      <c r="EX146" s="1832"/>
      <c r="EY146" s="1832"/>
      <c r="EZ146" s="1832"/>
      <c r="FA146" s="1833">
        <f t="shared" si="106"/>
        <v>0</v>
      </c>
      <c r="FB146" s="1834"/>
      <c r="FC146" s="1832"/>
      <c r="FD146" s="1832"/>
      <c r="FE146" s="1832"/>
      <c r="FF146" s="1832"/>
      <c r="FG146" s="1833">
        <f t="shared" si="107"/>
        <v>0</v>
      </c>
      <c r="FH146" s="1834"/>
      <c r="FI146" s="1832"/>
      <c r="FJ146" s="1832"/>
      <c r="FK146" s="1832"/>
      <c r="FL146" s="1832"/>
      <c r="FM146" s="1833">
        <f t="shared" si="108"/>
        <v>0</v>
      </c>
      <c r="FQ146"/>
      <c r="FR146"/>
      <c r="FS146"/>
      <c r="FT146"/>
      <c r="FU146"/>
      <c r="FV146"/>
      <c r="GB146" s="24"/>
      <c r="GC146" s="24"/>
      <c r="GD146" s="24"/>
      <c r="GE146" s="24"/>
      <c r="GF146" s="24"/>
      <c r="GG146" s="24"/>
      <c r="GH146" s="24"/>
      <c r="GI146" s="24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</row>
    <row r="147" spans="1:274" s="27" customFormat="1" ht="12" hidden="1" customHeight="1" outlineLevel="1" x14ac:dyDescent="0.2">
      <c r="A147" s="345" t="s">
        <v>860</v>
      </c>
      <c r="B147" s="60"/>
      <c r="C147" s="600"/>
      <c r="D147" s="600"/>
      <c r="E147" s="600"/>
      <c r="F147" s="600"/>
      <c r="G147" s="600"/>
      <c r="H147" s="60"/>
      <c r="I147" s="600"/>
      <c r="J147" s="600"/>
      <c r="K147" s="600"/>
      <c r="L147" s="600"/>
      <c r="M147" s="600"/>
      <c r="N147" s="60"/>
      <c r="O147" s="600"/>
      <c r="P147" s="600"/>
      <c r="Q147" s="600"/>
      <c r="R147" s="600"/>
      <c r="S147" s="600"/>
      <c r="T147" s="60"/>
      <c r="U147" s="600"/>
      <c r="V147" s="600"/>
      <c r="W147" s="600"/>
      <c r="X147" s="600"/>
      <c r="Y147" s="600"/>
      <c r="Z147" s="60"/>
      <c r="AA147" s="600"/>
      <c r="AB147" s="600"/>
      <c r="AC147" s="600"/>
      <c r="AD147" s="600"/>
      <c r="AE147" s="600"/>
      <c r="AF147" s="60"/>
      <c r="AG147" s="600"/>
      <c r="AH147" s="600"/>
      <c r="AI147" s="600"/>
      <c r="AJ147" s="600"/>
      <c r="AK147" s="600"/>
      <c r="AL147" s="600"/>
      <c r="AM147" s="600"/>
      <c r="AN147" s="600"/>
      <c r="AO147" s="600"/>
      <c r="AP147" s="600"/>
      <c r="AQ147" s="600"/>
      <c r="AR147" s="60"/>
      <c r="AS147" s="600"/>
      <c r="AT147" s="600"/>
      <c r="AU147" s="600"/>
      <c r="AV147" s="600"/>
      <c r="AW147" s="600"/>
      <c r="AX147" s="60"/>
      <c r="AY147" s="600"/>
      <c r="AZ147" s="600"/>
      <c r="BA147" s="600"/>
      <c r="BB147" s="600"/>
      <c r="BC147" s="600"/>
      <c r="BD147" s="60"/>
      <c r="BE147" s="600"/>
      <c r="BF147" s="600"/>
      <c r="BG147" s="600"/>
      <c r="BH147" s="600"/>
      <c r="BI147" s="600"/>
      <c r="BJ147" s="60"/>
      <c r="BK147" s="600"/>
      <c r="BL147" s="600"/>
      <c r="BM147" s="600"/>
      <c r="BN147" s="600"/>
      <c r="BO147" s="600"/>
      <c r="BP147" s="60"/>
      <c r="BQ147" s="600"/>
      <c r="BR147" s="600"/>
      <c r="BS147" s="600"/>
      <c r="BT147" s="600"/>
      <c r="BU147" s="600"/>
      <c r="BV147" s="60"/>
      <c r="BW147" s="447"/>
      <c r="BX147" s="447"/>
      <c r="BY147" s="447"/>
      <c r="BZ147" s="447"/>
      <c r="CA147" s="600"/>
      <c r="CB147" s="60"/>
      <c r="CC147" s="447"/>
      <c r="CD147" s="447"/>
      <c r="CE147" s="447"/>
      <c r="CF147" s="447"/>
      <c r="CG147" s="1448"/>
      <c r="CH147" s="60"/>
      <c r="CI147" s="447"/>
      <c r="CJ147" s="447"/>
      <c r="CK147" s="447"/>
      <c r="CL147" s="447"/>
      <c r="CM147" s="1448"/>
      <c r="CN147" s="60"/>
      <c r="CO147" s="447"/>
      <c r="CP147" s="447"/>
      <c r="CQ147" s="447"/>
      <c r="CR147" s="447"/>
      <c r="CS147" s="1448"/>
      <c r="CT147" s="367"/>
      <c r="CU147" s="447"/>
      <c r="CV147" s="447"/>
      <c r="CW147" s="447"/>
      <c r="CX147" s="447"/>
      <c r="CY147" s="1448"/>
      <c r="CZ147" s="86"/>
      <c r="DA147" s="447"/>
      <c r="DB147" s="447"/>
      <c r="DC147" s="447"/>
      <c r="DD147" s="447"/>
      <c r="DE147" s="1448"/>
      <c r="DF147" s="367"/>
      <c r="DG147" s="447"/>
      <c r="DH147" s="447"/>
      <c r="DI147" s="447"/>
      <c r="DJ147" s="447"/>
      <c r="DK147" s="1448"/>
      <c r="DL147" s="367"/>
      <c r="DM147" s="447"/>
      <c r="DN147" s="447"/>
      <c r="DO147" s="447"/>
      <c r="DP147" s="447"/>
      <c r="DQ147" s="1448"/>
      <c r="DR147" s="1454"/>
      <c r="DS147" s="447"/>
      <c r="DT147" s="447"/>
      <c r="DU147" s="447"/>
      <c r="DV147" s="447"/>
      <c r="DW147" s="557">
        <f>SUM(DS147:DV147)</f>
        <v>0</v>
      </c>
      <c r="DX147" s="345"/>
      <c r="DY147" s="447">
        <v>50</v>
      </c>
      <c r="DZ147" s="447">
        <v>50</v>
      </c>
      <c r="EA147" s="447">
        <v>58</v>
      </c>
      <c r="EB147" s="447">
        <v>54</v>
      </c>
      <c r="EC147" s="557">
        <f t="shared" si="111"/>
        <v>212</v>
      </c>
      <c r="ED147" s="367"/>
      <c r="EE147" s="447"/>
      <c r="EF147" s="447"/>
      <c r="EG147" s="447"/>
      <c r="EH147" s="447"/>
      <c r="EI147" s="1448">
        <f t="shared" si="103"/>
        <v>0</v>
      </c>
      <c r="EJ147" s="367"/>
      <c r="EK147" s="447"/>
      <c r="EL147" s="447"/>
      <c r="EM147" s="447"/>
      <c r="EN147" s="447"/>
      <c r="EO147" s="1448">
        <f t="shared" si="104"/>
        <v>0</v>
      </c>
      <c r="EP147" s="367"/>
      <c r="EQ147" s="1832"/>
      <c r="ER147" s="1832"/>
      <c r="ES147" s="1832"/>
      <c r="ET147" s="1832"/>
      <c r="EU147" s="1833">
        <f t="shared" si="105"/>
        <v>0</v>
      </c>
      <c r="EV147" s="1834"/>
      <c r="EW147" s="1832"/>
      <c r="EX147" s="1832"/>
      <c r="EY147" s="1832"/>
      <c r="EZ147" s="1832"/>
      <c r="FA147" s="1833">
        <f t="shared" si="106"/>
        <v>0</v>
      </c>
      <c r="FB147" s="1834"/>
      <c r="FC147" s="1832"/>
      <c r="FD147" s="1832"/>
      <c r="FE147" s="1832"/>
      <c r="FF147" s="1832"/>
      <c r="FG147" s="1833">
        <f t="shared" si="107"/>
        <v>0</v>
      </c>
      <c r="FH147" s="1834"/>
      <c r="FI147" s="1832"/>
      <c r="FJ147" s="1832"/>
      <c r="FK147" s="1832"/>
      <c r="FL147" s="1832"/>
      <c r="FM147" s="1833">
        <f t="shared" si="108"/>
        <v>0</v>
      </c>
      <c r="FQ147"/>
      <c r="FR147"/>
      <c r="FS147"/>
      <c r="FT147"/>
      <c r="FU147"/>
      <c r="FV147"/>
      <c r="GB147" s="24"/>
      <c r="GC147" s="24"/>
      <c r="GD147" s="24"/>
      <c r="GE147" s="24"/>
      <c r="GF147" s="24"/>
      <c r="GG147" s="24"/>
      <c r="GH147" s="24"/>
      <c r="GI147" s="24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</row>
    <row r="148" spans="1:274" s="27" customFormat="1" ht="12" hidden="1" customHeight="1" outlineLevel="1" x14ac:dyDescent="0.2">
      <c r="A148" s="345" t="s">
        <v>941</v>
      </c>
      <c r="B148" s="60"/>
      <c r="C148" s="600"/>
      <c r="D148" s="600"/>
      <c r="E148" s="600"/>
      <c r="F148" s="600"/>
      <c r="G148" s="600"/>
      <c r="H148" s="60"/>
      <c r="I148" s="600"/>
      <c r="J148" s="600"/>
      <c r="K148" s="600"/>
      <c r="L148" s="600"/>
      <c r="M148" s="600"/>
      <c r="N148" s="60"/>
      <c r="O148" s="600"/>
      <c r="P148" s="600"/>
      <c r="Q148" s="600"/>
      <c r="R148" s="600"/>
      <c r="S148" s="600"/>
      <c r="T148" s="60"/>
      <c r="U148" s="600"/>
      <c r="V148" s="600"/>
      <c r="W148" s="600"/>
      <c r="X148" s="600"/>
      <c r="Y148" s="600"/>
      <c r="Z148" s="60"/>
      <c r="AA148" s="600"/>
      <c r="AB148" s="600"/>
      <c r="AC148" s="600"/>
      <c r="AD148" s="600"/>
      <c r="AE148" s="600"/>
      <c r="AF148" s="60"/>
      <c r="AG148" s="600"/>
      <c r="AH148" s="600"/>
      <c r="AI148" s="600"/>
      <c r="AJ148" s="600"/>
      <c r="AK148" s="600"/>
      <c r="AL148" s="600"/>
      <c r="AM148" s="600"/>
      <c r="AN148" s="600"/>
      <c r="AO148" s="600"/>
      <c r="AP148" s="600"/>
      <c r="AQ148" s="600"/>
      <c r="AR148" s="60"/>
      <c r="AS148" s="600"/>
      <c r="AT148" s="600"/>
      <c r="AU148" s="600"/>
      <c r="AV148" s="600"/>
      <c r="AW148" s="600"/>
      <c r="AX148" s="60"/>
      <c r="AY148" s="600"/>
      <c r="AZ148" s="600"/>
      <c r="BA148" s="600"/>
      <c r="BB148" s="600"/>
      <c r="BC148" s="600"/>
      <c r="BD148" s="60"/>
      <c r="BE148" s="600"/>
      <c r="BF148" s="600"/>
      <c r="BG148" s="600"/>
      <c r="BH148" s="600"/>
      <c r="BI148" s="600"/>
      <c r="BJ148" s="60"/>
      <c r="BK148" s="600"/>
      <c r="BL148" s="600"/>
      <c r="BM148" s="600"/>
      <c r="BN148" s="600"/>
      <c r="BO148" s="600"/>
      <c r="BP148" s="60"/>
      <c r="BQ148" s="600"/>
      <c r="BR148" s="600"/>
      <c r="BS148" s="600"/>
      <c r="BT148" s="600"/>
      <c r="BU148" s="600"/>
      <c r="BV148" s="60"/>
      <c r="BW148" s="447"/>
      <c r="BX148" s="447"/>
      <c r="BY148" s="447"/>
      <c r="BZ148" s="447"/>
      <c r="CA148" s="600"/>
      <c r="CB148" s="60"/>
      <c r="CC148" s="447"/>
      <c r="CD148" s="447"/>
      <c r="CE148" s="447"/>
      <c r="CF148" s="447"/>
      <c r="CG148" s="1448"/>
      <c r="CH148" s="60"/>
      <c r="CI148" s="447"/>
      <c r="CJ148" s="447"/>
      <c r="CK148" s="447"/>
      <c r="CL148" s="447"/>
      <c r="CM148" s="1448"/>
      <c r="CN148" s="60"/>
      <c r="CO148" s="447"/>
      <c r="CP148" s="447"/>
      <c r="CQ148" s="447"/>
      <c r="CR148" s="447"/>
      <c r="CS148" s="1448"/>
      <c r="CT148" s="367"/>
      <c r="CU148" s="447"/>
      <c r="CV148" s="447"/>
      <c r="CW148" s="447"/>
      <c r="CX148" s="447"/>
      <c r="CY148" s="1448"/>
      <c r="CZ148" s="86"/>
      <c r="DA148" s="447"/>
      <c r="DB148" s="447"/>
      <c r="DC148" s="447"/>
      <c r="DD148" s="447"/>
      <c r="DE148" s="1448"/>
      <c r="DF148" s="367"/>
      <c r="DG148" s="447"/>
      <c r="DH148" s="447"/>
      <c r="DI148" s="447"/>
      <c r="DJ148" s="447"/>
      <c r="DK148" s="1448"/>
      <c r="DL148" s="367"/>
      <c r="DM148" s="447"/>
      <c r="DN148" s="447"/>
      <c r="DO148" s="447"/>
      <c r="DP148" s="447"/>
      <c r="DQ148" s="1448"/>
      <c r="DR148" s="1454"/>
      <c r="DS148" s="447"/>
      <c r="DT148" s="447"/>
      <c r="DU148" s="447"/>
      <c r="DV148" s="447"/>
      <c r="DW148" s="557"/>
      <c r="DX148" s="345"/>
      <c r="DY148" s="447"/>
      <c r="DZ148" s="447">
        <v>2.5</v>
      </c>
      <c r="EA148" s="447">
        <v>16.25</v>
      </c>
      <c r="EB148" s="447">
        <v>20</v>
      </c>
      <c r="EC148" s="557">
        <f t="shared" si="111"/>
        <v>38.75</v>
      </c>
      <c r="ED148" s="367"/>
      <c r="EE148" s="447">
        <v>22.5</v>
      </c>
      <c r="EF148" s="447">
        <v>26.25</v>
      </c>
      <c r="EG148" s="447"/>
      <c r="EH148" s="447"/>
      <c r="EI148" s="1448">
        <f t="shared" si="103"/>
        <v>48.75</v>
      </c>
      <c r="EJ148" s="367"/>
      <c r="EK148" s="447"/>
      <c r="EL148" s="447"/>
      <c r="EM148" s="447"/>
      <c r="EN148" s="447"/>
      <c r="EO148" s="1448">
        <f t="shared" si="104"/>
        <v>0</v>
      </c>
      <c r="EP148" s="367"/>
      <c r="EQ148" s="1832"/>
      <c r="ER148" s="1832"/>
      <c r="ES148" s="1832"/>
      <c r="ET148" s="1832"/>
      <c r="EU148" s="1833">
        <f t="shared" si="105"/>
        <v>0</v>
      </c>
      <c r="EV148" s="1834"/>
      <c r="EW148" s="1832"/>
      <c r="EX148" s="1832"/>
      <c r="EY148" s="1832"/>
      <c r="EZ148" s="1832"/>
      <c r="FA148" s="1833">
        <f t="shared" si="106"/>
        <v>0</v>
      </c>
      <c r="FB148" s="1834"/>
      <c r="FC148" s="1832"/>
      <c r="FD148" s="1832"/>
      <c r="FE148" s="1832"/>
      <c r="FF148" s="1832"/>
      <c r="FG148" s="1833">
        <f t="shared" si="107"/>
        <v>0</v>
      </c>
      <c r="FH148" s="1834"/>
      <c r="FI148" s="1832"/>
      <c r="FJ148" s="1832"/>
      <c r="FK148" s="1832"/>
      <c r="FL148" s="1832"/>
      <c r="FM148" s="1833">
        <f t="shared" si="108"/>
        <v>0</v>
      </c>
      <c r="FQ148"/>
      <c r="FR148"/>
      <c r="FS148"/>
      <c r="FT148"/>
      <c r="FU148"/>
      <c r="FV148"/>
      <c r="GB148" s="24"/>
      <c r="GC148" s="24"/>
      <c r="GD148" s="24"/>
      <c r="GE148" s="24"/>
      <c r="GF148" s="24"/>
      <c r="GG148" s="24"/>
      <c r="GH148" s="24"/>
      <c r="GI148" s="24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</row>
    <row r="149" spans="1:274" s="27" customFormat="1" ht="12" hidden="1" customHeight="1" outlineLevel="1" x14ac:dyDescent="0.2">
      <c r="A149" s="345" t="s">
        <v>1105</v>
      </c>
      <c r="B149" s="60"/>
      <c r="C149" s="600"/>
      <c r="D149" s="600"/>
      <c r="E149" s="600"/>
      <c r="F149" s="600"/>
      <c r="G149" s="600"/>
      <c r="H149" s="60"/>
      <c r="I149" s="600"/>
      <c r="J149" s="600"/>
      <c r="K149" s="600"/>
      <c r="L149" s="600"/>
      <c r="M149" s="600"/>
      <c r="N149" s="60"/>
      <c r="O149" s="600"/>
      <c r="P149" s="600"/>
      <c r="Q149" s="600"/>
      <c r="R149" s="600"/>
      <c r="S149" s="600"/>
      <c r="T149" s="60"/>
      <c r="U149" s="600"/>
      <c r="V149" s="600"/>
      <c r="W149" s="600"/>
      <c r="X149" s="600"/>
      <c r="Y149" s="600"/>
      <c r="Z149" s="60"/>
      <c r="AA149" s="600"/>
      <c r="AB149" s="600"/>
      <c r="AC149" s="600"/>
      <c r="AD149" s="600"/>
      <c r="AE149" s="600"/>
      <c r="AF149" s="60"/>
      <c r="AG149" s="600"/>
      <c r="AH149" s="600"/>
      <c r="AI149" s="600"/>
      <c r="AJ149" s="600"/>
      <c r="AK149" s="600"/>
      <c r="AL149" s="600"/>
      <c r="AM149" s="600"/>
      <c r="AN149" s="600"/>
      <c r="AO149" s="600"/>
      <c r="AP149" s="600"/>
      <c r="AQ149" s="600"/>
      <c r="AR149" s="60"/>
      <c r="AS149" s="600"/>
      <c r="AT149" s="600"/>
      <c r="AU149" s="600"/>
      <c r="AV149" s="600"/>
      <c r="AW149" s="600"/>
      <c r="AX149" s="60"/>
      <c r="AY149" s="600"/>
      <c r="AZ149" s="600"/>
      <c r="BA149" s="600"/>
      <c r="BB149" s="600"/>
      <c r="BC149" s="600"/>
      <c r="BD149" s="60"/>
      <c r="BE149" s="600"/>
      <c r="BF149" s="600"/>
      <c r="BG149" s="600"/>
      <c r="BH149" s="600"/>
      <c r="BI149" s="600"/>
      <c r="BJ149" s="60"/>
      <c r="BK149" s="600"/>
      <c r="BL149" s="600"/>
      <c r="BM149" s="600"/>
      <c r="BN149" s="600"/>
      <c r="BO149" s="600"/>
      <c r="BP149" s="60"/>
      <c r="BQ149" s="600"/>
      <c r="BR149" s="600"/>
      <c r="BS149" s="600"/>
      <c r="BT149" s="600"/>
      <c r="BU149" s="600"/>
      <c r="BV149" s="60"/>
      <c r="BW149" s="447"/>
      <c r="BX149" s="447"/>
      <c r="BY149" s="447"/>
      <c r="BZ149" s="447"/>
      <c r="CA149" s="600"/>
      <c r="CB149" s="60"/>
      <c r="CC149" s="447"/>
      <c r="CD149" s="447"/>
      <c r="CE149" s="447"/>
      <c r="CF149" s="447"/>
      <c r="CG149" s="1448"/>
      <c r="CH149" s="60"/>
      <c r="CI149" s="447"/>
      <c r="CJ149" s="447"/>
      <c r="CK149" s="447"/>
      <c r="CL149" s="447"/>
      <c r="CM149" s="1448"/>
      <c r="CN149" s="60"/>
      <c r="CO149" s="447"/>
      <c r="CP149" s="447"/>
      <c r="CQ149" s="447"/>
      <c r="CR149" s="447"/>
      <c r="CS149" s="1448"/>
      <c r="CT149" s="367"/>
      <c r="CU149" s="447"/>
      <c r="CV149" s="447"/>
      <c r="CW149" s="447"/>
      <c r="CX149" s="447"/>
      <c r="CY149" s="1448"/>
      <c r="CZ149" s="86"/>
      <c r="DA149" s="447"/>
      <c r="DB149" s="447"/>
      <c r="DC149" s="447"/>
      <c r="DD149" s="447"/>
      <c r="DE149" s="1448"/>
      <c r="DF149" s="367"/>
      <c r="DG149" s="447"/>
      <c r="DH149" s="447"/>
      <c r="DI149" s="447"/>
      <c r="DJ149" s="447"/>
      <c r="DK149" s="1448"/>
      <c r="DL149" s="367"/>
      <c r="DM149" s="447"/>
      <c r="DN149" s="447"/>
      <c r="DO149" s="447"/>
      <c r="DP149" s="447"/>
      <c r="DQ149" s="1448"/>
      <c r="DR149" s="1454"/>
      <c r="DS149" s="447"/>
      <c r="DT149" s="447"/>
      <c r="DU149" s="447"/>
      <c r="DV149" s="447"/>
      <c r="DW149" s="557"/>
      <c r="DX149" s="345"/>
      <c r="DY149" s="447"/>
      <c r="DZ149" s="447"/>
      <c r="EA149" s="447">
        <v>13</v>
      </c>
      <c r="EB149" s="447">
        <v>50</v>
      </c>
      <c r="EC149" s="557">
        <f t="shared" si="111"/>
        <v>63</v>
      </c>
      <c r="ED149" s="367"/>
      <c r="EE149" s="447">
        <v>58</v>
      </c>
      <c r="EF149" s="447">
        <v>62</v>
      </c>
      <c r="EG149" s="447">
        <v>50</v>
      </c>
      <c r="EH149" s="447"/>
      <c r="EI149" s="1448">
        <f t="shared" si="103"/>
        <v>170</v>
      </c>
      <c r="EJ149" s="367"/>
      <c r="EK149" s="447"/>
      <c r="EL149" s="447"/>
      <c r="EM149" s="447"/>
      <c r="EN149" s="447"/>
      <c r="EO149" s="1448">
        <f t="shared" si="104"/>
        <v>0</v>
      </c>
      <c r="EP149" s="367"/>
      <c r="EQ149" s="1832"/>
      <c r="ER149" s="1832"/>
      <c r="ES149" s="1832"/>
      <c r="ET149" s="1832"/>
      <c r="EU149" s="1833">
        <f t="shared" si="105"/>
        <v>0</v>
      </c>
      <c r="EV149" s="1834"/>
      <c r="EW149" s="1832"/>
      <c r="EX149" s="1832"/>
      <c r="EY149" s="1832"/>
      <c r="EZ149" s="1832"/>
      <c r="FA149" s="1833">
        <f t="shared" si="106"/>
        <v>0</v>
      </c>
      <c r="FB149" s="1834"/>
      <c r="FC149" s="1832"/>
      <c r="FD149" s="1832"/>
      <c r="FE149" s="1832"/>
      <c r="FF149" s="1832"/>
      <c r="FG149" s="1833">
        <f t="shared" si="107"/>
        <v>0</v>
      </c>
      <c r="FH149" s="1834"/>
      <c r="FI149" s="1832"/>
      <c r="FJ149" s="1832"/>
      <c r="FK149" s="1832"/>
      <c r="FL149" s="1832"/>
      <c r="FM149" s="1833">
        <f t="shared" si="108"/>
        <v>0</v>
      </c>
      <c r="FQ149"/>
      <c r="FR149"/>
      <c r="FS149"/>
      <c r="FT149"/>
      <c r="FU149"/>
      <c r="FV149"/>
      <c r="GB149" s="24"/>
      <c r="GC149" s="24"/>
      <c r="GD149" s="24"/>
      <c r="GE149" s="24"/>
      <c r="GF149" s="24"/>
      <c r="GG149" s="24"/>
      <c r="GH149" s="24"/>
      <c r="GI149" s="24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</row>
    <row r="150" spans="1:274" s="27" customFormat="1" ht="12" hidden="1" customHeight="1" outlineLevel="1" x14ac:dyDescent="0.2">
      <c r="A150" s="345" t="s">
        <v>1107</v>
      </c>
      <c r="B150" s="60"/>
      <c r="C150" s="600"/>
      <c r="D150" s="600"/>
      <c r="E150" s="600"/>
      <c r="F150" s="600"/>
      <c r="G150" s="600"/>
      <c r="H150" s="60"/>
      <c r="I150" s="600"/>
      <c r="J150" s="600"/>
      <c r="K150" s="600"/>
      <c r="L150" s="600"/>
      <c r="M150" s="600"/>
      <c r="N150" s="60"/>
      <c r="O150" s="600"/>
      <c r="P150" s="600"/>
      <c r="Q150" s="600"/>
      <c r="R150" s="600"/>
      <c r="S150" s="600"/>
      <c r="T150" s="60"/>
      <c r="U150" s="600"/>
      <c r="V150" s="600"/>
      <c r="W150" s="600"/>
      <c r="X150" s="600"/>
      <c r="Y150" s="600"/>
      <c r="Z150" s="60"/>
      <c r="AA150" s="600"/>
      <c r="AB150" s="600"/>
      <c r="AC150" s="600"/>
      <c r="AD150" s="600"/>
      <c r="AE150" s="600"/>
      <c r="AF150" s="60"/>
      <c r="AG150" s="600"/>
      <c r="AH150" s="600"/>
      <c r="AI150" s="600"/>
      <c r="AJ150" s="600"/>
      <c r="AK150" s="600"/>
      <c r="AL150" s="600"/>
      <c r="AM150" s="600"/>
      <c r="AN150" s="600"/>
      <c r="AO150" s="600"/>
      <c r="AP150" s="600"/>
      <c r="AQ150" s="600"/>
      <c r="AR150" s="60"/>
      <c r="AS150" s="600"/>
      <c r="AT150" s="600"/>
      <c r="AU150" s="600"/>
      <c r="AV150" s="600"/>
      <c r="AW150" s="600"/>
      <c r="AX150" s="60"/>
      <c r="AY150" s="600"/>
      <c r="AZ150" s="600"/>
      <c r="BA150" s="600"/>
      <c r="BB150" s="600"/>
      <c r="BC150" s="600"/>
      <c r="BD150" s="60"/>
      <c r="BE150" s="600"/>
      <c r="BF150" s="600"/>
      <c r="BG150" s="600"/>
      <c r="BH150" s="600"/>
      <c r="BI150" s="600"/>
      <c r="BJ150" s="60"/>
      <c r="BK150" s="600"/>
      <c r="BL150" s="600"/>
      <c r="BM150" s="600"/>
      <c r="BN150" s="600"/>
      <c r="BO150" s="600"/>
      <c r="BP150" s="60"/>
      <c r="BQ150" s="600"/>
      <c r="BR150" s="600"/>
      <c r="BS150" s="600"/>
      <c r="BT150" s="600"/>
      <c r="BU150" s="600"/>
      <c r="BV150" s="60"/>
      <c r="BW150" s="447"/>
      <c r="BX150" s="447"/>
      <c r="BY150" s="447"/>
      <c r="BZ150" s="447"/>
      <c r="CA150" s="600"/>
      <c r="CB150" s="60"/>
      <c r="CC150" s="447"/>
      <c r="CD150" s="447"/>
      <c r="CE150" s="447"/>
      <c r="CF150" s="447"/>
      <c r="CG150" s="1448"/>
      <c r="CH150" s="60"/>
      <c r="CI150" s="447"/>
      <c r="CJ150" s="447"/>
      <c r="CK150" s="447"/>
      <c r="CL150" s="447"/>
      <c r="CM150" s="1448"/>
      <c r="CN150" s="60"/>
      <c r="CO150" s="447"/>
      <c r="CP150" s="447"/>
      <c r="CQ150" s="447"/>
      <c r="CR150" s="447"/>
      <c r="CS150" s="1448"/>
      <c r="CT150" s="367"/>
      <c r="CU150" s="447"/>
      <c r="CV150" s="447"/>
      <c r="CW150" s="447"/>
      <c r="CX150" s="447"/>
      <c r="CY150" s="1448"/>
      <c r="CZ150" s="86"/>
      <c r="DA150" s="447"/>
      <c r="DB150" s="447"/>
      <c r="DC150" s="447"/>
      <c r="DD150" s="447"/>
      <c r="DE150" s="1448"/>
      <c r="DF150" s="367"/>
      <c r="DG150" s="447"/>
      <c r="DH150" s="447"/>
      <c r="DI150" s="447"/>
      <c r="DJ150" s="447"/>
      <c r="DK150" s="1448"/>
      <c r="DL150" s="367"/>
      <c r="DM150" s="447"/>
      <c r="DN150" s="447"/>
      <c r="DO150" s="447"/>
      <c r="DP150" s="447"/>
      <c r="DQ150" s="1448"/>
      <c r="DR150" s="1454"/>
      <c r="DS150" s="447"/>
      <c r="DT150" s="447"/>
      <c r="DU150" s="447"/>
      <c r="DV150" s="447"/>
      <c r="DW150" s="557"/>
      <c r="DX150" s="345"/>
      <c r="DY150" s="447"/>
      <c r="DZ150" s="447"/>
      <c r="EA150" s="447"/>
      <c r="EB150" s="447">
        <f>10*2/3</f>
        <v>6.666666666666667</v>
      </c>
      <c r="EC150" s="557">
        <f t="shared" si="111"/>
        <v>6.666666666666667</v>
      </c>
      <c r="ED150" s="367"/>
      <c r="EE150" s="447">
        <f>11*1.0678</f>
        <v>11.745800000000001</v>
      </c>
      <c r="EF150" s="447">
        <f>EE150*1.0678</f>
        <v>12.542165240000003</v>
      </c>
      <c r="EG150" s="447">
        <f>EF150*1.0678</f>
        <v>13.392524043272005</v>
      </c>
      <c r="EH150" s="447">
        <f>EG150*1.0678-EB150</f>
        <v>7.6338705067391812</v>
      </c>
      <c r="EI150" s="1448">
        <f t="shared" si="103"/>
        <v>45.314359790011189</v>
      </c>
      <c r="EJ150" s="367"/>
      <c r="EK150" s="447"/>
      <c r="EL150" s="447"/>
      <c r="EM150" s="447"/>
      <c r="EN150" s="447"/>
      <c r="EO150" s="1448">
        <f t="shared" si="104"/>
        <v>0</v>
      </c>
      <c r="EP150" s="367"/>
      <c r="EQ150" s="1832"/>
      <c r="ER150" s="1832"/>
      <c r="ES150" s="1832"/>
      <c r="ET150" s="1832"/>
      <c r="EU150" s="1833">
        <f t="shared" si="105"/>
        <v>0</v>
      </c>
      <c r="EV150" s="1834"/>
      <c r="EW150" s="1832"/>
      <c r="EX150" s="1832"/>
      <c r="EY150" s="1832"/>
      <c r="EZ150" s="1832"/>
      <c r="FA150" s="1833">
        <f t="shared" si="106"/>
        <v>0</v>
      </c>
      <c r="FB150" s="1834"/>
      <c r="FC150" s="1832"/>
      <c r="FD150" s="1832"/>
      <c r="FE150" s="1832"/>
      <c r="FF150" s="1832"/>
      <c r="FG150" s="1833">
        <f t="shared" si="107"/>
        <v>0</v>
      </c>
      <c r="FH150" s="1834"/>
      <c r="FI150" s="1832"/>
      <c r="FJ150" s="1832"/>
      <c r="FK150" s="1832"/>
      <c r="FL150" s="1832"/>
      <c r="FM150" s="1833">
        <f t="shared" si="108"/>
        <v>0</v>
      </c>
      <c r="FQ150"/>
      <c r="FR150"/>
      <c r="FS150"/>
      <c r="FT150"/>
      <c r="FU150"/>
      <c r="FV150"/>
      <c r="GB150" s="24"/>
      <c r="GC150" s="24"/>
      <c r="GD150" s="24"/>
      <c r="GE150" s="24"/>
      <c r="GF150" s="24"/>
      <c r="GG150" s="24"/>
      <c r="GH150" s="24"/>
      <c r="GI150" s="24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</row>
    <row r="151" spans="1:274" s="1517" customFormat="1" ht="12" hidden="1" customHeight="1" outlineLevel="1" x14ac:dyDescent="0.2">
      <c r="A151" s="1580" t="s">
        <v>1120</v>
      </c>
      <c r="B151" s="1529"/>
      <c r="C151" s="1569"/>
      <c r="D151" s="1569"/>
      <c r="E151" s="1569"/>
      <c r="F151" s="1569"/>
      <c r="G151" s="1569"/>
      <c r="H151" s="1529"/>
      <c r="I151" s="1569"/>
      <c r="J151" s="1569"/>
      <c r="K151" s="1569"/>
      <c r="L151" s="1569"/>
      <c r="M151" s="1569"/>
      <c r="N151" s="1529"/>
      <c r="O151" s="1569"/>
      <c r="P151" s="1569"/>
      <c r="Q151" s="1569"/>
      <c r="R151" s="1569"/>
      <c r="S151" s="1569"/>
      <c r="T151" s="1529"/>
      <c r="U151" s="1569"/>
      <c r="V151" s="1569"/>
      <c r="W151" s="1569"/>
      <c r="X151" s="1569"/>
      <c r="Y151" s="1569"/>
      <c r="Z151" s="1529"/>
      <c r="AA151" s="1569"/>
      <c r="AB151" s="1569"/>
      <c r="AC151" s="1569"/>
      <c r="AD151" s="1569"/>
      <c r="AE151" s="1569"/>
      <c r="AF151" s="1529"/>
      <c r="AG151" s="1569"/>
      <c r="AH151" s="1569"/>
      <c r="AI151" s="1569"/>
      <c r="AJ151" s="1569"/>
      <c r="AK151" s="1569"/>
      <c r="AL151" s="1569"/>
      <c r="AM151" s="1569"/>
      <c r="AN151" s="1569"/>
      <c r="AO151" s="1569"/>
      <c r="AP151" s="1569"/>
      <c r="AQ151" s="1569"/>
      <c r="AR151" s="1529"/>
      <c r="AS151" s="1569"/>
      <c r="AT151" s="1569"/>
      <c r="AU151" s="1569"/>
      <c r="AV151" s="1569"/>
      <c r="AW151" s="1569"/>
      <c r="AX151" s="1529"/>
      <c r="AY151" s="1569"/>
      <c r="AZ151" s="1569"/>
      <c r="BA151" s="1569"/>
      <c r="BB151" s="1569"/>
      <c r="BC151" s="1569"/>
      <c r="BD151" s="1529"/>
      <c r="BE151" s="1569"/>
      <c r="BF151" s="1569"/>
      <c r="BG151" s="1569"/>
      <c r="BH151" s="1569"/>
      <c r="BI151" s="1569"/>
      <c r="BJ151" s="1529"/>
      <c r="BK151" s="1569"/>
      <c r="BL151" s="1569"/>
      <c r="BM151" s="1569"/>
      <c r="BN151" s="1569"/>
      <c r="BO151" s="1569"/>
      <c r="BP151" s="1529"/>
      <c r="BQ151" s="1569"/>
      <c r="BR151" s="1569"/>
      <c r="BS151" s="1569"/>
      <c r="BT151" s="1569"/>
      <c r="BU151" s="1569"/>
      <c r="BV151" s="1529"/>
      <c r="BW151" s="1570"/>
      <c r="BX151" s="1570"/>
      <c r="BY151" s="1570"/>
      <c r="BZ151" s="1570"/>
      <c r="CA151" s="1569"/>
      <c r="CB151" s="1529"/>
      <c r="CC151" s="1570"/>
      <c r="CD151" s="1570"/>
      <c r="CE151" s="1570"/>
      <c r="CF151" s="1570"/>
      <c r="CG151" s="1684"/>
      <c r="CH151" s="1529"/>
      <c r="CI151" s="1570"/>
      <c r="CJ151" s="1570"/>
      <c r="CK151" s="1570"/>
      <c r="CL151" s="1570"/>
      <c r="CM151" s="1684"/>
      <c r="CN151" s="1529"/>
      <c r="CO151" s="1570"/>
      <c r="CP151" s="1570"/>
      <c r="CQ151" s="1570"/>
      <c r="CR151" s="1570"/>
      <c r="CS151" s="1684"/>
      <c r="CT151" s="1538"/>
      <c r="CU151" s="1570"/>
      <c r="CV151" s="1570"/>
      <c r="CW151" s="1570"/>
      <c r="CX151" s="1570"/>
      <c r="CY151" s="1684"/>
      <c r="CZ151" s="1582"/>
      <c r="DA151" s="1570"/>
      <c r="DB151" s="1570"/>
      <c r="DC151" s="1570"/>
      <c r="DD151" s="1570"/>
      <c r="DE151" s="1684"/>
      <c r="DF151" s="1538"/>
      <c r="DG151" s="1570"/>
      <c r="DH151" s="1570"/>
      <c r="DI151" s="1570"/>
      <c r="DJ151" s="1570"/>
      <c r="DK151" s="1684"/>
      <c r="DL151" s="1538"/>
      <c r="DM151" s="1570"/>
      <c r="DN151" s="1570"/>
      <c r="DO151" s="1570"/>
      <c r="DP151" s="1570"/>
      <c r="DQ151" s="1684"/>
      <c r="DR151" s="1685"/>
      <c r="DS151" s="1570"/>
      <c r="DT151" s="1570"/>
      <c r="DU151" s="1570"/>
      <c r="DV151" s="1570"/>
      <c r="DW151" s="1679"/>
      <c r="DX151" s="1580"/>
      <c r="DY151" s="1570"/>
      <c r="DZ151" s="1570"/>
      <c r="EA151" s="1570"/>
      <c r="EB151" s="1570"/>
      <c r="EC151" s="1679"/>
      <c r="ED151" s="1538"/>
      <c r="EE151" s="1570"/>
      <c r="EF151" s="1570">
        <v>200</v>
      </c>
      <c r="EG151" s="1570">
        <v>285</v>
      </c>
      <c r="EH151" s="1570">
        <v>340</v>
      </c>
      <c r="EI151" s="1684">
        <f t="shared" si="103"/>
        <v>825</v>
      </c>
      <c r="EJ151" s="1538"/>
      <c r="EK151" s="1570">
        <v>372.66666666666663</v>
      </c>
      <c r="EL151" s="1570">
        <v>61.000000000000007</v>
      </c>
      <c r="EM151" s="1570"/>
      <c r="EN151" s="1570"/>
      <c r="EO151" s="1684">
        <f t="shared" si="104"/>
        <v>433.66666666666663</v>
      </c>
      <c r="EP151" s="1538"/>
      <c r="EQ151" s="1835"/>
      <c r="ER151" s="1835"/>
      <c r="ES151" s="1835"/>
      <c r="ET151" s="1835"/>
      <c r="EU151" s="1833">
        <f t="shared" si="105"/>
        <v>0</v>
      </c>
      <c r="EV151" s="1836"/>
      <c r="EW151" s="1835"/>
      <c r="EX151" s="1835"/>
      <c r="EY151" s="1835"/>
      <c r="EZ151" s="1835"/>
      <c r="FA151" s="1833">
        <f t="shared" si="106"/>
        <v>0</v>
      </c>
      <c r="FB151" s="1836"/>
      <c r="FC151" s="1835"/>
      <c r="FD151" s="1835"/>
      <c r="FE151" s="1835"/>
      <c r="FF151" s="1835"/>
      <c r="FG151" s="1833">
        <f t="shared" si="107"/>
        <v>0</v>
      </c>
      <c r="FH151" s="1836"/>
      <c r="FI151" s="1835"/>
      <c r="FJ151" s="1835"/>
      <c r="FK151" s="1835"/>
      <c r="FL151" s="1835"/>
      <c r="FM151" s="1833">
        <f t="shared" si="108"/>
        <v>0</v>
      </c>
      <c r="FQ151"/>
      <c r="FR151"/>
      <c r="FS151"/>
      <c r="FT151"/>
      <c r="FU151"/>
      <c r="FV151"/>
      <c r="GB151" s="1523"/>
      <c r="GC151" s="1523"/>
      <c r="GD151" s="1523"/>
      <c r="GE151" s="1523"/>
      <c r="GF151" s="1523"/>
      <c r="GG151" s="1523"/>
      <c r="GH151" s="1523"/>
      <c r="GI151" s="1523"/>
      <c r="GJ151" s="1522"/>
      <c r="GK151" s="1522"/>
      <c r="GL151" s="1522"/>
      <c r="GM151" s="1522"/>
      <c r="GN151" s="1522"/>
      <c r="GO151" s="1522"/>
      <c r="GP151" s="1522"/>
      <c r="GQ151" s="1522"/>
      <c r="GR151" s="1522"/>
      <c r="GS151" s="1522"/>
      <c r="GT151" s="1522"/>
      <c r="GU151" s="1522"/>
      <c r="GV151" s="1522"/>
      <c r="GW151" s="1522"/>
      <c r="GX151" s="1522"/>
      <c r="GY151" s="1522"/>
      <c r="GZ151" s="1522"/>
      <c r="HA151" s="1522"/>
      <c r="HB151" s="1522"/>
      <c r="HC151" s="1522"/>
      <c r="HD151" s="1522"/>
      <c r="HE151" s="1522"/>
      <c r="HF151" s="1522"/>
      <c r="HG151" s="1522"/>
      <c r="HH151" s="1522"/>
      <c r="HI151" s="1522"/>
      <c r="HJ151" s="1522"/>
      <c r="HK151" s="1522"/>
      <c r="HL151" s="1522"/>
      <c r="HM151" s="1522"/>
      <c r="HN151" s="1522"/>
      <c r="HO151" s="1522"/>
      <c r="HP151" s="1522"/>
      <c r="HQ151" s="1522"/>
      <c r="HR151" s="1522"/>
      <c r="HS151" s="1522"/>
      <c r="HT151" s="1522"/>
      <c r="HU151" s="1522"/>
      <c r="HV151" s="1522"/>
      <c r="HW151" s="1522"/>
      <c r="HX151" s="1522"/>
      <c r="HY151" s="1522"/>
      <c r="HZ151" s="1522"/>
      <c r="IA151" s="1522"/>
      <c r="IB151" s="1522"/>
      <c r="IC151" s="1522"/>
      <c r="ID151" s="1522"/>
      <c r="IE151" s="1522"/>
      <c r="IF151" s="1522"/>
      <c r="IG151" s="1522"/>
      <c r="IH151" s="1522"/>
      <c r="II151" s="1522"/>
      <c r="IJ151" s="1522"/>
      <c r="IK151" s="1522"/>
      <c r="IL151" s="1522"/>
      <c r="IM151" s="1522"/>
      <c r="IN151" s="1522"/>
      <c r="IO151" s="1522"/>
      <c r="IP151" s="1522"/>
      <c r="IQ151" s="1522"/>
      <c r="IR151" s="1522"/>
      <c r="IS151" s="1522"/>
      <c r="IT151" s="1522"/>
      <c r="IU151" s="1522"/>
      <c r="IV151" s="1522"/>
      <c r="IW151" s="1522"/>
      <c r="IX151" s="1522"/>
      <c r="IY151" s="1522"/>
      <c r="IZ151" s="1522"/>
      <c r="JA151" s="1522"/>
      <c r="JB151" s="1522"/>
      <c r="JC151" s="1522"/>
      <c r="JD151" s="1522"/>
      <c r="JE151" s="1522"/>
      <c r="JF151" s="1522"/>
      <c r="JG151" s="1522"/>
      <c r="JH151" s="1522"/>
      <c r="JI151" s="1522"/>
      <c r="JJ151" s="1522"/>
      <c r="JK151" s="1522"/>
      <c r="JL151" s="1522"/>
      <c r="JM151" s="1522"/>
      <c r="JN151" s="1522"/>
    </row>
    <row r="152" spans="1:274" s="27" customFormat="1" ht="12" hidden="1" customHeight="1" outlineLevel="1" x14ac:dyDescent="0.2">
      <c r="A152" s="345" t="s">
        <v>1121</v>
      </c>
      <c r="B152" s="60"/>
      <c r="C152" s="600"/>
      <c r="D152" s="600"/>
      <c r="E152" s="600"/>
      <c r="F152" s="600"/>
      <c r="G152" s="600"/>
      <c r="H152" s="60"/>
      <c r="I152" s="600"/>
      <c r="J152" s="600"/>
      <c r="K152" s="600"/>
      <c r="L152" s="600"/>
      <c r="M152" s="600"/>
      <c r="N152" s="60"/>
      <c r="O152" s="600"/>
      <c r="P152" s="600"/>
      <c r="Q152" s="600"/>
      <c r="R152" s="600"/>
      <c r="S152" s="600"/>
      <c r="T152" s="60"/>
      <c r="U152" s="600"/>
      <c r="V152" s="600"/>
      <c r="W152" s="600"/>
      <c r="X152" s="600"/>
      <c r="Y152" s="600"/>
      <c r="Z152" s="60"/>
      <c r="AA152" s="600"/>
      <c r="AB152" s="600"/>
      <c r="AC152" s="600"/>
      <c r="AD152" s="600"/>
      <c r="AE152" s="600"/>
      <c r="AF152" s="60"/>
      <c r="AG152" s="600"/>
      <c r="AH152" s="600"/>
      <c r="AI152" s="600"/>
      <c r="AJ152" s="600"/>
      <c r="AK152" s="600"/>
      <c r="AL152" s="600"/>
      <c r="AM152" s="600"/>
      <c r="AN152" s="600"/>
      <c r="AO152" s="600"/>
      <c r="AP152" s="600"/>
      <c r="AQ152" s="600"/>
      <c r="AR152" s="60"/>
      <c r="AS152" s="600"/>
      <c r="AT152" s="600"/>
      <c r="AU152" s="600"/>
      <c r="AV152" s="600"/>
      <c r="AW152" s="600"/>
      <c r="AX152" s="60"/>
      <c r="AY152" s="600"/>
      <c r="AZ152" s="600"/>
      <c r="BA152" s="600"/>
      <c r="BB152" s="600"/>
      <c r="BC152" s="600"/>
      <c r="BD152" s="60"/>
      <c r="BE152" s="600"/>
      <c r="BF152" s="600"/>
      <c r="BG152" s="600"/>
      <c r="BH152" s="600"/>
      <c r="BI152" s="600"/>
      <c r="BJ152" s="60"/>
      <c r="BK152" s="600"/>
      <c r="BL152" s="600"/>
      <c r="BM152" s="600"/>
      <c r="BN152" s="600"/>
      <c r="BO152" s="600"/>
      <c r="BP152" s="60"/>
      <c r="BQ152" s="600"/>
      <c r="BR152" s="600"/>
      <c r="BS152" s="600"/>
      <c r="BT152" s="600"/>
      <c r="BU152" s="600"/>
      <c r="BV152" s="60"/>
      <c r="BW152" s="447"/>
      <c r="BX152" s="447"/>
      <c r="BY152" s="447"/>
      <c r="BZ152" s="447"/>
      <c r="CA152" s="600"/>
      <c r="CB152" s="60"/>
      <c r="CC152" s="447"/>
      <c r="CD152" s="447"/>
      <c r="CE152" s="447"/>
      <c r="CF152" s="447"/>
      <c r="CG152" s="1448"/>
      <c r="CH152" s="60"/>
      <c r="CI152" s="447"/>
      <c r="CJ152" s="447"/>
      <c r="CK152" s="447"/>
      <c r="CL152" s="447"/>
      <c r="CM152" s="1448"/>
      <c r="CN152" s="60"/>
      <c r="CO152" s="447"/>
      <c r="CP152" s="447"/>
      <c r="CQ152" s="447"/>
      <c r="CR152" s="447"/>
      <c r="CS152" s="1448"/>
      <c r="CT152" s="367"/>
      <c r="CU152" s="447"/>
      <c r="CV152" s="447"/>
      <c r="CW152" s="447"/>
      <c r="CX152" s="447"/>
      <c r="CY152" s="1448"/>
      <c r="CZ152" s="86"/>
      <c r="DA152" s="447"/>
      <c r="DB152" s="447"/>
      <c r="DC152" s="447"/>
      <c r="DD152" s="447"/>
      <c r="DE152" s="1448"/>
      <c r="DF152" s="367"/>
      <c r="DG152" s="447"/>
      <c r="DH152" s="447"/>
      <c r="DI152" s="447"/>
      <c r="DJ152" s="447"/>
      <c r="DK152" s="1448"/>
      <c r="DL152" s="367"/>
      <c r="DM152" s="447"/>
      <c r="DN152" s="447"/>
      <c r="DO152" s="447"/>
      <c r="DP152" s="447"/>
      <c r="DQ152" s="1448"/>
      <c r="DR152" s="1454"/>
      <c r="DS152" s="447"/>
      <c r="DT152" s="447"/>
      <c r="DU152" s="447"/>
      <c r="DV152" s="447"/>
      <c r="DW152" s="557"/>
      <c r="DX152" s="345"/>
      <c r="DY152" s="447"/>
      <c r="DZ152" s="447"/>
      <c r="EA152" s="447"/>
      <c r="EB152" s="447"/>
      <c r="EC152" s="557"/>
      <c r="ED152" s="367"/>
      <c r="EE152" s="447"/>
      <c r="EF152" s="447">
        <v>23</v>
      </c>
      <c r="EG152" s="447">
        <f>EF152*1.0678</f>
        <v>24.559400000000004</v>
      </c>
      <c r="EH152" s="447">
        <f>EG152*1.0678</f>
        <v>26.224527320000007</v>
      </c>
      <c r="EI152" s="1448">
        <f t="shared" si="103"/>
        <v>73.783927320000004</v>
      </c>
      <c r="EJ152" s="367"/>
      <c r="EK152" s="447">
        <f>EH152*1.0678</f>
        <v>28.002550272296009</v>
      </c>
      <c r="EL152" s="447"/>
      <c r="EM152" s="447"/>
      <c r="EN152" s="447"/>
      <c r="EO152" s="1448">
        <f t="shared" si="104"/>
        <v>28.002550272296009</v>
      </c>
      <c r="EP152" s="367"/>
      <c r="EQ152" s="1832"/>
      <c r="ER152" s="1832"/>
      <c r="ES152" s="1832"/>
      <c r="ET152" s="1832"/>
      <c r="EU152" s="1833">
        <f t="shared" si="105"/>
        <v>0</v>
      </c>
      <c r="EV152" s="1834"/>
      <c r="EW152" s="1832"/>
      <c r="EX152" s="1832"/>
      <c r="EY152" s="1832"/>
      <c r="EZ152" s="1832"/>
      <c r="FA152" s="1833">
        <f t="shared" si="106"/>
        <v>0</v>
      </c>
      <c r="FB152" s="1834"/>
      <c r="FC152" s="1832"/>
      <c r="FD152" s="1832"/>
      <c r="FE152" s="1832"/>
      <c r="FF152" s="1832"/>
      <c r="FG152" s="1833">
        <f t="shared" si="107"/>
        <v>0</v>
      </c>
      <c r="FH152" s="1834"/>
      <c r="FI152" s="1832"/>
      <c r="FJ152" s="1832"/>
      <c r="FK152" s="1832"/>
      <c r="FL152" s="1832"/>
      <c r="FM152" s="1833">
        <f t="shared" si="108"/>
        <v>0</v>
      </c>
      <c r="FQ152"/>
      <c r="FR152"/>
      <c r="FS152"/>
      <c r="FT152"/>
      <c r="FU152"/>
      <c r="FV152"/>
      <c r="GB152" s="24"/>
      <c r="GC152" s="24"/>
      <c r="GD152" s="24"/>
      <c r="GE152" s="24"/>
      <c r="GF152" s="24"/>
      <c r="GG152" s="24"/>
      <c r="GH152" s="24"/>
      <c r="GI152" s="24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</row>
    <row r="153" spans="1:274" s="27" customFormat="1" ht="12" hidden="1" customHeight="1" outlineLevel="1" x14ac:dyDescent="0.2">
      <c r="A153" s="345" t="s">
        <v>1147</v>
      </c>
      <c r="B153" s="60"/>
      <c r="C153" s="600"/>
      <c r="D153" s="600"/>
      <c r="E153" s="600"/>
      <c r="F153" s="600"/>
      <c r="G153" s="600"/>
      <c r="H153" s="60"/>
      <c r="I153" s="600"/>
      <c r="J153" s="600"/>
      <c r="K153" s="600"/>
      <c r="L153" s="600"/>
      <c r="M153" s="600"/>
      <c r="N153" s="60"/>
      <c r="O153" s="600"/>
      <c r="P153" s="600"/>
      <c r="Q153" s="600"/>
      <c r="R153" s="600"/>
      <c r="S153" s="600"/>
      <c r="T153" s="60"/>
      <c r="U153" s="600"/>
      <c r="V153" s="600"/>
      <c r="W153" s="600"/>
      <c r="X153" s="600"/>
      <c r="Y153" s="600"/>
      <c r="Z153" s="60"/>
      <c r="AA153" s="600"/>
      <c r="AB153" s="600"/>
      <c r="AC153" s="600"/>
      <c r="AD153" s="600"/>
      <c r="AE153" s="600"/>
      <c r="AF153" s="60"/>
      <c r="AG153" s="600"/>
      <c r="AH153" s="600"/>
      <c r="AI153" s="600"/>
      <c r="AJ153" s="600"/>
      <c r="AK153" s="600"/>
      <c r="AL153" s="600"/>
      <c r="AM153" s="600"/>
      <c r="AN153" s="600"/>
      <c r="AO153" s="600"/>
      <c r="AP153" s="600"/>
      <c r="AQ153" s="600"/>
      <c r="AR153" s="60"/>
      <c r="AS153" s="600"/>
      <c r="AT153" s="600"/>
      <c r="AU153" s="600"/>
      <c r="AV153" s="600"/>
      <c r="AW153" s="600"/>
      <c r="AX153" s="60"/>
      <c r="AY153" s="600"/>
      <c r="AZ153" s="600"/>
      <c r="BA153" s="600"/>
      <c r="BB153" s="600"/>
      <c r="BC153" s="600"/>
      <c r="BD153" s="60"/>
      <c r="BE153" s="600"/>
      <c r="BF153" s="600"/>
      <c r="BG153" s="600"/>
      <c r="BH153" s="600"/>
      <c r="BI153" s="600"/>
      <c r="BJ153" s="60"/>
      <c r="BK153" s="600"/>
      <c r="BL153" s="600"/>
      <c r="BM153" s="600"/>
      <c r="BN153" s="600"/>
      <c r="BO153" s="600"/>
      <c r="BP153" s="60"/>
      <c r="BQ153" s="600"/>
      <c r="BR153" s="600"/>
      <c r="BS153" s="600"/>
      <c r="BT153" s="600"/>
      <c r="BU153" s="600"/>
      <c r="BV153" s="60"/>
      <c r="BW153" s="447"/>
      <c r="BX153" s="447"/>
      <c r="BY153" s="447"/>
      <c r="BZ153" s="447"/>
      <c r="CA153" s="600"/>
      <c r="CB153" s="60"/>
      <c r="CC153" s="447"/>
      <c r="CD153" s="447"/>
      <c r="CE153" s="447"/>
      <c r="CF153" s="447"/>
      <c r="CG153" s="1448"/>
      <c r="CH153" s="60"/>
      <c r="CI153" s="447"/>
      <c r="CJ153" s="447"/>
      <c r="CK153" s="447"/>
      <c r="CL153" s="447"/>
      <c r="CM153" s="1448"/>
      <c r="CN153" s="60"/>
      <c r="CO153" s="447"/>
      <c r="CP153" s="447"/>
      <c r="CQ153" s="447"/>
      <c r="CR153" s="447"/>
      <c r="CS153" s="1448"/>
      <c r="CT153" s="367"/>
      <c r="CU153" s="447"/>
      <c r="CV153" s="447"/>
      <c r="CW153" s="447"/>
      <c r="CX153" s="447"/>
      <c r="CY153" s="1448"/>
      <c r="CZ153" s="86"/>
      <c r="DA153" s="447"/>
      <c r="DB153" s="447"/>
      <c r="DC153" s="447"/>
      <c r="DD153" s="447"/>
      <c r="DE153" s="1448"/>
      <c r="DF153" s="367"/>
      <c r="DG153" s="447"/>
      <c r="DH153" s="447"/>
      <c r="DI153" s="447"/>
      <c r="DJ153" s="447"/>
      <c r="DK153" s="1448"/>
      <c r="DL153" s="367"/>
      <c r="DM153" s="447"/>
      <c r="DN153" s="447"/>
      <c r="DO153" s="447"/>
      <c r="DP153" s="447"/>
      <c r="DQ153" s="1448"/>
      <c r="DR153" s="1454"/>
      <c r="DS153" s="447"/>
      <c r="DT153" s="447"/>
      <c r="DU153" s="447"/>
      <c r="DV153" s="447"/>
      <c r="DW153" s="557"/>
      <c r="DX153" s="345"/>
      <c r="DY153" s="447"/>
      <c r="DZ153" s="447"/>
      <c r="EA153" s="447"/>
      <c r="EB153" s="447"/>
      <c r="EC153" s="557"/>
      <c r="ED153" s="367"/>
      <c r="EE153" s="447"/>
      <c r="EF153" s="447"/>
      <c r="EG153" s="447">
        <f>30*0.2/2</f>
        <v>3</v>
      </c>
      <c r="EH153" s="447">
        <f>33*0.55</f>
        <v>18.150000000000002</v>
      </c>
      <c r="EI153" s="1448">
        <f t="shared" si="103"/>
        <v>21.150000000000002</v>
      </c>
      <c r="EJ153" s="367"/>
      <c r="EK153" s="447">
        <f>36*0.65</f>
        <v>23.400000000000002</v>
      </c>
      <c r="EL153" s="447">
        <f>40*0.85</f>
        <v>34</v>
      </c>
      <c r="EM153" s="447">
        <f>EL153/2</f>
        <v>17</v>
      </c>
      <c r="EN153" s="447"/>
      <c r="EO153" s="1448">
        <f t="shared" si="104"/>
        <v>74.400000000000006</v>
      </c>
      <c r="EP153" s="367"/>
      <c r="EQ153" s="1832"/>
      <c r="ER153" s="1832"/>
      <c r="ES153" s="1832"/>
      <c r="ET153" s="1832"/>
      <c r="EU153" s="1833">
        <f t="shared" si="105"/>
        <v>0</v>
      </c>
      <c r="EV153" s="1834"/>
      <c r="EW153" s="1832"/>
      <c r="EX153" s="1832"/>
      <c r="EY153" s="1832"/>
      <c r="EZ153" s="1832"/>
      <c r="FA153" s="1833">
        <f t="shared" si="106"/>
        <v>0</v>
      </c>
      <c r="FB153" s="1834"/>
      <c r="FC153" s="1832"/>
      <c r="FD153" s="1832"/>
      <c r="FE153" s="1832"/>
      <c r="FF153" s="1832"/>
      <c r="FG153" s="1833">
        <f t="shared" si="107"/>
        <v>0</v>
      </c>
      <c r="FH153" s="1834"/>
      <c r="FI153" s="1832"/>
      <c r="FJ153" s="1832"/>
      <c r="FK153" s="1832"/>
      <c r="FL153" s="1832"/>
      <c r="FM153" s="1833">
        <f t="shared" si="108"/>
        <v>0</v>
      </c>
      <c r="FQ153"/>
      <c r="FR153"/>
      <c r="FS153"/>
      <c r="FT153"/>
      <c r="FU153"/>
      <c r="FV153"/>
      <c r="GB153" s="24"/>
      <c r="GC153" s="24"/>
      <c r="GD153" s="24"/>
      <c r="GE153" s="24"/>
      <c r="GF153" s="24"/>
      <c r="GG153" s="24"/>
      <c r="GH153" s="24"/>
      <c r="GI153" s="24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</row>
    <row r="154" spans="1:274" s="27" customFormat="1" ht="12" hidden="1" customHeight="1" outlineLevel="1" x14ac:dyDescent="0.2">
      <c r="A154" s="345" t="s">
        <v>1164</v>
      </c>
      <c r="B154" s="60"/>
      <c r="C154" s="600"/>
      <c r="D154" s="600"/>
      <c r="E154" s="600"/>
      <c r="F154" s="600"/>
      <c r="G154" s="600"/>
      <c r="H154" s="60"/>
      <c r="I154" s="600"/>
      <c r="J154" s="600"/>
      <c r="K154" s="600"/>
      <c r="L154" s="600"/>
      <c r="M154" s="600"/>
      <c r="N154" s="60"/>
      <c r="O154" s="600"/>
      <c r="P154" s="600"/>
      <c r="Q154" s="600"/>
      <c r="R154" s="600"/>
      <c r="S154" s="600"/>
      <c r="T154" s="60"/>
      <c r="U154" s="600"/>
      <c r="V154" s="600"/>
      <c r="W154" s="600"/>
      <c r="X154" s="600"/>
      <c r="Y154" s="600"/>
      <c r="Z154" s="60"/>
      <c r="AA154" s="600"/>
      <c r="AB154" s="600"/>
      <c r="AC154" s="600"/>
      <c r="AD154" s="600"/>
      <c r="AE154" s="600"/>
      <c r="AF154" s="60"/>
      <c r="AG154" s="600"/>
      <c r="AH154" s="600"/>
      <c r="AI154" s="600"/>
      <c r="AJ154" s="600"/>
      <c r="AK154" s="600"/>
      <c r="AL154" s="600"/>
      <c r="AM154" s="600"/>
      <c r="AN154" s="600"/>
      <c r="AO154" s="600"/>
      <c r="AP154" s="600"/>
      <c r="AQ154" s="600"/>
      <c r="AR154" s="60"/>
      <c r="AS154" s="600"/>
      <c r="AT154" s="600"/>
      <c r="AU154" s="600"/>
      <c r="AV154" s="600"/>
      <c r="AW154" s="600"/>
      <c r="AX154" s="60"/>
      <c r="AY154" s="600"/>
      <c r="AZ154" s="600"/>
      <c r="BA154" s="600"/>
      <c r="BB154" s="600"/>
      <c r="BC154" s="600"/>
      <c r="BD154" s="60"/>
      <c r="BE154" s="600"/>
      <c r="BF154" s="600"/>
      <c r="BG154" s="600"/>
      <c r="BH154" s="600"/>
      <c r="BI154" s="600"/>
      <c r="BJ154" s="60"/>
      <c r="BK154" s="600"/>
      <c r="BL154" s="600"/>
      <c r="BM154" s="600"/>
      <c r="BN154" s="600"/>
      <c r="BO154" s="600"/>
      <c r="BP154" s="60"/>
      <c r="BQ154" s="600"/>
      <c r="BR154" s="600"/>
      <c r="BS154" s="600"/>
      <c r="BT154" s="600"/>
      <c r="BU154" s="600"/>
      <c r="BV154" s="60"/>
      <c r="BW154" s="447"/>
      <c r="BX154" s="447"/>
      <c r="BY154" s="447"/>
      <c r="BZ154" s="447"/>
      <c r="CA154" s="600"/>
      <c r="CB154" s="60"/>
      <c r="CC154" s="447"/>
      <c r="CD154" s="447"/>
      <c r="CE154" s="447"/>
      <c r="CF154" s="447"/>
      <c r="CG154" s="1448"/>
      <c r="CH154" s="60"/>
      <c r="CI154" s="447"/>
      <c r="CJ154" s="447"/>
      <c r="CK154" s="447"/>
      <c r="CL154" s="447"/>
      <c r="CM154" s="1448"/>
      <c r="CN154" s="60"/>
      <c r="CO154" s="447"/>
      <c r="CP154" s="447"/>
      <c r="CQ154" s="447"/>
      <c r="CR154" s="447"/>
      <c r="CS154" s="1448"/>
      <c r="CT154" s="367"/>
      <c r="CU154" s="447"/>
      <c r="CV154" s="447"/>
      <c r="CW154" s="447"/>
      <c r="CX154" s="447"/>
      <c r="CY154" s="1448"/>
      <c r="CZ154" s="86"/>
      <c r="DA154" s="447"/>
      <c r="DB154" s="447"/>
      <c r="DC154" s="447"/>
      <c r="DD154" s="447"/>
      <c r="DE154" s="1448"/>
      <c r="DF154" s="367"/>
      <c r="DG154" s="447"/>
      <c r="DH154" s="447"/>
      <c r="DI154" s="447"/>
      <c r="DJ154" s="447"/>
      <c r="DK154" s="1448"/>
      <c r="DL154" s="367"/>
      <c r="DM154" s="447"/>
      <c r="DN154" s="447"/>
      <c r="DO154" s="447"/>
      <c r="DP154" s="447"/>
      <c r="DQ154" s="1448"/>
      <c r="DR154" s="1454"/>
      <c r="DS154" s="447"/>
      <c r="DT154" s="447"/>
      <c r="DU154" s="447"/>
      <c r="DV154" s="447"/>
      <c r="DW154" s="557"/>
      <c r="DX154" s="345"/>
      <c r="DY154" s="447"/>
      <c r="DZ154" s="447"/>
      <c r="EA154" s="447"/>
      <c r="EB154" s="447"/>
      <c r="EC154" s="557"/>
      <c r="ED154" s="367"/>
      <c r="EE154" s="447"/>
      <c r="EF154" s="447"/>
      <c r="EG154" s="447"/>
      <c r="EH154" s="447"/>
      <c r="EI154" s="1448"/>
      <c r="EJ154" s="367"/>
      <c r="EK154" s="447"/>
      <c r="EL154" s="447">
        <f>17*0.65</f>
        <v>11.05</v>
      </c>
      <c r="EM154" s="447">
        <f>18*0.5</f>
        <v>9</v>
      </c>
      <c r="EN154" s="447">
        <v>19.5</v>
      </c>
      <c r="EO154" s="1448">
        <f t="shared" si="104"/>
        <v>39.549999999999997</v>
      </c>
      <c r="EP154" s="367"/>
      <c r="EQ154" s="1832">
        <v>20.5</v>
      </c>
      <c r="ER154" s="1832"/>
      <c r="ES154" s="1832"/>
      <c r="ET154" s="1832"/>
      <c r="EU154" s="1833">
        <f t="shared" si="105"/>
        <v>20.5</v>
      </c>
      <c r="EV154" s="1834"/>
      <c r="EW154" s="1832"/>
      <c r="EX154" s="1832"/>
      <c r="EY154" s="1832"/>
      <c r="EZ154" s="1832"/>
      <c r="FA154" s="1833">
        <f t="shared" si="106"/>
        <v>0</v>
      </c>
      <c r="FB154" s="1834"/>
      <c r="FC154" s="1832"/>
      <c r="FD154" s="1832"/>
      <c r="FE154" s="1832"/>
      <c r="FF154" s="1832"/>
      <c r="FG154" s="1833">
        <f t="shared" si="107"/>
        <v>0</v>
      </c>
      <c r="FH154" s="1834"/>
      <c r="FI154" s="1832"/>
      <c r="FJ154" s="1832"/>
      <c r="FK154" s="1832"/>
      <c r="FL154" s="1832"/>
      <c r="FM154" s="1833">
        <f t="shared" si="108"/>
        <v>0</v>
      </c>
      <c r="FQ154"/>
      <c r="FR154"/>
      <c r="FS154"/>
      <c r="FT154"/>
      <c r="FU154"/>
      <c r="FV154"/>
      <c r="GB154" s="851"/>
      <c r="GC154" s="851"/>
      <c r="GD154" s="851"/>
      <c r="GE154" s="851"/>
      <c r="GF154" s="851"/>
      <c r="GG154" s="851"/>
      <c r="GH154" s="851"/>
      <c r="GI154" s="851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</row>
    <row r="155" spans="1:274" s="27" customFormat="1" ht="12" hidden="1" customHeight="1" outlineLevel="1" x14ac:dyDescent="0.2">
      <c r="A155" s="345" t="s">
        <v>1206</v>
      </c>
      <c r="B155" s="60"/>
      <c r="C155" s="600"/>
      <c r="D155" s="600"/>
      <c r="E155" s="600"/>
      <c r="F155" s="600"/>
      <c r="G155" s="600"/>
      <c r="H155" s="60"/>
      <c r="I155" s="600"/>
      <c r="J155" s="600"/>
      <c r="K155" s="600"/>
      <c r="L155" s="600"/>
      <c r="M155" s="600"/>
      <c r="N155" s="60"/>
      <c r="O155" s="600"/>
      <c r="P155" s="600"/>
      <c r="Q155" s="600"/>
      <c r="R155" s="600"/>
      <c r="S155" s="600"/>
      <c r="T155" s="60"/>
      <c r="U155" s="600"/>
      <c r="V155" s="600"/>
      <c r="W155" s="600"/>
      <c r="X155" s="600"/>
      <c r="Y155" s="600"/>
      <c r="Z155" s="60"/>
      <c r="AA155" s="600"/>
      <c r="AB155" s="600"/>
      <c r="AC155" s="600"/>
      <c r="AD155" s="600"/>
      <c r="AE155" s="600"/>
      <c r="AF155" s="60"/>
      <c r="AG155" s="600"/>
      <c r="AH155" s="600"/>
      <c r="AI155" s="600"/>
      <c r="AJ155" s="600"/>
      <c r="AK155" s="600"/>
      <c r="AL155" s="600"/>
      <c r="AM155" s="600"/>
      <c r="AN155" s="600"/>
      <c r="AO155" s="600"/>
      <c r="AP155" s="600"/>
      <c r="AQ155" s="600"/>
      <c r="AR155" s="60"/>
      <c r="AS155" s="600"/>
      <c r="AT155" s="600"/>
      <c r="AU155" s="600"/>
      <c r="AV155" s="600"/>
      <c r="AW155" s="600"/>
      <c r="AX155" s="60"/>
      <c r="AY155" s="600"/>
      <c r="AZ155" s="600"/>
      <c r="BA155" s="600"/>
      <c r="BB155" s="600"/>
      <c r="BC155" s="600"/>
      <c r="BD155" s="60"/>
      <c r="BE155" s="600"/>
      <c r="BF155" s="600"/>
      <c r="BG155" s="600"/>
      <c r="BH155" s="600"/>
      <c r="BI155" s="600"/>
      <c r="BJ155" s="60"/>
      <c r="BK155" s="600"/>
      <c r="BL155" s="600"/>
      <c r="BM155" s="600"/>
      <c r="BN155" s="600"/>
      <c r="BO155" s="600"/>
      <c r="BP155" s="60"/>
      <c r="BQ155" s="600"/>
      <c r="BR155" s="600"/>
      <c r="BS155" s="600"/>
      <c r="BT155" s="600"/>
      <c r="BU155" s="600"/>
      <c r="BV155" s="60"/>
      <c r="BW155" s="447"/>
      <c r="BX155" s="447"/>
      <c r="BY155" s="447"/>
      <c r="BZ155" s="447"/>
      <c r="CA155" s="600"/>
      <c r="CB155" s="60"/>
      <c r="CC155" s="447"/>
      <c r="CD155" s="447"/>
      <c r="CE155" s="447"/>
      <c r="CF155" s="447"/>
      <c r="CG155" s="1448"/>
      <c r="CH155" s="60"/>
      <c r="CI155" s="447"/>
      <c r="CJ155" s="447"/>
      <c r="CK155" s="447"/>
      <c r="CL155" s="447"/>
      <c r="CM155" s="1448"/>
      <c r="CN155" s="60"/>
      <c r="CO155" s="447"/>
      <c r="CP155" s="447"/>
      <c r="CQ155" s="447"/>
      <c r="CR155" s="447"/>
      <c r="CS155" s="1448"/>
      <c r="CT155" s="367"/>
      <c r="CU155" s="447"/>
      <c r="CV155" s="447"/>
      <c r="CW155" s="447"/>
      <c r="CX155" s="447"/>
      <c r="CY155" s="1448"/>
      <c r="CZ155" s="86"/>
      <c r="DA155" s="447"/>
      <c r="DB155" s="447"/>
      <c r="DC155" s="447"/>
      <c r="DD155" s="447"/>
      <c r="DE155" s="1448"/>
      <c r="DF155" s="367"/>
      <c r="DG155" s="447"/>
      <c r="DH155" s="447"/>
      <c r="DI155" s="447"/>
      <c r="DJ155" s="447"/>
      <c r="DK155" s="1448"/>
      <c r="DL155" s="367"/>
      <c r="DM155" s="447"/>
      <c r="DN155" s="447"/>
      <c r="DO155" s="447"/>
      <c r="DP155" s="447"/>
      <c r="DQ155" s="1448"/>
      <c r="DR155" s="1454"/>
      <c r="DS155" s="447"/>
      <c r="DT155" s="447"/>
      <c r="DU155" s="447"/>
      <c r="DV155" s="447"/>
      <c r="DW155" s="557"/>
      <c r="DX155" s="345"/>
      <c r="DY155" s="447"/>
      <c r="DZ155" s="447"/>
      <c r="EA155" s="447"/>
      <c r="EB155" s="447"/>
      <c r="EC155" s="557"/>
      <c r="ED155" s="367"/>
      <c r="EE155" s="447"/>
      <c r="EF155" s="447"/>
      <c r="EG155" s="447"/>
      <c r="EH155" s="447"/>
      <c r="EI155" s="1448"/>
      <c r="EJ155" s="367"/>
      <c r="EK155" s="447"/>
      <c r="EL155" s="447"/>
      <c r="EM155" s="447"/>
      <c r="EN155" s="447"/>
      <c r="EO155" s="1448">
        <f t="shared" si="104"/>
        <v>0</v>
      </c>
      <c r="EP155" s="367"/>
      <c r="EQ155" s="1832">
        <f>28.1*0.85</f>
        <v>23.885000000000002</v>
      </c>
      <c r="ER155" s="1832">
        <f>29.8</f>
        <v>29.8</v>
      </c>
      <c r="ES155" s="1832">
        <f>30.7</f>
        <v>30.7</v>
      </c>
      <c r="ET155" s="1832">
        <f>32.9</f>
        <v>32.9</v>
      </c>
      <c r="EU155" s="1833">
        <f t="shared" si="105"/>
        <v>117.285</v>
      </c>
      <c r="EV155" s="1834"/>
      <c r="EW155" s="1832">
        <f>34.6*0.15</f>
        <v>5.19</v>
      </c>
      <c r="EX155" s="1832"/>
      <c r="EY155" s="1832"/>
      <c r="EZ155" s="1832"/>
      <c r="FA155" s="1833">
        <f t="shared" si="106"/>
        <v>5.19</v>
      </c>
      <c r="FB155" s="1834"/>
      <c r="FC155" s="1832"/>
      <c r="FD155" s="1832"/>
      <c r="FE155" s="1832"/>
      <c r="FF155" s="1832"/>
      <c r="FG155" s="1833">
        <f t="shared" si="107"/>
        <v>0</v>
      </c>
      <c r="FH155" s="1834"/>
      <c r="FI155" s="1832"/>
      <c r="FJ155" s="1832"/>
      <c r="FK155" s="1832"/>
      <c r="FL155" s="1832"/>
      <c r="FM155" s="1833">
        <f t="shared" si="108"/>
        <v>0</v>
      </c>
      <c r="FQ155"/>
      <c r="FR155"/>
      <c r="FS155"/>
      <c r="FT155"/>
      <c r="FU155"/>
      <c r="FV155"/>
      <c r="GB155" s="851"/>
      <c r="GC155" s="851"/>
      <c r="GD155" s="851"/>
      <c r="GE155" s="851"/>
      <c r="GF155" s="851"/>
      <c r="GG155" s="851"/>
      <c r="GH155" s="851"/>
      <c r="GI155" s="851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</row>
    <row r="156" spans="1:274" s="27" customFormat="1" ht="12" hidden="1" customHeight="1" outlineLevel="1" x14ac:dyDescent="0.2">
      <c r="A156" s="345" t="s">
        <v>1205</v>
      </c>
      <c r="B156" s="60"/>
      <c r="C156" s="600"/>
      <c r="D156" s="600"/>
      <c r="E156" s="600"/>
      <c r="F156" s="600"/>
      <c r="G156" s="600"/>
      <c r="H156" s="60"/>
      <c r="I156" s="600"/>
      <c r="J156" s="600"/>
      <c r="K156" s="600"/>
      <c r="L156" s="600"/>
      <c r="M156" s="600"/>
      <c r="N156" s="60"/>
      <c r="O156" s="600"/>
      <c r="P156" s="600"/>
      <c r="Q156" s="600"/>
      <c r="R156" s="600"/>
      <c r="S156" s="600"/>
      <c r="T156" s="60"/>
      <c r="U156" s="600"/>
      <c r="V156" s="600"/>
      <c r="W156" s="600"/>
      <c r="X156" s="600"/>
      <c r="Y156" s="600"/>
      <c r="Z156" s="60"/>
      <c r="AA156" s="600"/>
      <c r="AB156" s="600"/>
      <c r="AC156" s="600"/>
      <c r="AD156" s="600"/>
      <c r="AE156" s="600"/>
      <c r="AF156" s="60"/>
      <c r="AG156" s="600"/>
      <c r="AH156" s="600"/>
      <c r="AI156" s="600"/>
      <c r="AJ156" s="600"/>
      <c r="AK156" s="600"/>
      <c r="AL156" s="600"/>
      <c r="AM156" s="600"/>
      <c r="AN156" s="600"/>
      <c r="AO156" s="600"/>
      <c r="AP156" s="600"/>
      <c r="AQ156" s="600"/>
      <c r="AR156" s="60"/>
      <c r="AS156" s="600"/>
      <c r="AT156" s="600"/>
      <c r="AU156" s="600"/>
      <c r="AV156" s="600"/>
      <c r="AW156" s="600"/>
      <c r="AX156" s="60"/>
      <c r="AY156" s="600"/>
      <c r="AZ156" s="600"/>
      <c r="BA156" s="600"/>
      <c r="BB156" s="600"/>
      <c r="BC156" s="600"/>
      <c r="BD156" s="60"/>
      <c r="BE156" s="600"/>
      <c r="BF156" s="600"/>
      <c r="BG156" s="600"/>
      <c r="BH156" s="600"/>
      <c r="BI156" s="600"/>
      <c r="BJ156" s="60"/>
      <c r="BK156" s="600"/>
      <c r="BL156" s="600"/>
      <c r="BM156" s="600"/>
      <c r="BN156" s="600"/>
      <c r="BO156" s="600"/>
      <c r="BP156" s="60"/>
      <c r="BQ156" s="600"/>
      <c r="BR156" s="600"/>
      <c r="BS156" s="600"/>
      <c r="BT156" s="600"/>
      <c r="BU156" s="600"/>
      <c r="BV156" s="60"/>
      <c r="BW156" s="447"/>
      <c r="BX156" s="447"/>
      <c r="BY156" s="447"/>
      <c r="BZ156" s="447"/>
      <c r="CA156" s="600"/>
      <c r="CB156" s="60"/>
      <c r="CC156" s="447"/>
      <c r="CD156" s="447"/>
      <c r="CE156" s="447"/>
      <c r="CF156" s="447"/>
      <c r="CG156" s="1448"/>
      <c r="CH156" s="60"/>
      <c r="CI156" s="447"/>
      <c r="CJ156" s="447"/>
      <c r="CK156" s="447"/>
      <c r="CL156" s="447"/>
      <c r="CM156" s="1448"/>
      <c r="CN156" s="60"/>
      <c r="CO156" s="447"/>
      <c r="CP156" s="447"/>
      <c r="CQ156" s="447"/>
      <c r="CR156" s="447"/>
      <c r="CS156" s="1448"/>
      <c r="CT156" s="367"/>
      <c r="CU156" s="447"/>
      <c r="CV156" s="447"/>
      <c r="CW156" s="447"/>
      <c r="CX156" s="447"/>
      <c r="CY156" s="1448"/>
      <c r="CZ156" s="86"/>
      <c r="DA156" s="447"/>
      <c r="DB156" s="447"/>
      <c r="DC156" s="447"/>
      <c r="DD156" s="447"/>
      <c r="DE156" s="1448"/>
      <c r="DF156" s="367"/>
      <c r="DG156" s="447"/>
      <c r="DH156" s="447"/>
      <c r="DI156" s="447"/>
      <c r="DJ156" s="447"/>
      <c r="DK156" s="1448"/>
      <c r="DL156" s="367"/>
      <c r="DM156" s="447"/>
      <c r="DN156" s="447"/>
      <c r="DO156" s="447"/>
      <c r="DP156" s="447"/>
      <c r="DQ156" s="1448"/>
      <c r="DR156" s="1454"/>
      <c r="DS156" s="447"/>
      <c r="DT156" s="447"/>
      <c r="DU156" s="447"/>
      <c r="DV156" s="447"/>
      <c r="DW156" s="557"/>
      <c r="DX156" s="345"/>
      <c r="DY156" s="447"/>
      <c r="DZ156" s="447"/>
      <c r="EA156" s="447"/>
      <c r="EB156" s="447"/>
      <c r="EC156" s="557"/>
      <c r="ED156" s="367"/>
      <c r="EE156" s="447"/>
      <c r="EF156" s="447"/>
      <c r="EG156" s="447"/>
      <c r="EH156" s="447"/>
      <c r="EI156" s="1448"/>
      <c r="EJ156" s="367"/>
      <c r="EK156" s="447"/>
      <c r="EL156" s="447"/>
      <c r="EM156" s="447"/>
      <c r="EN156" s="447"/>
      <c r="EO156" s="1448">
        <f t="shared" si="104"/>
        <v>0</v>
      </c>
      <c r="EP156" s="367"/>
      <c r="EQ156" s="1832">
        <f>41*0.85</f>
        <v>34.85</v>
      </c>
      <c r="ER156" s="1832">
        <f>44.07</f>
        <v>44.07</v>
      </c>
      <c r="ES156" s="1832">
        <f>40.81</f>
        <v>40.81</v>
      </c>
      <c r="ET156" s="1832">
        <f>43.12</f>
        <v>43.12</v>
      </c>
      <c r="EU156" s="1833">
        <f t="shared" si="105"/>
        <v>162.85</v>
      </c>
      <c r="EV156" s="1834"/>
      <c r="EW156" s="1832">
        <f>46.58*0.15</f>
        <v>6.9869999999999992</v>
      </c>
      <c r="EX156" s="1832"/>
      <c r="EY156" s="1832"/>
      <c r="EZ156" s="1832"/>
      <c r="FA156" s="1833">
        <f t="shared" si="106"/>
        <v>6.9869999999999992</v>
      </c>
      <c r="FB156" s="1834"/>
      <c r="FC156" s="1832"/>
      <c r="FD156" s="1832"/>
      <c r="FE156" s="1832"/>
      <c r="FF156" s="1832"/>
      <c r="FG156" s="1833">
        <f t="shared" si="107"/>
        <v>0</v>
      </c>
      <c r="FH156" s="1834"/>
      <c r="FI156" s="1832"/>
      <c r="FJ156" s="1832"/>
      <c r="FK156" s="1832"/>
      <c r="FL156" s="1832"/>
      <c r="FM156" s="1833">
        <f t="shared" si="108"/>
        <v>0</v>
      </c>
      <c r="FQ156"/>
      <c r="FR156"/>
      <c r="FS156"/>
      <c r="FT156"/>
      <c r="FU156"/>
      <c r="FV156"/>
      <c r="GB156" s="851"/>
      <c r="GC156" s="851"/>
      <c r="GD156" s="851"/>
      <c r="GE156" s="851"/>
      <c r="GF156" s="851"/>
      <c r="GG156" s="851"/>
      <c r="GH156" s="851"/>
      <c r="GI156" s="851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</row>
    <row r="157" spans="1:274" s="27" customFormat="1" ht="12" hidden="1" customHeight="1" outlineLevel="1" x14ac:dyDescent="0.2">
      <c r="A157" s="345" t="s">
        <v>1227</v>
      </c>
      <c r="B157" s="60"/>
      <c r="C157" s="600"/>
      <c r="D157" s="600"/>
      <c r="E157" s="600"/>
      <c r="F157" s="600"/>
      <c r="G157" s="600"/>
      <c r="H157" s="60"/>
      <c r="I157" s="600"/>
      <c r="J157" s="600"/>
      <c r="K157" s="600"/>
      <c r="L157" s="600"/>
      <c r="M157" s="600"/>
      <c r="N157" s="60"/>
      <c r="O157" s="600"/>
      <c r="P157" s="600"/>
      <c r="Q157" s="600"/>
      <c r="R157" s="600"/>
      <c r="S157" s="600"/>
      <c r="T157" s="60"/>
      <c r="U157" s="600"/>
      <c r="V157" s="600"/>
      <c r="W157" s="600"/>
      <c r="X157" s="600"/>
      <c r="Y157" s="600"/>
      <c r="Z157" s="60"/>
      <c r="AA157" s="600"/>
      <c r="AB157" s="600"/>
      <c r="AC157" s="600"/>
      <c r="AD157" s="600"/>
      <c r="AE157" s="600"/>
      <c r="AF157" s="60"/>
      <c r="AG157" s="600"/>
      <c r="AH157" s="600"/>
      <c r="AI157" s="600"/>
      <c r="AJ157" s="600"/>
      <c r="AK157" s="600"/>
      <c r="AL157" s="600"/>
      <c r="AM157" s="600"/>
      <c r="AN157" s="600"/>
      <c r="AO157" s="600"/>
      <c r="AP157" s="600"/>
      <c r="AQ157" s="600"/>
      <c r="AR157" s="60"/>
      <c r="AS157" s="600"/>
      <c r="AT157" s="600"/>
      <c r="AU157" s="600"/>
      <c r="AV157" s="600"/>
      <c r="AW157" s="600"/>
      <c r="AX157" s="60"/>
      <c r="AY157" s="600"/>
      <c r="AZ157" s="600"/>
      <c r="BA157" s="600"/>
      <c r="BB157" s="600"/>
      <c r="BC157" s="600"/>
      <c r="BD157" s="60"/>
      <c r="BE157" s="600"/>
      <c r="BF157" s="600"/>
      <c r="BG157" s="600"/>
      <c r="BH157" s="600"/>
      <c r="BI157" s="600"/>
      <c r="BJ157" s="60"/>
      <c r="BK157" s="600"/>
      <c r="BL157" s="600"/>
      <c r="BM157" s="600"/>
      <c r="BN157" s="600"/>
      <c r="BO157" s="600"/>
      <c r="BP157" s="60"/>
      <c r="BQ157" s="600"/>
      <c r="BR157" s="600"/>
      <c r="BS157" s="600"/>
      <c r="BT157" s="600"/>
      <c r="BU157" s="600"/>
      <c r="BV157" s="60"/>
      <c r="BW157" s="447"/>
      <c r="BX157" s="447"/>
      <c r="BY157" s="447"/>
      <c r="BZ157" s="447"/>
      <c r="CA157" s="600"/>
      <c r="CB157" s="60"/>
      <c r="CC157" s="447"/>
      <c r="CD157" s="447"/>
      <c r="CE157" s="447"/>
      <c r="CF157" s="447"/>
      <c r="CG157" s="1448"/>
      <c r="CH157" s="60"/>
      <c r="CI157" s="447"/>
      <c r="CJ157" s="447"/>
      <c r="CK157" s="447"/>
      <c r="CL157" s="447"/>
      <c r="CM157" s="1448"/>
      <c r="CN157" s="60"/>
      <c r="CO157" s="447"/>
      <c r="CP157" s="447"/>
      <c r="CQ157" s="447"/>
      <c r="CR157" s="447"/>
      <c r="CS157" s="1448"/>
      <c r="CT157" s="367"/>
      <c r="CU157" s="447"/>
      <c r="CV157" s="447"/>
      <c r="CW157" s="447"/>
      <c r="CX157" s="447"/>
      <c r="CY157" s="1448"/>
      <c r="CZ157" s="86"/>
      <c r="DA157" s="447"/>
      <c r="DB157" s="447"/>
      <c r="DC157" s="447"/>
      <c r="DD157" s="447"/>
      <c r="DE157" s="1448"/>
      <c r="DF157" s="367"/>
      <c r="DG157" s="447"/>
      <c r="DH157" s="447"/>
      <c r="DI157" s="447"/>
      <c r="DJ157" s="447"/>
      <c r="DK157" s="1448"/>
      <c r="DL157" s="367"/>
      <c r="DM157" s="447"/>
      <c r="DN157" s="447"/>
      <c r="DO157" s="447"/>
      <c r="DP157" s="447"/>
      <c r="DQ157" s="1448"/>
      <c r="DR157" s="1454"/>
      <c r="DS157" s="447"/>
      <c r="DT157" s="447"/>
      <c r="DU157" s="447"/>
      <c r="DV157" s="447"/>
      <c r="DW157" s="557"/>
      <c r="DX157" s="345"/>
      <c r="DY157" s="447"/>
      <c r="DZ157" s="447"/>
      <c r="EA157" s="447"/>
      <c r="EB157" s="447"/>
      <c r="EC157" s="557"/>
      <c r="ED157" s="367"/>
      <c r="EE157" s="447"/>
      <c r="EF157" s="447"/>
      <c r="EG157" s="447"/>
      <c r="EH157" s="447"/>
      <c r="EI157" s="1448"/>
      <c r="EJ157" s="367"/>
      <c r="EK157" s="447"/>
      <c r="EL157" s="447"/>
      <c r="EM157" s="447"/>
      <c r="EN157" s="447"/>
      <c r="EO157" s="1448"/>
      <c r="EP157" s="367"/>
      <c r="EQ157" s="1832"/>
      <c r="ER157" s="1832">
        <f>68.7126906157761</f>
        <v>68.712690615776097</v>
      </c>
      <c r="ES157" s="1832">
        <f>278.487776905627</f>
        <v>278.48777690562702</v>
      </c>
      <c r="ET157" s="1832">
        <f>287.789528905356</f>
        <v>287.78952890535601</v>
      </c>
      <c r="EU157" s="1833">
        <f t="shared" si="105"/>
        <v>634.98999642675903</v>
      </c>
      <c r="EV157" s="1834"/>
      <c r="EW157" s="1832">
        <f>304.604610234646</f>
        <v>304.60461023464597</v>
      </c>
      <c r="EX157" s="1832">
        <v>246.30590486099936</v>
      </c>
      <c r="EY157" s="1832"/>
      <c r="EZ157" s="1832"/>
      <c r="FA157" s="1833">
        <f t="shared" si="106"/>
        <v>550.91051509564534</v>
      </c>
      <c r="FB157" s="1834"/>
      <c r="FC157" s="1832"/>
      <c r="FD157" s="1832"/>
      <c r="FE157" s="1832"/>
      <c r="FF157" s="1832"/>
      <c r="FG157" s="1833">
        <f t="shared" si="107"/>
        <v>0</v>
      </c>
      <c r="FH157" s="1834"/>
      <c r="FI157" s="1832"/>
      <c r="FJ157" s="1832"/>
      <c r="FK157" s="1832"/>
      <c r="FL157" s="1832"/>
      <c r="FM157" s="1833">
        <f t="shared" si="108"/>
        <v>0</v>
      </c>
      <c r="FQ157"/>
      <c r="FR157"/>
      <c r="FS157"/>
      <c r="FT157"/>
      <c r="FU157"/>
      <c r="FV157"/>
      <c r="GB157" s="851"/>
      <c r="GC157" s="851"/>
      <c r="GD157" s="851"/>
      <c r="GE157" s="851"/>
      <c r="GF157" s="851"/>
      <c r="GG157" s="851"/>
      <c r="GH157" s="851"/>
      <c r="GI157" s="851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</row>
    <row r="158" spans="1:274" s="27" customFormat="1" ht="12" hidden="1" customHeight="1" outlineLevel="1" x14ac:dyDescent="0.2">
      <c r="A158" s="345" t="s">
        <v>1226</v>
      </c>
      <c r="B158" s="60"/>
      <c r="C158" s="600"/>
      <c r="D158" s="600"/>
      <c r="E158" s="600"/>
      <c r="F158" s="600"/>
      <c r="G158" s="600"/>
      <c r="H158" s="60"/>
      <c r="I158" s="600"/>
      <c r="J158" s="600"/>
      <c r="K158" s="600"/>
      <c r="L158" s="600"/>
      <c r="M158" s="600"/>
      <c r="N158" s="60"/>
      <c r="O158" s="600"/>
      <c r="P158" s="600"/>
      <c r="Q158" s="600"/>
      <c r="R158" s="600"/>
      <c r="S158" s="600"/>
      <c r="T158" s="60"/>
      <c r="U158" s="600"/>
      <c r="V158" s="600"/>
      <c r="W158" s="600"/>
      <c r="X158" s="600"/>
      <c r="Y158" s="600"/>
      <c r="Z158" s="60"/>
      <c r="AA158" s="600"/>
      <c r="AB158" s="600"/>
      <c r="AC158" s="600"/>
      <c r="AD158" s="600"/>
      <c r="AE158" s="600"/>
      <c r="AF158" s="60"/>
      <c r="AG158" s="600"/>
      <c r="AH158" s="600"/>
      <c r="AI158" s="600"/>
      <c r="AJ158" s="600"/>
      <c r="AK158" s="600"/>
      <c r="AL158" s="600"/>
      <c r="AM158" s="600"/>
      <c r="AN158" s="600"/>
      <c r="AO158" s="600"/>
      <c r="AP158" s="600"/>
      <c r="AQ158" s="600"/>
      <c r="AR158" s="60"/>
      <c r="AS158" s="600"/>
      <c r="AT158" s="600"/>
      <c r="AU158" s="600"/>
      <c r="AV158" s="600"/>
      <c r="AW158" s="600"/>
      <c r="AX158" s="60"/>
      <c r="AY158" s="600"/>
      <c r="AZ158" s="600"/>
      <c r="BA158" s="600"/>
      <c r="BB158" s="600"/>
      <c r="BC158" s="600"/>
      <c r="BD158" s="60"/>
      <c r="BE158" s="600"/>
      <c r="BF158" s="600"/>
      <c r="BG158" s="600"/>
      <c r="BH158" s="600"/>
      <c r="BI158" s="600"/>
      <c r="BJ158" s="60"/>
      <c r="BK158" s="600"/>
      <c r="BL158" s="600"/>
      <c r="BM158" s="600"/>
      <c r="BN158" s="600"/>
      <c r="BO158" s="600"/>
      <c r="BP158" s="60"/>
      <c r="BQ158" s="600"/>
      <c r="BR158" s="600"/>
      <c r="BS158" s="600"/>
      <c r="BT158" s="600"/>
      <c r="BU158" s="600"/>
      <c r="BV158" s="60"/>
      <c r="BW158" s="447"/>
      <c r="BX158" s="447"/>
      <c r="BY158" s="447"/>
      <c r="BZ158" s="447"/>
      <c r="CA158" s="600"/>
      <c r="CB158" s="60"/>
      <c r="CC158" s="447"/>
      <c r="CD158" s="447"/>
      <c r="CE158" s="447"/>
      <c r="CF158" s="447"/>
      <c r="CG158" s="1448"/>
      <c r="CH158" s="60"/>
      <c r="CI158" s="447"/>
      <c r="CJ158" s="447"/>
      <c r="CK158" s="447"/>
      <c r="CL158" s="447"/>
      <c r="CM158" s="1448"/>
      <c r="CN158" s="60"/>
      <c r="CO158" s="447"/>
      <c r="CP158" s="447"/>
      <c r="CQ158" s="447"/>
      <c r="CR158" s="447"/>
      <c r="CS158" s="1448"/>
      <c r="CT158" s="367"/>
      <c r="CU158" s="447"/>
      <c r="CV158" s="447"/>
      <c r="CW158" s="447"/>
      <c r="CX158" s="447"/>
      <c r="CY158" s="1448"/>
      <c r="CZ158" s="86"/>
      <c r="DA158" s="447"/>
      <c r="DB158" s="447"/>
      <c r="DC158" s="447"/>
      <c r="DD158" s="447"/>
      <c r="DE158" s="1448"/>
      <c r="DF158" s="367"/>
      <c r="DG158" s="447"/>
      <c r="DH158" s="447"/>
      <c r="DI158" s="447"/>
      <c r="DJ158" s="447"/>
      <c r="DK158" s="1448"/>
      <c r="DL158" s="367"/>
      <c r="DM158" s="447"/>
      <c r="DN158" s="447"/>
      <c r="DO158" s="447"/>
      <c r="DP158" s="447"/>
      <c r="DQ158" s="1448"/>
      <c r="DR158" s="1454"/>
      <c r="DS158" s="447"/>
      <c r="DT158" s="447"/>
      <c r="DU158" s="447"/>
      <c r="DV158" s="447"/>
      <c r="DW158" s="557"/>
      <c r="DX158" s="345"/>
      <c r="DY158" s="447"/>
      <c r="DZ158" s="447"/>
      <c r="EA158" s="447"/>
      <c r="EB158" s="447"/>
      <c r="EC158" s="557"/>
      <c r="ED158" s="367"/>
      <c r="EE158" s="447"/>
      <c r="EF158" s="447"/>
      <c r="EG158" s="447"/>
      <c r="EH158" s="447"/>
      <c r="EI158" s="1448"/>
      <c r="EJ158" s="367"/>
      <c r="EK158" s="447"/>
      <c r="EL158" s="447"/>
      <c r="EM158" s="447"/>
      <c r="EN158" s="447"/>
      <c r="EO158" s="1448"/>
      <c r="EP158" s="367"/>
      <c r="EQ158" s="1832"/>
      <c r="ER158" s="1832"/>
      <c r="ES158" s="1832">
        <f>28/3</f>
        <v>9.3333333333333339</v>
      </c>
      <c r="ET158" s="1832">
        <v>29.5</v>
      </c>
      <c r="EU158" s="1833">
        <f t="shared" si="105"/>
        <v>38.833333333333336</v>
      </c>
      <c r="EV158" s="1834"/>
      <c r="EW158" s="1832">
        <v>31</v>
      </c>
      <c r="EX158" s="1832">
        <v>32.5</v>
      </c>
      <c r="EY158" s="1832"/>
      <c r="EZ158" s="1832"/>
      <c r="FA158" s="1833">
        <f t="shared" si="106"/>
        <v>63.5</v>
      </c>
      <c r="FB158" s="1834"/>
      <c r="FC158" s="1832"/>
      <c r="FD158" s="1832"/>
      <c r="FE158" s="1832"/>
      <c r="FF158" s="1832"/>
      <c r="FG158" s="1833">
        <f t="shared" si="107"/>
        <v>0</v>
      </c>
      <c r="FH158" s="1834"/>
      <c r="FI158" s="1832"/>
      <c r="FJ158" s="1832"/>
      <c r="FK158" s="1832"/>
      <c r="FL158" s="1832"/>
      <c r="FM158" s="1833">
        <f t="shared" si="108"/>
        <v>0</v>
      </c>
      <c r="FQ158"/>
      <c r="FR158"/>
      <c r="FS158"/>
      <c r="FT158"/>
      <c r="FU158"/>
      <c r="FV158"/>
      <c r="GB158" s="851"/>
      <c r="GC158" s="851"/>
      <c r="GD158" s="851"/>
      <c r="GE158" s="851"/>
      <c r="GF158" s="851"/>
      <c r="GG158" s="851"/>
      <c r="GH158" s="851"/>
      <c r="GI158" s="851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</row>
    <row r="159" spans="1:274" s="27" customFormat="1" ht="12" hidden="1" customHeight="1" outlineLevel="1" x14ac:dyDescent="0.2">
      <c r="A159" s="60" t="s">
        <v>477</v>
      </c>
      <c r="B159" s="60"/>
      <c r="C159" s="600"/>
      <c r="D159" s="600"/>
      <c r="E159" s="600"/>
      <c r="F159" s="600"/>
      <c r="G159" s="600"/>
      <c r="H159" s="60"/>
      <c r="I159" s="600"/>
      <c r="J159" s="600"/>
      <c r="K159" s="600"/>
      <c r="L159" s="600"/>
      <c r="M159" s="600"/>
      <c r="N159" s="60"/>
      <c r="O159" s="600"/>
      <c r="P159" s="600"/>
      <c r="Q159" s="600"/>
      <c r="R159" s="600"/>
      <c r="S159" s="600"/>
      <c r="T159" s="60"/>
      <c r="U159" s="600"/>
      <c r="V159" s="600"/>
      <c r="W159" s="600"/>
      <c r="X159" s="600"/>
      <c r="Y159" s="600"/>
      <c r="Z159" s="60"/>
      <c r="AA159" s="600"/>
      <c r="AB159" s="600"/>
      <c r="AC159" s="600"/>
      <c r="AD159" s="600"/>
      <c r="AE159" s="600"/>
      <c r="AF159" s="60"/>
      <c r="AG159" s="600"/>
      <c r="AH159" s="600"/>
      <c r="AI159" s="600"/>
      <c r="AJ159" s="600"/>
      <c r="AK159" s="600"/>
      <c r="AL159" s="600"/>
      <c r="AM159" s="600"/>
      <c r="AN159" s="600"/>
      <c r="AO159" s="600"/>
      <c r="AP159" s="600"/>
      <c r="AQ159" s="600"/>
      <c r="AR159" s="60"/>
      <c r="AS159" s="600"/>
      <c r="AT159" s="600"/>
      <c r="AU159" s="600"/>
      <c r="AV159" s="600"/>
      <c r="AW159" s="600"/>
      <c r="AX159" s="60"/>
      <c r="AY159" s="600"/>
      <c r="AZ159" s="600"/>
      <c r="BA159" s="600"/>
      <c r="BB159" s="600"/>
      <c r="BC159" s="600"/>
      <c r="BD159" s="60"/>
      <c r="BE159" s="600"/>
      <c r="BF159" s="600"/>
      <c r="BG159" s="600"/>
      <c r="BH159" s="600"/>
      <c r="BI159" s="600"/>
      <c r="BJ159" s="60"/>
      <c r="BK159" s="600"/>
      <c r="BL159" s="600"/>
      <c r="BM159" s="600"/>
      <c r="BN159" s="600"/>
      <c r="BO159" s="600"/>
      <c r="BP159" s="60"/>
      <c r="BQ159" s="600"/>
      <c r="BR159" s="600"/>
      <c r="BS159" s="600"/>
      <c r="BT159" s="600"/>
      <c r="BU159" s="600"/>
      <c r="BV159" s="60"/>
      <c r="BW159" s="447"/>
      <c r="BX159" s="447"/>
      <c r="BY159" s="447"/>
      <c r="BZ159" s="447"/>
      <c r="CA159" s="600"/>
      <c r="CB159" s="60"/>
      <c r="CC159" s="447"/>
      <c r="CD159" s="447"/>
      <c r="CE159" s="447"/>
      <c r="CF159" s="447"/>
      <c r="CG159" s="1448">
        <f>SUM(CC159:CF159)</f>
        <v>0</v>
      </c>
      <c r="CH159" s="60"/>
      <c r="CI159" s="1455">
        <v>22</v>
      </c>
      <c r="CJ159" s="1455">
        <v>24</v>
      </c>
      <c r="CK159" s="1455">
        <v>24</v>
      </c>
      <c r="CL159" s="1455">
        <v>27</v>
      </c>
      <c r="CM159" s="1448">
        <f>SUM(CI159:CL159)</f>
        <v>97</v>
      </c>
      <c r="CN159" s="60"/>
      <c r="CO159" s="447"/>
      <c r="CP159" s="447"/>
      <c r="CQ159" s="447"/>
      <c r="CR159" s="447"/>
      <c r="CS159" s="1448">
        <f>SUM(CO159:CR159)</f>
        <v>0</v>
      </c>
      <c r="CT159" s="367"/>
      <c r="CU159" s="447"/>
      <c r="CV159" s="447"/>
      <c r="CW159" s="447"/>
      <c r="CX159" s="447"/>
      <c r="CY159" s="1448">
        <f>SUM(CU159:CX159)</f>
        <v>0</v>
      </c>
      <c r="CZ159" s="86"/>
      <c r="DA159" s="447">
        <f>DA52+DA94+DA107</f>
        <v>0</v>
      </c>
      <c r="DB159" s="447">
        <f>DB52+DB94+DB107</f>
        <v>0</v>
      </c>
      <c r="DC159" s="447">
        <f>DC52+DC94+DC107</f>
        <v>0</v>
      </c>
      <c r="DD159" s="447">
        <f>DD52+DD94+DD107</f>
        <v>0</v>
      </c>
      <c r="DE159" s="1448">
        <f>SUM(DA159:DD159)</f>
        <v>0</v>
      </c>
      <c r="DF159" s="367"/>
      <c r="DG159" s="447">
        <f>DG52+DG94+DG107</f>
        <v>22</v>
      </c>
      <c r="DH159" s="447">
        <f>DH52+DH94+DH107</f>
        <v>25</v>
      </c>
      <c r="DI159" s="447">
        <f>DI52+DI94+DI107</f>
        <v>22</v>
      </c>
      <c r="DJ159" s="447">
        <f>DJ52+DJ94+DJ107</f>
        <v>57</v>
      </c>
      <c r="DK159" s="1448">
        <f t="shared" si="99"/>
        <v>126</v>
      </c>
      <c r="DL159" s="367"/>
      <c r="DM159" s="447">
        <f>DM94*2</f>
        <v>7</v>
      </c>
      <c r="DN159" s="447">
        <f>DN94*2</f>
        <v>2</v>
      </c>
      <c r="DO159" s="447">
        <f>DO94*2</f>
        <v>23.180000000000007</v>
      </c>
      <c r="DP159" s="447">
        <f>DP94*2</f>
        <v>16</v>
      </c>
      <c r="DQ159" s="1448">
        <f t="shared" si="100"/>
        <v>48.180000000000007</v>
      </c>
      <c r="DR159" s="367"/>
      <c r="DS159" s="447">
        <f>DS94*2+DS79</f>
        <v>7.5</v>
      </c>
      <c r="DT159" s="447">
        <f>DT94*2+DT79</f>
        <v>8.5</v>
      </c>
      <c r="DU159" s="447">
        <f>DU94*2+DU79</f>
        <v>9</v>
      </c>
      <c r="DV159" s="447">
        <f>DV94*2+DV79</f>
        <v>3.5</v>
      </c>
      <c r="DW159" s="1448">
        <f t="shared" si="101"/>
        <v>28.5</v>
      </c>
      <c r="DX159" s="367"/>
      <c r="DY159" s="447">
        <v>0</v>
      </c>
      <c r="DZ159" s="447">
        <f>DZ94</f>
        <v>0.5</v>
      </c>
      <c r="EA159" s="447">
        <f>EA94</f>
        <v>1</v>
      </c>
      <c r="EB159" s="447">
        <f>EB94</f>
        <v>1.25</v>
      </c>
      <c r="EC159" s="1448">
        <f t="shared" si="102"/>
        <v>2.75</v>
      </c>
      <c r="ED159" s="367"/>
      <c r="EE159" s="447">
        <f>EE94</f>
        <v>1.5</v>
      </c>
      <c r="EF159" s="447">
        <f>EF94</f>
        <v>1.5</v>
      </c>
      <c r="EG159" s="447"/>
      <c r="EH159" s="447"/>
      <c r="EI159" s="1448">
        <f t="shared" si="103"/>
        <v>3</v>
      </c>
      <c r="EJ159" s="367"/>
      <c r="EK159" s="447"/>
      <c r="EL159" s="447"/>
      <c r="EM159" s="447"/>
      <c r="EN159" s="447"/>
      <c r="EO159" s="1448">
        <f t="shared" si="104"/>
        <v>0</v>
      </c>
      <c r="EP159" s="367"/>
      <c r="EQ159" s="1832"/>
      <c r="ER159" s="1832"/>
      <c r="ES159" s="1832"/>
      <c r="ET159" s="1832"/>
      <c r="EU159" s="1833">
        <f t="shared" si="105"/>
        <v>0</v>
      </c>
      <c r="EV159" s="1834"/>
      <c r="EW159" s="1832"/>
      <c r="EX159" s="1832"/>
      <c r="EY159" s="1832"/>
      <c r="EZ159" s="1832"/>
      <c r="FA159" s="1833">
        <f t="shared" si="106"/>
        <v>0</v>
      </c>
      <c r="FB159" s="1834"/>
      <c r="FC159" s="1832"/>
      <c r="FD159" s="1832"/>
      <c r="FE159" s="1832"/>
      <c r="FF159" s="1832"/>
      <c r="FG159" s="1833">
        <f t="shared" si="107"/>
        <v>0</v>
      </c>
      <c r="FH159" s="1834"/>
      <c r="FI159" s="1832"/>
      <c r="FJ159" s="1832"/>
      <c r="FK159" s="1832"/>
      <c r="FL159" s="1832"/>
      <c r="FM159" s="1833">
        <f t="shared" si="108"/>
        <v>0</v>
      </c>
      <c r="FQ159"/>
      <c r="FR159"/>
      <c r="FS159"/>
      <c r="FT159"/>
      <c r="FU159"/>
      <c r="FV159"/>
      <c r="GB159" s="24"/>
      <c r="GC159" s="24"/>
      <c r="GD159" s="24"/>
      <c r="GE159" s="24"/>
      <c r="GF159" s="24"/>
      <c r="GG159" s="24"/>
      <c r="GH159" s="24"/>
      <c r="GI159" s="24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</row>
    <row r="160" spans="1:274" s="32" customFormat="1" ht="12" hidden="1" customHeight="1" outlineLevel="1" x14ac:dyDescent="0.2">
      <c r="A160" s="1489" t="s">
        <v>667</v>
      </c>
      <c r="B160" s="1489"/>
      <c r="C160" s="1487">
        <f t="shared" ref="C160:M160" si="112">C114-SUM(C115:C125)</f>
        <v>12.715</v>
      </c>
      <c r="D160" s="1487">
        <f t="shared" si="112"/>
        <v>23.150999999999996</v>
      </c>
      <c r="E160" s="1487">
        <f t="shared" si="112"/>
        <v>55.344999999999999</v>
      </c>
      <c r="F160" s="1487">
        <f t="shared" si="112"/>
        <v>131.249</v>
      </c>
      <c r="G160" s="1487">
        <f t="shared" si="112"/>
        <v>282.113</v>
      </c>
      <c r="H160" s="1487">
        <f t="shared" si="112"/>
        <v>583.79999999999995</v>
      </c>
      <c r="I160" s="1487">
        <f t="shared" si="112"/>
        <v>916.39</v>
      </c>
      <c r="J160" s="1487">
        <f t="shared" si="112"/>
        <v>1027.9490000000001</v>
      </c>
      <c r="K160" s="1487">
        <f t="shared" si="112"/>
        <v>1179</v>
      </c>
      <c r="L160" s="1487">
        <f t="shared" si="112"/>
        <v>1503</v>
      </c>
      <c r="M160" s="1487">
        <f t="shared" si="112"/>
        <v>2001.1469999999999</v>
      </c>
      <c r="N160" s="1489"/>
      <c r="O160" s="1487">
        <f>O114-SUM(O115:O125)</f>
        <v>556.47400000000005</v>
      </c>
      <c r="P160" s="1487">
        <f>P114-SUM(P115:P125)</f>
        <v>670.28</v>
      </c>
      <c r="Q160" s="1487">
        <f>Q114-SUM(Q115:Q125)</f>
        <v>722.245</v>
      </c>
      <c r="R160" s="1487">
        <f>R114-SUM(R115:R125)</f>
        <v>1017.879</v>
      </c>
      <c r="S160" s="1487">
        <f>S114-SUM(S115:S125)</f>
        <v>2966.8779999999997</v>
      </c>
      <c r="T160" s="1487"/>
      <c r="U160" s="1487">
        <f>U114-SUM(U115:U125)</f>
        <v>771.803</v>
      </c>
      <c r="V160" s="1487">
        <f>V114-SUM(V115:V125)</f>
        <v>967</v>
      </c>
      <c r="W160" s="1487">
        <f>W114-SUM(W115:W125)</f>
        <v>1020.239</v>
      </c>
      <c r="X160" s="1487">
        <f>X114-SUM(X115:X125)</f>
        <v>1464.0739999999998</v>
      </c>
      <c r="Y160" s="1487">
        <f>Y114-SUM(Y115:Y125)</f>
        <v>4223.116</v>
      </c>
      <c r="Z160" s="1489"/>
      <c r="AA160" s="1487">
        <f>AA114-SUM(AA115:AA125)</f>
        <v>1052.319</v>
      </c>
      <c r="AB160" s="1487">
        <f>AB114-SUM(AB115:AB125)</f>
        <v>1311.373</v>
      </c>
      <c r="AC160" s="1487">
        <f>AC114-SUM(AC115:AC125)</f>
        <v>1372.6129999999998</v>
      </c>
      <c r="AD160" s="1487">
        <f>AD114-SUM(AD115:AD125)</f>
        <v>1948.0309999999999</v>
      </c>
      <c r="AE160" s="1487">
        <f>AE114-SUM(AE115:AE125)</f>
        <v>5684.3359999999993</v>
      </c>
      <c r="AF160" s="1489"/>
      <c r="AG160" s="1487">
        <f>AG114-SUM(AG115:AG125)</f>
        <v>1368.828</v>
      </c>
      <c r="AH160" s="1487">
        <f>AH114-SUM(AH115:AH125)</f>
        <v>1613.7269999999999</v>
      </c>
      <c r="AI160" s="1487">
        <f>AI114-SUM(AI115:AI125)</f>
        <v>1748.7570000000001</v>
      </c>
      <c r="AJ160" s="1487">
        <f>AJ114-SUM(AJ115:AJ125)</f>
        <v>2412.5529999999999</v>
      </c>
      <c r="AK160" s="1487">
        <f>AK114-SUM(AK115:AK125)</f>
        <v>7143.8649999999998</v>
      </c>
      <c r="AL160" s="1487"/>
      <c r="AM160" s="1487">
        <f>AM114-SUM(AM115:AM125)</f>
        <v>1749.11</v>
      </c>
      <c r="AN160" s="1487">
        <f>AN114-SUM(AN115:AN125)</f>
        <v>2055.9440000000004</v>
      </c>
      <c r="AO160" s="1487">
        <f>AO114-SUM(AO115:AO125)</f>
        <v>2078.92</v>
      </c>
      <c r="AP160" s="1487">
        <f>AP114-SUM(AP115:AP125)</f>
        <v>2943.2779999999998</v>
      </c>
      <c r="AQ160" s="1487">
        <f>AQ114-SUM(AQ115:AQ125)</f>
        <v>8827.2520000000004</v>
      </c>
      <c r="AR160" s="1489"/>
      <c r="AS160" s="1487">
        <f>AS114-SUM(AS115:AS125)</f>
        <v>1984.5170000000001</v>
      </c>
      <c r="AT160" s="1487">
        <f>AT114-SUM(AT115:AT125)</f>
        <v>2321.8829999999998</v>
      </c>
      <c r="AU160" s="1487">
        <f>AU114-SUM(AU115:AU125)</f>
        <v>2449.4179999999997</v>
      </c>
      <c r="AV160" s="1487">
        <f>AV114-SUM(AV115:AV125)</f>
        <v>3374.3100000000004</v>
      </c>
      <c r="AW160" s="1487">
        <f>AW114-SUM(AW115:AW125)</f>
        <v>10130.128000000001</v>
      </c>
      <c r="AX160" s="1489"/>
      <c r="AY160" s="1487">
        <f>AY114-SUM(AY115:AY125)</f>
        <v>2287.9920000000002</v>
      </c>
      <c r="AZ160" s="1487">
        <f>AZ114-SUM(AZ115:AZ125)</f>
        <v>2686.4079999999999</v>
      </c>
      <c r="BA160" s="1487">
        <f>BA114-SUM(BA115:BA125)</f>
        <v>2696.0619999999999</v>
      </c>
      <c r="BB160" s="1487">
        <f>BB114-SUM(BB115:BB125)</f>
        <v>3290.23</v>
      </c>
      <c r="BC160" s="1487">
        <f>BC114-SUM(BC115:BC125)</f>
        <v>10960.691999999999</v>
      </c>
      <c r="BD160" s="1489"/>
      <c r="BE160" s="1487">
        <f>BE114-SUM(BE115:BE125)</f>
        <v>2265.0549999999998</v>
      </c>
      <c r="BF160" s="1487">
        <f>BF114-SUM(BF115:BF125)</f>
        <v>2380.4369999999999</v>
      </c>
      <c r="BG160" s="1487">
        <f>BG114-SUM(BG115:BG125)</f>
        <v>2253.3199999999997</v>
      </c>
      <c r="BH160" s="1487">
        <f>BH114-SUM(BH115:BH125)</f>
        <v>2773.9810000000002</v>
      </c>
      <c r="BI160" s="1487">
        <f>BI114-SUM(BI115:BI125)</f>
        <v>9672.7929999999997</v>
      </c>
      <c r="BJ160" s="1489"/>
      <c r="BK160" s="1487">
        <f>BK114-SUM(BK115:BK125)</f>
        <v>2028</v>
      </c>
      <c r="BL160" s="1487">
        <f>BL114-SUM(BL115:BL125)</f>
        <v>2309</v>
      </c>
      <c r="BM160" s="1487">
        <f>BM114-SUM(BM115:BM125)</f>
        <v>2307</v>
      </c>
      <c r="BN160" s="1487">
        <f>BN114-SUM(BN115:BN125)</f>
        <v>2831.4</v>
      </c>
      <c r="BO160" s="1487">
        <f>BO114-SUM(BO115:BO125)</f>
        <v>9475.4</v>
      </c>
      <c r="BP160" s="1489"/>
      <c r="BQ160" s="1487">
        <f>BQ114-SUM(BQ115:BQ125)</f>
        <v>2072</v>
      </c>
      <c r="BR160" s="1487">
        <f>BR114-SUM(BR115:BR125)</f>
        <v>2498</v>
      </c>
      <c r="BS160" s="1487">
        <f>BS114-SUM(BS115:BS125)</f>
        <v>2509</v>
      </c>
      <c r="BT160" s="1487">
        <f>BT114-SUM(BT115:BT125)</f>
        <v>3077</v>
      </c>
      <c r="BU160" s="1487">
        <f>BU114-SUM(BU115:BU125)</f>
        <v>10156</v>
      </c>
      <c r="BV160" s="1489"/>
      <c r="BW160" s="1487">
        <f>BW114-SUM(BW115:BW125)</f>
        <v>2215</v>
      </c>
      <c r="BX160" s="1487">
        <f>BX114-SUM(BX115:BX125)</f>
        <v>2756</v>
      </c>
      <c r="BY160" s="1487">
        <f>BY114-SUM(BY115:BY125)</f>
        <v>2719</v>
      </c>
      <c r="BZ160" s="1487">
        <f>BZ114-SUM(BZ115:BZ125)</f>
        <v>3487</v>
      </c>
      <c r="CA160" s="1487">
        <f>CA114-SUM(CA115:CA125)</f>
        <v>11177</v>
      </c>
      <c r="CB160" s="1489"/>
      <c r="CC160" s="1487">
        <f>CC114-SUM(CC115:CC125)</f>
        <v>2361.5207</v>
      </c>
      <c r="CD160" s="1487">
        <f>CD114-SUM(CD115:CD125)</f>
        <v>2836.1881914999999</v>
      </c>
      <c r="CE160" s="1487">
        <f>CE114-SUM(CE115:CE125)</f>
        <v>3259.4349040675002</v>
      </c>
      <c r="CF160" s="1487">
        <f>CF114-SUM(CF115:CF125)</f>
        <v>4613.4327937496873</v>
      </c>
      <c r="CG160" s="1488">
        <f>CG114-SUM(CG115:CG125)</f>
        <v>13070.576589317187</v>
      </c>
      <c r="CH160" s="1489"/>
      <c r="CI160" s="1487">
        <f>CI114-SUM(CI115:CI125)</f>
        <v>3292</v>
      </c>
      <c r="CJ160" s="1487">
        <f>CJ114-SUM(CJ115:CJ125)</f>
        <v>3776</v>
      </c>
      <c r="CK160" s="1487">
        <f>CK114-SUM(CK115:CK125)</f>
        <v>4022</v>
      </c>
      <c r="CL160" s="1487">
        <f>CL114-SUM(CL115:CL159)</f>
        <v>5503</v>
      </c>
      <c r="CM160" s="1488">
        <f>CM114-SUM(CM115:CM159)</f>
        <v>16523</v>
      </c>
      <c r="CN160" s="1489"/>
      <c r="CO160" s="1487">
        <f>CO114-SUM(CO115:CO159)</f>
        <v>4264</v>
      </c>
      <c r="CP160" s="1487">
        <f>CP114-SUM(CP115:CP159)</f>
        <v>5031</v>
      </c>
      <c r="CQ160" s="1487">
        <f>CQ114-SUM(CQ115:CQ159)</f>
        <v>5144</v>
      </c>
      <c r="CR160" s="1487">
        <f>CR114-SUM(CR115:CR159)</f>
        <v>6941.3124500000004</v>
      </c>
      <c r="CS160" s="1488">
        <f>CS114-SUM(CS115:CS159)</f>
        <v>21380.312450000001</v>
      </c>
      <c r="CT160" s="1490"/>
      <c r="CU160" s="1487">
        <f>CU114-SUM(CU115:CU159)</f>
        <v>5139.5796725</v>
      </c>
      <c r="CV160" s="1487">
        <f>CV114-SUM(CV115:CV159)</f>
        <v>5328.3956690000005</v>
      </c>
      <c r="CW160" s="1487">
        <f>CW114-SUM(CW115:CW159)</f>
        <v>5091.065302</v>
      </c>
      <c r="CX160" s="1487">
        <f>CX114-SUM(CX115:CX159)</f>
        <v>6580.2414879999997</v>
      </c>
      <c r="CY160" s="1488">
        <f>CY114-SUM(CY115:CY159)</f>
        <v>22139.2821315</v>
      </c>
      <c r="CZ160" s="1491"/>
      <c r="DA160" s="1487">
        <f>DA114-SUM(DA115:DA159)</f>
        <v>5029.75</v>
      </c>
      <c r="DB160" s="1487">
        <f>DB114-SUM(DB115:DB159)</f>
        <v>5837</v>
      </c>
      <c r="DC160" s="1487">
        <f>DC114-SUM(DC115:DC159)</f>
        <v>5876.4</v>
      </c>
      <c r="DD160" s="1487">
        <f>DD114-SUM(DD115:DD159)</f>
        <v>7418</v>
      </c>
      <c r="DE160" s="1488">
        <f>DE114-SUM(DE115:DE159)</f>
        <v>24161.15</v>
      </c>
      <c r="DF160" s="1490"/>
      <c r="DG160" s="1487">
        <f>DG114-SUM(DG115:DG159)</f>
        <v>5401.0919464704002</v>
      </c>
      <c r="DH160" s="1487">
        <f>DH114-SUM(DH115:DH159)</f>
        <v>6361.8485777599999</v>
      </c>
      <c r="DI160" s="1487">
        <f>DI114-SUM(DI115:DI159)</f>
        <v>7242.5217299189135</v>
      </c>
      <c r="DJ160" s="1487">
        <f>DJ114-SUM(DJ115:DJ159)</f>
        <v>10625</v>
      </c>
      <c r="DK160" s="1488">
        <f>DK114-SUM(DK115:DK159)</f>
        <v>29630.462254149315</v>
      </c>
      <c r="DL160" s="1490"/>
      <c r="DM160" s="1487">
        <f>DM114-SUM(DM115:DM139)-DM159</f>
        <v>8260</v>
      </c>
      <c r="DN160" s="1487">
        <f>DN114-SUM(DN115:DN139)-DN159</f>
        <v>8712.5</v>
      </c>
      <c r="DO160" s="1487">
        <f>DO114-SUM(DO115:DO144)-DO159</f>
        <v>8931.9992000000002</v>
      </c>
      <c r="DP160" s="1487">
        <f>DP114-SUM(DP115:DP144)-DP159</f>
        <v>10753.45499448</v>
      </c>
      <c r="DQ160" s="1488">
        <f>DQ114-SUM(DQ115:DQ144)-DQ159</f>
        <v>36657.954194480008</v>
      </c>
      <c r="DR160" s="1490"/>
      <c r="DS160" s="1487">
        <f>DS114-SUM(DS115:DS144)-DS159</f>
        <v>8029.1</v>
      </c>
      <c r="DT160" s="1487">
        <f>DT114-SUM(DT115:DT144)-DT159</f>
        <v>8945.15</v>
      </c>
      <c r="DU160" s="1487">
        <f>DU114-SUM(DU115:DU145)-DU159</f>
        <v>8840.8441176470587</v>
      </c>
      <c r="DV160" s="1487">
        <f>DV114-SUM(DV115:DV147)-DV159</f>
        <v>10848.806541205882</v>
      </c>
      <c r="DW160" s="1488">
        <f>DW114-SUM(DW115:DW147)-DW159</f>
        <v>36663.900658852945</v>
      </c>
      <c r="DX160" s="1490"/>
      <c r="DY160" s="1487">
        <f>DY114-SUM(DY115:DY159)</f>
        <v>8217.636868266176</v>
      </c>
      <c r="DZ160" s="1487">
        <f>DZ114-SUM(DZ115:DZ159)</f>
        <v>9126</v>
      </c>
      <c r="EA160" s="1487">
        <f>EA114-SUM(EA115:EA159)</f>
        <v>9125.077131920807</v>
      </c>
      <c r="EB160" s="1487">
        <f>EB114-SUM(EB115:EB159)</f>
        <v>11164.583333333334</v>
      </c>
      <c r="EC160" s="1488">
        <f>EC114-SUM(EC115:EC159)</f>
        <v>37633.297333520321</v>
      </c>
      <c r="ED160" s="1490"/>
      <c r="EE160" s="1487">
        <f>EE114-SUM(EE115:EE159)</f>
        <v>8505.2541999999994</v>
      </c>
      <c r="EF160" s="1487">
        <f>EF114-SUM(EF115:EF159)</f>
        <v>9282.70783476</v>
      </c>
      <c r="EG160" s="1487">
        <f>EG114-SUM(EG115:EG159)</f>
        <v>8958.0480759567272</v>
      </c>
      <c r="EH160" s="1487">
        <f>EH114-SUM(EH115:EH159)</f>
        <v>10319.991602173261</v>
      </c>
      <c r="EI160" s="1488">
        <f>EI114-SUM(EI115:EI159)</f>
        <v>37066.001712889985</v>
      </c>
      <c r="EJ160" s="1490"/>
      <c r="EK160" s="1487">
        <f>EK114-SUM(EK115:EK159)</f>
        <v>8026.9307830610378</v>
      </c>
      <c r="EL160" s="1487">
        <f>EL114-SUM(EL115:EL159)</f>
        <v>8889.9500000000007</v>
      </c>
      <c r="EM160" s="1487">
        <f>EM114-SUM(EM115:EM159)</f>
        <v>8988</v>
      </c>
      <c r="EN160" s="1487">
        <f>EN114-SUM(EN115:EN159)</f>
        <v>10576.5</v>
      </c>
      <c r="EO160" s="1488">
        <f>EO114-SUM(EO115:EO159)</f>
        <v>36481.380783061039</v>
      </c>
      <c r="EP160" s="1490"/>
      <c r="EQ160" s="1487">
        <f>EQ114-SUM(EQ115:EQ159)</f>
        <v>8533.7649999999994</v>
      </c>
      <c r="ER160" s="1487">
        <f>ER114-SUM(ER115:ER159)</f>
        <v>8927.1973093842225</v>
      </c>
      <c r="ES160" s="1487">
        <f>ES114-SUM(ES115:ES159)</f>
        <v>8914.6688897610402</v>
      </c>
      <c r="ET160" s="1487">
        <f>ET114-SUM(ET115:ET159)</f>
        <v>10547.690471094644</v>
      </c>
      <c r="EU160" s="1488">
        <f>EU114-SUM(EU115:EU159)</f>
        <v>36923.321670239908</v>
      </c>
      <c r="EV160" s="1830"/>
      <c r="EW160" s="1487">
        <f>EW114-SUM(EW115:EW159)</f>
        <v>8864.218389765354</v>
      </c>
      <c r="EX160" s="1487">
        <f>EX114-SUM(EX115:EX159)</f>
        <v>9351.1940951390006</v>
      </c>
      <c r="EY160" s="1487">
        <f>EY114-SUM(EY115:EY159)</f>
        <v>9776</v>
      </c>
      <c r="EZ160" s="1487">
        <f>EZ114-SUM(EZ115:EZ159)</f>
        <v>11189.672666097718</v>
      </c>
      <c r="FA160" s="1488">
        <f>FA114-SUM(FA115:FA159)</f>
        <v>39181.085151002073</v>
      </c>
      <c r="FB160" s="1830"/>
      <c r="FC160" s="1487">
        <f>FC114-SUM(FC115:FC159)</f>
        <v>9549.3946591173699</v>
      </c>
      <c r="FD160" s="1487">
        <f>FD114-SUM(FD115:FD159)</f>
        <v>9981.8770320631811</v>
      </c>
      <c r="FE160" s="1487">
        <f>FE114-SUM(FE115:FE159)</f>
        <v>10091.835491560028</v>
      </c>
      <c r="FF160" s="1487">
        <f>FF114-SUM(FF115:FF159)</f>
        <v>11403.477190248725</v>
      </c>
      <c r="FG160" s="1488">
        <f>FG114-SUM(FG115:FG159)</f>
        <v>41026.584372989302</v>
      </c>
      <c r="FH160" s="1830"/>
      <c r="FI160" s="1487">
        <f>FI114-SUM(FI115:FI159)</f>
        <v>9939.594532346644</v>
      </c>
      <c r="FJ160" s="1487">
        <f>FJ114-SUM(FJ115:FJ159)</f>
        <v>10342.853603262749</v>
      </c>
      <c r="FK160" s="1487">
        <f>FK114-SUM(FK115:FK159)</f>
        <v>10440.008118755788</v>
      </c>
      <c r="FL160" s="1487">
        <f>FL114-SUM(FL115:FL159)</f>
        <v>11676.39968560894</v>
      </c>
      <c r="FM160" s="1488">
        <f>FM114-SUM(FM115:FM159)</f>
        <v>42398.855939974121</v>
      </c>
      <c r="FQ160"/>
      <c r="FR160"/>
      <c r="FS160"/>
      <c r="FT160"/>
      <c r="FU160"/>
      <c r="FV160"/>
      <c r="GB160" s="24"/>
      <c r="GC160" s="24"/>
      <c r="GD160" s="24"/>
      <c r="GE160" s="24"/>
      <c r="GF160" s="24"/>
      <c r="GG160" s="24"/>
      <c r="GH160" s="24"/>
      <c r="GI160" s="24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</row>
    <row r="161" spans="1:274" s="32" customFormat="1" ht="12" hidden="1" customHeight="1" outlineLevel="1" x14ac:dyDescent="0.2">
      <c r="A161" s="107" t="s">
        <v>1052</v>
      </c>
      <c r="B161" s="107"/>
      <c r="C161" s="876"/>
      <c r="D161" s="876"/>
      <c r="E161" s="876"/>
      <c r="F161" s="876"/>
      <c r="G161" s="876"/>
      <c r="H161" s="876"/>
      <c r="I161" s="876"/>
      <c r="J161" s="876"/>
      <c r="K161" s="876"/>
      <c r="L161" s="876"/>
      <c r="M161" s="876"/>
      <c r="N161" s="107"/>
      <c r="O161" s="876"/>
      <c r="P161" s="876"/>
      <c r="Q161" s="876"/>
      <c r="R161" s="876"/>
      <c r="S161" s="876"/>
      <c r="T161" s="876"/>
      <c r="U161" s="848">
        <f>U160/R160-1</f>
        <v>-0.2417536858506758</v>
      </c>
      <c r="V161" s="848">
        <f>V160/U160-1</f>
        <v>0.25291039293705775</v>
      </c>
      <c r="W161" s="848">
        <f>W160/V160-1</f>
        <v>5.5055842812823164E-2</v>
      </c>
      <c r="X161" s="848">
        <f>X160/W160-1</f>
        <v>0.43503041934291842</v>
      </c>
      <c r="Y161" s="876"/>
      <c r="Z161" s="107"/>
      <c r="AA161" s="848">
        <f>AA160/X160-1</f>
        <v>-0.28123919965794075</v>
      </c>
      <c r="AB161" s="848">
        <f>AB160/AA160-1</f>
        <v>0.2461744014885221</v>
      </c>
      <c r="AC161" s="848">
        <f>AC160/AB160-1</f>
        <v>4.6699146619611387E-2</v>
      </c>
      <c r="AD161" s="848">
        <f>AD160/AC160-1</f>
        <v>0.41921357294444994</v>
      </c>
      <c r="AE161" s="876"/>
      <c r="AF161" s="107"/>
      <c r="AG161" s="848">
        <f>AG160/AD160-1</f>
        <v>-0.29732740392735024</v>
      </c>
      <c r="AH161" s="848">
        <f>AH160/AG160-1</f>
        <v>0.17891144833390316</v>
      </c>
      <c r="AI161" s="848">
        <f>AI160/AH160-1</f>
        <v>8.3675863389532479E-2</v>
      </c>
      <c r="AJ161" s="848">
        <f>AJ160/AI160-1</f>
        <v>0.37958161139598001</v>
      </c>
      <c r="AK161" s="876"/>
      <c r="AL161" s="632"/>
      <c r="AM161" s="848">
        <f>AM160/AJ160-1</f>
        <v>-0.27499623842460663</v>
      </c>
      <c r="AN161" s="848">
        <f>AN160/AM160-1</f>
        <v>0.17542292937551118</v>
      </c>
      <c r="AO161" s="848">
        <f>AO160/AN160-1</f>
        <v>1.1175401664636597E-2</v>
      </c>
      <c r="AP161" s="848">
        <f>AP160/AO160-1</f>
        <v>0.41577261270274946</v>
      </c>
      <c r="AQ161" s="876"/>
      <c r="AR161" s="107"/>
      <c r="AS161" s="848">
        <f>AS160/AP160-1</f>
        <v>-0.32574598797667087</v>
      </c>
      <c r="AT161" s="848">
        <f>AT160/AS160-1</f>
        <v>0.16999904762720597</v>
      </c>
      <c r="AU161" s="848">
        <f>AU160/AT160-1</f>
        <v>5.4927401596032155E-2</v>
      </c>
      <c r="AV161" s="848">
        <f>AV160/AU160-1</f>
        <v>0.37759663724199011</v>
      </c>
      <c r="AW161" s="876"/>
      <c r="AX161" s="107"/>
      <c r="AY161" s="848">
        <f>AY160/AV160-1</f>
        <v>-0.32193781839842817</v>
      </c>
      <c r="AZ161" s="848">
        <f>AZ160/AY160-1</f>
        <v>0.17413347599117457</v>
      </c>
      <c r="BA161" s="848">
        <f>BA160/AZ160-1</f>
        <v>3.5936462369081656E-3</v>
      </c>
      <c r="BB161" s="848">
        <f>BB160/BA160-1</f>
        <v>0.22038365586548081</v>
      </c>
      <c r="BC161" s="876"/>
      <c r="BD161" s="107"/>
      <c r="BE161" s="848">
        <f>BE160/BB160-1</f>
        <v>-0.31158156116745639</v>
      </c>
      <c r="BF161" s="848">
        <f>BF160/BE160-1</f>
        <v>5.0940043398504775E-2</v>
      </c>
      <c r="BG161" s="848">
        <f>BG160/BF160-1</f>
        <v>-5.340069911533063E-2</v>
      </c>
      <c r="BH161" s="848">
        <f>BH160/BG160-1</f>
        <v>0.231063941206753</v>
      </c>
      <c r="BI161" s="876"/>
      <c r="BJ161" s="107"/>
      <c r="BK161" s="848">
        <f>BK160/BH160-1</f>
        <v>-0.26892073161279773</v>
      </c>
      <c r="BL161" s="848">
        <f>BL160/BK160-1</f>
        <v>0.13856015779092701</v>
      </c>
      <c r="BM161" s="848">
        <f>BM160/BL160-1</f>
        <v>-8.6617583369419382E-4</v>
      </c>
      <c r="BN161" s="848">
        <f>BN160/BM160-1</f>
        <v>0.22730819245773737</v>
      </c>
      <c r="BO161" s="876"/>
      <c r="BP161" s="107"/>
      <c r="BQ161" s="848">
        <f>BQ160/BN160-1</f>
        <v>-0.26820654093381369</v>
      </c>
      <c r="BR161" s="848">
        <f>BR160/BQ160-1</f>
        <v>0.20559845559845558</v>
      </c>
      <c r="BS161" s="848">
        <f>BS160/BR160-1</f>
        <v>4.4035228182546238E-3</v>
      </c>
      <c r="BT161" s="848">
        <f>BT160/BS160-1</f>
        <v>0.22638501394978072</v>
      </c>
      <c r="BU161" s="876"/>
      <c r="BV161" s="107"/>
      <c r="BW161" s="848">
        <f>BW160/BT160-1</f>
        <v>-0.28014299642508933</v>
      </c>
      <c r="BX161" s="848">
        <f>BX160/BW160-1</f>
        <v>0.24424379232505644</v>
      </c>
      <c r="BY161" s="848">
        <f>BY160/BX160-1</f>
        <v>-1.3425253991291686E-2</v>
      </c>
      <c r="BZ161" s="848">
        <f>BZ160/BY160-1</f>
        <v>0.28245678558293497</v>
      </c>
      <c r="CA161" s="876"/>
      <c r="CB161" s="107"/>
      <c r="CC161" s="848">
        <f>CC160/BZ160-1</f>
        <v>-0.3227643533123028</v>
      </c>
      <c r="CD161" s="848">
        <f>CD160/CC160-1</f>
        <v>0.20100077526315974</v>
      </c>
      <c r="CE161" s="848">
        <f>CE160/CD160-1</f>
        <v>0.14923082813614497</v>
      </c>
      <c r="CF161" s="848">
        <f>CF160/CE160-1</f>
        <v>0.4154087838945677</v>
      </c>
      <c r="CG161" s="877"/>
      <c r="CH161" s="61"/>
      <c r="CI161" s="848">
        <f>CI160/CF160-1</f>
        <v>-0.28643156903466205</v>
      </c>
      <c r="CJ161" s="848">
        <f>CJ160/CI160-1</f>
        <v>0.14702308626974481</v>
      </c>
      <c r="CK161" s="848">
        <f>CK160/CJ160-1</f>
        <v>6.5148305084745672E-2</v>
      </c>
      <c r="CL161" s="848">
        <f>CL160/CK160-1</f>
        <v>0.36822476379910496</v>
      </c>
      <c r="CM161" s="877"/>
      <c r="CN161" s="61"/>
      <c r="CO161" s="848">
        <f>CO160/CL160-1</f>
        <v>-0.22514991822642194</v>
      </c>
      <c r="CP161" s="848">
        <f>CP160/CO160-1</f>
        <v>0.17987804878048785</v>
      </c>
      <c r="CQ161" s="848">
        <f>CQ160/CP160-1</f>
        <v>2.2460743390976035E-2</v>
      </c>
      <c r="CR161" s="848">
        <f>CR160/CQ160-1</f>
        <v>0.34939977643856923</v>
      </c>
      <c r="CS161" s="877"/>
      <c r="CT161" s="160"/>
      <c r="CU161" s="848">
        <f>CU160/CR160-1</f>
        <v>-0.2595665863593275</v>
      </c>
      <c r="CV161" s="848">
        <f>CV160/CU160-1</f>
        <v>3.6737633917863999E-2</v>
      </c>
      <c r="CW161" s="848">
        <f>CW160/CV160-1</f>
        <v>-4.4540680111419206E-2</v>
      </c>
      <c r="CX161" s="848">
        <f>CX160/CW160-1</f>
        <v>0.29250777541882722</v>
      </c>
      <c r="CY161" s="877"/>
      <c r="CZ161" s="157"/>
      <c r="DA161" s="848">
        <f>DA160/CX160-1</f>
        <v>-0.23562835662301151</v>
      </c>
      <c r="DB161" s="848">
        <f>DB160/DA160-1</f>
        <v>0.1604950544261643</v>
      </c>
      <c r="DC161" s="848">
        <f>DC160/DB160-1</f>
        <v>6.7500428302209592E-3</v>
      </c>
      <c r="DD161" s="848">
        <f>DD160/DC160-1</f>
        <v>0.26233748553536196</v>
      </c>
      <c r="DE161" s="877"/>
      <c r="DF161" s="160"/>
      <c r="DG161" s="848">
        <f>DG160/DD160-1</f>
        <v>-0.27189377912235102</v>
      </c>
      <c r="DH161" s="848">
        <f>DH160/DG160-1</f>
        <v>0.1778819247684631</v>
      </c>
      <c r="DI161" s="848">
        <f>DI160/DH160-1</f>
        <v>0.13843038566457011</v>
      </c>
      <c r="DJ161" s="848">
        <f>DJ160/DI160-1</f>
        <v>0.46703046207069598</v>
      </c>
      <c r="DK161" s="877"/>
      <c r="DL161" s="160"/>
      <c r="DM161" s="848">
        <f>DM160/DJ160-1</f>
        <v>-0.22258823529411764</v>
      </c>
      <c r="DN161" s="848">
        <f>DN160/DM160-1</f>
        <v>5.4782082324455139E-2</v>
      </c>
      <c r="DO161" s="848">
        <f>DO160/DN160-1</f>
        <v>2.519359540889532E-2</v>
      </c>
      <c r="DP161" s="848">
        <f>DP160/DO160-1</f>
        <v>0.20392476014552252</v>
      </c>
      <c r="DQ161" s="877"/>
      <c r="DR161" s="160"/>
      <c r="DS161" s="848">
        <f>DS160/DP160-1</f>
        <v>-0.25334694717916006</v>
      </c>
      <c r="DT161" s="848">
        <f>DT160/DS160-1</f>
        <v>0.11409124310321195</v>
      </c>
      <c r="DU161" s="848">
        <f>DU160/DT160-1</f>
        <v>-1.1660607407694812E-2</v>
      </c>
      <c r="DV161" s="848">
        <f>DV160/DU160-1</f>
        <v>0.22712338288498546</v>
      </c>
      <c r="DW161" s="877"/>
      <c r="DX161" s="160"/>
      <c r="DY161" s="848">
        <f>DY160/DV160-1</f>
        <v>-0.24253079478798067</v>
      </c>
      <c r="DZ161" s="848">
        <f>DZ160/DY160-1</f>
        <v>0.11053824186873307</v>
      </c>
      <c r="EA161" s="848">
        <f>EA160/DZ160-1</f>
        <v>-1.0112514564897257E-4</v>
      </c>
      <c r="EB161" s="848">
        <f>EB160/EA160-1</f>
        <v>0.22350563967049064</v>
      </c>
      <c r="EC161" s="877"/>
      <c r="ED161" s="160"/>
      <c r="EE161" s="848">
        <f>EE160/EB160-1</f>
        <v>-0.2381933166635567</v>
      </c>
      <c r="EF161" s="848">
        <f>EF160/EE160-1</f>
        <v>9.1408630063049889E-2</v>
      </c>
      <c r="EG161" s="848">
        <f>EG160/EF160-1</f>
        <v>-3.4974682450691019E-2</v>
      </c>
      <c r="EH161" s="848">
        <f>EH160/EG160-1</f>
        <v>0.15203574647829488</v>
      </c>
      <c r="EI161" s="877"/>
      <c r="EJ161" s="160"/>
      <c r="EK161" s="848">
        <f>EK160/EH160-1</f>
        <v>-0.22219599661586287</v>
      </c>
      <c r="EL161" s="848">
        <f>EL160/EK160-1</f>
        <v>0.10751546765049524</v>
      </c>
      <c r="EM161" s="848">
        <f>EM160/EL160-1</f>
        <v>1.1029308376312441E-2</v>
      </c>
      <c r="EN161" s="848">
        <f>EN160/EM160-1</f>
        <v>0.17673564753004012</v>
      </c>
      <c r="EO161" s="877"/>
      <c r="EP161" s="160"/>
      <c r="EQ161" s="848">
        <f>EQ160/EN160-1</f>
        <v>-0.19313903465229521</v>
      </c>
      <c r="ER161" s="848">
        <f>ER160/EQ160-1</f>
        <v>4.6103016591647838E-2</v>
      </c>
      <c r="ES161" s="848">
        <f>ES160/ER160-1</f>
        <v>-1.4033989827929583E-3</v>
      </c>
      <c r="ET161" s="848">
        <f>ET160/ES160-1</f>
        <v>0.18318364950258714</v>
      </c>
      <c r="EU161" s="877"/>
      <c r="EV161" s="1831"/>
      <c r="EW161" s="848">
        <f>EW160/ET160-1</f>
        <v>-0.15960575312128766</v>
      </c>
      <c r="EX161" s="848">
        <f>EX160/EW160-1</f>
        <v>5.4937241385648816E-2</v>
      </c>
      <c r="EY161" s="848">
        <f>EY160/EX160-1</f>
        <v>4.5427984975932034E-2</v>
      </c>
      <c r="EZ161" s="848">
        <f>EZ160/EY160-1</f>
        <v>0.14460645111474202</v>
      </c>
      <c r="FA161" s="877"/>
      <c r="FB161" s="1831"/>
      <c r="FC161" s="848">
        <f>FC160/EZ160-1</f>
        <v>-0.14658856035619661</v>
      </c>
      <c r="FD161" s="848">
        <f>FD160/FC160-1</f>
        <v>4.5288983059559085E-2</v>
      </c>
      <c r="FE161" s="848">
        <f>FE160/FD160-1</f>
        <v>1.1015809866585791E-2</v>
      </c>
      <c r="FF161" s="848">
        <f>FF160/FE160-1</f>
        <v>0.12997057867081208</v>
      </c>
      <c r="FG161" s="877"/>
      <c r="FH161" s="1831"/>
      <c r="FI161" s="848">
        <f>FI160/FF160-1</f>
        <v>-0.1283716039835523</v>
      </c>
      <c r="FJ161" s="848">
        <f>FJ160/FI160-1</f>
        <v>4.0570977981422729E-2</v>
      </c>
      <c r="FK161" s="848">
        <f>FK160/FJ160-1</f>
        <v>9.3933955965876947E-3</v>
      </c>
      <c r="FL161" s="848">
        <f>FL160/FK160-1</f>
        <v>0.1184282189045367</v>
      </c>
      <c r="FM161" s="877"/>
      <c r="FQ161"/>
      <c r="FR161"/>
      <c r="FS161"/>
      <c r="FT161"/>
      <c r="FU161"/>
      <c r="FV161"/>
      <c r="GB161" s="24"/>
      <c r="GC161" s="24"/>
      <c r="GD161" s="24"/>
      <c r="GE161" s="24"/>
      <c r="GF161" s="24"/>
      <c r="GG161" s="24"/>
      <c r="GH161" s="24"/>
      <c r="GI161" s="24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</row>
    <row r="162" spans="1:274" s="315" customFormat="1" ht="12" hidden="1" customHeight="1" outlineLevel="1" x14ac:dyDescent="0.2">
      <c r="A162" s="110" t="s">
        <v>668</v>
      </c>
      <c r="B162" s="110"/>
      <c r="C162" s="848" t="s">
        <v>945</v>
      </c>
      <c r="D162" s="848" t="s">
        <v>945</v>
      </c>
      <c r="E162" s="848" t="s">
        <v>945</v>
      </c>
      <c r="F162" s="848" t="s">
        <v>945</v>
      </c>
      <c r="G162" s="848" t="s">
        <v>945</v>
      </c>
      <c r="H162" s="110"/>
      <c r="I162" s="848" t="s">
        <v>945</v>
      </c>
      <c r="J162" s="848" t="s">
        <v>945</v>
      </c>
      <c r="K162" s="848" t="s">
        <v>945</v>
      </c>
      <c r="L162" s="848" t="s">
        <v>945</v>
      </c>
      <c r="M162" s="848" t="s">
        <v>945</v>
      </c>
      <c r="N162" s="110"/>
      <c r="O162" s="848" t="s">
        <v>945</v>
      </c>
      <c r="P162" s="848" t="s">
        <v>945</v>
      </c>
      <c r="Q162" s="848" t="s">
        <v>945</v>
      </c>
      <c r="R162" s="848" t="s">
        <v>945</v>
      </c>
      <c r="S162" s="848" t="s">
        <v>945</v>
      </c>
      <c r="T162" s="110"/>
      <c r="U162" s="848" t="s">
        <v>945</v>
      </c>
      <c r="V162" s="848" t="s">
        <v>945</v>
      </c>
      <c r="W162" s="848" t="s">
        <v>945</v>
      </c>
      <c r="X162" s="848" t="s">
        <v>945</v>
      </c>
      <c r="Y162" s="848" t="s">
        <v>945</v>
      </c>
      <c r="Z162" s="110"/>
      <c r="AA162" s="848">
        <f>'Geographic Detail'!AA58-'Geographic Detail'!AA67</f>
        <v>-4.0000000000000036E-2</v>
      </c>
      <c r="AB162" s="848">
        <f>'Geographic Detail'!AB58-'Geographic Detail'!AB67</f>
        <v>-3.0000000000000027E-2</v>
      </c>
      <c r="AC162" s="848">
        <f>'Geographic Detail'!AC58-'Geographic Detail'!AC67</f>
        <v>-4.0000000000000036E-2</v>
      </c>
      <c r="AD162" s="848">
        <f>'Geographic Detail'!AD58-'Geographic Detail'!AD67</f>
        <v>-3.999999999999998E-2</v>
      </c>
      <c r="AE162" s="848">
        <f>'Geographic Detail'!AE58-'Geographic Detail'!AE67</f>
        <v>-3.0000000000000027E-2</v>
      </c>
      <c r="AF162" s="110"/>
      <c r="AG162" s="848">
        <f>'Geographic Detail'!AG58-'Geographic Detail'!AG67</f>
        <v>-5.9226185215699778E-2</v>
      </c>
      <c r="AH162" s="848">
        <f>'Geographic Detail'!AH58-'Geographic Detail'!AH67</f>
        <v>-5.9437070917275292E-2</v>
      </c>
      <c r="AI162" s="848">
        <f>'Geographic Detail'!AI58-'Geographic Detail'!AI67</f>
        <v>-5.596500251709674E-2</v>
      </c>
      <c r="AJ162" s="848">
        <f>'Geographic Detail'!AJ58-'Geographic Detail'!AJ67</f>
        <v>-4.1542809123674029E-2</v>
      </c>
      <c r="AK162" s="848">
        <f>'Geographic Detail'!AK58-'Geographic Detail'!AK67</f>
        <v>-5.3236501149826532E-2</v>
      </c>
      <c r="AL162" s="848"/>
      <c r="AM162" s="848">
        <f>'Geographic Detail'!AM58-'Geographic Detail'!AM67</f>
        <v>-5.2185167029629109E-2</v>
      </c>
      <c r="AN162" s="848">
        <f>'Geographic Detail'!AN58-'Geographic Detail'!AN67</f>
        <v>-5.9654204211743167E-3</v>
      </c>
      <c r="AO162" s="848">
        <f>'Geographic Detail'!AO58-'Geographic Detail'!AO67</f>
        <v>-1.2013275715264116E-3</v>
      </c>
      <c r="AP162" s="848">
        <f>'Geographic Detail'!AP58-'Geographic Detail'!AP67</f>
        <v>-2.0015195521093432E-2</v>
      </c>
      <c r="AQ162" s="848">
        <f>'Geographic Detail'!AQ58-'Geographic Detail'!AQ67</f>
        <v>-1.4359241900673947E-2</v>
      </c>
      <c r="AR162" s="110"/>
      <c r="AS162" s="848">
        <f>'Geographic Detail'!AS58-'Geographic Detail'!AS67</f>
        <v>-5.4132673188079794E-3</v>
      </c>
      <c r="AT162" s="848">
        <f>'Geographic Detail'!AT58-'Geographic Detail'!AT67</f>
        <v>-2.0648714167312038E-2</v>
      </c>
      <c r="AU162" s="848">
        <f>'Geographic Detail'!AU58-'Geographic Detail'!AU67</f>
        <v>-2.1783426009659046E-2</v>
      </c>
      <c r="AV162" s="848">
        <f>'Geographic Detail'!AV58-'Geographic Detail'!AV67</f>
        <v>-2.3553758768284888E-2</v>
      </c>
      <c r="AW162" s="848">
        <f>'Geographic Detail'!AW58-'Geographic Detail'!AW67</f>
        <v>-2.240299019445699E-2</v>
      </c>
      <c r="AX162" s="110"/>
      <c r="AY162" s="848">
        <f>'Geographic Detail'!AY58-'Geographic Detail'!AY67</f>
        <v>-1.7078659442070737E-2</v>
      </c>
      <c r="AZ162" s="848">
        <f>'Geographic Detail'!AZ58-'Geographic Detail'!AZ67</f>
        <v>-5.3004578611411751E-2</v>
      </c>
      <c r="BA162" s="848">
        <f>'Geographic Detail'!BA58-'Geographic Detail'!BA67</f>
        <v>-2.930505940594863E-2</v>
      </c>
      <c r="BB162" s="848">
        <f>'Geographic Detail'!BB58-'Geographic Detail'!BB67</f>
        <v>-2.4917686875242651E-2</v>
      </c>
      <c r="BC162" s="848">
        <f>'Geographic Detail'!BC58-'Geographic Detail'!BC67</f>
        <v>-2.8010512799048773E-2</v>
      </c>
      <c r="BD162" s="110"/>
      <c r="BE162" s="848">
        <f>'Geographic Detail'!BE58-'Geographic Detail'!BE67</f>
        <v>-3.0024947639677207E-2</v>
      </c>
      <c r="BF162" s="848">
        <f>'Geographic Detail'!BF58-'Geographic Detail'!BF67</f>
        <v>-3.8959532580307016E-3</v>
      </c>
      <c r="BG162" s="848">
        <f>'Geographic Detail'!BG58-'Geographic Detail'!BG67</f>
        <v>-2.421803356154284E-2</v>
      </c>
      <c r="BH162" s="848">
        <f>'Geographic Detail'!BH58-'Geographic Detail'!BH67</f>
        <v>3.096379280475875E-3</v>
      </c>
      <c r="BI162" s="848">
        <f>'Geographic Detail'!BI58-'Geographic Detail'!BI67</f>
        <v>-1.7501613949192224E-2</v>
      </c>
      <c r="BJ162" s="110"/>
      <c r="BK162" s="848">
        <f>'Geographic Detail'!BK58-'Geographic Detail'!BK67</f>
        <v>1.5342497202054717E-2</v>
      </c>
      <c r="BL162" s="848">
        <f>'Geographic Detail'!BL58-'Geographic Detail'!BL67</f>
        <v>1.9989964027613508E-2</v>
      </c>
      <c r="BM162" s="848">
        <f>'Geographic Detail'!BM58-'Geographic Detail'!BM67</f>
        <v>5.3822626169385684E-2</v>
      </c>
      <c r="BN162" s="848">
        <f>'Geographic Detail'!BN58-'Geographic Detail'!BN67</f>
        <v>6.0699132402132393E-2</v>
      </c>
      <c r="BO162" s="848">
        <f>'Geographic Detail'!BO58-'Geographic Detail'!BO67</f>
        <v>3.9592967615454999E-2</v>
      </c>
      <c r="BP162" s="110"/>
      <c r="BQ162" s="848">
        <f>'Geographic Detail'!BQ58-'Geographic Detail'!BQ67</f>
        <v>4.1696252465483349E-2</v>
      </c>
      <c r="BR162" s="848">
        <f>'Geographic Detail'!BR58-'Geographic Detail'!BR67</f>
        <v>7.1853616284105706E-2</v>
      </c>
      <c r="BS162" s="848">
        <f>'Geographic Detail'!BS58-'Geographic Detail'!BS67</f>
        <v>6.7559601213697432E-2</v>
      </c>
      <c r="BT162" s="848">
        <f>'Geographic Detail'!BT58-'Geographic Detail'!BT67</f>
        <v>3.6741541286995846E-2</v>
      </c>
      <c r="BU162" s="848">
        <f>'Geographic Detail'!BU58-'Geographic Detail'!BU67</f>
        <v>5.1828102243704835E-2</v>
      </c>
      <c r="BV162" s="110"/>
      <c r="BW162" s="848">
        <f>'Geographic Detail'!BW58-'Geographic Detail'!BW67</f>
        <v>3.9015444015444017E-2</v>
      </c>
      <c r="BX162" s="848">
        <f>'Geographic Detail'!BX58-'Geographic Detail'!BX67</f>
        <v>4.3282626100880794E-2</v>
      </c>
      <c r="BY162" s="848">
        <f>'Geographic Detail'!BY58-'Geographic Detail'!BY67</f>
        <v>4.0000000000000008E-2</v>
      </c>
      <c r="BZ162" s="848">
        <f>'Geographic Detail'!BZ58-'Geographic Detail'!BZ67</f>
        <v>2.7842053948651302E-2</v>
      </c>
      <c r="CA162" s="848">
        <f>'Geographic Detail'!CA58-'Geographic Detail'!CA67</f>
        <v>3.6013144660466789E-2</v>
      </c>
      <c r="CB162" s="110"/>
      <c r="CC162" s="848">
        <f>'Geographic Detail'!CC58-'Geographic Detail'!CC67</f>
        <v>2.2415349887133174E-2</v>
      </c>
      <c r="CD162" s="848">
        <f>'Geographic Detail'!CD58-'Geographic Detail'!CD67</f>
        <v>-2.8505079825834612E-2</v>
      </c>
      <c r="CE162" s="848">
        <f>'Geographic Detail'!CE58-'Geographic Detail'!CE67</f>
        <v>-5.9467106761307287E-2</v>
      </c>
      <c r="CF162" s="848">
        <f>'Geographic Detail'!CF58-'Geographic Detail'!CF67</f>
        <v>-3.1255954550579279E-2</v>
      </c>
      <c r="CG162" s="816">
        <f>'Geographic Detail'!CG58-'Geographic Detail'!CG67</f>
        <v>-3.4086918055948212E-2</v>
      </c>
      <c r="CH162" s="110"/>
      <c r="CI162" s="848">
        <f>'Geographic Detail'!CI58-'Geographic Detail'!CI67</f>
        <v>-2.0626074991400012E-2</v>
      </c>
      <c r="CJ162" s="848">
        <f>'Geographic Detail'!CJ58-'Geographic Detail'!CJ67</f>
        <v>1.2192103712433705E-2</v>
      </c>
      <c r="CK162" s="848">
        <f>'Geographic Detail'!CK58-'Geographic Detail'!CK67</f>
        <v>2.8770937075599717E-2</v>
      </c>
      <c r="CL162" s="848">
        <f>'Geographic Detail'!CL58-'Geographic Detail'!CL67</f>
        <v>3.1614340692728421E-2</v>
      </c>
      <c r="CM162" s="816">
        <f>'Geographic Detail'!CM58-'Geographic Detail'!CM67</f>
        <v>1.2636538409466408E-2</v>
      </c>
      <c r="CN162" s="110"/>
      <c r="CO162" s="848">
        <f>'Geographic Detail'!CO58-'Geographic Detail'!CO67</f>
        <v>3.4575252663206796E-2</v>
      </c>
      <c r="CP162" s="848">
        <f>'Geographic Detail'!CP58-'Geographic Detail'!CP67</f>
        <v>6.229601518026559E-2</v>
      </c>
      <c r="CQ162" s="848">
        <f>'Geographic Detail'!CQ58-'Geographic Detail'!CQ67</f>
        <v>5.7237581478983973E-2</v>
      </c>
      <c r="CR162" s="848">
        <f>'Geographic Detail'!CR58-'Geographic Detail'!CR67</f>
        <v>0.06</v>
      </c>
      <c r="CS162" s="816">
        <f>'Geographic Detail'!CS58-'Geographic Detail'!CS67</f>
        <v>0.06</v>
      </c>
      <c r="CT162" s="157"/>
      <c r="CU162" s="848">
        <f>'Geographic Detail'!CU58-'Geographic Detail'!CU67</f>
        <v>4.0000000000000008E-2</v>
      </c>
      <c r="CV162" s="848">
        <f>'Geographic Detail'!CV58-'Geographic Detail'!CV67</f>
        <v>-0.06</v>
      </c>
      <c r="CW162" s="848">
        <f>'Geographic Detail'!CW58-'Geographic Detail'!CW67</f>
        <v>-0.10442222248964717</v>
      </c>
      <c r="CX162" s="848">
        <f>'Geographic Detail'!CX58-'Geographic Detail'!CX67</f>
        <v>-0.09</v>
      </c>
      <c r="CY162" s="816">
        <f>'Geographic Detail'!CY58-'Geographic Detail'!CY67</f>
        <v>-0.06</v>
      </c>
      <c r="CZ162" s="157"/>
      <c r="DA162" s="848">
        <f>'Geographic Detail'!DA58-'Geographic Detail'!DA67</f>
        <v>-3.3223478381656069E-2</v>
      </c>
      <c r="DB162" s="848">
        <f>'Geographic Detail'!DB58-'Geographic Detail'!DB67</f>
        <v>5.3393784081251838E-2</v>
      </c>
      <c r="DC162" s="848">
        <f>'Geographic Detail'!DC58-'Geographic Detail'!DC67</f>
        <v>4.9999999999999989E-2</v>
      </c>
      <c r="DD162" s="848">
        <f>'Geographic Detail'!DD58-'Geographic Detail'!DD67</f>
        <v>1.1118425881908811E-2</v>
      </c>
      <c r="DE162" s="816">
        <f>'Geographic Detail'!DE58-'Geographic Detail'!DE67</f>
        <v>2.5681101033667053E-2</v>
      </c>
      <c r="DF162" s="157"/>
      <c r="DG162" s="848">
        <f>'Geographic Detail'!DG58-'Geographic Detail'!DG67</f>
        <v>-1.0000000000000009E-2</v>
      </c>
      <c r="DH162" s="848">
        <f>'Geographic Detail'!DH58-'Geographic Detail'!DH67</f>
        <v>-2.0495150252048067E-2</v>
      </c>
      <c r="DI162" s="848">
        <f>'Geographic Detail'!DI58-'Geographic Detail'!DI67</f>
        <v>2.0000000000000018E-2</v>
      </c>
      <c r="DJ162" s="848">
        <f>'Geographic Detail'!DJ58-'Geographic Detail'!DJ67</f>
        <v>5.4043934664975257E-2</v>
      </c>
      <c r="DK162" s="816">
        <f>'Geographic Detail'!DK58-'Geographic Detail'!DK67</f>
        <v>8.0348225428596987E-3</v>
      </c>
      <c r="DL162" s="157"/>
      <c r="DM162" s="848">
        <f>'Geographic Detail'!DM58-'Geographic Detail'!DM67</f>
        <v>0.06</v>
      </c>
      <c r="DN162" s="848">
        <v>0</v>
      </c>
      <c r="DO162" s="848">
        <f>'Geographic Detail'!DO58-'Geographic Detail'!DO67</f>
        <v>-9.0243357214465636E-3</v>
      </c>
      <c r="DP162" s="848">
        <f>'Geographic Detail'!DP58-'Geographic Detail'!DP67</f>
        <v>-4.2784660579438416E-2</v>
      </c>
      <c r="DQ162" s="816">
        <f>'Geographic Detail'!DQ58-'Geographic Detail'!DQ67</f>
        <v>3.4660249233466889E-3</v>
      </c>
      <c r="DR162" s="157"/>
      <c r="DS162" s="848">
        <f>'Geographic Detail'!DS58-'Geographic Detail'!DS67</f>
        <v>-4.7624518811688055E-2</v>
      </c>
      <c r="DT162" s="848">
        <f>'Geographic Detail'!DT58-'Geographic Detail'!DT67</f>
        <v>-1.2166413251415431E-2</v>
      </c>
      <c r="DU162" s="848">
        <v>-0.01</v>
      </c>
      <c r="DV162" s="848">
        <f>'Geographic Detail'!DV58-'Geographic Detail'!DV67</f>
        <v>-2.356124567661344E-2</v>
      </c>
      <c r="DW162" s="816">
        <f>'Geographic Detail'!DW58-'Geographic Detail'!DW67</f>
        <v>-2.4500271640664151E-2</v>
      </c>
      <c r="DX162" s="157"/>
      <c r="DY162" s="848">
        <f>'Geographic Detail'!DY58-'Geographic Detail'!DY67</f>
        <v>-2.0998685145519058E-2</v>
      </c>
      <c r="DZ162" s="848">
        <f>'Geographic Detail'!DZ58-'Geographic Detail'!DZ67</f>
        <v>-1.9290879010039896E-2</v>
      </c>
      <c r="EA162" s="848">
        <f>'Geographic Detail'!EA58-'Geographic Detail'!EA67</f>
        <v>-1.4066029152205228E-2</v>
      </c>
      <c r="EB162" s="848">
        <f>'Geographic Detail'!EB58-'Geographic Detail'!EB67</f>
        <v>0</v>
      </c>
      <c r="EC162" s="816">
        <f>'Geographic Detail'!EC58-'Geographic Detail'!EC67</f>
        <v>-1.2022028346011737E-2</v>
      </c>
      <c r="ED162" s="157"/>
      <c r="EE162" s="848">
        <f>'Geographic Detail'!EE58-'Geographic Detail'!EE67</f>
        <v>1.0000000000000002E-2</v>
      </c>
      <c r="EF162" s="848">
        <f>'Geographic Detail'!EF58-'Geographic Detail'!EF67</f>
        <v>-4.0000000000000008E-2</v>
      </c>
      <c r="EG162" s="848">
        <f>'Geographic Detail'!EG58-'Geographic Detail'!EG67</f>
        <v>-0.06</v>
      </c>
      <c r="EH162" s="848">
        <f>'Geographic Detail'!EH58-'Geographic Detail'!EH67</f>
        <v>-7.6734505978679007E-2</v>
      </c>
      <c r="EI162" s="816">
        <f>'Geographic Detail'!EI58-'Geographic Detail'!EI67</f>
        <v>-0.04</v>
      </c>
      <c r="EJ162" s="157"/>
      <c r="EK162" s="848">
        <f>'Geographic Detail'!EK58-'Geographic Detail'!EK67</f>
        <v>-9.0000000000000011E-2</v>
      </c>
      <c r="EL162" s="848">
        <f>'Geographic Detail'!EL58-'Geographic Detail'!EL67</f>
        <v>-6.2769008448199201E-2</v>
      </c>
      <c r="EM162" s="848">
        <f>'Geographic Detail'!EM58-'Geographic Detail'!EM67</f>
        <v>-4.1008431329043714E-2</v>
      </c>
      <c r="EN162" s="848">
        <f>'Geographic Detail'!EN58-'Geographic Detail'!EN67</f>
        <v>-8.1319365798414485E-3</v>
      </c>
      <c r="EO162" s="816">
        <f>'Geographic Detail'!EO58-'Geographic Detail'!EO67</f>
        <v>-4.8063145964325232E-2</v>
      </c>
      <c r="EP162" s="157"/>
      <c r="EQ162" s="848">
        <f>'Geographic Detail'!EQ58-'Geographic Detail'!EQ67</f>
        <v>-1.3419691719905237E-2</v>
      </c>
      <c r="ER162" s="848">
        <f>'Geographic Detail'!ER58-'Geographic Detail'!ER67</f>
        <v>-7.81898201505523E-3</v>
      </c>
      <c r="ES162" s="848">
        <f>'Geographic Detail'!ES58-'Geographic Detail'!ES67</f>
        <v>-2.3258572352814338E-3</v>
      </c>
      <c r="ET162" s="848">
        <f>'Geographic Detail'!ET58-'Geographic Detail'!ET67</f>
        <v>-9.9454890978195598E-3</v>
      </c>
      <c r="EU162" s="816">
        <f>'Geographic Detail'!EU58-'Geographic Detail'!EU67</f>
        <v>-8.3615411695169284E-3</v>
      </c>
      <c r="EV162" s="1831"/>
      <c r="EW162" s="848">
        <f>'Geographic Detail'!EW58-'Geographic Detail'!EW67</f>
        <v>1.3361354629518429E-2</v>
      </c>
      <c r="EX162" s="848">
        <f>'Geographic Detail'!EX58-'Geographic Detail'!EX67</f>
        <v>1.6204221334854538E-2</v>
      </c>
      <c r="EY162" s="848">
        <f>'Geographic Detail'!EY58-'Geographic Detail'!EY67</f>
        <v>4.4295264623955437E-2</v>
      </c>
      <c r="EZ162" s="848">
        <f>'Geographic Detail'!EZ58-'Geographic Detail'!EZ67</f>
        <v>3.2500000000000001E-2</v>
      </c>
      <c r="FA162" s="816">
        <f>'Geographic Detail'!FA58-'Geographic Detail'!FA67</f>
        <v>7.4150780051241288E-2</v>
      </c>
      <c r="FB162" s="1831"/>
      <c r="FC162" s="848">
        <f>'Geographic Detail'!FC58-'Geographic Detail'!FC67</f>
        <v>2.3E-2</v>
      </c>
      <c r="FD162" s="848">
        <f>'Geographic Detail'!FD58-'Geographic Detail'!FD67</f>
        <v>1.7999999999999999E-2</v>
      </c>
      <c r="FE162" s="848">
        <f>'Geographic Detail'!FE58-'Geographic Detail'!FE67</f>
        <v>8.0000000000000002E-3</v>
      </c>
      <c r="FF162" s="848">
        <f>'Geographic Detail'!FF58-'Geographic Detail'!FF67</f>
        <v>0</v>
      </c>
      <c r="FG162" s="816">
        <f>'Geographic Detail'!FG58-'Geographic Detail'!FG67</f>
        <v>0</v>
      </c>
      <c r="FH162" s="1831"/>
      <c r="FI162" s="848">
        <f>'Geographic Detail'!FI58-'Geographic Detail'!FI67</f>
        <v>0</v>
      </c>
      <c r="FJ162" s="848">
        <f>'Geographic Detail'!FJ58-'Geographic Detail'!FJ67</f>
        <v>0</v>
      </c>
      <c r="FK162" s="848">
        <f>'Geographic Detail'!FK58-'Geographic Detail'!FK67</f>
        <v>0</v>
      </c>
      <c r="FL162" s="848">
        <f>'Geographic Detail'!FL58-'Geographic Detail'!FL67</f>
        <v>0</v>
      </c>
      <c r="FM162" s="816">
        <f>'Geographic Detail'!FM58-'Geographic Detail'!FM67</f>
        <v>0</v>
      </c>
      <c r="FQ162"/>
      <c r="FR162"/>
      <c r="FS162"/>
      <c r="FT162"/>
      <c r="FU162"/>
      <c r="FV162"/>
      <c r="GB162" s="613"/>
      <c r="GC162" s="613"/>
      <c r="GD162" s="613"/>
      <c r="GE162" s="613"/>
      <c r="GF162" s="613"/>
      <c r="GG162" s="613"/>
      <c r="GH162" s="613"/>
      <c r="GI162" s="613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</row>
    <row r="163" spans="1:274" s="1517" customFormat="1" collapsed="1" x14ac:dyDescent="0.2">
      <c r="A163" s="1517" t="s">
        <v>667</v>
      </c>
      <c r="C163" s="1578" t="s">
        <v>945</v>
      </c>
      <c r="D163" s="1577">
        <f t="shared" ref="D163:M163" si="113">D160/C114-1</f>
        <v>0.82076287848997209</v>
      </c>
      <c r="E163" s="1577">
        <f t="shared" si="113"/>
        <v>1.3906094769124446</v>
      </c>
      <c r="F163" s="1577">
        <f t="shared" si="113"/>
        <v>1.3714698708103712</v>
      </c>
      <c r="G163" s="1577">
        <f t="shared" si="113"/>
        <v>1.1494487577048207</v>
      </c>
      <c r="H163" s="1577">
        <f t="shared" si="113"/>
        <v>1.0693835448915858</v>
      </c>
      <c r="I163" s="1577">
        <f t="shared" si="113"/>
        <v>0.56969852689277167</v>
      </c>
      <c r="J163" s="1577">
        <f t="shared" si="113"/>
        <v>0.12173746985453793</v>
      </c>
      <c r="K163" s="1577">
        <f t="shared" si="113"/>
        <v>0.14694406045436104</v>
      </c>
      <c r="L163" s="1577">
        <f t="shared" si="113"/>
        <v>0.27480916030534353</v>
      </c>
      <c r="M163" s="1577">
        <f t="shared" si="113"/>
        <v>0.33143512974051892</v>
      </c>
      <c r="O163" s="1578" t="s">
        <v>945</v>
      </c>
      <c r="P163" s="1578" t="s">
        <v>945</v>
      </c>
      <c r="Q163" s="1578" t="s">
        <v>945</v>
      </c>
      <c r="R163" s="1578" t="s">
        <v>945</v>
      </c>
      <c r="S163" s="1577">
        <f>S160/M114-1</f>
        <v>0.48258873536027069</v>
      </c>
      <c r="U163" s="1577">
        <f>U160/O114-1</f>
        <v>0.38695249014329502</v>
      </c>
      <c r="V163" s="1577">
        <f>V160/P114-1</f>
        <v>0.44268067076445661</v>
      </c>
      <c r="W163" s="1577">
        <f>W160/Q114-1</f>
        <v>0.41259406434104773</v>
      </c>
      <c r="X163" s="1577">
        <f>X160/R114-1</f>
        <v>0.4383576043910915</v>
      </c>
      <c r="Y163" s="1577">
        <f>Y160/S114-1</f>
        <v>0.42342084844742534</v>
      </c>
      <c r="AA163" s="1577">
        <f>AA160/U114-1</f>
        <v>0.36345544134967089</v>
      </c>
      <c r="AB163" s="1577">
        <f>AB160/V114-1</f>
        <v>0.35612512926577056</v>
      </c>
      <c r="AC163" s="1577">
        <f>AC160/W114-1</f>
        <v>0.3453837777226707</v>
      </c>
      <c r="AD163" s="1577">
        <f>AD160/X114-1</f>
        <v>0.33055501292967437</v>
      </c>
      <c r="AE163" s="1577">
        <f>AE160/Y114-1</f>
        <v>0.34600517721985358</v>
      </c>
      <c r="AG163" s="1577">
        <f>AG160/AA114-1</f>
        <v>0.30077286450211393</v>
      </c>
      <c r="AH163" s="1577">
        <f>AH160/AB114-1</f>
        <v>0.23056292908272469</v>
      </c>
      <c r="AI163" s="1577">
        <f>AI160/AC114-1</f>
        <v>0.27403499748290328</v>
      </c>
      <c r="AJ163" s="1577">
        <f>AJ160/AD114-1</f>
        <v>0.23845719087632578</v>
      </c>
      <c r="AK163" s="1577">
        <f>AK160/AE114-1</f>
        <v>0.25676332292813098</v>
      </c>
      <c r="AM163" s="1577">
        <f>AM160/AG114-1</f>
        <v>0.27781576648052186</v>
      </c>
      <c r="AN163" s="1577">
        <f>AN160/AH114-1</f>
        <v>0.27403457957882638</v>
      </c>
      <c r="AO163" s="1577">
        <f>AO160/AI114-1</f>
        <v>0.18879867242847359</v>
      </c>
      <c r="AP163" s="1577">
        <f>AP160/AJ114-1</f>
        <v>0.21998480447890678</v>
      </c>
      <c r="AQ163" s="1577">
        <f>AQ160/AK114-1</f>
        <v>0.2356409310646268</v>
      </c>
      <c r="AS163" s="1577">
        <f>AS160/AM114-1</f>
        <v>0.13458673268119226</v>
      </c>
      <c r="AT163" s="1577">
        <f>AT160/AN114-1</f>
        <v>0.12935128583268773</v>
      </c>
      <c r="AU163" s="1577">
        <f>AU160/AO114-1</f>
        <v>0.17821657399034097</v>
      </c>
      <c r="AV163" s="1577">
        <f>AV160/AP114-1</f>
        <v>0.14644624123171535</v>
      </c>
      <c r="AW163" s="1577">
        <f>AW160/AQ114-1</f>
        <v>0.14759700980554302</v>
      </c>
      <c r="AY163" s="1577">
        <f>AY160/AS114-1</f>
        <v>0.15292134055792928</v>
      </c>
      <c r="AZ163" s="1577">
        <f>AZ160/AT114-1</f>
        <v>0.15699542138858846</v>
      </c>
      <c r="BA163" s="1577">
        <f>BA160/AU114-1</f>
        <v>0.10069494059405137</v>
      </c>
      <c r="BB163" s="1577">
        <f>BB160/AV114-1</f>
        <v>-2.4917686875242762E-2</v>
      </c>
      <c r="BC163" s="1577">
        <f>BC160/AW114-1</f>
        <v>8.1989487200951228E-2</v>
      </c>
      <c r="BE163" s="1577">
        <f>BE160/AY114-1</f>
        <v>-1.0024947639677206E-2</v>
      </c>
      <c r="BF163" s="1577">
        <f>BF160/AZ114-1</f>
        <v>-0.11389595325803081</v>
      </c>
      <c r="BG163" s="1577">
        <f>BG160/BA114-1</f>
        <v>-0.16421803356154285</v>
      </c>
      <c r="BH163" s="1577">
        <f>BH160/BB114-1</f>
        <v>-0.15690362071952413</v>
      </c>
      <c r="BI163" s="1577">
        <f>BI160/BC114-1</f>
        <v>-0.11750161394919223</v>
      </c>
      <c r="BK163" s="1577">
        <f>BK160/BE114-1</f>
        <v>-0.10465750279794528</v>
      </c>
      <c r="BL163" s="1577">
        <f>BL160/BF114-1</f>
        <v>-3.0010035972386495E-2</v>
      </c>
      <c r="BM163" s="1577">
        <f>BM160/BG114-1</f>
        <v>2.3822626169385686E-2</v>
      </c>
      <c r="BN163" s="1577">
        <f>BN160/BH114-1</f>
        <v>2.0699132402132392E-2</v>
      </c>
      <c r="BO163" s="1577">
        <f>BO160/BI114-1</f>
        <v>-2.0407032384544999E-2</v>
      </c>
      <c r="BQ163" s="1577">
        <f>BQ160/BK114-1</f>
        <v>2.1696252465483346E-2</v>
      </c>
      <c r="BR163" s="1577">
        <f>BR160/BL114-1</f>
        <v>8.1853616284105701E-2</v>
      </c>
      <c r="BS163" s="1577">
        <f>BS160/BM114-1</f>
        <v>8.7559601213697436E-2</v>
      </c>
      <c r="BT163" s="1577">
        <f>BT160/BN114-1</f>
        <v>8.6741541286995849E-2</v>
      </c>
      <c r="BU163" s="1577">
        <f>BU160/BO114-1</f>
        <v>7.1828102243704839E-2</v>
      </c>
      <c r="BW163" s="1577">
        <f>BW160/BQ114-1</f>
        <v>6.9015444015444016E-2</v>
      </c>
      <c r="BX163" s="1577">
        <f>BX160/BR114-1</f>
        <v>0.10328262610088079</v>
      </c>
      <c r="BY163" s="1577">
        <f>BY160/BS114-1</f>
        <v>8.3698684734954121E-2</v>
      </c>
      <c r="BZ163" s="1577">
        <f>BZ160/BT114-1</f>
        <v>0.13324666883327918</v>
      </c>
      <c r="CA163" s="1577">
        <f>CA160/BU114-1</f>
        <v>0.10053170539582523</v>
      </c>
      <c r="CC163" s="1577">
        <f>CC160/BW114-1</f>
        <v>6.614930022573362E-2</v>
      </c>
      <c r="CD163" s="1577">
        <f>CD160/BX114-1</f>
        <v>2.9095860486211933E-2</v>
      </c>
      <c r="CE163" s="1577">
        <f>CE160/BY114-1</f>
        <v>5.3810185602166216E-2</v>
      </c>
      <c r="CF163" s="1577">
        <f>CF160/BZ114-1</f>
        <v>0.137714622379701</v>
      </c>
      <c r="CG163" s="1579">
        <f>CG160/CA114-1</f>
        <v>7.851939840887745E-2</v>
      </c>
      <c r="CI163" s="1577">
        <f>CI160/CC114-1</f>
        <v>0.13243894048847604</v>
      </c>
      <c r="CJ163" s="1577">
        <f>CJ160/CD114-1</f>
        <v>0.11255156157925761</v>
      </c>
      <c r="CK163" s="1577">
        <f>CK160/(CE114-CE120)-1</f>
        <v>0.17041089512280294</v>
      </c>
      <c r="CL163" s="1577">
        <f>CL160/CF114-1</f>
        <v>0.11464452096414823</v>
      </c>
      <c r="CM163" s="1579">
        <f>CM160/CG114-1</f>
        <v>0.11850477918280045</v>
      </c>
      <c r="CO163" s="1577">
        <f>CO160/CI114-1</f>
        <v>0.1647090958754438</v>
      </c>
      <c r="CP163" s="1577">
        <f>CP160/CJ114-1</f>
        <v>0.19331119544592035</v>
      </c>
      <c r="CQ163" s="1577">
        <f>CQ160/CK114-1</f>
        <v>0.1562148797482581</v>
      </c>
      <c r="CR163" s="1577">
        <f>CR160/CL114-1</f>
        <v>0.17989332823389437</v>
      </c>
      <c r="CS163" s="1579">
        <f>CS160/CM114-1</f>
        <v>0.17416181283980459</v>
      </c>
      <c r="CT163" s="1580"/>
      <c r="CU163" s="1577">
        <f>CU160/CO114-1</f>
        <v>0.11900275908991942</v>
      </c>
      <c r="CV163" s="1577">
        <f>CV160/CP114-1</f>
        <v>-6.6376456002982254E-3</v>
      </c>
      <c r="CW163" s="1577">
        <f>CW160/CQ114-1</f>
        <v>-5.2119660770806209E-2</v>
      </c>
      <c r="CX163" s="1577">
        <f>CX160/CR114-1</f>
        <v>-9.6244816920752707E-2</v>
      </c>
      <c r="CY163" s="1581">
        <f>CY160/CS114-1</f>
        <v>-2.0775702972267718E-2</v>
      </c>
      <c r="CZ163" s="1582"/>
      <c r="DA163" s="1577">
        <f>DA160/CU114-1</f>
        <v>-7.2344153448911874E-2</v>
      </c>
      <c r="DB163" s="1577">
        <f>DB160/CV114-1</f>
        <v>2.6375945138034096E-2</v>
      </c>
      <c r="DC163" s="1577">
        <f>DC160/CW114-1</f>
        <v>6.7659883720930125E-2</v>
      </c>
      <c r="DD163" s="1577">
        <f>DD160/CX114-1</f>
        <v>7.8040982415346516E-2</v>
      </c>
      <c r="DE163" s="1581">
        <f>DE160/CY114-1</f>
        <v>2.8396611900910917E-2</v>
      </c>
      <c r="DF163" s="1580"/>
      <c r="DG163" s="1577">
        <f>DG160/DA114-1</f>
        <v>6.6776999105352619E-2</v>
      </c>
      <c r="DH163" s="1577">
        <f>DH160/DB114-1</f>
        <v>8.342107931880105E-2</v>
      </c>
      <c r="DI163" s="1577">
        <f>DI160/DC114-1</f>
        <v>0.11950439452173534</v>
      </c>
      <c r="DJ163" s="1577">
        <f>DJ160/DD114-1</f>
        <v>0.10320838957532974</v>
      </c>
      <c r="DK163" s="1581">
        <f>DK160/DE114-1</f>
        <v>9.5987566455436824E-2</v>
      </c>
      <c r="DL163" s="1582"/>
      <c r="DM163" s="1577">
        <f>DM160/DG114-1</f>
        <v>8.8560885608855999E-2</v>
      </c>
      <c r="DN163" s="1577">
        <f>DN160/DH114-1</f>
        <v>2.1279043018174182E-3</v>
      </c>
      <c r="DO163" s="1577">
        <f>DO160/DI114-1</f>
        <v>1.4193164528216284E-2</v>
      </c>
      <c r="DP163" s="1577">
        <f>DP160/DJ114-1</f>
        <v>-4.8625768573015149E-3</v>
      </c>
      <c r="DQ163" s="1581">
        <f>DQ160/DK114-1</f>
        <v>2.1255166303942197E-2</v>
      </c>
      <c r="DR163" s="1582"/>
      <c r="DS163" s="1577">
        <f>DS160/DM114-1</f>
        <v>-4.3927125506072806E-2</v>
      </c>
      <c r="DT163" s="1577">
        <f>DT160/DN114-1</f>
        <v>1.5225286573601116E-2</v>
      </c>
      <c r="DU163" s="1577">
        <f>DU160/DO114-1</f>
        <v>-2.4441270345844202E-2</v>
      </c>
      <c r="DV163" s="1577">
        <f>DV160/DP114-1</f>
        <v>-9.2558612450298616E-3</v>
      </c>
      <c r="DW163" s="1581">
        <f>DW160/DQ114-1</f>
        <v>-1.4980542364645633E-2</v>
      </c>
      <c r="DX163" s="1582"/>
      <c r="DY163" s="1577">
        <f>DY160/DS114-1</f>
        <v>1.0521218499421892E-3</v>
      </c>
      <c r="DZ163" s="1577">
        <f>DZ160/DT114-1</f>
        <v>1.4265335235377208E-3</v>
      </c>
      <c r="EA163" s="1577">
        <f>EA160/DU114-1</f>
        <v>1.7288420503991819E-2</v>
      </c>
      <c r="EB163" s="1577">
        <f>EB160/DV114-1</f>
        <v>1.8573426998753195E-2</v>
      </c>
      <c r="EC163" s="1581">
        <f>EC160/DW114-1</f>
        <v>1.0208502228553851E-2</v>
      </c>
      <c r="ED163" s="1582"/>
      <c r="EE163" s="1577">
        <f>EE160/DY114-1</f>
        <v>1.48257009903352E-2</v>
      </c>
      <c r="EF163" s="1577">
        <f>EF160/DZ114-1</f>
        <v>-3.1473148766614223E-5</v>
      </c>
      <c r="EG163" s="1577">
        <f>EG160/EA114-1</f>
        <v>-3.83201206702386E-2</v>
      </c>
      <c r="EH163" s="1577">
        <f>EH160/EB114-1</f>
        <v>-8.8822920521520299E-2</v>
      </c>
      <c r="EI163" s="1581">
        <f>EI160/EC114-1</f>
        <v>-3.2345602065266044E-2</v>
      </c>
      <c r="EJ163" s="1582"/>
      <c r="EK163" s="1577">
        <f>EK160/EE114-1</f>
        <v>-6.6527412133848385E-2</v>
      </c>
      <c r="EL163" s="1577">
        <f>EL160/EF114-1</f>
        <v>-7.4734596169858336E-2</v>
      </c>
      <c r="EM163" s="1577">
        <f>EM160/EG114-1</f>
        <v>-3.7068780801371326E-2</v>
      </c>
      <c r="EN163" s="1577">
        <f>EN160/EH114-1</f>
        <v>-1.2649365197908935E-2</v>
      </c>
      <c r="EO163" s="1581">
        <f>EO160/EI114-1</f>
        <v>-4.6313209864297211E-2</v>
      </c>
      <c r="EP163" s="1582"/>
      <c r="EQ163" s="1584">
        <f>EQ160/EK114-1</f>
        <v>9.7935155602886237E-3</v>
      </c>
      <c r="ER163" s="1584">
        <f>ER160/EL114-1</f>
        <v>-7.6481425762313648E-3</v>
      </c>
      <c r="ES163" s="1584">
        <f>ES160/EM114-1</f>
        <v>-1.1019648351337952E-2</v>
      </c>
      <c r="ET163" s="1584">
        <f>ET160/EN114-1</f>
        <v>-4.5592231885009937E-3</v>
      </c>
      <c r="EU163" s="1586">
        <f>EU160/EO114-1</f>
        <v>-3.6073705308063975E-3</v>
      </c>
      <c r="EV163" s="1587"/>
      <c r="EW163" s="1584">
        <f>EW160/EQ114-1</f>
        <v>2.9167350489417654E-2</v>
      </c>
      <c r="EX163" s="1584">
        <f>EX160/ER114-1</f>
        <v>3.1027664964200063E-2</v>
      </c>
      <c r="EY163" s="1584">
        <f>EY160/ES114-1</f>
        <v>5.4129825318093516E-2</v>
      </c>
      <c r="EZ163" s="1584">
        <f>EZ160/ET114-1</f>
        <v>2.272851349033167E-2</v>
      </c>
      <c r="FA163" s="1586">
        <f>FA160/EU114-1</f>
        <v>3.3862277711308453E-2</v>
      </c>
      <c r="FB163" s="1587"/>
      <c r="FC163" s="1584">
        <f>FC160/EW114-1</f>
        <v>3.6625560043136218E-2</v>
      </c>
      <c r="FD163" s="1584">
        <f>FD160/EX114-1</f>
        <v>3.6539671034598209E-2</v>
      </c>
      <c r="FE163" s="1584">
        <f>FE160/EY114-1</f>
        <v>3.2307231133390735E-2</v>
      </c>
      <c r="FF163" s="1584">
        <f>FF160/EZ114-1</f>
        <v>1.9107308187735317E-2</v>
      </c>
      <c r="FG163" s="1586">
        <f>FG160/FA114-1</f>
        <v>3.0620019339379079E-2</v>
      </c>
      <c r="FH163" s="1587"/>
      <c r="FI163" s="1584">
        <f>FI160/FC114-1</f>
        <v>4.0861215517648208E-2</v>
      </c>
      <c r="FJ163" s="1584">
        <f>FJ160/FD114-1</f>
        <v>3.6163195563325479E-2</v>
      </c>
      <c r="FK163" s="1584">
        <f>FK160/FE114-1</f>
        <v>3.4500426358212266E-2</v>
      </c>
      <c r="FL163" s="1584">
        <f>FL160/FF114-1</f>
        <v>2.3933269721764683E-2</v>
      </c>
      <c r="FM163" s="1586">
        <f>FM160/FG114-1</f>
        <v>3.3448350330823162E-2</v>
      </c>
      <c r="FQ163"/>
      <c r="FR163"/>
      <c r="FS163"/>
      <c r="FT163"/>
      <c r="FU163"/>
      <c r="FV163"/>
      <c r="GB163" s="1523"/>
      <c r="GC163" s="1523"/>
      <c r="GD163" s="1523"/>
      <c r="GE163" s="1523"/>
      <c r="GF163" s="1523"/>
      <c r="GG163" s="1523"/>
      <c r="GH163" s="1523"/>
      <c r="GI163" s="1523"/>
      <c r="GJ163" s="1522"/>
      <c r="GK163" s="1522"/>
      <c r="GL163" s="1522"/>
      <c r="GM163" s="1522"/>
      <c r="GN163" s="1522"/>
      <c r="GO163" s="1522"/>
      <c r="GP163" s="1522"/>
      <c r="GQ163" s="1522"/>
      <c r="GR163" s="1522"/>
      <c r="GS163" s="1522"/>
      <c r="GT163" s="1522"/>
      <c r="GU163" s="1522"/>
      <c r="GV163" s="1522"/>
      <c r="GW163" s="1522"/>
      <c r="GX163" s="1522"/>
      <c r="GY163" s="1522"/>
      <c r="GZ163" s="1522"/>
      <c r="HA163" s="1522"/>
      <c r="HB163" s="1522"/>
      <c r="HC163" s="1522"/>
      <c r="HD163" s="1522"/>
      <c r="HE163" s="1522"/>
      <c r="HF163" s="1522"/>
      <c r="HG163" s="1522"/>
      <c r="HH163" s="1522"/>
      <c r="HI163" s="1522"/>
      <c r="HJ163" s="1522"/>
      <c r="HK163" s="1522"/>
      <c r="HL163" s="1522"/>
      <c r="HM163" s="1522"/>
      <c r="HN163" s="1522"/>
      <c r="HO163" s="1522"/>
      <c r="HP163" s="1522"/>
      <c r="HQ163" s="1522"/>
      <c r="HR163" s="1522"/>
      <c r="HS163" s="1522"/>
      <c r="HT163" s="1522"/>
      <c r="HU163" s="1522"/>
      <c r="HV163" s="1522"/>
      <c r="HW163" s="1522"/>
      <c r="HX163" s="1522"/>
      <c r="HY163" s="1522"/>
      <c r="HZ163" s="1522"/>
      <c r="IA163" s="1522"/>
      <c r="IB163" s="1522"/>
      <c r="IC163" s="1522"/>
      <c r="ID163" s="1522"/>
      <c r="IE163" s="1522"/>
      <c r="IF163" s="1522"/>
      <c r="IG163" s="1522"/>
      <c r="IH163" s="1522"/>
      <c r="II163" s="1522"/>
      <c r="IJ163" s="1522"/>
      <c r="IK163" s="1522"/>
      <c r="IL163" s="1522"/>
      <c r="IM163" s="1522"/>
      <c r="IN163" s="1522"/>
      <c r="IO163" s="1522"/>
      <c r="IP163" s="1522"/>
      <c r="IQ163" s="1522"/>
      <c r="IR163" s="1522"/>
      <c r="IS163" s="1522"/>
      <c r="IT163" s="1522"/>
      <c r="IU163" s="1522"/>
      <c r="IV163" s="1522"/>
      <c r="IW163" s="1522"/>
      <c r="IX163" s="1522"/>
      <c r="IY163" s="1522"/>
      <c r="IZ163" s="1522"/>
      <c r="JA163" s="1522"/>
      <c r="JB163" s="1522"/>
      <c r="JC163" s="1522"/>
      <c r="JD163" s="1522"/>
      <c r="JE163" s="1522"/>
      <c r="JF163" s="1522"/>
      <c r="JG163" s="1522"/>
      <c r="JH163" s="1522"/>
      <c r="JI163" s="1522"/>
      <c r="JJ163" s="1522"/>
      <c r="JK163" s="1522"/>
      <c r="JL163" s="1522"/>
      <c r="JM163" s="1522"/>
      <c r="JN163" s="1522"/>
    </row>
    <row r="164" spans="1:274" s="947" customFormat="1" x14ac:dyDescent="0.2">
      <c r="A164" s="1228" t="s">
        <v>478</v>
      </c>
      <c r="B164" s="1422"/>
      <c r="C164" s="1423" t="s">
        <v>945</v>
      </c>
      <c r="D164" s="1423" t="s">
        <v>945</v>
      </c>
      <c r="E164" s="1423" t="s">
        <v>945</v>
      </c>
      <c r="F164" s="1423" t="s">
        <v>945</v>
      </c>
      <c r="G164" s="1423" t="s">
        <v>945</v>
      </c>
      <c r="H164" s="1422"/>
      <c r="I164" s="1423" t="s">
        <v>945</v>
      </c>
      <c r="J164" s="1423" t="s">
        <v>945</v>
      </c>
      <c r="K164" s="1423" t="s">
        <v>945</v>
      </c>
      <c r="L164" s="1423" t="s">
        <v>945</v>
      </c>
      <c r="M164" s="1423" t="s">
        <v>945</v>
      </c>
      <c r="N164" s="1422"/>
      <c r="O164" s="1423" t="s">
        <v>945</v>
      </c>
      <c r="P164" s="1423" t="s">
        <v>945</v>
      </c>
      <c r="Q164" s="1423" t="s">
        <v>945</v>
      </c>
      <c r="R164" s="1423" t="s">
        <v>945</v>
      </c>
      <c r="S164" s="1423" t="s">
        <v>945</v>
      </c>
      <c r="T164" s="1422"/>
      <c r="U164" s="1423" t="s">
        <v>945</v>
      </c>
      <c r="V164" s="1423" t="s">
        <v>945</v>
      </c>
      <c r="W164" s="1423" t="s">
        <v>945</v>
      </c>
      <c r="X164" s="1423" t="s">
        <v>945</v>
      </c>
      <c r="Y164" s="1423" t="s">
        <v>945</v>
      </c>
      <c r="Z164" s="1422"/>
      <c r="AA164" s="1424">
        <f>AA163-AA162</f>
        <v>0.40345544134967093</v>
      </c>
      <c r="AB164" s="1424">
        <f>AB163-AB162</f>
        <v>0.38612512926577058</v>
      </c>
      <c r="AC164" s="1424">
        <f>AC163-AC162</f>
        <v>0.38538377772267074</v>
      </c>
      <c r="AD164" s="1424">
        <f>AD163-AD162</f>
        <v>0.37055501292967435</v>
      </c>
      <c r="AE164" s="1424">
        <f>AE163-AE162</f>
        <v>0.3760051772198536</v>
      </c>
      <c r="AF164" s="1422"/>
      <c r="AG164" s="1424">
        <f>AG163-AG162</f>
        <v>0.35999904971781371</v>
      </c>
      <c r="AH164" s="1424">
        <f>AH163-AH162</f>
        <v>0.28999999999999998</v>
      </c>
      <c r="AI164" s="1424">
        <f>AI163-AI162</f>
        <v>0.33</v>
      </c>
      <c r="AJ164" s="1424">
        <f>AJ163-AJ162</f>
        <v>0.2799999999999998</v>
      </c>
      <c r="AK164" s="1424">
        <f>AK163-AK162</f>
        <v>0.30999982407795751</v>
      </c>
      <c r="AL164" s="1422"/>
      <c r="AM164" s="1424">
        <f>AM163-AM162</f>
        <v>0.33000093351015097</v>
      </c>
      <c r="AN164" s="1424">
        <f>AN163-AN162</f>
        <v>0.28000000000000069</v>
      </c>
      <c r="AO164" s="1424">
        <f>AO163-AO162</f>
        <v>0.19</v>
      </c>
      <c r="AP164" s="1424">
        <f>AP163-AP162</f>
        <v>0.24000000000000021</v>
      </c>
      <c r="AQ164" s="1424">
        <f>AQ163-AQ162</f>
        <v>0.25000017296530075</v>
      </c>
      <c r="AR164" s="1422"/>
      <c r="AS164" s="1424">
        <f>AS163-AS162</f>
        <v>0.14000000000000024</v>
      </c>
      <c r="AT164" s="1424">
        <f>AT163-AT162</f>
        <v>0.14999999999999977</v>
      </c>
      <c r="AU164" s="1424">
        <f>AU163-AU162</f>
        <v>0.2</v>
      </c>
      <c r="AV164" s="1424">
        <f>AV163-AV162</f>
        <v>0.17000000000000023</v>
      </c>
      <c r="AW164" s="1424">
        <f>AW163-AW162</f>
        <v>0.17</v>
      </c>
      <c r="AX164" s="1422"/>
      <c r="AY164" s="1424">
        <f>AY163-AY162</f>
        <v>0.17</v>
      </c>
      <c r="AZ164" s="1424">
        <f>AZ163-AZ162</f>
        <v>0.21000000000000021</v>
      </c>
      <c r="BA164" s="1424">
        <f>BA163-BA162</f>
        <v>0.13</v>
      </c>
      <c r="BB164" s="1424">
        <f>BB163-BB162</f>
        <v>-1.1102230246251565E-16</v>
      </c>
      <c r="BC164" s="1424">
        <f>BC163-BC162</f>
        <v>0.11</v>
      </c>
      <c r="BD164" s="1422"/>
      <c r="BE164" s="1424">
        <f>BE163-BE162</f>
        <v>0.02</v>
      </c>
      <c r="BF164" s="1424">
        <f>BF163-BF162</f>
        <v>-0.11000000000000011</v>
      </c>
      <c r="BG164" s="1424">
        <f>BG163-BG162</f>
        <v>-0.14000000000000001</v>
      </c>
      <c r="BH164" s="1424">
        <f>BH163-BH162</f>
        <v>-0.16</v>
      </c>
      <c r="BI164" s="1424">
        <f>BI163-BI162</f>
        <v>-0.1</v>
      </c>
      <c r="BJ164" s="1422"/>
      <c r="BK164" s="1424">
        <f>BK163-BK162</f>
        <v>-0.12</v>
      </c>
      <c r="BL164" s="1424">
        <f>BL163-BL162</f>
        <v>-0.05</v>
      </c>
      <c r="BM164" s="1424">
        <f>BM163-BM162</f>
        <v>-0.03</v>
      </c>
      <c r="BN164" s="1424">
        <f>BN163-BN162</f>
        <v>-0.04</v>
      </c>
      <c r="BO164" s="1424">
        <f>BO163-BO162</f>
        <v>-0.06</v>
      </c>
      <c r="BP164" s="1422"/>
      <c r="BQ164" s="1424">
        <f>BQ163-BQ162</f>
        <v>-2.0000000000000004E-2</v>
      </c>
      <c r="BR164" s="1424">
        <f>BR163-BR162</f>
        <v>9.999999999999995E-3</v>
      </c>
      <c r="BS164" s="1424">
        <f>BS163-BS162</f>
        <v>2.0000000000000004E-2</v>
      </c>
      <c r="BT164" s="1424">
        <f>BT163-BT162</f>
        <v>0.05</v>
      </c>
      <c r="BU164" s="1424">
        <f>BU163-BU162</f>
        <v>2.0000000000000004E-2</v>
      </c>
      <c r="BV164" s="1422"/>
      <c r="BW164" s="1424">
        <f>BW163-BW162</f>
        <v>0.03</v>
      </c>
      <c r="BX164" s="1424">
        <f>BX163-BX162</f>
        <v>0.06</v>
      </c>
      <c r="BY164" s="1424">
        <f>BY163-BY162</f>
        <v>4.3698684734954113E-2</v>
      </c>
      <c r="BZ164" s="1424">
        <f>BZ163-BZ162</f>
        <v>0.10540461488462788</v>
      </c>
      <c r="CA164" s="1424">
        <f>CA163-CA162</f>
        <v>6.4518560735358443E-2</v>
      </c>
      <c r="CB164" s="1422"/>
      <c r="CC164" s="1424">
        <f>CC163-CC162</f>
        <v>4.3733950338600447E-2</v>
      </c>
      <c r="CD164" s="1424">
        <f>CD163-CD162</f>
        <v>5.7600940312046545E-2</v>
      </c>
      <c r="CE164" s="1424">
        <f>CE163-CE162</f>
        <v>0.1132772923634735</v>
      </c>
      <c r="CF164" s="1424">
        <f>CF163-CF162</f>
        <v>0.16897057693028028</v>
      </c>
      <c r="CG164" s="1425">
        <f>CG163-CG162</f>
        <v>0.11260631646482566</v>
      </c>
      <c r="CH164" s="1422"/>
      <c r="CI164" s="1424">
        <f>CI163-CI162</f>
        <v>0.15306501547987605</v>
      </c>
      <c r="CJ164" s="1424">
        <f>CJ163-CJ162</f>
        <v>0.1003594578668239</v>
      </c>
      <c r="CK164" s="1424">
        <f>CK163-CK162</f>
        <v>0.14163995804720322</v>
      </c>
      <c r="CL164" s="1424">
        <f>CL163-CL162</f>
        <v>8.3030180271419812E-2</v>
      </c>
      <c r="CM164" s="1425">
        <f>CM163-CM162</f>
        <v>0.10586824077333404</v>
      </c>
      <c r="CN164" s="1422"/>
      <c r="CO164" s="1424">
        <f>CO163-CO162</f>
        <v>0.130133843212237</v>
      </c>
      <c r="CP164" s="1424">
        <f>CP163-CP162</f>
        <v>0.13101518026565476</v>
      </c>
      <c r="CQ164" s="1424">
        <f>CQ163-CQ162</f>
        <v>9.8977298269274122E-2</v>
      </c>
      <c r="CR164" s="1424">
        <f>CR163-CR162</f>
        <v>0.11989332823389437</v>
      </c>
      <c r="CS164" s="1425">
        <f>CS163-CS162</f>
        <v>0.11416181283980459</v>
      </c>
      <c r="CT164" s="1422"/>
      <c r="CU164" s="1424">
        <f>CU163-CU162</f>
        <v>7.9002759089919411E-2</v>
      </c>
      <c r="CV164" s="1424">
        <f>CV163-CV162</f>
        <v>5.3362354399701772E-2</v>
      </c>
      <c r="CW164" s="1424">
        <f>CW163-CW162</f>
        <v>5.2302561718840956E-2</v>
      </c>
      <c r="CX164" s="1424">
        <f>CX163-CX162</f>
        <v>-6.2448169207527104E-3</v>
      </c>
      <c r="CY164" s="1692">
        <f>CY163-CY162</f>
        <v>3.922429702773228E-2</v>
      </c>
      <c r="CZ164" s="1691"/>
      <c r="DA164" s="1691">
        <f>DA163-DA162</f>
        <v>-3.9120675067255806E-2</v>
      </c>
      <c r="DB164" s="1691">
        <f>DB163-DB162</f>
        <v>-2.7017838943217742E-2</v>
      </c>
      <c r="DC164" s="1691">
        <f>DC163-DC162</f>
        <v>1.7659883720930136E-2</v>
      </c>
      <c r="DD164" s="1691">
        <f>DD163-DD162</f>
        <v>6.6922556533437705E-2</v>
      </c>
      <c r="DE164" s="1692">
        <f>DE163-DE162</f>
        <v>2.7155108672438644E-3</v>
      </c>
      <c r="DF164" s="1691"/>
      <c r="DG164" s="1691">
        <f>DG163-DG162</f>
        <v>7.6776999105352628E-2</v>
      </c>
      <c r="DH164" s="1691">
        <f>DH163-DH162</f>
        <v>0.10391622957084912</v>
      </c>
      <c r="DI164" s="1691">
        <f>DI163-DI162</f>
        <v>9.9504394521735318E-2</v>
      </c>
      <c r="DJ164" s="1691">
        <f>DJ163-DJ162</f>
        <v>4.9164454910354483E-2</v>
      </c>
      <c r="DK164" s="1692">
        <f>DK163-DK162</f>
        <v>8.7952743912577125E-2</v>
      </c>
      <c r="DL164" s="1691"/>
      <c r="DM164" s="1691">
        <f>DM163-DM162</f>
        <v>2.8560885608856001E-2</v>
      </c>
      <c r="DN164" s="1691">
        <f>DN163-DN162</f>
        <v>2.1279043018174182E-3</v>
      </c>
      <c r="DO164" s="1691">
        <f>DO163-DO162</f>
        <v>2.3217500249662848E-2</v>
      </c>
      <c r="DP164" s="1691">
        <f>DP163-DP162</f>
        <v>3.7922083722136901E-2</v>
      </c>
      <c r="DQ164" s="1692">
        <f>DQ163-DQ162</f>
        <v>1.7789141380595508E-2</v>
      </c>
      <c r="DR164" s="1691"/>
      <c r="DS164" s="1691">
        <f>DS163-DS162</f>
        <v>3.6973933056152486E-3</v>
      </c>
      <c r="DT164" s="1691">
        <f>DT163-DT162</f>
        <v>2.7391699825016547E-2</v>
      </c>
      <c r="DU164" s="1691">
        <f>DU163-DU162</f>
        <v>-1.4441270345844201E-2</v>
      </c>
      <c r="DV164" s="1691">
        <f>DV163-DV162</f>
        <v>1.4305384431583579E-2</v>
      </c>
      <c r="DW164" s="1692">
        <f>DW163-DW162</f>
        <v>9.5197292760185181E-3</v>
      </c>
      <c r="DX164" s="1691"/>
      <c r="DY164" s="1691">
        <f>DY163-DY162</f>
        <v>2.2050806995461247E-2</v>
      </c>
      <c r="DZ164" s="1691">
        <f>DZ163-DZ162</f>
        <v>2.0717412533577617E-2</v>
      </c>
      <c r="EA164" s="1691">
        <f>EA163-EA162</f>
        <v>3.1354449656197048E-2</v>
      </c>
      <c r="EB164" s="1691">
        <f>EB163-EB162</f>
        <v>1.8573426998753195E-2</v>
      </c>
      <c r="EC164" s="1692">
        <f>EC163-EC162</f>
        <v>2.2230530574565588E-2</v>
      </c>
      <c r="ED164" s="1693"/>
      <c r="EE164" s="1691">
        <f>EE163-EE162</f>
        <v>4.825700990335198E-3</v>
      </c>
      <c r="EF164" s="1691">
        <f>EF163-EF162</f>
        <v>3.9968526851233394E-2</v>
      </c>
      <c r="EG164" s="1691">
        <f>EG163-EG162</f>
        <v>2.1679879329761398E-2</v>
      </c>
      <c r="EH164" s="1691">
        <f>EH163-EH162</f>
        <v>-1.2088414542841291E-2</v>
      </c>
      <c r="EI164" s="1692">
        <f>EI163-EI162</f>
        <v>7.6543979347339572E-3</v>
      </c>
      <c r="EJ164" s="1693"/>
      <c r="EK164" s="1691">
        <f>EK163-EK162</f>
        <v>2.3472587866151626E-2</v>
      </c>
      <c r="EL164" s="1691">
        <f>EL163-EL162</f>
        <v>-1.1965587721659135E-2</v>
      </c>
      <c r="EM164" s="1691">
        <f>EM163-EM162</f>
        <v>3.9396505276723878E-3</v>
      </c>
      <c r="EN164" s="1691">
        <f>EN163-EN162</f>
        <v>-4.5174286180674865E-3</v>
      </c>
      <c r="EO164" s="1692">
        <f>EO163-EO162</f>
        <v>1.7499361000280211E-3</v>
      </c>
      <c r="EP164" s="1693"/>
      <c r="EQ164" s="1759">
        <f>EQ163-EQ162</f>
        <v>2.3213207280193861E-2</v>
      </c>
      <c r="ER164" s="1759">
        <f>ER163-ER162</f>
        <v>1.7083943882386515E-4</v>
      </c>
      <c r="ES164" s="1759">
        <f>ES163-ES162</f>
        <v>-8.6937911160565179E-3</v>
      </c>
      <c r="ET164" s="1759">
        <f>ET163-ET162</f>
        <v>5.3862659093185661E-3</v>
      </c>
      <c r="EU164" s="1760">
        <f>EU163-EU162</f>
        <v>4.7541706387105309E-3</v>
      </c>
      <c r="EV164" s="1693"/>
      <c r="EW164" s="1759">
        <f>EW163-EW162</f>
        <v>1.5805995859899225E-2</v>
      </c>
      <c r="EX164" s="1759">
        <f>EX163-EX162</f>
        <v>1.4823443629345526E-2</v>
      </c>
      <c r="EY164" s="1759">
        <f>EY163-EY162</f>
        <v>9.8345606941380795E-3</v>
      </c>
      <c r="EZ164" s="1759">
        <f>EZ163-EZ162</f>
        <v>-9.7714865096683312E-3</v>
      </c>
      <c r="FA164" s="1760">
        <f>FA163-FA162</f>
        <v>-4.0288502339932836E-2</v>
      </c>
      <c r="FB164" s="1693"/>
      <c r="FC164" s="1759">
        <f>FC163-FC162</f>
        <v>1.3625560043136219E-2</v>
      </c>
      <c r="FD164" s="1759">
        <f>FD163-FD162</f>
        <v>1.853967103459821E-2</v>
      </c>
      <c r="FE164" s="1759">
        <f>FE163-FE162</f>
        <v>2.4307231133390735E-2</v>
      </c>
      <c r="FF164" s="1759">
        <f>FF163-FF162</f>
        <v>1.9107308187735317E-2</v>
      </c>
      <c r="FG164" s="1760">
        <f>FG163-FG162</f>
        <v>3.0620019339379079E-2</v>
      </c>
      <c r="FH164" s="1693"/>
      <c r="FI164" s="1759">
        <f>FI163-FI162</f>
        <v>4.0861215517648208E-2</v>
      </c>
      <c r="FJ164" s="1759">
        <f>FJ163-FJ162</f>
        <v>3.6163195563325479E-2</v>
      </c>
      <c r="FK164" s="1759">
        <f>FK163-FK162</f>
        <v>3.4500426358212266E-2</v>
      </c>
      <c r="FL164" s="1759">
        <f>FL163-FL162</f>
        <v>2.3933269721764683E-2</v>
      </c>
      <c r="FM164" s="1760">
        <f>FM163-FM162</f>
        <v>3.3448350330823162E-2</v>
      </c>
      <c r="FQ164"/>
      <c r="FR164"/>
      <c r="FS164"/>
      <c r="FT164"/>
      <c r="FU164"/>
      <c r="FV164"/>
      <c r="GB164" s="23"/>
      <c r="GC164" s="23"/>
      <c r="GD164" s="23"/>
      <c r="GE164" s="23"/>
      <c r="GF164" s="23"/>
      <c r="GG164" s="23"/>
      <c r="GH164" s="23"/>
      <c r="GI164" s="23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</row>
    <row r="165" spans="1:274" s="1649" customFormat="1" ht="13.5" thickBot="1" x14ac:dyDescent="0.25">
      <c r="A165" s="1651"/>
      <c r="B165" s="1651"/>
      <c r="C165" s="1652"/>
      <c r="D165" s="1652"/>
      <c r="E165" s="1652"/>
      <c r="F165" s="1652"/>
      <c r="G165" s="1652"/>
      <c r="H165" s="1651"/>
      <c r="I165" s="1652"/>
      <c r="J165" s="1652"/>
      <c r="K165" s="1652"/>
      <c r="L165" s="1652"/>
      <c r="M165" s="1652"/>
      <c r="N165" s="1651"/>
      <c r="O165" s="1652"/>
      <c r="P165" s="1652"/>
      <c r="Q165" s="1652"/>
      <c r="R165" s="1652"/>
      <c r="S165" s="1652"/>
      <c r="T165" s="1651"/>
      <c r="U165" s="1652"/>
      <c r="V165" s="1652"/>
      <c r="W165" s="1645"/>
      <c r="X165" s="1645"/>
      <c r="Y165" s="1645"/>
      <c r="Z165" s="1644"/>
      <c r="AA165" s="1646"/>
      <c r="AB165" s="1646"/>
      <c r="AC165" s="1646"/>
      <c r="AD165" s="1646"/>
      <c r="AE165" s="1646"/>
      <c r="AF165" s="1644"/>
      <c r="AG165" s="1646"/>
      <c r="AH165" s="1646"/>
      <c r="AI165" s="1646"/>
      <c r="AJ165" s="1646"/>
      <c r="AK165" s="1646"/>
      <c r="AL165" s="1644"/>
      <c r="AM165" s="1646"/>
      <c r="AN165" s="1646"/>
      <c r="AO165" s="1646"/>
      <c r="AP165" s="1646"/>
      <c r="AQ165" s="1646"/>
      <c r="AR165" s="1644"/>
      <c r="AS165" s="1646"/>
      <c r="AT165" s="1646"/>
      <c r="AU165" s="1646"/>
      <c r="AV165" s="1646"/>
      <c r="AW165" s="1646"/>
      <c r="AX165" s="1644"/>
      <c r="AY165" s="1646"/>
      <c r="AZ165" s="1646"/>
      <c r="BA165" s="1646"/>
      <c r="BB165" s="1646"/>
      <c r="BC165" s="1646"/>
      <c r="BD165" s="1644"/>
      <c r="BE165" s="1646"/>
      <c r="BF165" s="1646"/>
      <c r="BG165" s="1646"/>
      <c r="BH165" s="1646"/>
      <c r="BI165" s="1646"/>
      <c r="BJ165" s="1644"/>
      <c r="BK165" s="1646"/>
      <c r="BL165" s="1646"/>
      <c r="BM165" s="1646"/>
      <c r="BN165" s="1646"/>
      <c r="BO165" s="1646"/>
      <c r="BP165" s="1644"/>
      <c r="BQ165" s="1646"/>
      <c r="BR165" s="1646"/>
      <c r="BS165" s="1646"/>
      <c r="BT165" s="1646"/>
      <c r="BU165" s="1646"/>
      <c r="BV165" s="1644"/>
      <c r="BW165" s="1646"/>
      <c r="BX165" s="1646"/>
      <c r="BY165" s="1646"/>
      <c r="BZ165" s="1646"/>
      <c r="CA165" s="1646"/>
      <c r="CB165" s="1644"/>
      <c r="CC165" s="1646"/>
      <c r="CD165" s="1646"/>
      <c r="CE165" s="1646"/>
      <c r="CF165" s="1646"/>
      <c r="CG165" s="1647"/>
      <c r="CH165" s="1644"/>
      <c r="CI165" s="1646"/>
      <c r="CJ165" s="1646"/>
      <c r="CK165" s="1646"/>
      <c r="CL165" s="1646"/>
      <c r="CM165" s="1647"/>
      <c r="CN165" s="1644"/>
      <c r="CO165" s="1646"/>
      <c r="CP165" s="1646"/>
      <c r="CQ165" s="1646"/>
      <c r="CR165" s="1646"/>
      <c r="CS165" s="1647"/>
      <c r="CT165" s="1644"/>
      <c r="CU165" s="1646"/>
      <c r="CV165" s="1646"/>
      <c r="CW165" s="1646"/>
      <c r="CX165" s="1646"/>
      <c r="CY165" s="1648"/>
      <c r="CZ165" s="1646"/>
      <c r="DA165" s="1646"/>
      <c r="DB165" s="1646"/>
      <c r="DC165" s="1646"/>
      <c r="DD165" s="1646"/>
      <c r="DE165" s="1648"/>
      <c r="DF165" s="1644"/>
      <c r="DG165" s="1646"/>
      <c r="DH165" s="1646"/>
      <c r="DI165" s="1646"/>
      <c r="DJ165" s="1646"/>
      <c r="DK165" s="1648"/>
      <c r="DL165" s="1644"/>
      <c r="DM165" s="1646"/>
      <c r="DN165" s="1646"/>
      <c r="DO165" s="1646"/>
      <c r="DP165" s="1646"/>
      <c r="DQ165" s="1648"/>
      <c r="DR165" s="1646"/>
      <c r="DS165" s="1646"/>
      <c r="DT165" s="1646"/>
      <c r="DU165" s="1646"/>
      <c r="DV165" s="1646"/>
      <c r="DW165" s="1648"/>
      <c r="DX165" s="1646"/>
      <c r="DY165" s="1646"/>
      <c r="DZ165" s="1646"/>
      <c r="EA165" s="1646"/>
      <c r="EB165" s="1646"/>
      <c r="EC165" s="1648"/>
      <c r="ED165" s="1646"/>
      <c r="EE165" s="1646"/>
      <c r="EF165" s="1646"/>
      <c r="EG165" s="1646"/>
      <c r="EH165" s="1646"/>
      <c r="EI165" s="1648"/>
      <c r="EJ165" s="1644"/>
      <c r="EK165" s="1646"/>
      <c r="EL165" s="1646"/>
      <c r="EM165" s="1646"/>
      <c r="EN165" s="1646"/>
      <c r="EO165" s="1648"/>
      <c r="EP165" s="1644"/>
      <c r="EQ165" s="1646"/>
      <c r="ER165" s="1646"/>
      <c r="ES165" s="1646"/>
      <c r="ET165" s="1646"/>
      <c r="EU165" s="1648"/>
      <c r="EV165" s="1644"/>
      <c r="EW165" s="1646"/>
      <c r="EX165" s="1646"/>
      <c r="EY165" s="1646"/>
      <c r="EZ165" s="1646"/>
      <c r="FA165" s="1648"/>
      <c r="FB165" s="1644"/>
      <c r="FC165" s="1646"/>
      <c r="FD165" s="1646"/>
      <c r="FE165" s="1646"/>
      <c r="FF165" s="1646"/>
      <c r="FG165" s="1648"/>
      <c r="FH165" s="1644"/>
      <c r="FI165" s="1646"/>
      <c r="FJ165" s="1646"/>
      <c r="FK165" s="1646"/>
      <c r="FL165" s="1646"/>
      <c r="FM165" s="1648"/>
      <c r="FQ165"/>
      <c r="FR165"/>
      <c r="FS165"/>
      <c r="FT165"/>
      <c r="FU165"/>
      <c r="FV165"/>
      <c r="GB165" s="1615"/>
      <c r="GC165" s="1615"/>
      <c r="GD165" s="1615"/>
      <c r="GE165" s="1615"/>
      <c r="GF165" s="1615"/>
      <c r="GG165" s="1615"/>
      <c r="GH165" s="1615"/>
      <c r="GI165" s="1615"/>
      <c r="GJ165" s="1522"/>
      <c r="GK165" s="1522"/>
      <c r="GL165" s="1522"/>
      <c r="GM165" s="1522"/>
      <c r="GN165" s="1522"/>
      <c r="GO165" s="1522"/>
      <c r="GP165" s="1522"/>
      <c r="GQ165" s="1522"/>
      <c r="GR165" s="1522"/>
      <c r="GS165" s="1522"/>
      <c r="GT165" s="1522"/>
      <c r="GU165" s="1522"/>
      <c r="GV165" s="1522"/>
      <c r="GW165" s="1522"/>
      <c r="GX165" s="1522"/>
      <c r="GY165" s="1522"/>
      <c r="GZ165" s="1522"/>
      <c r="HA165" s="1522"/>
      <c r="HB165" s="1522"/>
      <c r="HC165" s="1522"/>
      <c r="HD165" s="1522"/>
      <c r="HE165" s="1522"/>
      <c r="HF165" s="1522"/>
      <c r="HG165" s="1522"/>
      <c r="HH165" s="1522"/>
      <c r="HI165" s="1522"/>
      <c r="HJ165" s="1522"/>
      <c r="HK165" s="1522"/>
      <c r="HL165" s="1522"/>
      <c r="HM165" s="1522"/>
      <c r="HN165" s="1522"/>
      <c r="HO165" s="1522"/>
      <c r="HP165" s="1522"/>
      <c r="HQ165" s="1522"/>
      <c r="HR165" s="1522"/>
      <c r="HS165" s="1522"/>
      <c r="HT165" s="1522"/>
      <c r="HU165" s="1522"/>
      <c r="HV165" s="1522"/>
      <c r="HW165" s="1522"/>
      <c r="HX165" s="1522"/>
      <c r="HY165" s="1522"/>
      <c r="HZ165" s="1522"/>
      <c r="IA165" s="1522"/>
      <c r="IB165" s="1522"/>
      <c r="IC165" s="1522"/>
      <c r="ID165" s="1522"/>
      <c r="IE165" s="1522"/>
      <c r="IF165" s="1522"/>
      <c r="IG165" s="1522"/>
      <c r="IH165" s="1522"/>
      <c r="II165" s="1522"/>
      <c r="IJ165" s="1522"/>
      <c r="IK165" s="1522"/>
      <c r="IL165" s="1522"/>
      <c r="IM165" s="1522"/>
      <c r="IN165" s="1522"/>
      <c r="IO165" s="1522"/>
      <c r="IP165" s="1522"/>
      <c r="IQ165" s="1522"/>
      <c r="IR165" s="1522"/>
      <c r="IS165" s="1522"/>
      <c r="IT165" s="1522"/>
      <c r="IU165" s="1522"/>
      <c r="IV165" s="1522"/>
      <c r="IW165" s="1522"/>
      <c r="IX165" s="1522"/>
      <c r="IY165" s="1522"/>
      <c r="IZ165" s="1522"/>
      <c r="JA165" s="1522"/>
      <c r="JB165" s="1522"/>
      <c r="JC165" s="1522"/>
      <c r="JD165" s="1522"/>
      <c r="JE165" s="1522"/>
      <c r="JF165" s="1522"/>
      <c r="JG165" s="1522"/>
      <c r="JH165" s="1522"/>
      <c r="JI165" s="1522"/>
      <c r="JJ165" s="1522"/>
      <c r="JK165" s="1522"/>
      <c r="JL165" s="1522"/>
      <c r="JM165" s="1522"/>
      <c r="JN165" s="1522"/>
    </row>
    <row r="166" spans="1:274" s="32" customFormat="1" hidden="1" outlineLevel="1" x14ac:dyDescent="0.2">
      <c r="A166" s="344" t="s">
        <v>1117</v>
      </c>
      <c r="B166" s="102"/>
      <c r="C166" s="102"/>
      <c r="D166" s="615"/>
      <c r="E166" s="615"/>
      <c r="F166" s="615"/>
      <c r="G166" s="615"/>
      <c r="H166" s="615"/>
      <c r="I166" s="615"/>
      <c r="J166" s="615"/>
      <c r="K166" s="615"/>
      <c r="L166" s="615"/>
      <c r="M166" s="615"/>
      <c r="N166" s="102"/>
      <c r="O166" s="102"/>
      <c r="P166" s="102"/>
      <c r="Q166" s="102"/>
      <c r="R166" s="102"/>
      <c r="S166" s="615"/>
      <c r="T166" s="102"/>
      <c r="U166" s="615"/>
      <c r="V166" s="615"/>
      <c r="W166" s="909"/>
      <c r="X166" s="909"/>
      <c r="Y166" s="909"/>
      <c r="Z166" s="908"/>
      <c r="AA166" s="909"/>
      <c r="AB166" s="909"/>
      <c r="AC166" s="909"/>
      <c r="AD166" s="909"/>
      <c r="AE166" s="909"/>
      <c r="AF166" s="908"/>
      <c r="AG166" s="909"/>
      <c r="AH166" s="909"/>
      <c r="AI166" s="909"/>
      <c r="AJ166" s="909"/>
      <c r="AK166" s="909"/>
      <c r="AL166" s="908"/>
      <c r="AM166" s="909"/>
      <c r="AN166" s="909"/>
      <c r="AO166" s="909"/>
      <c r="AP166" s="909"/>
      <c r="AQ166" s="909"/>
      <c r="AR166" s="908"/>
      <c r="AS166" s="909"/>
      <c r="AT166" s="909"/>
      <c r="AU166" s="909"/>
      <c r="AV166" s="909"/>
      <c r="AW166" s="909"/>
      <c r="AX166" s="908"/>
      <c r="AY166" s="909"/>
      <c r="AZ166" s="909"/>
      <c r="BA166" s="909"/>
      <c r="BB166" s="909"/>
      <c r="BC166" s="909"/>
      <c r="BD166" s="908"/>
      <c r="BE166" s="909"/>
      <c r="BF166" s="909"/>
      <c r="BG166" s="909"/>
      <c r="BH166" s="909"/>
      <c r="BI166" s="909"/>
      <c r="BJ166" s="908"/>
      <c r="BK166" s="893"/>
      <c r="BL166" s="893"/>
      <c r="BM166" s="893"/>
      <c r="BN166" s="893"/>
      <c r="BO166" s="893"/>
      <c r="BP166" s="895"/>
      <c r="BQ166" s="893"/>
      <c r="BR166" s="893"/>
      <c r="BS166" s="893"/>
      <c r="BT166" s="893"/>
      <c r="BU166" s="893"/>
      <c r="BV166" s="895"/>
      <c r="BW166" s="893"/>
      <c r="BX166" s="893"/>
      <c r="BY166" s="893"/>
      <c r="BZ166" s="893"/>
      <c r="CA166" s="893"/>
      <c r="CB166" s="895"/>
      <c r="CC166" s="893"/>
      <c r="CD166" s="893"/>
      <c r="CE166" s="893"/>
      <c r="CF166" s="893"/>
      <c r="CG166" s="910"/>
      <c r="CH166" s="895"/>
      <c r="CI166" s="893"/>
      <c r="CJ166" s="893"/>
      <c r="CK166" s="893"/>
      <c r="CL166" s="893"/>
      <c r="CM166" s="910"/>
      <c r="CN166" s="895"/>
      <c r="CO166" s="893"/>
      <c r="CP166" s="893"/>
      <c r="CQ166" s="893"/>
      <c r="CR166" s="893"/>
      <c r="CS166" s="910"/>
      <c r="CT166" s="443"/>
      <c r="CU166" s="367"/>
      <c r="CV166" s="367"/>
      <c r="CW166" s="367"/>
      <c r="CX166" s="367"/>
      <c r="CY166" s="446"/>
      <c r="CZ166" s="443"/>
      <c r="DA166" s="367"/>
      <c r="DB166" s="367"/>
      <c r="DC166" s="367"/>
      <c r="DD166" s="367"/>
      <c r="DE166" s="446"/>
      <c r="DF166" s="443"/>
      <c r="DG166" s="367"/>
      <c r="DH166" s="367"/>
      <c r="DI166" s="367"/>
      <c r="DJ166" s="367"/>
      <c r="DK166" s="446"/>
      <c r="DL166" s="443"/>
      <c r="DM166" s="367"/>
      <c r="DN166" s="367"/>
      <c r="DO166" s="367"/>
      <c r="DP166" s="367"/>
      <c r="DQ166" s="446"/>
      <c r="DR166" s="443"/>
      <c r="DS166" s="367">
        <f>Model!DS29</f>
        <v>119</v>
      </c>
      <c r="DT166" s="367">
        <f>Model!DT29</f>
        <v>114</v>
      </c>
      <c r="DU166" s="367">
        <f>Model!DU29</f>
        <v>110</v>
      </c>
      <c r="DV166" s="367">
        <f>Model!DV29</f>
        <v>113</v>
      </c>
      <c r="DW166" s="1448">
        <f>SUM(DS166:DV166)</f>
        <v>456</v>
      </c>
      <c r="DX166" s="443"/>
      <c r="DY166" s="367">
        <f>Model!DY29</f>
        <v>109</v>
      </c>
      <c r="DZ166" s="367">
        <f>Model!DZ29</f>
        <v>97</v>
      </c>
      <c r="EA166" s="367">
        <f>Model!EA29</f>
        <v>121</v>
      </c>
      <c r="EB166" s="367">
        <f>Model!EB29</f>
        <v>128</v>
      </c>
      <c r="EC166" s="1448">
        <f>SUM(DY166:EB166)</f>
        <v>455</v>
      </c>
      <c r="ED166" s="443"/>
      <c r="EE166" s="367">
        <f>Model!EE29</f>
        <v>138</v>
      </c>
      <c r="EF166" s="367">
        <f>Model!EF29</f>
        <v>155</v>
      </c>
      <c r="EG166" s="367">
        <f>Model!EG29</f>
        <v>155</v>
      </c>
      <c r="EH166" s="367">
        <f>Model!EH29</f>
        <v>160</v>
      </c>
      <c r="EI166" s="1448">
        <f>SUM(EE166:EH166)</f>
        <v>608</v>
      </c>
      <c r="EJ166" s="443"/>
      <c r="EK166" s="367">
        <f>Model!EK29</f>
        <v>160</v>
      </c>
      <c r="EL166" s="367">
        <f>Model!EL29</f>
        <v>165</v>
      </c>
      <c r="EM166" s="367">
        <f>Model!EM29</f>
        <v>152</v>
      </c>
      <c r="EN166" s="367">
        <f>Model!EN29</f>
        <v>169</v>
      </c>
      <c r="EO166" s="1448">
        <f>SUM(EK166:EN166)</f>
        <v>646</v>
      </c>
      <c r="EP166" s="443"/>
      <c r="EQ166" s="367">
        <f>Model!EQ29</f>
        <v>171</v>
      </c>
      <c r="ER166" s="367">
        <f>Model!ER29</f>
        <v>175</v>
      </c>
      <c r="ES166" s="367">
        <f>Model!ES29</f>
        <v>178</v>
      </c>
      <c r="ET166" s="367">
        <f>Model!ET29</f>
        <v>214</v>
      </c>
      <c r="EU166" s="1448">
        <f>SUM(EQ166:ET166)</f>
        <v>738</v>
      </c>
      <c r="EV166" s="443"/>
      <c r="EW166" s="367">
        <f>Model!EW29</f>
        <v>212.04</v>
      </c>
      <c r="EX166" s="367">
        <f>Model!EX29</f>
        <v>210</v>
      </c>
      <c r="EY166" s="367">
        <f>Model!EY29</f>
        <v>222.5</v>
      </c>
      <c r="EZ166" s="367">
        <f>Model!EZ29</f>
        <v>237.54000000000002</v>
      </c>
      <c r="FA166" s="1448">
        <f>SUM(EW166:EZ166)</f>
        <v>882.07999999999993</v>
      </c>
      <c r="FB166" s="443"/>
      <c r="FC166" s="367">
        <f>Model!FC29</f>
        <v>237.48480000000001</v>
      </c>
      <c r="FD166" s="367">
        <f>Model!FD29</f>
        <v>235.20000000000002</v>
      </c>
      <c r="FE166" s="367">
        <f>Model!FE29</f>
        <v>249.20000000000002</v>
      </c>
      <c r="FF166" s="367">
        <f>Model!FF29</f>
        <v>266.04480000000007</v>
      </c>
      <c r="FG166" s="1448">
        <f>SUM(FC166:FF166)</f>
        <v>987.92960000000016</v>
      </c>
      <c r="FH166" s="443"/>
      <c r="FI166" s="367">
        <f>Model!FI29</f>
        <v>273.10751999999997</v>
      </c>
      <c r="FJ166" s="367">
        <f>Model!FJ29</f>
        <v>270.48</v>
      </c>
      <c r="FK166" s="367">
        <f>Model!FK29</f>
        <v>286.58</v>
      </c>
      <c r="FL166" s="367">
        <f>Model!FL29</f>
        <v>305.95152000000007</v>
      </c>
      <c r="FM166" s="1448">
        <f>SUM(FI166:FL166)</f>
        <v>1136.11904</v>
      </c>
      <c r="FQ166"/>
      <c r="FR166"/>
      <c r="FS166"/>
      <c r="FT166"/>
      <c r="FU166"/>
      <c r="FV166"/>
      <c r="GB166" s="24"/>
      <c r="GC166" s="24"/>
      <c r="GD166" s="24"/>
      <c r="GE166" s="24"/>
      <c r="GF166" s="24"/>
      <c r="GG166" s="24"/>
      <c r="GH166" s="24"/>
      <c r="GI166" s="24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</row>
    <row r="167" spans="1:274" s="1517" customFormat="1" hidden="1" outlineLevel="1" x14ac:dyDescent="0.2">
      <c r="A167" s="1653" t="s">
        <v>185</v>
      </c>
      <c r="B167" s="1580"/>
      <c r="C167" s="1654"/>
      <c r="D167" s="1654"/>
      <c r="E167" s="1654"/>
      <c r="F167" s="1654"/>
      <c r="G167" s="1654"/>
      <c r="H167" s="1580"/>
      <c r="I167" s="1654"/>
      <c r="J167" s="1654"/>
      <c r="K167" s="1654"/>
      <c r="L167" s="1654"/>
      <c r="M167" s="1654"/>
      <c r="N167" s="1580"/>
      <c r="O167" s="1654"/>
      <c r="P167" s="1654"/>
      <c r="Q167" s="1654"/>
      <c r="R167" s="1654"/>
      <c r="S167" s="1654"/>
      <c r="T167" s="1580"/>
      <c r="U167" s="1654"/>
      <c r="V167" s="1654"/>
      <c r="W167" s="1654"/>
      <c r="X167" s="1654"/>
      <c r="Y167" s="1654"/>
      <c r="Z167" s="1580"/>
      <c r="AA167" s="1582"/>
      <c r="AB167" s="1582"/>
      <c r="AC167" s="1582"/>
      <c r="AD167" s="1582"/>
      <c r="AE167" s="1582"/>
      <c r="AF167" s="1580"/>
      <c r="AG167" s="1582"/>
      <c r="AH167" s="1582"/>
      <c r="AI167" s="1582"/>
      <c r="AJ167" s="1582"/>
      <c r="AK167" s="1582"/>
      <c r="AL167" s="1580"/>
      <c r="AM167" s="1582"/>
      <c r="AN167" s="1582"/>
      <c r="AO167" s="1582"/>
      <c r="AP167" s="1582"/>
      <c r="AQ167" s="1582"/>
      <c r="AR167" s="1580"/>
      <c r="AS167" s="1582"/>
      <c r="AT167" s="1582"/>
      <c r="AU167" s="1582"/>
      <c r="AV167" s="1582"/>
      <c r="AW167" s="1582"/>
      <c r="AX167" s="1580"/>
      <c r="AY167" s="1582"/>
      <c r="AZ167" s="1582"/>
      <c r="BA167" s="1582"/>
      <c r="BB167" s="1582"/>
      <c r="BC167" s="1582"/>
      <c r="BD167" s="1580"/>
      <c r="BE167" s="1582"/>
      <c r="BF167" s="1582"/>
      <c r="BG167" s="1582"/>
      <c r="BH167" s="1582"/>
      <c r="BI167" s="1582"/>
      <c r="BJ167" s="1580"/>
      <c r="BK167" s="1582"/>
      <c r="BL167" s="1582"/>
      <c r="BM167" s="1582"/>
      <c r="BN167" s="1582"/>
      <c r="BO167" s="1582"/>
      <c r="BP167" s="1580"/>
      <c r="BQ167" s="1582"/>
      <c r="BR167" s="1582"/>
      <c r="BS167" s="1582"/>
      <c r="BT167" s="1582"/>
      <c r="BU167" s="1582"/>
      <c r="BV167" s="1580"/>
      <c r="BW167" s="1582"/>
      <c r="BX167" s="1582"/>
      <c r="BY167" s="1582"/>
      <c r="BZ167" s="1582"/>
      <c r="CA167" s="1582"/>
      <c r="CB167" s="1580"/>
      <c r="CC167" s="1582"/>
      <c r="CD167" s="1582"/>
      <c r="CE167" s="1582"/>
      <c r="CF167" s="1582"/>
      <c r="CG167" s="1589"/>
      <c r="CH167" s="1580"/>
      <c r="CI167" s="1582"/>
      <c r="CJ167" s="1582"/>
      <c r="CK167" s="1582"/>
      <c r="CL167" s="1582"/>
      <c r="CM167" s="1589"/>
      <c r="CN167" s="1580"/>
      <c r="CO167" s="1582"/>
      <c r="CP167" s="1582"/>
      <c r="CQ167" s="1582"/>
      <c r="CR167" s="1582"/>
      <c r="CS167" s="1589"/>
      <c r="CT167" s="1580"/>
      <c r="CU167" s="1582"/>
      <c r="CV167" s="1582"/>
      <c r="CW167" s="1582"/>
      <c r="CX167" s="1582"/>
      <c r="CY167" s="1581"/>
      <c r="CZ167" s="1582"/>
      <c r="DA167" s="1582"/>
      <c r="DB167" s="1582"/>
      <c r="DC167" s="1582"/>
      <c r="DD167" s="1582"/>
      <c r="DE167" s="1581"/>
      <c r="DF167" s="1580"/>
      <c r="DG167" s="1582"/>
      <c r="DH167" s="1582"/>
      <c r="DI167" s="1582"/>
      <c r="DJ167" s="1582"/>
      <c r="DK167" s="1581"/>
      <c r="DL167" s="1580"/>
      <c r="DM167" s="1582"/>
      <c r="DN167" s="1582"/>
      <c r="DO167" s="1582"/>
      <c r="DP167" s="1582"/>
      <c r="DQ167" s="1581"/>
      <c r="DR167" s="1582"/>
      <c r="DS167" s="1582"/>
      <c r="DT167" s="1582"/>
      <c r="DU167" s="1582"/>
      <c r="DV167" s="1582"/>
      <c r="DW167" s="1581"/>
      <c r="DX167" s="1582"/>
      <c r="DY167" s="1582">
        <f>DY166/DS166-1</f>
        <v>-8.4033613445378186E-2</v>
      </c>
      <c r="DZ167" s="1582">
        <f>DZ166/DT166-1</f>
        <v>-0.14912280701754388</v>
      </c>
      <c r="EA167" s="1582">
        <f>EA166/DU166-1</f>
        <v>0.10000000000000009</v>
      </c>
      <c r="EB167" s="1582">
        <f>EB166/DV166-1</f>
        <v>0.13274336283185839</v>
      </c>
      <c r="EC167" s="1581">
        <f>EC166/DW166-1</f>
        <v>-2.1929824561403022E-3</v>
      </c>
      <c r="ED167" s="1582"/>
      <c r="EE167" s="1582">
        <f>EE166/DY166-1</f>
        <v>0.26605504587155959</v>
      </c>
      <c r="EF167" s="1582">
        <f>EF166/DZ166-1</f>
        <v>0.597938144329897</v>
      </c>
      <c r="EG167" s="1582">
        <f>EG166/EA166-1</f>
        <v>0.28099173553719003</v>
      </c>
      <c r="EH167" s="1582">
        <f>EH166/EB166-1</f>
        <v>0.25</v>
      </c>
      <c r="EI167" s="1581">
        <f>EI166/EC166-1</f>
        <v>0.33626373626373618</v>
      </c>
      <c r="EJ167" s="1580"/>
      <c r="EK167" s="1582">
        <f>EK166/EE166-1</f>
        <v>0.15942028985507251</v>
      </c>
      <c r="EL167" s="1582">
        <f>EL166/EF166-1</f>
        <v>6.4516129032258007E-2</v>
      </c>
      <c r="EM167" s="1582">
        <f>EM166/EG166-1</f>
        <v>-1.9354838709677469E-2</v>
      </c>
      <c r="EN167" s="1582">
        <f>EN166/EH166-1</f>
        <v>5.6249999999999911E-2</v>
      </c>
      <c r="EO167" s="1581">
        <f>EO166/EI166-1</f>
        <v>6.25E-2</v>
      </c>
      <c r="EP167" s="1580"/>
      <c r="EQ167" s="1582">
        <f>EQ166/EK166-1</f>
        <v>6.8750000000000089E-2</v>
      </c>
      <c r="ER167" s="1582">
        <f>ER166/EL166-1</f>
        <v>6.0606060606060552E-2</v>
      </c>
      <c r="ES167" s="1582">
        <f>ES166/EM166-1</f>
        <v>0.17105263157894735</v>
      </c>
      <c r="ET167" s="1582">
        <f>ET166/EN166-1</f>
        <v>0.26627218934911245</v>
      </c>
      <c r="EU167" s="1581">
        <f>EU166/EO166-1</f>
        <v>0.14241486068111464</v>
      </c>
      <c r="EV167" s="1580"/>
      <c r="EW167" s="1582">
        <f>EW166/EQ166-1</f>
        <v>0.24</v>
      </c>
      <c r="EX167" s="1582">
        <f>EX166/ER166-1</f>
        <v>0.19999999999999996</v>
      </c>
      <c r="EY167" s="1582">
        <f>EY166/ES166-1</f>
        <v>0.25</v>
      </c>
      <c r="EZ167" s="1582">
        <f>EZ166/ET166-1</f>
        <v>0.1100000000000001</v>
      </c>
      <c r="FA167" s="1581">
        <f>FA166/EU166-1</f>
        <v>0.19523035230352304</v>
      </c>
      <c r="FB167" s="1580"/>
      <c r="FC167" s="1582">
        <f>FC166/EW166-1</f>
        <v>0.12000000000000011</v>
      </c>
      <c r="FD167" s="1582">
        <f>FD166/EX166-1</f>
        <v>0.12000000000000011</v>
      </c>
      <c r="FE167" s="1582">
        <f>FE166/EY166-1</f>
        <v>0.12000000000000011</v>
      </c>
      <c r="FF167" s="1582">
        <f>FF166/EZ166-1</f>
        <v>0.12000000000000011</v>
      </c>
      <c r="FG167" s="1581">
        <f>FG166/FA166-1</f>
        <v>0.12000000000000033</v>
      </c>
      <c r="FH167" s="1580"/>
      <c r="FI167" s="1582">
        <f>FI166/FC166-1</f>
        <v>0.14999999999999991</v>
      </c>
      <c r="FJ167" s="1582">
        <f>FJ166/FD166-1</f>
        <v>0.14999999999999991</v>
      </c>
      <c r="FK167" s="1582">
        <f>FK166/FE166-1</f>
        <v>0.14999999999999991</v>
      </c>
      <c r="FL167" s="1582">
        <f>FL166/FF166-1</f>
        <v>0.14999999999999991</v>
      </c>
      <c r="FM167" s="1581">
        <f>FM166/FG166-1</f>
        <v>0.14999999999999991</v>
      </c>
      <c r="FQ167"/>
      <c r="FR167"/>
      <c r="FS167"/>
      <c r="FT167"/>
      <c r="FU167"/>
      <c r="FV167"/>
      <c r="GB167" s="1650"/>
      <c r="GC167" s="1650"/>
      <c r="GD167" s="1650"/>
      <c r="GE167" s="1650"/>
      <c r="GF167" s="1650"/>
      <c r="GG167" s="1650"/>
      <c r="GH167" s="1650"/>
      <c r="GI167" s="1650"/>
      <c r="GJ167" s="1650"/>
      <c r="GK167" s="1650"/>
      <c r="GL167" s="1650"/>
      <c r="GM167" s="1650"/>
      <c r="GN167" s="1650"/>
      <c r="GO167" s="1650"/>
      <c r="GP167" s="1650"/>
      <c r="GQ167" s="1650"/>
      <c r="GR167" s="1650"/>
      <c r="GS167" s="1650"/>
      <c r="GT167" s="1650"/>
      <c r="GU167" s="1650"/>
      <c r="GV167" s="1650"/>
      <c r="GW167" s="1650"/>
      <c r="GX167" s="1650"/>
      <c r="GY167" s="1650"/>
      <c r="GZ167" s="1650"/>
      <c r="HA167" s="1650"/>
      <c r="HB167" s="1650"/>
      <c r="HC167" s="1650"/>
      <c r="HD167" s="1650"/>
      <c r="HE167" s="1650"/>
      <c r="HF167" s="1650"/>
      <c r="HG167" s="1650"/>
      <c r="HH167" s="1650"/>
      <c r="HI167" s="1650"/>
      <c r="HJ167" s="1650"/>
      <c r="HK167" s="1650"/>
      <c r="HL167" s="1650"/>
      <c r="HM167" s="1650"/>
      <c r="HN167" s="1650"/>
      <c r="HO167" s="1650"/>
      <c r="HP167" s="1650"/>
      <c r="HQ167" s="1650"/>
      <c r="HR167" s="1650"/>
      <c r="HS167" s="1650"/>
      <c r="HT167" s="1650"/>
      <c r="HU167" s="1650"/>
      <c r="HV167" s="1650"/>
      <c r="HW167" s="1650"/>
      <c r="HX167" s="1650"/>
      <c r="HY167" s="1650"/>
      <c r="HZ167" s="1650"/>
      <c r="IA167" s="1650"/>
      <c r="IB167" s="1650"/>
      <c r="IC167" s="1650"/>
      <c r="ID167" s="1650"/>
      <c r="IE167" s="1650"/>
      <c r="IF167" s="1650"/>
      <c r="IG167" s="1650"/>
      <c r="IH167" s="1650"/>
      <c r="II167" s="1650"/>
      <c r="IJ167" s="1650"/>
      <c r="IK167" s="1650"/>
      <c r="IL167" s="1650"/>
      <c r="IM167" s="1650"/>
      <c r="IN167" s="1650"/>
      <c r="IO167" s="1650"/>
      <c r="IP167" s="1650"/>
      <c r="IQ167" s="1650"/>
      <c r="IR167" s="1650"/>
      <c r="IS167" s="1650"/>
      <c r="IT167" s="1650"/>
      <c r="IU167" s="1650"/>
      <c r="IV167" s="1650"/>
      <c r="IW167" s="1650"/>
      <c r="IX167" s="1650"/>
      <c r="IY167" s="1650"/>
      <c r="IZ167" s="1650"/>
      <c r="JA167" s="1650"/>
      <c r="JB167" s="1650"/>
      <c r="JC167" s="1650"/>
      <c r="JD167" s="1650"/>
      <c r="JE167" s="1650"/>
      <c r="JF167" s="1650"/>
      <c r="JG167" s="1650"/>
      <c r="JH167" s="1650"/>
      <c r="JI167" s="1650"/>
      <c r="JJ167" s="1650"/>
      <c r="JK167" s="1650"/>
      <c r="JL167" s="1650"/>
      <c r="JM167" s="1650"/>
      <c r="JN167" s="1650"/>
    </row>
    <row r="168" spans="1:274" s="1517" customFormat="1" hidden="1" outlineLevel="1" x14ac:dyDescent="0.2">
      <c r="A168" s="1580"/>
      <c r="B168" s="1580"/>
      <c r="C168" s="1654"/>
      <c r="D168" s="1654"/>
      <c r="E168" s="1654"/>
      <c r="F168" s="1654"/>
      <c r="G168" s="1654"/>
      <c r="H168" s="1580"/>
      <c r="I168" s="1654"/>
      <c r="J168" s="1654"/>
      <c r="K168" s="1654"/>
      <c r="L168" s="1654"/>
      <c r="M168" s="1654"/>
      <c r="N168" s="1580"/>
      <c r="O168" s="1654"/>
      <c r="P168" s="1654"/>
      <c r="Q168" s="1654"/>
      <c r="R168" s="1654"/>
      <c r="S168" s="1654"/>
      <c r="T168" s="1580"/>
      <c r="U168" s="1654"/>
      <c r="V168" s="1654"/>
      <c r="W168" s="1654"/>
      <c r="X168" s="1654"/>
      <c r="Y168" s="1654"/>
      <c r="Z168" s="1580"/>
      <c r="AA168" s="1582"/>
      <c r="AB168" s="1582"/>
      <c r="AC168" s="1582"/>
      <c r="AD168" s="1582"/>
      <c r="AE168" s="1582"/>
      <c r="AF168" s="1580"/>
      <c r="AG168" s="1582"/>
      <c r="AH168" s="1582"/>
      <c r="AI168" s="1582"/>
      <c r="AJ168" s="1582"/>
      <c r="AK168" s="1582"/>
      <c r="AL168" s="1580"/>
      <c r="AM168" s="1582"/>
      <c r="AN168" s="1582"/>
      <c r="AO168" s="1582"/>
      <c r="AP168" s="1582"/>
      <c r="AQ168" s="1582"/>
      <c r="AR168" s="1580"/>
      <c r="AS168" s="1582"/>
      <c r="AT168" s="1582"/>
      <c r="AU168" s="1582"/>
      <c r="AV168" s="1582"/>
      <c r="AW168" s="1582"/>
      <c r="AX168" s="1580"/>
      <c r="AY168" s="1582"/>
      <c r="AZ168" s="1582"/>
      <c r="BA168" s="1582"/>
      <c r="BB168" s="1582"/>
      <c r="BC168" s="1582"/>
      <c r="BD168" s="1580"/>
      <c r="BE168" s="1582"/>
      <c r="BF168" s="1582"/>
      <c r="BG168" s="1582"/>
      <c r="BH168" s="1582"/>
      <c r="BI168" s="1582"/>
      <c r="BJ168" s="1580"/>
      <c r="BK168" s="1582"/>
      <c r="BL168" s="1582"/>
      <c r="BM168" s="1582"/>
      <c r="BN168" s="1582"/>
      <c r="BO168" s="1582"/>
      <c r="BP168" s="1580"/>
      <c r="BQ168" s="1582"/>
      <c r="BR168" s="1582"/>
      <c r="BS168" s="1582"/>
      <c r="BT168" s="1582"/>
      <c r="BU168" s="1582"/>
      <c r="BV168" s="1580"/>
      <c r="BW168" s="1582"/>
      <c r="BX168" s="1582"/>
      <c r="BY168" s="1582"/>
      <c r="BZ168" s="1582"/>
      <c r="CA168" s="1582"/>
      <c r="CB168" s="1580"/>
      <c r="CC168" s="1582"/>
      <c r="CD168" s="1582"/>
      <c r="CE168" s="1582"/>
      <c r="CF168" s="1582"/>
      <c r="CG168" s="1589"/>
      <c r="CH168" s="1580"/>
      <c r="CI168" s="1582"/>
      <c r="CJ168" s="1582"/>
      <c r="CK168" s="1582"/>
      <c r="CL168" s="1582"/>
      <c r="CM168" s="1589"/>
      <c r="CN168" s="1580"/>
      <c r="CO168" s="1582"/>
      <c r="CP168" s="1582"/>
      <c r="CQ168" s="1582"/>
      <c r="CR168" s="1582"/>
      <c r="CS168" s="1589"/>
      <c r="CT168" s="1580"/>
      <c r="CU168" s="1582"/>
      <c r="CV168" s="1582"/>
      <c r="CW168" s="1582"/>
      <c r="CX168" s="1582"/>
      <c r="CY168" s="1581"/>
      <c r="CZ168" s="1582"/>
      <c r="DA168" s="1582"/>
      <c r="DB168" s="1582"/>
      <c r="DC168" s="1582"/>
      <c r="DD168" s="1582"/>
      <c r="DE168" s="1581"/>
      <c r="DF168" s="1580"/>
      <c r="DG168" s="1582"/>
      <c r="DH168" s="1582"/>
      <c r="DI168" s="1582"/>
      <c r="DJ168" s="1582"/>
      <c r="DK168" s="1581"/>
      <c r="DL168" s="1580"/>
      <c r="DM168" s="1582"/>
      <c r="DN168" s="1582"/>
      <c r="DO168" s="1582"/>
      <c r="DP168" s="1582"/>
      <c r="DQ168" s="1581"/>
      <c r="DR168" s="1582"/>
      <c r="DS168" s="1582"/>
      <c r="DT168" s="1582"/>
      <c r="DU168" s="1582"/>
      <c r="DV168" s="1582"/>
      <c r="DW168" s="1581"/>
      <c r="DX168" s="1582"/>
      <c r="DY168" s="1582"/>
      <c r="DZ168" s="1582"/>
      <c r="EA168" s="1582"/>
      <c r="EB168" s="1582"/>
      <c r="EC168" s="1581"/>
      <c r="ED168" s="367"/>
      <c r="EE168" s="367"/>
      <c r="EF168" s="367"/>
      <c r="EG168" s="367"/>
      <c r="EH168" s="367"/>
      <c r="EI168" s="1581"/>
      <c r="EJ168" s="367"/>
      <c r="EK168" s="367"/>
      <c r="EL168" s="367"/>
      <c r="EM168" s="367"/>
      <c r="EN168" s="367"/>
      <c r="EO168" s="1581"/>
      <c r="EP168" s="1580"/>
      <c r="EQ168" s="1582"/>
      <c r="ER168" s="1582"/>
      <c r="ES168" s="1582"/>
      <c r="ET168" s="1582"/>
      <c r="EU168" s="1581"/>
      <c r="EV168" s="1580"/>
      <c r="EW168" s="1582"/>
      <c r="EX168" s="1582"/>
      <c r="EY168" s="1582"/>
      <c r="EZ168" s="1582"/>
      <c r="FA168" s="1581"/>
      <c r="FB168" s="1580"/>
      <c r="FC168" s="1582"/>
      <c r="FD168" s="1582"/>
      <c r="FE168" s="1582"/>
      <c r="FF168" s="1582"/>
      <c r="FG168" s="1581"/>
      <c r="FH168" s="1580"/>
      <c r="FI168" s="1582"/>
      <c r="FJ168" s="1582"/>
      <c r="FK168" s="1582"/>
      <c r="FL168" s="1582"/>
      <c r="FM168" s="1581"/>
      <c r="FQ168"/>
      <c r="FR168"/>
      <c r="FS168"/>
      <c r="FT168"/>
      <c r="FU168"/>
      <c r="FV168"/>
      <c r="GB168" s="1650"/>
      <c r="GC168" s="1650"/>
      <c r="GD168" s="1650"/>
      <c r="GE168" s="1650"/>
      <c r="GF168" s="1650"/>
      <c r="GG168" s="1650"/>
      <c r="GH168" s="1650"/>
      <c r="GI168" s="1650"/>
      <c r="GJ168" s="1650"/>
      <c r="GK168" s="1650"/>
      <c r="GL168" s="1650"/>
      <c r="GM168" s="1650"/>
      <c r="GN168" s="1650"/>
      <c r="GO168" s="1650"/>
      <c r="GP168" s="1650"/>
      <c r="GQ168" s="1650"/>
      <c r="GR168" s="1650"/>
      <c r="GS168" s="1650"/>
      <c r="GT168" s="1650"/>
      <c r="GU168" s="1650"/>
      <c r="GV168" s="1650"/>
      <c r="GW168" s="1650"/>
      <c r="GX168" s="1650"/>
      <c r="GY168" s="1650"/>
      <c r="GZ168" s="1650"/>
      <c r="HA168" s="1650"/>
      <c r="HB168" s="1650"/>
      <c r="HC168" s="1650"/>
      <c r="HD168" s="1650"/>
      <c r="HE168" s="1650"/>
      <c r="HF168" s="1650"/>
      <c r="HG168" s="1650"/>
      <c r="HH168" s="1650"/>
      <c r="HI168" s="1650"/>
      <c r="HJ168" s="1650"/>
      <c r="HK168" s="1650"/>
      <c r="HL168" s="1650"/>
      <c r="HM168" s="1650"/>
      <c r="HN168" s="1650"/>
      <c r="HO168" s="1650"/>
      <c r="HP168" s="1650"/>
      <c r="HQ168" s="1650"/>
      <c r="HR168" s="1650"/>
      <c r="HS168" s="1650"/>
      <c r="HT168" s="1650"/>
      <c r="HU168" s="1650"/>
      <c r="HV168" s="1650"/>
      <c r="HW168" s="1650"/>
      <c r="HX168" s="1650"/>
      <c r="HY168" s="1650"/>
      <c r="HZ168" s="1650"/>
      <c r="IA168" s="1650"/>
      <c r="IB168" s="1650"/>
      <c r="IC168" s="1650"/>
      <c r="ID168" s="1650"/>
      <c r="IE168" s="1650"/>
      <c r="IF168" s="1650"/>
      <c r="IG168" s="1650"/>
      <c r="IH168" s="1650"/>
      <c r="II168" s="1650"/>
      <c r="IJ168" s="1650"/>
      <c r="IK168" s="1650"/>
      <c r="IL168" s="1650"/>
      <c r="IM168" s="1650"/>
      <c r="IN168" s="1650"/>
      <c r="IO168" s="1650"/>
      <c r="IP168" s="1650"/>
      <c r="IQ168" s="1650"/>
      <c r="IR168" s="1650"/>
      <c r="IS168" s="1650"/>
      <c r="IT168" s="1650"/>
      <c r="IU168" s="1650"/>
      <c r="IV168" s="1650"/>
      <c r="IW168" s="1650"/>
      <c r="IX168" s="1650"/>
      <c r="IY168" s="1650"/>
      <c r="IZ168" s="1650"/>
      <c r="JA168" s="1650"/>
      <c r="JB168" s="1650"/>
      <c r="JC168" s="1650"/>
      <c r="JD168" s="1650"/>
      <c r="JE168" s="1650"/>
      <c r="JF168" s="1650"/>
      <c r="JG168" s="1650"/>
      <c r="JH168" s="1650"/>
      <c r="JI168" s="1650"/>
      <c r="JJ168" s="1650"/>
      <c r="JK168" s="1650"/>
      <c r="JL168" s="1650"/>
      <c r="JM168" s="1650"/>
      <c r="JN168" s="1650"/>
    </row>
    <row r="169" spans="1:274" s="28" customFormat="1" ht="15" hidden="1" customHeight="1" outlineLevel="1" thickBot="1" x14ac:dyDescent="0.25">
      <c r="A169" s="18"/>
      <c r="B169" s="595"/>
      <c r="CF169" s="305"/>
      <c r="CG169" s="416"/>
      <c r="CI169" s="243"/>
      <c r="CJ169" s="243"/>
      <c r="CK169" s="243"/>
      <c r="CL169" s="243"/>
      <c r="CM169" s="416"/>
      <c r="CO169" s="243"/>
      <c r="CP169" s="243"/>
      <c r="CQ169" s="243"/>
      <c r="CR169" s="243"/>
      <c r="CS169" s="416"/>
      <c r="CU169" s="243"/>
      <c r="CV169" s="243"/>
      <c r="CW169" s="243"/>
      <c r="CX169" s="243"/>
      <c r="CY169" s="416"/>
      <c r="DA169" s="243"/>
      <c r="DB169" s="243"/>
      <c r="DC169" s="243"/>
      <c r="DD169" s="243"/>
      <c r="DE169" s="416"/>
      <c r="DG169" s="243"/>
      <c r="DH169" s="243"/>
      <c r="DI169" s="243"/>
      <c r="DJ169" s="243"/>
      <c r="DK169" s="416"/>
      <c r="DM169" s="243"/>
      <c r="DN169" s="243"/>
      <c r="DO169" s="243"/>
      <c r="DP169" s="243"/>
      <c r="DQ169" s="416"/>
      <c r="DS169" s="243"/>
      <c r="DT169" s="243"/>
      <c r="DU169" s="243"/>
      <c r="DV169" s="243"/>
      <c r="DW169" s="416"/>
      <c r="EC169" s="416"/>
      <c r="EI169" s="416"/>
      <c r="EO169" s="416"/>
      <c r="EU169" s="416"/>
      <c r="FA169" s="416"/>
      <c r="FG169" s="416"/>
      <c r="FM169" s="416"/>
      <c r="FQ169"/>
      <c r="FR169"/>
      <c r="FS169"/>
      <c r="FT169"/>
      <c r="FU169"/>
      <c r="FV169"/>
      <c r="GB169" s="24"/>
      <c r="GC169" s="24"/>
      <c r="GD169" s="24"/>
      <c r="GE169" s="24"/>
      <c r="GF169" s="24"/>
      <c r="GG169" s="24"/>
      <c r="GH169" s="24"/>
      <c r="GI169" s="24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</row>
    <row r="170" spans="1:274" s="32" customFormat="1" collapsed="1" x14ac:dyDescent="0.2">
      <c r="A170" s="1441" t="s">
        <v>479</v>
      </c>
      <c r="B170" s="1429"/>
      <c r="C170" s="1429"/>
      <c r="D170" s="1429"/>
      <c r="E170" s="1429"/>
      <c r="F170" s="1429"/>
      <c r="G170" s="1429"/>
      <c r="H170" s="1429"/>
      <c r="I170" s="1429"/>
      <c r="J170" s="1429"/>
      <c r="K170" s="1429"/>
      <c r="L170" s="1429"/>
      <c r="M170" s="1429"/>
      <c r="N170" s="1429"/>
      <c r="O170" s="1429"/>
      <c r="P170" s="1429"/>
      <c r="Q170" s="1429"/>
      <c r="R170" s="1429"/>
      <c r="S170" s="1429"/>
      <c r="T170" s="1429"/>
      <c r="U170" s="1429"/>
      <c r="V170" s="1429"/>
      <c r="W170" s="1429"/>
      <c r="X170" s="1429"/>
      <c r="Y170" s="1429"/>
      <c r="Z170" s="1429"/>
      <c r="AA170" s="1429"/>
      <c r="AB170" s="1429"/>
      <c r="AC170" s="1429"/>
      <c r="AD170" s="1429"/>
      <c r="AE170" s="1429"/>
      <c r="AF170" s="1429"/>
      <c r="AG170" s="1429"/>
      <c r="AH170" s="1429"/>
      <c r="AI170" s="1429"/>
      <c r="AJ170" s="1429"/>
      <c r="AK170" s="1429"/>
      <c r="AL170" s="1429"/>
      <c r="AM170" s="1429"/>
      <c r="AN170" s="1429"/>
      <c r="AO170" s="1429"/>
      <c r="AP170" s="1429"/>
      <c r="AQ170" s="1429"/>
      <c r="AR170" s="1429"/>
      <c r="AS170" s="1429"/>
      <c r="AT170" s="1429"/>
      <c r="AU170" s="1429"/>
      <c r="AV170" s="1429"/>
      <c r="AW170" s="1429"/>
      <c r="AX170" s="1429"/>
      <c r="AY170" s="1429"/>
      <c r="AZ170" s="1429"/>
      <c r="BA170" s="1429"/>
      <c r="BB170" s="1429"/>
      <c r="BC170" s="1429"/>
      <c r="BD170" s="1429"/>
      <c r="BE170" s="1429"/>
      <c r="BF170" s="1429"/>
      <c r="BG170" s="1429"/>
      <c r="BH170" s="1429"/>
      <c r="BI170" s="1429"/>
      <c r="BJ170" s="1429"/>
      <c r="BK170" s="1429"/>
      <c r="BL170" s="1429"/>
      <c r="BM170" s="1429"/>
      <c r="BN170" s="1429"/>
      <c r="BO170" s="1429"/>
      <c r="BP170" s="1429"/>
      <c r="BQ170" s="1429"/>
      <c r="BR170" s="1429"/>
      <c r="BS170" s="1429"/>
      <c r="BT170" s="1429"/>
      <c r="BU170" s="1429"/>
      <c r="BV170" s="1429"/>
      <c r="BW170" s="1429"/>
      <c r="BX170" s="1429"/>
      <c r="BY170" s="1429"/>
      <c r="BZ170" s="1429"/>
      <c r="CA170" s="1429"/>
      <c r="CB170" s="1429"/>
      <c r="CC170" s="1429"/>
      <c r="CD170" s="1429"/>
      <c r="CE170" s="1429"/>
      <c r="CF170" s="1429"/>
      <c r="CG170" s="1430"/>
      <c r="CH170" s="1429"/>
      <c r="CI170" s="1429"/>
      <c r="CJ170" s="1429"/>
      <c r="CK170" s="1429"/>
      <c r="CL170" s="1429"/>
      <c r="CM170" s="1430"/>
      <c r="CN170" s="1429"/>
      <c r="CO170" s="1429"/>
      <c r="CP170" s="1429"/>
      <c r="CQ170" s="1429"/>
      <c r="CR170" s="1429"/>
      <c r="CS170" s="1430"/>
      <c r="CT170" s="1429"/>
      <c r="CU170" s="1429"/>
      <c r="CV170" s="1429"/>
      <c r="CW170" s="1429"/>
      <c r="CX170" s="1429"/>
      <c r="CY170" s="1430"/>
      <c r="CZ170" s="1429"/>
      <c r="DA170" s="1429"/>
      <c r="DB170" s="1429"/>
      <c r="DC170" s="1429"/>
      <c r="DD170" s="1429"/>
      <c r="DE170" s="1430"/>
      <c r="DF170" s="1429"/>
      <c r="DG170" s="1429"/>
      <c r="DH170" s="1429"/>
      <c r="DI170" s="1429"/>
      <c r="DJ170" s="1429"/>
      <c r="DK170" s="1430"/>
      <c r="DL170" s="1429"/>
      <c r="DM170" s="1429"/>
      <c r="DN170" s="1429"/>
      <c r="DO170" s="1429"/>
      <c r="DP170" s="1429"/>
      <c r="DQ170" s="1430"/>
      <c r="DR170" s="1429"/>
      <c r="DS170" s="1429"/>
      <c r="DT170" s="1429"/>
      <c r="DU170" s="1429"/>
      <c r="DV170" s="1429"/>
      <c r="DW170" s="1430"/>
      <c r="DX170" s="1429"/>
      <c r="DY170" s="1429"/>
      <c r="DZ170" s="1429"/>
      <c r="EA170" s="1429"/>
      <c r="EB170" s="1429"/>
      <c r="EC170" s="1430"/>
      <c r="ED170" s="1429"/>
      <c r="EE170" s="1429"/>
      <c r="EF170" s="1429"/>
      <c r="EG170" s="1429"/>
      <c r="EH170" s="1429"/>
      <c r="EI170" s="1430"/>
      <c r="EJ170" s="1429"/>
      <c r="EK170" s="1429"/>
      <c r="EL170" s="1429"/>
      <c r="EM170" s="1429"/>
      <c r="EN170" s="1429"/>
      <c r="EO170" s="1430"/>
      <c r="EP170" s="1429"/>
      <c r="EQ170" s="1429"/>
      <c r="ER170" s="1429"/>
      <c r="ES170" s="1429"/>
      <c r="ET170" s="1429"/>
      <c r="EU170" s="1430"/>
      <c r="EV170" s="1429"/>
      <c r="EW170" s="1429"/>
      <c r="EX170" s="1429"/>
      <c r="EY170" s="1429"/>
      <c r="EZ170" s="1429"/>
      <c r="FA170" s="1430"/>
      <c r="FB170" s="1429"/>
      <c r="FC170" s="1429"/>
      <c r="FD170" s="1429"/>
      <c r="FE170" s="1429"/>
      <c r="FF170" s="1429"/>
      <c r="FG170" s="1430"/>
      <c r="FH170" s="1429"/>
      <c r="FI170" s="1429"/>
      <c r="FJ170" s="1429"/>
      <c r="FK170" s="1429"/>
      <c r="FL170" s="1429"/>
      <c r="FM170" s="1430"/>
      <c r="FQ170"/>
      <c r="FR170"/>
      <c r="FS170"/>
      <c r="FT170"/>
      <c r="FU170"/>
      <c r="FV170"/>
      <c r="GB170" s="24"/>
      <c r="GC170" s="24"/>
      <c r="GD170" s="24"/>
      <c r="GE170" s="24"/>
      <c r="GF170" s="24"/>
      <c r="GG170" s="24"/>
      <c r="GH170" s="24"/>
      <c r="GI170" s="24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</row>
    <row r="171" spans="1:274" s="32" customFormat="1" ht="0.75" customHeight="1" x14ac:dyDescent="0.2">
      <c r="A171" s="1431"/>
      <c r="B171" s="1393"/>
      <c r="C171" s="1393"/>
      <c r="D171" s="1393"/>
      <c r="E171" s="1393"/>
      <c r="F171" s="1393"/>
      <c r="G171" s="1393"/>
      <c r="H171" s="1393"/>
      <c r="I171" s="1393"/>
      <c r="J171" s="1393"/>
      <c r="K171" s="1393"/>
      <c r="L171" s="1393"/>
      <c r="M171" s="1393"/>
      <c r="N171" s="1393"/>
      <c r="O171" s="1393"/>
      <c r="P171" s="1393"/>
      <c r="Q171" s="1393"/>
      <c r="R171" s="1393"/>
      <c r="S171" s="1393"/>
      <c r="T171" s="1393"/>
      <c r="U171" s="1393"/>
      <c r="V171" s="1393"/>
      <c r="W171" s="1393"/>
      <c r="X171" s="1393"/>
      <c r="Y171" s="1393"/>
      <c r="Z171" s="1393"/>
      <c r="AA171" s="1393"/>
      <c r="AB171" s="1393"/>
      <c r="AC171" s="1393"/>
      <c r="AD171" s="1393"/>
      <c r="AE171" s="1393"/>
      <c r="AF171" s="1393"/>
      <c r="AG171" s="1393"/>
      <c r="AH171" s="1393"/>
      <c r="AI171" s="1393"/>
      <c r="AJ171" s="1393"/>
      <c r="AK171" s="1393"/>
      <c r="AL171" s="1393"/>
      <c r="AM171" s="1393"/>
      <c r="AN171" s="1393"/>
      <c r="AO171" s="1393"/>
      <c r="AP171" s="1393"/>
      <c r="AQ171" s="1393"/>
      <c r="AR171" s="1393"/>
      <c r="AS171" s="1393"/>
      <c r="AT171" s="1393"/>
      <c r="AU171" s="1393"/>
      <c r="AV171" s="1393"/>
      <c r="AW171" s="1393"/>
      <c r="AX171" s="1393"/>
      <c r="AY171" s="1393"/>
      <c r="AZ171" s="1393"/>
      <c r="BA171" s="1393"/>
      <c r="BB171" s="1393"/>
      <c r="BC171" s="1393"/>
      <c r="BD171" s="1393"/>
      <c r="BE171" s="1393"/>
      <c r="BF171" s="1393"/>
      <c r="BG171" s="1393"/>
      <c r="BH171" s="1393"/>
      <c r="BI171" s="1393"/>
      <c r="BJ171" s="1393"/>
      <c r="BK171" s="1393"/>
      <c r="BL171" s="1393"/>
      <c r="BM171" s="1393"/>
      <c r="BN171" s="1393"/>
      <c r="BO171" s="1393"/>
      <c r="BP171" s="1393"/>
      <c r="BQ171" s="1393"/>
      <c r="BR171" s="1393"/>
      <c r="BS171" s="1393"/>
      <c r="BT171" s="1393"/>
      <c r="BU171" s="1393"/>
      <c r="BV171" s="1393"/>
      <c r="BW171" s="1393"/>
      <c r="BX171" s="1393"/>
      <c r="BY171" s="1393"/>
      <c r="BZ171" s="1393"/>
      <c r="CA171" s="1393"/>
      <c r="CB171" s="1393"/>
      <c r="CC171" s="1393"/>
      <c r="CD171" s="1393"/>
      <c r="CE171" s="1393"/>
      <c r="CF171" s="1393"/>
      <c r="CG171" s="1432"/>
      <c r="CH171" s="1393"/>
      <c r="CI171" s="1393"/>
      <c r="CJ171" s="1393"/>
      <c r="CK171" s="1393"/>
      <c r="CL171" s="1393"/>
      <c r="CM171" s="1432"/>
      <c r="CN171" s="1393"/>
      <c r="CO171" s="1393"/>
      <c r="CP171" s="1393"/>
      <c r="CQ171" s="1393"/>
      <c r="CR171" s="1393"/>
      <c r="CS171" s="1432"/>
      <c r="CT171" s="1393"/>
      <c r="CU171" s="1393"/>
      <c r="CV171" s="1393"/>
      <c r="CW171" s="1393"/>
      <c r="CX171" s="1393"/>
      <c r="CY171" s="1432"/>
      <c r="CZ171" s="1393"/>
      <c r="DA171" s="1393"/>
      <c r="DB171" s="1393"/>
      <c r="DC171" s="1393"/>
      <c r="DD171" s="1393"/>
      <c r="DE171" s="1432"/>
      <c r="DF171" s="1393"/>
      <c r="DG171" s="1393"/>
      <c r="DH171" s="1393"/>
      <c r="DI171" s="1393"/>
      <c r="DJ171" s="1393"/>
      <c r="DK171" s="1432"/>
      <c r="DL171" s="1393"/>
      <c r="DM171" s="1393"/>
      <c r="DN171" s="1393"/>
      <c r="DO171" s="1393"/>
      <c r="DP171" s="1393"/>
      <c r="DQ171" s="1433"/>
      <c r="DR171" s="1393"/>
      <c r="DS171" s="1393"/>
      <c r="DT171" s="1393"/>
      <c r="DU171" s="1393"/>
      <c r="DV171" s="1393"/>
      <c r="DW171" s="1433"/>
      <c r="DX171" s="1393"/>
      <c r="DY171" s="1393"/>
      <c r="DZ171" s="1393"/>
      <c r="EA171" s="1393"/>
      <c r="EB171" s="1393"/>
      <c r="EC171" s="1433"/>
      <c r="ED171" s="1393"/>
      <c r="EE171" s="1393"/>
      <c r="EF171" s="1393"/>
      <c r="EG171" s="1393"/>
      <c r="EH171" s="1393"/>
      <c r="EI171" s="1433"/>
      <c r="EJ171" s="1393"/>
      <c r="EK171" s="1393"/>
      <c r="EL171" s="1393"/>
      <c r="EM171" s="1393"/>
      <c r="EN171" s="1393"/>
      <c r="EO171" s="1433"/>
      <c r="EP171" s="1393"/>
      <c r="EQ171" s="1393"/>
      <c r="ER171" s="1393"/>
      <c r="ES171" s="1393"/>
      <c r="ET171" s="1393"/>
      <c r="EU171" s="1433"/>
      <c r="EV171" s="1393"/>
      <c r="EW171" s="1393"/>
      <c r="EX171" s="1393"/>
      <c r="EY171" s="1393"/>
      <c r="EZ171" s="1393"/>
      <c r="FA171" s="1433"/>
      <c r="FB171" s="1393"/>
      <c r="FC171" s="1393"/>
      <c r="FD171" s="1393"/>
      <c r="FE171" s="1393"/>
      <c r="FF171" s="1393"/>
      <c r="FG171" s="1433"/>
      <c r="FH171" s="1393"/>
      <c r="FI171" s="1393"/>
      <c r="FJ171" s="1393"/>
      <c r="FK171" s="1393"/>
      <c r="FL171" s="1393"/>
      <c r="FM171" s="1433"/>
      <c r="FQ171"/>
      <c r="FR171"/>
      <c r="FS171"/>
      <c r="FT171"/>
      <c r="FU171"/>
      <c r="FV171"/>
      <c r="GB171" s="24"/>
      <c r="GC171" s="24"/>
      <c r="GD171" s="24"/>
      <c r="GE171" s="24"/>
      <c r="GF171" s="24"/>
      <c r="GG171" s="24"/>
      <c r="GH171" s="24"/>
      <c r="GI171" s="24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</row>
    <row r="172" spans="1:274" s="32" customFormat="1" x14ac:dyDescent="0.2">
      <c r="A172" s="1431" t="s">
        <v>162</v>
      </c>
      <c r="B172" s="1393"/>
      <c r="C172" s="1434">
        <f>Model!C14</f>
        <v>12.715</v>
      </c>
      <c r="D172" s="1434">
        <f>Model!D14</f>
        <v>23.150999999999996</v>
      </c>
      <c r="E172" s="1434">
        <f>Model!E14</f>
        <v>55.344999999999999</v>
      </c>
      <c r="F172" s="1434">
        <f>Model!F14</f>
        <v>131.249</v>
      </c>
      <c r="G172" s="1434">
        <f>Model!G14</f>
        <v>205.435</v>
      </c>
      <c r="H172" s="1434">
        <f>Model!H14</f>
        <v>417.93</v>
      </c>
      <c r="I172" s="1434">
        <f>Model!I14</f>
        <v>664.56399999999996</v>
      </c>
      <c r="J172" s="1434">
        <f>Model!J14</f>
        <v>645.48500000000001</v>
      </c>
      <c r="K172" s="1434">
        <f>Model!K14</f>
        <v>657</v>
      </c>
      <c r="L172" s="1434">
        <f>Model!L14</f>
        <v>806</v>
      </c>
      <c r="M172" s="1434">
        <f>Model!M14</f>
        <v>1099</v>
      </c>
      <c r="N172" s="1393"/>
      <c r="O172" s="1435">
        <f>Model!O14</f>
        <v>280</v>
      </c>
      <c r="P172" s="1435">
        <f>Model!P14</f>
        <v>343</v>
      </c>
      <c r="Q172" s="1435">
        <f>Model!Q14</f>
        <v>375</v>
      </c>
      <c r="R172" s="1435">
        <f>Model!R14</f>
        <v>608</v>
      </c>
      <c r="S172" s="1436">
        <f>Model!S14</f>
        <v>1606</v>
      </c>
      <c r="T172" s="1393"/>
      <c r="U172" s="1435">
        <f>Model!U14</f>
        <v>350</v>
      </c>
      <c r="V172" s="1435">
        <f>Model!V14</f>
        <v>485.09</v>
      </c>
      <c r="W172" s="1435">
        <f>Model!W14</f>
        <v>515</v>
      </c>
      <c r="X172" s="1435">
        <f>Model!X14</f>
        <v>883</v>
      </c>
      <c r="Y172" s="1436">
        <f>Model!Y14</f>
        <v>2233.09</v>
      </c>
      <c r="Z172" s="1393"/>
      <c r="AA172" s="1435">
        <f>Model!AA14</f>
        <v>444.31700000000001</v>
      </c>
      <c r="AB172" s="1435">
        <f>Model!AB14</f>
        <v>606.447</v>
      </c>
      <c r="AC172" s="1435">
        <f>Model!AC14</f>
        <v>664.25699999999995</v>
      </c>
      <c r="AD172" s="1435">
        <f>Model!AD14</f>
        <v>1107.4290000000001</v>
      </c>
      <c r="AE172" s="1436">
        <f>Model!AE14</f>
        <v>2822.4500000000003</v>
      </c>
      <c r="AF172" s="1393"/>
      <c r="AG172" s="1435">
        <f>Model!AG14</f>
        <v>505.37599999999998</v>
      </c>
      <c r="AH172" s="1435">
        <f>Model!AH14</f>
        <v>621.16800000000001</v>
      </c>
      <c r="AI172" s="1435">
        <f>Model!AI14</f>
        <v>753.19299999999998</v>
      </c>
      <c r="AJ172" s="1435">
        <f>Model!AJ14</f>
        <v>1209.3229999999999</v>
      </c>
      <c r="AK172" s="1436">
        <f>Model!AK14</f>
        <v>3089.0599999999995</v>
      </c>
      <c r="AL172" s="1393"/>
      <c r="AM172" s="1435">
        <f>Model!AM14</f>
        <v>557.61300000000006</v>
      </c>
      <c r="AN172" s="1435">
        <f>Model!AN14</f>
        <v>745.24700000000007</v>
      </c>
      <c r="AO172" s="1435">
        <f>Model!AO14</f>
        <v>804.60699999999997</v>
      </c>
      <c r="AP172" s="1435">
        <f>Model!AP14</f>
        <v>1483.4009999999998</v>
      </c>
      <c r="AQ172" s="1436">
        <f>Model!AQ14</f>
        <v>3590.8679999999999</v>
      </c>
      <c r="AR172" s="1393"/>
      <c r="AS172" s="1435">
        <f>Model!AS14</f>
        <v>602.64599999999996</v>
      </c>
      <c r="AT172" s="1435">
        <f>Model!AT14</f>
        <v>877.17099999999994</v>
      </c>
      <c r="AU172" s="1435">
        <f>Model!AU14</f>
        <v>1043.2059999999999</v>
      </c>
      <c r="AV172" s="1435">
        <f>Model!AV14</f>
        <v>1792.0060000000001</v>
      </c>
      <c r="AW172" s="1436">
        <f>Model!AW14</f>
        <v>4315.0290000000005</v>
      </c>
      <c r="AX172" s="1393"/>
      <c r="AY172" s="1435">
        <f>Model!AY14</f>
        <v>771.24500000000012</v>
      </c>
      <c r="AZ172" s="1435">
        <f>Model!AZ14</f>
        <v>1093.193</v>
      </c>
      <c r="BA172" s="1435">
        <f>Model!BA14</f>
        <v>1100.9650000000001</v>
      </c>
      <c r="BB172" s="1435">
        <f>Model!BB14</f>
        <v>1618.48</v>
      </c>
      <c r="BC172" s="1436">
        <f>Model!BC14</f>
        <v>4583.8829999999998</v>
      </c>
      <c r="BD172" s="1393"/>
      <c r="BE172" s="1435">
        <f>Model!BE14</f>
        <v>711.10800000000006</v>
      </c>
      <c r="BF172" s="1435">
        <f>Model!BF14</f>
        <v>803.39100000000008</v>
      </c>
      <c r="BG172" s="1435">
        <f>Model!BG14</f>
        <v>776.95299999999997</v>
      </c>
      <c r="BH172" s="1435">
        <f>Model!BH14</f>
        <v>1149.9780000000001</v>
      </c>
      <c r="BI172" s="1436">
        <f>Model!BI14</f>
        <v>3441.4300000000003</v>
      </c>
      <c r="BJ172" s="1393"/>
      <c r="BK172" s="1435">
        <f>Model!BK14</f>
        <v>563</v>
      </c>
      <c r="BL172" s="1435">
        <f>Model!BL14</f>
        <v>765</v>
      </c>
      <c r="BM172" s="1435">
        <f>Model!BM14</f>
        <v>755</v>
      </c>
      <c r="BN172" s="1435">
        <f>Model!BN14</f>
        <v>1187</v>
      </c>
      <c r="BO172" s="1436">
        <f>Model!BO14</f>
        <v>3270</v>
      </c>
      <c r="BP172" s="1393"/>
      <c r="BQ172" s="1435">
        <f>Model!BQ14</f>
        <v>525</v>
      </c>
      <c r="BR172" s="1435">
        <f>Model!BR14</f>
        <v>855</v>
      </c>
      <c r="BS172" s="1435">
        <f>Model!BS14</f>
        <v>847</v>
      </c>
      <c r="BT172" s="1435">
        <f>Model!BT14</f>
        <v>1314</v>
      </c>
      <c r="BU172" s="1436">
        <f>Model!BU14</f>
        <v>3541</v>
      </c>
      <c r="BV172" s="1393"/>
      <c r="BW172" s="1435">
        <f>Model!BW14</f>
        <v>563</v>
      </c>
      <c r="BX172" s="1435">
        <f>Model!BX14</f>
        <v>971</v>
      </c>
      <c r="BY172" s="1435">
        <f>Model!BY14</f>
        <v>947</v>
      </c>
      <c r="BZ172" s="1435">
        <f>Model!BZ14</f>
        <v>1609</v>
      </c>
      <c r="CA172" s="1436">
        <f>Model!CA14</f>
        <v>4090</v>
      </c>
      <c r="CB172" s="1393"/>
      <c r="CC172" s="1435">
        <f>Model!CC14</f>
        <v>629</v>
      </c>
      <c r="CD172" s="1435">
        <f>Model!CD14</f>
        <v>1058</v>
      </c>
      <c r="CE172" s="1435">
        <f>Model!CE14</f>
        <v>1096.4000000000001</v>
      </c>
      <c r="CF172" s="1435">
        <f>Model!CF14</f>
        <v>2121</v>
      </c>
      <c r="CG172" s="1436">
        <f>Model!CG14</f>
        <v>4904.3999999999996</v>
      </c>
      <c r="CH172" s="1435"/>
      <c r="CI172" s="1435">
        <f>Model!CI14</f>
        <v>804</v>
      </c>
      <c r="CJ172" s="1435">
        <f>Model!CJ14</f>
        <v>1207</v>
      </c>
      <c r="CK172" s="1435">
        <f>Model!CK14</f>
        <v>1390</v>
      </c>
      <c r="CL172" s="1435">
        <f>Model!CL14</f>
        <v>2481</v>
      </c>
      <c r="CM172" s="1436">
        <f>Model!CM14</f>
        <v>5882</v>
      </c>
      <c r="CN172" s="1435"/>
      <c r="CO172" s="1435">
        <f>Model!CO14</f>
        <v>1087</v>
      </c>
      <c r="CP172" s="1435">
        <f>Model!CP14</f>
        <v>1668</v>
      </c>
      <c r="CQ172" s="1435">
        <f>Model!CQ14</f>
        <v>1616</v>
      </c>
      <c r="CR172" s="1435">
        <f>Model!CR14</f>
        <v>3144</v>
      </c>
      <c r="CS172" s="1436">
        <f>Model!CS14</f>
        <v>7515</v>
      </c>
      <c r="CT172" s="1435"/>
      <c r="CU172" s="1435">
        <f>Model!CU14</f>
        <v>1235</v>
      </c>
      <c r="CV172" s="1435">
        <f>Model!CV14</f>
        <v>1626</v>
      </c>
      <c r="CW172" s="1435">
        <f>Model!CW14</f>
        <v>1516</v>
      </c>
      <c r="CX172" s="1435">
        <f>Model!CX14</f>
        <v>2744</v>
      </c>
      <c r="CY172" s="1436">
        <f>Model!CY14</f>
        <v>7121</v>
      </c>
      <c r="CZ172" s="1435"/>
      <c r="DA172" s="1435">
        <f>Model!DA14</f>
        <v>1028</v>
      </c>
      <c r="DB172" s="1435">
        <f>Model!DB14</f>
        <v>1653</v>
      </c>
      <c r="DC172" s="1435">
        <f>Model!DC14</f>
        <v>1718.4</v>
      </c>
      <c r="DD172" s="1435">
        <f>Model!DD14</f>
        <v>3135</v>
      </c>
      <c r="DE172" s="1436">
        <f>Model!DE14</f>
        <v>7534.4</v>
      </c>
      <c r="DF172" s="1435"/>
      <c r="DG172" s="1435">
        <f>Model!DG14</f>
        <v>1286</v>
      </c>
      <c r="DH172" s="1435">
        <f>Model!DH14</f>
        <v>1999</v>
      </c>
      <c r="DI172" s="1435">
        <f>Model!DI14</f>
        <v>2214</v>
      </c>
      <c r="DJ172" s="1435">
        <f>Model!DJ14</f>
        <v>3736</v>
      </c>
      <c r="DK172" s="1436">
        <f>Model!DK14</f>
        <v>9235</v>
      </c>
      <c r="DL172" s="1435"/>
      <c r="DM172" s="1435">
        <f>Model!DM14</f>
        <v>1498</v>
      </c>
      <c r="DN172" s="1435">
        <f>Model!DN14</f>
        <v>2048</v>
      </c>
      <c r="DO172" s="1435">
        <f>Model!DO14</f>
        <v>2374</v>
      </c>
      <c r="DP172" s="1435">
        <f>Model!DP14</f>
        <v>4007</v>
      </c>
      <c r="DQ172" s="1436">
        <f>Model!DQ14</f>
        <v>9927</v>
      </c>
      <c r="DR172" s="1435"/>
      <c r="DS172" s="1435">
        <f>Model!DS17</f>
        <v>1371</v>
      </c>
      <c r="DT172" s="1435">
        <f>Model!DT17</f>
        <v>2171</v>
      </c>
      <c r="DU172" s="1435">
        <f>Model!DU17</f>
        <v>2101</v>
      </c>
      <c r="DV172" s="1435">
        <f>Model!DV17</f>
        <v>3769</v>
      </c>
      <c r="DW172" s="1436">
        <f>Model!DW17</f>
        <v>9412</v>
      </c>
      <c r="DX172" s="1435"/>
      <c r="DY172" s="1435">
        <f>Model!DY17</f>
        <v>1399</v>
      </c>
      <c r="DZ172" s="1435">
        <f>Model!DZ17</f>
        <v>2121</v>
      </c>
      <c r="EA172" s="1435">
        <f>Model!EA17</f>
        <v>2128</v>
      </c>
      <c r="EB172" s="1435">
        <f>Model!EB17</f>
        <v>3769</v>
      </c>
      <c r="EC172" s="1436">
        <f>Model!EC17</f>
        <v>9417</v>
      </c>
      <c r="ED172" s="1435"/>
      <c r="EE172" s="1435">
        <f>Model!EE17</f>
        <v>1370</v>
      </c>
      <c r="EF172" s="1435">
        <f>Model!EF17</f>
        <v>2045</v>
      </c>
      <c r="EG172" s="1435">
        <f>Model!EG17</f>
        <v>1982</v>
      </c>
      <c r="EH172" s="1435">
        <f>Model!EH17</f>
        <v>3138</v>
      </c>
      <c r="EI172" s="1436">
        <f>Model!EI17</f>
        <v>8535</v>
      </c>
      <c r="EJ172" s="1435"/>
      <c r="EK172" s="1435">
        <f>Model!EK17</f>
        <v>1151</v>
      </c>
      <c r="EL172" s="1435">
        <f>Model!EL17</f>
        <v>1677</v>
      </c>
      <c r="EM172" s="1435">
        <f>Model!EM17</f>
        <v>1680</v>
      </c>
      <c r="EN172" s="1435">
        <f>Model!EN17</f>
        <v>2766</v>
      </c>
      <c r="EO172" s="1436">
        <f>Model!EO17</f>
        <v>7274</v>
      </c>
      <c r="EP172" s="1435"/>
      <c r="EQ172" s="1435">
        <f>Model!EQ17</f>
        <v>1030</v>
      </c>
      <c r="ER172" s="1435">
        <f>Model!ER17</f>
        <v>1347</v>
      </c>
      <c r="ES172" s="1435">
        <f>Model!ES17</f>
        <v>1414</v>
      </c>
      <c r="ET172" s="1435">
        <f>Model!ET17</f>
        <v>2626</v>
      </c>
      <c r="EU172" s="1436">
        <f>Model!EU17</f>
        <v>6417</v>
      </c>
      <c r="EV172" s="1435"/>
      <c r="EW172" s="1435">
        <f>Model!EW17</f>
        <v>966</v>
      </c>
      <c r="EX172" s="1435">
        <f>Model!EX17</f>
        <v>1353</v>
      </c>
      <c r="EY172" s="1435">
        <f>Model!EY17</f>
        <v>1388</v>
      </c>
      <c r="EZ172" s="1435">
        <f>Model!EZ17</f>
        <v>2448.7449999999999</v>
      </c>
      <c r="FA172" s="1436">
        <f>Model!FA17</f>
        <v>6155.7449999999999</v>
      </c>
      <c r="FB172" s="1435"/>
      <c r="FC172" s="1435">
        <f>Model!FC17</f>
        <v>956.34</v>
      </c>
      <c r="FD172" s="1435">
        <f>Model!FD17</f>
        <v>1271.82</v>
      </c>
      <c r="FE172" s="1435">
        <f>Model!FE17</f>
        <v>1290.8399999999999</v>
      </c>
      <c r="FF172" s="1435">
        <f>Model!FF17</f>
        <v>2252.8454000000002</v>
      </c>
      <c r="FG172" s="1436">
        <f>Model!FG17</f>
        <v>5771.8454000000002</v>
      </c>
      <c r="FH172" s="1435"/>
      <c r="FI172" s="1435">
        <f>Model!FI17</f>
        <v>879.83280000000002</v>
      </c>
      <c r="FJ172" s="1435">
        <f>Model!FJ17</f>
        <v>1170.0744</v>
      </c>
      <c r="FK172" s="1435">
        <f>Model!FK17</f>
        <v>1187.5727999999999</v>
      </c>
      <c r="FL172" s="1435">
        <f>Model!FL17</f>
        <v>2072.6177680000001</v>
      </c>
      <c r="FM172" s="1436">
        <f>Model!FM17</f>
        <v>5310.0977679999996</v>
      </c>
      <c r="FQ172"/>
      <c r="FR172"/>
      <c r="FS172"/>
      <c r="FT172"/>
      <c r="FU172"/>
      <c r="FV172"/>
      <c r="GB172" s="24"/>
      <c r="GC172" s="24"/>
      <c r="GD172" s="24"/>
      <c r="GE172" s="24"/>
      <c r="GF172" s="24"/>
      <c r="GG172" s="24"/>
      <c r="GH172" s="24"/>
      <c r="GI172" s="24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</row>
    <row r="173" spans="1:274" s="32" customFormat="1" ht="13.5" thickBot="1" x14ac:dyDescent="0.25">
      <c r="A173" s="1437" t="s">
        <v>161</v>
      </c>
      <c r="B173" s="1438"/>
      <c r="C173" s="1438"/>
      <c r="D173" s="1439">
        <f t="shared" ref="D173:M173" si="114">D172/C172-1</f>
        <v>0.82076287848997209</v>
      </c>
      <c r="E173" s="1439">
        <f t="shared" si="114"/>
        <v>1.3906094769124446</v>
      </c>
      <c r="F173" s="1439">
        <f t="shared" si="114"/>
        <v>1.3714698708103712</v>
      </c>
      <c r="G173" s="1439">
        <f t="shared" si="114"/>
        <v>0.56523097318836713</v>
      </c>
      <c r="H173" s="1439">
        <f t="shared" si="114"/>
        <v>1.0343661011998928</v>
      </c>
      <c r="I173" s="1439">
        <f t="shared" si="114"/>
        <v>0.59013231880936989</v>
      </c>
      <c r="J173" s="1439">
        <f t="shared" si="114"/>
        <v>-2.8709048338459442E-2</v>
      </c>
      <c r="K173" s="1439">
        <f t="shared" si="114"/>
        <v>1.7839299131660713E-2</v>
      </c>
      <c r="L173" s="1439">
        <f t="shared" si="114"/>
        <v>0.22678843226788437</v>
      </c>
      <c r="M173" s="1439">
        <f t="shared" si="114"/>
        <v>0.36352357320099249</v>
      </c>
      <c r="N173" s="1438"/>
      <c r="O173" s="1438"/>
      <c r="P173" s="1438"/>
      <c r="Q173" s="1438"/>
      <c r="R173" s="1438"/>
      <c r="S173" s="1439">
        <f>S172/M172-1</f>
        <v>0.46132848043676078</v>
      </c>
      <c r="T173" s="1438"/>
      <c r="U173" s="1439">
        <f>U172/O172-1</f>
        <v>0.25</v>
      </c>
      <c r="V173" s="1439">
        <f>V172/P172-1</f>
        <v>0.41425655976676379</v>
      </c>
      <c r="W173" s="1439">
        <f>W172/Q172-1</f>
        <v>0.37333333333333329</v>
      </c>
      <c r="X173" s="1439">
        <f>X172/R172-1</f>
        <v>0.45230263157894735</v>
      </c>
      <c r="Y173" s="1439">
        <f>Y172/S172-1</f>
        <v>0.39046699875467006</v>
      </c>
      <c r="Z173" s="1438"/>
      <c r="AA173" s="1439">
        <f>AA172/U172-1</f>
        <v>0.26947714285714297</v>
      </c>
      <c r="AB173" s="1439">
        <f>AB172/V172-1</f>
        <v>0.25017419447937495</v>
      </c>
      <c r="AC173" s="1439">
        <f>AC172/W172-1</f>
        <v>0.28981941747572804</v>
      </c>
      <c r="AD173" s="1439">
        <f>AD172/X172-1</f>
        <v>0.25416647791619496</v>
      </c>
      <c r="AE173" s="1439">
        <f>AE172/Y172-1</f>
        <v>0.2639212929169894</v>
      </c>
      <c r="AF173" s="1438"/>
      <c r="AG173" s="1439">
        <f>AG172/AA172-1</f>
        <v>0.13742215580317652</v>
      </c>
      <c r="AH173" s="1439">
        <f>AH172/AB172-1</f>
        <v>2.4274174000366022E-2</v>
      </c>
      <c r="AI173" s="1439">
        <f>AI172/AC172-1</f>
        <v>0.1338879379517266</v>
      </c>
      <c r="AJ173" s="1439">
        <f>AJ172/AD172-1</f>
        <v>9.2009510316236831E-2</v>
      </c>
      <c r="AK173" s="1439">
        <f>AK172/AE172-1</f>
        <v>9.4460486456801496E-2</v>
      </c>
      <c r="AL173" s="1438"/>
      <c r="AM173" s="1439">
        <f>AM172/AG172-1</f>
        <v>0.1033626448426519</v>
      </c>
      <c r="AN173" s="1439">
        <f>AN172/AH172-1</f>
        <v>0.19975111403034296</v>
      </c>
      <c r="AO173" s="1439">
        <f>AO172/AI172-1</f>
        <v>6.8261388515294286E-2</v>
      </c>
      <c r="AP173" s="1439">
        <f>AP172/AJ172-1</f>
        <v>0.2266375484465275</v>
      </c>
      <c r="AQ173" s="1439">
        <f>AQ172/AK172-1</f>
        <v>0.16244682848504088</v>
      </c>
      <c r="AR173" s="1438"/>
      <c r="AS173" s="1439">
        <f>AS172/AM172-1</f>
        <v>8.0760312259577693E-2</v>
      </c>
      <c r="AT173" s="1439">
        <f>AT172/AN172-1</f>
        <v>0.17702050461122276</v>
      </c>
      <c r="AU173" s="1439">
        <f>AU172/AO172-1</f>
        <v>0.29654104426135985</v>
      </c>
      <c r="AV173" s="1439">
        <f>AV172/AP172-1</f>
        <v>0.20803882429633003</v>
      </c>
      <c r="AW173" s="1439">
        <f>AW172/AQ172-1</f>
        <v>0.20166739629526909</v>
      </c>
      <c r="AX173" s="1438"/>
      <c r="AY173" s="1439">
        <f>AY172/AS172-1</f>
        <v>0.27976457157269796</v>
      </c>
      <c r="AZ173" s="1439">
        <f>AZ172/AT172-1</f>
        <v>0.24627125155756402</v>
      </c>
      <c r="BA173" s="1439">
        <f>BA172/AU172-1</f>
        <v>5.5366821126412447E-2</v>
      </c>
      <c r="BB173" s="1439">
        <f>BB172/AV172-1</f>
        <v>-9.683338113823281E-2</v>
      </c>
      <c r="BC173" s="1439">
        <f>BC172/AW172-1</f>
        <v>6.2306417871119679E-2</v>
      </c>
      <c r="BD173" s="1438"/>
      <c r="BE173" s="1439">
        <f>BE172/AY172-1</f>
        <v>-7.7973925276663136E-2</v>
      </c>
      <c r="BF173" s="1439">
        <f>BF172/AZ172-1</f>
        <v>-0.26509683102617732</v>
      </c>
      <c r="BG173" s="1439">
        <f>BG172/BA172-1</f>
        <v>-0.29429818386597228</v>
      </c>
      <c r="BH173" s="1439">
        <f>BH172/BB172-1</f>
        <v>-0.2894703672581681</v>
      </c>
      <c r="BI173" s="1439">
        <f>BI172/BC172-1</f>
        <v>-0.24923258294332551</v>
      </c>
      <c r="BJ173" s="1438"/>
      <c r="BK173" s="1439">
        <f>BK172/BE172-1</f>
        <v>-0.20827778621531479</v>
      </c>
      <c r="BL173" s="1439">
        <f>BL172/BF172-1</f>
        <v>-4.7786196260600433E-2</v>
      </c>
      <c r="BM173" s="1439">
        <f>BM172/BG172-1</f>
        <v>-2.8255248386968024E-2</v>
      </c>
      <c r="BN173" s="1439">
        <f>BN172/BH172-1</f>
        <v>3.2193659356961613E-2</v>
      </c>
      <c r="BO173" s="1439">
        <f>BO172/BI172-1</f>
        <v>-4.9813594930014693E-2</v>
      </c>
      <c r="BP173" s="1438"/>
      <c r="BQ173" s="1439">
        <f>BQ172/BK172-1</f>
        <v>-6.7495559502664282E-2</v>
      </c>
      <c r="BR173" s="1439">
        <f>BR172/BL172-1</f>
        <v>0.11764705882352944</v>
      </c>
      <c r="BS173" s="1439">
        <f>BS172/BM172-1</f>
        <v>0.12185430463576163</v>
      </c>
      <c r="BT173" s="1439">
        <f>BT172/BN172-1</f>
        <v>0.10699241786015157</v>
      </c>
      <c r="BU173" s="1439">
        <f>BU172/BO172-1</f>
        <v>8.2874617737002998E-2</v>
      </c>
      <c r="BV173" s="1438"/>
      <c r="BW173" s="1439">
        <f>BW172/BQ172-1</f>
        <v>7.2380952380952435E-2</v>
      </c>
      <c r="BX173" s="1439">
        <f>BX172/BR172-1</f>
        <v>0.13567251461988294</v>
      </c>
      <c r="BY173" s="1439">
        <f>BY172/BS172-1</f>
        <v>0.11806375442739081</v>
      </c>
      <c r="BZ173" s="1439">
        <f>BZ172/BT172-1</f>
        <v>0.22450532724505323</v>
      </c>
      <c r="CA173" s="1439">
        <f>CA172/BU172-1</f>
        <v>0.15504094888449593</v>
      </c>
      <c r="CB173" s="1438"/>
      <c r="CC173" s="1439">
        <f>CC172/BW172-1</f>
        <v>0.1172291296625223</v>
      </c>
      <c r="CD173" s="1439">
        <f>CD172/BX172-1</f>
        <v>8.9598352214212085E-2</v>
      </c>
      <c r="CE173" s="1439">
        <f>CE172/BY172-1</f>
        <v>0.15776135163674776</v>
      </c>
      <c r="CF173" s="1439">
        <f>CF172/BZ172-1</f>
        <v>0.3182100683654443</v>
      </c>
      <c r="CG173" s="1440">
        <f>CG172/CA172-1</f>
        <v>0.19911980440097787</v>
      </c>
      <c r="CH173" s="1438"/>
      <c r="CI173" s="1439">
        <f>CI172/CC172-1</f>
        <v>0.27821939586645472</v>
      </c>
      <c r="CJ173" s="1439">
        <f>CJ172/CD172-1</f>
        <v>0.14083175803402637</v>
      </c>
      <c r="CK173" s="1439">
        <f>CK172/CE172-1</f>
        <v>0.26778547975191525</v>
      </c>
      <c r="CL173" s="1439">
        <f>CL172/CF172-1</f>
        <v>0.16973125884016982</v>
      </c>
      <c r="CM173" s="1440">
        <f>CM172/CG172-1</f>
        <v>0.19933121278851651</v>
      </c>
      <c r="CN173" s="1438"/>
      <c r="CO173" s="1439">
        <f>CO172/CI172-1</f>
        <v>0.35199004975124382</v>
      </c>
      <c r="CP173" s="1439">
        <f>CP172/CJ172-1</f>
        <v>0.38193869096934541</v>
      </c>
      <c r="CQ173" s="1439">
        <f>CQ172/CK172-1</f>
        <v>0.16258992805755401</v>
      </c>
      <c r="CR173" s="1439">
        <f>CR172/CL172-1</f>
        <v>0.26723095525997587</v>
      </c>
      <c r="CS173" s="1440">
        <f>CS172/CM172-1</f>
        <v>0.27762665759945593</v>
      </c>
      <c r="CT173" s="1438"/>
      <c r="CU173" s="1439">
        <f>CU172/CO172-1</f>
        <v>0.13615455381784725</v>
      </c>
      <c r="CV173" s="1439">
        <f>CV172/CP172-1</f>
        <v>-2.5179856115107868E-2</v>
      </c>
      <c r="CW173" s="1439">
        <f>CW172/CQ172-1</f>
        <v>-6.1881188118811936E-2</v>
      </c>
      <c r="CX173" s="1439">
        <f>CX172/CR172-1</f>
        <v>-0.12722646310432573</v>
      </c>
      <c r="CY173" s="1440">
        <f>CY172/CS172-1</f>
        <v>-5.2428476380572242E-2</v>
      </c>
      <c r="CZ173" s="1438"/>
      <c r="DA173" s="1439">
        <f>DA172/CU172-1</f>
        <v>-0.16761133603238865</v>
      </c>
      <c r="DB173" s="1439">
        <f>DB172/CV172-1</f>
        <v>1.6605166051660625E-2</v>
      </c>
      <c r="DC173" s="1439">
        <f>DC172/CW172-1</f>
        <v>0.13350923482849608</v>
      </c>
      <c r="DD173" s="1439">
        <f>DD172/CX172-1</f>
        <v>0.14249271137026231</v>
      </c>
      <c r="DE173" s="1440">
        <f>DE172/CY172-1</f>
        <v>5.8053644151102368E-2</v>
      </c>
      <c r="DF173" s="1438"/>
      <c r="DG173" s="1439">
        <f>DG172/DA172-1</f>
        <v>0.25097276264591439</v>
      </c>
      <c r="DH173" s="1439">
        <f>DH172/DB172-1</f>
        <v>0.20931639443436167</v>
      </c>
      <c r="DI173" s="1439">
        <f>DI172/DC172-1</f>
        <v>0.28840782122905018</v>
      </c>
      <c r="DJ173" s="1439">
        <f>DJ172/DD172-1</f>
        <v>0.19170653907496016</v>
      </c>
      <c r="DK173" s="1440">
        <f>DK172/DE172-1</f>
        <v>0.22571140369505205</v>
      </c>
      <c r="DL173" s="1438"/>
      <c r="DM173" s="1439">
        <f>DM172/DG172-1</f>
        <v>0.16485225505443224</v>
      </c>
      <c r="DN173" s="1439">
        <f>DN172/DH172-1</f>
        <v>2.4512256128063958E-2</v>
      </c>
      <c r="DO173" s="1439">
        <f>DO172/DI172-1</f>
        <v>7.2267389340560095E-2</v>
      </c>
      <c r="DP173" s="1439">
        <f>DP172/DJ172-1</f>
        <v>7.2537473233404759E-2</v>
      </c>
      <c r="DQ173" s="1440">
        <f>DQ172/DK172-1</f>
        <v>7.4932322685435926E-2</v>
      </c>
      <c r="DR173" s="1438"/>
      <c r="DS173" s="1439"/>
      <c r="DT173" s="1439"/>
      <c r="DU173" s="1439"/>
      <c r="DV173" s="1439"/>
      <c r="DW173" s="1440"/>
      <c r="DX173" s="1438"/>
      <c r="DY173" s="1439">
        <f>DY172/DS172-1</f>
        <v>2.0423048869438354E-2</v>
      </c>
      <c r="DZ173" s="1439">
        <f>DZ172/DT172-1</f>
        <v>-2.3030861354214616E-2</v>
      </c>
      <c r="EA173" s="1439">
        <f>EA172/DU172-1</f>
        <v>1.2851023322227428E-2</v>
      </c>
      <c r="EB173" s="1439">
        <f>EB172/DV172-1</f>
        <v>0</v>
      </c>
      <c r="EC173" s="1440">
        <f>EC172/DW172-1</f>
        <v>5.3123671908195114E-4</v>
      </c>
      <c r="ED173" s="1438"/>
      <c r="EE173" s="1439">
        <f>EE172/DY172-1</f>
        <v>-2.0729092208720545E-2</v>
      </c>
      <c r="EF173" s="1439">
        <f>EF172/DZ172-1</f>
        <v>-3.5832154644035885E-2</v>
      </c>
      <c r="EG173" s="1439">
        <f>EG172/EA172-1</f>
        <v>-6.8609022556391008E-2</v>
      </c>
      <c r="EH173" s="1439">
        <f>EH172/EB172-1</f>
        <v>-0.16741841337224728</v>
      </c>
      <c r="EI173" s="1440">
        <f>EI172/EC172-1</f>
        <v>-9.3660401401720272E-2</v>
      </c>
      <c r="EJ173" s="1438"/>
      <c r="EK173" s="1439">
        <f>EK172/EE172-1</f>
        <v>-0.1598540145985401</v>
      </c>
      <c r="EL173" s="1439">
        <f>EL172/EF172-1</f>
        <v>-0.17995110024449879</v>
      </c>
      <c r="EM173" s="1439">
        <f>EM172/EG172-1</f>
        <v>-0.15237134207870839</v>
      </c>
      <c r="EN173" s="1439">
        <f>EN172/EH172-1</f>
        <v>-0.11854684512428293</v>
      </c>
      <c r="EO173" s="1440">
        <f>EO172/EI172-1</f>
        <v>-0.1477445811364968</v>
      </c>
      <c r="EP173" s="1438"/>
      <c r="EQ173" s="1439">
        <f>EQ172/EK172-1</f>
        <v>-0.10512597741094698</v>
      </c>
      <c r="ER173" s="1439">
        <f>ER172/EL172-1</f>
        <v>-0.19677996422182464</v>
      </c>
      <c r="ES173" s="1439">
        <f>ES172/EM172-1</f>
        <v>-0.15833333333333333</v>
      </c>
      <c r="ET173" s="1439">
        <f>ET172/EN172-1</f>
        <v>-5.0614605929139578E-2</v>
      </c>
      <c r="EU173" s="1440">
        <f>EU172/EO172-1</f>
        <v>-0.117816882045642</v>
      </c>
      <c r="EV173" s="1438"/>
      <c r="EW173" s="1439">
        <f>EW172/EQ172-1</f>
        <v>-6.2135922330097126E-2</v>
      </c>
      <c r="EX173" s="1439">
        <f>EX172/ER172-1</f>
        <v>4.4543429844097204E-3</v>
      </c>
      <c r="EY173" s="1439">
        <f>EY172/ES172-1</f>
        <v>-1.8387553041018356E-2</v>
      </c>
      <c r="EZ173" s="1439">
        <f>EZ172/ET172-1</f>
        <v>-6.7500000000000004E-2</v>
      </c>
      <c r="FA173" s="1440">
        <f>FA172/EU172-1</f>
        <v>-4.0712949976624557E-2</v>
      </c>
      <c r="FB173" s="1438"/>
      <c r="FC173" s="1439">
        <f>FC172/EW172-1</f>
        <v>-1.0000000000000009E-2</v>
      </c>
      <c r="FD173" s="1439">
        <f>FD172/EX172-1</f>
        <v>-6.0000000000000053E-2</v>
      </c>
      <c r="FE173" s="1439">
        <f>FE172/EY172-1</f>
        <v>-7.0000000000000062E-2</v>
      </c>
      <c r="FF173" s="1439">
        <f>FF172/EZ172-1</f>
        <v>-7.9999999999999849E-2</v>
      </c>
      <c r="FG173" s="1440">
        <f>FG172/FA172-1</f>
        <v>-6.2364441671966531E-2</v>
      </c>
      <c r="FH173" s="1438"/>
      <c r="FI173" s="1439">
        <f>FI172/FC172-1</f>
        <v>-7.999999999999996E-2</v>
      </c>
      <c r="FJ173" s="1439">
        <f>FJ172/FD172-1</f>
        <v>-7.999999999999996E-2</v>
      </c>
      <c r="FK173" s="1439">
        <f>FK172/FE172-1</f>
        <v>-7.999999999999996E-2</v>
      </c>
      <c r="FL173" s="1439">
        <f>FL172/FF172-1</f>
        <v>-8.0000000000000071E-2</v>
      </c>
      <c r="FM173" s="1440">
        <f>FM172/FG172-1</f>
        <v>-8.0000000000000071E-2</v>
      </c>
      <c r="FQ173"/>
      <c r="FR173"/>
      <c r="FS173"/>
      <c r="FT173"/>
      <c r="FU173"/>
      <c r="FV173"/>
      <c r="GB173" s="24"/>
      <c r="GC173" s="24"/>
      <c r="GD173" s="24"/>
      <c r="GE173" s="24"/>
      <c r="GF173" s="24"/>
      <c r="GG173" s="24"/>
      <c r="GH173" s="24"/>
      <c r="GI173" s="24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</row>
    <row r="174" spans="1:274" s="32" customFormat="1" ht="6" customHeight="1" x14ac:dyDescent="0.2">
      <c r="A174" s="102"/>
      <c r="B174" s="102"/>
      <c r="C174" s="102"/>
      <c r="D174" s="615"/>
      <c r="E174" s="615"/>
      <c r="F174" s="615"/>
      <c r="G174" s="615"/>
      <c r="H174" s="615"/>
      <c r="I174" s="615"/>
      <c r="J174" s="615"/>
      <c r="K174" s="615"/>
      <c r="L174" s="615"/>
      <c r="M174" s="615"/>
      <c r="N174" s="102"/>
      <c r="O174" s="102"/>
      <c r="P174" s="102"/>
      <c r="Q174" s="102"/>
      <c r="R174" s="102"/>
      <c r="S174" s="615"/>
      <c r="T174" s="102"/>
      <c r="U174" s="615"/>
      <c r="V174" s="615"/>
      <c r="W174" s="615"/>
      <c r="X174" s="615"/>
      <c r="Y174" s="615"/>
      <c r="Z174" s="102"/>
      <c r="AA174" s="615"/>
      <c r="AB174" s="615"/>
      <c r="AC174" s="615"/>
      <c r="AD174" s="615"/>
      <c r="AE174" s="615"/>
      <c r="AF174" s="102"/>
      <c r="AG174" s="615"/>
      <c r="AH174" s="615"/>
      <c r="AI174" s="615"/>
      <c r="AJ174" s="615"/>
      <c r="AK174" s="615"/>
      <c r="AL174" s="102"/>
      <c r="AM174" s="615"/>
      <c r="AN174" s="615"/>
      <c r="AO174" s="615"/>
      <c r="AP174" s="615"/>
      <c r="AQ174" s="615"/>
      <c r="AR174" s="102"/>
      <c r="AS174" s="615"/>
      <c r="AT174" s="615"/>
      <c r="AU174" s="615"/>
      <c r="AV174" s="615"/>
      <c r="AW174" s="615"/>
      <c r="AX174" s="102"/>
      <c r="AY174" s="615"/>
      <c r="AZ174" s="615"/>
      <c r="BA174" s="615"/>
      <c r="BB174" s="615"/>
      <c r="BC174" s="615"/>
      <c r="BD174" s="102"/>
      <c r="BE174" s="615"/>
      <c r="BF174" s="615"/>
      <c r="BG174" s="615"/>
      <c r="BH174" s="615"/>
      <c r="BI174" s="615"/>
      <c r="BJ174" s="102"/>
      <c r="BK174" s="615"/>
      <c r="BL174" s="615"/>
      <c r="BM174" s="615"/>
      <c r="BN174" s="615"/>
      <c r="BO174" s="615"/>
      <c r="BP174" s="102"/>
      <c r="BQ174" s="615"/>
      <c r="BR174" s="615"/>
      <c r="BS174" s="615"/>
      <c r="BT174" s="615"/>
      <c r="BU174" s="615"/>
      <c r="BV174" s="102"/>
      <c r="BW174" s="615"/>
      <c r="BX174" s="615"/>
      <c r="BY174" s="615"/>
      <c r="BZ174" s="615"/>
      <c r="CA174" s="615"/>
      <c r="CB174" s="102"/>
      <c r="CC174" s="615"/>
      <c r="CD174" s="615"/>
      <c r="CE174" s="615"/>
      <c r="CF174" s="615"/>
      <c r="CG174" s="888"/>
      <c r="CH174" s="102"/>
      <c r="CI174" s="615"/>
      <c r="CJ174" s="615"/>
      <c r="CK174" s="615"/>
      <c r="CL174" s="615"/>
      <c r="CM174" s="888"/>
      <c r="CN174" s="102"/>
      <c r="CO174" s="615"/>
      <c r="CP174" s="615"/>
      <c r="CQ174" s="615"/>
      <c r="CR174" s="615"/>
      <c r="CS174" s="888"/>
      <c r="CT174" s="102"/>
      <c r="CU174" s="615"/>
      <c r="CV174" s="615"/>
      <c r="CW174" s="615"/>
      <c r="CX174" s="615"/>
      <c r="CY174" s="888"/>
      <c r="CZ174" s="102"/>
      <c r="DA174" s="615"/>
      <c r="DB174" s="615"/>
      <c r="DC174" s="615"/>
      <c r="DD174" s="615"/>
      <c r="DE174" s="888"/>
      <c r="DF174" s="102"/>
      <c r="DG174" s="615"/>
      <c r="DH174" s="615"/>
      <c r="DI174" s="615"/>
      <c r="DJ174" s="615"/>
      <c r="DK174" s="888"/>
      <c r="DL174" s="102"/>
      <c r="DM174" s="615"/>
      <c r="DN174" s="615"/>
      <c r="DO174" s="615"/>
      <c r="DP174" s="615"/>
      <c r="DQ174" s="888"/>
      <c r="DR174" s="102"/>
      <c r="DS174" s="615"/>
      <c r="DT174" s="615"/>
      <c r="DU174" s="615"/>
      <c r="DV174" s="615"/>
      <c r="DW174" s="888"/>
      <c r="DX174" s="102"/>
      <c r="DY174" s="615"/>
      <c r="DZ174" s="615"/>
      <c r="EA174" s="615"/>
      <c r="EB174" s="615"/>
      <c r="EC174" s="888"/>
      <c r="ED174" s="102"/>
      <c r="EE174" s="615"/>
      <c r="EF174" s="615"/>
      <c r="EG174" s="615"/>
      <c r="EH174" s="615"/>
      <c r="EI174" s="888"/>
      <c r="EJ174" s="102"/>
      <c r="EK174" s="615"/>
      <c r="EL174" s="615"/>
      <c r="EM174" s="615"/>
      <c r="EN174" s="615"/>
      <c r="EO174" s="888"/>
      <c r="EP174" s="102"/>
      <c r="EQ174" s="615"/>
      <c r="ER174" s="615"/>
      <c r="ES174" s="615"/>
      <c r="ET174" s="615"/>
      <c r="EU174" s="888"/>
      <c r="EV174" s="102"/>
      <c r="EW174" s="615"/>
      <c r="EX174" s="615"/>
      <c r="EY174" s="615"/>
      <c r="EZ174" s="615"/>
      <c r="FA174" s="888"/>
      <c r="FB174" s="102"/>
      <c r="FC174" s="615"/>
      <c r="FD174" s="615"/>
      <c r="FE174" s="615"/>
      <c r="FF174" s="615"/>
      <c r="FG174" s="888"/>
      <c r="FH174" s="102"/>
      <c r="FI174" s="615"/>
      <c r="FJ174" s="615"/>
      <c r="FK174" s="615"/>
      <c r="FL174" s="615"/>
      <c r="FM174" s="888"/>
      <c r="FQ174"/>
      <c r="FR174"/>
      <c r="FS174"/>
      <c r="FT174"/>
      <c r="FU174"/>
      <c r="FV174"/>
      <c r="GB174" s="24"/>
      <c r="GC174" s="24"/>
      <c r="GD174" s="24"/>
      <c r="GE174" s="24"/>
      <c r="GF174" s="24"/>
      <c r="GG174" s="24"/>
      <c r="GH174" s="24"/>
      <c r="GI174" s="2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</row>
    <row r="175" spans="1:274" s="32" customFormat="1" ht="12.75" customHeight="1" thickBot="1" x14ac:dyDescent="0.25">
      <c r="A175" s="102"/>
      <c r="B175" s="102"/>
      <c r="C175" s="102"/>
      <c r="D175" s="615"/>
      <c r="E175" s="615"/>
      <c r="F175" s="615"/>
      <c r="G175" s="615"/>
      <c r="H175" s="615"/>
      <c r="I175" s="615"/>
      <c r="J175" s="615"/>
      <c r="K175" s="615"/>
      <c r="L175" s="615"/>
      <c r="M175" s="615"/>
      <c r="N175" s="102"/>
      <c r="O175" s="102"/>
      <c r="P175" s="102"/>
      <c r="Q175" s="102"/>
      <c r="R175" s="102"/>
      <c r="S175" s="615"/>
      <c r="T175" s="102"/>
      <c r="U175" s="615"/>
      <c r="V175" s="615"/>
      <c r="W175" s="615"/>
      <c r="X175" s="615"/>
      <c r="Y175" s="615"/>
      <c r="Z175" s="102"/>
      <c r="AA175" s="615"/>
      <c r="AB175" s="615"/>
      <c r="AC175" s="615"/>
      <c r="AD175" s="615"/>
      <c r="AE175" s="615"/>
      <c r="AF175" s="102"/>
      <c r="AG175" s="615"/>
      <c r="AH175" s="615"/>
      <c r="AI175" s="615"/>
      <c r="AJ175" s="615"/>
      <c r="AK175" s="615"/>
      <c r="AL175" s="102"/>
      <c r="AM175" s="615"/>
      <c r="AN175" s="615"/>
      <c r="AO175" s="615"/>
      <c r="AP175" s="615"/>
      <c r="AQ175" s="615"/>
      <c r="AR175" s="102"/>
      <c r="AS175" s="615"/>
      <c r="AT175" s="615"/>
      <c r="AU175" s="615"/>
      <c r="AV175" s="615"/>
      <c r="AW175" s="615"/>
      <c r="AX175" s="102"/>
      <c r="AY175" s="615"/>
      <c r="AZ175" s="615"/>
      <c r="BA175" s="615"/>
      <c r="BB175" s="615"/>
      <c r="BC175" s="615"/>
      <c r="BD175" s="102"/>
      <c r="BE175" s="615"/>
      <c r="BF175" s="615"/>
      <c r="BG175" s="615"/>
      <c r="BH175" s="615"/>
      <c r="BI175" s="615"/>
      <c r="BJ175" s="102"/>
      <c r="BK175" s="615"/>
      <c r="BL175" s="615"/>
      <c r="BM175" s="615"/>
      <c r="BN175" s="615"/>
      <c r="BO175" s="615"/>
      <c r="BP175" s="102"/>
      <c r="BQ175" s="615"/>
      <c r="BR175" s="615"/>
      <c r="BS175" s="615"/>
      <c r="BT175" s="615"/>
      <c r="BU175" s="615"/>
      <c r="BV175" s="102"/>
      <c r="BW175" s="615"/>
      <c r="BX175" s="615"/>
      <c r="BY175" s="615"/>
      <c r="BZ175" s="615"/>
      <c r="CA175" s="615"/>
      <c r="CB175" s="102"/>
      <c r="CC175" s="615"/>
      <c r="CD175" s="615"/>
      <c r="CE175" s="615"/>
      <c r="CF175" s="615"/>
      <c r="CG175" s="888"/>
      <c r="CH175" s="102"/>
      <c r="CI175" s="615"/>
      <c r="CJ175" s="615"/>
      <c r="CK175" s="615"/>
      <c r="CL175" s="615"/>
      <c r="CM175" s="888"/>
      <c r="CN175" s="102"/>
      <c r="CO175" s="615"/>
      <c r="CP175" s="615"/>
      <c r="CQ175" s="615"/>
      <c r="CR175" s="615"/>
      <c r="CS175" s="888"/>
      <c r="CT175" s="102"/>
      <c r="CU175" s="615"/>
      <c r="CV175" s="615"/>
      <c r="CW175" s="615"/>
      <c r="CX175" s="615"/>
      <c r="CY175" s="888"/>
      <c r="CZ175" s="102"/>
      <c r="DA175" s="615"/>
      <c r="DB175" s="615"/>
      <c r="DC175" s="615"/>
      <c r="DD175" s="615"/>
      <c r="DE175" s="888"/>
      <c r="DF175" s="102"/>
      <c r="DG175" s="615"/>
      <c r="DH175" s="615"/>
      <c r="DI175" s="615"/>
      <c r="DJ175" s="615"/>
      <c r="DK175" s="888"/>
      <c r="DL175" s="102"/>
      <c r="DM175" s="615"/>
      <c r="DN175" s="615"/>
      <c r="DO175" s="615"/>
      <c r="DP175" s="615"/>
      <c r="DQ175" s="888"/>
      <c r="DR175" s="102"/>
      <c r="DS175" s="615"/>
      <c r="DT175" s="615"/>
      <c r="DU175" s="615"/>
      <c r="DV175" s="615"/>
      <c r="DW175" s="888"/>
      <c r="DX175" s="102"/>
      <c r="DY175" s="615"/>
      <c r="DZ175" s="615"/>
      <c r="EA175" s="615"/>
      <c r="EB175" s="615"/>
      <c r="EC175" s="888"/>
      <c r="ED175" s="102"/>
      <c r="EE175" s="615"/>
      <c r="EF175" s="615"/>
      <c r="EG175" s="615"/>
      <c r="EH175" s="615"/>
      <c r="EI175" s="888"/>
      <c r="EJ175" s="102"/>
      <c r="EK175" s="615"/>
      <c r="EL175" s="615"/>
      <c r="EM175" s="615"/>
      <c r="EN175" s="615"/>
      <c r="EO175" s="888"/>
      <c r="EP175" s="102"/>
      <c r="EQ175" s="615"/>
      <c r="ER175" s="615"/>
      <c r="ES175" s="615"/>
      <c r="ET175" s="615"/>
      <c r="EU175" s="888"/>
      <c r="EV175" s="102"/>
      <c r="EW175" s="615"/>
      <c r="EX175" s="615"/>
      <c r="EY175" s="615"/>
      <c r="EZ175" s="615"/>
      <c r="FA175" s="888"/>
      <c r="FB175" s="102"/>
      <c r="FC175" s="615"/>
      <c r="FD175" s="615"/>
      <c r="FE175" s="615"/>
      <c r="FF175" s="615"/>
      <c r="FG175" s="888"/>
      <c r="FH175" s="102"/>
      <c r="FI175" s="615"/>
      <c r="FJ175" s="615"/>
      <c r="FK175" s="615"/>
      <c r="FL175" s="615"/>
      <c r="FM175" s="888"/>
      <c r="FQ175"/>
      <c r="FR175"/>
      <c r="FS175"/>
      <c r="FT175"/>
      <c r="FU175"/>
      <c r="FV175"/>
      <c r="GB175" s="24"/>
      <c r="GC175" s="24"/>
      <c r="GD175" s="24"/>
      <c r="GE175" s="24"/>
      <c r="GF175" s="24"/>
      <c r="GG175" s="24"/>
      <c r="GH175" s="24"/>
      <c r="GI175" s="24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</row>
    <row r="176" spans="1:274" s="32" customFormat="1" ht="12.75" customHeight="1" thickBot="1" x14ac:dyDescent="0.25">
      <c r="A176" s="1818" t="s">
        <v>1284</v>
      </c>
      <c r="B176" s="1879"/>
      <c r="C176" s="1879"/>
      <c r="D176" s="1880"/>
      <c r="E176" s="1880"/>
      <c r="F176" s="1880"/>
      <c r="G176" s="1880"/>
      <c r="H176" s="1880"/>
      <c r="I176" s="1880"/>
      <c r="J176" s="1880"/>
      <c r="K176" s="1880"/>
      <c r="L176" s="1880"/>
      <c r="M176" s="1880"/>
      <c r="N176" s="1879"/>
      <c r="O176" s="1879"/>
      <c r="P176" s="1879"/>
      <c r="Q176" s="1879"/>
      <c r="R176" s="1879"/>
      <c r="S176" s="1880"/>
      <c r="T176" s="1879"/>
      <c r="U176" s="1880"/>
      <c r="V176" s="1880"/>
      <c r="W176" s="1880"/>
      <c r="X176" s="1880"/>
      <c r="Y176" s="1880"/>
      <c r="Z176" s="1879"/>
      <c r="AA176" s="1880"/>
      <c r="AB176" s="1880"/>
      <c r="AC176" s="1880"/>
      <c r="AD176" s="1880"/>
      <c r="AE176" s="1880"/>
      <c r="AF176" s="1879"/>
      <c r="AG176" s="1880"/>
      <c r="AH176" s="1880"/>
      <c r="AI176" s="1880"/>
      <c r="AJ176" s="1880"/>
      <c r="AK176" s="1880"/>
      <c r="AL176" s="1879"/>
      <c r="AM176" s="1880"/>
      <c r="AN176" s="1880"/>
      <c r="AO176" s="1880"/>
      <c r="AP176" s="1880"/>
      <c r="AQ176" s="1880"/>
      <c r="AR176" s="1879"/>
      <c r="AS176" s="1880"/>
      <c r="AT176" s="1880"/>
      <c r="AU176" s="1880"/>
      <c r="AV176" s="1880"/>
      <c r="AW176" s="1880"/>
      <c r="AX176" s="1879"/>
      <c r="AY176" s="1880"/>
      <c r="AZ176" s="1880"/>
      <c r="BA176" s="1880"/>
      <c r="BB176" s="1880"/>
      <c r="BC176" s="1880"/>
      <c r="BD176" s="1879"/>
      <c r="BE176" s="1880"/>
      <c r="BF176" s="1880"/>
      <c r="BG176" s="1880"/>
      <c r="BH176" s="1880"/>
      <c r="BI176" s="1880"/>
      <c r="BJ176" s="1879"/>
      <c r="BK176" s="1880"/>
      <c r="BL176" s="1880"/>
      <c r="BM176" s="1880"/>
      <c r="BN176" s="1880"/>
      <c r="BO176" s="1880"/>
      <c r="BP176" s="1879"/>
      <c r="BQ176" s="1880"/>
      <c r="BR176" s="1880"/>
      <c r="BS176" s="1880"/>
      <c r="BT176" s="1880"/>
      <c r="BU176" s="1880"/>
      <c r="BV176" s="1879"/>
      <c r="BW176" s="1880"/>
      <c r="BX176" s="1880"/>
      <c r="BY176" s="1880"/>
      <c r="BZ176" s="1880"/>
      <c r="CA176" s="1880"/>
      <c r="CB176" s="1879"/>
      <c r="CC176" s="1880"/>
      <c r="CD176" s="1880"/>
      <c r="CE176" s="1880"/>
      <c r="CF176" s="1880"/>
      <c r="CG176" s="1881"/>
      <c r="CH176" s="1879"/>
      <c r="CI176" s="1880"/>
      <c r="CJ176" s="1880"/>
      <c r="CK176" s="1880"/>
      <c r="CL176" s="1880"/>
      <c r="CM176" s="1881"/>
      <c r="CN176" s="1879"/>
      <c r="CO176" s="1880"/>
      <c r="CP176" s="1880"/>
      <c r="CQ176" s="1880"/>
      <c r="CR176" s="1880"/>
      <c r="CS176" s="1881"/>
      <c r="CT176" s="1879"/>
      <c r="CU176" s="1880"/>
      <c r="CV176" s="1880"/>
      <c r="CW176" s="1880"/>
      <c r="CX176" s="1880"/>
      <c r="CY176" s="1881"/>
      <c r="CZ176" s="1879"/>
      <c r="DA176" s="1880"/>
      <c r="DB176" s="1880"/>
      <c r="DC176" s="1880"/>
      <c r="DD176" s="1880"/>
      <c r="DE176" s="1881"/>
      <c r="DF176" s="1879"/>
      <c r="DG176" s="1880"/>
      <c r="DH176" s="1880"/>
      <c r="DI176" s="1880"/>
      <c r="DJ176" s="1880"/>
      <c r="DK176" s="1881"/>
      <c r="DL176" s="1879"/>
      <c r="DM176" s="1880"/>
      <c r="DN176" s="1880"/>
      <c r="DO176" s="1880"/>
      <c r="DP176" s="1880"/>
      <c r="DQ176" s="1881"/>
      <c r="DR176" s="1879"/>
      <c r="DS176" s="1880"/>
      <c r="DT176" s="1880"/>
      <c r="DU176" s="1880"/>
      <c r="DV176" s="1880"/>
      <c r="DW176" s="1881"/>
      <c r="DX176" s="1879"/>
      <c r="DY176" s="1880"/>
      <c r="DZ176" s="1880"/>
      <c r="EA176" s="1880"/>
      <c r="EB176" s="1880"/>
      <c r="EC176" s="1881"/>
      <c r="ED176" s="1879"/>
      <c r="EE176" s="1880"/>
      <c r="EF176" s="1880"/>
      <c r="EG176" s="1880"/>
      <c r="EH176" s="1880"/>
      <c r="EI176" s="1881">
        <f>EI198/(EI198+EI181)</f>
        <v>0.76014451187912191</v>
      </c>
      <c r="EJ176" s="1879"/>
      <c r="EK176" s="1880"/>
      <c r="EL176" s="1880"/>
      <c r="EM176" s="1880"/>
      <c r="EN176" s="1880"/>
      <c r="EO176" s="1881">
        <f>EO198/(EO198+EO181)</f>
        <v>0.77684071438596258</v>
      </c>
      <c r="EP176" s="1879"/>
      <c r="EQ176" s="1880"/>
      <c r="ER176" s="1880"/>
      <c r="ES176" s="1880"/>
      <c r="ET176" s="1880"/>
      <c r="EU176" s="1881">
        <f>EU198/(EU198+EU181)</f>
        <v>0.84234310421207192</v>
      </c>
      <c r="EV176" s="1879"/>
      <c r="EW176" s="1880"/>
      <c r="EX176" s="1881"/>
      <c r="EY176" s="1880"/>
      <c r="EZ176" s="1880"/>
      <c r="FA176" s="1881"/>
      <c r="FB176" s="1879"/>
      <c r="FC176" s="1880"/>
      <c r="FD176" s="1880"/>
      <c r="FE176" s="1880"/>
      <c r="FF176" s="1880"/>
      <c r="FG176" s="1881"/>
      <c r="FH176" s="1879"/>
      <c r="FI176" s="1880"/>
      <c r="FJ176" s="1880"/>
      <c r="FK176" s="1880"/>
      <c r="FL176" s="1880"/>
      <c r="FM176" s="1882"/>
      <c r="FQ176"/>
      <c r="FR176"/>
      <c r="FS176"/>
      <c r="FT176"/>
      <c r="FU176"/>
      <c r="FV176"/>
      <c r="GB176" s="24"/>
      <c r="GC176" s="24"/>
      <c r="GD176" s="24"/>
      <c r="GE176" s="24"/>
      <c r="GF176" s="24"/>
      <c r="GG176" s="24"/>
      <c r="GH176" s="24"/>
      <c r="GI176" s="24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</row>
    <row r="177" spans="1:274" s="32" customFormat="1" ht="12.75" customHeight="1" x14ac:dyDescent="0.2">
      <c r="A177" s="1887" t="s">
        <v>1293</v>
      </c>
      <c r="B177" s="102"/>
      <c r="C177" s="102"/>
      <c r="D177" s="615"/>
      <c r="E177" s="615"/>
      <c r="F177" s="615"/>
      <c r="G177" s="615"/>
      <c r="H177" s="615"/>
      <c r="I177" s="615"/>
      <c r="J177" s="615"/>
      <c r="K177" s="615"/>
      <c r="L177" s="615"/>
      <c r="M177" s="615"/>
      <c r="N177" s="102"/>
      <c r="O177" s="102"/>
      <c r="P177" s="102"/>
      <c r="Q177" s="102"/>
      <c r="R177" s="102"/>
      <c r="S177" s="615"/>
      <c r="T177" s="102"/>
      <c r="U177" s="615"/>
      <c r="V177" s="615"/>
      <c r="W177" s="615"/>
      <c r="X177" s="615"/>
      <c r="Y177" s="615"/>
      <c r="Z177" s="102"/>
      <c r="AA177" s="615"/>
      <c r="AB177" s="615"/>
      <c r="AC177" s="615"/>
      <c r="AD177" s="615"/>
      <c r="AE177" s="615"/>
      <c r="AF177" s="102"/>
      <c r="AG177" s="615"/>
      <c r="AH177" s="615"/>
      <c r="AI177" s="615"/>
      <c r="AJ177" s="615"/>
      <c r="AK177" s="615"/>
      <c r="AL177" s="102"/>
      <c r="AM177" s="615"/>
      <c r="AN177" s="615"/>
      <c r="AO177" s="615"/>
      <c r="AP177" s="615"/>
      <c r="AQ177" s="615"/>
      <c r="AR177" s="102"/>
      <c r="AS177" s="615"/>
      <c r="AT177" s="615"/>
      <c r="AU177" s="615"/>
      <c r="AV177" s="615"/>
      <c r="AW177" s="615"/>
      <c r="AX177" s="102"/>
      <c r="AY177" s="615"/>
      <c r="AZ177" s="615"/>
      <c r="BA177" s="615"/>
      <c r="BB177" s="615"/>
      <c r="BC177" s="615"/>
      <c r="BD177" s="102"/>
      <c r="BE177" s="615"/>
      <c r="BF177" s="615"/>
      <c r="BG177" s="615"/>
      <c r="BH177" s="615"/>
      <c r="BI177" s="615"/>
      <c r="BJ177" s="102"/>
      <c r="BK177" s="615"/>
      <c r="BL177" s="615"/>
      <c r="BM177" s="615"/>
      <c r="BN177" s="615"/>
      <c r="BO177" s="615"/>
      <c r="BP177" s="102"/>
      <c r="BQ177" s="615"/>
      <c r="BR177" s="615"/>
      <c r="BS177" s="615"/>
      <c r="BT177" s="615"/>
      <c r="BU177" s="615"/>
      <c r="BV177" s="102"/>
      <c r="BW177" s="615"/>
      <c r="BX177" s="615"/>
      <c r="BY177" s="615"/>
      <c r="BZ177" s="615"/>
      <c r="CA177" s="615"/>
      <c r="CB177" s="102"/>
      <c r="CC177" s="615"/>
      <c r="CD177" s="615"/>
      <c r="CE177" s="615"/>
      <c r="CF177" s="615"/>
      <c r="CG177" s="888"/>
      <c r="CH177" s="102"/>
      <c r="CI177" s="615"/>
      <c r="CJ177" s="615"/>
      <c r="CK177" s="615"/>
      <c r="CL177" s="615"/>
      <c r="CM177" s="888"/>
      <c r="CN177" s="102"/>
      <c r="CO177" s="615"/>
      <c r="CP177" s="615"/>
      <c r="CQ177" s="615"/>
      <c r="CR177" s="615"/>
      <c r="CS177" s="888"/>
      <c r="CT177" s="102"/>
      <c r="CU177" s="615"/>
      <c r="CV177" s="615"/>
      <c r="CW177" s="615"/>
      <c r="CX177" s="615"/>
      <c r="CY177" s="888"/>
      <c r="CZ177" s="102"/>
      <c r="DA177" s="615"/>
      <c r="DB177" s="615"/>
      <c r="DC177" s="615"/>
      <c r="DD177" s="615"/>
      <c r="DE177" s="888"/>
      <c r="DF177" s="102"/>
      <c r="DG177" s="615"/>
      <c r="DH177" s="615"/>
      <c r="DI177" s="615"/>
      <c r="DJ177" s="615"/>
      <c r="DK177" s="888"/>
      <c r="DL177" s="102"/>
      <c r="DM177" s="615"/>
      <c r="DN177" s="615"/>
      <c r="DO177" s="615"/>
      <c r="DP177" s="615"/>
      <c r="DQ177" s="888"/>
      <c r="DR177" s="102"/>
      <c r="DS177" s="615"/>
      <c r="DT177" s="615"/>
      <c r="DU177" s="615"/>
      <c r="DV177" s="615"/>
      <c r="DW177" s="888"/>
      <c r="DX177" s="102"/>
      <c r="DY177" s="615"/>
      <c r="DZ177" s="615"/>
      <c r="EA177" s="615"/>
      <c r="EB177" s="615"/>
      <c r="EC177" s="888"/>
      <c r="ED177" s="102"/>
      <c r="EE177" s="615"/>
      <c r="EF177" s="615"/>
      <c r="EG177" s="615"/>
      <c r="EH177" s="615"/>
      <c r="EI177" s="888"/>
      <c r="EJ177" s="102"/>
      <c r="EK177" s="615"/>
      <c r="EL177" s="615"/>
      <c r="EM177" s="615"/>
      <c r="EN177" s="615"/>
      <c r="EO177" s="888"/>
      <c r="EP177" s="102"/>
      <c r="EQ177" s="615"/>
      <c r="ER177" s="615"/>
      <c r="ES177" s="615"/>
      <c r="ET177" s="615"/>
      <c r="EU177" s="888"/>
      <c r="EV177" s="102"/>
      <c r="EW177" s="615"/>
      <c r="EX177" s="615"/>
      <c r="EY177" s="615"/>
      <c r="EZ177" s="615"/>
      <c r="FA177" s="888"/>
      <c r="FB177" s="102"/>
      <c r="FC177" s="615"/>
      <c r="FD177" s="615"/>
      <c r="FE177" s="615"/>
      <c r="FF177" s="615"/>
      <c r="FG177" s="888"/>
      <c r="FH177" s="102"/>
      <c r="FI177" s="615"/>
      <c r="FJ177" s="615"/>
      <c r="FK177" s="615"/>
      <c r="FL177" s="615"/>
      <c r="FM177" s="888"/>
      <c r="FQ177"/>
      <c r="FR177"/>
      <c r="FS177"/>
      <c r="FT177"/>
      <c r="FU177"/>
      <c r="FV177"/>
      <c r="GB177" s="24"/>
      <c r="GC177" s="24"/>
      <c r="GD177" s="24"/>
      <c r="GE177" s="24"/>
      <c r="GF177" s="24"/>
      <c r="GG177" s="24"/>
      <c r="GH177" s="24"/>
      <c r="GI177" s="24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</row>
    <row r="178" spans="1:274" s="32" customFormat="1" ht="12.75" customHeight="1" x14ac:dyDescent="0.2">
      <c r="A178" s="1816" t="s">
        <v>1285</v>
      </c>
      <c r="B178" s="102"/>
      <c r="C178" s="102"/>
      <c r="D178" s="615"/>
      <c r="E178" s="615"/>
      <c r="F178" s="615"/>
      <c r="G178" s="615"/>
      <c r="H178" s="615"/>
      <c r="I178" s="615"/>
      <c r="J178" s="615"/>
      <c r="K178" s="615"/>
      <c r="L178" s="615"/>
      <c r="M178" s="615"/>
      <c r="N178" s="102"/>
      <c r="O178" s="102"/>
      <c r="P178" s="102"/>
      <c r="Q178" s="102"/>
      <c r="R178" s="102"/>
      <c r="S178" s="615"/>
      <c r="T178" s="102"/>
      <c r="U178" s="615"/>
      <c r="V178" s="615"/>
      <c r="W178" s="615"/>
      <c r="X178" s="615"/>
      <c r="Y178" s="615"/>
      <c r="Z178" s="102"/>
      <c r="AA178" s="615"/>
      <c r="AB178" s="615"/>
      <c r="AC178" s="615"/>
      <c r="AD178" s="615"/>
      <c r="AE178" s="615"/>
      <c r="AF178" s="102"/>
      <c r="AG178" s="615"/>
      <c r="AH178" s="615"/>
      <c r="AI178" s="615"/>
      <c r="AJ178" s="615"/>
      <c r="AK178" s="615"/>
      <c r="AL178" s="102"/>
      <c r="AM178" s="615"/>
      <c r="AN178" s="615"/>
      <c r="AO178" s="615"/>
      <c r="AP178" s="615"/>
      <c r="AQ178" s="615"/>
      <c r="AR178" s="102"/>
      <c r="AS178" s="615"/>
      <c r="AT178" s="615"/>
      <c r="AU178" s="615"/>
      <c r="AV178" s="615"/>
      <c r="AW178" s="615"/>
      <c r="AX178" s="102"/>
      <c r="AY178" s="615"/>
      <c r="AZ178" s="615"/>
      <c r="BA178" s="615"/>
      <c r="BB178" s="615"/>
      <c r="BC178" s="615"/>
      <c r="BD178" s="102"/>
      <c r="BE178" s="615"/>
      <c r="BF178" s="615"/>
      <c r="BG178" s="615"/>
      <c r="BH178" s="615"/>
      <c r="BI178" s="615"/>
      <c r="BJ178" s="102"/>
      <c r="BK178" s="615"/>
      <c r="BL178" s="615"/>
      <c r="BM178" s="615"/>
      <c r="BN178" s="615"/>
      <c r="BO178" s="615"/>
      <c r="BP178" s="102"/>
      <c r="BQ178" s="615"/>
      <c r="BR178" s="615"/>
      <c r="BS178" s="615"/>
      <c r="BT178" s="615"/>
      <c r="BU178" s="615"/>
      <c r="BV178" s="102"/>
      <c r="BW178" s="615"/>
      <c r="BX178" s="615"/>
      <c r="BY178" s="615"/>
      <c r="BZ178" s="615"/>
      <c r="CA178" s="615"/>
      <c r="CB178" s="102"/>
      <c r="CC178" s="615"/>
      <c r="CD178" s="615"/>
      <c r="CE178" s="615"/>
      <c r="CF178" s="615"/>
      <c r="CG178" s="888"/>
      <c r="CH178" s="102"/>
      <c r="CI178" s="615"/>
      <c r="CJ178" s="615"/>
      <c r="CK178" s="615"/>
      <c r="CL178" s="615"/>
      <c r="CM178" s="888"/>
      <c r="CN178" s="102"/>
      <c r="CO178" s="615"/>
      <c r="CP178" s="615"/>
      <c r="CQ178" s="615"/>
      <c r="CR178" s="615"/>
      <c r="CS178" s="888"/>
      <c r="CT178" s="102"/>
      <c r="CU178" s="615"/>
      <c r="CV178" s="615"/>
      <c r="CW178" s="615"/>
      <c r="CX178" s="615"/>
      <c r="CY178" s="888"/>
      <c r="CZ178" s="102"/>
      <c r="DA178" s="615"/>
      <c r="DB178" s="615"/>
      <c r="DC178" s="615"/>
      <c r="DD178" s="615"/>
      <c r="DE178" s="888"/>
      <c r="DF178" s="102"/>
      <c r="DG178" s="615"/>
      <c r="DH178" s="615"/>
      <c r="DI178" s="615"/>
      <c r="DJ178" s="615"/>
      <c r="DK178" s="888"/>
      <c r="DL178" s="102"/>
      <c r="DM178" s="615"/>
      <c r="DN178" s="615"/>
      <c r="DO178" s="615"/>
      <c r="DP178" s="615"/>
      <c r="DQ178" s="888"/>
      <c r="DR178" s="102"/>
      <c r="DS178" s="615"/>
      <c r="DT178" s="615"/>
      <c r="DU178" s="615"/>
      <c r="DV178" s="615"/>
      <c r="DW178" s="888"/>
      <c r="DX178" s="102"/>
      <c r="DY178" s="615"/>
      <c r="DZ178" s="615"/>
      <c r="EA178" s="615"/>
      <c r="EB178" s="615"/>
      <c r="EC178" s="888"/>
      <c r="ED178" s="102"/>
      <c r="EE178" s="615"/>
      <c r="EF178" s="615"/>
      <c r="EG178" s="615"/>
      <c r="EH178" s="615"/>
      <c r="EI178" s="888"/>
      <c r="EJ178" s="102"/>
      <c r="EK178" s="615"/>
      <c r="EL178" s="615"/>
      <c r="EM178" s="615"/>
      <c r="EN178" s="615"/>
      <c r="EO178" s="888"/>
      <c r="EP178" s="102"/>
      <c r="EQ178" s="615"/>
      <c r="ER178" s="615"/>
      <c r="ES178" s="615"/>
      <c r="ET178" s="615"/>
      <c r="EU178" s="888"/>
      <c r="EV178" s="102"/>
      <c r="EW178" s="615"/>
      <c r="EX178" s="615"/>
      <c r="EY178" s="615"/>
      <c r="EZ178" s="615"/>
      <c r="FA178" s="888"/>
      <c r="FB178" s="102"/>
      <c r="FC178" s="615"/>
      <c r="FD178" s="615"/>
      <c r="FE178" s="615"/>
      <c r="FF178" s="615"/>
      <c r="FG178" s="888"/>
      <c r="FH178" s="102"/>
      <c r="FI178" s="615"/>
      <c r="FJ178" s="615"/>
      <c r="FK178" s="615"/>
      <c r="FL178" s="615"/>
      <c r="FM178" s="888"/>
      <c r="FQ178"/>
      <c r="FR178"/>
      <c r="FS178"/>
      <c r="FT178"/>
      <c r="FU178"/>
      <c r="FV178"/>
      <c r="GB178" s="24"/>
      <c r="GC178" s="24"/>
      <c r="GD178" s="24"/>
      <c r="GE178" s="24"/>
      <c r="GF178" s="24"/>
      <c r="GG178" s="24"/>
      <c r="GH178" s="24"/>
      <c r="GI178" s="24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</row>
    <row r="179" spans="1:274" s="32" customFormat="1" ht="12.75" customHeight="1" x14ac:dyDescent="0.2">
      <c r="A179" s="1888" t="s">
        <v>1286</v>
      </c>
      <c r="B179" s="102"/>
      <c r="C179" s="102"/>
      <c r="D179" s="615"/>
      <c r="E179" s="615"/>
      <c r="F179" s="615"/>
      <c r="G179" s="615"/>
      <c r="H179" s="615"/>
      <c r="I179" s="615"/>
      <c r="J179" s="615"/>
      <c r="K179" s="615"/>
      <c r="L179" s="615"/>
      <c r="M179" s="615"/>
      <c r="N179" s="102"/>
      <c r="O179" s="102"/>
      <c r="P179" s="102"/>
      <c r="Q179" s="102"/>
      <c r="R179" s="102"/>
      <c r="S179" s="615"/>
      <c r="T179" s="102"/>
      <c r="U179" s="615"/>
      <c r="V179" s="615"/>
      <c r="W179" s="615"/>
      <c r="X179" s="615"/>
      <c r="Y179" s="615"/>
      <c r="Z179" s="102"/>
      <c r="AA179" s="615"/>
      <c r="AB179" s="615"/>
      <c r="AC179" s="615"/>
      <c r="AD179" s="615"/>
      <c r="AE179" s="615"/>
      <c r="AF179" s="102"/>
      <c r="AG179" s="615"/>
      <c r="AH179" s="615"/>
      <c r="AI179" s="615"/>
      <c r="AJ179" s="615"/>
      <c r="AK179" s="615"/>
      <c r="AL179" s="102"/>
      <c r="AM179" s="615"/>
      <c r="AN179" s="615"/>
      <c r="AO179" s="615"/>
      <c r="AP179" s="615"/>
      <c r="AQ179" s="615"/>
      <c r="AR179" s="102"/>
      <c r="AS179" s="615"/>
      <c r="AT179" s="615"/>
      <c r="AU179" s="615"/>
      <c r="AV179" s="615"/>
      <c r="AW179" s="615"/>
      <c r="AX179" s="102"/>
      <c r="AY179" s="615"/>
      <c r="AZ179" s="615"/>
      <c r="BA179" s="615"/>
      <c r="BB179" s="615"/>
      <c r="BC179" s="615"/>
      <c r="BD179" s="102"/>
      <c r="BE179" s="615"/>
      <c r="BF179" s="615"/>
      <c r="BG179" s="615"/>
      <c r="BH179" s="615"/>
      <c r="BI179" s="615"/>
      <c r="BJ179" s="102"/>
      <c r="BK179" s="615"/>
      <c r="BL179" s="615"/>
      <c r="BM179" s="615"/>
      <c r="BN179" s="615"/>
      <c r="BO179" s="615"/>
      <c r="BP179" s="102"/>
      <c r="BQ179" s="615"/>
      <c r="BR179" s="615"/>
      <c r="BS179" s="615"/>
      <c r="BT179" s="615"/>
      <c r="BU179" s="615"/>
      <c r="BV179" s="102"/>
      <c r="BW179" s="615"/>
      <c r="BX179" s="615"/>
      <c r="BY179" s="615"/>
      <c r="BZ179" s="615"/>
      <c r="CA179" s="615"/>
      <c r="CB179" s="102"/>
      <c r="CC179" s="615"/>
      <c r="CD179" s="615"/>
      <c r="CE179" s="615"/>
      <c r="CF179" s="615"/>
      <c r="CG179" s="888"/>
      <c r="CH179" s="102"/>
      <c r="CI179" s="615"/>
      <c r="CJ179" s="615"/>
      <c r="CK179" s="615"/>
      <c r="CL179" s="615"/>
      <c r="CM179" s="888"/>
      <c r="CN179" s="102"/>
      <c r="CO179" s="615"/>
      <c r="CP179" s="615"/>
      <c r="CQ179" s="615"/>
      <c r="CR179" s="615"/>
      <c r="CS179" s="888"/>
      <c r="CT179" s="102"/>
      <c r="CU179" s="615"/>
      <c r="CV179" s="615"/>
      <c r="CW179" s="615"/>
      <c r="CX179" s="615"/>
      <c r="CY179" s="888"/>
      <c r="CZ179" s="102"/>
      <c r="DA179" s="615"/>
      <c r="DB179" s="615"/>
      <c r="DC179" s="615"/>
      <c r="DD179" s="615"/>
      <c r="DE179" s="888"/>
      <c r="DF179" s="102"/>
      <c r="DG179" s="367"/>
      <c r="DH179" s="367"/>
      <c r="DI179" s="367"/>
      <c r="DJ179" s="367"/>
      <c r="DK179" s="1448"/>
      <c r="DL179" s="102"/>
      <c r="DM179" s="367"/>
      <c r="DN179" s="367"/>
      <c r="DO179" s="367"/>
      <c r="DP179" s="367"/>
      <c r="DQ179" s="1448"/>
      <c r="DR179" s="102"/>
      <c r="DS179" s="1897">
        <f>Model!DS35</f>
        <v>222</v>
      </c>
      <c r="DT179" s="1897">
        <f>Model!DT35</f>
        <v>230</v>
      </c>
      <c r="DU179" s="1897">
        <f>Model!DU35</f>
        <v>237</v>
      </c>
      <c r="DV179" s="1897">
        <f>Model!DV35</f>
        <v>265</v>
      </c>
      <c r="DW179" s="1899">
        <f>SUM(DS179:DV179)</f>
        <v>954</v>
      </c>
      <c r="DX179" s="102"/>
      <c r="DY179" s="1897">
        <f>Model!DY35</f>
        <v>257</v>
      </c>
      <c r="DZ179" s="1897">
        <f>Model!DZ35</f>
        <v>262</v>
      </c>
      <c r="EA179" s="1897">
        <f>Model!EA35</f>
        <v>292</v>
      </c>
      <c r="EB179" s="1897">
        <f>Model!EB35</f>
        <v>327</v>
      </c>
      <c r="EC179" s="1899">
        <f>SUM(DY179:EB179)</f>
        <v>1138</v>
      </c>
      <c r="ED179" s="102"/>
      <c r="EE179" s="1897">
        <f>Model!EE35</f>
        <v>339</v>
      </c>
      <c r="EF179" s="1897">
        <f>Model!EF35</f>
        <v>364</v>
      </c>
      <c r="EG179" s="1897">
        <f>Model!EG35</f>
        <v>375</v>
      </c>
      <c r="EH179" s="1897">
        <f>Model!EH35</f>
        <v>419</v>
      </c>
      <c r="EI179" s="1899">
        <f>SUM(EE179:EH179)</f>
        <v>1497</v>
      </c>
      <c r="EJ179" s="102"/>
      <c r="EK179" s="367">
        <v>438</v>
      </c>
      <c r="EL179" s="367">
        <v>462</v>
      </c>
      <c r="EM179" s="367">
        <v>526</v>
      </c>
      <c r="EN179" s="367">
        <v>576</v>
      </c>
      <c r="EO179" s="1448">
        <f t="shared" ref="EO179:EO183" si="115">SUM(EK179:EN179)</f>
        <v>2002</v>
      </c>
      <c r="EP179" s="102"/>
      <c r="EQ179" s="367">
        <v>657</v>
      </c>
      <c r="ER179" s="367">
        <v>725</v>
      </c>
      <c r="ES179" s="367">
        <v>865</v>
      </c>
      <c r="ET179" s="367">
        <v>964</v>
      </c>
      <c r="EU179" s="1448">
        <f t="shared" ref="EU179:EU183" si="116">SUM(EQ179:ET179)</f>
        <v>3211</v>
      </c>
      <c r="EV179" s="443"/>
      <c r="EW179" s="367">
        <v>1067</v>
      </c>
      <c r="EX179" s="367">
        <v>1123</v>
      </c>
      <c r="EY179" s="367">
        <v>1151</v>
      </c>
      <c r="EZ179" s="367"/>
      <c r="FA179" s="1448"/>
      <c r="FB179" s="443"/>
      <c r="FC179" s="367"/>
      <c r="FD179" s="367"/>
      <c r="FE179" s="367"/>
      <c r="FF179" s="367"/>
      <c r="FG179" s="1448"/>
      <c r="FH179" s="443"/>
      <c r="FI179" s="367"/>
      <c r="FJ179" s="367"/>
      <c r="FK179" s="367"/>
      <c r="FL179" s="367"/>
      <c r="FM179" s="1448"/>
      <c r="FQ179"/>
      <c r="FR179"/>
      <c r="FS179"/>
      <c r="FT179"/>
      <c r="FU179"/>
      <c r="FV179"/>
      <c r="GB179" s="24"/>
      <c r="GC179" s="24"/>
      <c r="GD179" s="24"/>
      <c r="GE179" s="24"/>
      <c r="GF179" s="24"/>
      <c r="GG179" s="24"/>
      <c r="GH179" s="24"/>
      <c r="GI179" s="24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</row>
    <row r="180" spans="1:274" s="32" customFormat="1" ht="12.75" customHeight="1" x14ac:dyDescent="0.2">
      <c r="A180" s="1888" t="s">
        <v>1287</v>
      </c>
      <c r="B180" s="102"/>
      <c r="C180" s="102"/>
      <c r="D180" s="615"/>
      <c r="E180" s="615"/>
      <c r="F180" s="615"/>
      <c r="G180" s="615"/>
      <c r="H180" s="615"/>
      <c r="I180" s="615"/>
      <c r="J180" s="615"/>
      <c r="K180" s="615"/>
      <c r="L180" s="615"/>
      <c r="M180" s="615"/>
      <c r="N180" s="102"/>
      <c r="O180" s="102"/>
      <c r="P180" s="102"/>
      <c r="Q180" s="102"/>
      <c r="R180" s="102"/>
      <c r="S180" s="615"/>
      <c r="T180" s="102"/>
      <c r="U180" s="615"/>
      <c r="V180" s="615"/>
      <c r="W180" s="615"/>
      <c r="X180" s="615"/>
      <c r="Y180" s="615"/>
      <c r="Z180" s="102"/>
      <c r="AA180" s="615"/>
      <c r="AB180" s="615"/>
      <c r="AC180" s="615"/>
      <c r="AD180" s="615"/>
      <c r="AE180" s="615"/>
      <c r="AF180" s="102"/>
      <c r="AG180" s="615"/>
      <c r="AH180" s="615"/>
      <c r="AI180" s="615"/>
      <c r="AJ180" s="615"/>
      <c r="AK180" s="615"/>
      <c r="AL180" s="102"/>
      <c r="AM180" s="615"/>
      <c r="AN180" s="615"/>
      <c r="AO180" s="615"/>
      <c r="AP180" s="615"/>
      <c r="AQ180" s="615"/>
      <c r="AR180" s="102"/>
      <c r="AS180" s="615"/>
      <c r="AT180" s="615"/>
      <c r="AU180" s="615"/>
      <c r="AV180" s="615"/>
      <c r="AW180" s="615"/>
      <c r="AX180" s="102"/>
      <c r="AY180" s="615"/>
      <c r="AZ180" s="615"/>
      <c r="BA180" s="615"/>
      <c r="BB180" s="615"/>
      <c r="BC180" s="615"/>
      <c r="BD180" s="102"/>
      <c r="BE180" s="615"/>
      <c r="BF180" s="615"/>
      <c r="BG180" s="615"/>
      <c r="BH180" s="615"/>
      <c r="BI180" s="615"/>
      <c r="BJ180" s="102"/>
      <c r="BK180" s="615"/>
      <c r="BL180" s="615"/>
      <c r="BM180" s="615"/>
      <c r="BN180" s="615"/>
      <c r="BO180" s="615"/>
      <c r="BP180" s="102"/>
      <c r="BQ180" s="615"/>
      <c r="BR180" s="615"/>
      <c r="BS180" s="615"/>
      <c r="BT180" s="615"/>
      <c r="BU180" s="615"/>
      <c r="BV180" s="102"/>
      <c r="BW180" s="615"/>
      <c r="BX180" s="615"/>
      <c r="BY180" s="615"/>
      <c r="BZ180" s="615"/>
      <c r="CA180" s="615"/>
      <c r="CB180" s="102"/>
      <c r="CC180" s="615"/>
      <c r="CD180" s="615"/>
      <c r="CE180" s="615"/>
      <c r="CF180" s="615"/>
      <c r="CG180" s="888"/>
      <c r="CH180" s="102"/>
      <c r="CI180" s="1877">
        <f>SUM(CI181:CI182)</f>
        <v>931.05339105339101</v>
      </c>
      <c r="CJ180" s="1877">
        <f>SUM(CJ181:CJ182)</f>
        <v>1065.0450536809817</v>
      </c>
      <c r="CK180" s="1877">
        <f>SUM(CK181:CK182)</f>
        <v>1188.4244609610714</v>
      </c>
      <c r="CL180" s="1877">
        <f>SUM(CL181:CL182)</f>
        <v>1562.4058823529413</v>
      </c>
      <c r="CM180" s="1878">
        <f>SUM(CI180:CL180)</f>
        <v>4746.9287880483853</v>
      </c>
      <c r="CN180" s="1874"/>
      <c r="CO180" s="1877">
        <f>SUM(CO181:CO182)</f>
        <v>1262</v>
      </c>
      <c r="CP180" s="1877">
        <f>SUM(CP181:CP182)</f>
        <v>1482</v>
      </c>
      <c r="CQ180" s="1877">
        <f>SUM(CQ181:CQ182)</f>
        <v>1425</v>
      </c>
      <c r="CR180" s="1877">
        <f>SUM(CR181:CR182)</f>
        <v>2033</v>
      </c>
      <c r="CS180" s="1878">
        <f>SUM(CO180:CR180)</f>
        <v>6202</v>
      </c>
      <c r="CT180" s="1874"/>
      <c r="CU180" s="1877">
        <f>SUM(CU181:CU182)</f>
        <v>1374</v>
      </c>
      <c r="CV180" s="1877">
        <f>SUM(CV181:CV182)</f>
        <v>1484</v>
      </c>
      <c r="CW180" s="1877">
        <f>SUM(CW181:CW182)</f>
        <v>1399</v>
      </c>
      <c r="CX180" s="1877">
        <f>SUM(CX181:CX182)</f>
        <v>1849</v>
      </c>
      <c r="CY180" s="1878">
        <f>SUM(CU180:CX180)</f>
        <v>6106</v>
      </c>
      <c r="CZ180" s="1874"/>
      <c r="DA180" s="1877">
        <f>SUM(DA181:DA182)</f>
        <v>1369</v>
      </c>
      <c r="DB180" s="1877">
        <f>SUM(DB181:DB182)</f>
        <v>1594</v>
      </c>
      <c r="DC180" s="1877">
        <f>SUM(DC181:DC182)</f>
        <v>1583</v>
      </c>
      <c r="DD180" s="1877">
        <f>SUM(DD181:DD182)</f>
        <v>1977</v>
      </c>
      <c r="DE180" s="1878">
        <f>SUM(DA180:DD180)</f>
        <v>6523</v>
      </c>
      <c r="DF180" s="1874"/>
      <c r="DG180" s="1877">
        <v>1483</v>
      </c>
      <c r="DH180" s="1877">
        <v>1781</v>
      </c>
      <c r="DI180" s="1877">
        <v>1856</v>
      </c>
      <c r="DJ180" s="1877">
        <v>2340</v>
      </c>
      <c r="DK180" s="1878">
        <f>SUM(DG180:DJ180)</f>
        <v>7460</v>
      </c>
      <c r="DL180" s="1874"/>
      <c r="DM180" s="1877">
        <v>1740</v>
      </c>
      <c r="DN180" s="1877">
        <v>1848</v>
      </c>
      <c r="DO180" s="1877">
        <v>1933</v>
      </c>
      <c r="DP180" s="1877">
        <v>2603</v>
      </c>
      <c r="DQ180" s="1878">
        <v>8126</v>
      </c>
      <c r="DR180" s="1900"/>
      <c r="DS180" s="1901"/>
      <c r="DT180" s="1901"/>
      <c r="DU180" s="1901"/>
      <c r="DV180" s="1901"/>
      <c r="DW180" s="1896">
        <f>($EO180-$DQ180)/4+DQ180</f>
        <v>7930.5</v>
      </c>
      <c r="DX180" s="1902"/>
      <c r="DY180" s="1901"/>
      <c r="DZ180" s="1901"/>
      <c r="EA180" s="1901"/>
      <c r="EB180" s="1901"/>
      <c r="EC180" s="1896">
        <f>($EO180-$DQ180)/4+DW180</f>
        <v>7735</v>
      </c>
      <c r="ED180" s="1902"/>
      <c r="EE180" s="1901"/>
      <c r="EF180" s="1901"/>
      <c r="EG180" s="1901"/>
      <c r="EH180" s="1901"/>
      <c r="EI180" s="1896">
        <f>($EO180-$DQ180)/4+EC180</f>
        <v>7539.5</v>
      </c>
      <c r="EJ180" s="102"/>
      <c r="EK180" s="367">
        <v>1668</v>
      </c>
      <c r="EL180" s="367">
        <v>1799</v>
      </c>
      <c r="EM180" s="367">
        <v>1775</v>
      </c>
      <c r="EN180" s="367">
        <v>2102</v>
      </c>
      <c r="EO180" s="1448">
        <f t="shared" si="115"/>
        <v>7344</v>
      </c>
      <c r="EP180" s="102"/>
      <c r="EQ180" s="367">
        <v>1584</v>
      </c>
      <c r="ER180" s="367">
        <v>1610</v>
      </c>
      <c r="ES180" s="367">
        <v>1632</v>
      </c>
      <c r="ET180" s="367">
        <v>1898</v>
      </c>
      <c r="EU180" s="1448">
        <f t="shared" si="116"/>
        <v>6724</v>
      </c>
      <c r="EV180" s="443"/>
      <c r="EW180" s="367">
        <v>1579</v>
      </c>
      <c r="EX180" s="367">
        <v>1554</v>
      </c>
      <c r="EY180" s="367">
        <v>1571</v>
      </c>
      <c r="EZ180" s="367"/>
      <c r="FA180" s="1448"/>
      <c r="FB180" s="443"/>
      <c r="FC180" s="367"/>
      <c r="FD180" s="367"/>
      <c r="FE180" s="367"/>
      <c r="FF180" s="367"/>
      <c r="FG180" s="1448"/>
      <c r="FH180" s="443"/>
      <c r="FI180" s="367"/>
      <c r="FJ180" s="367"/>
      <c r="FK180" s="367"/>
      <c r="FL180" s="367"/>
      <c r="FM180" s="1448"/>
      <c r="FQ180"/>
      <c r="FR180"/>
      <c r="FS180"/>
      <c r="FT180"/>
      <c r="FU180"/>
      <c r="FV180"/>
      <c r="GB180" s="24"/>
      <c r="GC180" s="24"/>
      <c r="GD180" s="24"/>
      <c r="GE180" s="24"/>
      <c r="GF180" s="24"/>
      <c r="GG180" s="24"/>
      <c r="GH180" s="24"/>
      <c r="GI180" s="24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</row>
    <row r="181" spans="1:274" s="32" customFormat="1" ht="12.75" hidden="1" customHeight="1" outlineLevel="1" x14ac:dyDescent="0.2">
      <c r="A181" s="1891" t="s">
        <v>681</v>
      </c>
      <c r="B181" s="1892"/>
      <c r="C181" s="1892"/>
      <c r="D181" s="1267"/>
      <c r="E181" s="1267"/>
      <c r="F181" s="1267"/>
      <c r="G181" s="1267"/>
      <c r="H181" s="1267"/>
      <c r="I181" s="1267"/>
      <c r="J181" s="1267"/>
      <c r="K181" s="1267"/>
      <c r="L181" s="1267"/>
      <c r="M181" s="1267"/>
      <c r="N181" s="1892"/>
      <c r="O181" s="1892"/>
      <c r="P181" s="1892"/>
      <c r="Q181" s="1892"/>
      <c r="R181" s="1892"/>
      <c r="S181" s="1267"/>
      <c r="T181" s="1892"/>
      <c r="U181" s="1267"/>
      <c r="V181" s="1267"/>
      <c r="W181" s="1267"/>
      <c r="X181" s="1267"/>
      <c r="Y181" s="1267"/>
      <c r="Z181" s="1892"/>
      <c r="AA181" s="1267"/>
      <c r="AB181" s="1267"/>
      <c r="AC181" s="1267"/>
      <c r="AD181" s="1267"/>
      <c r="AE181" s="1267"/>
      <c r="AF181" s="1892"/>
      <c r="AG181" s="1267"/>
      <c r="AH181" s="1267"/>
      <c r="AI181" s="1267"/>
      <c r="AJ181" s="1267"/>
      <c r="AK181" s="1267"/>
      <c r="AL181" s="1892"/>
      <c r="AM181" s="1267"/>
      <c r="AN181" s="1267"/>
      <c r="AO181" s="1267"/>
      <c r="AP181" s="1267"/>
      <c r="AQ181" s="1267"/>
      <c r="AR181" s="1892"/>
      <c r="AS181" s="1267"/>
      <c r="AT181" s="1267"/>
      <c r="AU181" s="1267"/>
      <c r="AV181" s="1267"/>
      <c r="AW181" s="1267"/>
      <c r="AX181" s="1892"/>
      <c r="AY181" s="1267"/>
      <c r="AZ181" s="1267"/>
      <c r="BA181" s="1267"/>
      <c r="BB181" s="1267"/>
      <c r="BC181" s="1267"/>
      <c r="BD181" s="1892"/>
      <c r="BE181" s="1267"/>
      <c r="BF181" s="1267"/>
      <c r="BG181" s="1267"/>
      <c r="BH181" s="1267"/>
      <c r="BI181" s="1267"/>
      <c r="BJ181" s="1892"/>
      <c r="BK181" s="1267"/>
      <c r="BL181" s="1267"/>
      <c r="BM181" s="1267"/>
      <c r="BN181" s="1267"/>
      <c r="BO181" s="1267"/>
      <c r="BP181" s="1892"/>
      <c r="BQ181" s="1267"/>
      <c r="BR181" s="1267"/>
      <c r="BS181" s="1267"/>
      <c r="BT181" s="1267"/>
      <c r="BU181" s="1267"/>
      <c r="BV181" s="1892"/>
      <c r="BW181" s="1267"/>
      <c r="BX181" s="1267"/>
      <c r="BY181" s="1267"/>
      <c r="BZ181" s="1267"/>
      <c r="CA181" s="1267"/>
      <c r="CB181" s="1892"/>
      <c r="CC181" s="1267"/>
      <c r="CD181" s="1267"/>
      <c r="CE181" s="1267"/>
      <c r="CF181" s="1267"/>
      <c r="CG181" s="1270"/>
      <c r="CH181" s="1892"/>
      <c r="CI181" s="1893">
        <f>CO181/(1+0.65)</f>
        <v>227.8787878787879</v>
      </c>
      <c r="CJ181" s="1893">
        <f>CP181/(1+0.63)</f>
        <v>339.2638036809816</v>
      </c>
      <c r="CK181" s="1893">
        <f>CQ181/(1+0.07)</f>
        <v>421.49532710280374</v>
      </c>
      <c r="CL181" s="1893">
        <f>CR181/(1+0.36)</f>
        <v>727.20588235294122</v>
      </c>
      <c r="CM181" s="1894">
        <f>SUM(CI181:CL181)</f>
        <v>1715.8438010155144</v>
      </c>
      <c r="CN181" s="1892"/>
      <c r="CO181" s="1893">
        <v>376</v>
      </c>
      <c r="CP181" s="1893">
        <v>553</v>
      </c>
      <c r="CQ181" s="1893">
        <v>451</v>
      </c>
      <c r="CR181" s="1893">
        <v>989</v>
      </c>
      <c r="CS181" s="1894">
        <f>SUM(CO181:CR181)</f>
        <v>2369</v>
      </c>
      <c r="CT181" s="1892"/>
      <c r="CU181" s="1893">
        <v>331</v>
      </c>
      <c r="CV181" s="1893">
        <v>469</v>
      </c>
      <c r="CW181" s="1893">
        <v>396</v>
      </c>
      <c r="CX181" s="1893">
        <v>805</v>
      </c>
      <c r="CY181" s="1894">
        <f>SUM(CU181:CX181)</f>
        <v>2001</v>
      </c>
      <c r="CZ181" s="1892"/>
      <c r="DA181" s="1893">
        <v>317</v>
      </c>
      <c r="DB181" s="1893">
        <v>478</v>
      </c>
      <c r="DC181" s="1893">
        <v>477</v>
      </c>
      <c r="DD181" s="1893">
        <v>855</v>
      </c>
      <c r="DE181" s="1894">
        <f>SUM(DA181:DD181)</f>
        <v>2127</v>
      </c>
      <c r="DF181" s="1892"/>
      <c r="DG181" s="1893">
        <v>349</v>
      </c>
      <c r="DH181" s="1893">
        <v>579</v>
      </c>
      <c r="DI181" s="1893">
        <v>639</v>
      </c>
      <c r="DJ181" s="1893">
        <v>1042</v>
      </c>
      <c r="DK181" s="1894">
        <f>SUM(DG181:DJ181)</f>
        <v>2609</v>
      </c>
      <c r="DL181" s="1892"/>
      <c r="DM181" s="1893">
        <v>428</v>
      </c>
      <c r="DN181" s="1893">
        <v>569</v>
      </c>
      <c r="DO181" s="1893">
        <v>658</v>
      </c>
      <c r="DP181" s="1893">
        <v>1279</v>
      </c>
      <c r="DQ181" s="1894">
        <v>2935</v>
      </c>
      <c r="DR181" s="1892"/>
      <c r="DS181" s="1267"/>
      <c r="DT181" s="1267"/>
      <c r="DU181" s="1267"/>
      <c r="DV181" s="1267"/>
      <c r="DW181" s="1898">
        <f>DW180-DW182</f>
        <v>2463.96</v>
      </c>
      <c r="DX181" s="1892"/>
      <c r="DY181" s="1267"/>
      <c r="DZ181" s="1267"/>
      <c r="EA181" s="1267"/>
      <c r="EB181" s="1267"/>
      <c r="EC181" s="1898">
        <f>EC180-EC182</f>
        <v>2103.6603999999998</v>
      </c>
      <c r="ED181" s="1892"/>
      <c r="EE181" s="1267"/>
      <c r="EF181" s="1267"/>
      <c r="EG181" s="1267"/>
      <c r="EH181" s="1267"/>
      <c r="EI181" s="1898">
        <f>EI180-EI182</f>
        <v>1825.3086960000001</v>
      </c>
      <c r="EJ181" s="1892"/>
      <c r="EK181" s="1893"/>
      <c r="EL181" s="1893"/>
      <c r="EM181" s="1893"/>
      <c r="EN181" s="1893"/>
      <c r="EO181" s="1898">
        <f>EO180-EO182</f>
        <v>1607.5984350400004</v>
      </c>
      <c r="EP181" s="1892"/>
      <c r="EQ181" s="1903">
        <f>EQ180/EK180-1</f>
        <v>-5.0359712230215847E-2</v>
      </c>
      <c r="ER181" s="1903">
        <f>ER180/EL180-1</f>
        <v>-0.10505836575875482</v>
      </c>
      <c r="ES181" s="1903">
        <f>ES180/EM180-1</f>
        <v>-8.0563380281690189E-2</v>
      </c>
      <c r="ET181" s="1903">
        <f>ET180/EN180-1</f>
        <v>-9.7050428163653613E-2</v>
      </c>
      <c r="EU181" s="1898">
        <f>EU180-EU182</f>
        <v>1010.2628419296007</v>
      </c>
      <c r="EV181" s="1895"/>
      <c r="EW181" s="1903">
        <f>EW180/EQ180-1</f>
        <v>-3.1565656565656353E-3</v>
      </c>
      <c r="EX181" s="1903">
        <f>EX180/ER180-1</f>
        <v>-3.4782608695652195E-2</v>
      </c>
      <c r="EY181" s="1903">
        <f>EY180/ES180-1</f>
        <v>-3.7377450980392135E-2</v>
      </c>
      <c r="EZ181" s="1893"/>
      <c r="FA181" s="1894"/>
      <c r="FB181" s="1895"/>
      <c r="FC181" s="1893"/>
      <c r="FD181" s="1893"/>
      <c r="FE181" s="1893"/>
      <c r="FF181" s="1893"/>
      <c r="FG181" s="1894"/>
      <c r="FH181" s="1895"/>
      <c r="FI181" s="1893"/>
      <c r="FJ181" s="1893"/>
      <c r="FK181" s="1893"/>
      <c r="FL181" s="1893"/>
      <c r="FM181" s="1894"/>
      <c r="FQ181"/>
      <c r="FR181"/>
      <c r="FS181"/>
      <c r="FT181"/>
      <c r="FU181"/>
      <c r="FV181"/>
      <c r="GB181" s="24"/>
      <c r="GC181" s="24"/>
      <c r="GD181" s="24"/>
      <c r="GE181" s="24"/>
      <c r="GF181" s="24"/>
      <c r="GG181" s="24"/>
      <c r="GH181" s="24"/>
      <c r="GI181" s="24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</row>
    <row r="182" spans="1:274" s="32" customFormat="1" ht="12.75" hidden="1" customHeight="1" outlineLevel="1" x14ac:dyDescent="0.2">
      <c r="A182" s="1891" t="s">
        <v>470</v>
      </c>
      <c r="B182" s="1892"/>
      <c r="C182" s="1892"/>
      <c r="D182" s="1267"/>
      <c r="E182" s="1267"/>
      <c r="F182" s="1267"/>
      <c r="G182" s="1267"/>
      <c r="H182" s="1267"/>
      <c r="I182" s="1267"/>
      <c r="J182" s="1267"/>
      <c r="K182" s="1267"/>
      <c r="L182" s="1267"/>
      <c r="M182" s="1267"/>
      <c r="N182" s="1892"/>
      <c r="O182" s="1892"/>
      <c r="P182" s="1892"/>
      <c r="Q182" s="1892"/>
      <c r="R182" s="1892"/>
      <c r="S182" s="1267"/>
      <c r="T182" s="1892"/>
      <c r="U182" s="1267"/>
      <c r="V182" s="1267"/>
      <c r="W182" s="1267"/>
      <c r="X182" s="1267"/>
      <c r="Y182" s="1267"/>
      <c r="Z182" s="1892"/>
      <c r="AA182" s="1267"/>
      <c r="AB182" s="1267"/>
      <c r="AC182" s="1267"/>
      <c r="AD182" s="1267"/>
      <c r="AE182" s="1267"/>
      <c r="AF182" s="1892"/>
      <c r="AG182" s="1267"/>
      <c r="AH182" s="1267"/>
      <c r="AI182" s="1267"/>
      <c r="AJ182" s="1267"/>
      <c r="AK182" s="1267"/>
      <c r="AL182" s="1892"/>
      <c r="AM182" s="1267"/>
      <c r="AN182" s="1267"/>
      <c r="AO182" s="1267"/>
      <c r="AP182" s="1267"/>
      <c r="AQ182" s="1267"/>
      <c r="AR182" s="1892"/>
      <c r="AS182" s="1267"/>
      <c r="AT182" s="1267"/>
      <c r="AU182" s="1267"/>
      <c r="AV182" s="1267"/>
      <c r="AW182" s="1267"/>
      <c r="AX182" s="1892"/>
      <c r="AY182" s="1267"/>
      <c r="AZ182" s="1267"/>
      <c r="BA182" s="1267"/>
      <c r="BB182" s="1267"/>
      <c r="BC182" s="1267"/>
      <c r="BD182" s="1892"/>
      <c r="BE182" s="1267"/>
      <c r="BF182" s="1267"/>
      <c r="BG182" s="1267"/>
      <c r="BH182" s="1267"/>
      <c r="BI182" s="1267"/>
      <c r="BJ182" s="1892"/>
      <c r="BK182" s="1267"/>
      <c r="BL182" s="1267"/>
      <c r="BM182" s="1267"/>
      <c r="BN182" s="1267"/>
      <c r="BO182" s="1267"/>
      <c r="BP182" s="1892"/>
      <c r="BQ182" s="1267"/>
      <c r="BR182" s="1267"/>
      <c r="BS182" s="1267"/>
      <c r="BT182" s="1267"/>
      <c r="BU182" s="1267"/>
      <c r="BV182" s="1892"/>
      <c r="BW182" s="1267"/>
      <c r="BX182" s="1267"/>
      <c r="BY182" s="1267"/>
      <c r="BZ182" s="1267"/>
      <c r="CA182" s="1267"/>
      <c r="CB182" s="1892"/>
      <c r="CC182" s="1267"/>
      <c r="CD182" s="1267"/>
      <c r="CE182" s="1267"/>
      <c r="CF182" s="1267"/>
      <c r="CG182" s="1270"/>
      <c r="CH182" s="1892"/>
      <c r="CI182" s="1893">
        <f>CO182/(1+0.26)</f>
        <v>703.17460317460313</v>
      </c>
      <c r="CJ182" s="1893">
        <f>CP182/(1+0.28)</f>
        <v>725.78125</v>
      </c>
      <c r="CK182" s="1893">
        <f>CQ182/(1+0.27)</f>
        <v>766.92913385826773</v>
      </c>
      <c r="CL182" s="1893">
        <f>CR182/(1+0.25)</f>
        <v>835.2</v>
      </c>
      <c r="CM182" s="1894">
        <f>SUM(CI182:CL182)</f>
        <v>3031.0849870328711</v>
      </c>
      <c r="CN182" s="1892"/>
      <c r="CO182" s="1893">
        <v>886</v>
      </c>
      <c r="CP182" s="1893">
        <v>929</v>
      </c>
      <c r="CQ182" s="1893">
        <v>974</v>
      </c>
      <c r="CR182" s="1893">
        <v>1044</v>
      </c>
      <c r="CS182" s="1894">
        <f>SUM(CO182:CR182)</f>
        <v>3833</v>
      </c>
      <c r="CT182" s="1892"/>
      <c r="CU182" s="1893">
        <v>1043</v>
      </c>
      <c r="CV182" s="1893">
        <v>1015</v>
      </c>
      <c r="CW182" s="1893">
        <v>1003</v>
      </c>
      <c r="CX182" s="1893">
        <v>1044</v>
      </c>
      <c r="CY182" s="1894">
        <f>SUM(CU182:CX182)</f>
        <v>4105</v>
      </c>
      <c r="CZ182" s="1892"/>
      <c r="DA182" s="1893">
        <v>1052</v>
      </c>
      <c r="DB182" s="1893">
        <v>1116</v>
      </c>
      <c r="DC182" s="1893">
        <v>1106</v>
      </c>
      <c r="DD182" s="1893">
        <v>1122</v>
      </c>
      <c r="DE182" s="1894">
        <f>SUM(DA182:DD182)</f>
        <v>4396</v>
      </c>
      <c r="DF182" s="1892"/>
      <c r="DG182" s="1893">
        <v>1134</v>
      </c>
      <c r="DH182" s="1893">
        <v>1202</v>
      </c>
      <c r="DI182" s="1893">
        <v>1217</v>
      </c>
      <c r="DJ182" s="1893">
        <v>1298</v>
      </c>
      <c r="DK182" s="1894">
        <f>SUM(DG182:DJ182)</f>
        <v>4851</v>
      </c>
      <c r="DL182" s="1892"/>
      <c r="DM182" s="1893">
        <v>1312</v>
      </c>
      <c r="DN182" s="1893">
        <v>1279</v>
      </c>
      <c r="DO182" s="1893">
        <v>1275</v>
      </c>
      <c r="DP182" s="1893">
        <v>1324</v>
      </c>
      <c r="DQ182" s="1894">
        <v>5191</v>
      </c>
      <c r="DR182" s="1892"/>
      <c r="DS182" s="1267"/>
      <c r="DT182" s="1267"/>
      <c r="DU182" s="1267"/>
      <c r="DV182" s="1267"/>
      <c r="DW182" s="1898">
        <f>DQ182*0.94+DQ181*0.2</f>
        <v>5466.54</v>
      </c>
      <c r="DX182" s="1892"/>
      <c r="DY182" s="1267"/>
      <c r="DZ182" s="1267"/>
      <c r="EA182" s="1267"/>
      <c r="EB182" s="1267"/>
      <c r="EC182" s="1898">
        <f>DW182*0.94+DW181*0.2</f>
        <v>5631.3396000000002</v>
      </c>
      <c r="ED182" s="1892"/>
      <c r="EE182" s="1267"/>
      <c r="EF182" s="1267"/>
      <c r="EG182" s="1267"/>
      <c r="EH182" s="1267"/>
      <c r="EI182" s="1898">
        <f>EC182*0.94+EC181*0.2</f>
        <v>5714.1913039999999</v>
      </c>
      <c r="EJ182" s="1892"/>
      <c r="EK182" s="1893"/>
      <c r="EL182" s="1893"/>
      <c r="EM182" s="1893"/>
      <c r="EN182" s="1893"/>
      <c r="EO182" s="1898">
        <f>EI182*0.94+EI181*0.2</f>
        <v>5736.4015649599996</v>
      </c>
      <c r="EP182" s="1892"/>
      <c r="EQ182" s="1893"/>
      <c r="ER182" s="1893"/>
      <c r="ES182" s="1893"/>
      <c r="ET182" s="1893"/>
      <c r="EU182" s="1898">
        <f>EO182*0.94+EO181*0.2</f>
        <v>5713.7371580703993</v>
      </c>
      <c r="EV182" s="1895"/>
      <c r="EW182" s="1893"/>
      <c r="EX182" s="1893"/>
      <c r="EY182" s="1893"/>
      <c r="EZ182" s="1893"/>
      <c r="FA182" s="1894"/>
      <c r="FB182" s="1895"/>
      <c r="FC182" s="1893"/>
      <c r="FD182" s="1893"/>
      <c r="FE182" s="1893"/>
      <c r="FF182" s="1893"/>
      <c r="FG182" s="1894"/>
      <c r="FH182" s="1895"/>
      <c r="FI182" s="1893"/>
      <c r="FJ182" s="1893"/>
      <c r="FK182" s="1893"/>
      <c r="FL182" s="1893"/>
      <c r="FM182" s="1894"/>
      <c r="FQ182"/>
      <c r="FR182"/>
      <c r="FS182"/>
      <c r="FT182"/>
      <c r="FU182"/>
      <c r="FV182"/>
      <c r="GB182" s="24"/>
      <c r="GC182" s="24"/>
      <c r="GD182" s="24"/>
      <c r="GE182" s="24"/>
      <c r="GF182" s="24"/>
      <c r="GG182" s="24"/>
      <c r="GH182" s="24"/>
      <c r="GI182" s="24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</row>
    <row r="183" spans="1:274" s="32" customFormat="1" ht="12.75" customHeight="1" collapsed="1" x14ac:dyDescent="0.2">
      <c r="A183" s="1889" t="s">
        <v>1288</v>
      </c>
      <c r="B183" s="1874"/>
      <c r="C183" s="1874"/>
      <c r="D183" s="1875"/>
      <c r="E183" s="1875"/>
      <c r="F183" s="1875"/>
      <c r="G183" s="1875"/>
      <c r="H183" s="1875"/>
      <c r="I183" s="1875"/>
      <c r="J183" s="1875"/>
      <c r="K183" s="1875"/>
      <c r="L183" s="1875"/>
      <c r="M183" s="1875"/>
      <c r="N183" s="1874"/>
      <c r="O183" s="1874"/>
      <c r="P183" s="1874"/>
      <c r="Q183" s="1874"/>
      <c r="R183" s="1874"/>
      <c r="S183" s="1875"/>
      <c r="T183" s="1874"/>
      <c r="U183" s="1875"/>
      <c r="V183" s="1875"/>
      <c r="W183" s="1875"/>
      <c r="X183" s="1875"/>
      <c r="Y183" s="1875"/>
      <c r="Z183" s="1874"/>
      <c r="AA183" s="1875"/>
      <c r="AB183" s="1875"/>
      <c r="AC183" s="1875"/>
      <c r="AD183" s="1875"/>
      <c r="AE183" s="1875"/>
      <c r="AF183" s="1874"/>
      <c r="AG183" s="1875"/>
      <c r="AH183" s="1875"/>
      <c r="AI183" s="1875"/>
      <c r="AJ183" s="1875"/>
      <c r="AK183" s="1875"/>
      <c r="AL183" s="1874"/>
      <c r="AM183" s="1875"/>
      <c r="AN183" s="1875"/>
      <c r="AO183" s="1875"/>
      <c r="AP183" s="1875"/>
      <c r="AQ183" s="1875"/>
      <c r="AR183" s="1874"/>
      <c r="AS183" s="1875"/>
      <c r="AT183" s="1875"/>
      <c r="AU183" s="1875"/>
      <c r="AV183" s="1875"/>
      <c r="AW183" s="1875"/>
      <c r="AX183" s="1874"/>
      <c r="AY183" s="1875"/>
      <c r="AZ183" s="1875"/>
      <c r="BA183" s="1875"/>
      <c r="BB183" s="1875"/>
      <c r="BC183" s="1875"/>
      <c r="BD183" s="1874"/>
      <c r="BE183" s="1875"/>
      <c r="BF183" s="1875"/>
      <c r="BG183" s="1875"/>
      <c r="BH183" s="1875"/>
      <c r="BI183" s="1875"/>
      <c r="BJ183" s="1874"/>
      <c r="BK183" s="1875"/>
      <c r="BL183" s="1875"/>
      <c r="BM183" s="1875"/>
      <c r="BN183" s="1875"/>
      <c r="BO183" s="1875"/>
      <c r="BP183" s="1874"/>
      <c r="BQ183" s="1875"/>
      <c r="BR183" s="1875"/>
      <c r="BS183" s="1875"/>
      <c r="BT183" s="1875"/>
      <c r="BU183" s="1875"/>
      <c r="BV183" s="1874"/>
      <c r="BW183" s="1875"/>
      <c r="BX183" s="1875"/>
      <c r="BY183" s="1875"/>
      <c r="BZ183" s="1875"/>
      <c r="CA183" s="1875"/>
      <c r="CB183" s="1874"/>
      <c r="CC183" s="1875"/>
      <c r="CD183" s="1875"/>
      <c r="CE183" s="1875"/>
      <c r="CF183" s="1875"/>
      <c r="CG183" s="1876"/>
      <c r="CH183" s="1874"/>
      <c r="CI183" s="1874"/>
      <c r="CJ183" s="1874"/>
      <c r="CK183" s="1874"/>
      <c r="CL183" s="1874"/>
      <c r="CM183" s="1874"/>
      <c r="CN183" s="1874"/>
      <c r="CO183" s="1874"/>
      <c r="CP183" s="1874"/>
      <c r="CQ183" s="1874"/>
      <c r="CR183" s="1874"/>
      <c r="CS183" s="1874"/>
      <c r="CT183" s="1874"/>
      <c r="CU183" s="1874"/>
      <c r="CV183" s="1874"/>
      <c r="CW183" s="1874"/>
      <c r="CX183" s="1874"/>
      <c r="CY183" s="1874"/>
      <c r="CZ183" s="1874"/>
      <c r="DA183" s="1874"/>
      <c r="DB183" s="1874"/>
      <c r="DC183" s="1874"/>
      <c r="DD183" s="1874"/>
      <c r="DE183" s="1874"/>
      <c r="DF183" s="1874"/>
      <c r="DG183" s="1874"/>
      <c r="DH183" s="1874"/>
      <c r="DI183" s="1874"/>
      <c r="DJ183" s="1874"/>
      <c r="DK183" s="1874"/>
      <c r="DL183" s="1874"/>
      <c r="DM183" s="1874"/>
      <c r="DN183" s="1874"/>
      <c r="DO183" s="1874"/>
      <c r="DP183" s="1874"/>
      <c r="DQ183" s="1874"/>
      <c r="DR183" s="1874"/>
      <c r="DS183" s="1875"/>
      <c r="DT183" s="1875"/>
      <c r="DU183" s="1875"/>
      <c r="DV183" s="1875"/>
      <c r="DW183" s="1876"/>
      <c r="DX183" s="1874"/>
      <c r="DY183" s="1875"/>
      <c r="DZ183" s="1875"/>
      <c r="EA183" s="1875"/>
      <c r="EB183" s="1875"/>
      <c r="EC183" s="1876"/>
      <c r="ED183" s="1874"/>
      <c r="EE183" s="1875"/>
      <c r="EF183" s="1875"/>
      <c r="EG183" s="1875"/>
      <c r="EH183" s="1875"/>
      <c r="EI183" s="1876"/>
      <c r="EJ183" s="1874"/>
      <c r="EK183" s="1877">
        <f>SUM(EK179:EK180)</f>
        <v>2106</v>
      </c>
      <c r="EL183" s="1877">
        <f t="shared" ref="EL183:EN183" si="117">SUM(EL179:EL180)</f>
        <v>2261</v>
      </c>
      <c r="EM183" s="1877">
        <f t="shared" si="117"/>
        <v>2301</v>
      </c>
      <c r="EN183" s="1877">
        <f t="shared" si="117"/>
        <v>2678</v>
      </c>
      <c r="EO183" s="1878">
        <f t="shared" si="115"/>
        <v>9346</v>
      </c>
      <c r="EP183" s="1874"/>
      <c r="EQ183" s="1877">
        <f>SUM(EQ179:EQ180)</f>
        <v>2241</v>
      </c>
      <c r="ER183" s="1877">
        <f t="shared" ref="ER183:ET183" si="118">SUM(ER179:ER180)</f>
        <v>2335</v>
      </c>
      <c r="ES183" s="1877">
        <f t="shared" si="118"/>
        <v>2497</v>
      </c>
      <c r="ET183" s="1877">
        <f t="shared" si="118"/>
        <v>2862</v>
      </c>
      <c r="EU183" s="1878">
        <f t="shared" si="116"/>
        <v>9935</v>
      </c>
      <c r="EV183" s="1874"/>
      <c r="EW183" s="1877">
        <f>SUM(EW179:EW180)</f>
        <v>2646</v>
      </c>
      <c r="EX183" s="1877">
        <f>SUM(EX179:EX180)</f>
        <v>2677</v>
      </c>
      <c r="EY183" s="1877">
        <f>SUM(EY179:EY180)</f>
        <v>2722</v>
      </c>
      <c r="EZ183" s="1875"/>
      <c r="FA183" s="1876"/>
      <c r="FB183" s="1874"/>
      <c r="FC183" s="1875"/>
      <c r="FD183" s="1875"/>
      <c r="FE183" s="1875"/>
      <c r="FF183" s="1875"/>
      <c r="FG183" s="1876"/>
      <c r="FH183" s="1874"/>
      <c r="FI183" s="1875"/>
      <c r="FJ183" s="1875"/>
      <c r="FK183" s="1875"/>
      <c r="FL183" s="1875"/>
      <c r="FM183" s="1876"/>
      <c r="FQ183"/>
      <c r="FR183"/>
      <c r="FS183"/>
      <c r="FT183"/>
      <c r="FU183"/>
      <c r="FV183"/>
      <c r="GB183" s="24"/>
      <c r="GC183" s="24"/>
      <c r="GD183" s="24"/>
      <c r="GE183" s="24"/>
      <c r="GF183" s="24"/>
      <c r="GG183" s="24"/>
      <c r="GH183" s="24"/>
      <c r="GI183" s="24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</row>
    <row r="184" spans="1:274" s="32" customFormat="1" ht="12.75" customHeight="1" x14ac:dyDescent="0.2">
      <c r="A184" s="1888"/>
      <c r="B184" s="102"/>
      <c r="C184" s="102"/>
      <c r="D184" s="615"/>
      <c r="E184" s="615"/>
      <c r="F184" s="615"/>
      <c r="G184" s="615"/>
      <c r="H184" s="615"/>
      <c r="I184" s="615"/>
      <c r="J184" s="615"/>
      <c r="K184" s="615"/>
      <c r="L184" s="615"/>
      <c r="M184" s="615"/>
      <c r="N184" s="102"/>
      <c r="O184" s="102"/>
      <c r="P184" s="102"/>
      <c r="Q184" s="102"/>
      <c r="R184" s="102"/>
      <c r="S184" s="615"/>
      <c r="T184" s="102"/>
      <c r="U184" s="615"/>
      <c r="V184" s="615"/>
      <c r="W184" s="615"/>
      <c r="X184" s="615"/>
      <c r="Y184" s="615"/>
      <c r="Z184" s="102"/>
      <c r="AA184" s="615"/>
      <c r="AB184" s="615"/>
      <c r="AC184" s="615"/>
      <c r="AD184" s="615"/>
      <c r="AE184" s="615"/>
      <c r="AF184" s="102"/>
      <c r="AG184" s="615"/>
      <c r="AH184" s="615"/>
      <c r="AI184" s="615"/>
      <c r="AJ184" s="615"/>
      <c r="AK184" s="615"/>
      <c r="AL184" s="102"/>
      <c r="AM184" s="615"/>
      <c r="AN184" s="615"/>
      <c r="AO184" s="615"/>
      <c r="AP184" s="615"/>
      <c r="AQ184" s="615"/>
      <c r="AR184" s="102"/>
      <c r="AS184" s="615"/>
      <c r="AT184" s="615"/>
      <c r="AU184" s="615"/>
      <c r="AV184" s="615"/>
      <c r="AW184" s="615"/>
      <c r="AX184" s="102"/>
      <c r="AY184" s="615"/>
      <c r="AZ184" s="615"/>
      <c r="BA184" s="615"/>
      <c r="BB184" s="615"/>
      <c r="BC184" s="615"/>
      <c r="BD184" s="102"/>
      <c r="BE184" s="615"/>
      <c r="BF184" s="615"/>
      <c r="BG184" s="615"/>
      <c r="BH184" s="615"/>
      <c r="BI184" s="615"/>
      <c r="BJ184" s="102"/>
      <c r="BK184" s="615"/>
      <c r="BL184" s="615"/>
      <c r="BM184" s="615"/>
      <c r="BN184" s="615"/>
      <c r="BO184" s="615"/>
      <c r="BP184" s="102"/>
      <c r="BQ184" s="615"/>
      <c r="BR184" s="615"/>
      <c r="BS184" s="615"/>
      <c r="BT184" s="615"/>
      <c r="BU184" s="615"/>
      <c r="BV184" s="102"/>
      <c r="BW184" s="615"/>
      <c r="BX184" s="615"/>
      <c r="BY184" s="615"/>
      <c r="BZ184" s="615"/>
      <c r="CA184" s="615"/>
      <c r="CB184" s="102"/>
      <c r="CC184" s="615"/>
      <c r="CD184" s="615"/>
      <c r="CE184" s="615"/>
      <c r="CF184" s="615"/>
      <c r="CG184" s="888"/>
      <c r="CH184" s="102"/>
      <c r="CI184" s="615"/>
      <c r="CJ184" s="615"/>
      <c r="CK184" s="615"/>
      <c r="CL184" s="615"/>
      <c r="CM184" s="888"/>
      <c r="CN184" s="102"/>
      <c r="CO184" s="615"/>
      <c r="CP184" s="615"/>
      <c r="CQ184" s="615"/>
      <c r="CR184" s="615"/>
      <c r="CS184" s="888"/>
      <c r="CT184" s="102"/>
      <c r="CU184" s="615"/>
      <c r="CV184" s="615"/>
      <c r="CW184" s="615"/>
      <c r="CX184" s="615"/>
      <c r="CY184" s="888"/>
      <c r="CZ184" s="102"/>
      <c r="DA184" s="615"/>
      <c r="DB184" s="615"/>
      <c r="DC184" s="615"/>
      <c r="DD184" s="615"/>
      <c r="DE184" s="888"/>
      <c r="DF184" s="102"/>
      <c r="DG184" s="615"/>
      <c r="DH184" s="615"/>
      <c r="DI184" s="615"/>
      <c r="DJ184" s="615"/>
      <c r="DK184" s="888"/>
      <c r="DL184" s="102"/>
      <c r="DM184" s="615"/>
      <c r="DN184" s="615"/>
      <c r="DO184" s="615"/>
      <c r="DP184" s="615"/>
      <c r="DQ184" s="888"/>
      <c r="DR184" s="102"/>
      <c r="DS184" s="615"/>
      <c r="DT184" s="615"/>
      <c r="DU184" s="615"/>
      <c r="DV184" s="615"/>
      <c r="DW184" s="888"/>
      <c r="DX184" s="102"/>
      <c r="DY184" s="615"/>
      <c r="DZ184" s="615"/>
      <c r="EA184" s="615"/>
      <c r="EB184" s="615"/>
      <c r="EC184" s="888"/>
      <c r="ED184" s="102"/>
      <c r="EE184" s="615"/>
      <c r="EF184" s="615"/>
      <c r="EG184" s="615"/>
      <c r="EH184" s="615"/>
      <c r="EI184" s="888"/>
      <c r="EJ184" s="102"/>
      <c r="EK184" s="615"/>
      <c r="EL184" s="615"/>
      <c r="EM184" s="615"/>
      <c r="EN184" s="615"/>
      <c r="EO184" s="888"/>
      <c r="EP184" s="102"/>
      <c r="EQ184" s="615"/>
      <c r="ER184" s="615"/>
      <c r="ES184" s="615"/>
      <c r="ET184" s="615"/>
      <c r="EU184" s="888"/>
      <c r="EV184" s="102"/>
      <c r="EW184" s="615"/>
      <c r="EX184" s="615"/>
      <c r="EY184" s="615"/>
      <c r="EZ184" s="615"/>
      <c r="FA184" s="888"/>
      <c r="FB184" s="102"/>
      <c r="FC184" s="615"/>
      <c r="FD184" s="615"/>
      <c r="FE184" s="615"/>
      <c r="FF184" s="615"/>
      <c r="FG184" s="888"/>
      <c r="FH184" s="102"/>
      <c r="FI184" s="615"/>
      <c r="FJ184" s="615"/>
      <c r="FK184" s="615"/>
      <c r="FL184" s="615"/>
      <c r="FM184" s="888"/>
      <c r="FQ184"/>
      <c r="FR184"/>
      <c r="FS184"/>
      <c r="FT184"/>
      <c r="FU184"/>
      <c r="FV184"/>
      <c r="GB184" s="24"/>
      <c r="GC184" s="24"/>
      <c r="GD184" s="24"/>
      <c r="GE184" s="24"/>
      <c r="GF184" s="24"/>
      <c r="GG184" s="24"/>
      <c r="GH184" s="24"/>
      <c r="GI184" s="2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</row>
    <row r="185" spans="1:274" s="32" customFormat="1" ht="12.75" customHeight="1" x14ac:dyDescent="0.2">
      <c r="A185" s="1890" t="s">
        <v>1289</v>
      </c>
      <c r="B185" s="102"/>
      <c r="C185" s="102"/>
      <c r="D185" s="615"/>
      <c r="E185" s="615"/>
      <c r="F185" s="615"/>
      <c r="G185" s="615"/>
      <c r="H185" s="615"/>
      <c r="I185" s="615"/>
      <c r="J185" s="615"/>
      <c r="K185" s="615"/>
      <c r="L185" s="615"/>
      <c r="M185" s="615"/>
      <c r="N185" s="102"/>
      <c r="O185" s="102"/>
      <c r="P185" s="102"/>
      <c r="Q185" s="102"/>
      <c r="R185" s="102"/>
      <c r="S185" s="615"/>
      <c r="T185" s="102"/>
      <c r="U185" s="615"/>
      <c r="V185" s="615"/>
      <c r="W185" s="615"/>
      <c r="X185" s="615"/>
      <c r="Y185" s="615"/>
      <c r="Z185" s="102"/>
      <c r="AA185" s="615"/>
      <c r="AB185" s="615"/>
      <c r="AC185" s="615"/>
      <c r="AD185" s="615"/>
      <c r="AE185" s="615"/>
      <c r="AF185" s="102"/>
      <c r="AG185" s="615"/>
      <c r="AH185" s="615"/>
      <c r="AI185" s="615"/>
      <c r="AJ185" s="615"/>
      <c r="AK185" s="615"/>
      <c r="AL185" s="102"/>
      <c r="AM185" s="615"/>
      <c r="AN185" s="615"/>
      <c r="AO185" s="615"/>
      <c r="AP185" s="615"/>
      <c r="AQ185" s="615"/>
      <c r="AR185" s="102"/>
      <c r="AS185" s="615"/>
      <c r="AT185" s="615"/>
      <c r="AU185" s="615"/>
      <c r="AV185" s="615"/>
      <c r="AW185" s="615"/>
      <c r="AX185" s="102"/>
      <c r="AY185" s="615"/>
      <c r="AZ185" s="615"/>
      <c r="BA185" s="615"/>
      <c r="BB185" s="615"/>
      <c r="BC185" s="615"/>
      <c r="BD185" s="102"/>
      <c r="BE185" s="615"/>
      <c r="BF185" s="615"/>
      <c r="BG185" s="615"/>
      <c r="BH185" s="615"/>
      <c r="BI185" s="615"/>
      <c r="BJ185" s="102"/>
      <c r="BK185" s="615"/>
      <c r="BL185" s="615"/>
      <c r="BM185" s="615"/>
      <c r="BN185" s="615"/>
      <c r="BO185" s="615"/>
      <c r="BP185" s="102"/>
      <c r="BQ185" s="615"/>
      <c r="BR185" s="615"/>
      <c r="BS185" s="615"/>
      <c r="BT185" s="615"/>
      <c r="BU185" s="615"/>
      <c r="BV185" s="102"/>
      <c r="BW185" s="615"/>
      <c r="BX185" s="615"/>
      <c r="BY185" s="615"/>
      <c r="BZ185" s="615"/>
      <c r="CA185" s="615"/>
      <c r="CB185" s="102"/>
      <c r="CC185" s="615"/>
      <c r="CD185" s="615"/>
      <c r="CE185" s="615"/>
      <c r="CF185" s="615"/>
      <c r="CG185" s="888"/>
      <c r="CH185" s="102"/>
      <c r="CI185" s="615"/>
      <c r="CJ185" s="615"/>
      <c r="CK185" s="615"/>
      <c r="CL185" s="615"/>
      <c r="CM185" s="888"/>
      <c r="CN185" s="102"/>
      <c r="CO185" s="615"/>
      <c r="CP185" s="615"/>
      <c r="CQ185" s="615"/>
      <c r="CR185" s="615"/>
      <c r="CS185" s="888"/>
      <c r="CT185" s="102"/>
      <c r="CU185" s="615"/>
      <c r="CV185" s="615"/>
      <c r="CW185" s="615"/>
      <c r="CX185" s="615"/>
      <c r="CY185" s="888"/>
      <c r="CZ185" s="102"/>
      <c r="DA185" s="615"/>
      <c r="DB185" s="615"/>
      <c r="DC185" s="615"/>
      <c r="DD185" s="615"/>
      <c r="DE185" s="888"/>
      <c r="DF185" s="102"/>
      <c r="DG185" s="615"/>
      <c r="DH185" s="615"/>
      <c r="DI185" s="615"/>
      <c r="DJ185" s="615"/>
      <c r="DK185" s="888"/>
      <c r="DL185" s="102"/>
      <c r="DM185" s="615"/>
      <c r="DN185" s="615"/>
      <c r="DO185" s="615"/>
      <c r="DP185" s="615"/>
      <c r="DQ185" s="888"/>
      <c r="DR185" s="102"/>
      <c r="DS185" s="615"/>
      <c r="DT185" s="615"/>
      <c r="DU185" s="615"/>
      <c r="DV185" s="615"/>
      <c r="DW185" s="888"/>
      <c r="DX185" s="102"/>
      <c r="DY185" s="615"/>
      <c r="DZ185" s="615"/>
      <c r="EA185" s="615"/>
      <c r="EB185" s="615"/>
      <c r="EC185" s="888"/>
      <c r="ED185" s="102"/>
      <c r="EE185" s="615"/>
      <c r="EF185" s="615"/>
      <c r="EG185" s="615"/>
      <c r="EH185" s="615"/>
      <c r="EI185" s="888"/>
      <c r="EJ185" s="102"/>
      <c r="EK185" s="615"/>
      <c r="EL185" s="615"/>
      <c r="EM185" s="615"/>
      <c r="EN185" s="615"/>
      <c r="EO185" s="888"/>
      <c r="EP185" s="102"/>
      <c r="EQ185" s="615"/>
      <c r="ER185" s="615"/>
      <c r="ES185" s="615"/>
      <c r="ET185" s="615"/>
      <c r="EU185" s="888"/>
      <c r="EV185" s="102"/>
      <c r="EW185" s="615"/>
      <c r="EX185" s="615"/>
      <c r="EY185" s="615"/>
      <c r="EZ185" s="615"/>
      <c r="FA185" s="888"/>
      <c r="FB185" s="102"/>
      <c r="FC185" s="615"/>
      <c r="FD185" s="615"/>
      <c r="FE185" s="615"/>
      <c r="FF185" s="615"/>
      <c r="FG185" s="888"/>
      <c r="FH185" s="102"/>
      <c r="FI185" s="615"/>
      <c r="FJ185" s="615"/>
      <c r="FK185" s="615"/>
      <c r="FL185" s="615"/>
      <c r="FM185" s="888"/>
      <c r="FQ185"/>
      <c r="FR185"/>
      <c r="FS185"/>
      <c r="FT185"/>
      <c r="FU185"/>
      <c r="FV185"/>
      <c r="GB185" s="24"/>
      <c r="GC185" s="24"/>
      <c r="GD185" s="24"/>
      <c r="GE185" s="24"/>
      <c r="GF185" s="24"/>
      <c r="GG185" s="24"/>
      <c r="GH185" s="24"/>
      <c r="GI185" s="24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</row>
    <row r="186" spans="1:274" s="32" customFormat="1" ht="12.75" customHeight="1" x14ac:dyDescent="0.2">
      <c r="A186" s="1888" t="s">
        <v>1286</v>
      </c>
      <c r="B186" s="102"/>
      <c r="C186" s="102"/>
      <c r="D186" s="615"/>
      <c r="E186" s="615"/>
      <c r="F186" s="615"/>
      <c r="G186" s="615"/>
      <c r="H186" s="615"/>
      <c r="I186" s="615"/>
      <c r="J186" s="615"/>
      <c r="K186" s="615"/>
      <c r="L186" s="615"/>
      <c r="M186" s="615"/>
      <c r="N186" s="102"/>
      <c r="O186" s="102"/>
      <c r="P186" s="102"/>
      <c r="Q186" s="102"/>
      <c r="R186" s="102"/>
      <c r="S186" s="615"/>
      <c r="T186" s="102"/>
      <c r="U186" s="615"/>
      <c r="V186" s="615"/>
      <c r="W186" s="615"/>
      <c r="X186" s="615"/>
      <c r="Y186" s="615"/>
      <c r="Z186" s="102"/>
      <c r="AA186" s="615"/>
      <c r="AB186" s="615"/>
      <c r="AC186" s="615"/>
      <c r="AD186" s="615"/>
      <c r="AE186" s="615"/>
      <c r="AF186" s="102"/>
      <c r="AG186" s="615"/>
      <c r="AH186" s="615"/>
      <c r="AI186" s="615"/>
      <c r="AJ186" s="615"/>
      <c r="AK186" s="615"/>
      <c r="AL186" s="102"/>
      <c r="AM186" s="615"/>
      <c r="AN186" s="615"/>
      <c r="AO186" s="615"/>
      <c r="AP186" s="615"/>
      <c r="AQ186" s="615"/>
      <c r="AR186" s="102"/>
      <c r="AS186" s="615"/>
      <c r="AT186" s="615"/>
      <c r="AU186" s="615"/>
      <c r="AV186" s="615"/>
      <c r="AW186" s="615"/>
      <c r="AX186" s="102"/>
      <c r="AY186" s="615"/>
      <c r="AZ186" s="615"/>
      <c r="BA186" s="615"/>
      <c r="BB186" s="615"/>
      <c r="BC186" s="615"/>
      <c r="BD186" s="102"/>
      <c r="BE186" s="615"/>
      <c r="BF186" s="615"/>
      <c r="BG186" s="615"/>
      <c r="BH186" s="615"/>
      <c r="BI186" s="615"/>
      <c r="BJ186" s="102"/>
      <c r="BK186" s="615"/>
      <c r="BL186" s="615"/>
      <c r="BM186" s="615"/>
      <c r="BN186" s="615"/>
      <c r="BO186" s="615"/>
      <c r="BP186" s="102"/>
      <c r="BQ186" s="615"/>
      <c r="BR186" s="615"/>
      <c r="BS186" s="615"/>
      <c r="BT186" s="615"/>
      <c r="BU186" s="615"/>
      <c r="BV186" s="102"/>
      <c r="BW186" s="615"/>
      <c r="BX186" s="615"/>
      <c r="BY186" s="615"/>
      <c r="BZ186" s="615"/>
      <c r="CA186" s="615"/>
      <c r="CB186" s="102"/>
      <c r="CC186" s="615"/>
      <c r="CD186" s="615"/>
      <c r="CE186" s="615"/>
      <c r="CF186" s="615"/>
      <c r="CG186" s="888"/>
      <c r="CH186" s="102"/>
      <c r="CI186" s="615"/>
      <c r="CJ186" s="615"/>
      <c r="CK186" s="615"/>
      <c r="CL186" s="615"/>
      <c r="CM186" s="888"/>
      <c r="CN186" s="102"/>
      <c r="CO186" s="615"/>
      <c r="CP186" s="615"/>
      <c r="CQ186" s="615"/>
      <c r="CR186" s="615"/>
      <c r="CS186" s="888"/>
      <c r="CT186" s="102"/>
      <c r="CU186" s="615"/>
      <c r="CV186" s="615"/>
      <c r="CW186" s="615"/>
      <c r="CX186" s="615"/>
      <c r="CY186" s="888"/>
      <c r="CZ186" s="102"/>
      <c r="DA186" s="615"/>
      <c r="DB186" s="615"/>
      <c r="DC186" s="615"/>
      <c r="DD186" s="615"/>
      <c r="DE186" s="888"/>
      <c r="DF186" s="102"/>
      <c r="DG186" s="615"/>
      <c r="DH186" s="615"/>
      <c r="DI186" s="615"/>
      <c r="DJ186" s="615"/>
      <c r="DK186" s="888"/>
      <c r="DL186" s="102"/>
      <c r="DM186" s="615"/>
      <c r="DN186" s="615"/>
      <c r="DO186" s="615"/>
      <c r="DP186" s="615"/>
      <c r="DQ186" s="888"/>
      <c r="DR186" s="102"/>
      <c r="DS186" s="615"/>
      <c r="DT186" s="615"/>
      <c r="DU186" s="615"/>
      <c r="DV186" s="615"/>
      <c r="DW186" s="888"/>
      <c r="DX186" s="102"/>
      <c r="DY186" s="615"/>
      <c r="DZ186" s="615"/>
      <c r="EA186" s="615"/>
      <c r="EB186" s="615"/>
      <c r="EC186" s="888"/>
      <c r="ED186" s="102"/>
      <c r="EE186" s="615"/>
      <c r="EF186" s="615"/>
      <c r="EG186" s="615"/>
      <c r="EH186" s="615"/>
      <c r="EI186" s="888"/>
      <c r="EJ186" s="102"/>
      <c r="EK186" s="1582">
        <v>0.3</v>
      </c>
      <c r="EL186" s="1582">
        <v>0.28000000000000003</v>
      </c>
      <c r="EM186" s="1582">
        <v>0.42</v>
      </c>
      <c r="EN186" s="1582">
        <v>0.4</v>
      </c>
      <c r="EO186" s="1581">
        <v>0.36</v>
      </c>
      <c r="EP186" s="102"/>
      <c r="EQ186" s="1582">
        <v>0.5</v>
      </c>
      <c r="ER186" s="1582">
        <v>0.56999999999999995</v>
      </c>
      <c r="ES186" s="1582">
        <v>0.64</v>
      </c>
      <c r="ET186" s="1582">
        <v>0.67</v>
      </c>
      <c r="EU186" s="1581">
        <v>0.61</v>
      </c>
      <c r="EV186" s="1580"/>
      <c r="EW186" s="1582">
        <v>0.62</v>
      </c>
      <c r="EX186" s="1582">
        <v>0.55000000000000004</v>
      </c>
      <c r="EY186" s="1582">
        <v>0.33</v>
      </c>
      <c r="EZ186" s="1582"/>
      <c r="FA186" s="1581"/>
      <c r="FB186" s="1580"/>
      <c r="FC186" s="1582"/>
      <c r="FD186" s="1582"/>
      <c r="FE186" s="1582"/>
      <c r="FF186" s="1582"/>
      <c r="FG186" s="1581"/>
      <c r="FH186" s="1580"/>
      <c r="FI186" s="1582"/>
      <c r="FJ186" s="1582"/>
      <c r="FK186" s="1582"/>
      <c r="FL186" s="1582"/>
      <c r="FM186" s="1581"/>
      <c r="FQ186"/>
      <c r="FR186"/>
      <c r="FS186"/>
      <c r="FT186"/>
      <c r="FU186"/>
      <c r="FV186"/>
      <c r="GB186" s="24"/>
      <c r="GC186" s="24"/>
      <c r="GD186" s="24"/>
      <c r="GE186" s="24"/>
      <c r="GF186" s="24"/>
      <c r="GG186" s="24"/>
      <c r="GH186" s="24"/>
      <c r="GI186" s="24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</row>
    <row r="187" spans="1:274" s="32" customFormat="1" ht="12.75" customHeight="1" x14ac:dyDescent="0.2">
      <c r="A187" s="1888" t="s">
        <v>1287</v>
      </c>
      <c r="B187" s="102"/>
      <c r="C187" s="102"/>
      <c r="D187" s="615"/>
      <c r="E187" s="615"/>
      <c r="F187" s="615"/>
      <c r="G187" s="615"/>
      <c r="H187" s="615"/>
      <c r="I187" s="615"/>
      <c r="J187" s="615"/>
      <c r="K187" s="615"/>
      <c r="L187" s="615"/>
      <c r="M187" s="615"/>
      <c r="N187" s="102"/>
      <c r="O187" s="102"/>
      <c r="P187" s="102"/>
      <c r="Q187" s="102"/>
      <c r="R187" s="102"/>
      <c r="S187" s="615"/>
      <c r="T187" s="102"/>
      <c r="U187" s="615"/>
      <c r="V187" s="615"/>
      <c r="W187" s="615"/>
      <c r="X187" s="615"/>
      <c r="Y187" s="615"/>
      <c r="Z187" s="102"/>
      <c r="AA187" s="615"/>
      <c r="AB187" s="615"/>
      <c r="AC187" s="615"/>
      <c r="AD187" s="615"/>
      <c r="AE187" s="615"/>
      <c r="AF187" s="102"/>
      <c r="AG187" s="615"/>
      <c r="AH187" s="615"/>
      <c r="AI187" s="615"/>
      <c r="AJ187" s="615"/>
      <c r="AK187" s="615"/>
      <c r="AL187" s="102"/>
      <c r="AM187" s="615"/>
      <c r="AN187" s="615"/>
      <c r="AO187" s="615"/>
      <c r="AP187" s="615"/>
      <c r="AQ187" s="615"/>
      <c r="AR187" s="102"/>
      <c r="AS187" s="615"/>
      <c r="AT187" s="615"/>
      <c r="AU187" s="615"/>
      <c r="AV187" s="615"/>
      <c r="AW187" s="615"/>
      <c r="AX187" s="102"/>
      <c r="AY187" s="615"/>
      <c r="AZ187" s="615"/>
      <c r="BA187" s="615"/>
      <c r="BB187" s="615"/>
      <c r="BC187" s="615"/>
      <c r="BD187" s="102"/>
      <c r="BE187" s="615"/>
      <c r="BF187" s="615"/>
      <c r="BG187" s="615"/>
      <c r="BH187" s="615"/>
      <c r="BI187" s="615"/>
      <c r="BJ187" s="102"/>
      <c r="BK187" s="615"/>
      <c r="BL187" s="615"/>
      <c r="BM187" s="615"/>
      <c r="BN187" s="615"/>
      <c r="BO187" s="615"/>
      <c r="BP187" s="102"/>
      <c r="BQ187" s="615"/>
      <c r="BR187" s="615"/>
      <c r="BS187" s="615"/>
      <c r="BT187" s="615"/>
      <c r="BU187" s="615"/>
      <c r="BV187" s="102"/>
      <c r="BW187" s="615"/>
      <c r="BX187" s="615"/>
      <c r="BY187" s="615"/>
      <c r="BZ187" s="615"/>
      <c r="CA187" s="615"/>
      <c r="CB187" s="102"/>
      <c r="CC187" s="615"/>
      <c r="CD187" s="615"/>
      <c r="CE187" s="615"/>
      <c r="CF187" s="615"/>
      <c r="CG187" s="888"/>
      <c r="CH187" s="102"/>
      <c r="CI187" s="615"/>
      <c r="CJ187" s="615"/>
      <c r="CK187" s="615"/>
      <c r="CL187" s="615"/>
      <c r="CM187" s="888"/>
      <c r="CN187" s="102"/>
      <c r="CO187" s="615"/>
      <c r="CP187" s="615"/>
      <c r="CQ187" s="615"/>
      <c r="CR187" s="615"/>
      <c r="CS187" s="888"/>
      <c r="CT187" s="102"/>
      <c r="CU187" s="615"/>
      <c r="CV187" s="615"/>
      <c r="CW187" s="615"/>
      <c r="CX187" s="615"/>
      <c r="CY187" s="888"/>
      <c r="CZ187" s="102"/>
      <c r="DA187" s="615"/>
      <c r="DB187" s="615"/>
      <c r="DC187" s="615"/>
      <c r="DD187" s="615"/>
      <c r="DE187" s="888"/>
      <c r="DF187" s="102"/>
      <c r="DG187" s="615"/>
      <c r="DH187" s="615"/>
      <c r="DI187" s="615"/>
      <c r="DJ187" s="615"/>
      <c r="DK187" s="888"/>
      <c r="DL187" s="102"/>
      <c r="DM187" s="615"/>
      <c r="DN187" s="615"/>
      <c r="DO187" s="615"/>
      <c r="DP187" s="615"/>
      <c r="DQ187" s="888"/>
      <c r="DR187" s="102"/>
      <c r="DS187" s="615"/>
      <c r="DT187" s="615"/>
      <c r="DU187" s="615"/>
      <c r="DV187" s="615"/>
      <c r="DW187" s="888"/>
      <c r="DX187" s="102"/>
      <c r="DY187" s="615"/>
      <c r="DZ187" s="615"/>
      <c r="EA187" s="615"/>
      <c r="EB187" s="615"/>
      <c r="EC187" s="888"/>
      <c r="ED187" s="102"/>
      <c r="EE187" s="615"/>
      <c r="EF187" s="615"/>
      <c r="EG187" s="615"/>
      <c r="EH187" s="615"/>
      <c r="EI187" s="888"/>
      <c r="EJ187" s="102"/>
      <c r="EK187" s="1582">
        <v>-0.02</v>
      </c>
      <c r="EL187" s="1582">
        <v>-0.06</v>
      </c>
      <c r="EM187" s="1582">
        <v>-7.0000000000000007E-2</v>
      </c>
      <c r="EN187" s="1582">
        <v>-7.0000000000000007E-2</v>
      </c>
      <c r="EO187" s="1581">
        <v>-0.05</v>
      </c>
      <c r="EP187" s="102"/>
      <c r="EQ187" s="1582">
        <v>-0.05</v>
      </c>
      <c r="ER187" s="1582">
        <v>-0.11</v>
      </c>
      <c r="ES187" s="1582">
        <v>-0.08</v>
      </c>
      <c r="ET187" s="1582">
        <v>-0.1</v>
      </c>
      <c r="EU187" s="1581">
        <v>-0.08</v>
      </c>
      <c r="EV187" s="1580"/>
      <c r="EW187" s="1582">
        <v>0</v>
      </c>
      <c r="EX187" s="1582">
        <v>-0.03</v>
      </c>
      <c r="EY187" s="1582">
        <v>-0.04</v>
      </c>
      <c r="EZ187" s="1582"/>
      <c r="FA187" s="1581"/>
      <c r="FB187" s="1580"/>
      <c r="FC187" s="1582"/>
      <c r="FD187" s="1582"/>
      <c r="FE187" s="1582"/>
      <c r="FF187" s="1582"/>
      <c r="FG187" s="1581"/>
      <c r="FH187" s="1580"/>
      <c r="FI187" s="1582"/>
      <c r="FJ187" s="1582"/>
      <c r="FK187" s="1582"/>
      <c r="FL187" s="1582"/>
      <c r="FM187" s="1581"/>
      <c r="FQ187"/>
      <c r="FR187"/>
      <c r="FS187"/>
      <c r="FT187"/>
      <c r="FU187"/>
      <c r="FV187"/>
      <c r="GB187" s="24"/>
      <c r="GC187" s="24"/>
      <c r="GD187" s="24"/>
      <c r="GE187" s="24"/>
      <c r="GF187" s="24"/>
      <c r="GG187" s="24"/>
      <c r="GH187" s="24"/>
      <c r="GI187" s="24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</row>
    <row r="188" spans="1:274" s="32" customFormat="1" ht="12.75" customHeight="1" x14ac:dyDescent="0.2">
      <c r="A188" s="894" t="s">
        <v>1288</v>
      </c>
      <c r="B188" s="102"/>
      <c r="C188" s="102"/>
      <c r="D188" s="615"/>
      <c r="E188" s="615"/>
      <c r="F188" s="615"/>
      <c r="G188" s="615"/>
      <c r="H188" s="615"/>
      <c r="I188" s="615"/>
      <c r="J188" s="615"/>
      <c r="K188" s="615"/>
      <c r="L188" s="615"/>
      <c r="M188" s="615"/>
      <c r="N188" s="102"/>
      <c r="O188" s="102"/>
      <c r="P188" s="102"/>
      <c r="Q188" s="102"/>
      <c r="R188" s="102"/>
      <c r="S188" s="615"/>
      <c r="T188" s="102"/>
      <c r="U188" s="615"/>
      <c r="V188" s="615"/>
      <c r="W188" s="615"/>
      <c r="X188" s="615"/>
      <c r="Y188" s="615"/>
      <c r="Z188" s="102"/>
      <c r="AA188" s="615"/>
      <c r="AB188" s="615"/>
      <c r="AC188" s="615"/>
      <c r="AD188" s="615"/>
      <c r="AE188" s="615"/>
      <c r="AF188" s="102"/>
      <c r="AG188" s="615"/>
      <c r="AH188" s="615"/>
      <c r="AI188" s="615"/>
      <c r="AJ188" s="615"/>
      <c r="AK188" s="615"/>
      <c r="AL188" s="102"/>
      <c r="AM188" s="615"/>
      <c r="AN188" s="615"/>
      <c r="AO188" s="615"/>
      <c r="AP188" s="615"/>
      <c r="AQ188" s="615"/>
      <c r="AR188" s="102"/>
      <c r="AS188" s="615"/>
      <c r="AT188" s="615"/>
      <c r="AU188" s="615"/>
      <c r="AV188" s="615"/>
      <c r="AW188" s="615"/>
      <c r="AX188" s="102"/>
      <c r="AY188" s="615"/>
      <c r="AZ188" s="615"/>
      <c r="BA188" s="615"/>
      <c r="BB188" s="615"/>
      <c r="BC188" s="615"/>
      <c r="BD188" s="102"/>
      <c r="BE188" s="615"/>
      <c r="BF188" s="615"/>
      <c r="BG188" s="615"/>
      <c r="BH188" s="615"/>
      <c r="BI188" s="615"/>
      <c r="BJ188" s="102"/>
      <c r="BK188" s="615"/>
      <c r="BL188" s="615"/>
      <c r="BM188" s="615"/>
      <c r="BN188" s="615"/>
      <c r="BO188" s="615"/>
      <c r="BP188" s="102"/>
      <c r="BQ188" s="615"/>
      <c r="BR188" s="615"/>
      <c r="BS188" s="615"/>
      <c r="BT188" s="615"/>
      <c r="BU188" s="615"/>
      <c r="BV188" s="102"/>
      <c r="BW188" s="615"/>
      <c r="BX188" s="615"/>
      <c r="BY188" s="615"/>
      <c r="BZ188" s="615"/>
      <c r="CA188" s="615"/>
      <c r="CB188" s="102"/>
      <c r="CC188" s="615"/>
      <c r="CD188" s="615"/>
      <c r="CE188" s="615"/>
      <c r="CF188" s="615"/>
      <c r="CG188" s="888"/>
      <c r="CH188" s="102"/>
      <c r="CI188" s="615"/>
      <c r="CJ188" s="615"/>
      <c r="CK188" s="615"/>
      <c r="CL188" s="615"/>
      <c r="CM188" s="888"/>
      <c r="CN188" s="102"/>
      <c r="CO188" s="615"/>
      <c r="CP188" s="615"/>
      <c r="CQ188" s="615"/>
      <c r="CR188" s="615"/>
      <c r="CS188" s="888"/>
      <c r="CT188" s="102"/>
      <c r="CU188" s="615"/>
      <c r="CV188" s="615"/>
      <c r="CW188" s="615"/>
      <c r="CX188" s="615"/>
      <c r="CY188" s="888"/>
      <c r="CZ188" s="102"/>
      <c r="DA188" s="615"/>
      <c r="DB188" s="615"/>
      <c r="DC188" s="615"/>
      <c r="DD188" s="615"/>
      <c r="DE188" s="888"/>
      <c r="DF188" s="102"/>
      <c r="DG188" s="615"/>
      <c r="DH188" s="615"/>
      <c r="DI188" s="615"/>
      <c r="DJ188" s="615"/>
      <c r="DK188" s="888"/>
      <c r="DL188" s="102"/>
      <c r="DM188" s="615"/>
      <c r="DN188" s="615"/>
      <c r="DO188" s="615"/>
      <c r="DP188" s="615"/>
      <c r="DQ188" s="888"/>
      <c r="DR188" s="102"/>
      <c r="DS188" s="615"/>
      <c r="DT188" s="615"/>
      <c r="DU188" s="615"/>
      <c r="DV188" s="615"/>
      <c r="DW188" s="888"/>
      <c r="DX188" s="102"/>
      <c r="DY188" s="615"/>
      <c r="DZ188" s="615"/>
      <c r="EA188" s="615"/>
      <c r="EB188" s="615"/>
      <c r="EC188" s="888"/>
      <c r="ED188" s="102"/>
      <c r="EE188" s="615"/>
      <c r="EF188" s="615"/>
      <c r="EG188" s="615"/>
      <c r="EH188" s="615"/>
      <c r="EI188" s="888"/>
      <c r="EJ188" s="102"/>
      <c r="EK188" s="1582">
        <v>0.04</v>
      </c>
      <c r="EL188" s="1582">
        <v>-0.01</v>
      </c>
      <c r="EM188" s="1582">
        <v>0.01</v>
      </c>
      <c r="EN188" s="1582">
        <v>0.01</v>
      </c>
      <c r="EO188" s="1581">
        <v>0.01</v>
      </c>
      <c r="EP188" s="102"/>
      <c r="EQ188" s="1582">
        <v>0.06</v>
      </c>
      <c r="ER188" s="1582">
        <v>0.03</v>
      </c>
      <c r="ES188" s="1582">
        <v>0.09</v>
      </c>
      <c r="ET188" s="1582">
        <v>7.0000000000000007E-2</v>
      </c>
      <c r="EU188" s="1581">
        <v>0.06</v>
      </c>
      <c r="EV188" s="1580"/>
      <c r="EW188" s="1582">
        <v>0.18</v>
      </c>
      <c r="EX188" s="1582">
        <v>0.15</v>
      </c>
      <c r="EY188" s="1582">
        <v>0.09</v>
      </c>
      <c r="EZ188" s="1582"/>
      <c r="FA188" s="1581"/>
      <c r="FB188" s="1580"/>
      <c r="FC188" s="1582"/>
      <c r="FD188" s="1582"/>
      <c r="FE188" s="1582"/>
      <c r="FF188" s="1582"/>
      <c r="FG188" s="1581"/>
      <c r="FH188" s="1580"/>
      <c r="FI188" s="1582"/>
      <c r="FJ188" s="1582"/>
      <c r="FK188" s="1582"/>
      <c r="FL188" s="1582"/>
      <c r="FM188" s="1581"/>
      <c r="FQ188"/>
      <c r="FR188"/>
      <c r="FS188"/>
      <c r="FT188"/>
      <c r="FU188"/>
      <c r="FV188"/>
      <c r="GB188" s="24"/>
      <c r="GC188" s="24"/>
      <c r="GD188" s="24"/>
      <c r="GE188" s="24"/>
      <c r="GF188" s="24"/>
      <c r="GG188" s="24"/>
      <c r="GH188" s="24"/>
      <c r="GI188" s="24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</row>
    <row r="189" spans="1:274" s="32" customFormat="1" ht="12.75" customHeight="1" x14ac:dyDescent="0.2">
      <c r="A189" s="1888"/>
      <c r="B189" s="102"/>
      <c r="C189" s="102"/>
      <c r="D189" s="615"/>
      <c r="E189" s="615"/>
      <c r="F189" s="615"/>
      <c r="G189" s="615"/>
      <c r="H189" s="615"/>
      <c r="I189" s="615"/>
      <c r="J189" s="615"/>
      <c r="K189" s="615"/>
      <c r="L189" s="615"/>
      <c r="M189" s="615"/>
      <c r="N189" s="102"/>
      <c r="O189" s="102"/>
      <c r="P189" s="102"/>
      <c r="Q189" s="102"/>
      <c r="R189" s="102"/>
      <c r="S189" s="615"/>
      <c r="T189" s="102"/>
      <c r="U189" s="615"/>
      <c r="V189" s="615"/>
      <c r="W189" s="615"/>
      <c r="X189" s="615"/>
      <c r="Y189" s="615"/>
      <c r="Z189" s="102"/>
      <c r="AA189" s="615"/>
      <c r="AB189" s="615"/>
      <c r="AC189" s="615"/>
      <c r="AD189" s="615"/>
      <c r="AE189" s="615"/>
      <c r="AF189" s="102"/>
      <c r="AG189" s="615"/>
      <c r="AH189" s="615"/>
      <c r="AI189" s="615"/>
      <c r="AJ189" s="615"/>
      <c r="AK189" s="615"/>
      <c r="AL189" s="102"/>
      <c r="AM189" s="615"/>
      <c r="AN189" s="615"/>
      <c r="AO189" s="615"/>
      <c r="AP189" s="615"/>
      <c r="AQ189" s="615"/>
      <c r="AR189" s="102"/>
      <c r="AS189" s="615"/>
      <c r="AT189" s="615"/>
      <c r="AU189" s="615"/>
      <c r="AV189" s="615"/>
      <c r="AW189" s="615"/>
      <c r="AX189" s="102"/>
      <c r="AY189" s="615"/>
      <c r="AZ189" s="615"/>
      <c r="BA189" s="615"/>
      <c r="BB189" s="615"/>
      <c r="BC189" s="615"/>
      <c r="BD189" s="102"/>
      <c r="BE189" s="615"/>
      <c r="BF189" s="615"/>
      <c r="BG189" s="615"/>
      <c r="BH189" s="615"/>
      <c r="BI189" s="615"/>
      <c r="BJ189" s="102"/>
      <c r="BK189" s="615"/>
      <c r="BL189" s="615"/>
      <c r="BM189" s="615"/>
      <c r="BN189" s="615"/>
      <c r="BO189" s="615"/>
      <c r="BP189" s="102"/>
      <c r="BQ189" s="615"/>
      <c r="BR189" s="615"/>
      <c r="BS189" s="615"/>
      <c r="BT189" s="615"/>
      <c r="BU189" s="615"/>
      <c r="BV189" s="102"/>
      <c r="BW189" s="615"/>
      <c r="BX189" s="615"/>
      <c r="BY189" s="615"/>
      <c r="BZ189" s="615"/>
      <c r="CA189" s="615"/>
      <c r="CB189" s="102"/>
      <c r="CC189" s="615"/>
      <c r="CD189" s="615"/>
      <c r="CE189" s="615"/>
      <c r="CF189" s="615"/>
      <c r="CG189" s="888"/>
      <c r="CH189" s="102"/>
      <c r="CI189" s="615"/>
      <c r="CJ189" s="615"/>
      <c r="CK189" s="615"/>
      <c r="CL189" s="615"/>
      <c r="CM189" s="888"/>
      <c r="CN189" s="102"/>
      <c r="CO189" s="615"/>
      <c r="CP189" s="615"/>
      <c r="CQ189" s="615"/>
      <c r="CR189" s="615"/>
      <c r="CS189" s="888"/>
      <c r="CT189" s="102"/>
      <c r="CU189" s="615"/>
      <c r="CV189" s="615"/>
      <c r="CW189" s="615"/>
      <c r="CX189" s="615"/>
      <c r="CY189" s="888"/>
      <c r="CZ189" s="102"/>
      <c r="DA189" s="615"/>
      <c r="DB189" s="615"/>
      <c r="DC189" s="615"/>
      <c r="DD189" s="615"/>
      <c r="DE189" s="888"/>
      <c r="DF189" s="102"/>
      <c r="DG189" s="615"/>
      <c r="DH189" s="615"/>
      <c r="DI189" s="615"/>
      <c r="DJ189" s="615"/>
      <c r="DK189" s="888"/>
      <c r="DL189" s="102"/>
      <c r="DM189" s="615"/>
      <c r="DN189" s="615"/>
      <c r="DO189" s="615"/>
      <c r="DP189" s="615"/>
      <c r="DQ189" s="888"/>
      <c r="DR189" s="102"/>
      <c r="DS189" s="615"/>
      <c r="DT189" s="615"/>
      <c r="DU189" s="615"/>
      <c r="DV189" s="615"/>
      <c r="DW189" s="888"/>
      <c r="DX189" s="102"/>
      <c r="DY189" s="615"/>
      <c r="DZ189" s="615"/>
      <c r="EA189" s="615"/>
      <c r="EB189" s="615"/>
      <c r="EC189" s="888"/>
      <c r="ED189" s="102"/>
      <c r="EE189" s="615"/>
      <c r="EF189" s="615"/>
      <c r="EG189" s="615"/>
      <c r="EH189" s="615"/>
      <c r="EI189" s="888"/>
      <c r="EJ189" s="102"/>
      <c r="EK189" s="615"/>
      <c r="EL189" s="615"/>
      <c r="EM189" s="615"/>
      <c r="EN189" s="615"/>
      <c r="EO189" s="888"/>
      <c r="EP189" s="102"/>
      <c r="EQ189" s="1582"/>
      <c r="ER189" s="1582"/>
      <c r="ES189" s="1582"/>
      <c r="ET189" s="1582"/>
      <c r="EU189" s="1581"/>
      <c r="EV189" s="1580"/>
      <c r="EW189" s="1582"/>
      <c r="EX189" s="1582"/>
      <c r="EY189" s="1582"/>
      <c r="EZ189" s="1582"/>
      <c r="FA189" s="1581"/>
      <c r="FB189" s="1580"/>
      <c r="FC189" s="1582"/>
      <c r="FD189" s="1582"/>
      <c r="FE189" s="1582"/>
      <c r="FF189" s="1582"/>
      <c r="FG189" s="1581"/>
      <c r="FH189" s="1580"/>
      <c r="FI189" s="1582"/>
      <c r="FJ189" s="1582"/>
      <c r="FK189" s="1582"/>
      <c r="FL189" s="1582"/>
      <c r="FM189" s="1581"/>
      <c r="FQ189"/>
      <c r="FR189"/>
      <c r="FS189"/>
      <c r="FT189"/>
      <c r="FU189"/>
      <c r="FV189"/>
      <c r="GB189" s="24"/>
      <c r="GC189" s="24"/>
      <c r="GD189" s="24"/>
      <c r="GE189" s="24"/>
      <c r="GF189" s="24"/>
      <c r="GG189" s="24"/>
      <c r="GH189" s="24"/>
      <c r="GI189" s="24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</row>
    <row r="190" spans="1:274" s="32" customFormat="1" ht="12.75" customHeight="1" x14ac:dyDescent="0.2">
      <c r="A190" s="1890" t="s">
        <v>1290</v>
      </c>
      <c r="B190" s="102"/>
      <c r="C190" s="102"/>
      <c r="D190" s="615"/>
      <c r="E190" s="615"/>
      <c r="F190" s="615"/>
      <c r="G190" s="615"/>
      <c r="H190" s="615"/>
      <c r="I190" s="615"/>
      <c r="J190" s="615"/>
      <c r="K190" s="615"/>
      <c r="L190" s="615"/>
      <c r="M190" s="615"/>
      <c r="N190" s="102"/>
      <c r="O190" s="102"/>
      <c r="P190" s="102"/>
      <c r="Q190" s="102"/>
      <c r="R190" s="102"/>
      <c r="S190" s="615"/>
      <c r="T190" s="102"/>
      <c r="U190" s="615"/>
      <c r="V190" s="615"/>
      <c r="W190" s="615"/>
      <c r="X190" s="615"/>
      <c r="Y190" s="615"/>
      <c r="Z190" s="102"/>
      <c r="AA190" s="615"/>
      <c r="AB190" s="615"/>
      <c r="AC190" s="615"/>
      <c r="AD190" s="615"/>
      <c r="AE190" s="615"/>
      <c r="AF190" s="102"/>
      <c r="AG190" s="615"/>
      <c r="AH190" s="615"/>
      <c r="AI190" s="615"/>
      <c r="AJ190" s="615"/>
      <c r="AK190" s="615"/>
      <c r="AL190" s="102"/>
      <c r="AM190" s="615"/>
      <c r="AN190" s="615"/>
      <c r="AO190" s="615"/>
      <c r="AP190" s="615"/>
      <c r="AQ190" s="615"/>
      <c r="AR190" s="102"/>
      <c r="AS190" s="615"/>
      <c r="AT190" s="615"/>
      <c r="AU190" s="615"/>
      <c r="AV190" s="615"/>
      <c r="AW190" s="615"/>
      <c r="AX190" s="102"/>
      <c r="AY190" s="615"/>
      <c r="AZ190" s="615"/>
      <c r="BA190" s="615"/>
      <c r="BB190" s="615"/>
      <c r="BC190" s="615"/>
      <c r="BD190" s="102"/>
      <c r="BE190" s="615"/>
      <c r="BF190" s="615"/>
      <c r="BG190" s="615"/>
      <c r="BH190" s="615"/>
      <c r="BI190" s="615"/>
      <c r="BJ190" s="102"/>
      <c r="BK190" s="615"/>
      <c r="BL190" s="615"/>
      <c r="BM190" s="615"/>
      <c r="BN190" s="615"/>
      <c r="BO190" s="615"/>
      <c r="BP190" s="102"/>
      <c r="BQ190" s="615"/>
      <c r="BR190" s="615"/>
      <c r="BS190" s="615"/>
      <c r="BT190" s="615"/>
      <c r="BU190" s="615"/>
      <c r="BV190" s="102"/>
      <c r="BW190" s="615"/>
      <c r="BX190" s="615"/>
      <c r="BY190" s="615"/>
      <c r="BZ190" s="615"/>
      <c r="CA190" s="615"/>
      <c r="CB190" s="102"/>
      <c r="CC190" s="615"/>
      <c r="CD190" s="615"/>
      <c r="CE190" s="615"/>
      <c r="CF190" s="615"/>
      <c r="CG190" s="888"/>
      <c r="CH190" s="102"/>
      <c r="CI190" s="615"/>
      <c r="CJ190" s="615"/>
      <c r="CK190" s="615"/>
      <c r="CL190" s="615"/>
      <c r="CM190" s="888"/>
      <c r="CN190" s="102"/>
      <c r="CO190" s="615"/>
      <c r="CP190" s="615"/>
      <c r="CQ190" s="615"/>
      <c r="CR190" s="615"/>
      <c r="CS190" s="888"/>
      <c r="CT190" s="102"/>
      <c r="CU190" s="615"/>
      <c r="CV190" s="615"/>
      <c r="CW190" s="615"/>
      <c r="CX190" s="615"/>
      <c r="CY190" s="888"/>
      <c r="CZ190" s="102"/>
      <c r="DA190" s="615"/>
      <c r="DB190" s="615"/>
      <c r="DC190" s="615"/>
      <c r="DD190" s="615"/>
      <c r="DE190" s="888"/>
      <c r="DF190" s="102"/>
      <c r="DG190" s="615"/>
      <c r="DH190" s="615"/>
      <c r="DI190" s="615"/>
      <c r="DJ190" s="615"/>
      <c r="DK190" s="888"/>
      <c r="DL190" s="102"/>
      <c r="DM190" s="615"/>
      <c r="DN190" s="615"/>
      <c r="DO190" s="615"/>
      <c r="DP190" s="615"/>
      <c r="DQ190" s="888"/>
      <c r="DR190" s="102"/>
      <c r="DS190" s="615"/>
      <c r="DT190" s="615"/>
      <c r="DU190" s="615"/>
      <c r="DV190" s="615"/>
      <c r="DW190" s="888"/>
      <c r="DX190" s="102"/>
      <c r="DY190" s="615"/>
      <c r="DZ190" s="615"/>
      <c r="EA190" s="615"/>
      <c r="EB190" s="615"/>
      <c r="EC190" s="888"/>
      <c r="ED190" s="102"/>
      <c r="EE190" s="615"/>
      <c r="EF190" s="615"/>
      <c r="EG190" s="615"/>
      <c r="EH190" s="615"/>
      <c r="EI190" s="888"/>
      <c r="EJ190" s="102"/>
      <c r="EK190" s="615"/>
      <c r="EL190" s="615"/>
      <c r="EM190" s="615"/>
      <c r="EN190" s="615"/>
      <c r="EO190" s="888"/>
      <c r="EP190" s="102"/>
      <c r="EQ190" s="1582"/>
      <c r="ER190" s="1582"/>
      <c r="ES190" s="1582"/>
      <c r="ET190" s="1582"/>
      <c r="EU190" s="1581"/>
      <c r="EV190" s="1580"/>
      <c r="EW190" s="1582"/>
      <c r="EX190" s="1582"/>
      <c r="EY190" s="1582"/>
      <c r="EZ190" s="1582"/>
      <c r="FA190" s="1581"/>
      <c r="FB190" s="1580"/>
      <c r="FC190" s="1582"/>
      <c r="FD190" s="1582"/>
      <c r="FE190" s="1582"/>
      <c r="FF190" s="1582"/>
      <c r="FG190" s="1581"/>
      <c r="FH190" s="1580"/>
      <c r="FI190" s="1582"/>
      <c r="FJ190" s="1582"/>
      <c r="FK190" s="1582"/>
      <c r="FL190" s="1582"/>
      <c r="FM190" s="1581"/>
      <c r="FQ190"/>
      <c r="FR190"/>
      <c r="FS190"/>
      <c r="FT190"/>
      <c r="FU190"/>
      <c r="FV190"/>
      <c r="GB190" s="24"/>
      <c r="GC190" s="24"/>
      <c r="GD190" s="24"/>
      <c r="GE190" s="24"/>
      <c r="GF190" s="24"/>
      <c r="GG190" s="24"/>
      <c r="GH190" s="24"/>
      <c r="GI190" s="24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</row>
    <row r="191" spans="1:274" s="32" customFormat="1" ht="12.75" customHeight="1" x14ac:dyDescent="0.2">
      <c r="A191" s="1888" t="s">
        <v>1286</v>
      </c>
      <c r="B191" s="102"/>
      <c r="C191" s="102"/>
      <c r="D191" s="615"/>
      <c r="E191" s="615"/>
      <c r="F191" s="615"/>
      <c r="G191" s="615"/>
      <c r="H191" s="615"/>
      <c r="I191" s="615"/>
      <c r="J191" s="615"/>
      <c r="K191" s="615"/>
      <c r="L191" s="615"/>
      <c r="M191" s="615"/>
      <c r="N191" s="102"/>
      <c r="O191" s="102"/>
      <c r="P191" s="102"/>
      <c r="Q191" s="102"/>
      <c r="R191" s="102"/>
      <c r="S191" s="615"/>
      <c r="T191" s="102"/>
      <c r="U191" s="615"/>
      <c r="V191" s="615"/>
      <c r="W191" s="615"/>
      <c r="X191" s="615"/>
      <c r="Y191" s="615"/>
      <c r="Z191" s="102"/>
      <c r="AA191" s="615"/>
      <c r="AB191" s="615"/>
      <c r="AC191" s="615"/>
      <c r="AD191" s="615"/>
      <c r="AE191" s="615"/>
      <c r="AF191" s="102"/>
      <c r="AG191" s="615"/>
      <c r="AH191" s="615"/>
      <c r="AI191" s="615"/>
      <c r="AJ191" s="615"/>
      <c r="AK191" s="615"/>
      <c r="AL191" s="102"/>
      <c r="AM191" s="615"/>
      <c r="AN191" s="615"/>
      <c r="AO191" s="615"/>
      <c r="AP191" s="615"/>
      <c r="AQ191" s="615"/>
      <c r="AR191" s="102"/>
      <c r="AS191" s="615"/>
      <c r="AT191" s="615"/>
      <c r="AU191" s="615"/>
      <c r="AV191" s="615"/>
      <c r="AW191" s="615"/>
      <c r="AX191" s="102"/>
      <c r="AY191" s="615"/>
      <c r="AZ191" s="615"/>
      <c r="BA191" s="615"/>
      <c r="BB191" s="615"/>
      <c r="BC191" s="615"/>
      <c r="BD191" s="102"/>
      <c r="BE191" s="615"/>
      <c r="BF191" s="615"/>
      <c r="BG191" s="615"/>
      <c r="BH191" s="615"/>
      <c r="BI191" s="615"/>
      <c r="BJ191" s="102"/>
      <c r="BK191" s="615"/>
      <c r="BL191" s="615"/>
      <c r="BM191" s="615"/>
      <c r="BN191" s="615"/>
      <c r="BO191" s="615"/>
      <c r="BP191" s="102"/>
      <c r="BQ191" s="615"/>
      <c r="BR191" s="615"/>
      <c r="BS191" s="615"/>
      <c r="BT191" s="615"/>
      <c r="BU191" s="615"/>
      <c r="BV191" s="102"/>
      <c r="BW191" s="615"/>
      <c r="BX191" s="615"/>
      <c r="BY191" s="615"/>
      <c r="BZ191" s="615"/>
      <c r="CA191" s="615"/>
      <c r="CB191" s="102"/>
      <c r="CC191" s="615"/>
      <c r="CD191" s="615"/>
      <c r="CE191" s="615"/>
      <c r="CF191" s="615"/>
      <c r="CG191" s="888"/>
      <c r="CH191" s="102"/>
      <c r="CI191" s="615"/>
      <c r="CJ191" s="615"/>
      <c r="CK191" s="615"/>
      <c r="CL191" s="615"/>
      <c r="CM191" s="888"/>
      <c r="CN191" s="102"/>
      <c r="CO191" s="615"/>
      <c r="CP191" s="615"/>
      <c r="CQ191" s="615"/>
      <c r="CR191" s="615"/>
      <c r="CS191" s="888"/>
      <c r="CT191" s="102"/>
      <c r="CU191" s="615"/>
      <c r="CV191" s="615"/>
      <c r="CW191" s="615"/>
      <c r="CX191" s="615"/>
      <c r="CY191" s="888"/>
      <c r="CZ191" s="102"/>
      <c r="DA191" s="615"/>
      <c r="DB191" s="615"/>
      <c r="DC191" s="615"/>
      <c r="DD191" s="615"/>
      <c r="DE191" s="888"/>
      <c r="DF191" s="102"/>
      <c r="DG191" s="615"/>
      <c r="DH191" s="615"/>
      <c r="DI191" s="615"/>
      <c r="DJ191" s="615"/>
      <c r="DK191" s="888"/>
      <c r="DL191" s="102"/>
      <c r="DM191" s="615"/>
      <c r="DN191" s="615"/>
      <c r="DO191" s="615"/>
      <c r="DP191" s="615"/>
      <c r="DQ191" s="888"/>
      <c r="DR191" s="102"/>
      <c r="DS191" s="615"/>
      <c r="DT191" s="615"/>
      <c r="DU191" s="615"/>
      <c r="DV191" s="615"/>
      <c r="DW191" s="888"/>
      <c r="DX191" s="102"/>
      <c r="DY191" s="615"/>
      <c r="DZ191" s="615"/>
      <c r="EA191" s="615"/>
      <c r="EB191" s="615"/>
      <c r="EC191" s="888"/>
      <c r="ED191" s="102"/>
      <c r="EE191" s="615"/>
      <c r="EF191" s="615"/>
      <c r="EG191" s="615"/>
      <c r="EH191" s="615"/>
      <c r="EI191" s="888"/>
      <c r="EJ191" s="102"/>
      <c r="EK191" s="615">
        <v>0.34</v>
      </c>
      <c r="EL191" s="615">
        <v>0.32</v>
      </c>
      <c r="EM191" s="615">
        <v>0.45</v>
      </c>
      <c r="EN191" s="615">
        <v>0.41</v>
      </c>
      <c r="EO191" s="888">
        <v>0.38</v>
      </c>
      <c r="EP191" s="102"/>
      <c r="EQ191" s="1582">
        <v>0.52</v>
      </c>
      <c r="ER191" s="1582">
        <v>0.59</v>
      </c>
      <c r="ES191" s="1582">
        <v>0.65</v>
      </c>
      <c r="ET191" s="1582">
        <v>0.69</v>
      </c>
      <c r="EU191" s="1581">
        <v>0.62</v>
      </c>
      <c r="EV191" s="1580"/>
      <c r="EW191" s="1582">
        <v>0.62</v>
      </c>
      <c r="EX191" s="1582">
        <v>0.53</v>
      </c>
      <c r="EY191" s="1582">
        <v>0.31</v>
      </c>
      <c r="EZ191" s="1582"/>
      <c r="FA191" s="1581"/>
      <c r="FB191" s="1580"/>
      <c r="FC191" s="1582"/>
      <c r="FD191" s="1582"/>
      <c r="FE191" s="1582"/>
      <c r="FF191" s="1582"/>
      <c r="FG191" s="1581"/>
      <c r="FH191" s="1580"/>
      <c r="FI191" s="1582"/>
      <c r="FJ191" s="1582"/>
      <c r="FK191" s="1582"/>
      <c r="FL191" s="1582"/>
      <c r="FM191" s="1581"/>
      <c r="FQ191"/>
      <c r="FR191"/>
      <c r="FS191"/>
      <c r="FT191"/>
      <c r="FU191"/>
      <c r="FV191"/>
      <c r="GB191" s="24"/>
      <c r="GC191" s="24"/>
      <c r="GD191" s="24"/>
      <c r="GE191" s="24"/>
      <c r="GF191" s="24"/>
      <c r="GG191" s="24"/>
      <c r="GH191" s="24"/>
      <c r="GI191" s="24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</row>
    <row r="192" spans="1:274" s="32" customFormat="1" ht="12.75" customHeight="1" x14ac:dyDescent="0.2">
      <c r="A192" s="1888" t="s">
        <v>1287</v>
      </c>
      <c r="B192" s="102"/>
      <c r="C192" s="102"/>
      <c r="D192" s="615"/>
      <c r="E192" s="615"/>
      <c r="F192" s="615"/>
      <c r="G192" s="615"/>
      <c r="H192" s="615"/>
      <c r="I192" s="615"/>
      <c r="J192" s="615"/>
      <c r="K192" s="615"/>
      <c r="L192" s="615"/>
      <c r="M192" s="615"/>
      <c r="N192" s="102"/>
      <c r="O192" s="102"/>
      <c r="P192" s="102"/>
      <c r="Q192" s="102"/>
      <c r="R192" s="102"/>
      <c r="S192" s="615"/>
      <c r="T192" s="102"/>
      <c r="U192" s="615"/>
      <c r="V192" s="615"/>
      <c r="W192" s="615"/>
      <c r="X192" s="615"/>
      <c r="Y192" s="615"/>
      <c r="Z192" s="102"/>
      <c r="AA192" s="615"/>
      <c r="AB192" s="615"/>
      <c r="AC192" s="615"/>
      <c r="AD192" s="615"/>
      <c r="AE192" s="615"/>
      <c r="AF192" s="102"/>
      <c r="AG192" s="615"/>
      <c r="AH192" s="615"/>
      <c r="AI192" s="615"/>
      <c r="AJ192" s="615"/>
      <c r="AK192" s="615"/>
      <c r="AL192" s="102"/>
      <c r="AM192" s="615"/>
      <c r="AN192" s="615"/>
      <c r="AO192" s="615"/>
      <c r="AP192" s="615"/>
      <c r="AQ192" s="615"/>
      <c r="AR192" s="102"/>
      <c r="AS192" s="615"/>
      <c r="AT192" s="615"/>
      <c r="AU192" s="615"/>
      <c r="AV192" s="615"/>
      <c r="AW192" s="615"/>
      <c r="AX192" s="102"/>
      <c r="AY192" s="615"/>
      <c r="AZ192" s="615"/>
      <c r="BA192" s="615"/>
      <c r="BB192" s="615"/>
      <c r="BC192" s="615"/>
      <c r="BD192" s="102"/>
      <c r="BE192" s="615"/>
      <c r="BF192" s="615"/>
      <c r="BG192" s="615"/>
      <c r="BH192" s="615"/>
      <c r="BI192" s="615"/>
      <c r="BJ192" s="102"/>
      <c r="BK192" s="615"/>
      <c r="BL192" s="615"/>
      <c r="BM192" s="615"/>
      <c r="BN192" s="615"/>
      <c r="BO192" s="615"/>
      <c r="BP192" s="102"/>
      <c r="BQ192" s="615"/>
      <c r="BR192" s="615"/>
      <c r="BS192" s="615"/>
      <c r="BT192" s="615"/>
      <c r="BU192" s="615"/>
      <c r="BV192" s="102"/>
      <c r="BW192" s="615"/>
      <c r="BX192" s="615"/>
      <c r="BY192" s="615"/>
      <c r="BZ192" s="615"/>
      <c r="CA192" s="615"/>
      <c r="CB192" s="102"/>
      <c r="CC192" s="615"/>
      <c r="CD192" s="615"/>
      <c r="CE192" s="615"/>
      <c r="CF192" s="615"/>
      <c r="CG192" s="888"/>
      <c r="CH192" s="102"/>
      <c r="CI192" s="615"/>
      <c r="CJ192" s="615"/>
      <c r="CK192" s="615"/>
      <c r="CL192" s="615"/>
      <c r="CM192" s="888"/>
      <c r="CN192" s="102"/>
      <c r="CO192" s="615"/>
      <c r="CP192" s="615"/>
      <c r="CQ192" s="615"/>
      <c r="CR192" s="615"/>
      <c r="CS192" s="888"/>
      <c r="CT192" s="102"/>
      <c r="CU192" s="615"/>
      <c r="CV192" s="615"/>
      <c r="CW192" s="615"/>
      <c r="CX192" s="615"/>
      <c r="CY192" s="888"/>
      <c r="CZ192" s="102"/>
      <c r="DA192" s="615"/>
      <c r="DB192" s="615"/>
      <c r="DC192" s="615"/>
      <c r="DD192" s="615"/>
      <c r="DE192" s="888"/>
      <c r="DF192" s="102"/>
      <c r="DG192" s="615"/>
      <c r="DH192" s="615"/>
      <c r="DI192" s="615"/>
      <c r="DJ192" s="615"/>
      <c r="DK192" s="888"/>
      <c r="DL192" s="102"/>
      <c r="DM192" s="615"/>
      <c r="DN192" s="615"/>
      <c r="DO192" s="615"/>
      <c r="DP192" s="615"/>
      <c r="DQ192" s="888"/>
      <c r="DR192" s="102"/>
      <c r="DS192" s="615"/>
      <c r="DT192" s="615"/>
      <c r="DU192" s="615"/>
      <c r="DV192" s="615"/>
      <c r="DW192" s="888"/>
      <c r="DX192" s="102"/>
      <c r="DY192" s="615"/>
      <c r="DZ192" s="615"/>
      <c r="EA192" s="615"/>
      <c r="EB192" s="615"/>
      <c r="EC192" s="888"/>
      <c r="ED192" s="102"/>
      <c r="EE192" s="615"/>
      <c r="EF192" s="615"/>
      <c r="EG192" s="615"/>
      <c r="EH192" s="615"/>
      <c r="EI192" s="888"/>
      <c r="EJ192" s="102"/>
      <c r="EK192" s="615">
        <v>0.04</v>
      </c>
      <c r="EL192" s="615">
        <v>-0.01</v>
      </c>
      <c r="EM192" s="615">
        <v>-0.03</v>
      </c>
      <c r="EN192" s="615">
        <v>-0.05</v>
      </c>
      <c r="EO192" s="888">
        <v>-0.02</v>
      </c>
      <c r="EP192" s="102"/>
      <c r="EQ192" s="1582">
        <v>-0.04</v>
      </c>
      <c r="ER192" s="1582">
        <v>-0.09</v>
      </c>
      <c r="ES192" s="1582">
        <v>-7.0000000000000007E-2</v>
      </c>
      <c r="ET192" s="1582">
        <v>-0.09</v>
      </c>
      <c r="EU192" s="1581">
        <v>-7.0000000000000007E-2</v>
      </c>
      <c r="EV192" s="1580"/>
      <c r="EW192" s="1582">
        <v>-0.01</v>
      </c>
      <c r="EX192" s="1582">
        <v>-0.05</v>
      </c>
      <c r="EY192" s="1582">
        <v>-7.0000000000000007E-2</v>
      </c>
      <c r="EZ192" s="1582"/>
      <c r="FA192" s="1581"/>
      <c r="FB192" s="1580"/>
      <c r="FC192" s="1582"/>
      <c r="FD192" s="1582"/>
      <c r="FE192" s="1582"/>
      <c r="FF192" s="1582"/>
      <c r="FG192" s="1581"/>
      <c r="FH192" s="1580"/>
      <c r="FI192" s="1582"/>
      <c r="FJ192" s="1582"/>
      <c r="FK192" s="1582"/>
      <c r="FL192" s="1582"/>
      <c r="FM192" s="1581"/>
      <c r="FQ192"/>
      <c r="FR192"/>
      <c r="FS192"/>
      <c r="FT192"/>
      <c r="FU192"/>
      <c r="FV192"/>
      <c r="GB192" s="24"/>
      <c r="GC192" s="24"/>
      <c r="GD192" s="24"/>
      <c r="GE192" s="24"/>
      <c r="GF192" s="24"/>
      <c r="GG192" s="24"/>
      <c r="GH192" s="24"/>
      <c r="GI192" s="24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</row>
    <row r="193" spans="1:274" s="32" customFormat="1" ht="12.75" customHeight="1" x14ac:dyDescent="0.2">
      <c r="A193" s="894" t="s">
        <v>1288</v>
      </c>
      <c r="B193" s="102"/>
      <c r="C193" s="102"/>
      <c r="D193" s="615"/>
      <c r="E193" s="615"/>
      <c r="F193" s="615"/>
      <c r="G193" s="615"/>
      <c r="H193" s="615"/>
      <c r="I193" s="615"/>
      <c r="J193" s="615"/>
      <c r="K193" s="615"/>
      <c r="L193" s="615"/>
      <c r="M193" s="615"/>
      <c r="N193" s="102"/>
      <c r="O193" s="102"/>
      <c r="P193" s="102"/>
      <c r="Q193" s="102"/>
      <c r="R193" s="102"/>
      <c r="S193" s="615"/>
      <c r="T193" s="102"/>
      <c r="U193" s="615"/>
      <c r="V193" s="615"/>
      <c r="W193" s="615"/>
      <c r="X193" s="615"/>
      <c r="Y193" s="615"/>
      <c r="Z193" s="102"/>
      <c r="AA193" s="615"/>
      <c r="AB193" s="615"/>
      <c r="AC193" s="615"/>
      <c r="AD193" s="615"/>
      <c r="AE193" s="615"/>
      <c r="AF193" s="102"/>
      <c r="AG193" s="615"/>
      <c r="AH193" s="615"/>
      <c r="AI193" s="615"/>
      <c r="AJ193" s="615"/>
      <c r="AK193" s="615"/>
      <c r="AL193" s="102"/>
      <c r="AM193" s="615"/>
      <c r="AN193" s="615"/>
      <c r="AO193" s="615"/>
      <c r="AP193" s="615"/>
      <c r="AQ193" s="615"/>
      <c r="AR193" s="102"/>
      <c r="AS193" s="615"/>
      <c r="AT193" s="615"/>
      <c r="AU193" s="615"/>
      <c r="AV193" s="615"/>
      <c r="AW193" s="615"/>
      <c r="AX193" s="102"/>
      <c r="AY193" s="615"/>
      <c r="AZ193" s="615"/>
      <c r="BA193" s="615"/>
      <c r="BB193" s="615"/>
      <c r="BC193" s="615"/>
      <c r="BD193" s="102"/>
      <c r="BE193" s="615"/>
      <c r="BF193" s="615"/>
      <c r="BG193" s="615"/>
      <c r="BH193" s="615"/>
      <c r="BI193" s="615"/>
      <c r="BJ193" s="102"/>
      <c r="BK193" s="615"/>
      <c r="BL193" s="615"/>
      <c r="BM193" s="615"/>
      <c r="BN193" s="615"/>
      <c r="BO193" s="615"/>
      <c r="BP193" s="102"/>
      <c r="BQ193" s="615"/>
      <c r="BR193" s="615"/>
      <c r="BS193" s="615"/>
      <c r="BT193" s="615"/>
      <c r="BU193" s="615"/>
      <c r="BV193" s="102"/>
      <c r="BW193" s="615"/>
      <c r="BX193" s="615"/>
      <c r="BY193" s="615"/>
      <c r="BZ193" s="615"/>
      <c r="CA193" s="615"/>
      <c r="CB193" s="102"/>
      <c r="CC193" s="615"/>
      <c r="CD193" s="615"/>
      <c r="CE193" s="615"/>
      <c r="CF193" s="615"/>
      <c r="CG193" s="888"/>
      <c r="CH193" s="102"/>
      <c r="CI193" s="615"/>
      <c r="CJ193" s="615"/>
      <c r="CK193" s="615"/>
      <c r="CL193" s="615"/>
      <c r="CM193" s="888"/>
      <c r="CN193" s="102"/>
      <c r="CO193" s="615"/>
      <c r="CP193" s="615"/>
      <c r="CQ193" s="615"/>
      <c r="CR193" s="615"/>
      <c r="CS193" s="888"/>
      <c r="CT193" s="102"/>
      <c r="CU193" s="615"/>
      <c r="CV193" s="615"/>
      <c r="CW193" s="615"/>
      <c r="CX193" s="615"/>
      <c r="CY193" s="888"/>
      <c r="CZ193" s="102"/>
      <c r="DA193" s="615"/>
      <c r="DB193" s="615"/>
      <c r="DC193" s="615"/>
      <c r="DD193" s="615"/>
      <c r="DE193" s="888"/>
      <c r="DF193" s="102"/>
      <c r="DG193" s="615"/>
      <c r="DH193" s="615"/>
      <c r="DI193" s="615"/>
      <c r="DJ193" s="615"/>
      <c r="DK193" s="888"/>
      <c r="DL193" s="102"/>
      <c r="DM193" s="615"/>
      <c r="DN193" s="615"/>
      <c r="DO193" s="615"/>
      <c r="DP193" s="615"/>
      <c r="DQ193" s="888"/>
      <c r="DR193" s="102"/>
      <c r="DS193" s="615"/>
      <c r="DT193" s="615"/>
      <c r="DU193" s="615"/>
      <c r="DV193" s="615"/>
      <c r="DW193" s="888"/>
      <c r="DX193" s="102"/>
      <c r="DY193" s="615"/>
      <c r="DZ193" s="615"/>
      <c r="EA193" s="615"/>
      <c r="EB193" s="615"/>
      <c r="EC193" s="888"/>
      <c r="ED193" s="102"/>
      <c r="EE193" s="615"/>
      <c r="EF193" s="615"/>
      <c r="EG193" s="615"/>
      <c r="EH193" s="615"/>
      <c r="EI193" s="888"/>
      <c r="EJ193" s="102"/>
      <c r="EK193" s="615">
        <v>0.09</v>
      </c>
      <c r="EL193" s="615">
        <v>0.05</v>
      </c>
      <c r="EM193" s="615">
        <v>0.05</v>
      </c>
      <c r="EN193" s="615">
        <v>0.02</v>
      </c>
      <c r="EO193" s="888">
        <v>0.05</v>
      </c>
      <c r="EP193" s="102"/>
      <c r="EQ193" s="1582">
        <v>0.08</v>
      </c>
      <c r="ER193" s="1582">
        <v>0.05</v>
      </c>
      <c r="ES193" s="1582">
        <v>0.09</v>
      </c>
      <c r="ET193" s="1582">
        <v>0.08</v>
      </c>
      <c r="EU193" s="1581">
        <v>0.08</v>
      </c>
      <c r="EV193" s="1580"/>
      <c r="EW193" s="1582">
        <v>0.17</v>
      </c>
      <c r="EX193" s="1582">
        <v>0.13</v>
      </c>
      <c r="EY193" s="1582">
        <v>0.06</v>
      </c>
      <c r="EZ193" s="1582"/>
      <c r="FA193" s="1581"/>
      <c r="FB193" s="1580"/>
      <c r="FC193" s="1582"/>
      <c r="FD193" s="1582"/>
      <c r="FE193" s="1582"/>
      <c r="FF193" s="1582"/>
      <c r="FG193" s="1581"/>
      <c r="FH193" s="1580"/>
      <c r="FI193" s="1582"/>
      <c r="FJ193" s="1582"/>
      <c r="FK193" s="1582"/>
      <c r="FL193" s="1582"/>
      <c r="FM193" s="1581"/>
      <c r="FQ193"/>
      <c r="FR193"/>
      <c r="FS193"/>
      <c r="FT193"/>
      <c r="FU193"/>
      <c r="FV193"/>
      <c r="GB193" s="24"/>
      <c r="GC193" s="24"/>
      <c r="GD193" s="24"/>
      <c r="GE193" s="24"/>
      <c r="GF193" s="24"/>
      <c r="GG193" s="24"/>
      <c r="GH193" s="24"/>
      <c r="GI193" s="24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</row>
    <row r="194" spans="1:274" s="32" customFormat="1" ht="12.75" customHeight="1" x14ac:dyDescent="0.2">
      <c r="A194" s="1887" t="s">
        <v>1293</v>
      </c>
      <c r="B194" s="102"/>
      <c r="C194" s="102"/>
      <c r="D194" s="615"/>
      <c r="E194" s="615"/>
      <c r="F194" s="615"/>
      <c r="G194" s="615"/>
      <c r="H194" s="615"/>
      <c r="I194" s="615"/>
      <c r="J194" s="615"/>
      <c r="K194" s="615"/>
      <c r="L194" s="615"/>
      <c r="M194" s="615"/>
      <c r="N194" s="102"/>
      <c r="O194" s="102"/>
      <c r="P194" s="102"/>
      <c r="Q194" s="102"/>
      <c r="R194" s="102"/>
      <c r="S194" s="615"/>
      <c r="T194" s="102"/>
      <c r="U194" s="615"/>
      <c r="V194" s="615"/>
      <c r="W194" s="615"/>
      <c r="X194" s="615"/>
      <c r="Y194" s="615"/>
      <c r="Z194" s="102"/>
      <c r="AA194" s="615"/>
      <c r="AB194" s="615"/>
      <c r="AC194" s="615"/>
      <c r="AD194" s="615"/>
      <c r="AE194" s="615"/>
      <c r="AF194" s="102"/>
      <c r="AG194" s="615"/>
      <c r="AH194" s="615"/>
      <c r="AI194" s="615"/>
      <c r="AJ194" s="615"/>
      <c r="AK194" s="615"/>
      <c r="AL194" s="102"/>
      <c r="AM194" s="615"/>
      <c r="AN194" s="615"/>
      <c r="AO194" s="615"/>
      <c r="AP194" s="615"/>
      <c r="AQ194" s="615"/>
      <c r="AR194" s="102"/>
      <c r="AS194" s="615"/>
      <c r="AT194" s="615"/>
      <c r="AU194" s="615"/>
      <c r="AV194" s="615"/>
      <c r="AW194" s="615"/>
      <c r="AX194" s="102"/>
      <c r="AY194" s="615"/>
      <c r="AZ194" s="615"/>
      <c r="BA194" s="615"/>
      <c r="BB194" s="615"/>
      <c r="BC194" s="615"/>
      <c r="BD194" s="102"/>
      <c r="BE194" s="615"/>
      <c r="BF194" s="615"/>
      <c r="BG194" s="615"/>
      <c r="BH194" s="615"/>
      <c r="BI194" s="615"/>
      <c r="BJ194" s="102"/>
      <c r="BK194" s="615"/>
      <c r="BL194" s="615"/>
      <c r="BM194" s="615"/>
      <c r="BN194" s="615"/>
      <c r="BO194" s="615"/>
      <c r="BP194" s="102"/>
      <c r="BQ194" s="615"/>
      <c r="BR194" s="615"/>
      <c r="BS194" s="615"/>
      <c r="BT194" s="615"/>
      <c r="BU194" s="615"/>
      <c r="BV194" s="102"/>
      <c r="BW194" s="615"/>
      <c r="BX194" s="615"/>
      <c r="BY194" s="615"/>
      <c r="BZ194" s="615"/>
      <c r="CA194" s="615"/>
      <c r="CB194" s="102"/>
      <c r="CC194" s="615"/>
      <c r="CD194" s="615"/>
      <c r="CE194" s="615"/>
      <c r="CF194" s="615"/>
      <c r="CG194" s="888"/>
      <c r="CH194" s="102"/>
      <c r="CI194" s="615"/>
      <c r="CJ194" s="615"/>
      <c r="CK194" s="615"/>
      <c r="CL194" s="615"/>
      <c r="CM194" s="888"/>
      <c r="CN194" s="102"/>
      <c r="CO194" s="615"/>
      <c r="CP194" s="615"/>
      <c r="CQ194" s="615"/>
      <c r="CR194" s="615"/>
      <c r="CS194" s="888"/>
      <c r="CT194" s="102"/>
      <c r="CU194" s="615"/>
      <c r="CV194" s="615"/>
      <c r="CW194" s="615"/>
      <c r="CX194" s="615"/>
      <c r="CY194" s="888"/>
      <c r="CZ194" s="102"/>
      <c r="DA194" s="615"/>
      <c r="DB194" s="615"/>
      <c r="DC194" s="615"/>
      <c r="DD194" s="615"/>
      <c r="DE194" s="888"/>
      <c r="DF194" s="102"/>
      <c r="DG194" s="615"/>
      <c r="DH194" s="615"/>
      <c r="DI194" s="615"/>
      <c r="DJ194" s="615"/>
      <c r="DK194" s="888"/>
      <c r="DL194" s="102"/>
      <c r="DM194" s="615"/>
      <c r="DN194" s="615"/>
      <c r="DO194" s="615"/>
      <c r="DP194" s="615"/>
      <c r="DQ194" s="888"/>
      <c r="DR194" s="102"/>
      <c r="DS194" s="615"/>
      <c r="DT194" s="615"/>
      <c r="DU194" s="615"/>
      <c r="DV194" s="615"/>
      <c r="DW194" s="888"/>
      <c r="DX194" s="102"/>
      <c r="DY194" s="615"/>
      <c r="DZ194" s="615"/>
      <c r="EA194" s="615"/>
      <c r="EB194" s="615"/>
      <c r="EC194" s="888"/>
      <c r="ED194" s="102"/>
      <c r="EE194" s="615"/>
      <c r="EF194" s="615"/>
      <c r="EG194" s="615"/>
      <c r="EH194" s="615"/>
      <c r="EI194" s="888"/>
      <c r="EJ194" s="102"/>
      <c r="EK194" s="615"/>
      <c r="EL194" s="615"/>
      <c r="EM194" s="615"/>
      <c r="EN194" s="615"/>
      <c r="EO194" s="888"/>
      <c r="EP194" s="102"/>
      <c r="EQ194" s="615"/>
      <c r="ER194" s="615"/>
      <c r="ES194" s="615"/>
      <c r="ET194" s="615"/>
      <c r="EU194" s="888"/>
      <c r="EV194" s="102"/>
      <c r="EW194" s="615"/>
      <c r="EX194" s="615"/>
      <c r="EY194" s="615"/>
      <c r="EZ194" s="615"/>
      <c r="FA194" s="888"/>
      <c r="FB194" s="102"/>
      <c r="FC194" s="615"/>
      <c r="FD194" s="615"/>
      <c r="FE194" s="615"/>
      <c r="FF194" s="615"/>
      <c r="FG194" s="888"/>
      <c r="FH194" s="102"/>
      <c r="FI194" s="615"/>
      <c r="FJ194" s="615"/>
      <c r="FK194" s="615"/>
      <c r="FL194" s="615"/>
      <c r="FM194" s="888"/>
      <c r="FQ194"/>
      <c r="FR194"/>
      <c r="FS194"/>
      <c r="FT194"/>
      <c r="FU194"/>
      <c r="FV194"/>
      <c r="GB194" s="24"/>
      <c r="GC194" s="24"/>
      <c r="GD194" s="24"/>
      <c r="GE194" s="24"/>
      <c r="GF194" s="24"/>
      <c r="GG194" s="24"/>
      <c r="GH194" s="24"/>
      <c r="GI194" s="2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</row>
    <row r="195" spans="1:274" s="32" customFormat="1" ht="12.75" customHeight="1" x14ac:dyDescent="0.2">
      <c r="A195" s="1816" t="s">
        <v>1291</v>
      </c>
      <c r="B195" s="102"/>
      <c r="C195" s="102"/>
      <c r="D195" s="615"/>
      <c r="E195" s="615"/>
      <c r="F195" s="615"/>
      <c r="G195" s="615"/>
      <c r="H195" s="615"/>
      <c r="I195" s="615"/>
      <c r="J195" s="615"/>
      <c r="K195" s="615"/>
      <c r="L195" s="615"/>
      <c r="M195" s="615"/>
      <c r="N195" s="102"/>
      <c r="O195" s="102"/>
      <c r="P195" s="102"/>
      <c r="Q195" s="102"/>
      <c r="R195" s="102"/>
      <c r="S195" s="615"/>
      <c r="T195" s="102"/>
      <c r="U195" s="615"/>
      <c r="V195" s="615"/>
      <c r="W195" s="615"/>
      <c r="X195" s="615"/>
      <c r="Y195" s="615"/>
      <c r="Z195" s="102"/>
      <c r="AA195" s="615"/>
      <c r="AB195" s="615"/>
      <c r="AC195" s="615"/>
      <c r="AD195" s="615"/>
      <c r="AE195" s="615"/>
      <c r="AF195" s="102"/>
      <c r="AG195" s="615"/>
      <c r="AH195" s="615"/>
      <c r="AI195" s="615"/>
      <c r="AJ195" s="615"/>
      <c r="AK195" s="615"/>
      <c r="AL195" s="102"/>
      <c r="AM195" s="615"/>
      <c r="AN195" s="615"/>
      <c r="AO195" s="615"/>
      <c r="AP195" s="615"/>
      <c r="AQ195" s="615"/>
      <c r="AR195" s="102"/>
      <c r="AS195" s="615"/>
      <c r="AT195" s="615"/>
      <c r="AU195" s="615"/>
      <c r="AV195" s="615"/>
      <c r="AW195" s="615"/>
      <c r="AX195" s="102"/>
      <c r="AY195" s="615"/>
      <c r="AZ195" s="615"/>
      <c r="BA195" s="615"/>
      <c r="BB195" s="615"/>
      <c r="BC195" s="615"/>
      <c r="BD195" s="102"/>
      <c r="BE195" s="615"/>
      <c r="BF195" s="615"/>
      <c r="BG195" s="615"/>
      <c r="BH195" s="615"/>
      <c r="BI195" s="615"/>
      <c r="BJ195" s="102"/>
      <c r="BK195" s="615"/>
      <c r="BL195" s="615"/>
      <c r="BM195" s="615"/>
      <c r="BN195" s="615"/>
      <c r="BO195" s="615"/>
      <c r="BP195" s="102"/>
      <c r="BQ195" s="615"/>
      <c r="BR195" s="615"/>
      <c r="BS195" s="615"/>
      <c r="BT195" s="615"/>
      <c r="BU195" s="615"/>
      <c r="BV195" s="102"/>
      <c r="BW195" s="615"/>
      <c r="BX195" s="615"/>
      <c r="BY195" s="615"/>
      <c r="BZ195" s="615"/>
      <c r="CA195" s="615"/>
      <c r="CB195" s="102"/>
      <c r="CC195" s="615"/>
      <c r="CD195" s="615"/>
      <c r="CE195" s="615"/>
      <c r="CF195" s="615"/>
      <c r="CG195" s="888"/>
      <c r="CH195" s="102"/>
      <c r="CI195" s="615"/>
      <c r="CJ195" s="615"/>
      <c r="CK195" s="615"/>
      <c r="CL195" s="615"/>
      <c r="CM195" s="888"/>
      <c r="CN195" s="102"/>
      <c r="CO195" s="615"/>
      <c r="CP195" s="615"/>
      <c r="CQ195" s="615"/>
      <c r="CR195" s="615"/>
      <c r="CS195" s="888"/>
      <c r="CT195" s="102"/>
      <c r="CU195" s="615"/>
      <c r="CV195" s="615"/>
      <c r="CW195" s="615"/>
      <c r="CX195" s="615"/>
      <c r="CY195" s="888"/>
      <c r="CZ195" s="102"/>
      <c r="DA195" s="615"/>
      <c r="DB195" s="615"/>
      <c r="DC195" s="615"/>
      <c r="DD195" s="615"/>
      <c r="DE195" s="888"/>
      <c r="DF195" s="102"/>
      <c r="DG195" s="615"/>
      <c r="DH195" s="615"/>
      <c r="DI195" s="615"/>
      <c r="DJ195" s="615"/>
      <c r="DK195" s="888"/>
      <c r="DL195" s="102"/>
      <c r="DM195" s="615"/>
      <c r="DN195" s="615"/>
      <c r="DO195" s="615"/>
      <c r="DP195" s="615"/>
      <c r="DQ195" s="888"/>
      <c r="DR195" s="102"/>
      <c r="DS195" s="615"/>
      <c r="DT195" s="615"/>
      <c r="DU195" s="615"/>
      <c r="DV195" s="615"/>
      <c r="DW195" s="888"/>
      <c r="DX195" s="102"/>
      <c r="DY195" s="615"/>
      <c r="DZ195" s="615"/>
      <c r="EA195" s="615"/>
      <c r="EB195" s="615"/>
      <c r="EC195" s="888"/>
      <c r="ED195" s="102"/>
      <c r="EE195" s="615"/>
      <c r="EF195" s="615"/>
      <c r="EG195" s="615"/>
      <c r="EH195" s="615"/>
      <c r="EI195" s="888"/>
      <c r="EJ195" s="102"/>
      <c r="EK195" s="615"/>
      <c r="EL195" s="615"/>
      <c r="EM195" s="615"/>
      <c r="EN195" s="615"/>
      <c r="EO195" s="888"/>
      <c r="EP195" s="102"/>
      <c r="EQ195" s="615"/>
      <c r="ER195" s="615"/>
      <c r="ES195" s="615"/>
      <c r="ET195" s="615"/>
      <c r="EU195" s="888"/>
      <c r="EV195" s="102"/>
      <c r="EW195" s="615"/>
      <c r="EX195" s="615"/>
      <c r="EY195" s="615"/>
      <c r="EZ195" s="615"/>
      <c r="FA195" s="888"/>
      <c r="FB195" s="102"/>
      <c r="FC195" s="615"/>
      <c r="FD195" s="615"/>
      <c r="FE195" s="615"/>
      <c r="FF195" s="615"/>
      <c r="FG195" s="888"/>
      <c r="FH195" s="102"/>
      <c r="FI195" s="615"/>
      <c r="FJ195" s="615"/>
      <c r="FK195" s="615"/>
      <c r="FL195" s="615"/>
      <c r="FM195" s="888"/>
      <c r="FQ195"/>
      <c r="FR195"/>
      <c r="FS195"/>
      <c r="FT195"/>
      <c r="FU195"/>
      <c r="FV195"/>
      <c r="GB195" s="24"/>
      <c r="GC195" s="24"/>
      <c r="GD195" s="24"/>
      <c r="GE195" s="24"/>
      <c r="GF195" s="24"/>
      <c r="GG195" s="24"/>
      <c r="GH195" s="24"/>
      <c r="GI195" s="24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</row>
    <row r="196" spans="1:274" s="32" customFormat="1" ht="12.75" customHeight="1" x14ac:dyDescent="0.2">
      <c r="A196" s="1888" t="s">
        <v>1292</v>
      </c>
      <c r="B196" s="102"/>
      <c r="C196" s="102"/>
      <c r="D196" s="615"/>
      <c r="E196" s="615"/>
      <c r="F196" s="615"/>
      <c r="G196" s="615"/>
      <c r="H196" s="615"/>
      <c r="I196" s="615"/>
      <c r="J196" s="615"/>
      <c r="K196" s="615"/>
      <c r="L196" s="615"/>
      <c r="M196" s="615"/>
      <c r="N196" s="102"/>
      <c r="O196" s="102"/>
      <c r="P196" s="102"/>
      <c r="Q196" s="102"/>
      <c r="R196" s="102"/>
      <c r="S196" s="615"/>
      <c r="T196" s="102"/>
      <c r="U196" s="615"/>
      <c r="V196" s="615"/>
      <c r="W196" s="615"/>
      <c r="X196" s="615"/>
      <c r="Y196" s="615"/>
      <c r="Z196" s="102"/>
      <c r="AA196" s="615"/>
      <c r="AB196" s="615"/>
      <c r="AC196" s="615"/>
      <c r="AD196" s="615"/>
      <c r="AE196" s="615"/>
      <c r="AF196" s="102"/>
      <c r="AG196" s="615"/>
      <c r="AH196" s="615"/>
      <c r="AI196" s="615"/>
      <c r="AJ196" s="615"/>
      <c r="AK196" s="615"/>
      <c r="AL196" s="102"/>
      <c r="AM196" s="615"/>
      <c r="AN196" s="615"/>
      <c r="AO196" s="615"/>
      <c r="AP196" s="615"/>
      <c r="AQ196" s="615"/>
      <c r="AR196" s="102"/>
      <c r="AS196" s="615"/>
      <c r="AT196" s="615"/>
      <c r="AU196" s="615"/>
      <c r="AV196" s="615"/>
      <c r="AW196" s="615"/>
      <c r="AX196" s="102"/>
      <c r="AY196" s="615"/>
      <c r="AZ196" s="615"/>
      <c r="BA196" s="615"/>
      <c r="BB196" s="615"/>
      <c r="BC196" s="615"/>
      <c r="BD196" s="102"/>
      <c r="BE196" s="615"/>
      <c r="BF196" s="615"/>
      <c r="BG196" s="615"/>
      <c r="BH196" s="615"/>
      <c r="BI196" s="615"/>
      <c r="BJ196" s="102"/>
      <c r="BK196" s="615"/>
      <c r="BL196" s="615"/>
      <c r="BM196" s="615"/>
      <c r="BN196" s="615"/>
      <c r="BO196" s="615"/>
      <c r="BP196" s="102"/>
      <c r="BQ196" s="615"/>
      <c r="BR196" s="615"/>
      <c r="BS196" s="615"/>
      <c r="BT196" s="615"/>
      <c r="BU196" s="615"/>
      <c r="BV196" s="102"/>
      <c r="BW196" s="615"/>
      <c r="BX196" s="615"/>
      <c r="BY196" s="615"/>
      <c r="BZ196" s="615"/>
      <c r="CA196" s="615"/>
      <c r="CB196" s="102"/>
      <c r="CC196" s="615"/>
      <c r="CD196" s="615"/>
      <c r="CE196" s="615"/>
      <c r="CF196" s="615"/>
      <c r="CG196" s="888"/>
      <c r="CH196" s="102"/>
      <c r="CI196" s="615"/>
      <c r="CJ196" s="615"/>
      <c r="CK196" s="615"/>
      <c r="CL196" s="615"/>
      <c r="CM196" s="888"/>
      <c r="CN196" s="102"/>
      <c r="CO196" s="615"/>
      <c r="CP196" s="615"/>
      <c r="CQ196" s="615"/>
      <c r="CR196" s="615"/>
      <c r="CS196" s="888"/>
      <c r="CT196" s="102"/>
      <c r="CU196" s="615"/>
      <c r="CV196" s="615"/>
      <c r="CW196" s="615"/>
      <c r="CX196" s="615"/>
      <c r="CY196" s="888"/>
      <c r="CZ196" s="102"/>
      <c r="DA196" s="615"/>
      <c r="DB196" s="615"/>
      <c r="DC196" s="615"/>
      <c r="DD196" s="615"/>
      <c r="DE196" s="888"/>
      <c r="DF196" s="102"/>
      <c r="DG196" s="615"/>
      <c r="DH196" s="615"/>
      <c r="DI196" s="615"/>
      <c r="DJ196" s="615"/>
      <c r="DK196" s="888"/>
      <c r="DL196" s="102"/>
      <c r="DM196" s="615"/>
      <c r="DN196" s="615"/>
      <c r="DO196" s="615"/>
      <c r="DP196" s="615"/>
      <c r="DQ196" s="888"/>
      <c r="DR196" s="102"/>
      <c r="DS196" s="1897">
        <f>Model!DS29</f>
        <v>119</v>
      </c>
      <c r="DT196" s="1897">
        <f>Model!DT29</f>
        <v>114</v>
      </c>
      <c r="DU196" s="1897">
        <f>Model!DU29</f>
        <v>110</v>
      </c>
      <c r="DV196" s="1897">
        <f>Model!DV29</f>
        <v>113</v>
      </c>
      <c r="DW196" s="1899">
        <f>SUM(DS196:DV196)</f>
        <v>456</v>
      </c>
      <c r="DX196" s="102"/>
      <c r="DY196" s="1897">
        <f>Model!DY29</f>
        <v>109</v>
      </c>
      <c r="DZ196" s="1897">
        <f>Model!DZ29</f>
        <v>97</v>
      </c>
      <c r="EA196" s="1897">
        <f>Model!EA29</f>
        <v>121</v>
      </c>
      <c r="EB196" s="1897">
        <f>Model!EB29</f>
        <v>128</v>
      </c>
      <c r="EC196" s="1899">
        <f>SUM(DY196:EB196)</f>
        <v>455</v>
      </c>
      <c r="ED196" s="102"/>
      <c r="EE196" s="1897">
        <f>Model!EE29</f>
        <v>138</v>
      </c>
      <c r="EF196" s="1897">
        <f>Model!EF29</f>
        <v>155</v>
      </c>
      <c r="EG196" s="1897">
        <f>Model!EG29</f>
        <v>155</v>
      </c>
      <c r="EH196" s="1897">
        <f>Model!EH29</f>
        <v>160</v>
      </c>
      <c r="EI196" s="1899">
        <f>SUM(EE196:EH196)</f>
        <v>608</v>
      </c>
      <c r="EJ196" s="102"/>
      <c r="EK196" s="367">
        <v>173</v>
      </c>
      <c r="EL196" s="367">
        <v>187</v>
      </c>
      <c r="EM196" s="367">
        <v>209</v>
      </c>
      <c r="EN196" s="367">
        <v>283</v>
      </c>
      <c r="EO196" s="1448">
        <f t="shared" ref="EO196:EO200" si="119">SUM(EK196:EN196)</f>
        <v>852</v>
      </c>
      <c r="EP196" s="102"/>
      <c r="EQ196" s="367">
        <v>312</v>
      </c>
      <c r="ER196" s="367">
        <v>328</v>
      </c>
      <c r="ES196" s="367">
        <v>324</v>
      </c>
      <c r="ET196" s="367">
        <v>397</v>
      </c>
      <c r="EU196" s="1448">
        <f t="shared" ref="EU196:EU200" si="120">SUM(EQ196:ET196)</f>
        <v>1361</v>
      </c>
      <c r="EV196" s="443"/>
      <c r="EW196" s="367">
        <v>400</v>
      </c>
      <c r="EX196" s="367">
        <v>396</v>
      </c>
      <c r="EY196" s="367">
        <v>415</v>
      </c>
      <c r="EZ196" s="367"/>
      <c r="FA196" s="1448"/>
      <c r="FB196" s="443"/>
      <c r="FC196" s="367"/>
      <c r="FD196" s="367"/>
      <c r="FE196" s="367"/>
      <c r="FF196" s="367"/>
      <c r="FG196" s="1448"/>
      <c r="FH196" s="443"/>
      <c r="FI196" s="367"/>
      <c r="FJ196" s="367"/>
      <c r="FK196" s="367"/>
      <c r="FL196" s="367"/>
      <c r="FM196" s="1448"/>
      <c r="FQ196"/>
      <c r="FR196"/>
      <c r="FS196"/>
      <c r="FT196"/>
      <c r="FU196"/>
      <c r="FV196"/>
      <c r="GB196" s="24"/>
      <c r="GC196" s="24"/>
      <c r="GD196" s="24"/>
      <c r="GE196" s="24"/>
      <c r="GF196" s="24"/>
      <c r="GG196" s="24"/>
      <c r="GH196" s="24"/>
      <c r="GI196" s="24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</row>
    <row r="197" spans="1:274" s="32" customFormat="1" ht="12.75" customHeight="1" x14ac:dyDescent="0.2">
      <c r="A197" s="1888" t="s">
        <v>1287</v>
      </c>
      <c r="B197" s="102"/>
      <c r="C197" s="102"/>
      <c r="D197" s="615"/>
      <c r="E197" s="615"/>
      <c r="F197" s="615"/>
      <c r="G197" s="615"/>
      <c r="H197" s="615"/>
      <c r="I197" s="615"/>
      <c r="J197" s="615"/>
      <c r="K197" s="615"/>
      <c r="L197" s="615"/>
      <c r="M197" s="615"/>
      <c r="N197" s="102"/>
      <c r="O197" s="102"/>
      <c r="P197" s="102"/>
      <c r="Q197" s="102"/>
      <c r="R197" s="102"/>
      <c r="S197" s="615"/>
      <c r="T197" s="102"/>
      <c r="U197" s="615"/>
      <c r="V197" s="615"/>
      <c r="W197" s="615"/>
      <c r="X197" s="615"/>
      <c r="Y197" s="615"/>
      <c r="Z197" s="102"/>
      <c r="AA197" s="615"/>
      <c r="AB197" s="615"/>
      <c r="AC197" s="615"/>
      <c r="AD197" s="615"/>
      <c r="AE197" s="615"/>
      <c r="AF197" s="102"/>
      <c r="AG197" s="615"/>
      <c r="AH197" s="615"/>
      <c r="AI197" s="615"/>
      <c r="AJ197" s="615"/>
      <c r="AK197" s="615"/>
      <c r="AL197" s="102"/>
      <c r="AM197" s="615"/>
      <c r="AN197" s="615"/>
      <c r="AO197" s="615"/>
      <c r="AP197" s="615"/>
      <c r="AQ197" s="615"/>
      <c r="AR197" s="102"/>
      <c r="AS197" s="615"/>
      <c r="AT197" s="615"/>
      <c r="AU197" s="615"/>
      <c r="AV197" s="615"/>
      <c r="AW197" s="615"/>
      <c r="AX197" s="102"/>
      <c r="AY197" s="615"/>
      <c r="AZ197" s="615"/>
      <c r="BA197" s="615"/>
      <c r="BB197" s="615"/>
      <c r="BC197" s="615"/>
      <c r="BD197" s="102"/>
      <c r="BE197" s="615"/>
      <c r="BF197" s="615"/>
      <c r="BG197" s="615"/>
      <c r="BH197" s="615"/>
      <c r="BI197" s="615"/>
      <c r="BJ197" s="102"/>
      <c r="BK197" s="615"/>
      <c r="BL197" s="615"/>
      <c r="BM197" s="615"/>
      <c r="BN197" s="615"/>
      <c r="BO197" s="615"/>
      <c r="BP197" s="102"/>
      <c r="BQ197" s="615"/>
      <c r="BR197" s="615"/>
      <c r="BS197" s="615"/>
      <c r="BT197" s="615"/>
      <c r="BU197" s="615"/>
      <c r="BV197" s="102"/>
      <c r="BW197" s="615"/>
      <c r="BX197" s="615"/>
      <c r="BY197" s="615"/>
      <c r="BZ197" s="615"/>
      <c r="CA197" s="615"/>
      <c r="CB197" s="102"/>
      <c r="CC197" s="615"/>
      <c r="CD197" s="615"/>
      <c r="CE197" s="615"/>
      <c r="CF197" s="615"/>
      <c r="CG197" s="888"/>
      <c r="CH197" s="102"/>
      <c r="CI197" s="1877">
        <f>SUM(CI198:CI199)</f>
        <v>1815.2388631324329</v>
      </c>
      <c r="CJ197" s="1877">
        <f>SUM(CJ198:CJ199)</f>
        <v>2144.6689541237765</v>
      </c>
      <c r="CK197" s="1877">
        <f>SUM(CK198:CK199)</f>
        <v>2312.2967479674799</v>
      </c>
      <c r="CL197" s="1877">
        <f>SUM(CL198:CL199)</f>
        <v>3192.3551009703642</v>
      </c>
      <c r="CM197" s="1878">
        <f>SUM(CI197:CL197)</f>
        <v>9464.5596661940544</v>
      </c>
      <c r="CN197" s="1874"/>
      <c r="CO197" s="1877">
        <f>SUM(CO198:CO199)</f>
        <v>2208</v>
      </c>
      <c r="CP197" s="1877">
        <f>SUM(CP198:CP199)</f>
        <v>2677</v>
      </c>
      <c r="CQ197" s="1877">
        <f>SUM(CQ198:CQ199)</f>
        <v>2815</v>
      </c>
      <c r="CR197" s="1877">
        <f>SUM(CR198:CR199)</f>
        <v>3941</v>
      </c>
      <c r="CS197" s="1878">
        <f>SUM(CO197:CR197)</f>
        <v>11641</v>
      </c>
      <c r="CT197" s="1874"/>
      <c r="CU197" s="1877">
        <f>SUM(CU198:CU199)</f>
        <v>2798</v>
      </c>
      <c r="CV197" s="1877">
        <f>SUM(CV198:CV199)</f>
        <v>2992</v>
      </c>
      <c r="CW197" s="1877">
        <f>SUM(CW198:CW199)</f>
        <v>3034</v>
      </c>
      <c r="CX197" s="1877">
        <f>SUM(CX198:CX199)</f>
        <v>3947</v>
      </c>
      <c r="CY197" s="1878">
        <f>SUM(CU197:CX197)</f>
        <v>12771</v>
      </c>
      <c r="CZ197" s="1874"/>
      <c r="DA197" s="1877">
        <f>SUM(DA198:DA199)</f>
        <v>2776</v>
      </c>
      <c r="DB197" s="1877">
        <f>SUM(DB198:DB199)</f>
        <v>3306</v>
      </c>
      <c r="DC197" s="1877">
        <f>SUM(DC198:DC199)</f>
        <v>3432</v>
      </c>
      <c r="DD197" s="1877">
        <f>SUM(DD198:DD199)</f>
        <v>4589</v>
      </c>
      <c r="DE197" s="1878">
        <f>SUM(DA197:DD197)</f>
        <v>14103</v>
      </c>
      <c r="DF197" s="1874"/>
      <c r="DG197" s="1877">
        <f>SUM(DG198:DG199)</f>
        <v>3253</v>
      </c>
      <c r="DH197" s="1877">
        <f>SUM(DH198:DH199)</f>
        <v>3863</v>
      </c>
      <c r="DI197" s="1877">
        <f>SUM(DI198:DI199)</f>
        <v>4098</v>
      </c>
      <c r="DJ197" s="1877">
        <f>SUM(DJ198:DJ199)</f>
        <v>5357</v>
      </c>
      <c r="DK197" s="1878">
        <f>SUM(DG197:DJ197)</f>
        <v>16571</v>
      </c>
      <c r="DL197" s="1874"/>
      <c r="DM197" s="1877">
        <f>SUM(DM198:DM199)</f>
        <v>3780</v>
      </c>
      <c r="DN197" s="1877">
        <f>SUM(DN198:DN199)</f>
        <v>4186</v>
      </c>
      <c r="DO197" s="1877">
        <f>SUM(DO198:DO199)</f>
        <v>4492</v>
      </c>
      <c r="DP197" s="1877">
        <f>SUM(DP198:DP199)</f>
        <v>5534</v>
      </c>
      <c r="DQ197" s="1878">
        <f>SUM(DM197:DP197)</f>
        <v>17992</v>
      </c>
      <c r="DR197" s="1900"/>
      <c r="DS197" s="1901"/>
      <c r="DT197" s="1901"/>
      <c r="DU197" s="1901"/>
      <c r="DV197" s="1901"/>
      <c r="DW197" s="1896">
        <f>($EO197-$DQ197)/4+DQ197</f>
        <v>18192</v>
      </c>
      <c r="DX197" s="1902"/>
      <c r="DY197" s="1901"/>
      <c r="DZ197" s="1901"/>
      <c r="EA197" s="1901"/>
      <c r="EB197" s="1901"/>
      <c r="EC197" s="1896">
        <f>($EO197-$DQ197)/4+DW197</f>
        <v>18392</v>
      </c>
      <c r="ED197" s="1902"/>
      <c r="EE197" s="1901"/>
      <c r="EF197" s="1901"/>
      <c r="EG197" s="1901"/>
      <c r="EH197" s="1901"/>
      <c r="EI197" s="1896">
        <f>($EO197-$DQ197)/4+EC197</f>
        <v>18592</v>
      </c>
      <c r="EJ197" s="102"/>
      <c r="EK197" s="367">
        <v>4179</v>
      </c>
      <c r="EL197" s="367">
        <v>4561</v>
      </c>
      <c r="EM197" s="367">
        <v>4574</v>
      </c>
      <c r="EN197" s="367">
        <v>5478</v>
      </c>
      <c r="EO197" s="1448">
        <f t="shared" si="119"/>
        <v>18792</v>
      </c>
      <c r="EP197" s="102"/>
      <c r="EQ197" s="367">
        <v>4238</v>
      </c>
      <c r="ER197" s="367">
        <v>4514</v>
      </c>
      <c r="ES197" s="367">
        <v>4544</v>
      </c>
      <c r="ET197" s="367">
        <v>5625</v>
      </c>
      <c r="EU197" s="1448">
        <f t="shared" si="120"/>
        <v>18921</v>
      </c>
      <c r="EV197" s="443"/>
      <c r="EW197" s="367">
        <v>4338</v>
      </c>
      <c r="EX197" s="367">
        <v>4752</v>
      </c>
      <c r="EY197" s="367">
        <v>4844</v>
      </c>
      <c r="EZ197" s="367"/>
      <c r="FA197" s="1448"/>
      <c r="FB197" s="443"/>
      <c r="FC197" s="367"/>
      <c r="FD197" s="367"/>
      <c r="FE197" s="367"/>
      <c r="FF197" s="367"/>
      <c r="FG197" s="1448"/>
      <c r="FH197" s="443"/>
      <c r="FI197" s="367"/>
      <c r="FJ197" s="367"/>
      <c r="FK197" s="367"/>
      <c r="FL197" s="367"/>
      <c r="FM197" s="1448"/>
      <c r="FQ197"/>
      <c r="FR197"/>
      <c r="FS197"/>
      <c r="FT197"/>
      <c r="FU197"/>
      <c r="FV197"/>
      <c r="GB197" s="24"/>
      <c r="GC197" s="24"/>
      <c r="GD197" s="24"/>
      <c r="GE197" s="24"/>
      <c r="GF197" s="24"/>
      <c r="GG197" s="24"/>
      <c r="GH197" s="24"/>
      <c r="GI197" s="24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</row>
    <row r="198" spans="1:274" s="32" customFormat="1" ht="12.75" hidden="1" customHeight="1" outlineLevel="1" x14ac:dyDescent="0.2">
      <c r="A198" s="1891" t="s">
        <v>681</v>
      </c>
      <c r="B198" s="1892"/>
      <c r="C198" s="1892"/>
      <c r="D198" s="1267"/>
      <c r="E198" s="1267"/>
      <c r="F198" s="1267"/>
      <c r="G198" s="1267"/>
      <c r="H198" s="1267"/>
      <c r="I198" s="1267"/>
      <c r="J198" s="1267"/>
      <c r="K198" s="1267"/>
      <c r="L198" s="1267"/>
      <c r="M198" s="1267"/>
      <c r="N198" s="1892"/>
      <c r="O198" s="1892"/>
      <c r="P198" s="1892"/>
      <c r="Q198" s="1892"/>
      <c r="R198" s="1892"/>
      <c r="S198" s="1267"/>
      <c r="T198" s="1892"/>
      <c r="U198" s="1267"/>
      <c r="V198" s="1267"/>
      <c r="W198" s="1267"/>
      <c r="X198" s="1267"/>
      <c r="Y198" s="1267"/>
      <c r="Z198" s="1892"/>
      <c r="AA198" s="1267"/>
      <c r="AB198" s="1267"/>
      <c r="AC198" s="1267"/>
      <c r="AD198" s="1267"/>
      <c r="AE198" s="1267"/>
      <c r="AF198" s="1892"/>
      <c r="AG198" s="1267"/>
      <c r="AH198" s="1267"/>
      <c r="AI198" s="1267"/>
      <c r="AJ198" s="1267"/>
      <c r="AK198" s="1267"/>
      <c r="AL198" s="1892"/>
      <c r="AM198" s="1267"/>
      <c r="AN198" s="1267"/>
      <c r="AO198" s="1267"/>
      <c r="AP198" s="1267"/>
      <c r="AQ198" s="1267"/>
      <c r="AR198" s="1892"/>
      <c r="AS198" s="1267"/>
      <c r="AT198" s="1267"/>
      <c r="AU198" s="1267"/>
      <c r="AV198" s="1267"/>
      <c r="AW198" s="1267"/>
      <c r="AX198" s="1892"/>
      <c r="AY198" s="1267"/>
      <c r="AZ198" s="1267"/>
      <c r="BA198" s="1267"/>
      <c r="BB198" s="1267"/>
      <c r="BC198" s="1267"/>
      <c r="BD198" s="1892"/>
      <c r="BE198" s="1267"/>
      <c r="BF198" s="1267"/>
      <c r="BG198" s="1267"/>
      <c r="BH198" s="1267"/>
      <c r="BI198" s="1267"/>
      <c r="BJ198" s="1892"/>
      <c r="BK198" s="1267"/>
      <c r="BL198" s="1267"/>
      <c r="BM198" s="1267"/>
      <c r="BN198" s="1267"/>
      <c r="BO198" s="1267"/>
      <c r="BP198" s="1892"/>
      <c r="BQ198" s="1267"/>
      <c r="BR198" s="1267"/>
      <c r="BS198" s="1267"/>
      <c r="BT198" s="1267"/>
      <c r="BU198" s="1267"/>
      <c r="BV198" s="1892"/>
      <c r="BW198" s="1267"/>
      <c r="BX198" s="1267"/>
      <c r="BY198" s="1267"/>
      <c r="BZ198" s="1267"/>
      <c r="CA198" s="1267"/>
      <c r="CB198" s="1892"/>
      <c r="CC198" s="1267"/>
      <c r="CD198" s="1267"/>
      <c r="CE198" s="1267"/>
      <c r="CF198" s="1267"/>
      <c r="CG198" s="1270"/>
      <c r="CH198" s="1892"/>
      <c r="CI198" s="1893">
        <f>CO198/(1+0.23)</f>
        <v>578.04878048780483</v>
      </c>
      <c r="CJ198" s="1893">
        <f>CP198/(1+0.29)</f>
        <v>864.34108527131775</v>
      </c>
      <c r="CK198" s="1893">
        <f>CQ198/(1+0.2)</f>
        <v>970.83333333333337</v>
      </c>
      <c r="CL198" s="1893">
        <f>CR198/(1+0.23)</f>
        <v>1752.0325203252032</v>
      </c>
      <c r="CM198" s="1894">
        <f>SUM(CI198:CL198)</f>
        <v>4165.2557194176588</v>
      </c>
      <c r="CN198" s="1892"/>
      <c r="CO198" s="1893">
        <v>711</v>
      </c>
      <c r="CP198" s="1893">
        <v>1115</v>
      </c>
      <c r="CQ198" s="1893">
        <v>1165</v>
      </c>
      <c r="CR198" s="1893">
        <v>2155</v>
      </c>
      <c r="CS198" s="1894">
        <f>SUM(CO198:CR198)</f>
        <v>5146</v>
      </c>
      <c r="CT198" s="1892"/>
      <c r="CU198" s="1893">
        <v>906</v>
      </c>
      <c r="CV198" s="1893">
        <v>1157</v>
      </c>
      <c r="CW198" s="1893">
        <v>1120</v>
      </c>
      <c r="CX198" s="1893">
        <v>1939</v>
      </c>
      <c r="CY198" s="1894">
        <f>SUM(CU198:CX198)</f>
        <v>5122</v>
      </c>
      <c r="CZ198" s="1892"/>
      <c r="DA198" s="1893">
        <v>711</v>
      </c>
      <c r="DB198" s="1893">
        <v>1175</v>
      </c>
      <c r="DC198" s="1893">
        <v>1241</v>
      </c>
      <c r="DD198" s="1893">
        <v>2280</v>
      </c>
      <c r="DE198" s="1894">
        <f>SUM(DA198:DD198)</f>
        <v>5407</v>
      </c>
      <c r="DF198" s="1892"/>
      <c r="DG198" s="1893">
        <v>937</v>
      </c>
      <c r="DH198" s="1893">
        <v>1420</v>
      </c>
      <c r="DI198" s="1893">
        <v>1575</v>
      </c>
      <c r="DJ198" s="1893">
        <v>2694</v>
      </c>
      <c r="DK198" s="1894">
        <f>SUM(DG198:DJ198)</f>
        <v>6626</v>
      </c>
      <c r="DL198" s="1892"/>
      <c r="DM198" s="1893">
        <v>1070</v>
      </c>
      <c r="DN198" s="1893">
        <v>1479</v>
      </c>
      <c r="DO198" s="1893">
        <v>1716</v>
      </c>
      <c r="DP198" s="1893">
        <v>2706</v>
      </c>
      <c r="DQ198" s="1894">
        <f>SUM(DM198:DP198)</f>
        <v>6971</v>
      </c>
      <c r="DR198" s="1892"/>
      <c r="DS198" s="1267"/>
      <c r="DT198" s="1267"/>
      <c r="DU198" s="1267"/>
      <c r="DV198" s="1267"/>
      <c r="DW198" s="1898">
        <f>DW197-DW199</f>
        <v>6438.0599999999995</v>
      </c>
      <c r="DX198" s="1892"/>
      <c r="DY198" s="1267"/>
      <c r="DZ198" s="1267"/>
      <c r="EA198" s="1267"/>
      <c r="EB198" s="1267"/>
      <c r="EC198" s="1898">
        <f>EC197-EC199</f>
        <v>6055.6843999999983</v>
      </c>
      <c r="ED198" s="1892"/>
      <c r="EE198" s="1267"/>
      <c r="EF198" s="1267"/>
      <c r="EG198" s="1267"/>
      <c r="EH198" s="1267"/>
      <c r="EI198" s="1898">
        <f>EI197-EI199</f>
        <v>5784.7264559999985</v>
      </c>
      <c r="EJ198" s="1892"/>
      <c r="EK198" s="1893"/>
      <c r="EL198" s="1893"/>
      <c r="EM198" s="1893"/>
      <c r="EN198" s="1893"/>
      <c r="EO198" s="1898">
        <f>EO197-EO199</f>
        <v>5596.2175774400002</v>
      </c>
      <c r="EP198" s="1892"/>
      <c r="EQ198" s="1893"/>
      <c r="ER198" s="1893"/>
      <c r="ES198" s="1893"/>
      <c r="ET198" s="1893"/>
      <c r="EU198" s="1898">
        <f>EU197-EU199</f>
        <v>5397.7210073056012</v>
      </c>
      <c r="EV198" s="1895"/>
      <c r="EW198" s="1893"/>
      <c r="EX198" s="1893"/>
      <c r="EY198" s="1893"/>
      <c r="EZ198" s="1893"/>
      <c r="FA198" s="1894"/>
      <c r="FB198" s="1895"/>
      <c r="FC198" s="1893"/>
      <c r="FD198" s="1893"/>
      <c r="FE198" s="1893"/>
      <c r="FF198" s="1893"/>
      <c r="FG198" s="1894"/>
      <c r="FH198" s="1895"/>
      <c r="FI198" s="1893"/>
      <c r="FJ198" s="1893"/>
      <c r="FK198" s="1893"/>
      <c r="FL198" s="1893"/>
      <c r="FM198" s="1894"/>
      <c r="FQ198"/>
      <c r="FR198"/>
      <c r="FS198"/>
      <c r="FT198"/>
      <c r="FU198"/>
      <c r="FV198"/>
      <c r="GB198" s="24"/>
      <c r="GC198" s="24"/>
      <c r="GD198" s="24"/>
      <c r="GE198" s="24"/>
      <c r="GF198" s="24"/>
      <c r="GG198" s="24"/>
      <c r="GH198" s="24"/>
      <c r="GI198" s="24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</row>
    <row r="199" spans="1:274" s="32" customFormat="1" ht="12.75" hidden="1" customHeight="1" outlineLevel="1" x14ac:dyDescent="0.2">
      <c r="A199" s="1891" t="s">
        <v>470</v>
      </c>
      <c r="B199" s="1892"/>
      <c r="C199" s="1892"/>
      <c r="D199" s="1267"/>
      <c r="E199" s="1267"/>
      <c r="F199" s="1267"/>
      <c r="G199" s="1267"/>
      <c r="H199" s="1267"/>
      <c r="I199" s="1267"/>
      <c r="J199" s="1267"/>
      <c r="K199" s="1267"/>
      <c r="L199" s="1267"/>
      <c r="M199" s="1267"/>
      <c r="N199" s="1892"/>
      <c r="O199" s="1892"/>
      <c r="P199" s="1892"/>
      <c r="Q199" s="1892"/>
      <c r="R199" s="1892"/>
      <c r="S199" s="1267"/>
      <c r="T199" s="1892"/>
      <c r="U199" s="1267"/>
      <c r="V199" s="1267"/>
      <c r="W199" s="1267"/>
      <c r="X199" s="1267"/>
      <c r="Y199" s="1267"/>
      <c r="Z199" s="1892"/>
      <c r="AA199" s="1267"/>
      <c r="AB199" s="1267"/>
      <c r="AC199" s="1267"/>
      <c r="AD199" s="1267"/>
      <c r="AE199" s="1267"/>
      <c r="AF199" s="1892"/>
      <c r="AG199" s="1267"/>
      <c r="AH199" s="1267"/>
      <c r="AI199" s="1267"/>
      <c r="AJ199" s="1267"/>
      <c r="AK199" s="1267"/>
      <c r="AL199" s="1892"/>
      <c r="AM199" s="1267"/>
      <c r="AN199" s="1267"/>
      <c r="AO199" s="1267"/>
      <c r="AP199" s="1267"/>
      <c r="AQ199" s="1267"/>
      <c r="AR199" s="1892"/>
      <c r="AS199" s="1267"/>
      <c r="AT199" s="1267"/>
      <c r="AU199" s="1267"/>
      <c r="AV199" s="1267"/>
      <c r="AW199" s="1267"/>
      <c r="AX199" s="1892"/>
      <c r="AY199" s="1267"/>
      <c r="AZ199" s="1267"/>
      <c r="BA199" s="1267"/>
      <c r="BB199" s="1267"/>
      <c r="BC199" s="1267"/>
      <c r="BD199" s="1892"/>
      <c r="BE199" s="1267"/>
      <c r="BF199" s="1267"/>
      <c r="BG199" s="1267"/>
      <c r="BH199" s="1267"/>
      <c r="BI199" s="1267"/>
      <c r="BJ199" s="1892"/>
      <c r="BK199" s="1267"/>
      <c r="BL199" s="1267"/>
      <c r="BM199" s="1267"/>
      <c r="BN199" s="1267"/>
      <c r="BO199" s="1267"/>
      <c r="BP199" s="1892"/>
      <c r="BQ199" s="1267"/>
      <c r="BR199" s="1267"/>
      <c r="BS199" s="1267"/>
      <c r="BT199" s="1267"/>
      <c r="BU199" s="1267"/>
      <c r="BV199" s="1892"/>
      <c r="BW199" s="1267"/>
      <c r="BX199" s="1267"/>
      <c r="BY199" s="1267"/>
      <c r="BZ199" s="1267"/>
      <c r="CA199" s="1267"/>
      <c r="CB199" s="1892"/>
      <c r="CC199" s="1267"/>
      <c r="CD199" s="1267"/>
      <c r="CE199" s="1267"/>
      <c r="CF199" s="1267"/>
      <c r="CG199" s="1270"/>
      <c r="CH199" s="1892"/>
      <c r="CI199" s="1893">
        <f>CO199/(1+0.21)</f>
        <v>1237.1900826446281</v>
      </c>
      <c r="CJ199" s="1893">
        <f>CP199/(1+0.22)</f>
        <v>1280.327868852459</v>
      </c>
      <c r="CK199" s="1893">
        <f>CQ199/(1+0.23)</f>
        <v>1341.4634146341464</v>
      </c>
      <c r="CL199" s="1893">
        <f>CR199/(1+0.24)</f>
        <v>1440.3225806451612</v>
      </c>
      <c r="CM199" s="1894">
        <f>SUM(CI199:CL199)</f>
        <v>5299.3039467763947</v>
      </c>
      <c r="CN199" s="1892"/>
      <c r="CO199" s="1893">
        <v>1497</v>
      </c>
      <c r="CP199" s="1893">
        <v>1562</v>
      </c>
      <c r="CQ199" s="1893">
        <v>1650</v>
      </c>
      <c r="CR199" s="1893">
        <v>1786</v>
      </c>
      <c r="CS199" s="1894">
        <f>SUM(CO199:CR199)</f>
        <v>6495</v>
      </c>
      <c r="CT199" s="1892"/>
      <c r="CU199" s="1893">
        <v>1892</v>
      </c>
      <c r="CV199" s="1893">
        <v>1835</v>
      </c>
      <c r="CW199" s="1893">
        <v>1914</v>
      </c>
      <c r="CX199" s="1893">
        <v>2008</v>
      </c>
      <c r="CY199" s="1894">
        <f>SUM(CU199:CX199)</f>
        <v>7649</v>
      </c>
      <c r="CZ199" s="1892"/>
      <c r="DA199" s="1893">
        <v>2065</v>
      </c>
      <c r="DB199" s="1893">
        <v>2131</v>
      </c>
      <c r="DC199" s="1893">
        <v>2191</v>
      </c>
      <c r="DD199" s="1893">
        <v>2309</v>
      </c>
      <c r="DE199" s="1894">
        <f>SUM(DA199:DD199)</f>
        <v>8696</v>
      </c>
      <c r="DF199" s="1892"/>
      <c r="DG199" s="1893">
        <v>2316</v>
      </c>
      <c r="DH199" s="1893">
        <v>2443</v>
      </c>
      <c r="DI199" s="1893">
        <v>2523</v>
      </c>
      <c r="DJ199" s="1893">
        <v>2663</v>
      </c>
      <c r="DK199" s="1894">
        <f>SUM(DG199:DJ199)</f>
        <v>9945</v>
      </c>
      <c r="DL199" s="1892"/>
      <c r="DM199" s="1893">
        <v>2710</v>
      </c>
      <c r="DN199" s="1893">
        <v>2707</v>
      </c>
      <c r="DO199" s="1893">
        <v>2776</v>
      </c>
      <c r="DP199" s="1893">
        <v>2828</v>
      </c>
      <c r="DQ199" s="1894">
        <f>SUM(DM199:DP199)</f>
        <v>11021</v>
      </c>
      <c r="DR199" s="1892"/>
      <c r="DS199" s="1267"/>
      <c r="DT199" s="1267"/>
      <c r="DU199" s="1267"/>
      <c r="DV199" s="1267"/>
      <c r="DW199" s="1898">
        <f>DQ199*0.94+DQ198*0.2</f>
        <v>11753.94</v>
      </c>
      <c r="DX199" s="1892"/>
      <c r="DY199" s="1267"/>
      <c r="DZ199" s="1267"/>
      <c r="EA199" s="1267"/>
      <c r="EB199" s="1267"/>
      <c r="EC199" s="1898">
        <f>DW199*0.94+DW198*0.2</f>
        <v>12336.315600000002</v>
      </c>
      <c r="ED199" s="1892"/>
      <c r="EE199" s="1267"/>
      <c r="EF199" s="1267"/>
      <c r="EG199" s="1267"/>
      <c r="EH199" s="1267"/>
      <c r="EI199" s="1898">
        <f>EC199*0.94+EC198*0.2</f>
        <v>12807.273544000001</v>
      </c>
      <c r="EJ199" s="1892"/>
      <c r="EK199" s="1893"/>
      <c r="EL199" s="1893"/>
      <c r="EM199" s="1893"/>
      <c r="EN199" s="1893"/>
      <c r="EO199" s="1898">
        <f>EI199*0.94+EI198*0.2</f>
        <v>13195.78242256</v>
      </c>
      <c r="EP199" s="1892"/>
      <c r="EQ199" s="1893"/>
      <c r="ER199" s="1893"/>
      <c r="ES199" s="1893"/>
      <c r="ET199" s="1893"/>
      <c r="EU199" s="1898">
        <f>EO199*0.94+EO198*0.2</f>
        <v>13523.278992694399</v>
      </c>
      <c r="EV199" s="1895"/>
      <c r="EW199" s="1893"/>
      <c r="EX199" s="1893"/>
      <c r="EY199" s="1893"/>
      <c r="EZ199" s="1893"/>
      <c r="FA199" s="1894"/>
      <c r="FB199" s="1895"/>
      <c r="FC199" s="1893"/>
      <c r="FD199" s="1893"/>
      <c r="FE199" s="1893"/>
      <c r="FF199" s="1893"/>
      <c r="FG199" s="1894"/>
      <c r="FH199" s="1895"/>
      <c r="FI199" s="1893"/>
      <c r="FJ199" s="1893"/>
      <c r="FK199" s="1893"/>
      <c r="FL199" s="1893"/>
      <c r="FM199" s="1894"/>
      <c r="FQ199"/>
      <c r="FR199"/>
      <c r="FS199"/>
      <c r="FT199"/>
      <c r="FU199"/>
      <c r="FV199"/>
      <c r="GB199" s="24"/>
      <c r="GC199" s="24"/>
      <c r="GD199" s="24"/>
      <c r="GE199" s="24"/>
      <c r="GF199" s="24"/>
      <c r="GG199" s="24"/>
      <c r="GH199" s="24"/>
      <c r="GI199" s="24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</row>
    <row r="200" spans="1:274" s="32" customFormat="1" ht="12.75" customHeight="1" collapsed="1" x14ac:dyDescent="0.2">
      <c r="A200" s="1889" t="s">
        <v>1288</v>
      </c>
      <c r="B200" s="1874"/>
      <c r="C200" s="1874"/>
      <c r="D200" s="1875"/>
      <c r="E200" s="1875"/>
      <c r="F200" s="1875"/>
      <c r="G200" s="1875"/>
      <c r="H200" s="1875"/>
      <c r="I200" s="1875"/>
      <c r="J200" s="1875"/>
      <c r="K200" s="1875"/>
      <c r="L200" s="1875"/>
      <c r="M200" s="1875"/>
      <c r="N200" s="1874"/>
      <c r="O200" s="1874"/>
      <c r="P200" s="1874"/>
      <c r="Q200" s="1874"/>
      <c r="R200" s="1874"/>
      <c r="S200" s="1875"/>
      <c r="T200" s="1874"/>
      <c r="U200" s="1875"/>
      <c r="V200" s="1875"/>
      <c r="W200" s="1875"/>
      <c r="X200" s="1875"/>
      <c r="Y200" s="1875"/>
      <c r="Z200" s="1874"/>
      <c r="AA200" s="1875"/>
      <c r="AB200" s="1875"/>
      <c r="AC200" s="1875"/>
      <c r="AD200" s="1875"/>
      <c r="AE200" s="1875"/>
      <c r="AF200" s="1874"/>
      <c r="AG200" s="1875"/>
      <c r="AH200" s="1875"/>
      <c r="AI200" s="1875"/>
      <c r="AJ200" s="1875"/>
      <c r="AK200" s="1875"/>
      <c r="AL200" s="1874"/>
      <c r="AM200" s="1875"/>
      <c r="AN200" s="1875"/>
      <c r="AO200" s="1875"/>
      <c r="AP200" s="1875"/>
      <c r="AQ200" s="1875"/>
      <c r="AR200" s="1874"/>
      <c r="AS200" s="1875"/>
      <c r="AT200" s="1875"/>
      <c r="AU200" s="1875"/>
      <c r="AV200" s="1875"/>
      <c r="AW200" s="1875"/>
      <c r="AX200" s="1874"/>
      <c r="AY200" s="1875"/>
      <c r="AZ200" s="1875"/>
      <c r="BA200" s="1875"/>
      <c r="BB200" s="1875"/>
      <c r="BC200" s="1875"/>
      <c r="BD200" s="1874"/>
      <c r="BE200" s="1875"/>
      <c r="BF200" s="1875"/>
      <c r="BG200" s="1875"/>
      <c r="BH200" s="1875"/>
      <c r="BI200" s="1875"/>
      <c r="BJ200" s="1874"/>
      <c r="BK200" s="1875"/>
      <c r="BL200" s="1875"/>
      <c r="BM200" s="1875"/>
      <c r="BN200" s="1875"/>
      <c r="BO200" s="1875"/>
      <c r="BP200" s="1874"/>
      <c r="BQ200" s="1875"/>
      <c r="BR200" s="1875"/>
      <c r="BS200" s="1875"/>
      <c r="BT200" s="1875"/>
      <c r="BU200" s="1875"/>
      <c r="BV200" s="1874"/>
      <c r="BW200" s="1875"/>
      <c r="BX200" s="1875"/>
      <c r="BY200" s="1875"/>
      <c r="BZ200" s="1875"/>
      <c r="CA200" s="1875"/>
      <c r="CB200" s="1874"/>
      <c r="CC200" s="1875"/>
      <c r="CD200" s="1875"/>
      <c r="CE200" s="1875"/>
      <c r="CF200" s="1875"/>
      <c r="CG200" s="1876"/>
      <c r="CH200" s="1874"/>
      <c r="CI200" s="1874"/>
      <c r="CJ200" s="1874"/>
      <c r="CK200" s="1874"/>
      <c r="CL200" s="1874"/>
      <c r="CM200" s="1874"/>
      <c r="CN200" s="1874"/>
      <c r="CO200" s="1874"/>
      <c r="CP200" s="1874"/>
      <c r="CQ200" s="1874"/>
      <c r="CR200" s="1874"/>
      <c r="CS200" s="1874"/>
      <c r="CT200" s="1874"/>
      <c r="CU200" s="1874"/>
      <c r="CV200" s="1874"/>
      <c r="CW200" s="1874"/>
      <c r="CX200" s="1874"/>
      <c r="CY200" s="1874"/>
      <c r="CZ200" s="1874"/>
      <c r="DA200" s="1874"/>
      <c r="DB200" s="1874"/>
      <c r="DC200" s="1874"/>
      <c r="DD200" s="1874"/>
      <c r="DE200" s="1874"/>
      <c r="DF200" s="1874"/>
      <c r="DG200" s="1874"/>
      <c r="DH200" s="1874"/>
      <c r="DI200" s="1874"/>
      <c r="DJ200" s="1874"/>
      <c r="DK200" s="1874"/>
      <c r="DL200" s="1874"/>
      <c r="DM200" s="1874"/>
      <c r="DN200" s="1874"/>
      <c r="DO200" s="1874"/>
      <c r="DP200" s="1874"/>
      <c r="DQ200" s="1874"/>
      <c r="DR200" s="1874"/>
      <c r="DS200" s="1875"/>
      <c r="DT200" s="1875"/>
      <c r="DU200" s="1875"/>
      <c r="DV200" s="1875"/>
      <c r="DW200" s="1875"/>
      <c r="DX200" s="1875"/>
      <c r="DY200" s="1875"/>
      <c r="DZ200" s="1875"/>
      <c r="EA200" s="1875"/>
      <c r="EB200" s="1875"/>
      <c r="EC200" s="1875"/>
      <c r="ED200" s="1875"/>
      <c r="EE200" s="1875"/>
      <c r="EF200" s="1875"/>
      <c r="EG200" s="1875"/>
      <c r="EH200" s="1875"/>
      <c r="EI200" s="1875"/>
      <c r="EJ200" s="1874"/>
      <c r="EK200" s="1877">
        <f>SUM(EK196:EK197)</f>
        <v>4352</v>
      </c>
      <c r="EL200" s="1877">
        <f t="shared" ref="EL200:EN200" si="121">SUM(EL196:EL197)</f>
        <v>4748</v>
      </c>
      <c r="EM200" s="1877">
        <f t="shared" si="121"/>
        <v>4783</v>
      </c>
      <c r="EN200" s="1877">
        <f t="shared" si="121"/>
        <v>5761</v>
      </c>
      <c r="EO200" s="1878">
        <f t="shared" si="119"/>
        <v>19644</v>
      </c>
      <c r="EP200" s="1874"/>
      <c r="EQ200" s="1877">
        <f>SUM(EQ196:EQ197)</f>
        <v>4550</v>
      </c>
      <c r="ER200" s="1877">
        <f t="shared" ref="ER200" si="122">SUM(ER196:ER197)</f>
        <v>4842</v>
      </c>
      <c r="ES200" s="1877">
        <f t="shared" ref="ES200" si="123">SUM(ES196:ES197)</f>
        <v>4868</v>
      </c>
      <c r="ET200" s="1877">
        <f t="shared" ref="ET200" si="124">SUM(ET196:ET197)</f>
        <v>6022</v>
      </c>
      <c r="EU200" s="1878">
        <f t="shared" si="120"/>
        <v>20282</v>
      </c>
      <c r="EV200" s="1874"/>
      <c r="EW200" s="1877">
        <f>SUM(EW196:EW197)</f>
        <v>4738</v>
      </c>
      <c r="EX200" s="1877">
        <f>SUM(EX196:EX197)</f>
        <v>5148</v>
      </c>
      <c r="EY200" s="1877">
        <f>SUM(EY196:EY197)</f>
        <v>5259</v>
      </c>
      <c r="EZ200" s="1875"/>
      <c r="FA200" s="1876"/>
      <c r="FB200" s="1874"/>
      <c r="FC200" s="1875"/>
      <c r="FD200" s="1875"/>
      <c r="FE200" s="1875"/>
      <c r="FF200" s="1875"/>
      <c r="FG200" s="1876"/>
      <c r="FH200" s="1874"/>
      <c r="FI200" s="1875"/>
      <c r="FJ200" s="1875"/>
      <c r="FK200" s="1875"/>
      <c r="FL200" s="1875"/>
      <c r="FM200" s="1876"/>
      <c r="FQ200"/>
      <c r="FR200"/>
      <c r="FS200"/>
      <c r="FT200"/>
      <c r="FU200"/>
      <c r="FV200"/>
      <c r="GB200" s="24"/>
      <c r="GC200" s="24"/>
      <c r="GD200" s="24"/>
      <c r="GE200" s="24"/>
      <c r="GF200" s="24"/>
      <c r="GG200" s="24"/>
      <c r="GH200" s="24"/>
      <c r="GI200" s="24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</row>
    <row r="201" spans="1:274" s="32" customFormat="1" ht="12.75" customHeight="1" x14ac:dyDescent="0.2">
      <c r="A201" s="1888"/>
      <c r="B201" s="102"/>
      <c r="C201" s="102"/>
      <c r="D201" s="615"/>
      <c r="E201" s="615"/>
      <c r="F201" s="615"/>
      <c r="G201" s="615"/>
      <c r="H201" s="615"/>
      <c r="I201" s="615"/>
      <c r="J201" s="615"/>
      <c r="K201" s="615"/>
      <c r="L201" s="615"/>
      <c r="M201" s="615"/>
      <c r="N201" s="102"/>
      <c r="O201" s="102"/>
      <c r="P201" s="102"/>
      <c r="Q201" s="102"/>
      <c r="R201" s="102"/>
      <c r="S201" s="615"/>
      <c r="T201" s="102"/>
      <c r="U201" s="615"/>
      <c r="V201" s="615"/>
      <c r="W201" s="615"/>
      <c r="X201" s="615"/>
      <c r="Y201" s="615"/>
      <c r="Z201" s="102"/>
      <c r="AA201" s="615"/>
      <c r="AB201" s="615"/>
      <c r="AC201" s="615"/>
      <c r="AD201" s="615"/>
      <c r="AE201" s="615"/>
      <c r="AF201" s="102"/>
      <c r="AG201" s="615"/>
      <c r="AH201" s="615"/>
      <c r="AI201" s="615"/>
      <c r="AJ201" s="615"/>
      <c r="AK201" s="615"/>
      <c r="AL201" s="102"/>
      <c r="AM201" s="615"/>
      <c r="AN201" s="615"/>
      <c r="AO201" s="615"/>
      <c r="AP201" s="615"/>
      <c r="AQ201" s="615"/>
      <c r="AR201" s="102"/>
      <c r="AS201" s="615"/>
      <c r="AT201" s="615"/>
      <c r="AU201" s="615"/>
      <c r="AV201" s="615"/>
      <c r="AW201" s="615"/>
      <c r="AX201" s="102"/>
      <c r="AY201" s="615"/>
      <c r="AZ201" s="615"/>
      <c r="BA201" s="615"/>
      <c r="BB201" s="615"/>
      <c r="BC201" s="615"/>
      <c r="BD201" s="102"/>
      <c r="BE201" s="615"/>
      <c r="BF201" s="615"/>
      <c r="BG201" s="615"/>
      <c r="BH201" s="615"/>
      <c r="BI201" s="615"/>
      <c r="BJ201" s="102"/>
      <c r="BK201" s="615"/>
      <c r="BL201" s="615"/>
      <c r="BM201" s="615"/>
      <c r="BN201" s="615"/>
      <c r="BO201" s="615"/>
      <c r="BP201" s="102"/>
      <c r="BQ201" s="615"/>
      <c r="BR201" s="615"/>
      <c r="BS201" s="615"/>
      <c r="BT201" s="615"/>
      <c r="BU201" s="615"/>
      <c r="BV201" s="102"/>
      <c r="BW201" s="615"/>
      <c r="BX201" s="615"/>
      <c r="BY201" s="615"/>
      <c r="BZ201" s="615"/>
      <c r="CA201" s="615"/>
      <c r="CB201" s="102"/>
      <c r="CC201" s="615"/>
      <c r="CD201" s="615"/>
      <c r="CE201" s="615"/>
      <c r="CF201" s="615"/>
      <c r="CG201" s="888"/>
      <c r="CH201" s="102"/>
      <c r="CI201" s="615"/>
      <c r="CJ201" s="615"/>
      <c r="CK201" s="615"/>
      <c r="CL201" s="615"/>
      <c r="CM201" s="888"/>
      <c r="CN201" s="102"/>
      <c r="CO201" s="615"/>
      <c r="CP201" s="615"/>
      <c r="CQ201" s="615"/>
      <c r="CR201" s="615"/>
      <c r="CS201" s="888"/>
      <c r="CT201" s="102"/>
      <c r="CU201" s="615"/>
      <c r="CV201" s="615"/>
      <c r="CW201" s="615"/>
      <c r="CX201" s="615"/>
      <c r="CY201" s="888"/>
      <c r="CZ201" s="102"/>
      <c r="DA201" s="615"/>
      <c r="DB201" s="615"/>
      <c r="DC201" s="615"/>
      <c r="DD201" s="615"/>
      <c r="DE201" s="888"/>
      <c r="DF201" s="102"/>
      <c r="DG201" s="615"/>
      <c r="DH201" s="615"/>
      <c r="DI201" s="615"/>
      <c r="DJ201" s="615"/>
      <c r="DK201" s="888"/>
      <c r="DL201" s="102"/>
      <c r="DM201" s="615"/>
      <c r="DN201" s="615"/>
      <c r="DO201" s="615"/>
      <c r="DP201" s="615"/>
      <c r="DQ201" s="888"/>
      <c r="DR201" s="102"/>
      <c r="DS201" s="615"/>
      <c r="DT201" s="615"/>
      <c r="DU201" s="615"/>
      <c r="DV201" s="615"/>
      <c r="DW201" s="888"/>
      <c r="DX201" s="102"/>
      <c r="DY201" s="615"/>
      <c r="DZ201" s="615"/>
      <c r="EA201" s="615"/>
      <c r="EB201" s="615"/>
      <c r="EC201" s="888"/>
      <c r="ED201" s="102"/>
      <c r="EE201" s="615"/>
      <c r="EF201" s="615"/>
      <c r="EG201" s="615"/>
      <c r="EH201" s="615"/>
      <c r="EI201" s="888"/>
      <c r="EJ201" s="102"/>
      <c r="EK201" s="615"/>
      <c r="EL201" s="615"/>
      <c r="EM201" s="615"/>
      <c r="EN201" s="615"/>
      <c r="EO201" s="888"/>
      <c r="EP201" s="102"/>
      <c r="EQ201" s="615"/>
      <c r="ER201" s="615"/>
      <c r="ES201" s="615"/>
      <c r="ET201" s="615"/>
      <c r="EU201" s="888"/>
      <c r="EV201" s="102"/>
      <c r="EW201" s="615"/>
      <c r="EX201" s="615"/>
      <c r="EY201" s="615"/>
      <c r="EZ201" s="615"/>
      <c r="FA201" s="888"/>
      <c r="FB201" s="102"/>
      <c r="FC201" s="615"/>
      <c r="FD201" s="615"/>
      <c r="FE201" s="615"/>
      <c r="FF201" s="615"/>
      <c r="FG201" s="888"/>
      <c r="FH201" s="102"/>
      <c r="FI201" s="615"/>
      <c r="FJ201" s="615"/>
      <c r="FK201" s="615"/>
      <c r="FL201" s="615"/>
      <c r="FM201" s="888"/>
      <c r="FQ201"/>
      <c r="FR201"/>
      <c r="FS201"/>
      <c r="FT201"/>
      <c r="FU201"/>
      <c r="FV201"/>
      <c r="GB201" s="24"/>
      <c r="GC201" s="24"/>
      <c r="GD201" s="24"/>
      <c r="GE201" s="24"/>
      <c r="GF201" s="24"/>
      <c r="GG201" s="24"/>
      <c r="GH201" s="24"/>
      <c r="GI201" s="24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</row>
    <row r="202" spans="1:274" s="32" customFormat="1" ht="12.75" customHeight="1" x14ac:dyDescent="0.2">
      <c r="A202" s="1890" t="s">
        <v>1289</v>
      </c>
      <c r="B202" s="102"/>
      <c r="C202" s="102"/>
      <c r="D202" s="615"/>
      <c r="E202" s="615"/>
      <c r="F202" s="615"/>
      <c r="G202" s="615"/>
      <c r="H202" s="615"/>
      <c r="I202" s="615"/>
      <c r="J202" s="615"/>
      <c r="K202" s="615"/>
      <c r="L202" s="615"/>
      <c r="M202" s="615"/>
      <c r="N202" s="102"/>
      <c r="O202" s="102"/>
      <c r="P202" s="102"/>
      <c r="Q202" s="102"/>
      <c r="R202" s="102"/>
      <c r="S202" s="615"/>
      <c r="T202" s="102"/>
      <c r="U202" s="615"/>
      <c r="V202" s="615"/>
      <c r="W202" s="615"/>
      <c r="X202" s="615"/>
      <c r="Y202" s="615"/>
      <c r="Z202" s="102"/>
      <c r="AA202" s="615"/>
      <c r="AB202" s="615"/>
      <c r="AC202" s="615"/>
      <c r="AD202" s="615"/>
      <c r="AE202" s="615"/>
      <c r="AF202" s="102"/>
      <c r="AG202" s="615"/>
      <c r="AH202" s="615"/>
      <c r="AI202" s="615"/>
      <c r="AJ202" s="615"/>
      <c r="AK202" s="615"/>
      <c r="AL202" s="102"/>
      <c r="AM202" s="615"/>
      <c r="AN202" s="615"/>
      <c r="AO202" s="615"/>
      <c r="AP202" s="615"/>
      <c r="AQ202" s="615"/>
      <c r="AR202" s="102"/>
      <c r="AS202" s="615"/>
      <c r="AT202" s="615"/>
      <c r="AU202" s="615"/>
      <c r="AV202" s="615"/>
      <c r="AW202" s="615"/>
      <c r="AX202" s="102"/>
      <c r="AY202" s="615"/>
      <c r="AZ202" s="615"/>
      <c r="BA202" s="615"/>
      <c r="BB202" s="615"/>
      <c r="BC202" s="615"/>
      <c r="BD202" s="102"/>
      <c r="BE202" s="615"/>
      <c r="BF202" s="615"/>
      <c r="BG202" s="615"/>
      <c r="BH202" s="615"/>
      <c r="BI202" s="615"/>
      <c r="BJ202" s="102"/>
      <c r="BK202" s="615"/>
      <c r="BL202" s="615"/>
      <c r="BM202" s="615"/>
      <c r="BN202" s="615"/>
      <c r="BO202" s="615"/>
      <c r="BP202" s="102"/>
      <c r="BQ202" s="615"/>
      <c r="BR202" s="615"/>
      <c r="BS202" s="615"/>
      <c r="BT202" s="615"/>
      <c r="BU202" s="615"/>
      <c r="BV202" s="102"/>
      <c r="BW202" s="615"/>
      <c r="BX202" s="615"/>
      <c r="BY202" s="615"/>
      <c r="BZ202" s="615"/>
      <c r="CA202" s="615"/>
      <c r="CB202" s="102"/>
      <c r="CC202" s="615"/>
      <c r="CD202" s="615"/>
      <c r="CE202" s="615"/>
      <c r="CF202" s="615"/>
      <c r="CG202" s="888"/>
      <c r="CH202" s="102"/>
      <c r="CI202" s="615"/>
      <c r="CJ202" s="615"/>
      <c r="CK202" s="615"/>
      <c r="CL202" s="615"/>
      <c r="CM202" s="888"/>
      <c r="CN202" s="102"/>
      <c r="CO202" s="615"/>
      <c r="CP202" s="615"/>
      <c r="CQ202" s="615"/>
      <c r="CR202" s="615"/>
      <c r="CS202" s="888"/>
      <c r="CT202" s="102"/>
      <c r="CU202" s="615"/>
      <c r="CV202" s="615"/>
      <c r="CW202" s="615"/>
      <c r="CX202" s="615"/>
      <c r="CY202" s="888"/>
      <c r="CZ202" s="102"/>
      <c r="DA202" s="615"/>
      <c r="DB202" s="615"/>
      <c r="DC202" s="615"/>
      <c r="DD202" s="615"/>
      <c r="DE202" s="888"/>
      <c r="DF202" s="102"/>
      <c r="DG202" s="615"/>
      <c r="DH202" s="615"/>
      <c r="DI202" s="615"/>
      <c r="DJ202" s="615"/>
      <c r="DK202" s="888"/>
      <c r="DL202" s="102"/>
      <c r="DM202" s="615"/>
      <c r="DN202" s="615"/>
      <c r="DO202" s="615"/>
      <c r="DP202" s="615"/>
      <c r="DQ202" s="888"/>
      <c r="DR202" s="102"/>
      <c r="DS202" s="615"/>
      <c r="DT202" s="615"/>
      <c r="DU202" s="615"/>
      <c r="DV202" s="615"/>
      <c r="DW202" s="888"/>
      <c r="DX202" s="102"/>
      <c r="DY202" s="615"/>
      <c r="DZ202" s="615"/>
      <c r="EA202" s="615"/>
      <c r="EB202" s="615"/>
      <c r="EC202" s="888"/>
      <c r="ED202" s="102"/>
      <c r="EE202" s="615"/>
      <c r="EF202" s="615"/>
      <c r="EG202" s="615"/>
      <c r="EH202" s="615"/>
      <c r="EI202" s="888"/>
      <c r="EJ202" s="102"/>
      <c r="EK202" s="615"/>
      <c r="EL202" s="615"/>
      <c r="EM202" s="615"/>
      <c r="EN202" s="615"/>
      <c r="EO202" s="888"/>
      <c r="EP202" s="102"/>
      <c r="EQ202" s="615"/>
      <c r="ER202" s="615"/>
      <c r="ES202" s="615"/>
      <c r="ET202" s="615"/>
      <c r="EU202" s="888"/>
      <c r="EV202" s="102"/>
      <c r="EW202" s="615"/>
      <c r="EX202" s="615"/>
      <c r="EY202" s="615"/>
      <c r="EZ202" s="615"/>
      <c r="FA202" s="888"/>
      <c r="FB202" s="102"/>
      <c r="FC202" s="615"/>
      <c r="FD202" s="615"/>
      <c r="FE202" s="615"/>
      <c r="FF202" s="615"/>
      <c r="FG202" s="888"/>
      <c r="FH202" s="102"/>
      <c r="FI202" s="615"/>
      <c r="FJ202" s="615"/>
      <c r="FK202" s="615"/>
      <c r="FL202" s="615"/>
      <c r="FM202" s="888"/>
      <c r="FQ202"/>
      <c r="FR202"/>
      <c r="FS202"/>
      <c r="FT202"/>
      <c r="FU202"/>
      <c r="FV202"/>
      <c r="GB202" s="24"/>
      <c r="GC202" s="24"/>
      <c r="GD202" s="24"/>
      <c r="GE202" s="24"/>
      <c r="GF202" s="24"/>
      <c r="GG202" s="24"/>
      <c r="GH202" s="24"/>
      <c r="GI202" s="24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</row>
    <row r="203" spans="1:274" s="32" customFormat="1" ht="12.75" customHeight="1" x14ac:dyDescent="0.2">
      <c r="A203" s="1888" t="s">
        <v>1292</v>
      </c>
      <c r="B203" s="102"/>
      <c r="C203" s="102"/>
      <c r="D203" s="615"/>
      <c r="E203" s="615"/>
      <c r="F203" s="615"/>
      <c r="G203" s="615"/>
      <c r="H203" s="615"/>
      <c r="I203" s="615"/>
      <c r="J203" s="615"/>
      <c r="K203" s="615"/>
      <c r="L203" s="615"/>
      <c r="M203" s="615"/>
      <c r="N203" s="102"/>
      <c r="O203" s="102"/>
      <c r="P203" s="102"/>
      <c r="Q203" s="102"/>
      <c r="R203" s="102"/>
      <c r="S203" s="615"/>
      <c r="T203" s="102"/>
      <c r="U203" s="615"/>
      <c r="V203" s="615"/>
      <c r="W203" s="615"/>
      <c r="X203" s="615"/>
      <c r="Y203" s="615"/>
      <c r="Z203" s="102"/>
      <c r="AA203" s="615"/>
      <c r="AB203" s="615"/>
      <c r="AC203" s="615"/>
      <c r="AD203" s="615"/>
      <c r="AE203" s="615"/>
      <c r="AF203" s="102"/>
      <c r="AG203" s="615"/>
      <c r="AH203" s="615"/>
      <c r="AI203" s="615"/>
      <c r="AJ203" s="615"/>
      <c r="AK203" s="615"/>
      <c r="AL203" s="102"/>
      <c r="AM203" s="615"/>
      <c r="AN203" s="615"/>
      <c r="AO203" s="615"/>
      <c r="AP203" s="615"/>
      <c r="AQ203" s="615"/>
      <c r="AR203" s="102"/>
      <c r="AS203" s="615"/>
      <c r="AT203" s="615"/>
      <c r="AU203" s="615"/>
      <c r="AV203" s="615"/>
      <c r="AW203" s="615"/>
      <c r="AX203" s="102"/>
      <c r="AY203" s="615"/>
      <c r="AZ203" s="615"/>
      <c r="BA203" s="615"/>
      <c r="BB203" s="615"/>
      <c r="BC203" s="615"/>
      <c r="BD203" s="102"/>
      <c r="BE203" s="615"/>
      <c r="BF203" s="615"/>
      <c r="BG203" s="615"/>
      <c r="BH203" s="615"/>
      <c r="BI203" s="615"/>
      <c r="BJ203" s="102"/>
      <c r="BK203" s="615"/>
      <c r="BL203" s="615"/>
      <c r="BM203" s="615"/>
      <c r="BN203" s="615"/>
      <c r="BO203" s="615"/>
      <c r="BP203" s="102"/>
      <c r="BQ203" s="615"/>
      <c r="BR203" s="615"/>
      <c r="BS203" s="615"/>
      <c r="BT203" s="615"/>
      <c r="BU203" s="615"/>
      <c r="BV203" s="102"/>
      <c r="BW203" s="615"/>
      <c r="BX203" s="615"/>
      <c r="BY203" s="615"/>
      <c r="BZ203" s="615"/>
      <c r="CA203" s="615"/>
      <c r="CB203" s="102"/>
      <c r="CC203" s="615"/>
      <c r="CD203" s="615"/>
      <c r="CE203" s="615"/>
      <c r="CF203" s="615"/>
      <c r="CG203" s="888"/>
      <c r="CH203" s="102"/>
      <c r="CI203" s="615"/>
      <c r="CJ203" s="615"/>
      <c r="CK203" s="615"/>
      <c r="CL203" s="615"/>
      <c r="CM203" s="888"/>
      <c r="CN203" s="102"/>
      <c r="CO203" s="615"/>
      <c r="CP203" s="615"/>
      <c r="CQ203" s="615"/>
      <c r="CR203" s="615"/>
      <c r="CS203" s="888"/>
      <c r="CT203" s="102"/>
      <c r="CU203" s="615"/>
      <c r="CV203" s="615"/>
      <c r="CW203" s="615"/>
      <c r="CX203" s="615"/>
      <c r="CY203" s="888"/>
      <c r="CZ203" s="102"/>
      <c r="DA203" s="615"/>
      <c r="DB203" s="615"/>
      <c r="DC203" s="615"/>
      <c r="DD203" s="615"/>
      <c r="DE203" s="888"/>
      <c r="DF203" s="102"/>
      <c r="DG203" s="615"/>
      <c r="DH203" s="615"/>
      <c r="DI203" s="615"/>
      <c r="DJ203" s="615"/>
      <c r="DK203" s="888"/>
      <c r="DL203" s="102"/>
      <c r="DM203" s="615"/>
      <c r="DN203" s="615"/>
      <c r="DO203" s="615"/>
      <c r="DP203" s="615"/>
      <c r="DQ203" s="888"/>
      <c r="DR203" s="102"/>
      <c r="DS203" s="615"/>
      <c r="DT203" s="615"/>
      <c r="DU203" s="615"/>
      <c r="DV203" s="615"/>
      <c r="DW203" s="888"/>
      <c r="DX203" s="102"/>
      <c r="DY203" s="615"/>
      <c r="DZ203" s="615"/>
      <c r="EA203" s="615"/>
      <c r="EB203" s="615"/>
      <c r="EC203" s="888"/>
      <c r="ED203" s="102"/>
      <c r="EE203" s="615"/>
      <c r="EF203" s="615"/>
      <c r="EG203" s="615"/>
      <c r="EH203" s="615"/>
      <c r="EI203" s="888"/>
      <c r="EJ203" s="102"/>
      <c r="EK203" s="1582">
        <v>0.25</v>
      </c>
      <c r="EL203" s="1582">
        <v>0.2</v>
      </c>
      <c r="EM203" s="1582">
        <v>0.33</v>
      </c>
      <c r="EN203" s="1582">
        <v>0.71</v>
      </c>
      <c r="EO203" s="1581">
        <v>0.38</v>
      </c>
      <c r="EP203" s="102"/>
      <c r="EQ203" s="1582">
        <v>0.8</v>
      </c>
      <c r="ER203" s="1582">
        <v>0.75</v>
      </c>
      <c r="ES203" s="1582">
        <v>0.55000000000000004</v>
      </c>
      <c r="ET203" s="1582">
        <v>0.4</v>
      </c>
      <c r="EU203" s="1581">
        <v>0.6</v>
      </c>
      <c r="EV203" s="1580"/>
      <c r="EW203" s="1582">
        <v>0.28000000000000003</v>
      </c>
      <c r="EX203" s="1582">
        <v>0.21</v>
      </c>
      <c r="EY203" s="1582">
        <v>0.28000000000000003</v>
      </c>
      <c r="EZ203" s="1582"/>
      <c r="FA203" s="1581"/>
      <c r="FB203" s="1580"/>
      <c r="FC203" s="1582"/>
      <c r="FD203" s="1582"/>
      <c r="FE203" s="1582"/>
      <c r="FF203" s="1582"/>
      <c r="FG203" s="1581"/>
      <c r="FH203" s="1580"/>
      <c r="FI203" s="1582"/>
      <c r="FJ203" s="1582"/>
      <c r="FK203" s="1582"/>
      <c r="FL203" s="1582"/>
      <c r="FM203" s="1581"/>
      <c r="FQ203"/>
      <c r="FR203"/>
      <c r="FS203"/>
      <c r="FT203"/>
      <c r="FU203"/>
      <c r="FV203"/>
      <c r="GB203" s="24"/>
      <c r="GC203" s="24"/>
      <c r="GD203" s="24"/>
      <c r="GE203" s="24"/>
      <c r="GF203" s="24"/>
      <c r="GG203" s="24"/>
      <c r="GH203" s="24"/>
      <c r="GI203" s="24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</row>
    <row r="204" spans="1:274" s="32" customFormat="1" ht="12.75" customHeight="1" x14ac:dyDescent="0.2">
      <c r="A204" s="1888" t="s">
        <v>1287</v>
      </c>
      <c r="B204" s="102"/>
      <c r="C204" s="102"/>
      <c r="D204" s="615"/>
      <c r="E204" s="615"/>
      <c r="F204" s="615"/>
      <c r="G204" s="615"/>
      <c r="H204" s="615"/>
      <c r="I204" s="615"/>
      <c r="J204" s="615"/>
      <c r="K204" s="615"/>
      <c r="L204" s="615"/>
      <c r="M204" s="615"/>
      <c r="N204" s="102"/>
      <c r="O204" s="102"/>
      <c r="P204" s="102"/>
      <c r="Q204" s="102"/>
      <c r="R204" s="102"/>
      <c r="S204" s="615"/>
      <c r="T204" s="102"/>
      <c r="U204" s="615"/>
      <c r="V204" s="615"/>
      <c r="W204" s="615"/>
      <c r="X204" s="615"/>
      <c r="Y204" s="615"/>
      <c r="Z204" s="102"/>
      <c r="AA204" s="615"/>
      <c r="AB204" s="615"/>
      <c r="AC204" s="615"/>
      <c r="AD204" s="615"/>
      <c r="AE204" s="615"/>
      <c r="AF204" s="102"/>
      <c r="AG204" s="615"/>
      <c r="AH204" s="615"/>
      <c r="AI204" s="615"/>
      <c r="AJ204" s="615"/>
      <c r="AK204" s="615"/>
      <c r="AL204" s="102"/>
      <c r="AM204" s="615"/>
      <c r="AN204" s="615"/>
      <c r="AO204" s="615"/>
      <c r="AP204" s="615"/>
      <c r="AQ204" s="615"/>
      <c r="AR204" s="102"/>
      <c r="AS204" s="615"/>
      <c r="AT204" s="615"/>
      <c r="AU204" s="615"/>
      <c r="AV204" s="615"/>
      <c r="AW204" s="615"/>
      <c r="AX204" s="102"/>
      <c r="AY204" s="615"/>
      <c r="AZ204" s="615"/>
      <c r="BA204" s="615"/>
      <c r="BB204" s="615"/>
      <c r="BC204" s="615"/>
      <c r="BD204" s="102"/>
      <c r="BE204" s="615"/>
      <c r="BF204" s="615"/>
      <c r="BG204" s="615"/>
      <c r="BH204" s="615"/>
      <c r="BI204" s="615"/>
      <c r="BJ204" s="102"/>
      <c r="BK204" s="615"/>
      <c r="BL204" s="615"/>
      <c r="BM204" s="615"/>
      <c r="BN204" s="615"/>
      <c r="BO204" s="615"/>
      <c r="BP204" s="102"/>
      <c r="BQ204" s="615"/>
      <c r="BR204" s="615"/>
      <c r="BS204" s="615"/>
      <c r="BT204" s="615"/>
      <c r="BU204" s="615"/>
      <c r="BV204" s="102"/>
      <c r="BW204" s="615"/>
      <c r="BX204" s="615"/>
      <c r="BY204" s="615"/>
      <c r="BZ204" s="615"/>
      <c r="CA204" s="615"/>
      <c r="CB204" s="102"/>
      <c r="CC204" s="615"/>
      <c r="CD204" s="615"/>
      <c r="CE204" s="615"/>
      <c r="CF204" s="615"/>
      <c r="CG204" s="888"/>
      <c r="CH204" s="102"/>
      <c r="CI204" s="615"/>
      <c r="CJ204" s="615"/>
      <c r="CK204" s="615"/>
      <c r="CL204" s="615"/>
      <c r="CM204" s="888"/>
      <c r="CN204" s="102"/>
      <c r="CO204" s="615"/>
      <c r="CP204" s="615"/>
      <c r="CQ204" s="615"/>
      <c r="CR204" s="615"/>
      <c r="CS204" s="888"/>
      <c r="CT204" s="102"/>
      <c r="CU204" s="615"/>
      <c r="CV204" s="615"/>
      <c r="CW204" s="615"/>
      <c r="CX204" s="615"/>
      <c r="CY204" s="888"/>
      <c r="CZ204" s="102"/>
      <c r="DA204" s="615"/>
      <c r="DB204" s="615"/>
      <c r="DC204" s="615"/>
      <c r="DD204" s="615"/>
      <c r="DE204" s="888"/>
      <c r="DF204" s="102"/>
      <c r="DG204" s="615"/>
      <c r="DH204" s="615"/>
      <c r="DI204" s="615"/>
      <c r="DJ204" s="615"/>
      <c r="DK204" s="888"/>
      <c r="DL204" s="102"/>
      <c r="DM204" s="615"/>
      <c r="DN204" s="615"/>
      <c r="DO204" s="615"/>
      <c r="DP204" s="615"/>
      <c r="DQ204" s="888"/>
      <c r="DR204" s="102"/>
      <c r="DS204" s="615"/>
      <c r="DT204" s="615"/>
      <c r="DU204" s="615"/>
      <c r="DV204" s="615"/>
      <c r="DW204" s="888"/>
      <c r="DX204" s="102"/>
      <c r="DY204" s="615"/>
      <c r="DZ204" s="615"/>
      <c r="EA204" s="615"/>
      <c r="EB204" s="615"/>
      <c r="EC204" s="888"/>
      <c r="ED204" s="102"/>
      <c r="EE204" s="615"/>
      <c r="EF204" s="615"/>
      <c r="EG204" s="615"/>
      <c r="EH204" s="615"/>
      <c r="EI204" s="888"/>
      <c r="EJ204" s="102"/>
      <c r="EK204" s="1582">
        <v>-0.05</v>
      </c>
      <c r="EL204" s="1582">
        <v>-7.0000000000000007E-2</v>
      </c>
      <c r="EM204" s="1582">
        <v>-0.03</v>
      </c>
      <c r="EN204" s="1582">
        <v>-0.02</v>
      </c>
      <c r="EO204" s="1581">
        <v>-0.04</v>
      </c>
      <c r="EP204" s="102"/>
      <c r="EQ204" s="1582">
        <v>0.01</v>
      </c>
      <c r="ER204" s="1582">
        <v>-0.01</v>
      </c>
      <c r="ES204" s="1582">
        <v>-0.01</v>
      </c>
      <c r="ET204" s="1582">
        <v>0.03</v>
      </c>
      <c r="EU204" s="1581">
        <v>0.01</v>
      </c>
      <c r="EV204" s="1580"/>
      <c r="EW204" s="1582">
        <v>0.02</v>
      </c>
      <c r="EX204" s="1582">
        <v>0.05</v>
      </c>
      <c r="EY204" s="1582">
        <v>7.0000000000000007E-2</v>
      </c>
      <c r="EZ204" s="1582"/>
      <c r="FA204" s="1581"/>
      <c r="FB204" s="1580"/>
      <c r="FC204" s="1582"/>
      <c r="FD204" s="1582"/>
      <c r="FE204" s="1582"/>
      <c r="FF204" s="1582"/>
      <c r="FG204" s="1581"/>
      <c r="FH204" s="1580"/>
      <c r="FI204" s="1582"/>
      <c r="FJ204" s="1582"/>
      <c r="FK204" s="1582"/>
      <c r="FL204" s="1582"/>
      <c r="FM204" s="1581"/>
      <c r="FQ204"/>
      <c r="FR204"/>
      <c r="FS204"/>
      <c r="FT204"/>
      <c r="FU204"/>
      <c r="FV204"/>
      <c r="GB204" s="24"/>
      <c r="GC204" s="24"/>
      <c r="GD204" s="24"/>
      <c r="GE204" s="24"/>
      <c r="GF204" s="24"/>
      <c r="GG204" s="24"/>
      <c r="GH204" s="24"/>
      <c r="GI204" s="2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</row>
    <row r="205" spans="1:274" s="32" customFormat="1" ht="12.75" customHeight="1" x14ac:dyDescent="0.2">
      <c r="A205" s="894" t="s">
        <v>1288</v>
      </c>
      <c r="B205" s="102"/>
      <c r="C205" s="102"/>
      <c r="D205" s="615"/>
      <c r="E205" s="615"/>
      <c r="F205" s="615"/>
      <c r="G205" s="615"/>
      <c r="H205" s="615"/>
      <c r="I205" s="615"/>
      <c r="J205" s="615"/>
      <c r="K205" s="615"/>
      <c r="L205" s="615"/>
      <c r="M205" s="615"/>
      <c r="N205" s="102"/>
      <c r="O205" s="102"/>
      <c r="P205" s="102"/>
      <c r="Q205" s="102"/>
      <c r="R205" s="102"/>
      <c r="S205" s="615"/>
      <c r="T205" s="102"/>
      <c r="U205" s="615"/>
      <c r="V205" s="615"/>
      <c r="W205" s="615"/>
      <c r="X205" s="615"/>
      <c r="Y205" s="615"/>
      <c r="Z205" s="102"/>
      <c r="AA205" s="615"/>
      <c r="AB205" s="615"/>
      <c r="AC205" s="615"/>
      <c r="AD205" s="615"/>
      <c r="AE205" s="615"/>
      <c r="AF205" s="102"/>
      <c r="AG205" s="615"/>
      <c r="AH205" s="615"/>
      <c r="AI205" s="615"/>
      <c r="AJ205" s="615"/>
      <c r="AK205" s="615"/>
      <c r="AL205" s="102"/>
      <c r="AM205" s="615"/>
      <c r="AN205" s="615"/>
      <c r="AO205" s="615"/>
      <c r="AP205" s="615"/>
      <c r="AQ205" s="615"/>
      <c r="AR205" s="102"/>
      <c r="AS205" s="615"/>
      <c r="AT205" s="615"/>
      <c r="AU205" s="615"/>
      <c r="AV205" s="615"/>
      <c r="AW205" s="615"/>
      <c r="AX205" s="102"/>
      <c r="AY205" s="615"/>
      <c r="AZ205" s="615"/>
      <c r="BA205" s="615"/>
      <c r="BB205" s="615"/>
      <c r="BC205" s="615"/>
      <c r="BD205" s="102"/>
      <c r="BE205" s="615"/>
      <c r="BF205" s="615"/>
      <c r="BG205" s="615"/>
      <c r="BH205" s="615"/>
      <c r="BI205" s="615"/>
      <c r="BJ205" s="102"/>
      <c r="BK205" s="615"/>
      <c r="BL205" s="615"/>
      <c r="BM205" s="615"/>
      <c r="BN205" s="615"/>
      <c r="BO205" s="615"/>
      <c r="BP205" s="102"/>
      <c r="BQ205" s="615"/>
      <c r="BR205" s="615"/>
      <c r="BS205" s="615"/>
      <c r="BT205" s="615"/>
      <c r="BU205" s="615"/>
      <c r="BV205" s="102"/>
      <c r="BW205" s="615"/>
      <c r="BX205" s="615"/>
      <c r="BY205" s="615"/>
      <c r="BZ205" s="615"/>
      <c r="CA205" s="615"/>
      <c r="CB205" s="102"/>
      <c r="CC205" s="615"/>
      <c r="CD205" s="615"/>
      <c r="CE205" s="615"/>
      <c r="CF205" s="615"/>
      <c r="CG205" s="888"/>
      <c r="CH205" s="102"/>
      <c r="CI205" s="615"/>
      <c r="CJ205" s="615"/>
      <c r="CK205" s="615"/>
      <c r="CL205" s="615"/>
      <c r="CM205" s="888"/>
      <c r="CN205" s="102"/>
      <c r="CO205" s="615"/>
      <c r="CP205" s="615"/>
      <c r="CQ205" s="615"/>
      <c r="CR205" s="615"/>
      <c r="CS205" s="888"/>
      <c r="CT205" s="102"/>
      <c r="CU205" s="615"/>
      <c r="CV205" s="615"/>
      <c r="CW205" s="615"/>
      <c r="CX205" s="615"/>
      <c r="CY205" s="888"/>
      <c r="CZ205" s="102"/>
      <c r="DA205" s="615"/>
      <c r="DB205" s="615"/>
      <c r="DC205" s="615"/>
      <c r="DD205" s="615"/>
      <c r="DE205" s="888"/>
      <c r="DF205" s="102"/>
      <c r="DG205" s="615"/>
      <c r="DH205" s="615"/>
      <c r="DI205" s="615"/>
      <c r="DJ205" s="615"/>
      <c r="DK205" s="888"/>
      <c r="DL205" s="102"/>
      <c r="DM205" s="615"/>
      <c r="DN205" s="615"/>
      <c r="DO205" s="615"/>
      <c r="DP205" s="615"/>
      <c r="DQ205" s="888"/>
      <c r="DR205" s="102"/>
      <c r="DS205" s="615"/>
      <c r="DT205" s="615"/>
      <c r="DU205" s="615"/>
      <c r="DV205" s="615"/>
      <c r="DW205" s="888"/>
      <c r="DX205" s="102"/>
      <c r="DY205" s="615"/>
      <c r="DZ205" s="615"/>
      <c r="EA205" s="615"/>
      <c r="EB205" s="615"/>
      <c r="EC205" s="888"/>
      <c r="ED205" s="102"/>
      <c r="EE205" s="615"/>
      <c r="EF205" s="615"/>
      <c r="EG205" s="615"/>
      <c r="EH205" s="615"/>
      <c r="EI205" s="888"/>
      <c r="EJ205" s="102"/>
      <c r="EK205" s="1582">
        <v>-0.04</v>
      </c>
      <c r="EL205" s="1582">
        <v>-0.06</v>
      </c>
      <c r="EM205" s="1582">
        <v>-0.02</v>
      </c>
      <c r="EN205" s="1582">
        <v>0</v>
      </c>
      <c r="EO205" s="1581">
        <v>-0.03</v>
      </c>
      <c r="EP205" s="102"/>
      <c r="EQ205" s="1582">
        <v>0.05</v>
      </c>
      <c r="ER205" s="1582">
        <v>0.02</v>
      </c>
      <c r="ES205" s="1582">
        <v>0.02</v>
      </c>
      <c r="ET205" s="1582">
        <v>0.05</v>
      </c>
      <c r="EU205" s="1581">
        <v>0.03</v>
      </c>
      <c r="EV205" s="1580"/>
      <c r="EW205" s="1582">
        <v>0.04</v>
      </c>
      <c r="EX205" s="1582">
        <v>0.06</v>
      </c>
      <c r="EY205" s="1582">
        <v>0.08</v>
      </c>
      <c r="EZ205" s="1582"/>
      <c r="FA205" s="1581"/>
      <c r="FB205" s="1580"/>
      <c r="FC205" s="1582"/>
      <c r="FD205" s="1582"/>
      <c r="FE205" s="1582"/>
      <c r="FF205" s="1582"/>
      <c r="FG205" s="1581"/>
      <c r="FH205" s="1580"/>
      <c r="FI205" s="1582"/>
      <c r="FJ205" s="1582"/>
      <c r="FK205" s="1582"/>
      <c r="FL205" s="1582"/>
      <c r="FM205" s="1581"/>
      <c r="FQ205"/>
      <c r="FR205"/>
      <c r="FS205"/>
      <c r="FT205"/>
      <c r="FU205"/>
      <c r="FV205"/>
      <c r="GB205" s="24"/>
      <c r="GC205" s="24"/>
      <c r="GD205" s="24"/>
      <c r="GE205" s="24"/>
      <c r="GF205" s="24"/>
      <c r="GG205" s="24"/>
      <c r="GH205" s="24"/>
      <c r="GI205" s="24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</row>
    <row r="206" spans="1:274" s="32" customFormat="1" ht="12.75" customHeight="1" x14ac:dyDescent="0.2">
      <c r="A206" s="1888"/>
      <c r="B206" s="102"/>
      <c r="C206" s="102"/>
      <c r="D206" s="615"/>
      <c r="E206" s="615"/>
      <c r="F206" s="615"/>
      <c r="G206" s="615"/>
      <c r="H206" s="615"/>
      <c r="I206" s="615"/>
      <c r="J206" s="615"/>
      <c r="K206" s="615"/>
      <c r="L206" s="615"/>
      <c r="M206" s="615"/>
      <c r="N206" s="102"/>
      <c r="O206" s="102"/>
      <c r="P206" s="102"/>
      <c r="Q206" s="102"/>
      <c r="R206" s="102"/>
      <c r="S206" s="615"/>
      <c r="T206" s="102"/>
      <c r="U206" s="615"/>
      <c r="V206" s="615"/>
      <c r="W206" s="615"/>
      <c r="X206" s="615"/>
      <c r="Y206" s="615"/>
      <c r="Z206" s="102"/>
      <c r="AA206" s="615"/>
      <c r="AB206" s="615"/>
      <c r="AC206" s="615"/>
      <c r="AD206" s="615"/>
      <c r="AE206" s="615"/>
      <c r="AF206" s="102"/>
      <c r="AG206" s="615"/>
      <c r="AH206" s="615"/>
      <c r="AI206" s="615"/>
      <c r="AJ206" s="615"/>
      <c r="AK206" s="615"/>
      <c r="AL206" s="102"/>
      <c r="AM206" s="615"/>
      <c r="AN206" s="615"/>
      <c r="AO206" s="615"/>
      <c r="AP206" s="615"/>
      <c r="AQ206" s="615"/>
      <c r="AR206" s="102"/>
      <c r="AS206" s="615"/>
      <c r="AT206" s="615"/>
      <c r="AU206" s="615"/>
      <c r="AV206" s="615"/>
      <c r="AW206" s="615"/>
      <c r="AX206" s="102"/>
      <c r="AY206" s="615"/>
      <c r="AZ206" s="615"/>
      <c r="BA206" s="615"/>
      <c r="BB206" s="615"/>
      <c r="BC206" s="615"/>
      <c r="BD206" s="102"/>
      <c r="BE206" s="615"/>
      <c r="BF206" s="615"/>
      <c r="BG206" s="615"/>
      <c r="BH206" s="615"/>
      <c r="BI206" s="615"/>
      <c r="BJ206" s="102"/>
      <c r="BK206" s="615"/>
      <c r="BL206" s="615"/>
      <c r="BM206" s="615"/>
      <c r="BN206" s="615"/>
      <c r="BO206" s="615"/>
      <c r="BP206" s="102"/>
      <c r="BQ206" s="615"/>
      <c r="BR206" s="615"/>
      <c r="BS206" s="615"/>
      <c r="BT206" s="615"/>
      <c r="BU206" s="615"/>
      <c r="BV206" s="102"/>
      <c r="BW206" s="615"/>
      <c r="BX206" s="615"/>
      <c r="BY206" s="615"/>
      <c r="BZ206" s="615"/>
      <c r="CA206" s="615"/>
      <c r="CB206" s="102"/>
      <c r="CC206" s="615"/>
      <c r="CD206" s="615"/>
      <c r="CE206" s="615"/>
      <c r="CF206" s="615"/>
      <c r="CG206" s="888"/>
      <c r="CH206" s="102"/>
      <c r="CI206" s="615"/>
      <c r="CJ206" s="615"/>
      <c r="CK206" s="615"/>
      <c r="CL206" s="615"/>
      <c r="CM206" s="888"/>
      <c r="CN206" s="102"/>
      <c r="CO206" s="615"/>
      <c r="CP206" s="615"/>
      <c r="CQ206" s="615"/>
      <c r="CR206" s="615"/>
      <c r="CS206" s="888"/>
      <c r="CT206" s="102"/>
      <c r="CU206" s="615"/>
      <c r="CV206" s="615"/>
      <c r="CW206" s="615"/>
      <c r="CX206" s="615"/>
      <c r="CY206" s="888"/>
      <c r="CZ206" s="102"/>
      <c r="DA206" s="615"/>
      <c r="DB206" s="615"/>
      <c r="DC206" s="615"/>
      <c r="DD206" s="615"/>
      <c r="DE206" s="888"/>
      <c r="DF206" s="102"/>
      <c r="DG206" s="615"/>
      <c r="DH206" s="615"/>
      <c r="DI206" s="615"/>
      <c r="DJ206" s="615"/>
      <c r="DK206" s="888"/>
      <c r="DL206" s="102"/>
      <c r="DM206" s="615"/>
      <c r="DN206" s="615"/>
      <c r="DO206" s="615"/>
      <c r="DP206" s="615"/>
      <c r="DQ206" s="888"/>
      <c r="DR206" s="102"/>
      <c r="DS206" s="615"/>
      <c r="DT206" s="615"/>
      <c r="DU206" s="615"/>
      <c r="DV206" s="615"/>
      <c r="DW206" s="888"/>
      <c r="DX206" s="102"/>
      <c r="DY206" s="615"/>
      <c r="DZ206" s="615"/>
      <c r="EA206" s="615"/>
      <c r="EB206" s="615"/>
      <c r="EC206" s="888"/>
      <c r="ED206" s="102"/>
      <c r="EE206" s="615"/>
      <c r="EF206" s="615"/>
      <c r="EG206" s="615"/>
      <c r="EH206" s="615"/>
      <c r="EI206" s="888"/>
      <c r="EJ206" s="102"/>
      <c r="EK206" s="1582"/>
      <c r="EL206" s="1582"/>
      <c r="EM206" s="1582"/>
      <c r="EN206" s="1582"/>
      <c r="EO206" s="1581"/>
      <c r="EP206" s="102"/>
      <c r="EQ206" s="1582"/>
      <c r="ER206" s="1582"/>
      <c r="ES206" s="1582"/>
      <c r="ET206" s="1582"/>
      <c r="EU206" s="1581"/>
      <c r="EV206" s="1580"/>
      <c r="EW206" s="1582"/>
      <c r="EX206" s="1582"/>
      <c r="EY206" s="1582"/>
      <c r="EZ206" s="1582"/>
      <c r="FA206" s="1581"/>
      <c r="FB206" s="1580"/>
      <c r="FC206" s="1582"/>
      <c r="FD206" s="1582"/>
      <c r="FE206" s="1582"/>
      <c r="FF206" s="1582"/>
      <c r="FG206" s="1581"/>
      <c r="FH206" s="1580"/>
      <c r="FI206" s="1582"/>
      <c r="FJ206" s="1582"/>
      <c r="FK206" s="1582"/>
      <c r="FL206" s="1582"/>
      <c r="FM206" s="1581"/>
      <c r="FQ206"/>
      <c r="FR206"/>
      <c r="FS206"/>
      <c r="FT206"/>
      <c r="FU206"/>
      <c r="FV206"/>
      <c r="GB206" s="24"/>
      <c r="GC206" s="24"/>
      <c r="GD206" s="24"/>
      <c r="GE206" s="24"/>
      <c r="GF206" s="24"/>
      <c r="GG206" s="24"/>
      <c r="GH206" s="24"/>
      <c r="GI206" s="24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</row>
    <row r="207" spans="1:274" s="32" customFormat="1" ht="12.75" customHeight="1" x14ac:dyDescent="0.2">
      <c r="A207" s="1890" t="s">
        <v>1290</v>
      </c>
      <c r="B207" s="102"/>
      <c r="C207" s="102"/>
      <c r="D207" s="615"/>
      <c r="E207" s="615"/>
      <c r="F207" s="615"/>
      <c r="G207" s="615"/>
      <c r="H207" s="615"/>
      <c r="I207" s="615"/>
      <c r="J207" s="615"/>
      <c r="K207" s="615"/>
      <c r="L207" s="615"/>
      <c r="M207" s="615"/>
      <c r="N207" s="102"/>
      <c r="O207" s="102"/>
      <c r="P207" s="102"/>
      <c r="Q207" s="102"/>
      <c r="R207" s="102"/>
      <c r="S207" s="615"/>
      <c r="T207" s="102"/>
      <c r="U207" s="615"/>
      <c r="V207" s="615"/>
      <c r="W207" s="615"/>
      <c r="X207" s="615"/>
      <c r="Y207" s="615"/>
      <c r="Z207" s="102"/>
      <c r="AA207" s="615"/>
      <c r="AB207" s="615"/>
      <c r="AC207" s="615"/>
      <c r="AD207" s="615"/>
      <c r="AE207" s="615"/>
      <c r="AF207" s="102"/>
      <c r="AG207" s="615"/>
      <c r="AH207" s="615"/>
      <c r="AI207" s="615"/>
      <c r="AJ207" s="615"/>
      <c r="AK207" s="615"/>
      <c r="AL207" s="102"/>
      <c r="AM207" s="615"/>
      <c r="AN207" s="615"/>
      <c r="AO207" s="615"/>
      <c r="AP207" s="615"/>
      <c r="AQ207" s="615"/>
      <c r="AR207" s="102"/>
      <c r="AS207" s="615"/>
      <c r="AT207" s="615"/>
      <c r="AU207" s="615"/>
      <c r="AV207" s="615"/>
      <c r="AW207" s="615"/>
      <c r="AX207" s="102"/>
      <c r="AY207" s="615"/>
      <c r="AZ207" s="615"/>
      <c r="BA207" s="615"/>
      <c r="BB207" s="615"/>
      <c r="BC207" s="615"/>
      <c r="BD207" s="102"/>
      <c r="BE207" s="615"/>
      <c r="BF207" s="615"/>
      <c r="BG207" s="615"/>
      <c r="BH207" s="615"/>
      <c r="BI207" s="615"/>
      <c r="BJ207" s="102"/>
      <c r="BK207" s="615"/>
      <c r="BL207" s="615"/>
      <c r="BM207" s="615"/>
      <c r="BN207" s="615"/>
      <c r="BO207" s="615"/>
      <c r="BP207" s="102"/>
      <c r="BQ207" s="615"/>
      <c r="BR207" s="615"/>
      <c r="BS207" s="615"/>
      <c r="BT207" s="615"/>
      <c r="BU207" s="615"/>
      <c r="BV207" s="102"/>
      <c r="BW207" s="615"/>
      <c r="BX207" s="615"/>
      <c r="BY207" s="615"/>
      <c r="BZ207" s="615"/>
      <c r="CA207" s="615"/>
      <c r="CB207" s="102"/>
      <c r="CC207" s="615"/>
      <c r="CD207" s="615"/>
      <c r="CE207" s="615"/>
      <c r="CF207" s="615"/>
      <c r="CG207" s="888"/>
      <c r="CH207" s="102"/>
      <c r="CI207" s="615"/>
      <c r="CJ207" s="615"/>
      <c r="CK207" s="615"/>
      <c r="CL207" s="615"/>
      <c r="CM207" s="888"/>
      <c r="CN207" s="102"/>
      <c r="CO207" s="615"/>
      <c r="CP207" s="615"/>
      <c r="CQ207" s="615"/>
      <c r="CR207" s="615"/>
      <c r="CS207" s="888"/>
      <c r="CT207" s="102"/>
      <c r="CU207" s="615"/>
      <c r="CV207" s="615"/>
      <c r="CW207" s="615"/>
      <c r="CX207" s="615"/>
      <c r="CY207" s="888"/>
      <c r="CZ207" s="102"/>
      <c r="DA207" s="615"/>
      <c r="DB207" s="615"/>
      <c r="DC207" s="615"/>
      <c r="DD207" s="615"/>
      <c r="DE207" s="888"/>
      <c r="DF207" s="102"/>
      <c r="DG207" s="615"/>
      <c r="DH207" s="615"/>
      <c r="DI207" s="615"/>
      <c r="DJ207" s="615"/>
      <c r="DK207" s="888"/>
      <c r="DL207" s="102"/>
      <c r="DM207" s="615"/>
      <c r="DN207" s="615"/>
      <c r="DO207" s="615"/>
      <c r="DP207" s="615"/>
      <c r="DQ207" s="888"/>
      <c r="DR207" s="102"/>
      <c r="DS207" s="615"/>
      <c r="DT207" s="615"/>
      <c r="DU207" s="615"/>
      <c r="DV207" s="615"/>
      <c r="DW207" s="888"/>
      <c r="DX207" s="102"/>
      <c r="DY207" s="615"/>
      <c r="DZ207" s="615"/>
      <c r="EA207" s="615"/>
      <c r="EB207" s="615"/>
      <c r="EC207" s="888"/>
      <c r="ED207" s="102"/>
      <c r="EE207" s="615"/>
      <c r="EF207" s="615"/>
      <c r="EG207" s="615"/>
      <c r="EH207" s="615"/>
      <c r="EI207" s="888"/>
      <c r="EJ207" s="102"/>
      <c r="EK207" s="1582"/>
      <c r="EL207" s="1582"/>
      <c r="EM207" s="1582"/>
      <c r="EN207" s="1582"/>
      <c r="EO207" s="1581"/>
      <c r="EP207" s="102"/>
      <c r="EQ207" s="1582"/>
      <c r="ER207" s="1582"/>
      <c r="ES207" s="1582"/>
      <c r="ET207" s="1582"/>
      <c r="EU207" s="1581"/>
      <c r="EV207" s="1580"/>
      <c r="EW207" s="1582"/>
      <c r="EX207" s="1582"/>
      <c r="EY207" s="1582"/>
      <c r="EZ207" s="1582"/>
      <c r="FA207" s="1581"/>
      <c r="FB207" s="1580"/>
      <c r="FC207" s="1582"/>
      <c r="FD207" s="1582"/>
      <c r="FE207" s="1582"/>
      <c r="FF207" s="1582"/>
      <c r="FG207" s="1581"/>
      <c r="FH207" s="1580"/>
      <c r="FI207" s="1582"/>
      <c r="FJ207" s="1582"/>
      <c r="FK207" s="1582"/>
      <c r="FL207" s="1582"/>
      <c r="FM207" s="1581"/>
      <c r="FQ207"/>
      <c r="FR207"/>
      <c r="FS207"/>
      <c r="FT207"/>
      <c r="FU207"/>
      <c r="FV207"/>
      <c r="GB207" s="24"/>
      <c r="GC207" s="24"/>
      <c r="GD207" s="24"/>
      <c r="GE207" s="24"/>
      <c r="GF207" s="24"/>
      <c r="GG207" s="24"/>
      <c r="GH207" s="24"/>
      <c r="GI207" s="24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</row>
    <row r="208" spans="1:274" s="32" customFormat="1" ht="12.75" customHeight="1" x14ac:dyDescent="0.2">
      <c r="A208" s="1888" t="s">
        <v>1292</v>
      </c>
      <c r="B208" s="102"/>
      <c r="C208" s="102"/>
      <c r="D208" s="615"/>
      <c r="E208" s="615"/>
      <c r="F208" s="615"/>
      <c r="G208" s="615"/>
      <c r="H208" s="615"/>
      <c r="I208" s="615"/>
      <c r="J208" s="615"/>
      <c r="K208" s="615"/>
      <c r="L208" s="615"/>
      <c r="M208" s="615"/>
      <c r="N208" s="102"/>
      <c r="O208" s="102"/>
      <c r="P208" s="102"/>
      <c r="Q208" s="102"/>
      <c r="R208" s="102"/>
      <c r="S208" s="615"/>
      <c r="T208" s="102"/>
      <c r="U208" s="615"/>
      <c r="V208" s="615"/>
      <c r="W208" s="615"/>
      <c r="X208" s="615"/>
      <c r="Y208" s="615"/>
      <c r="Z208" s="102"/>
      <c r="AA208" s="615"/>
      <c r="AB208" s="615"/>
      <c r="AC208" s="615"/>
      <c r="AD208" s="615"/>
      <c r="AE208" s="615"/>
      <c r="AF208" s="102"/>
      <c r="AG208" s="615"/>
      <c r="AH208" s="615"/>
      <c r="AI208" s="615"/>
      <c r="AJ208" s="615"/>
      <c r="AK208" s="615"/>
      <c r="AL208" s="102"/>
      <c r="AM208" s="615"/>
      <c r="AN208" s="615"/>
      <c r="AO208" s="615"/>
      <c r="AP208" s="615"/>
      <c r="AQ208" s="615"/>
      <c r="AR208" s="102"/>
      <c r="AS208" s="615"/>
      <c r="AT208" s="615"/>
      <c r="AU208" s="615"/>
      <c r="AV208" s="615"/>
      <c r="AW208" s="615"/>
      <c r="AX208" s="102"/>
      <c r="AY208" s="615"/>
      <c r="AZ208" s="615"/>
      <c r="BA208" s="615"/>
      <c r="BB208" s="615"/>
      <c r="BC208" s="615"/>
      <c r="BD208" s="102"/>
      <c r="BE208" s="615"/>
      <c r="BF208" s="615"/>
      <c r="BG208" s="615"/>
      <c r="BH208" s="615"/>
      <c r="BI208" s="615"/>
      <c r="BJ208" s="102"/>
      <c r="BK208" s="615"/>
      <c r="BL208" s="615"/>
      <c r="BM208" s="615"/>
      <c r="BN208" s="615"/>
      <c r="BO208" s="615"/>
      <c r="BP208" s="102"/>
      <c r="BQ208" s="615"/>
      <c r="BR208" s="615"/>
      <c r="BS208" s="615"/>
      <c r="BT208" s="615"/>
      <c r="BU208" s="615"/>
      <c r="BV208" s="102"/>
      <c r="BW208" s="615"/>
      <c r="BX208" s="615"/>
      <c r="BY208" s="615"/>
      <c r="BZ208" s="615"/>
      <c r="CA208" s="615"/>
      <c r="CB208" s="102"/>
      <c r="CC208" s="615"/>
      <c r="CD208" s="615"/>
      <c r="CE208" s="615"/>
      <c r="CF208" s="615"/>
      <c r="CG208" s="888"/>
      <c r="CH208" s="102"/>
      <c r="CI208" s="615"/>
      <c r="CJ208" s="615"/>
      <c r="CK208" s="615"/>
      <c r="CL208" s="615"/>
      <c r="CM208" s="888"/>
      <c r="CN208" s="102"/>
      <c r="CO208" s="615"/>
      <c r="CP208" s="615"/>
      <c r="CQ208" s="615"/>
      <c r="CR208" s="615"/>
      <c r="CS208" s="888"/>
      <c r="CT208" s="102"/>
      <c r="CU208" s="615"/>
      <c r="CV208" s="615"/>
      <c r="CW208" s="615"/>
      <c r="CX208" s="615"/>
      <c r="CY208" s="888"/>
      <c r="CZ208" s="102"/>
      <c r="DA208" s="615"/>
      <c r="DB208" s="615"/>
      <c r="DC208" s="615"/>
      <c r="DD208" s="615"/>
      <c r="DE208" s="888"/>
      <c r="DF208" s="102"/>
      <c r="DG208" s="615"/>
      <c r="DH208" s="615"/>
      <c r="DI208" s="615"/>
      <c r="DJ208" s="615"/>
      <c r="DK208" s="888"/>
      <c r="DL208" s="102"/>
      <c r="DM208" s="615"/>
      <c r="DN208" s="615"/>
      <c r="DO208" s="615"/>
      <c r="DP208" s="615"/>
      <c r="DQ208" s="888"/>
      <c r="DR208" s="102"/>
      <c r="DS208" s="615"/>
      <c r="DT208" s="615"/>
      <c r="DU208" s="615"/>
      <c r="DV208" s="615"/>
      <c r="DW208" s="888"/>
      <c r="DX208" s="102"/>
      <c r="DY208" s="615"/>
      <c r="DZ208" s="615"/>
      <c r="EA208" s="615"/>
      <c r="EB208" s="615"/>
      <c r="EC208" s="888"/>
      <c r="ED208" s="102"/>
      <c r="EE208" s="615"/>
      <c r="EF208" s="615"/>
      <c r="EG208" s="615"/>
      <c r="EH208" s="615"/>
      <c r="EI208" s="888"/>
      <c r="EJ208" s="102"/>
      <c r="EK208" s="1582">
        <v>0.32</v>
      </c>
      <c r="EL208" s="1582">
        <v>0.26</v>
      </c>
      <c r="EM208" s="1582">
        <v>0.38</v>
      </c>
      <c r="EN208" s="1582">
        <v>0.74</v>
      </c>
      <c r="EO208" s="1581">
        <v>0.44</v>
      </c>
      <c r="EP208" s="102"/>
      <c r="EQ208" s="1582">
        <v>0.84</v>
      </c>
      <c r="ER208" s="1582">
        <v>0.78</v>
      </c>
      <c r="ES208" s="1582">
        <v>0.56999999999999995</v>
      </c>
      <c r="ET208" s="1582">
        <v>0.42</v>
      </c>
      <c r="EU208" s="1581">
        <v>0.62</v>
      </c>
      <c r="EV208" s="1580"/>
      <c r="EW208" s="1582">
        <v>0.27</v>
      </c>
      <c r="EX208" s="1582">
        <v>0.19</v>
      </c>
      <c r="EY208" s="1582">
        <v>0.24</v>
      </c>
      <c r="EZ208" s="1582"/>
      <c r="FA208" s="1581"/>
      <c r="FB208" s="1580"/>
      <c r="FC208" s="1582"/>
      <c r="FD208" s="1582"/>
      <c r="FE208" s="1582"/>
      <c r="FF208" s="1582"/>
      <c r="FG208" s="1581"/>
      <c r="FH208" s="1580"/>
      <c r="FI208" s="1582"/>
      <c r="FJ208" s="1582"/>
      <c r="FK208" s="1582"/>
      <c r="FL208" s="1582"/>
      <c r="FM208" s="1581"/>
      <c r="FQ208"/>
      <c r="FR208"/>
      <c r="FS208"/>
      <c r="FT208"/>
      <c r="FU208"/>
      <c r="FV208"/>
      <c r="GB208" s="24"/>
      <c r="GC208" s="24"/>
      <c r="GD208" s="24"/>
      <c r="GE208" s="24"/>
      <c r="GF208" s="24"/>
      <c r="GG208" s="24"/>
      <c r="GH208" s="24"/>
      <c r="GI208" s="24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</row>
    <row r="209" spans="1:274" s="32" customFormat="1" ht="12.75" customHeight="1" x14ac:dyDescent="0.2">
      <c r="A209" s="1888" t="s">
        <v>1287</v>
      </c>
      <c r="B209" s="102"/>
      <c r="C209" s="102"/>
      <c r="D209" s="615"/>
      <c r="E209" s="615"/>
      <c r="F209" s="615"/>
      <c r="G209" s="615"/>
      <c r="H209" s="615"/>
      <c r="I209" s="615"/>
      <c r="J209" s="615"/>
      <c r="K209" s="615"/>
      <c r="L209" s="615"/>
      <c r="M209" s="615"/>
      <c r="N209" s="102"/>
      <c r="O209" s="102"/>
      <c r="P209" s="102"/>
      <c r="Q209" s="102"/>
      <c r="R209" s="102"/>
      <c r="S209" s="615"/>
      <c r="T209" s="102"/>
      <c r="U209" s="615"/>
      <c r="V209" s="615"/>
      <c r="W209" s="615"/>
      <c r="X209" s="615"/>
      <c r="Y209" s="615"/>
      <c r="Z209" s="102"/>
      <c r="AA209" s="615"/>
      <c r="AB209" s="615"/>
      <c r="AC209" s="615"/>
      <c r="AD209" s="615"/>
      <c r="AE209" s="615"/>
      <c r="AF209" s="102"/>
      <c r="AG209" s="615"/>
      <c r="AH209" s="615"/>
      <c r="AI209" s="615"/>
      <c r="AJ209" s="615"/>
      <c r="AK209" s="615"/>
      <c r="AL209" s="102"/>
      <c r="AM209" s="615"/>
      <c r="AN209" s="615"/>
      <c r="AO209" s="615"/>
      <c r="AP209" s="615"/>
      <c r="AQ209" s="615"/>
      <c r="AR209" s="102"/>
      <c r="AS209" s="615"/>
      <c r="AT209" s="615"/>
      <c r="AU209" s="615"/>
      <c r="AV209" s="615"/>
      <c r="AW209" s="615"/>
      <c r="AX209" s="102"/>
      <c r="AY209" s="615"/>
      <c r="AZ209" s="615"/>
      <c r="BA209" s="615"/>
      <c r="BB209" s="615"/>
      <c r="BC209" s="615"/>
      <c r="BD209" s="102"/>
      <c r="BE209" s="615"/>
      <c r="BF209" s="615"/>
      <c r="BG209" s="615"/>
      <c r="BH209" s="615"/>
      <c r="BI209" s="615"/>
      <c r="BJ209" s="102"/>
      <c r="BK209" s="615"/>
      <c r="BL209" s="615"/>
      <c r="BM209" s="615"/>
      <c r="BN209" s="615"/>
      <c r="BO209" s="615"/>
      <c r="BP209" s="102"/>
      <c r="BQ209" s="615"/>
      <c r="BR209" s="615"/>
      <c r="BS209" s="615"/>
      <c r="BT209" s="615"/>
      <c r="BU209" s="615"/>
      <c r="BV209" s="102"/>
      <c r="BW209" s="615"/>
      <c r="BX209" s="615"/>
      <c r="BY209" s="615"/>
      <c r="BZ209" s="615"/>
      <c r="CA209" s="615"/>
      <c r="CB209" s="102"/>
      <c r="CC209" s="615"/>
      <c r="CD209" s="615"/>
      <c r="CE209" s="615"/>
      <c r="CF209" s="615"/>
      <c r="CG209" s="888"/>
      <c r="CH209" s="102"/>
      <c r="CI209" s="615"/>
      <c r="CJ209" s="615"/>
      <c r="CK209" s="615"/>
      <c r="CL209" s="615"/>
      <c r="CM209" s="888"/>
      <c r="CN209" s="102"/>
      <c r="CO209" s="615"/>
      <c r="CP209" s="615"/>
      <c r="CQ209" s="615"/>
      <c r="CR209" s="615"/>
      <c r="CS209" s="888"/>
      <c r="CT209" s="102"/>
      <c r="CU209" s="615"/>
      <c r="CV209" s="615"/>
      <c r="CW209" s="615"/>
      <c r="CX209" s="615"/>
      <c r="CY209" s="888"/>
      <c r="CZ209" s="102"/>
      <c r="DA209" s="615"/>
      <c r="DB209" s="615"/>
      <c r="DC209" s="615"/>
      <c r="DD209" s="615"/>
      <c r="DE209" s="888"/>
      <c r="DF209" s="102"/>
      <c r="DG209" s="615"/>
      <c r="DH209" s="615"/>
      <c r="DI209" s="615"/>
      <c r="DJ209" s="615"/>
      <c r="DK209" s="888"/>
      <c r="DL209" s="102"/>
      <c r="DM209" s="615"/>
      <c r="DN209" s="615"/>
      <c r="DO209" s="615"/>
      <c r="DP209" s="615"/>
      <c r="DQ209" s="888"/>
      <c r="DR209" s="102"/>
      <c r="DS209" s="615"/>
      <c r="DT209" s="615"/>
      <c r="DU209" s="615"/>
      <c r="DV209" s="615"/>
      <c r="DW209" s="888"/>
      <c r="DX209" s="102"/>
      <c r="DY209" s="615"/>
      <c r="DZ209" s="615"/>
      <c r="EA209" s="615"/>
      <c r="EB209" s="615"/>
      <c r="EC209" s="888"/>
      <c r="ED209" s="102"/>
      <c r="EE209" s="615"/>
      <c r="EF209" s="615"/>
      <c r="EG209" s="615"/>
      <c r="EH209" s="615"/>
      <c r="EI209" s="888"/>
      <c r="EJ209" s="102"/>
      <c r="EK209" s="1582">
        <v>0.03</v>
      </c>
      <c r="EL209" s="1582">
        <v>0</v>
      </c>
      <c r="EM209" s="1582">
        <v>0.01</v>
      </c>
      <c r="EN209" s="1582">
        <v>-0.01</v>
      </c>
      <c r="EO209" s="1581">
        <v>0.01</v>
      </c>
      <c r="EP209" s="102"/>
      <c r="EQ209" s="1582">
        <v>0.02</v>
      </c>
      <c r="ER209" s="1582">
        <v>-0.01</v>
      </c>
      <c r="ES209" s="1582">
        <v>0</v>
      </c>
      <c r="ET209" s="1582">
        <v>0.04</v>
      </c>
      <c r="EU209" s="1581">
        <v>0.01</v>
      </c>
      <c r="EV209" s="1580"/>
      <c r="EW209" s="1582">
        <v>0.01</v>
      </c>
      <c r="EX209" s="1582">
        <v>0.03</v>
      </c>
      <c r="EY209" s="1582">
        <v>0.02</v>
      </c>
      <c r="EZ209" s="1582"/>
      <c r="FA209" s="1581"/>
      <c r="FB209" s="1580"/>
      <c r="FC209" s="1582"/>
      <c r="FD209" s="1582"/>
      <c r="FE209" s="1582"/>
      <c r="FF209" s="1582"/>
      <c r="FG209" s="1581"/>
      <c r="FH209" s="1580"/>
      <c r="FI209" s="1582"/>
      <c r="FJ209" s="1582"/>
      <c r="FK209" s="1582"/>
      <c r="FL209" s="1582"/>
      <c r="FM209" s="1581"/>
      <c r="FQ209"/>
      <c r="FR209"/>
      <c r="FS209"/>
      <c r="FT209"/>
      <c r="FU209"/>
      <c r="FV209"/>
      <c r="GB209" s="24"/>
      <c r="GC209" s="24"/>
      <c r="GD209" s="24"/>
      <c r="GE209" s="24"/>
      <c r="GF209" s="24"/>
      <c r="GG209" s="24"/>
      <c r="GH209" s="24"/>
      <c r="GI209" s="24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</row>
    <row r="210" spans="1:274" s="32" customFormat="1" ht="12.75" customHeight="1" x14ac:dyDescent="0.2">
      <c r="A210" s="894" t="s">
        <v>1288</v>
      </c>
      <c r="B210" s="102"/>
      <c r="C210" s="102"/>
      <c r="D210" s="615"/>
      <c r="E210" s="615"/>
      <c r="F210" s="615"/>
      <c r="G210" s="615"/>
      <c r="H210" s="615"/>
      <c r="I210" s="615"/>
      <c r="J210" s="615"/>
      <c r="K210" s="615"/>
      <c r="L210" s="615"/>
      <c r="M210" s="615"/>
      <c r="N210" s="102"/>
      <c r="O210" s="102"/>
      <c r="P210" s="102"/>
      <c r="Q210" s="102"/>
      <c r="R210" s="102"/>
      <c r="S210" s="615"/>
      <c r="T210" s="102"/>
      <c r="U210" s="615"/>
      <c r="V210" s="615"/>
      <c r="W210" s="615"/>
      <c r="X210" s="615"/>
      <c r="Y210" s="615"/>
      <c r="Z210" s="102"/>
      <c r="AA210" s="615"/>
      <c r="AB210" s="615"/>
      <c r="AC210" s="615"/>
      <c r="AD210" s="615"/>
      <c r="AE210" s="615"/>
      <c r="AF210" s="102"/>
      <c r="AG210" s="615"/>
      <c r="AH210" s="615"/>
      <c r="AI210" s="615"/>
      <c r="AJ210" s="615"/>
      <c r="AK210" s="615"/>
      <c r="AL210" s="102"/>
      <c r="AM210" s="615"/>
      <c r="AN210" s="615"/>
      <c r="AO210" s="615"/>
      <c r="AP210" s="615"/>
      <c r="AQ210" s="615"/>
      <c r="AR210" s="102"/>
      <c r="AS210" s="615"/>
      <c r="AT210" s="615"/>
      <c r="AU210" s="615"/>
      <c r="AV210" s="615"/>
      <c r="AW210" s="615"/>
      <c r="AX210" s="102"/>
      <c r="AY210" s="615"/>
      <c r="AZ210" s="615"/>
      <c r="BA210" s="615"/>
      <c r="BB210" s="615"/>
      <c r="BC210" s="615"/>
      <c r="BD210" s="102"/>
      <c r="BE210" s="615"/>
      <c r="BF210" s="615"/>
      <c r="BG210" s="615"/>
      <c r="BH210" s="615"/>
      <c r="BI210" s="615"/>
      <c r="BJ210" s="102"/>
      <c r="BK210" s="615"/>
      <c r="BL210" s="615"/>
      <c r="BM210" s="615"/>
      <c r="BN210" s="615"/>
      <c r="BO210" s="615"/>
      <c r="BP210" s="102"/>
      <c r="BQ210" s="615"/>
      <c r="BR210" s="615"/>
      <c r="BS210" s="615"/>
      <c r="BT210" s="615"/>
      <c r="BU210" s="615"/>
      <c r="BV210" s="102"/>
      <c r="BW210" s="615"/>
      <c r="BX210" s="615"/>
      <c r="BY210" s="615"/>
      <c r="BZ210" s="615"/>
      <c r="CA210" s="615"/>
      <c r="CB210" s="102"/>
      <c r="CC210" s="615"/>
      <c r="CD210" s="615"/>
      <c r="CE210" s="615"/>
      <c r="CF210" s="615"/>
      <c r="CG210" s="888"/>
      <c r="CH210" s="102"/>
      <c r="CI210" s="615"/>
      <c r="CJ210" s="615"/>
      <c r="CK210" s="615"/>
      <c r="CL210" s="615"/>
      <c r="CM210" s="888"/>
      <c r="CN210" s="102"/>
      <c r="CO210" s="615"/>
      <c r="CP210" s="615"/>
      <c r="CQ210" s="615"/>
      <c r="CR210" s="615"/>
      <c r="CS210" s="888"/>
      <c r="CT210" s="102"/>
      <c r="CU210" s="615"/>
      <c r="CV210" s="615"/>
      <c r="CW210" s="615"/>
      <c r="CX210" s="615"/>
      <c r="CY210" s="888"/>
      <c r="CZ210" s="102"/>
      <c r="DA210" s="615"/>
      <c r="DB210" s="615"/>
      <c r="DC210" s="615"/>
      <c r="DD210" s="615"/>
      <c r="DE210" s="888"/>
      <c r="DF210" s="102"/>
      <c r="DG210" s="615"/>
      <c r="DH210" s="615"/>
      <c r="DI210" s="615"/>
      <c r="DJ210" s="615"/>
      <c r="DK210" s="888"/>
      <c r="DL210" s="102"/>
      <c r="DM210" s="615"/>
      <c r="DN210" s="615"/>
      <c r="DO210" s="615"/>
      <c r="DP210" s="615"/>
      <c r="DQ210" s="888"/>
      <c r="DR210" s="102"/>
      <c r="DS210" s="615"/>
      <c r="DT210" s="615"/>
      <c r="DU210" s="615"/>
      <c r="DV210" s="615"/>
      <c r="DW210" s="888"/>
      <c r="DX210" s="102"/>
      <c r="DY210" s="615"/>
      <c r="DZ210" s="615"/>
      <c r="EA210" s="615"/>
      <c r="EB210" s="615"/>
      <c r="EC210" s="888"/>
      <c r="ED210" s="102"/>
      <c r="EE210" s="615"/>
      <c r="EF210" s="615"/>
      <c r="EG210" s="615"/>
      <c r="EH210" s="615"/>
      <c r="EI210" s="888"/>
      <c r="EJ210" s="102"/>
      <c r="EK210" s="1582">
        <v>0.04</v>
      </c>
      <c r="EL210" s="1582">
        <v>0.01</v>
      </c>
      <c r="EM210" s="1582">
        <v>0.03</v>
      </c>
      <c r="EN210" s="1582">
        <v>0.02</v>
      </c>
      <c r="EO210" s="1581">
        <v>0.02</v>
      </c>
      <c r="EP210" s="102"/>
      <c r="EQ210" s="1582">
        <v>0.05</v>
      </c>
      <c r="ER210" s="1582">
        <v>0.02</v>
      </c>
      <c r="ES210" s="1582">
        <v>0.02</v>
      </c>
      <c r="ET210" s="1582">
        <v>0.06</v>
      </c>
      <c r="EU210" s="1581">
        <v>0.04</v>
      </c>
      <c r="EV210" s="1580"/>
      <c r="EW210" s="1582">
        <v>0.03</v>
      </c>
      <c r="EX210" s="1582">
        <v>0.04</v>
      </c>
      <c r="EY210" s="1582">
        <v>0.03</v>
      </c>
      <c r="EZ210" s="1582"/>
      <c r="FA210" s="1581"/>
      <c r="FB210" s="1580"/>
      <c r="FC210" s="1582"/>
      <c r="FD210" s="1582"/>
      <c r="FE210" s="1582"/>
      <c r="FF210" s="1582"/>
      <c r="FG210" s="1581"/>
      <c r="FH210" s="1580"/>
      <c r="FI210" s="1582"/>
      <c r="FJ210" s="1582"/>
      <c r="FK210" s="1582"/>
      <c r="FL210" s="1582"/>
      <c r="FM210" s="1581"/>
      <c r="FQ210"/>
      <c r="FR210"/>
      <c r="FS210"/>
      <c r="FT210"/>
      <c r="FU210"/>
      <c r="FV210"/>
      <c r="GB210" s="24"/>
      <c r="GC210" s="24"/>
      <c r="GD210" s="24"/>
      <c r="GE210" s="24"/>
      <c r="GF210" s="24"/>
      <c r="GG210" s="24"/>
      <c r="GH210" s="24"/>
      <c r="GI210" s="24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</row>
    <row r="211" spans="1:274" s="32" customFormat="1" ht="12.75" customHeight="1" x14ac:dyDescent="0.2">
      <c r="A211" s="102"/>
      <c r="B211" s="102"/>
      <c r="C211" s="102"/>
      <c r="D211" s="615"/>
      <c r="E211" s="615"/>
      <c r="F211" s="615"/>
      <c r="G211" s="615"/>
      <c r="H211" s="615"/>
      <c r="I211" s="615"/>
      <c r="J211" s="615"/>
      <c r="K211" s="615"/>
      <c r="L211" s="615"/>
      <c r="M211" s="615"/>
      <c r="N211" s="102"/>
      <c r="O211" s="102"/>
      <c r="P211" s="102"/>
      <c r="Q211" s="102"/>
      <c r="R211" s="102"/>
      <c r="S211" s="615"/>
      <c r="T211" s="102"/>
      <c r="U211" s="615"/>
      <c r="V211" s="615"/>
      <c r="W211" s="615"/>
      <c r="X211" s="615"/>
      <c r="Y211" s="615"/>
      <c r="Z211" s="102"/>
      <c r="AA211" s="615"/>
      <c r="AB211" s="615"/>
      <c r="AC211" s="615"/>
      <c r="AD211" s="615"/>
      <c r="AE211" s="615"/>
      <c r="AF211" s="102"/>
      <c r="AG211" s="615"/>
      <c r="AH211" s="615"/>
      <c r="AI211" s="615"/>
      <c r="AJ211" s="615"/>
      <c r="AK211" s="615"/>
      <c r="AL211" s="102"/>
      <c r="AM211" s="615"/>
      <c r="AN211" s="615"/>
      <c r="AO211" s="615"/>
      <c r="AP211" s="615"/>
      <c r="AQ211" s="615"/>
      <c r="AR211" s="102"/>
      <c r="AS211" s="615"/>
      <c r="AT211" s="615"/>
      <c r="AU211" s="615"/>
      <c r="AV211" s="615"/>
      <c r="AW211" s="615"/>
      <c r="AX211" s="102"/>
      <c r="AY211" s="615"/>
      <c r="AZ211" s="615"/>
      <c r="BA211" s="615"/>
      <c r="BB211" s="615"/>
      <c r="BC211" s="615"/>
      <c r="BD211" s="102"/>
      <c r="BE211" s="615"/>
      <c r="BF211" s="615"/>
      <c r="BG211" s="615"/>
      <c r="BH211" s="615"/>
      <c r="BI211" s="615"/>
      <c r="BJ211" s="102"/>
      <c r="BK211" s="615"/>
      <c r="BL211" s="615"/>
      <c r="BM211" s="615"/>
      <c r="BN211" s="615"/>
      <c r="BO211" s="615"/>
      <c r="BP211" s="102"/>
      <c r="BQ211" s="615"/>
      <c r="BR211" s="615"/>
      <c r="BS211" s="615"/>
      <c r="BT211" s="615"/>
      <c r="BU211" s="615"/>
      <c r="BV211" s="102"/>
      <c r="BW211" s="615"/>
      <c r="BX211" s="615"/>
      <c r="BY211" s="615"/>
      <c r="BZ211" s="615"/>
      <c r="CA211" s="615"/>
      <c r="CB211" s="102"/>
      <c r="CC211" s="615"/>
      <c r="CD211" s="615"/>
      <c r="CE211" s="615"/>
      <c r="CF211" s="615"/>
      <c r="CG211" s="888"/>
      <c r="CH211" s="102"/>
      <c r="CI211" s="615"/>
      <c r="CJ211" s="615"/>
      <c r="CK211" s="615"/>
      <c r="CL211" s="615"/>
      <c r="CM211" s="888"/>
      <c r="CN211" s="102"/>
      <c r="CO211" s="615"/>
      <c r="CP211" s="615"/>
      <c r="CQ211" s="615"/>
      <c r="CR211" s="615"/>
      <c r="CS211" s="888"/>
      <c r="CT211" s="102"/>
      <c r="CU211" s="615"/>
      <c r="CV211" s="615"/>
      <c r="CW211" s="615"/>
      <c r="CX211" s="615"/>
      <c r="CY211" s="888"/>
      <c r="CZ211" s="102"/>
      <c r="DA211" s="615"/>
      <c r="DB211" s="615"/>
      <c r="DC211" s="615"/>
      <c r="DD211" s="615"/>
      <c r="DE211" s="888"/>
      <c r="DF211" s="102"/>
      <c r="DG211" s="615"/>
      <c r="DH211" s="615"/>
      <c r="DI211" s="615"/>
      <c r="DJ211" s="615"/>
      <c r="DK211" s="888"/>
      <c r="DL211" s="102"/>
      <c r="DM211" s="615"/>
      <c r="DN211" s="615"/>
      <c r="DO211" s="615"/>
      <c r="DP211" s="615"/>
      <c r="DQ211" s="888"/>
      <c r="DR211" s="102"/>
      <c r="DS211" s="615"/>
      <c r="DT211" s="615"/>
      <c r="DU211" s="615"/>
      <c r="DV211" s="615"/>
      <c r="DW211" s="888"/>
      <c r="DX211" s="102"/>
      <c r="DY211" s="615"/>
      <c r="DZ211" s="615"/>
      <c r="EA211" s="615"/>
      <c r="EB211" s="615"/>
      <c r="EC211" s="888"/>
      <c r="ED211" s="102"/>
      <c r="EE211" s="615"/>
      <c r="EF211" s="615"/>
      <c r="EG211" s="615"/>
      <c r="EH211" s="615"/>
      <c r="EI211" s="888"/>
      <c r="EJ211" s="102"/>
      <c r="EK211" s="615"/>
      <c r="EL211" s="615"/>
      <c r="EM211" s="615"/>
      <c r="EN211" s="615"/>
      <c r="EO211" s="888"/>
      <c r="EP211" s="102"/>
      <c r="EQ211" s="615"/>
      <c r="ER211" s="615"/>
      <c r="ES211" s="615"/>
      <c r="ET211" s="615"/>
      <c r="EU211" s="888"/>
      <c r="EV211" s="102"/>
      <c r="EW211" s="615"/>
      <c r="EX211" s="615"/>
      <c r="EY211" s="615"/>
      <c r="EZ211" s="615"/>
      <c r="FA211" s="888"/>
      <c r="FB211" s="102"/>
      <c r="FC211" s="615"/>
      <c r="FD211" s="615"/>
      <c r="FE211" s="615"/>
      <c r="FF211" s="615"/>
      <c r="FG211" s="888"/>
      <c r="FH211" s="102"/>
      <c r="FI211" s="615"/>
      <c r="FJ211" s="615"/>
      <c r="FK211" s="615"/>
      <c r="FL211" s="615"/>
      <c r="FM211" s="888"/>
      <c r="FQ211"/>
      <c r="FR211"/>
      <c r="FS211"/>
      <c r="FT211"/>
      <c r="FU211"/>
      <c r="FV211"/>
      <c r="GB211" s="24"/>
      <c r="GC211" s="24"/>
      <c r="GD211" s="24"/>
      <c r="GE211" s="24"/>
      <c r="GF211" s="24"/>
      <c r="GG211" s="24"/>
      <c r="GH211" s="24"/>
      <c r="GI211" s="24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</row>
    <row r="212" spans="1:274" s="32" customFormat="1" ht="12.75" customHeight="1" x14ac:dyDescent="0.2">
      <c r="A212" s="102"/>
      <c r="B212" s="102"/>
      <c r="C212" s="102"/>
      <c r="D212" s="615"/>
      <c r="E212" s="615"/>
      <c r="F212" s="615"/>
      <c r="G212" s="615"/>
      <c r="H212" s="615"/>
      <c r="I212" s="615"/>
      <c r="J212" s="615"/>
      <c r="K212" s="615"/>
      <c r="L212" s="615"/>
      <c r="M212" s="615"/>
      <c r="N212" s="102"/>
      <c r="O212" s="102"/>
      <c r="P212" s="102"/>
      <c r="Q212" s="102"/>
      <c r="R212" s="102"/>
      <c r="S212" s="615"/>
      <c r="T212" s="102"/>
      <c r="U212" s="615"/>
      <c r="V212" s="615"/>
      <c r="W212" s="615"/>
      <c r="X212" s="615"/>
      <c r="Y212" s="615"/>
      <c r="Z212" s="102"/>
      <c r="AA212" s="615"/>
      <c r="AB212" s="615"/>
      <c r="AC212" s="615"/>
      <c r="AD212" s="615"/>
      <c r="AE212" s="615"/>
      <c r="AF212" s="102"/>
      <c r="AG212" s="615"/>
      <c r="AH212" s="615"/>
      <c r="AI212" s="615"/>
      <c r="AJ212" s="615"/>
      <c r="AK212" s="615"/>
      <c r="AL212" s="102"/>
      <c r="AM212" s="615"/>
      <c r="AN212" s="615"/>
      <c r="AO212" s="615"/>
      <c r="AP212" s="615"/>
      <c r="AQ212" s="615"/>
      <c r="AR212" s="102"/>
      <c r="AS212" s="615"/>
      <c r="AT212" s="615"/>
      <c r="AU212" s="615"/>
      <c r="AV212" s="615"/>
      <c r="AW212" s="615"/>
      <c r="AX212" s="102"/>
      <c r="AY212" s="615"/>
      <c r="AZ212" s="615"/>
      <c r="BA212" s="615"/>
      <c r="BB212" s="615"/>
      <c r="BC212" s="615"/>
      <c r="BD212" s="102"/>
      <c r="BE212" s="615"/>
      <c r="BF212" s="615"/>
      <c r="BG212" s="615"/>
      <c r="BH212" s="615"/>
      <c r="BI212" s="615"/>
      <c r="BJ212" s="102"/>
      <c r="BK212" s="615"/>
      <c r="BL212" s="615"/>
      <c r="BM212" s="615"/>
      <c r="BN212" s="615"/>
      <c r="BO212" s="615"/>
      <c r="BP212" s="102"/>
      <c r="BQ212" s="615"/>
      <c r="BR212" s="615"/>
      <c r="BS212" s="615"/>
      <c r="BT212" s="615"/>
      <c r="BU212" s="615"/>
      <c r="BV212" s="102"/>
      <c r="BW212" s="615"/>
      <c r="BX212" s="615"/>
      <c r="BY212" s="615"/>
      <c r="BZ212" s="615"/>
      <c r="CA212" s="615"/>
      <c r="CB212" s="102"/>
      <c r="CC212" s="615"/>
      <c r="CD212" s="615"/>
      <c r="CE212" s="615"/>
      <c r="CF212" s="615"/>
      <c r="CG212" s="888"/>
      <c r="CH212" s="102"/>
      <c r="CI212" s="615"/>
      <c r="CJ212" s="615"/>
      <c r="CK212" s="615"/>
      <c r="CL212" s="615"/>
      <c r="CM212" s="888"/>
      <c r="CN212" s="102"/>
      <c r="CO212" s="615"/>
      <c r="CP212" s="615"/>
      <c r="CQ212" s="615"/>
      <c r="CR212" s="615"/>
      <c r="CS212" s="888"/>
      <c r="CT212" s="102"/>
      <c r="CU212" s="615"/>
      <c r="CV212" s="615"/>
      <c r="CW212" s="615"/>
      <c r="CX212" s="615"/>
      <c r="CY212" s="888"/>
      <c r="CZ212" s="102"/>
      <c r="DA212" s="615"/>
      <c r="DB212" s="615"/>
      <c r="DC212" s="615"/>
      <c r="DD212" s="615"/>
      <c r="DE212" s="888"/>
      <c r="DF212" s="102"/>
      <c r="DG212" s="615"/>
      <c r="DH212" s="615"/>
      <c r="DI212" s="615"/>
      <c r="DJ212" s="615"/>
      <c r="DK212" s="888"/>
      <c r="DL212" s="102"/>
      <c r="DM212" s="615"/>
      <c r="DN212" s="615"/>
      <c r="DO212" s="615"/>
      <c r="DP212" s="615"/>
      <c r="DQ212" s="888"/>
      <c r="DR212" s="102"/>
      <c r="DS212" s="615"/>
      <c r="DT212" s="615"/>
      <c r="DU212" s="615"/>
      <c r="DV212" s="615"/>
      <c r="DW212" s="888"/>
      <c r="DX212" s="102"/>
      <c r="DY212" s="615"/>
      <c r="DZ212" s="615"/>
      <c r="EA212" s="615"/>
      <c r="EB212" s="615"/>
      <c r="EC212" s="888"/>
      <c r="ED212" s="102"/>
      <c r="EE212" s="615"/>
      <c r="EF212" s="615"/>
      <c r="EG212" s="615"/>
      <c r="EH212" s="615"/>
      <c r="EI212" s="888"/>
      <c r="EJ212" s="102"/>
      <c r="EK212" s="615"/>
      <c r="EL212" s="615"/>
      <c r="EM212" s="615"/>
      <c r="EN212" s="615"/>
      <c r="EO212" s="888"/>
      <c r="EP212" s="102"/>
      <c r="EQ212" s="615"/>
      <c r="ER212" s="615"/>
      <c r="ES212" s="615"/>
      <c r="ET212" s="615"/>
      <c r="EU212" s="888"/>
      <c r="EV212" s="102"/>
      <c r="EW212" s="615"/>
      <c r="EX212" s="615"/>
      <c r="EY212" s="615"/>
      <c r="EZ212" s="615"/>
      <c r="FA212" s="888"/>
      <c r="FB212" s="102"/>
      <c r="FC212" s="615"/>
      <c r="FD212" s="615"/>
      <c r="FE212" s="615"/>
      <c r="FF212" s="615"/>
      <c r="FG212" s="888"/>
      <c r="FH212" s="102"/>
      <c r="FI212" s="615"/>
      <c r="FJ212" s="615"/>
      <c r="FK212" s="615"/>
      <c r="FL212" s="615"/>
      <c r="FM212" s="888"/>
      <c r="FQ212"/>
      <c r="FR212"/>
      <c r="FS212"/>
      <c r="FT212"/>
      <c r="FU212"/>
      <c r="FV212"/>
      <c r="GB212" s="24"/>
      <c r="GC212" s="24"/>
      <c r="GD212" s="24"/>
      <c r="GE212" s="24"/>
      <c r="GF212" s="24"/>
      <c r="GG212" s="24"/>
      <c r="GH212" s="24"/>
      <c r="GI212" s="24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</row>
    <row r="213" spans="1:274" s="32" customFormat="1" hidden="1" outlineLevel="1" x14ac:dyDescent="0.2">
      <c r="A213" s="102" t="s">
        <v>480</v>
      </c>
      <c r="B213" s="102"/>
      <c r="C213" s="102"/>
      <c r="D213" s="615"/>
      <c r="E213" s="615"/>
      <c r="F213" s="615"/>
      <c r="G213" s="615"/>
      <c r="H213" s="615"/>
      <c r="I213" s="615"/>
      <c r="J213" s="615"/>
      <c r="K213" s="615"/>
      <c r="L213" s="615"/>
      <c r="M213" s="615"/>
      <c r="N213" s="102"/>
      <c r="O213" s="102"/>
      <c r="P213" s="102"/>
      <c r="Q213" s="102"/>
      <c r="R213" s="102"/>
      <c r="S213" s="615"/>
      <c r="T213" s="102"/>
      <c r="U213" s="615"/>
      <c r="V213" s="615"/>
      <c r="W213" s="615"/>
      <c r="X213" s="615"/>
      <c r="Y213" s="615"/>
      <c r="Z213" s="102"/>
      <c r="AA213" s="615"/>
      <c r="AB213" s="615"/>
      <c r="AC213" s="615"/>
      <c r="AD213" s="615"/>
      <c r="AE213" s="615"/>
      <c r="AF213" s="102"/>
      <c r="AG213" s="615"/>
      <c r="AH213" s="615"/>
      <c r="AI213" s="615"/>
      <c r="AJ213" s="615"/>
      <c r="AK213" s="615"/>
      <c r="AL213" s="102"/>
      <c r="AM213" s="615"/>
      <c r="AN213" s="615"/>
      <c r="AO213" s="615"/>
      <c r="AP213" s="615"/>
      <c r="AQ213" s="615"/>
      <c r="AR213" s="102"/>
      <c r="AS213" s="615"/>
      <c r="AT213" s="615"/>
      <c r="AU213" s="615"/>
      <c r="AV213" s="615"/>
      <c r="AW213" s="615"/>
      <c r="AX213" s="102"/>
      <c r="AY213" s="615"/>
      <c r="AZ213" s="615"/>
      <c r="BA213" s="615"/>
      <c r="BB213" s="615"/>
      <c r="BC213" s="615"/>
      <c r="BD213" s="102"/>
      <c r="BE213" s="615"/>
      <c r="BF213" s="615"/>
      <c r="BG213" s="615"/>
      <c r="BH213" s="615"/>
      <c r="BI213" s="615"/>
      <c r="BJ213" s="102"/>
      <c r="BK213" s="615"/>
      <c r="BL213" s="615"/>
      <c r="BM213" s="615"/>
      <c r="BN213" s="615"/>
      <c r="BO213" s="615"/>
      <c r="BP213" s="102"/>
      <c r="BQ213" s="615"/>
      <c r="BR213" s="615"/>
      <c r="BS213" s="615"/>
      <c r="BT213" s="615"/>
      <c r="BU213" s="615"/>
      <c r="BV213" s="102"/>
      <c r="BW213" s="615"/>
      <c r="BX213" s="615"/>
      <c r="BY213" s="615"/>
      <c r="BZ213" s="615"/>
      <c r="CA213" s="615"/>
      <c r="CB213" s="102"/>
      <c r="CC213" s="615"/>
      <c r="CD213" s="615"/>
      <c r="CE213" s="615"/>
      <c r="CF213" s="615"/>
      <c r="CG213" s="888"/>
      <c r="CH213" s="102"/>
      <c r="CI213" s="615"/>
      <c r="CJ213" s="615"/>
      <c r="CK213" s="615"/>
      <c r="CL213" s="615"/>
      <c r="CM213" s="888"/>
      <c r="CN213" s="102"/>
      <c r="CO213" s="615"/>
      <c r="CP213" s="615"/>
      <c r="CQ213" s="615"/>
      <c r="CR213" s="615"/>
      <c r="CS213" s="888"/>
      <c r="CT213" s="102"/>
      <c r="CU213" s="615"/>
      <c r="CV213" s="615"/>
      <c r="CW213" s="615"/>
      <c r="CX213" s="615"/>
      <c r="CY213" s="888"/>
      <c r="CZ213" s="102"/>
      <c r="DA213" s="615"/>
      <c r="DB213" s="615"/>
      <c r="DC213" s="615"/>
      <c r="DD213" s="615"/>
      <c r="DE213" s="888"/>
      <c r="DF213" s="102"/>
      <c r="DG213" s="615"/>
      <c r="DH213" s="615"/>
      <c r="DI213" s="615"/>
      <c r="DJ213" s="615"/>
      <c r="DK213" s="888"/>
      <c r="DL213" s="102"/>
      <c r="DM213" s="615"/>
      <c r="DN213" s="615"/>
      <c r="DO213" s="615"/>
      <c r="DP213" s="615"/>
      <c r="DQ213" s="890"/>
      <c r="DR213" s="102"/>
      <c r="DS213" s="615"/>
      <c r="DT213" s="615"/>
      <c r="DU213" s="615"/>
      <c r="DV213" s="615"/>
      <c r="DW213" s="888"/>
      <c r="DX213" s="102"/>
      <c r="DY213" s="615"/>
      <c r="DZ213" s="615"/>
      <c r="EA213" s="615"/>
      <c r="EB213" s="615"/>
      <c r="EC213" s="888"/>
      <c r="ED213" s="102"/>
      <c r="EE213" s="615"/>
      <c r="EF213" s="615"/>
      <c r="EG213" s="615"/>
      <c r="EH213" s="615"/>
      <c r="EI213" s="888"/>
      <c r="EJ213" s="102"/>
      <c r="EK213" s="615"/>
      <c r="EL213" s="615"/>
      <c r="EM213" s="615"/>
      <c r="EN213" s="615"/>
      <c r="EO213" s="888"/>
      <c r="EP213" s="102"/>
      <c r="EQ213" s="615"/>
      <c r="ER213" s="615"/>
      <c r="ES213" s="615"/>
      <c r="ET213" s="615"/>
      <c r="EU213" s="888"/>
      <c r="EV213" s="102"/>
      <c r="EW213" s="615"/>
      <c r="EX213" s="615"/>
      <c r="EY213" s="615"/>
      <c r="EZ213" s="615"/>
      <c r="FA213" s="888"/>
      <c r="FB213" s="102"/>
      <c r="FC213" s="615"/>
      <c r="FD213" s="615"/>
      <c r="FE213" s="615"/>
      <c r="FF213" s="615"/>
      <c r="FG213" s="888"/>
      <c r="FH213" s="102"/>
      <c r="FI213" s="615"/>
      <c r="FJ213" s="615"/>
      <c r="FK213" s="615"/>
      <c r="FL213" s="615"/>
      <c r="FM213" s="888"/>
      <c r="FQ213"/>
      <c r="FR213"/>
      <c r="FS213"/>
      <c r="FT213"/>
      <c r="FU213"/>
      <c r="FV213"/>
      <c r="GB213" s="24"/>
      <c r="GC213" s="24"/>
      <c r="GD213" s="24"/>
      <c r="GE213" s="24"/>
      <c r="GF213" s="24"/>
      <c r="GG213" s="24"/>
      <c r="GH213" s="24"/>
      <c r="GI213" s="24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</row>
    <row r="214" spans="1:274" s="32" customFormat="1" hidden="1" outlineLevel="1" x14ac:dyDescent="0.2">
      <c r="A214" s="633" t="s">
        <v>481</v>
      </c>
      <c r="B214" s="908"/>
      <c r="C214" s="908"/>
      <c r="D214" s="909"/>
      <c r="E214" s="909"/>
      <c r="F214" s="909"/>
      <c r="G214" s="909"/>
      <c r="H214" s="909"/>
      <c r="I214" s="909"/>
      <c r="J214" s="909"/>
      <c r="K214" s="909"/>
      <c r="L214" s="909"/>
      <c r="M214" s="909"/>
      <c r="N214" s="908"/>
      <c r="O214" s="908"/>
      <c r="P214" s="908"/>
      <c r="Q214" s="908"/>
      <c r="R214" s="908"/>
      <c r="S214" s="909"/>
      <c r="T214" s="908"/>
      <c r="U214" s="909"/>
      <c r="V214" s="909"/>
      <c r="W214" s="909"/>
      <c r="X214" s="909"/>
      <c r="Y214" s="909"/>
      <c r="Z214" s="908"/>
      <c r="AA214" s="909"/>
      <c r="AB214" s="909"/>
      <c r="AC214" s="909"/>
      <c r="AD214" s="909"/>
      <c r="AE214" s="909"/>
      <c r="AF214" s="908"/>
      <c r="AG214" s="909"/>
      <c r="AH214" s="909"/>
      <c r="AI214" s="909"/>
      <c r="AJ214" s="909"/>
      <c r="AK214" s="909"/>
      <c r="AL214" s="908"/>
      <c r="AM214" s="909"/>
      <c r="AN214" s="909"/>
      <c r="AO214" s="909"/>
      <c r="AP214" s="909"/>
      <c r="AQ214" s="909"/>
      <c r="AR214" s="908"/>
      <c r="AS214" s="909"/>
      <c r="AT214" s="909"/>
      <c r="AU214" s="909"/>
      <c r="AV214" s="909"/>
      <c r="AW214" s="909"/>
      <c r="AX214" s="908"/>
      <c r="AY214" s="909"/>
      <c r="AZ214" s="909"/>
      <c r="BA214" s="909"/>
      <c r="BB214" s="909"/>
      <c r="BC214" s="909"/>
      <c r="BD214" s="908"/>
      <c r="BE214" s="909"/>
      <c r="BF214" s="909"/>
      <c r="BG214" s="909"/>
      <c r="BH214" s="909"/>
      <c r="BI214" s="909"/>
      <c r="BJ214" s="908"/>
      <c r="BK214" s="893">
        <v>346.5</v>
      </c>
      <c r="BL214" s="893">
        <v>506.875</v>
      </c>
      <c r="BM214" s="893">
        <v>476.10199999999998</v>
      </c>
      <c r="BN214" s="893">
        <v>750.72199999999998</v>
      </c>
      <c r="BO214" s="893">
        <f>SUM(BK214:BN214)</f>
        <v>2080.1989999999996</v>
      </c>
      <c r="BP214" s="895"/>
      <c r="BQ214" s="893">
        <v>298</v>
      </c>
      <c r="BR214" s="893">
        <v>548</v>
      </c>
      <c r="BS214" s="893">
        <v>522.95000000000005</v>
      </c>
      <c r="BT214" s="893">
        <v>796</v>
      </c>
      <c r="BU214" s="893">
        <f>SUM(BQ214:BT214)</f>
        <v>2164.9499999999998</v>
      </c>
      <c r="BV214" s="895"/>
      <c r="BW214" s="893">
        <v>348.9</v>
      </c>
      <c r="BX214" s="893">
        <v>574.5</v>
      </c>
      <c r="BY214" s="893">
        <v>569.61900000000003</v>
      </c>
      <c r="BZ214" s="893">
        <v>867.8075</v>
      </c>
      <c r="CA214" s="893">
        <f>SUM(BW214:BZ214)</f>
        <v>2360.8265000000001</v>
      </c>
      <c r="CB214" s="895"/>
      <c r="CC214" s="893">
        <v>327.14800000000002</v>
      </c>
      <c r="CD214" s="893">
        <v>579</v>
      </c>
      <c r="CE214" s="893">
        <v>566.69000000000005</v>
      </c>
      <c r="CF214" s="893">
        <v>965.76</v>
      </c>
      <c r="CG214" s="910">
        <f>SUM(CC214:CF214)</f>
        <v>2438.598</v>
      </c>
      <c r="CH214" s="895"/>
      <c r="CI214" s="893">
        <v>334.16584999999998</v>
      </c>
      <c r="CJ214" s="893">
        <v>587.94200000000001</v>
      </c>
      <c r="CK214" s="893">
        <v>612.88470000000007</v>
      </c>
      <c r="CL214" s="893">
        <v>1046.6400000000001</v>
      </c>
      <c r="CM214" s="910">
        <f>(SUM(CI214:CL214))+-46.0000000000003</f>
        <v>2535.6325499999998</v>
      </c>
      <c r="CN214" s="895"/>
      <c r="CO214" s="893">
        <v>327.42423429999997</v>
      </c>
      <c r="CP214" s="893">
        <f>CP228-CP217-CP224</f>
        <v>684.72</v>
      </c>
      <c r="CQ214" s="893">
        <f>CQ228-CQ217-CQ224</f>
        <v>670</v>
      </c>
      <c r="CR214" s="893">
        <f>CL214*(1+CR215)</f>
        <v>1130.3712000000003</v>
      </c>
      <c r="CS214" s="910">
        <f>SUM(CO214:CR214)</f>
        <v>2812.5154343000004</v>
      </c>
      <c r="CT214" s="895"/>
      <c r="CU214" s="893">
        <f>CO214*(1+CU215)</f>
        <v>386.36059647399992</v>
      </c>
      <c r="CV214" s="893">
        <f>CP214*(1+CV215)</f>
        <v>689.85540000000003</v>
      </c>
      <c r="CW214" s="893">
        <f>CQ214*(1+CW215)</f>
        <v>636.5</v>
      </c>
      <c r="CX214" s="893">
        <f>CR214*(1+CX215)</f>
        <v>1039.9415040000004</v>
      </c>
      <c r="CY214" s="910">
        <f>SUM(CU214:CX214)</f>
        <v>2752.6575004740002</v>
      </c>
      <c r="CZ214" s="895"/>
      <c r="DA214" s="893">
        <f>CU214*(1+DA215)</f>
        <v>309.08847717919997</v>
      </c>
      <c r="DB214" s="893">
        <f>CV214*(1+DB215)</f>
        <v>620.86986000000002</v>
      </c>
      <c r="DC214" s="893">
        <f>CW214*(1+DC215)</f>
        <v>636.5</v>
      </c>
      <c r="DD214" s="893">
        <f>CX214*(1+DD215)</f>
        <v>1091.9385792000005</v>
      </c>
      <c r="DE214" s="910">
        <f>SUM(DA214:DD214)</f>
        <v>2658.3969163792008</v>
      </c>
      <c r="DF214" s="895"/>
      <c r="DG214" s="893">
        <f>DA214*(1+DG215)</f>
        <v>324.54290103815998</v>
      </c>
      <c r="DH214" s="893">
        <f>DB214*(1+DH215)</f>
        <v>664.33075020000001</v>
      </c>
      <c r="DI214" s="893">
        <f>DC214*(1+DI215)</f>
        <v>731.97499999999991</v>
      </c>
      <c r="DJ214" s="893">
        <f>DD214*(1+DJ215)</f>
        <v>1179.2936655360006</v>
      </c>
      <c r="DK214" s="910">
        <f>SUM(DG214:DJ214)</f>
        <v>2900.1423167741605</v>
      </c>
      <c r="DL214" s="895"/>
      <c r="DM214" s="893">
        <f>DG214*(1+DM215)</f>
        <v>373.22433619388397</v>
      </c>
      <c r="DN214" s="893">
        <f>DH214*(1+DN215)</f>
        <v>717.477210216</v>
      </c>
      <c r="DO214" s="893">
        <f>DI214*(1+DO215)</f>
        <v>768.5737499999999</v>
      </c>
      <c r="DP214" s="893">
        <f>DJ214*(1+DP215)</f>
        <v>1238.2583488128007</v>
      </c>
      <c r="DQ214" s="910">
        <f>SUM(DM214:DP214)</f>
        <v>3097.5336452226848</v>
      </c>
      <c r="DR214" s="895"/>
      <c r="DS214" s="893">
        <f>DM214*(1+DS215)</f>
        <v>391.8855530035782</v>
      </c>
      <c r="DT214" s="893">
        <f>DN214*(1+DT215)</f>
        <v>753.3510707268</v>
      </c>
      <c r="DU214" s="893">
        <f>DO214*(1+DU215)</f>
        <v>807.00243749999993</v>
      </c>
      <c r="DV214" s="893">
        <f>DP214*(1+DV215)</f>
        <v>1300.1712662534408</v>
      </c>
      <c r="DW214" s="910">
        <f>SUM(DS214:DV214)</f>
        <v>3252.4103274838189</v>
      </c>
      <c r="DX214" s="895"/>
      <c r="DY214" s="893">
        <f>DS214*(1+DY215)</f>
        <v>411.47983065375712</v>
      </c>
      <c r="DZ214" s="893">
        <f>DT214*(1+DZ215)</f>
        <v>791.01862426314005</v>
      </c>
      <c r="EA214" s="893">
        <f>DU214*(1+EA215)</f>
        <v>847.35255937499994</v>
      </c>
      <c r="EB214" s="893">
        <f>DV214*(1+EB215)</f>
        <v>1365.1798295661129</v>
      </c>
      <c r="EC214" s="910">
        <f>SUM(DY214:EB214)</f>
        <v>3415.03084385801</v>
      </c>
      <c r="ED214" s="895"/>
      <c r="EE214" s="893">
        <f>DY214*(1+EE215)</f>
        <v>432.05382218644502</v>
      </c>
      <c r="EF214" s="893">
        <f>DZ214*(1+EF215)</f>
        <v>830.56955547629707</v>
      </c>
      <c r="EG214" s="893">
        <f>EA214*(1+EG215)</f>
        <v>889.72018734375001</v>
      </c>
      <c r="EH214" s="893">
        <f>EB214*(1+EH215)</f>
        <v>1433.4388210444185</v>
      </c>
      <c r="EI214" s="910">
        <f>SUM(EE214:EH214)</f>
        <v>3585.7823860509106</v>
      </c>
      <c r="EJ214" s="895"/>
      <c r="EK214" s="893">
        <f>EE214*(1+EK215)</f>
        <v>453.6565132957673</v>
      </c>
      <c r="EL214" s="893">
        <f>EF214*(1+EL215)</f>
        <v>872.09803325011194</v>
      </c>
      <c r="EM214" s="893">
        <f>EG214*(1+EM215)</f>
        <v>934.20619671093755</v>
      </c>
      <c r="EN214" s="893">
        <f>EH214*(1+EN215)</f>
        <v>1505.1107620966395</v>
      </c>
      <c r="EO214" s="910">
        <f>SUM(EK214:EN214)</f>
        <v>3765.0715053534564</v>
      </c>
      <c r="EP214" s="895"/>
      <c r="EQ214" s="1766">
        <f>EK214*(1+EQ215)</f>
        <v>476.33933896055566</v>
      </c>
      <c r="ER214" s="1766">
        <f>EL214*(1+ER215)</f>
        <v>915.70293491261759</v>
      </c>
      <c r="ES214" s="1766">
        <f>EM214*(1+ES215)</f>
        <v>980.91650654648447</v>
      </c>
      <c r="ET214" s="1766">
        <f>EN214*(1+ET215)</f>
        <v>1580.3663002014716</v>
      </c>
      <c r="EU214" s="1767">
        <f>SUM(EQ214:ET214)</f>
        <v>3953.325080621129</v>
      </c>
      <c r="EV214" s="1768"/>
      <c r="EW214" s="1766">
        <f>EQ214*(1+EW215)</f>
        <v>500.15630590858348</v>
      </c>
      <c r="EX214" s="1766">
        <f>ER214*(1+EX215)</f>
        <v>961.48808165824846</v>
      </c>
      <c r="EY214" s="1766">
        <f>ES214*(1+EY215)</f>
        <v>1029.9623318738088</v>
      </c>
      <c r="EZ214" s="1766">
        <f>ET214*(1+EZ215)</f>
        <v>1659.3846152115452</v>
      </c>
      <c r="FA214" s="1767">
        <f>SUM(EW214:EZ214)</f>
        <v>4150.9913346521862</v>
      </c>
      <c r="FB214" s="1768"/>
      <c r="FC214" s="1766">
        <f>EW214*(1+FC215)</f>
        <v>525.16412120401264</v>
      </c>
      <c r="FD214" s="1766">
        <f>EX214*(1+FD215)</f>
        <v>1009.5624857411609</v>
      </c>
      <c r="FE214" s="1766">
        <f>EY214*(1+FE215)</f>
        <v>1081.4604484674992</v>
      </c>
      <c r="FF214" s="1766">
        <f>EZ214*(1+FF215)</f>
        <v>1742.3538459721226</v>
      </c>
      <c r="FG214" s="1767">
        <f>SUM(FC214:FF214)</f>
        <v>4358.5409013847948</v>
      </c>
      <c r="FH214" s="1768"/>
      <c r="FI214" s="1766">
        <f>FC214*(1+FI215)</f>
        <v>551.42232726421332</v>
      </c>
      <c r="FJ214" s="1766">
        <f>FD214*(1+FJ215)</f>
        <v>1060.0406100282189</v>
      </c>
      <c r="FK214" s="1766">
        <f>FE214*(1+FK215)</f>
        <v>1135.5334708908742</v>
      </c>
      <c r="FL214" s="1766">
        <f>FF214*(1+FL215)</f>
        <v>1829.4715382707288</v>
      </c>
      <c r="FM214" s="1767">
        <f>SUM(FI214:FL214)</f>
        <v>4576.4679464540359</v>
      </c>
      <c r="FQ214"/>
      <c r="FR214"/>
      <c r="FS214"/>
      <c r="FT214"/>
      <c r="FU214"/>
      <c r="FV214"/>
      <c r="GB214" s="24"/>
      <c r="GC214" s="24"/>
      <c r="GD214" s="24"/>
      <c r="GE214" s="24"/>
      <c r="GF214" s="24"/>
      <c r="GG214" s="24"/>
      <c r="GH214" s="24"/>
      <c r="GI214" s="2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</row>
    <row r="215" spans="1:274" s="32" customFormat="1" hidden="1" outlineLevel="1" x14ac:dyDescent="0.2">
      <c r="A215" s="346" t="s">
        <v>128</v>
      </c>
      <c r="B215" s="102"/>
      <c r="C215" s="102"/>
      <c r="D215" s="615"/>
      <c r="E215" s="615"/>
      <c r="F215" s="615"/>
      <c r="G215" s="615"/>
      <c r="H215" s="615"/>
      <c r="I215" s="615"/>
      <c r="J215" s="615"/>
      <c r="K215" s="615"/>
      <c r="L215" s="615"/>
      <c r="M215" s="615"/>
      <c r="N215" s="102"/>
      <c r="O215" s="102"/>
      <c r="P215" s="102"/>
      <c r="Q215" s="102"/>
      <c r="R215" s="102"/>
      <c r="S215" s="615"/>
      <c r="T215" s="102"/>
      <c r="U215" s="615"/>
      <c r="V215" s="615"/>
      <c r="W215" s="615"/>
      <c r="X215" s="615"/>
      <c r="Y215" s="615"/>
      <c r="Z215" s="102"/>
      <c r="AA215" s="615"/>
      <c r="AB215" s="615"/>
      <c r="AC215" s="615"/>
      <c r="AD215" s="615"/>
      <c r="AE215" s="615"/>
      <c r="AF215" s="102"/>
      <c r="AG215" s="615"/>
      <c r="AH215" s="615"/>
      <c r="AI215" s="615"/>
      <c r="AJ215" s="615"/>
      <c r="AK215" s="615"/>
      <c r="AL215" s="102"/>
      <c r="AM215" s="615"/>
      <c r="AN215" s="615"/>
      <c r="AO215" s="615"/>
      <c r="AP215" s="615"/>
      <c r="AQ215" s="615"/>
      <c r="AR215" s="102"/>
      <c r="AS215" s="615"/>
      <c r="AT215" s="615"/>
      <c r="AU215" s="615"/>
      <c r="AV215" s="615"/>
      <c r="AW215" s="615"/>
      <c r="AX215" s="102"/>
      <c r="AY215" s="615"/>
      <c r="AZ215" s="615"/>
      <c r="BA215" s="615"/>
      <c r="BB215" s="615"/>
      <c r="BC215" s="615"/>
      <c r="BD215" s="102"/>
      <c r="BE215" s="615"/>
      <c r="BF215" s="615"/>
      <c r="BG215" s="615"/>
      <c r="BH215" s="615"/>
      <c r="BI215" s="615"/>
      <c r="BJ215" s="102"/>
      <c r="BK215" s="615"/>
      <c r="BL215" s="615"/>
      <c r="BM215" s="615"/>
      <c r="BN215" s="615"/>
      <c r="BO215" s="615"/>
      <c r="BP215" s="102"/>
      <c r="BQ215" s="615">
        <f>BQ214/BK214-1</f>
        <v>-0.13997113997113997</v>
      </c>
      <c r="BR215" s="615">
        <f>BR214/BL214-1</f>
        <v>8.1134401972873027E-2</v>
      </c>
      <c r="BS215" s="615">
        <f>BS214/BM214-1</f>
        <v>9.8399082549537775E-2</v>
      </c>
      <c r="BT215" s="615">
        <f>BT214/BN214-1</f>
        <v>6.0312605731549063E-2</v>
      </c>
      <c r="BU215" s="615">
        <f>BU214/BO214-1</f>
        <v>4.0741775185931806E-2</v>
      </c>
      <c r="BV215" s="102"/>
      <c r="BW215" s="615">
        <f>BW214/BQ214-1</f>
        <v>0.17080536912751665</v>
      </c>
      <c r="BX215" s="615">
        <f>BX214/BR214-1</f>
        <v>4.8357664233576569E-2</v>
      </c>
      <c r="BY215" s="615">
        <f>BY214/BS214-1</f>
        <v>8.9241801319437819E-2</v>
      </c>
      <c r="BZ215" s="615">
        <f>BZ214/BT214-1</f>
        <v>9.0210427135678506E-2</v>
      </c>
      <c r="CA215" s="615">
        <f>CA214/BU214-1</f>
        <v>9.0476223469364347E-2</v>
      </c>
      <c r="CB215" s="102"/>
      <c r="CC215" s="615">
        <f>CC214/BW214-1</f>
        <v>-6.2344511321295371E-2</v>
      </c>
      <c r="CD215" s="615">
        <f>CD214/BX214-1</f>
        <v>7.8328981723236879E-3</v>
      </c>
      <c r="CE215" s="615">
        <f>CE214/BY214-1</f>
        <v>-5.142033534696E-3</v>
      </c>
      <c r="CF215" s="615">
        <f>CF214/BZ214-1</f>
        <v>0.1128735347412877</v>
      </c>
      <c r="CG215" s="888">
        <f>CG214/CA214-1</f>
        <v>3.294248857338733E-2</v>
      </c>
      <c r="CH215" s="102"/>
      <c r="CI215" s="615">
        <f>CI214/CC214-1</f>
        <v>2.1451606000953527E-2</v>
      </c>
      <c r="CJ215" s="615">
        <f>CJ214/CD214-1</f>
        <v>1.5443868739205557E-2</v>
      </c>
      <c r="CK215" s="615">
        <f>CK214/CE214-1</f>
        <v>8.1516702253436657E-2</v>
      </c>
      <c r="CL215" s="615">
        <f>CL214/CF214-1</f>
        <v>8.3747514910536891E-2</v>
      </c>
      <c r="CM215" s="888">
        <f>CM214/CG214-1</f>
        <v>3.9791121783910199E-2</v>
      </c>
      <c r="CN215" s="102"/>
      <c r="CO215" s="615">
        <f>CO214/CI214-1</f>
        <v>-2.0174460376486736E-2</v>
      </c>
      <c r="CP215" s="615">
        <f>CP214/CJ214-1</f>
        <v>0.16460467188940409</v>
      </c>
      <c r="CQ215" s="615">
        <f>CQ214/CK214-1</f>
        <v>9.3190937871348245E-2</v>
      </c>
      <c r="CR215" s="615">
        <v>0.08</v>
      </c>
      <c r="CS215" s="888">
        <f>CS214/CM214-1</f>
        <v>0.1091967699736307</v>
      </c>
      <c r="CT215" s="102"/>
      <c r="CU215" s="899">
        <v>0.18</v>
      </c>
      <c r="CV215" s="899">
        <v>7.4999999999999997E-3</v>
      </c>
      <c r="CW215" s="899">
        <v>-0.05</v>
      </c>
      <c r="CX215" s="899">
        <v>-0.08</v>
      </c>
      <c r="CY215" s="888">
        <f>CY214/CS214-1</f>
        <v>-2.1282704121727947E-2</v>
      </c>
      <c r="CZ215" s="102"/>
      <c r="DA215" s="899">
        <v>-0.2</v>
      </c>
      <c r="DB215" s="899">
        <v>-0.1</v>
      </c>
      <c r="DC215" s="899">
        <v>0</v>
      </c>
      <c r="DD215" s="899">
        <v>0.05</v>
      </c>
      <c r="DE215" s="888">
        <f>DE214/CY214-1</f>
        <v>-3.4243484370492183E-2</v>
      </c>
      <c r="DF215" s="102"/>
      <c r="DG215" s="899">
        <v>0.05</v>
      </c>
      <c r="DH215" s="899">
        <v>7.0000000000000007E-2</v>
      </c>
      <c r="DI215" s="899">
        <v>0.15</v>
      </c>
      <c r="DJ215" s="899">
        <v>0.08</v>
      </c>
      <c r="DK215" s="888">
        <f>DK214/DE214-1</f>
        <v>9.0936533557307353E-2</v>
      </c>
      <c r="DL215" s="102"/>
      <c r="DM215" s="899">
        <v>0.15</v>
      </c>
      <c r="DN215" s="899">
        <v>0.08</v>
      </c>
      <c r="DO215" s="899">
        <v>0.05</v>
      </c>
      <c r="DP215" s="899">
        <v>0.05</v>
      </c>
      <c r="DQ215" s="888">
        <f>DQ214/DK214-1</f>
        <v>6.8062635170291763E-2</v>
      </c>
      <c r="DR215" s="102"/>
      <c r="DS215" s="899">
        <v>0.05</v>
      </c>
      <c r="DT215" s="899">
        <v>0.05</v>
      </c>
      <c r="DU215" s="899">
        <v>0.05</v>
      </c>
      <c r="DV215" s="899">
        <v>0.05</v>
      </c>
      <c r="DW215" s="888">
        <f>DW214/DQ214-1</f>
        <v>5.0000000000000044E-2</v>
      </c>
      <c r="DX215" s="102"/>
      <c r="DY215" s="899">
        <v>0.05</v>
      </c>
      <c r="DZ215" s="899">
        <v>0.05</v>
      </c>
      <c r="EA215" s="899">
        <v>0.05</v>
      </c>
      <c r="EB215" s="899">
        <v>0.05</v>
      </c>
      <c r="EC215" s="888">
        <f>EC214/DW214-1</f>
        <v>5.0000000000000044E-2</v>
      </c>
      <c r="ED215" s="102"/>
      <c r="EE215" s="899">
        <v>0.05</v>
      </c>
      <c r="EF215" s="899">
        <v>0.05</v>
      </c>
      <c r="EG215" s="899">
        <v>0.05</v>
      </c>
      <c r="EH215" s="899">
        <v>0.05</v>
      </c>
      <c r="EI215" s="888">
        <f>EI214/EC214-1</f>
        <v>5.0000000000000044E-2</v>
      </c>
      <c r="EJ215" s="102"/>
      <c r="EK215" s="899">
        <v>0.05</v>
      </c>
      <c r="EL215" s="899">
        <v>0.05</v>
      </c>
      <c r="EM215" s="899">
        <v>0.05</v>
      </c>
      <c r="EN215" s="899">
        <v>0.05</v>
      </c>
      <c r="EO215" s="888">
        <f>EO214/EI214-1</f>
        <v>5.0000000000000044E-2</v>
      </c>
      <c r="EP215" s="102"/>
      <c r="EQ215" s="899">
        <v>0.05</v>
      </c>
      <c r="ER215" s="899">
        <v>0.05</v>
      </c>
      <c r="ES215" s="899">
        <v>0.05</v>
      </c>
      <c r="ET215" s="899">
        <v>0.05</v>
      </c>
      <c r="EU215" s="888">
        <f>EU214/EO214-1</f>
        <v>5.0000000000000044E-2</v>
      </c>
      <c r="EV215" s="102"/>
      <c r="EW215" s="899">
        <v>0.05</v>
      </c>
      <c r="EX215" s="899">
        <v>0.05</v>
      </c>
      <c r="EY215" s="899">
        <v>0.05</v>
      </c>
      <c r="EZ215" s="899">
        <v>0.05</v>
      </c>
      <c r="FA215" s="888">
        <f>FA214/EU214-1</f>
        <v>5.0000000000000266E-2</v>
      </c>
      <c r="FB215" s="102"/>
      <c r="FC215" s="899">
        <v>0.05</v>
      </c>
      <c r="FD215" s="899">
        <v>0.05</v>
      </c>
      <c r="FE215" s="899">
        <v>0.05</v>
      </c>
      <c r="FF215" s="899">
        <v>0.05</v>
      </c>
      <c r="FG215" s="888">
        <f>FG214/FA214-1</f>
        <v>4.9999999999999822E-2</v>
      </c>
      <c r="FH215" s="102"/>
      <c r="FI215" s="899">
        <v>0.05</v>
      </c>
      <c r="FJ215" s="899">
        <v>0.05</v>
      </c>
      <c r="FK215" s="899">
        <v>0.05</v>
      </c>
      <c r="FL215" s="899">
        <v>0.05</v>
      </c>
      <c r="FM215" s="888">
        <f>FM214/FG214-1</f>
        <v>5.0000000000000266E-2</v>
      </c>
      <c r="FQ215"/>
      <c r="FR215"/>
      <c r="FS215"/>
      <c r="FT215"/>
      <c r="FU215"/>
      <c r="FV215"/>
      <c r="GB215" s="24"/>
      <c r="GC215" s="24"/>
      <c r="GD215" s="24"/>
      <c r="GE215" s="24"/>
      <c r="GF215" s="24"/>
      <c r="GG215" s="24"/>
      <c r="GH215" s="24"/>
      <c r="GI215" s="24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</row>
    <row r="216" spans="1:274" s="32" customFormat="1" ht="6" hidden="1" customHeight="1" outlineLevel="1" x14ac:dyDescent="0.2">
      <c r="A216" s="346"/>
      <c r="B216" s="102"/>
      <c r="C216" s="102"/>
      <c r="D216" s="615"/>
      <c r="E216" s="615"/>
      <c r="F216" s="615"/>
      <c r="G216" s="615"/>
      <c r="H216" s="615"/>
      <c r="I216" s="615"/>
      <c r="J216" s="615"/>
      <c r="K216" s="615"/>
      <c r="L216" s="615"/>
      <c r="M216" s="615"/>
      <c r="N216" s="102"/>
      <c r="O216" s="102"/>
      <c r="P216" s="102"/>
      <c r="Q216" s="102"/>
      <c r="R216" s="102"/>
      <c r="S216" s="615"/>
      <c r="T216" s="102"/>
      <c r="U216" s="615"/>
      <c r="V216" s="615"/>
      <c r="W216" s="615"/>
      <c r="X216" s="615"/>
      <c r="Y216" s="615"/>
      <c r="Z216" s="102"/>
      <c r="AA216" s="615"/>
      <c r="AB216" s="615"/>
      <c r="AC216" s="615"/>
      <c r="AD216" s="615"/>
      <c r="AE216" s="615"/>
      <c r="AF216" s="102"/>
      <c r="AG216" s="615"/>
      <c r="AH216" s="615"/>
      <c r="AI216" s="615"/>
      <c r="AJ216" s="615"/>
      <c r="AK216" s="615"/>
      <c r="AL216" s="102"/>
      <c r="AM216" s="615"/>
      <c r="AN216" s="615"/>
      <c r="AO216" s="615"/>
      <c r="AP216" s="615"/>
      <c r="AQ216" s="615"/>
      <c r="AR216" s="102"/>
      <c r="AS216" s="615"/>
      <c r="AT216" s="615"/>
      <c r="AU216" s="615"/>
      <c r="AV216" s="615"/>
      <c r="AW216" s="615"/>
      <c r="AX216" s="102"/>
      <c r="AY216" s="615"/>
      <c r="AZ216" s="615"/>
      <c r="BA216" s="615"/>
      <c r="BB216" s="615"/>
      <c r="BC216" s="615"/>
      <c r="BD216" s="102"/>
      <c r="BE216" s="615"/>
      <c r="BF216" s="615"/>
      <c r="BG216" s="615"/>
      <c r="BH216" s="615"/>
      <c r="BI216" s="615"/>
      <c r="BJ216" s="102"/>
      <c r="BK216" s="615"/>
      <c r="BL216" s="615"/>
      <c r="BM216" s="615"/>
      <c r="BN216" s="615"/>
      <c r="BO216" s="615"/>
      <c r="BP216" s="102"/>
      <c r="BQ216" s="615"/>
      <c r="BR216" s="615"/>
      <c r="BS216" s="615"/>
      <c r="BT216" s="615"/>
      <c r="BU216" s="615"/>
      <c r="BV216" s="102"/>
      <c r="BW216" s="615"/>
      <c r="BX216" s="615"/>
      <c r="BY216" s="615"/>
      <c r="BZ216" s="615"/>
      <c r="CA216" s="615"/>
      <c r="CB216" s="102"/>
      <c r="CC216" s="615"/>
      <c r="CD216" s="615"/>
      <c r="CE216" s="615"/>
      <c r="CF216" s="615"/>
      <c r="CG216" s="888"/>
      <c r="CH216" s="102"/>
      <c r="CI216" s="615"/>
      <c r="CJ216" s="615"/>
      <c r="CK216" s="615"/>
      <c r="CL216" s="615"/>
      <c r="CM216" s="888"/>
      <c r="CN216" s="102"/>
      <c r="CO216" s="615"/>
      <c r="CP216" s="615"/>
      <c r="CQ216" s="615"/>
      <c r="CR216" s="615"/>
      <c r="CS216" s="888"/>
      <c r="CT216" s="102"/>
      <c r="CU216" s="615"/>
      <c r="CV216" s="615"/>
      <c r="CW216" s="615"/>
      <c r="CX216" s="615"/>
      <c r="CY216" s="888"/>
      <c r="CZ216" s="102"/>
      <c r="DA216" s="615"/>
      <c r="DB216" s="615"/>
      <c r="DC216" s="615"/>
      <c r="DD216" s="615"/>
      <c r="DE216" s="888"/>
      <c r="DF216" s="102"/>
      <c r="DG216" s="615"/>
      <c r="DH216" s="615"/>
      <c r="DI216" s="615"/>
      <c r="DJ216" s="615"/>
      <c r="DK216" s="888"/>
      <c r="DL216" s="102"/>
      <c r="DM216" s="615"/>
      <c r="DN216" s="615"/>
      <c r="DO216" s="615"/>
      <c r="DP216" s="615"/>
      <c r="DQ216" s="888"/>
      <c r="DR216" s="102"/>
      <c r="DS216" s="615"/>
      <c r="DT216" s="615"/>
      <c r="DU216" s="615"/>
      <c r="DV216" s="615"/>
      <c r="DW216" s="888"/>
      <c r="DX216" s="102"/>
      <c r="DY216" s="615"/>
      <c r="DZ216" s="615"/>
      <c r="EA216" s="615"/>
      <c r="EB216" s="615"/>
      <c r="EC216" s="888"/>
      <c r="ED216" s="102"/>
      <c r="EE216" s="615"/>
      <c r="EF216" s="615"/>
      <c r="EG216" s="615"/>
      <c r="EH216" s="615"/>
      <c r="EI216" s="888"/>
      <c r="EJ216" s="102"/>
      <c r="EK216" s="615"/>
      <c r="EL216" s="615"/>
      <c r="EM216" s="615"/>
      <c r="EN216" s="615"/>
      <c r="EO216" s="888"/>
      <c r="EP216" s="102"/>
      <c r="EQ216" s="615"/>
      <c r="ER216" s="615"/>
      <c r="ES216" s="615"/>
      <c r="ET216" s="615"/>
      <c r="EU216" s="888"/>
      <c r="EV216" s="102"/>
      <c r="EW216" s="615"/>
      <c r="EX216" s="615"/>
      <c r="EY216" s="615"/>
      <c r="EZ216" s="615"/>
      <c r="FA216" s="888"/>
      <c r="FB216" s="102"/>
      <c r="FC216" s="615"/>
      <c r="FD216" s="615"/>
      <c r="FE216" s="615"/>
      <c r="FF216" s="615"/>
      <c r="FG216" s="888"/>
      <c r="FH216" s="102"/>
      <c r="FI216" s="615"/>
      <c r="FJ216" s="615"/>
      <c r="FK216" s="615"/>
      <c r="FL216" s="615"/>
      <c r="FM216" s="888"/>
      <c r="FQ216"/>
      <c r="FR216"/>
      <c r="FS216"/>
      <c r="FT216"/>
      <c r="FU216"/>
      <c r="FV216"/>
      <c r="GB216" s="24"/>
      <c r="GC216" s="24"/>
      <c r="GD216" s="24"/>
      <c r="GE216" s="24"/>
      <c r="GF216" s="24"/>
      <c r="GG216" s="24"/>
      <c r="GH216" s="24"/>
      <c r="GI216" s="24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</row>
    <row r="217" spans="1:274" s="32" customFormat="1" hidden="1" outlineLevel="1" x14ac:dyDescent="0.2">
      <c r="A217" s="640" t="s">
        <v>127</v>
      </c>
      <c r="B217" s="443"/>
      <c r="C217" s="443"/>
      <c r="D217" s="367"/>
      <c r="E217" s="367"/>
      <c r="F217" s="367"/>
      <c r="G217" s="367"/>
      <c r="H217" s="367"/>
      <c r="I217" s="367"/>
      <c r="J217" s="367"/>
      <c r="K217" s="367"/>
      <c r="L217" s="367"/>
      <c r="M217" s="367"/>
      <c r="N217" s="443"/>
      <c r="O217" s="443"/>
      <c r="P217" s="443"/>
      <c r="Q217" s="443"/>
      <c r="R217" s="443"/>
      <c r="S217" s="367"/>
      <c r="T217" s="443"/>
      <c r="U217" s="367"/>
      <c r="V217" s="367"/>
      <c r="W217" s="367"/>
      <c r="X217" s="367"/>
      <c r="Y217" s="367"/>
      <c r="Z217" s="443"/>
      <c r="AA217" s="367"/>
      <c r="AB217" s="367"/>
      <c r="AC217" s="367"/>
      <c r="AD217" s="367"/>
      <c r="AE217" s="367"/>
      <c r="AF217" s="443"/>
      <c r="AG217" s="367"/>
      <c r="AH217" s="367"/>
      <c r="AI217" s="367"/>
      <c r="AJ217" s="367"/>
      <c r="AK217" s="367"/>
      <c r="AL217" s="443"/>
      <c r="AM217" s="367"/>
      <c r="AN217" s="367"/>
      <c r="AO217" s="367"/>
      <c r="AP217" s="367"/>
      <c r="AQ217" s="367"/>
      <c r="AR217" s="443"/>
      <c r="AS217" s="367"/>
      <c r="AT217" s="367"/>
      <c r="AU217" s="367"/>
      <c r="AV217" s="367"/>
      <c r="AW217" s="367"/>
      <c r="AX217" s="443"/>
      <c r="AY217" s="367"/>
      <c r="AZ217" s="367"/>
      <c r="BA217" s="367"/>
      <c r="BB217" s="367"/>
      <c r="BC217" s="367"/>
      <c r="BD217" s="443"/>
      <c r="BE217" s="367"/>
      <c r="BF217" s="367"/>
      <c r="BG217" s="367"/>
      <c r="BH217" s="367"/>
      <c r="BI217" s="367"/>
      <c r="BJ217" s="443"/>
      <c r="BK217" s="367">
        <f>BK219+BK221</f>
        <v>58.5</v>
      </c>
      <c r="BL217" s="367">
        <f>BL219+BL221</f>
        <v>86.825000000000003</v>
      </c>
      <c r="BM217" s="367">
        <f>BM219+BM221</f>
        <v>67.89800000000001</v>
      </c>
      <c r="BN217" s="367">
        <f>BN219+BN221</f>
        <v>125.27800000000001</v>
      </c>
      <c r="BO217" s="367">
        <f>SUM(BK217:BN217)</f>
        <v>338.50100000000003</v>
      </c>
      <c r="BP217" s="443"/>
      <c r="BQ217" s="367">
        <f>BQ219+BQ221</f>
        <v>65</v>
      </c>
      <c r="BR217" s="367">
        <f>BR219+BR221</f>
        <v>95</v>
      </c>
      <c r="BS217" s="367">
        <f>BS219+BS221</f>
        <v>106.05</v>
      </c>
      <c r="BT217" s="367">
        <f>BT219+BT221</f>
        <v>200</v>
      </c>
      <c r="BU217" s="367">
        <f>SUM(BQ217:BT217)</f>
        <v>466.05</v>
      </c>
      <c r="BV217" s="443"/>
      <c r="BW217" s="367">
        <f>BW219+BW221</f>
        <v>74.099999999999994</v>
      </c>
      <c r="BX217" s="367">
        <f>BX219+BX221</f>
        <v>104.5</v>
      </c>
      <c r="BY217" s="367">
        <f>BY219+BY221</f>
        <v>129.381</v>
      </c>
      <c r="BZ217" s="367">
        <f>BZ219+BZ221</f>
        <v>247.1925</v>
      </c>
      <c r="CA217" s="367">
        <f>SUM(BW217:BZ217)</f>
        <v>555.17349999999999</v>
      </c>
      <c r="CB217" s="443"/>
      <c r="CC217" s="367">
        <f>CC219+CC221</f>
        <v>82.322000000000003</v>
      </c>
      <c r="CD217" s="367">
        <f>CD219+CD221</f>
        <v>131.80000000000001</v>
      </c>
      <c r="CE217" s="367">
        <f>CE219+CE221</f>
        <v>147.47</v>
      </c>
      <c r="CF217" s="367">
        <f>CF219+CF221</f>
        <v>296</v>
      </c>
      <c r="CG217" s="174">
        <f>SUM(CC217:CF217)</f>
        <v>657.59199999999998</v>
      </c>
      <c r="CH217" s="443"/>
      <c r="CI217" s="367">
        <f>CI219+CI221</f>
        <v>102.5</v>
      </c>
      <c r="CJ217" s="367">
        <f>CJ219+CJ221</f>
        <v>151.596</v>
      </c>
      <c r="CK217" s="367">
        <f>CK219+CK221</f>
        <v>152.7585</v>
      </c>
      <c r="CL217" s="367">
        <f>CL219+CL221</f>
        <v>378.5</v>
      </c>
      <c r="CM217" s="174">
        <f>SUM(CI217:CL217)</f>
        <v>785.35450000000003</v>
      </c>
      <c r="CN217" s="443"/>
      <c r="CO217" s="367">
        <f>CO219+CO221</f>
        <v>115.2975</v>
      </c>
      <c r="CP217" s="367">
        <f>CP219+CP221</f>
        <v>200.28</v>
      </c>
      <c r="CQ217" s="367">
        <f>CQ219+CQ221</f>
        <v>205</v>
      </c>
      <c r="CR217" s="367">
        <f>CR219+CR221</f>
        <v>448.6875</v>
      </c>
      <c r="CS217" s="174">
        <f>SUM(CO217:CR217)</f>
        <v>969.26499999999999</v>
      </c>
      <c r="CT217" s="443"/>
      <c r="CU217" s="367">
        <f>CU219+CU221</f>
        <v>161.85322500000001</v>
      </c>
      <c r="CV217" s="367">
        <f>CV219+CV221</f>
        <v>200.28</v>
      </c>
      <c r="CW217" s="367">
        <f>CW219+CW221</f>
        <v>200.89999999999998</v>
      </c>
      <c r="CX217" s="367">
        <f>CX219+CX221</f>
        <v>412.79250000000002</v>
      </c>
      <c r="CY217" s="174">
        <f>SUM(CU217:CX217)</f>
        <v>975.82572500000003</v>
      </c>
      <c r="CZ217" s="443"/>
      <c r="DA217" s="367">
        <f>DA219+DA221</f>
        <v>145.6679025</v>
      </c>
      <c r="DB217" s="367">
        <f>DB219+DB221</f>
        <v>200.28</v>
      </c>
      <c r="DC217" s="367">
        <f>DC219+DC221</f>
        <v>200.89999999999998</v>
      </c>
      <c r="DD217" s="367">
        <f>DD219+DD221</f>
        <v>433.43212500000004</v>
      </c>
      <c r="DE217" s="174">
        <f>SUM(DA217:DD217)</f>
        <v>980.28002749999996</v>
      </c>
      <c r="DF217" s="443"/>
      <c r="DG217" s="367">
        <f>DG219+DG221</f>
        <v>154.32828750000002</v>
      </c>
      <c r="DH217" s="367">
        <f>DH219+DH221</f>
        <v>214.86360000000002</v>
      </c>
      <c r="DI217" s="367">
        <f>DI219+DI221</f>
        <v>231.03499999999997</v>
      </c>
      <c r="DJ217" s="367">
        <f>DJ219+DJ221</f>
        <v>468.10669500000006</v>
      </c>
      <c r="DK217" s="174">
        <f>SUM(DG217:DJ217)</f>
        <v>1068.3335824999999</v>
      </c>
      <c r="DL217" s="443"/>
      <c r="DM217" s="367">
        <f>DM219+DM221</f>
        <v>177.47753062499999</v>
      </c>
      <c r="DN217" s="367">
        <f>DN219+DN221</f>
        <v>223.50291600000003</v>
      </c>
      <c r="DO217" s="367">
        <f>DO219+DO221</f>
        <v>246.13679999999999</v>
      </c>
      <c r="DP217" s="367">
        <f>DP219+DP221</f>
        <v>499.81236543000011</v>
      </c>
      <c r="DQ217" s="174">
        <f>SUM(DM217:DP217)</f>
        <v>1146.9296120550002</v>
      </c>
      <c r="DR217" s="443"/>
      <c r="DS217" s="367">
        <f>DS219+DS221</f>
        <v>188.06162858100001</v>
      </c>
      <c r="DT217" s="367">
        <f>DT219+DT221</f>
        <v>237.00307428000002</v>
      </c>
      <c r="DU217" s="367">
        <f>DU219+DU221</f>
        <v>262.277694</v>
      </c>
      <c r="DV217" s="367">
        <f>DV219+DV221</f>
        <v>533.76734623590016</v>
      </c>
      <c r="DW217" s="174">
        <f>SUM(DS217:DV217)</f>
        <v>1221.1097430969003</v>
      </c>
      <c r="DX217" s="443"/>
      <c r="DY217" s="367">
        <f>DY219+DY221</f>
        <v>199.31174914878002</v>
      </c>
      <c r="DZ217" s="367">
        <f>DZ219+DZ221</f>
        <v>251.36424147240004</v>
      </c>
      <c r="EA217" s="367">
        <f>EA219+EA221</f>
        <v>279.53235701999995</v>
      </c>
      <c r="EB217" s="367">
        <f>EB219+EB221</f>
        <v>570.13722508484716</v>
      </c>
      <c r="EC217" s="174">
        <f>SUM(DY217:EB217)</f>
        <v>1300.3455727260271</v>
      </c>
      <c r="ED217" s="443"/>
      <c r="EE217" s="367">
        <f>EE219+EE221</f>
        <v>211.27213887604742</v>
      </c>
      <c r="EF217" s="367">
        <f>EF219+EF221</f>
        <v>266.64434810269205</v>
      </c>
      <c r="EG217" s="367">
        <f>EG219+EG221</f>
        <v>297.98101545659995</v>
      </c>
      <c r="EH217" s="367">
        <f>EH219+EH221</f>
        <v>609.10011879921376</v>
      </c>
      <c r="EI217" s="174">
        <f>SUM(EE217:EH217)</f>
        <v>1384.9976212345532</v>
      </c>
      <c r="EJ217" s="443"/>
      <c r="EK217" s="367">
        <f>EK219+EK221</f>
        <v>223.99013227126449</v>
      </c>
      <c r="EL217" s="367">
        <f>EL219+EL221</f>
        <v>282.90541162903241</v>
      </c>
      <c r="EM217" s="367">
        <f>EM219+EM221</f>
        <v>317.70987006187801</v>
      </c>
      <c r="EN217" s="367">
        <f>EN219+EN221</f>
        <v>650.84763979610864</v>
      </c>
      <c r="EO217" s="174">
        <f>SUM(EK217:EN217)</f>
        <v>1475.4530537582837</v>
      </c>
      <c r="EP217" s="443"/>
      <c r="EQ217" s="367">
        <f>EQ219+EQ221</f>
        <v>237.51637625235554</v>
      </c>
      <c r="ER217" s="367">
        <f>ER219+ER221</f>
        <v>300.21383602138633</v>
      </c>
      <c r="ES217" s="367">
        <f>ES219+ES221</f>
        <v>338.81155170401576</v>
      </c>
      <c r="ET217" s="367">
        <f>ET219+ET221</f>
        <v>695.58593804740292</v>
      </c>
      <c r="EU217" s="174">
        <f>SUM(EQ217:ET217)</f>
        <v>1572.1277020251605</v>
      </c>
      <c r="EV217" s="443"/>
      <c r="EW217" s="367">
        <f>EW219+EW221</f>
        <v>251.90507142190341</v>
      </c>
      <c r="EX217" s="367">
        <f>EX219+EX221</f>
        <v>318.64073393823003</v>
      </c>
      <c r="EY217" s="367">
        <f>EY219+EY221</f>
        <v>361.38561247938389</v>
      </c>
      <c r="EZ217" s="367">
        <f>EZ219+EZ221</f>
        <v>743.53682451218106</v>
      </c>
      <c r="FA217" s="174">
        <f>SUM(EW217:EZ217)</f>
        <v>1675.4682423516983</v>
      </c>
      <c r="FB217" s="443"/>
      <c r="FC217" s="367">
        <f>FC219+FC221</f>
        <v>267.21423145848308</v>
      </c>
      <c r="FD217" s="367">
        <f>FD219+FD221</f>
        <v>338.26227324017793</v>
      </c>
      <c r="FE217" s="367">
        <f>FE219+FE221</f>
        <v>385.53905494873391</v>
      </c>
      <c r="FF217" s="367">
        <f>FF219+FF221</f>
        <v>794.93898246519075</v>
      </c>
      <c r="FG217" s="174">
        <f>SUM(FC217:FF217)</f>
        <v>1785.9545421125858</v>
      </c>
      <c r="FH217" s="443"/>
      <c r="FI217" s="367">
        <f>FI219+FI221</f>
        <v>283.50596201413049</v>
      </c>
      <c r="FJ217" s="367">
        <f>FJ219+FJ221</f>
        <v>359.16004971562609</v>
      </c>
      <c r="FK217" s="367">
        <f>FK219+FK221</f>
        <v>411.38690248918181</v>
      </c>
      <c r="FL217" s="367">
        <f>FL219+FL221</f>
        <v>850.04927365404296</v>
      </c>
      <c r="FM217" s="174">
        <f>SUM(FI217:FL217)</f>
        <v>1904.1021878729814</v>
      </c>
      <c r="FQ217"/>
      <c r="FR217"/>
      <c r="FS217"/>
      <c r="FT217"/>
      <c r="FU217"/>
      <c r="FV217"/>
      <c r="GB217" s="24"/>
      <c r="GC217" s="24"/>
      <c r="GD217" s="24"/>
      <c r="GE217" s="24"/>
      <c r="GF217" s="24"/>
      <c r="GG217" s="24"/>
      <c r="GH217" s="24"/>
      <c r="GI217" s="24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</row>
    <row r="218" spans="1:274" s="32" customFormat="1" hidden="1" outlineLevel="1" x14ac:dyDescent="0.2">
      <c r="A218" s="346" t="s">
        <v>128</v>
      </c>
      <c r="B218" s="102"/>
      <c r="C218" s="102"/>
      <c r="D218" s="615"/>
      <c r="E218" s="615"/>
      <c r="F218" s="615"/>
      <c r="G218" s="615"/>
      <c r="H218" s="615"/>
      <c r="I218" s="615"/>
      <c r="J218" s="615"/>
      <c r="K218" s="615"/>
      <c r="L218" s="615"/>
      <c r="M218" s="615"/>
      <c r="N218" s="102"/>
      <c r="O218" s="102"/>
      <c r="P218" s="102"/>
      <c r="Q218" s="102"/>
      <c r="R218" s="102"/>
      <c r="S218" s="615"/>
      <c r="T218" s="102"/>
      <c r="U218" s="615"/>
      <c r="V218" s="615"/>
      <c r="W218" s="615"/>
      <c r="X218" s="615"/>
      <c r="Y218" s="615"/>
      <c r="Z218" s="102"/>
      <c r="AA218" s="615"/>
      <c r="AB218" s="615"/>
      <c r="AC218" s="615"/>
      <c r="AD218" s="615"/>
      <c r="AE218" s="615"/>
      <c r="AF218" s="102"/>
      <c r="AG218" s="615"/>
      <c r="AH218" s="615"/>
      <c r="AI218" s="615"/>
      <c r="AJ218" s="615"/>
      <c r="AK218" s="615"/>
      <c r="AL218" s="102"/>
      <c r="AM218" s="615"/>
      <c r="AN218" s="615"/>
      <c r="AO218" s="615"/>
      <c r="AP218" s="615"/>
      <c r="AQ218" s="615"/>
      <c r="AR218" s="102"/>
      <c r="AS218" s="615"/>
      <c r="AT218" s="615"/>
      <c r="AU218" s="615"/>
      <c r="AV218" s="615"/>
      <c r="AW218" s="615"/>
      <c r="AX218" s="102"/>
      <c r="AY218" s="615"/>
      <c r="AZ218" s="615"/>
      <c r="BA218" s="615"/>
      <c r="BB218" s="615"/>
      <c r="BC218" s="615"/>
      <c r="BD218" s="102"/>
      <c r="BE218" s="615"/>
      <c r="BF218" s="615"/>
      <c r="BG218" s="615"/>
      <c r="BH218" s="615"/>
      <c r="BI218" s="615"/>
      <c r="BJ218" s="102"/>
      <c r="BK218" s="615"/>
      <c r="BL218" s="615"/>
      <c r="BM218" s="615"/>
      <c r="BN218" s="615"/>
      <c r="BO218" s="615"/>
      <c r="BP218" s="102"/>
      <c r="BQ218" s="615">
        <f>BQ217/BK217-1</f>
        <v>0.11111111111111116</v>
      </c>
      <c r="BR218" s="615">
        <f>BR217/BL217-1</f>
        <v>9.4154909300316669E-2</v>
      </c>
      <c r="BS218" s="615">
        <f>BS217/BM217-1</f>
        <v>0.56190167604347674</v>
      </c>
      <c r="BT218" s="615">
        <f>BT217/BN217-1</f>
        <v>0.59644949632018385</v>
      </c>
      <c r="BU218" s="615">
        <f>BU217/BO217-1</f>
        <v>0.37680538609930236</v>
      </c>
      <c r="BV218" s="102"/>
      <c r="BW218" s="615">
        <f>BW217/BQ217-1</f>
        <v>0.1399999999999999</v>
      </c>
      <c r="BX218" s="615">
        <f>BX217/BR217-1</f>
        <v>0.10000000000000009</v>
      </c>
      <c r="BY218" s="615">
        <f>BY217/BS217-1</f>
        <v>0.21999999999999997</v>
      </c>
      <c r="BZ218" s="615">
        <f>BZ217/BT217-1</f>
        <v>0.23596250000000007</v>
      </c>
      <c r="CA218" s="615">
        <f>CA217/BU217-1</f>
        <v>0.19123162750777811</v>
      </c>
      <c r="CB218" s="102"/>
      <c r="CC218" s="615">
        <f>CC217/BW217-1</f>
        <v>0.1109581646423754</v>
      </c>
      <c r="CD218" s="615">
        <f>CD217/BX217-1</f>
        <v>0.26124401913875617</v>
      </c>
      <c r="CE218" s="615">
        <f>CE217/BY217-1</f>
        <v>0.13981187345900858</v>
      </c>
      <c r="CF218" s="615">
        <f>CF217/BZ217-1</f>
        <v>0.19744733355583199</v>
      </c>
      <c r="CG218" s="888">
        <f>CG217/CA217-1</f>
        <v>0.18448016701085335</v>
      </c>
      <c r="CH218" s="102"/>
      <c r="CI218" s="615">
        <f>CI217/CC217-1</f>
        <v>0.24511066300624362</v>
      </c>
      <c r="CJ218" s="615">
        <f>CJ217/CD217-1</f>
        <v>0.15019726858877069</v>
      </c>
      <c r="CK218" s="615">
        <f>CK217/CE217-1</f>
        <v>3.5861531158879689E-2</v>
      </c>
      <c r="CL218" s="615">
        <f>CL217/CF217-1</f>
        <v>0.27871621621621623</v>
      </c>
      <c r="CM218" s="888">
        <f>CM217/CG217-1</f>
        <v>0.19428840375187062</v>
      </c>
      <c r="CN218" s="102"/>
      <c r="CO218" s="615">
        <f>CO217/CI217-1</f>
        <v>0.12485365853658537</v>
      </c>
      <c r="CP218" s="615">
        <f>CP217/CJ217-1</f>
        <v>0.3211430380748832</v>
      </c>
      <c r="CQ218" s="615">
        <f>CQ217/CK217-1</f>
        <v>0.34198751624295864</v>
      </c>
      <c r="CR218" s="615">
        <f>CR217/CL217-1</f>
        <v>0.18543593130779401</v>
      </c>
      <c r="CS218" s="888">
        <f>CS217/CM217-1</f>
        <v>0.2341751400163874</v>
      </c>
      <c r="CT218" s="102"/>
      <c r="CU218" s="615">
        <f>CU217/CO217-1</f>
        <v>0.40378780979639628</v>
      </c>
      <c r="CV218" s="615">
        <f>CV217/CP217-1</f>
        <v>0</v>
      </c>
      <c r="CW218" s="615">
        <f>CW217/CQ217-1</f>
        <v>-2.0000000000000129E-2</v>
      </c>
      <c r="CX218" s="615">
        <f>CX217/CR217-1</f>
        <v>-7.999999999999996E-2</v>
      </c>
      <c r="CY218" s="888">
        <f>CY217/CS217-1</f>
        <v>6.7687629286108386E-3</v>
      </c>
      <c r="CZ218" s="102"/>
      <c r="DA218" s="615">
        <f>DA217/CU217-1</f>
        <v>-0.10000000000000009</v>
      </c>
      <c r="DB218" s="615">
        <f>DB217/CV217-1</f>
        <v>0</v>
      </c>
      <c r="DC218" s="615">
        <f>DC217/CW217-1</f>
        <v>0</v>
      </c>
      <c r="DD218" s="615">
        <f>DD217/CX217-1</f>
        <v>5.0000000000000044E-2</v>
      </c>
      <c r="DE218" s="888">
        <f>DE217/CY217-1</f>
        <v>4.5646495945779186E-3</v>
      </c>
      <c r="DF218" s="102"/>
      <c r="DG218" s="615">
        <f>DG217/DA217-1</f>
        <v>5.945293953827635E-2</v>
      </c>
      <c r="DH218" s="615">
        <f>DH217/DB217-1</f>
        <v>7.2816057519472732E-2</v>
      </c>
      <c r="DI218" s="615">
        <f>DI217/DC217-1</f>
        <v>0.14999999999999991</v>
      </c>
      <c r="DJ218" s="615">
        <f>DJ217/DD217-1</f>
        <v>8.0000000000000071E-2</v>
      </c>
      <c r="DK218" s="888">
        <f>DK217/DE217-1</f>
        <v>8.9824899548919923E-2</v>
      </c>
      <c r="DL218" s="102"/>
      <c r="DM218" s="615">
        <f>DM217/DG217-1</f>
        <v>0.14999999999999969</v>
      </c>
      <c r="DN218" s="615">
        <f>DN217/DH217-1</f>
        <v>4.0208374056843521E-2</v>
      </c>
      <c r="DO218" s="615">
        <f>DO217/DI217-1</f>
        <v>6.5365853658536643E-2</v>
      </c>
      <c r="DP218" s="615">
        <f>DP217/DJ217-1</f>
        <v>6.7731717509402545E-2</v>
      </c>
      <c r="DQ218" s="888">
        <f>DQ217/DK217-1</f>
        <v>7.3568809258133028E-2</v>
      </c>
      <c r="DR218" s="102"/>
      <c r="DS218" s="615">
        <f>DS217/DM217-1</f>
        <v>5.9636270116714796E-2</v>
      </c>
      <c r="DT218" s="615">
        <f>DT217/DN217-1</f>
        <v>6.0402604680110716E-2</v>
      </c>
      <c r="DU218" s="615">
        <f>DU217/DO217-1</f>
        <v>6.5576923076923199E-2</v>
      </c>
      <c r="DV218" s="615">
        <f>DV217/DP217-1</f>
        <v>6.7935455691833013E-2</v>
      </c>
      <c r="DW218" s="888">
        <f>DW217/DQ217-1</f>
        <v>6.4677143446482788E-2</v>
      </c>
      <c r="DX218" s="102"/>
      <c r="DY218" s="615">
        <f>DY217/DS217-1</f>
        <v>5.9821456682400687E-2</v>
      </c>
      <c r="DZ218" s="615">
        <f>DZ217/DT217-1</f>
        <v>6.0594856147028198E-2</v>
      </c>
      <c r="EA218" s="615">
        <f>EA217/DU217-1</f>
        <v>6.5787763941526523E-2</v>
      </c>
      <c r="EB218" s="615">
        <f>EB217/DV217-1</f>
        <v>6.8138073835774193E-2</v>
      </c>
      <c r="EC218" s="888">
        <f>EC217/DW217-1</f>
        <v>6.488837721347962E-2</v>
      </c>
      <c r="ED218" s="102"/>
      <c r="EE218" s="615">
        <f>EE217/DY217-1</f>
        <v>6.0008452980558236E-2</v>
      </c>
      <c r="EF218" s="615">
        <f>EF217/DZ217-1</f>
        <v>6.0788704633510049E-2</v>
      </c>
      <c r="EG218" s="615">
        <f>EG217/EA217-1</f>
        <v>6.5998293125257179E-2</v>
      </c>
      <c r="EH218" s="615">
        <f>EH217/EB217-1</f>
        <v>6.8339501439444117E-2</v>
      </c>
      <c r="EI218" s="888">
        <f>EI217/EC217-1</f>
        <v>6.5099655263994638E-2</v>
      </c>
      <c r="EJ218" s="102"/>
      <c r="EK218" s="615">
        <f>EK217/EE217-1</f>
        <v>6.0197210398284851E-2</v>
      </c>
      <c r="EL218" s="615">
        <f>EL217/EF217-1</f>
        <v>6.0984092263893785E-2</v>
      </c>
      <c r="EM218" s="615">
        <f>EM217/EG217-1</f>
        <v>6.6208427993465602E-2</v>
      </c>
      <c r="EN218" s="615">
        <f>EN217/EH217-1</f>
        <v>6.8539669765943279E-2</v>
      </c>
      <c r="EO218" s="888">
        <f>EO217/EI217-1</f>
        <v>6.5310893778359524E-2</v>
      </c>
      <c r="EP218" s="102"/>
      <c r="EQ218" s="615">
        <f>EQ217/EK217-1</f>
        <v>6.0387677992484123E-2</v>
      </c>
      <c r="ER218" s="615">
        <f>ER217/EL217-1</f>
        <v>6.1180959009190294E-2</v>
      </c>
      <c r="ES218" s="615">
        <f>ES217/EM217-1</f>
        <v>6.6418086532936238E-2</v>
      </c>
      <c r="ET218" s="615">
        <f>ET217/EN217-1</f>
        <v>6.8738511927783019E-2</v>
      </c>
      <c r="EU218" s="888">
        <f>EU217/EO217-1</f>
        <v>6.552200899962668E-2</v>
      </c>
      <c r="EV218" s="102"/>
      <c r="EW218" s="615">
        <f>EW217/EQ217-1</f>
        <v>6.0579802523848869E-2</v>
      </c>
      <c r="EX218" s="615">
        <f>EX217/ER217-1</f>
        <v>6.1379242745930762E-2</v>
      </c>
      <c r="EY218" s="615">
        <f>EY217/ES217-1</f>
        <v>6.6627187478804473E-2</v>
      </c>
      <c r="EZ218" s="615">
        <f>EZ217/ET217-1</f>
        <v>6.8935962965815945E-2</v>
      </c>
      <c r="FA218" s="888">
        <f>FA217/EU217-1</f>
        <v>6.5732917366329913E-2</v>
      </c>
      <c r="FB218" s="102"/>
      <c r="FC218" s="615">
        <f>FC217/EW217-1</f>
        <v>6.0773528496927742E-2</v>
      </c>
      <c r="FD218" s="615">
        <f>FD217/EX217-1</f>
        <v>6.1578879321033897E-2</v>
      </c>
      <c r="FE218" s="615">
        <f>FE217/EY217-1</f>
        <v>6.6835650438983318E-2</v>
      </c>
      <c r="FF218" s="615">
        <f>FF217/EZ217-1</f>
        <v>6.9131959922406727E-2</v>
      </c>
      <c r="FG218" s="888">
        <f>FG217/FA217-1</f>
        <v>6.5943535644583884E-2</v>
      </c>
      <c r="FH218" s="102"/>
      <c r="FI218" s="615">
        <f>FI217/FC217-1</f>
        <v>6.0968798206313402E-2</v>
      </c>
      <c r="FJ218" s="615">
        <f>FJ217/FD217-1</f>
        <v>6.1779802622593971E-2</v>
      </c>
      <c r="FK218" s="615">
        <f>FK217/FE217-1</f>
        <v>6.7043396015703083E-2</v>
      </c>
      <c r="FL218" s="615">
        <f>FL217/FF217-1</f>
        <v>6.9326441908722725E-2</v>
      </c>
      <c r="FM218" s="888">
        <f>FM217/FG217-1</f>
        <v>6.6153781059085759E-2</v>
      </c>
      <c r="FQ218"/>
      <c r="FR218"/>
      <c r="FS218"/>
      <c r="FT218"/>
      <c r="FU218"/>
      <c r="FV218"/>
      <c r="GB218" s="24"/>
      <c r="GC218" s="24"/>
      <c r="GD218" s="24"/>
      <c r="GE218" s="24"/>
      <c r="GF218" s="24"/>
      <c r="GG218" s="24"/>
      <c r="GH218" s="24"/>
      <c r="GI218" s="24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</row>
    <row r="219" spans="1:274" s="32" customFormat="1" hidden="1" outlineLevel="2" x14ac:dyDescent="0.2">
      <c r="A219" s="641" t="s">
        <v>482</v>
      </c>
      <c r="B219" s="642"/>
      <c r="C219" s="642"/>
      <c r="D219" s="622"/>
      <c r="E219" s="622"/>
      <c r="F219" s="622"/>
      <c r="G219" s="622"/>
      <c r="H219" s="622"/>
      <c r="I219" s="622"/>
      <c r="J219" s="622"/>
      <c r="K219" s="622"/>
      <c r="L219" s="622"/>
      <c r="M219" s="622"/>
      <c r="N219" s="642"/>
      <c r="O219" s="642"/>
      <c r="P219" s="642"/>
      <c r="Q219" s="642"/>
      <c r="R219" s="642"/>
      <c r="S219" s="622"/>
      <c r="T219" s="642"/>
      <c r="U219" s="622"/>
      <c r="V219" s="622"/>
      <c r="W219" s="622"/>
      <c r="X219" s="622"/>
      <c r="Y219" s="622"/>
      <c r="Z219" s="642"/>
      <c r="AA219" s="622"/>
      <c r="AB219" s="622"/>
      <c r="AC219" s="622"/>
      <c r="AD219" s="622"/>
      <c r="AE219" s="622"/>
      <c r="AF219" s="642"/>
      <c r="AG219" s="622"/>
      <c r="AH219" s="622"/>
      <c r="AI219" s="622"/>
      <c r="AJ219" s="622"/>
      <c r="AK219" s="622"/>
      <c r="AL219" s="642"/>
      <c r="AM219" s="622"/>
      <c r="AN219" s="622"/>
      <c r="AO219" s="622"/>
      <c r="AP219" s="622"/>
      <c r="AQ219" s="622"/>
      <c r="AR219" s="642"/>
      <c r="AS219" s="622"/>
      <c r="AT219" s="622"/>
      <c r="AU219" s="622"/>
      <c r="AV219" s="622"/>
      <c r="AW219" s="622"/>
      <c r="AX219" s="642"/>
      <c r="AY219" s="622"/>
      <c r="AZ219" s="622"/>
      <c r="BA219" s="622"/>
      <c r="BB219" s="622"/>
      <c r="BC219" s="622"/>
      <c r="BD219" s="642"/>
      <c r="BE219" s="622"/>
      <c r="BF219" s="622"/>
      <c r="BG219" s="622"/>
      <c r="BH219" s="622"/>
      <c r="BI219" s="622"/>
      <c r="BJ219" s="642"/>
      <c r="BK219" s="622">
        <v>16</v>
      </c>
      <c r="BL219" s="622">
        <v>20</v>
      </c>
      <c r="BM219" s="622">
        <v>27</v>
      </c>
      <c r="BN219" s="622">
        <v>60</v>
      </c>
      <c r="BO219" s="622">
        <f>SUM(BK219:BN219)</f>
        <v>123</v>
      </c>
      <c r="BP219" s="642"/>
      <c r="BQ219" s="622">
        <v>30</v>
      </c>
      <c r="BR219" s="622">
        <v>40</v>
      </c>
      <c r="BS219" s="622">
        <v>50</v>
      </c>
      <c r="BT219" s="622">
        <v>80</v>
      </c>
      <c r="BU219" s="622">
        <f>SUM(BQ219:BT219)</f>
        <v>200</v>
      </c>
      <c r="BV219" s="642"/>
      <c r="BW219" s="622">
        <v>24.6</v>
      </c>
      <c r="BX219" s="622">
        <v>30</v>
      </c>
      <c r="BY219" s="622">
        <v>69</v>
      </c>
      <c r="BZ219" s="622">
        <v>139.69999999999999</v>
      </c>
      <c r="CA219" s="622">
        <f>SUM(BW219:BZ219)</f>
        <v>263.29999999999995</v>
      </c>
      <c r="CB219" s="642"/>
      <c r="CC219" s="622">
        <v>26.322000000000003</v>
      </c>
      <c r="CD219" s="622">
        <v>40.799999999999997</v>
      </c>
      <c r="CE219" s="622">
        <v>77.97</v>
      </c>
      <c r="CF219" s="622">
        <v>170</v>
      </c>
      <c r="CG219" s="314">
        <f>SUM(CC219:CF219)</f>
        <v>315.09199999999998</v>
      </c>
      <c r="CH219" s="642"/>
      <c r="CI219" s="622">
        <v>34.5</v>
      </c>
      <c r="CJ219" s="622">
        <v>52.224000000000004</v>
      </c>
      <c r="CK219" s="622">
        <v>81.868499999999997</v>
      </c>
      <c r="CL219" s="622">
        <v>221</v>
      </c>
      <c r="CM219" s="314">
        <f>SUM(CI219:CL219)</f>
        <v>389.59249999999997</v>
      </c>
      <c r="CN219" s="642"/>
      <c r="CO219" s="622">
        <v>37.777500000000003</v>
      </c>
      <c r="CP219" s="622">
        <v>65.28</v>
      </c>
      <c r="CQ219" s="622">
        <v>105</v>
      </c>
      <c r="CR219" s="622">
        <f>CL219*(1+CR220)</f>
        <v>265.2</v>
      </c>
      <c r="CS219" s="314">
        <f>SUM(CO219:CR219)</f>
        <v>473.25749999999999</v>
      </c>
      <c r="CT219" s="642"/>
      <c r="CU219" s="622">
        <f>CO219*(1+CU220)</f>
        <v>50.999625000000009</v>
      </c>
      <c r="CV219" s="622">
        <f>CP219*(1+CV220)</f>
        <v>65.28</v>
      </c>
      <c r="CW219" s="622">
        <f>CQ219*(1+CW220)</f>
        <v>102.89999999999999</v>
      </c>
      <c r="CX219" s="622">
        <f>CR219*(1+CX220)</f>
        <v>243.98400000000001</v>
      </c>
      <c r="CY219" s="314">
        <f>SUM(CU219:CX219)</f>
        <v>463.16362500000002</v>
      </c>
      <c r="CZ219" s="642"/>
      <c r="DA219" s="622">
        <f>CU219*(1+DA220)</f>
        <v>45.899662500000012</v>
      </c>
      <c r="DB219" s="622">
        <f>CV219*(1+DB220)</f>
        <v>65.28</v>
      </c>
      <c r="DC219" s="622">
        <f>CW219*(1+DC220)</f>
        <v>102.89999999999999</v>
      </c>
      <c r="DD219" s="622">
        <f>CX219*(1+DD220)</f>
        <v>256.1832</v>
      </c>
      <c r="DE219" s="314">
        <f>SUM(DA219:DD219)</f>
        <v>470.26286249999998</v>
      </c>
      <c r="DF219" s="642"/>
      <c r="DG219" s="622">
        <f>DA219*(1+DG220)</f>
        <v>49.571635500000014</v>
      </c>
      <c r="DH219" s="622">
        <f>DB219*(1+DH220)</f>
        <v>73.113600000000005</v>
      </c>
      <c r="DI219" s="622">
        <f>DC219*(1+DI220)</f>
        <v>118.33499999999998</v>
      </c>
      <c r="DJ219" s="622">
        <f>DD219*(1+DJ220)</f>
        <v>276.67785600000002</v>
      </c>
      <c r="DK219" s="314">
        <f>SUM(DG219:DJ219)</f>
        <v>517.69809150000003</v>
      </c>
      <c r="DL219" s="642"/>
      <c r="DM219" s="622">
        <f>DG219*(1+DM220)</f>
        <v>57.007380825000013</v>
      </c>
      <c r="DN219" s="622">
        <f>DH219*(1+DN220)</f>
        <v>77.500416000000016</v>
      </c>
      <c r="DO219" s="622">
        <f>DI219*(1+DO220)</f>
        <v>127.80179999999999</v>
      </c>
      <c r="DP219" s="622">
        <f>DJ219*(1+DP220)</f>
        <v>298.81208448000007</v>
      </c>
      <c r="DQ219" s="314">
        <f>SUM(DM219:DP219)</f>
        <v>561.12168130500004</v>
      </c>
      <c r="DR219" s="642"/>
      <c r="DS219" s="622">
        <f>DM219*(1+DS220)</f>
        <v>61.567971291000021</v>
      </c>
      <c r="DT219" s="622">
        <f>DN219*(1+DT220)</f>
        <v>83.700449280000029</v>
      </c>
      <c r="DU219" s="622">
        <f>DO219*(1+DU220)</f>
        <v>138.02594399999998</v>
      </c>
      <c r="DV219" s="622">
        <f>DP219*(1+DV220)</f>
        <v>322.71705123840007</v>
      </c>
      <c r="DW219" s="314">
        <f>SUM(DS219:DV219)</f>
        <v>606.01141580940009</v>
      </c>
      <c r="DX219" s="642"/>
      <c r="DY219" s="622">
        <f>DS219*(1+DY220)</f>
        <v>66.493408994280031</v>
      </c>
      <c r="DZ219" s="622">
        <f>DT219*(1+DZ220)</f>
        <v>90.396485222400031</v>
      </c>
      <c r="EA219" s="622">
        <f>DU219*(1+EA220)</f>
        <v>149.06801951999998</v>
      </c>
      <c r="EB219" s="622">
        <f>DV219*(1+EB220)</f>
        <v>348.53441533747213</v>
      </c>
      <c r="EC219" s="314">
        <f>SUM(DY219:EB219)</f>
        <v>654.49232907415217</v>
      </c>
      <c r="ED219" s="642"/>
      <c r="EE219" s="622">
        <f>DY219*(1+EE220)</f>
        <v>71.812881713822435</v>
      </c>
      <c r="EF219" s="622">
        <f>DZ219*(1+EF220)</f>
        <v>97.628204040192045</v>
      </c>
      <c r="EG219" s="622">
        <f>EA219*(1+EG220)</f>
        <v>160.99346108159997</v>
      </c>
      <c r="EH219" s="622">
        <f>EB219*(1+EH220)</f>
        <v>376.41716856446993</v>
      </c>
      <c r="EI219" s="314">
        <f>SUM(EE219:EH219)</f>
        <v>706.85171540008446</v>
      </c>
      <c r="EJ219" s="642"/>
      <c r="EK219" s="622">
        <f>EE219*(1+EK220)</f>
        <v>77.55791225092824</v>
      </c>
      <c r="EL219" s="622">
        <f>EF219*(1+EL220)</f>
        <v>105.43846036340742</v>
      </c>
      <c r="EM219" s="622">
        <f>EG219*(1+EM220)</f>
        <v>173.87293796812799</v>
      </c>
      <c r="EN219" s="622">
        <f>EH219*(1+EN220)</f>
        <v>406.53054204962757</v>
      </c>
      <c r="EO219" s="314">
        <f>SUM(EK219:EN219)</f>
        <v>763.39985263209121</v>
      </c>
      <c r="EP219" s="642"/>
      <c r="EQ219" s="622">
        <f>EK219*(1+EQ220)</f>
        <v>83.762545231002505</v>
      </c>
      <c r="ER219" s="622">
        <f>EL219*(1+ER220)</f>
        <v>113.87353719248001</v>
      </c>
      <c r="ES219" s="622">
        <f>EM219*(1+ES220)</f>
        <v>187.78277300557824</v>
      </c>
      <c r="ET219" s="622">
        <f>EN219*(1+ET220)</f>
        <v>439.05298541359781</v>
      </c>
      <c r="EU219" s="314">
        <f>SUM(EQ219:ET219)</f>
        <v>824.47184084265859</v>
      </c>
      <c r="EV219" s="642"/>
      <c r="EW219" s="622">
        <f>EQ219*(1+EW220)</f>
        <v>90.463548849482706</v>
      </c>
      <c r="EX219" s="622">
        <f>ER219*(1+EX220)</f>
        <v>122.98342016787842</v>
      </c>
      <c r="EY219" s="622">
        <f>ES219*(1+EY220)</f>
        <v>202.80539484602451</v>
      </c>
      <c r="EZ219" s="622">
        <f>ET219*(1+EZ220)</f>
        <v>474.17722424668568</v>
      </c>
      <c r="FA219" s="314">
        <f>SUM(EW219:EZ219)</f>
        <v>890.42958811007134</v>
      </c>
      <c r="FB219" s="642"/>
      <c r="FC219" s="622">
        <f>EW219*(1+FC220)</f>
        <v>97.700632757441326</v>
      </c>
      <c r="FD219" s="622">
        <f>EX219*(1+FD220)</f>
        <v>132.82209378130869</v>
      </c>
      <c r="FE219" s="622">
        <f>EY219*(1+FE220)</f>
        <v>219.02982643370649</v>
      </c>
      <c r="FF219" s="622">
        <f>EZ219*(1+FF220)</f>
        <v>512.11140218642061</v>
      </c>
      <c r="FG219" s="314">
        <f>SUM(FC219:FF219)</f>
        <v>961.66395515887712</v>
      </c>
      <c r="FH219" s="642"/>
      <c r="FI219" s="622">
        <f>FC219*(1+FI220)</f>
        <v>105.51668337803665</v>
      </c>
      <c r="FJ219" s="622">
        <f>FD219*(1+FJ220)</f>
        <v>143.44786128381341</v>
      </c>
      <c r="FK219" s="622">
        <f>FE219*(1+FK220)</f>
        <v>236.55221254840302</v>
      </c>
      <c r="FL219" s="622">
        <f>FF219*(1+FL220)</f>
        <v>553.08031436133433</v>
      </c>
      <c r="FM219" s="314">
        <f>SUM(FI219:FL219)</f>
        <v>1038.5970715715875</v>
      </c>
      <c r="FQ219"/>
      <c r="FR219"/>
      <c r="FS219"/>
      <c r="FT219"/>
      <c r="FU219"/>
      <c r="FV219"/>
      <c r="GB219" s="24"/>
      <c r="GC219" s="24"/>
      <c r="GD219" s="24"/>
      <c r="GE219" s="24"/>
      <c r="GF219" s="24"/>
      <c r="GG219" s="24"/>
      <c r="GH219" s="24"/>
      <c r="GI219" s="24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</row>
    <row r="220" spans="1:274" s="32" customFormat="1" hidden="1" outlineLevel="2" x14ac:dyDescent="0.2">
      <c r="A220" s="623" t="s">
        <v>483</v>
      </c>
      <c r="B220" s="619"/>
      <c r="C220" s="619"/>
      <c r="D220" s="620"/>
      <c r="E220" s="620"/>
      <c r="F220" s="620"/>
      <c r="G220" s="620"/>
      <c r="H220" s="620"/>
      <c r="I220" s="620"/>
      <c r="J220" s="620"/>
      <c r="K220" s="620"/>
      <c r="L220" s="620"/>
      <c r="M220" s="620"/>
      <c r="N220" s="619"/>
      <c r="O220" s="619"/>
      <c r="P220" s="619"/>
      <c r="Q220" s="619"/>
      <c r="R220" s="619"/>
      <c r="S220" s="620"/>
      <c r="T220" s="619"/>
      <c r="U220" s="620"/>
      <c r="V220" s="620"/>
      <c r="W220" s="620"/>
      <c r="X220" s="620"/>
      <c r="Y220" s="620"/>
      <c r="Z220" s="619"/>
      <c r="AA220" s="620"/>
      <c r="AB220" s="620"/>
      <c r="AC220" s="620"/>
      <c r="AD220" s="620"/>
      <c r="AE220" s="620"/>
      <c r="AF220" s="619"/>
      <c r="AG220" s="620"/>
      <c r="AH220" s="620"/>
      <c r="AI220" s="620"/>
      <c r="AJ220" s="620"/>
      <c r="AK220" s="620"/>
      <c r="AL220" s="619"/>
      <c r="AM220" s="620"/>
      <c r="AN220" s="620"/>
      <c r="AO220" s="620"/>
      <c r="AP220" s="620"/>
      <c r="AQ220" s="620"/>
      <c r="AR220" s="619"/>
      <c r="AS220" s="620"/>
      <c r="AT220" s="620"/>
      <c r="AU220" s="620"/>
      <c r="AV220" s="620"/>
      <c r="AW220" s="620"/>
      <c r="AX220" s="619"/>
      <c r="AY220" s="620"/>
      <c r="AZ220" s="620"/>
      <c r="BA220" s="620"/>
      <c r="BB220" s="620"/>
      <c r="BC220" s="620"/>
      <c r="BD220" s="619"/>
      <c r="BE220" s="620"/>
      <c r="BF220" s="620"/>
      <c r="BG220" s="620"/>
      <c r="BH220" s="620"/>
      <c r="BI220" s="620"/>
      <c r="BJ220" s="619"/>
      <c r="BK220" s="620"/>
      <c r="BL220" s="620"/>
      <c r="BM220" s="620"/>
      <c r="BN220" s="620"/>
      <c r="BO220" s="620"/>
      <c r="BP220" s="619"/>
      <c r="BQ220" s="620">
        <f>BQ219/BK219-1</f>
        <v>0.875</v>
      </c>
      <c r="BR220" s="620">
        <f>BR219/BL219-1</f>
        <v>1</v>
      </c>
      <c r="BS220" s="620">
        <f>BS219/BM219-1</f>
        <v>0.85185185185185186</v>
      </c>
      <c r="BT220" s="620">
        <f>BT219/BN219-1</f>
        <v>0.33333333333333326</v>
      </c>
      <c r="BU220" s="620">
        <f>BU219/BO219-1</f>
        <v>0.62601626016260159</v>
      </c>
      <c r="BV220" s="619"/>
      <c r="BW220" s="620">
        <f>BW219/BQ219-1</f>
        <v>-0.17999999999999994</v>
      </c>
      <c r="BX220" s="620">
        <f>BX219/BR219-1</f>
        <v>-0.25</v>
      </c>
      <c r="BY220" s="620">
        <f>BY219/BS219-1</f>
        <v>0.37999999999999989</v>
      </c>
      <c r="BZ220" s="620">
        <f>BZ219/BT219-1</f>
        <v>0.74624999999999986</v>
      </c>
      <c r="CA220" s="620">
        <f>CA219/BU219-1</f>
        <v>0.31649999999999978</v>
      </c>
      <c r="CB220" s="619"/>
      <c r="CC220" s="620">
        <f>CC219/BW219-1</f>
        <v>7.0000000000000062E-2</v>
      </c>
      <c r="CD220" s="620">
        <f>CD219/BX219-1</f>
        <v>0.35999999999999988</v>
      </c>
      <c r="CE220" s="620">
        <f>CE219/BY219-1</f>
        <v>0.12999999999999989</v>
      </c>
      <c r="CF220" s="620">
        <f>CF219/BZ219-1</f>
        <v>0.21689334287759499</v>
      </c>
      <c r="CG220" s="617">
        <f>CG219/CA219-1</f>
        <v>0.19670338017470579</v>
      </c>
      <c r="CH220" s="619"/>
      <c r="CI220" s="620">
        <f>CI219/CC219-1</f>
        <v>0.31069067700022779</v>
      </c>
      <c r="CJ220" s="620">
        <f>CJ219/CD219-1</f>
        <v>0.28000000000000025</v>
      </c>
      <c r="CK220" s="620">
        <f>CK219/CE219-1</f>
        <v>5.0000000000000044E-2</v>
      </c>
      <c r="CL220" s="620">
        <f>CL219/CF219-1</f>
        <v>0.30000000000000004</v>
      </c>
      <c r="CM220" s="617">
        <f>CM219/CG219-1</f>
        <v>0.23644046818072173</v>
      </c>
      <c r="CN220" s="619"/>
      <c r="CO220" s="620">
        <f>CO219/CI219-1</f>
        <v>9.5000000000000195E-2</v>
      </c>
      <c r="CP220" s="620">
        <f>CP219/CJ219-1</f>
        <v>0.25</v>
      </c>
      <c r="CQ220" s="620">
        <f>CQ219/CK219-1</f>
        <v>0.28254456842375286</v>
      </c>
      <c r="CR220" s="620">
        <v>0.2</v>
      </c>
      <c r="CS220" s="617">
        <f>CS219/CM219-1</f>
        <v>0.2147500272720857</v>
      </c>
      <c r="CT220" s="619"/>
      <c r="CU220" s="643">
        <v>0.35</v>
      </c>
      <c r="CV220" s="643">
        <v>0</v>
      </c>
      <c r="CW220" s="643">
        <v>-0.02</v>
      </c>
      <c r="CX220" s="643">
        <v>-0.08</v>
      </c>
      <c r="CY220" s="617">
        <f>CY219/CS219-1</f>
        <v>-2.1328505095006389E-2</v>
      </c>
      <c r="CZ220" s="619"/>
      <c r="DA220" s="643">
        <v>-0.1</v>
      </c>
      <c r="DB220" s="643">
        <v>0</v>
      </c>
      <c r="DC220" s="643">
        <v>0</v>
      </c>
      <c r="DD220" s="643">
        <v>0.05</v>
      </c>
      <c r="DE220" s="617">
        <f>DE219/CY219-1</f>
        <v>1.5327709510866594E-2</v>
      </c>
      <c r="DF220" s="619"/>
      <c r="DG220" s="643">
        <v>0.08</v>
      </c>
      <c r="DH220" s="643">
        <v>0.12</v>
      </c>
      <c r="DI220" s="643">
        <v>0.15</v>
      </c>
      <c r="DJ220" s="643">
        <v>0.08</v>
      </c>
      <c r="DK220" s="617">
        <f>DK219/DE219-1</f>
        <v>0.10086960460331906</v>
      </c>
      <c r="DL220" s="619"/>
      <c r="DM220" s="643">
        <v>0.15</v>
      </c>
      <c r="DN220" s="643">
        <v>0.06</v>
      </c>
      <c r="DO220" s="643">
        <v>0.08</v>
      </c>
      <c r="DP220" s="643">
        <v>0.08</v>
      </c>
      <c r="DQ220" s="617">
        <f>DQ219/DK219-1</f>
        <v>8.3878211100185229E-2</v>
      </c>
      <c r="DR220" s="619"/>
      <c r="DS220" s="643">
        <v>0.08</v>
      </c>
      <c r="DT220" s="643">
        <v>0.08</v>
      </c>
      <c r="DU220" s="643">
        <v>0.08</v>
      </c>
      <c r="DV220" s="643">
        <v>0.08</v>
      </c>
      <c r="DW220" s="617">
        <f>DW219/DQ219-1</f>
        <v>8.0000000000000071E-2</v>
      </c>
      <c r="DX220" s="619"/>
      <c r="DY220" s="643">
        <v>0.08</v>
      </c>
      <c r="DZ220" s="643">
        <v>0.08</v>
      </c>
      <c r="EA220" s="643">
        <v>0.08</v>
      </c>
      <c r="EB220" s="643">
        <v>0.08</v>
      </c>
      <c r="EC220" s="617">
        <f>EC219/DW219-1</f>
        <v>8.0000000000000071E-2</v>
      </c>
      <c r="ED220" s="619"/>
      <c r="EE220" s="643">
        <v>0.08</v>
      </c>
      <c r="EF220" s="643">
        <v>0.08</v>
      </c>
      <c r="EG220" s="643">
        <v>0.08</v>
      </c>
      <c r="EH220" s="643">
        <v>0.08</v>
      </c>
      <c r="EI220" s="617">
        <f>EI219/EC219-1</f>
        <v>8.0000000000000071E-2</v>
      </c>
      <c r="EJ220" s="619"/>
      <c r="EK220" s="643">
        <v>0.08</v>
      </c>
      <c r="EL220" s="643">
        <v>0.08</v>
      </c>
      <c r="EM220" s="643">
        <v>0.08</v>
      </c>
      <c r="EN220" s="643">
        <v>0.08</v>
      </c>
      <c r="EO220" s="617">
        <f>EO219/EI219-1</f>
        <v>8.0000000000000071E-2</v>
      </c>
      <c r="EP220" s="619"/>
      <c r="EQ220" s="643">
        <v>0.08</v>
      </c>
      <c r="ER220" s="643">
        <v>0.08</v>
      </c>
      <c r="ES220" s="643">
        <v>0.08</v>
      </c>
      <c r="ET220" s="643">
        <v>0.08</v>
      </c>
      <c r="EU220" s="617">
        <f>EU219/EO219-1</f>
        <v>8.0000000000000071E-2</v>
      </c>
      <c r="EV220" s="619"/>
      <c r="EW220" s="643">
        <v>0.08</v>
      </c>
      <c r="EX220" s="643">
        <v>0.08</v>
      </c>
      <c r="EY220" s="643">
        <v>0.08</v>
      </c>
      <c r="EZ220" s="643">
        <v>0.08</v>
      </c>
      <c r="FA220" s="617">
        <f>FA219/EU219-1</f>
        <v>8.0000000000000071E-2</v>
      </c>
      <c r="FB220" s="619"/>
      <c r="FC220" s="643">
        <v>0.08</v>
      </c>
      <c r="FD220" s="643">
        <v>0.08</v>
      </c>
      <c r="FE220" s="643">
        <v>0.08</v>
      </c>
      <c r="FF220" s="643">
        <v>0.08</v>
      </c>
      <c r="FG220" s="617">
        <f>FG219/FA219-1</f>
        <v>8.0000000000000071E-2</v>
      </c>
      <c r="FH220" s="619"/>
      <c r="FI220" s="643">
        <v>0.08</v>
      </c>
      <c r="FJ220" s="643">
        <v>0.08</v>
      </c>
      <c r="FK220" s="643">
        <v>0.08</v>
      </c>
      <c r="FL220" s="643">
        <v>0.08</v>
      </c>
      <c r="FM220" s="617">
        <f>FM219/FG219-1</f>
        <v>8.0000000000000293E-2</v>
      </c>
      <c r="FQ220"/>
      <c r="FR220"/>
      <c r="FS220"/>
      <c r="FT220"/>
      <c r="FU220"/>
      <c r="FV220"/>
      <c r="GB220" s="24"/>
      <c r="GC220" s="24"/>
      <c r="GD220" s="24"/>
      <c r="GE220" s="24"/>
      <c r="GF220" s="24"/>
      <c r="GG220" s="24"/>
      <c r="GH220" s="24"/>
      <c r="GI220" s="24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</row>
    <row r="221" spans="1:274" s="32" customFormat="1" hidden="1" outlineLevel="2" x14ac:dyDescent="0.2">
      <c r="A221" s="641" t="s">
        <v>484</v>
      </c>
      <c r="B221" s="642"/>
      <c r="C221" s="642"/>
      <c r="D221" s="622"/>
      <c r="E221" s="622"/>
      <c r="F221" s="622"/>
      <c r="G221" s="622"/>
      <c r="H221" s="622"/>
      <c r="I221" s="622"/>
      <c r="J221" s="622"/>
      <c r="K221" s="622"/>
      <c r="L221" s="622"/>
      <c r="M221" s="622"/>
      <c r="N221" s="642"/>
      <c r="O221" s="642"/>
      <c r="P221" s="642"/>
      <c r="Q221" s="642"/>
      <c r="R221" s="642"/>
      <c r="S221" s="622"/>
      <c r="T221" s="642"/>
      <c r="U221" s="622"/>
      <c r="V221" s="622"/>
      <c r="W221" s="622"/>
      <c r="X221" s="622"/>
      <c r="Y221" s="622"/>
      <c r="Z221" s="642"/>
      <c r="AA221" s="622"/>
      <c r="AB221" s="622"/>
      <c r="AC221" s="622"/>
      <c r="AD221" s="622"/>
      <c r="AE221" s="622"/>
      <c r="AF221" s="642"/>
      <c r="AG221" s="622"/>
      <c r="AH221" s="622"/>
      <c r="AI221" s="622"/>
      <c r="AJ221" s="622"/>
      <c r="AK221" s="622"/>
      <c r="AL221" s="642"/>
      <c r="AM221" s="622"/>
      <c r="AN221" s="622"/>
      <c r="AO221" s="622"/>
      <c r="AP221" s="622"/>
      <c r="AQ221" s="622"/>
      <c r="AR221" s="642"/>
      <c r="AS221" s="622"/>
      <c r="AT221" s="622"/>
      <c r="AU221" s="622"/>
      <c r="AV221" s="622"/>
      <c r="AW221" s="622"/>
      <c r="AX221" s="642"/>
      <c r="AY221" s="622"/>
      <c r="AZ221" s="622"/>
      <c r="BA221" s="622"/>
      <c r="BB221" s="622"/>
      <c r="BC221" s="622"/>
      <c r="BD221" s="642"/>
      <c r="BE221" s="622"/>
      <c r="BF221" s="622"/>
      <c r="BG221" s="622"/>
      <c r="BH221" s="622"/>
      <c r="BI221" s="622"/>
      <c r="BJ221" s="642"/>
      <c r="BK221" s="622">
        <v>42.5</v>
      </c>
      <c r="BL221" s="622">
        <v>66.825000000000003</v>
      </c>
      <c r="BM221" s="622">
        <v>40.89800000000001</v>
      </c>
      <c r="BN221" s="622">
        <v>65.278000000000006</v>
      </c>
      <c r="BO221" s="622">
        <f>SUM(BK221:BN221)</f>
        <v>215.50100000000003</v>
      </c>
      <c r="BP221" s="642"/>
      <c r="BQ221" s="622">
        <v>35</v>
      </c>
      <c r="BR221" s="622">
        <v>55</v>
      </c>
      <c r="BS221" s="622">
        <v>56.05</v>
      </c>
      <c r="BT221" s="622">
        <v>120</v>
      </c>
      <c r="BU221" s="622">
        <f>SUM(BQ221:BT221)</f>
        <v>266.05</v>
      </c>
      <c r="BV221" s="642"/>
      <c r="BW221" s="622">
        <v>49.5</v>
      </c>
      <c r="BX221" s="622">
        <v>74.5</v>
      </c>
      <c r="BY221" s="622">
        <v>60.381</v>
      </c>
      <c r="BZ221" s="622">
        <v>107.49250000000001</v>
      </c>
      <c r="CA221" s="622">
        <f>SUM(BW221:BZ221)</f>
        <v>291.87350000000004</v>
      </c>
      <c r="CB221" s="642"/>
      <c r="CC221" s="622">
        <v>56</v>
      </c>
      <c r="CD221" s="622">
        <v>91</v>
      </c>
      <c r="CE221" s="622">
        <v>69.5</v>
      </c>
      <c r="CF221" s="622">
        <v>126</v>
      </c>
      <c r="CG221" s="314">
        <f>SUM(CC221:CF221)</f>
        <v>342.5</v>
      </c>
      <c r="CH221" s="642"/>
      <c r="CI221" s="622">
        <v>68</v>
      </c>
      <c r="CJ221" s="622">
        <v>99.372000000000014</v>
      </c>
      <c r="CK221" s="622">
        <v>70.89</v>
      </c>
      <c r="CL221" s="622">
        <v>157.5</v>
      </c>
      <c r="CM221" s="314">
        <f>SUM(CI221:CL221)</f>
        <v>395.762</v>
      </c>
      <c r="CN221" s="642"/>
      <c r="CO221" s="622">
        <v>77.52</v>
      </c>
      <c r="CP221" s="622">
        <v>135</v>
      </c>
      <c r="CQ221" s="622">
        <v>100</v>
      </c>
      <c r="CR221" s="622">
        <f>CL221*(1+CR222)</f>
        <v>183.48750000000001</v>
      </c>
      <c r="CS221" s="314">
        <f>SUM(CO221:CR221)</f>
        <v>496.00749999999999</v>
      </c>
      <c r="CT221" s="642"/>
      <c r="CU221" s="622">
        <f>CO221*(1+CU222)</f>
        <v>110.85359999999999</v>
      </c>
      <c r="CV221" s="622">
        <f>CP221*(1+CV222)</f>
        <v>135</v>
      </c>
      <c r="CW221" s="622">
        <f>CQ221*(1+CW222)</f>
        <v>98</v>
      </c>
      <c r="CX221" s="622">
        <f>CR221*(1+CX222)</f>
        <v>168.80850000000001</v>
      </c>
      <c r="CY221" s="314">
        <f>SUM(CU221:CX221)</f>
        <v>512.66210000000001</v>
      </c>
      <c r="CZ221" s="642"/>
      <c r="DA221" s="622">
        <f>CU221*(1+DA222)</f>
        <v>99.768239999999992</v>
      </c>
      <c r="DB221" s="622">
        <f>CV221*(1+DB222)</f>
        <v>135</v>
      </c>
      <c r="DC221" s="622">
        <f>CW221*(1+DC222)</f>
        <v>98</v>
      </c>
      <c r="DD221" s="622">
        <f>CX221*(1+DD222)</f>
        <v>177.24892500000001</v>
      </c>
      <c r="DE221" s="314">
        <f>SUM(DA221:DD221)</f>
        <v>510.01716499999998</v>
      </c>
      <c r="DF221" s="642"/>
      <c r="DG221" s="622">
        <f>DA221*(1+DG222)</f>
        <v>104.756652</v>
      </c>
      <c r="DH221" s="622">
        <f>DB221*(1+DH222)</f>
        <v>141.75</v>
      </c>
      <c r="DI221" s="622">
        <f>DC221*(1+DI222)</f>
        <v>112.69999999999999</v>
      </c>
      <c r="DJ221" s="622">
        <f>DD221*(1+DJ222)</f>
        <v>191.42883900000004</v>
      </c>
      <c r="DK221" s="314">
        <f>SUM(DG221:DJ221)</f>
        <v>550.635491</v>
      </c>
      <c r="DL221" s="642"/>
      <c r="DM221" s="622">
        <f>DG221*(1+DM222)</f>
        <v>120.47014979999999</v>
      </c>
      <c r="DN221" s="622">
        <f>DH221*(1+DN222)</f>
        <v>146.0025</v>
      </c>
      <c r="DO221" s="622">
        <f>DI221*(1+DO222)</f>
        <v>118.33499999999999</v>
      </c>
      <c r="DP221" s="622">
        <f>DJ221*(1+DP222)</f>
        <v>201.00028095000005</v>
      </c>
      <c r="DQ221" s="314">
        <f>SUM(DM221:DP221)</f>
        <v>585.80793074999997</v>
      </c>
      <c r="DR221" s="642"/>
      <c r="DS221" s="622">
        <f>DM221*(1+DS222)</f>
        <v>126.49365728999999</v>
      </c>
      <c r="DT221" s="622">
        <f>DN221*(1+DT222)</f>
        <v>153.30262500000001</v>
      </c>
      <c r="DU221" s="622">
        <f>DO221*(1+DU222)</f>
        <v>124.25175</v>
      </c>
      <c r="DV221" s="622">
        <f>DP221*(1+DV222)</f>
        <v>211.05029499750006</v>
      </c>
      <c r="DW221" s="314">
        <f>SUM(DS221:DV221)</f>
        <v>615.09832728750007</v>
      </c>
      <c r="DX221" s="642"/>
      <c r="DY221" s="622">
        <f>DS221*(1+DY222)</f>
        <v>132.81834015449999</v>
      </c>
      <c r="DZ221" s="622">
        <f>DT221*(1+DZ222)</f>
        <v>160.96775625000001</v>
      </c>
      <c r="EA221" s="622">
        <f>DU221*(1+EA222)</f>
        <v>130.4643375</v>
      </c>
      <c r="EB221" s="622">
        <f>DV221*(1+EB222)</f>
        <v>221.60280974737506</v>
      </c>
      <c r="EC221" s="314">
        <f>SUM(DY221:EB221)</f>
        <v>645.853243651875</v>
      </c>
      <c r="ED221" s="642"/>
      <c r="EE221" s="622">
        <f>DY221*(1+EE222)</f>
        <v>139.45925716222499</v>
      </c>
      <c r="EF221" s="622">
        <f>DZ221*(1+EF222)</f>
        <v>169.01614406250002</v>
      </c>
      <c r="EG221" s="622">
        <f>EA221*(1+EG222)</f>
        <v>136.987554375</v>
      </c>
      <c r="EH221" s="622">
        <f>EB221*(1+EH222)</f>
        <v>232.68295023474383</v>
      </c>
      <c r="EI221" s="314">
        <f>SUM(EE221:EH221)</f>
        <v>678.14590583446886</v>
      </c>
      <c r="EJ221" s="642"/>
      <c r="EK221" s="622">
        <f>EE221*(1+EK222)</f>
        <v>146.43222002033625</v>
      </c>
      <c r="EL221" s="622">
        <f>EF221*(1+EL222)</f>
        <v>177.46695126562503</v>
      </c>
      <c r="EM221" s="622">
        <f>EG221*(1+EM222)</f>
        <v>143.83693209375002</v>
      </c>
      <c r="EN221" s="622">
        <f>EH221*(1+EN222)</f>
        <v>244.31709774648104</v>
      </c>
      <c r="EO221" s="314">
        <f>SUM(EK221:EN221)</f>
        <v>712.05320112619233</v>
      </c>
      <c r="EP221" s="642"/>
      <c r="EQ221" s="622">
        <f>EK221*(1+EQ222)</f>
        <v>153.75383102135305</v>
      </c>
      <c r="ER221" s="622">
        <f>EL221*(1+ER222)</f>
        <v>186.3402988289063</v>
      </c>
      <c r="ES221" s="622">
        <f>EM221*(1+ES222)</f>
        <v>151.02877869843752</v>
      </c>
      <c r="ET221" s="622">
        <f>EN221*(1+ET222)</f>
        <v>256.53295263380511</v>
      </c>
      <c r="EU221" s="314">
        <f>SUM(EQ221:ET221)</f>
        <v>747.65586118250201</v>
      </c>
      <c r="EV221" s="642"/>
      <c r="EW221" s="622">
        <f>EQ221*(1+EW222)</f>
        <v>161.44152257242072</v>
      </c>
      <c r="EX221" s="622">
        <f>ER221*(1+EX222)</f>
        <v>195.65731377035164</v>
      </c>
      <c r="EY221" s="622">
        <f>ES221*(1+EY222)</f>
        <v>158.58021763335941</v>
      </c>
      <c r="EZ221" s="622">
        <f>ET221*(1+EZ222)</f>
        <v>269.35960026549537</v>
      </c>
      <c r="FA221" s="314">
        <f>SUM(EW221:EZ221)</f>
        <v>785.03865424162711</v>
      </c>
      <c r="FB221" s="642"/>
      <c r="FC221" s="622">
        <f>EW221*(1+FC222)</f>
        <v>169.51359870104176</v>
      </c>
      <c r="FD221" s="622">
        <f>EX221*(1+FD222)</f>
        <v>205.44017945886924</v>
      </c>
      <c r="FE221" s="622">
        <f>EY221*(1+FE222)</f>
        <v>166.50922851502739</v>
      </c>
      <c r="FF221" s="622">
        <f>EZ221*(1+FF222)</f>
        <v>282.82758027877014</v>
      </c>
      <c r="FG221" s="314">
        <f>SUM(FC221:FF221)</f>
        <v>824.2905869537085</v>
      </c>
      <c r="FH221" s="642"/>
      <c r="FI221" s="622">
        <f>FC221*(1+FI222)</f>
        <v>177.98927863609384</v>
      </c>
      <c r="FJ221" s="622">
        <f>FD221*(1+FJ222)</f>
        <v>215.71218843181271</v>
      </c>
      <c r="FK221" s="622">
        <f>FE221*(1+FK222)</f>
        <v>174.83468994077876</v>
      </c>
      <c r="FL221" s="622">
        <f>FF221*(1+FL222)</f>
        <v>296.96895929270869</v>
      </c>
      <c r="FM221" s="314">
        <f>SUM(FI221:FL221)</f>
        <v>865.50511630139408</v>
      </c>
      <c r="FQ221"/>
      <c r="FR221"/>
      <c r="FS221"/>
      <c r="FT221"/>
      <c r="FU221"/>
      <c r="FV221"/>
      <c r="GB221" s="24"/>
      <c r="GC221" s="24"/>
      <c r="GD221" s="24"/>
      <c r="GE221" s="24"/>
      <c r="GF221" s="24"/>
      <c r="GG221" s="24"/>
      <c r="GH221" s="24"/>
      <c r="GI221" s="24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</row>
    <row r="222" spans="1:274" s="32" customFormat="1" hidden="1" outlineLevel="2" x14ac:dyDescent="0.2">
      <c r="A222" s="623" t="s">
        <v>523</v>
      </c>
      <c r="B222" s="619"/>
      <c r="C222" s="619"/>
      <c r="D222" s="620"/>
      <c r="E222" s="620"/>
      <c r="F222" s="620"/>
      <c r="G222" s="620"/>
      <c r="H222" s="620"/>
      <c r="I222" s="620"/>
      <c r="J222" s="620"/>
      <c r="K222" s="620"/>
      <c r="L222" s="620"/>
      <c r="M222" s="620"/>
      <c r="N222" s="619"/>
      <c r="O222" s="619"/>
      <c r="P222" s="619"/>
      <c r="Q222" s="619"/>
      <c r="R222" s="619"/>
      <c r="S222" s="620"/>
      <c r="T222" s="619"/>
      <c r="U222" s="620"/>
      <c r="V222" s="620"/>
      <c r="W222" s="620"/>
      <c r="X222" s="620"/>
      <c r="Y222" s="620"/>
      <c r="Z222" s="619"/>
      <c r="AA222" s="620"/>
      <c r="AB222" s="620"/>
      <c r="AC222" s="620"/>
      <c r="AD222" s="620"/>
      <c r="AE222" s="620"/>
      <c r="AF222" s="619"/>
      <c r="AG222" s="620"/>
      <c r="AH222" s="620"/>
      <c r="AI222" s="620"/>
      <c r="AJ222" s="620"/>
      <c r="AK222" s="620"/>
      <c r="AL222" s="619"/>
      <c r="AM222" s="620"/>
      <c r="AN222" s="620"/>
      <c r="AO222" s="620"/>
      <c r="AP222" s="620"/>
      <c r="AQ222" s="620"/>
      <c r="AR222" s="619"/>
      <c r="AS222" s="620"/>
      <c r="AT222" s="620"/>
      <c r="AU222" s="620"/>
      <c r="AV222" s="620"/>
      <c r="AW222" s="620"/>
      <c r="AX222" s="619"/>
      <c r="AY222" s="620"/>
      <c r="AZ222" s="620"/>
      <c r="BA222" s="620"/>
      <c r="BB222" s="620"/>
      <c r="BC222" s="620"/>
      <c r="BD222" s="619"/>
      <c r="BE222" s="620"/>
      <c r="BF222" s="620"/>
      <c r="BG222" s="620"/>
      <c r="BH222" s="620"/>
      <c r="BI222" s="620"/>
      <c r="BJ222" s="619"/>
      <c r="BK222" s="620"/>
      <c r="BL222" s="620"/>
      <c r="BM222" s="620"/>
      <c r="BN222" s="620"/>
      <c r="BO222" s="620"/>
      <c r="BP222" s="619"/>
      <c r="BQ222" s="620">
        <f>BQ221/BK221-1</f>
        <v>-0.17647058823529416</v>
      </c>
      <c r="BR222" s="620">
        <f>BR221/BL221-1</f>
        <v>-0.17695473251028815</v>
      </c>
      <c r="BS222" s="620">
        <f>BS221/BM221-1</f>
        <v>0.37048266418895759</v>
      </c>
      <c r="BT222" s="620">
        <f>BT221/BN221-1</f>
        <v>0.83829161432641919</v>
      </c>
      <c r="BU222" s="620">
        <f>BU221/BO221-1</f>
        <v>0.23456503682117469</v>
      </c>
      <c r="BV222" s="619"/>
      <c r="BW222" s="620">
        <f>BW221/BQ221-1</f>
        <v>0.41428571428571437</v>
      </c>
      <c r="BX222" s="620">
        <f>BX221/BR221-1</f>
        <v>0.3545454545454545</v>
      </c>
      <c r="BY222" s="620">
        <f>BY221/BS221-1</f>
        <v>7.7270294380017868E-2</v>
      </c>
      <c r="BZ222" s="620">
        <f>BZ221/BT221-1</f>
        <v>-0.1042291666666666</v>
      </c>
      <c r="CA222" s="620">
        <f>CA221/BU221-1</f>
        <v>9.7062582221387084E-2</v>
      </c>
      <c r="CB222" s="619"/>
      <c r="CC222" s="620">
        <f>CC221/BW221-1</f>
        <v>0.13131313131313127</v>
      </c>
      <c r="CD222" s="620">
        <f>CD221/BX221-1</f>
        <v>0.22147651006711411</v>
      </c>
      <c r="CE222" s="620">
        <f>CE221/BY221-1</f>
        <v>0.15102432884516648</v>
      </c>
      <c r="CF222" s="620">
        <f>CF221/BZ221-1</f>
        <v>0.17217480289322507</v>
      </c>
      <c r="CG222" s="617">
        <f>CG221/CA221-1</f>
        <v>0.17345356806972867</v>
      </c>
      <c r="CH222" s="619"/>
      <c r="CI222" s="620">
        <f>CI221/CC221-1</f>
        <v>0.21428571428571419</v>
      </c>
      <c r="CJ222" s="620">
        <f>CJ221/CD221-1</f>
        <v>9.2000000000000082E-2</v>
      </c>
      <c r="CK222" s="620">
        <f>CK221/CE221-1</f>
        <v>2.0000000000000018E-2</v>
      </c>
      <c r="CL222" s="620">
        <f>CL221/CF221-1</f>
        <v>0.25</v>
      </c>
      <c r="CM222" s="617">
        <f>CM221/CG221-1</f>
        <v>0.15550948905109485</v>
      </c>
      <c r="CN222" s="619"/>
      <c r="CO222" s="620">
        <f>CO221/CI221-1</f>
        <v>0.1399999999999999</v>
      </c>
      <c r="CP222" s="620">
        <f>CP221/CJ221-1</f>
        <v>0.35853157831179794</v>
      </c>
      <c r="CQ222" s="620">
        <f>CQ221/CK221-1</f>
        <v>0.41063619692481312</v>
      </c>
      <c r="CR222" s="620">
        <v>0.16500000000000001</v>
      </c>
      <c r="CS222" s="617">
        <f>CS221/CM221-1</f>
        <v>0.25329743633800117</v>
      </c>
      <c r="CT222" s="619"/>
      <c r="CU222" s="643">
        <v>0.43</v>
      </c>
      <c r="CV222" s="643">
        <v>0</v>
      </c>
      <c r="CW222" s="643">
        <v>-0.02</v>
      </c>
      <c r="CX222" s="643">
        <v>-0.08</v>
      </c>
      <c r="CY222" s="617">
        <f>CY221/CS221-1</f>
        <v>3.3577314859150276E-2</v>
      </c>
      <c r="CZ222" s="619"/>
      <c r="DA222" s="643">
        <v>-0.1</v>
      </c>
      <c r="DB222" s="643">
        <v>0</v>
      </c>
      <c r="DC222" s="643">
        <v>0</v>
      </c>
      <c r="DD222" s="643">
        <v>0.05</v>
      </c>
      <c r="DE222" s="617">
        <f>DE221/CY221-1</f>
        <v>-5.1592169579144365E-3</v>
      </c>
      <c r="DF222" s="619"/>
      <c r="DG222" s="643">
        <v>0.05</v>
      </c>
      <c r="DH222" s="643">
        <v>0.05</v>
      </c>
      <c r="DI222" s="643">
        <v>0.15</v>
      </c>
      <c r="DJ222" s="643">
        <v>0.08</v>
      </c>
      <c r="DK222" s="617">
        <f>DK221/DE221-1</f>
        <v>7.9641096001151324E-2</v>
      </c>
      <c r="DL222" s="619"/>
      <c r="DM222" s="643">
        <v>0.15</v>
      </c>
      <c r="DN222" s="643">
        <v>0.03</v>
      </c>
      <c r="DO222" s="643">
        <v>0.05</v>
      </c>
      <c r="DP222" s="643">
        <v>0.05</v>
      </c>
      <c r="DQ222" s="617">
        <f>DQ221/DK221-1</f>
        <v>6.3876085586353826E-2</v>
      </c>
      <c r="DR222" s="619"/>
      <c r="DS222" s="643">
        <v>0.05</v>
      </c>
      <c r="DT222" s="643">
        <v>0.05</v>
      </c>
      <c r="DU222" s="643">
        <v>0.05</v>
      </c>
      <c r="DV222" s="643">
        <v>0.05</v>
      </c>
      <c r="DW222" s="617">
        <f>DW221/DQ221-1</f>
        <v>5.0000000000000266E-2</v>
      </c>
      <c r="DX222" s="619"/>
      <c r="DY222" s="643">
        <v>0.05</v>
      </c>
      <c r="DZ222" s="643">
        <v>0.05</v>
      </c>
      <c r="EA222" s="643">
        <v>0.05</v>
      </c>
      <c r="EB222" s="643">
        <v>0.05</v>
      </c>
      <c r="EC222" s="617">
        <f>EC221/DW221-1</f>
        <v>4.9999999999999822E-2</v>
      </c>
      <c r="ED222" s="619"/>
      <c r="EE222" s="643">
        <v>0.05</v>
      </c>
      <c r="EF222" s="643">
        <v>0.05</v>
      </c>
      <c r="EG222" s="643">
        <v>0.05</v>
      </c>
      <c r="EH222" s="643">
        <v>0.05</v>
      </c>
      <c r="EI222" s="617">
        <f>EI221/EC221-1</f>
        <v>5.0000000000000266E-2</v>
      </c>
      <c r="EJ222" s="619"/>
      <c r="EK222" s="643">
        <v>0.05</v>
      </c>
      <c r="EL222" s="643">
        <v>0.05</v>
      </c>
      <c r="EM222" s="643">
        <v>0.05</v>
      </c>
      <c r="EN222" s="643">
        <v>0.05</v>
      </c>
      <c r="EO222" s="617">
        <f>EO221/EI221-1</f>
        <v>5.0000000000000044E-2</v>
      </c>
      <c r="EP222" s="619"/>
      <c r="EQ222" s="643">
        <v>0.05</v>
      </c>
      <c r="ER222" s="643">
        <v>0.05</v>
      </c>
      <c r="ES222" s="643">
        <v>0.05</v>
      </c>
      <c r="ET222" s="643">
        <v>0.05</v>
      </c>
      <c r="EU222" s="617">
        <f>EU221/EO221-1</f>
        <v>5.0000000000000044E-2</v>
      </c>
      <c r="EV222" s="619"/>
      <c r="EW222" s="643">
        <v>0.05</v>
      </c>
      <c r="EX222" s="643">
        <v>0.05</v>
      </c>
      <c r="EY222" s="643">
        <v>0.05</v>
      </c>
      <c r="EZ222" s="643">
        <v>0.05</v>
      </c>
      <c r="FA222" s="617">
        <f>FA221/EU221-1</f>
        <v>5.0000000000000044E-2</v>
      </c>
      <c r="FB222" s="619"/>
      <c r="FC222" s="643">
        <v>0.05</v>
      </c>
      <c r="FD222" s="643">
        <v>0.05</v>
      </c>
      <c r="FE222" s="643">
        <v>0.05</v>
      </c>
      <c r="FF222" s="643">
        <v>0.05</v>
      </c>
      <c r="FG222" s="617">
        <f>FG221/FA221-1</f>
        <v>5.0000000000000044E-2</v>
      </c>
      <c r="FH222" s="619"/>
      <c r="FI222" s="643">
        <v>0.05</v>
      </c>
      <c r="FJ222" s="643">
        <v>0.05</v>
      </c>
      <c r="FK222" s="643">
        <v>0.05</v>
      </c>
      <c r="FL222" s="643">
        <v>0.05</v>
      </c>
      <c r="FM222" s="617">
        <f>FM221/FG221-1</f>
        <v>5.0000000000000266E-2</v>
      </c>
      <c r="FQ222"/>
      <c r="FR222"/>
      <c r="FS222"/>
      <c r="FT222"/>
      <c r="FU222"/>
      <c r="FV222"/>
      <c r="GB222" s="24"/>
      <c r="GC222" s="24"/>
      <c r="GD222" s="24"/>
      <c r="GE222" s="24"/>
      <c r="GF222" s="24"/>
      <c r="GG222" s="24"/>
      <c r="GH222" s="24"/>
      <c r="GI222" s="24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</row>
    <row r="223" spans="1:274" s="32" customFormat="1" ht="6" hidden="1" customHeight="1" outlineLevel="1" x14ac:dyDescent="0.2">
      <c r="A223" s="346"/>
      <c r="B223" s="102"/>
      <c r="C223" s="102"/>
      <c r="D223" s="615"/>
      <c r="E223" s="615"/>
      <c r="F223" s="615"/>
      <c r="G223" s="615"/>
      <c r="H223" s="615"/>
      <c r="I223" s="615"/>
      <c r="J223" s="615"/>
      <c r="K223" s="615"/>
      <c r="L223" s="615"/>
      <c r="M223" s="615"/>
      <c r="N223" s="102"/>
      <c r="O223" s="102"/>
      <c r="P223" s="102"/>
      <c r="Q223" s="102"/>
      <c r="R223" s="102"/>
      <c r="S223" s="615"/>
      <c r="T223" s="102"/>
      <c r="U223" s="615"/>
      <c r="V223" s="615"/>
      <c r="W223" s="615"/>
      <c r="X223" s="615"/>
      <c r="Y223" s="615"/>
      <c r="Z223" s="102"/>
      <c r="AA223" s="615"/>
      <c r="AB223" s="615"/>
      <c r="AC223" s="615"/>
      <c r="AD223" s="615"/>
      <c r="AE223" s="615"/>
      <c r="AF223" s="102"/>
      <c r="AG223" s="615"/>
      <c r="AH223" s="615"/>
      <c r="AI223" s="615"/>
      <c r="AJ223" s="615"/>
      <c r="AK223" s="615"/>
      <c r="AL223" s="102"/>
      <c r="AM223" s="615"/>
      <c r="AN223" s="615"/>
      <c r="AO223" s="615"/>
      <c r="AP223" s="615"/>
      <c r="AQ223" s="615"/>
      <c r="AR223" s="102"/>
      <c r="AS223" s="615"/>
      <c r="AT223" s="615"/>
      <c r="AU223" s="615"/>
      <c r="AV223" s="615"/>
      <c r="AW223" s="615"/>
      <c r="AX223" s="102"/>
      <c r="AY223" s="615"/>
      <c r="AZ223" s="615"/>
      <c r="BA223" s="615"/>
      <c r="BB223" s="615"/>
      <c r="BC223" s="615"/>
      <c r="BD223" s="102"/>
      <c r="BE223" s="615"/>
      <c r="BF223" s="615"/>
      <c r="BG223" s="615"/>
      <c r="BH223" s="615"/>
      <c r="BI223" s="615"/>
      <c r="BJ223" s="102"/>
      <c r="BK223" s="615"/>
      <c r="BL223" s="615"/>
      <c r="BM223" s="615"/>
      <c r="BN223" s="615"/>
      <c r="BO223" s="615"/>
      <c r="BP223" s="102"/>
      <c r="BQ223" s="615"/>
      <c r="BR223" s="615"/>
      <c r="BS223" s="615"/>
      <c r="BT223" s="615"/>
      <c r="BU223" s="615"/>
      <c r="BV223" s="102"/>
      <c r="BW223" s="615"/>
      <c r="BX223" s="615"/>
      <c r="BY223" s="615"/>
      <c r="BZ223" s="615"/>
      <c r="CA223" s="615"/>
      <c r="CB223" s="102"/>
      <c r="CC223" s="615"/>
      <c r="CD223" s="615"/>
      <c r="CE223" s="615"/>
      <c r="CF223" s="615"/>
      <c r="CG223" s="888"/>
      <c r="CH223" s="102"/>
      <c r="CI223" s="615"/>
      <c r="CJ223" s="615"/>
      <c r="CK223" s="615"/>
      <c r="CL223" s="615"/>
      <c r="CM223" s="888"/>
      <c r="CN223" s="102"/>
      <c r="CO223" s="615"/>
      <c r="CP223" s="615"/>
      <c r="CQ223" s="615"/>
      <c r="CR223" s="615"/>
      <c r="CS223" s="888"/>
      <c r="CT223" s="102"/>
      <c r="CU223" s="615"/>
      <c r="CV223" s="615"/>
      <c r="CW223" s="615"/>
      <c r="CX223" s="615"/>
      <c r="CY223" s="888"/>
      <c r="CZ223" s="102"/>
      <c r="DA223" s="615"/>
      <c r="DB223" s="615"/>
      <c r="DC223" s="615"/>
      <c r="DD223" s="615"/>
      <c r="DE223" s="888"/>
      <c r="DF223" s="102"/>
      <c r="DG223" s="615"/>
      <c r="DH223" s="615"/>
      <c r="DI223" s="615"/>
      <c r="DJ223" s="615"/>
      <c r="DK223" s="888"/>
      <c r="DL223" s="102"/>
      <c r="DM223" s="615"/>
      <c r="DN223" s="615"/>
      <c r="DO223" s="615"/>
      <c r="DP223" s="615"/>
      <c r="DQ223" s="888"/>
      <c r="DR223" s="102"/>
      <c r="DS223" s="615"/>
      <c r="DT223" s="615"/>
      <c r="DU223" s="615"/>
      <c r="DV223" s="615"/>
      <c r="DW223" s="888"/>
      <c r="DX223" s="102"/>
      <c r="DY223" s="615"/>
      <c r="DZ223" s="615"/>
      <c r="EA223" s="615"/>
      <c r="EB223" s="615"/>
      <c r="EC223" s="888"/>
      <c r="ED223" s="102"/>
      <c r="EE223" s="615"/>
      <c r="EF223" s="615"/>
      <c r="EG223" s="615"/>
      <c r="EH223" s="615"/>
      <c r="EI223" s="888"/>
      <c r="EJ223" s="102"/>
      <c r="EK223" s="615"/>
      <c r="EL223" s="615"/>
      <c r="EM223" s="615"/>
      <c r="EN223" s="615"/>
      <c r="EO223" s="888"/>
      <c r="EP223" s="102"/>
      <c r="EQ223" s="615"/>
      <c r="ER223" s="615"/>
      <c r="ES223" s="615"/>
      <c r="ET223" s="615"/>
      <c r="EU223" s="888"/>
      <c r="EV223" s="102"/>
      <c r="EW223" s="615"/>
      <c r="EX223" s="615"/>
      <c r="EY223" s="615"/>
      <c r="EZ223" s="615"/>
      <c r="FA223" s="888"/>
      <c r="FB223" s="102"/>
      <c r="FC223" s="615"/>
      <c r="FD223" s="615"/>
      <c r="FE223" s="615"/>
      <c r="FF223" s="615"/>
      <c r="FG223" s="888"/>
      <c r="FH223" s="102"/>
      <c r="FI223" s="615"/>
      <c r="FJ223" s="615"/>
      <c r="FK223" s="615"/>
      <c r="FL223" s="615"/>
      <c r="FM223" s="888"/>
      <c r="FQ223"/>
      <c r="FR223"/>
      <c r="FS223"/>
      <c r="FT223"/>
      <c r="FU223"/>
      <c r="FV223"/>
      <c r="GB223" s="24"/>
      <c r="GC223" s="24"/>
      <c r="GD223" s="24"/>
      <c r="GE223" s="24"/>
      <c r="GF223" s="24"/>
      <c r="GG223" s="24"/>
      <c r="GH223" s="24"/>
      <c r="GI223" s="24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</row>
    <row r="224" spans="1:274" s="32" customFormat="1" hidden="1" outlineLevel="1" x14ac:dyDescent="0.2">
      <c r="A224" s="640" t="s">
        <v>666</v>
      </c>
      <c r="B224" s="443"/>
      <c r="C224" s="443"/>
      <c r="D224" s="442"/>
      <c r="E224" s="442"/>
      <c r="F224" s="442"/>
      <c r="G224" s="442"/>
      <c r="H224" s="442"/>
      <c r="I224" s="442"/>
      <c r="J224" s="442"/>
      <c r="K224" s="442"/>
      <c r="L224" s="442"/>
      <c r="M224" s="442"/>
      <c r="N224" s="443"/>
      <c r="O224" s="443"/>
      <c r="P224" s="443"/>
      <c r="Q224" s="443"/>
      <c r="R224" s="443"/>
      <c r="S224" s="442"/>
      <c r="T224" s="443"/>
      <c r="U224" s="442"/>
      <c r="V224" s="442"/>
      <c r="W224" s="442"/>
      <c r="X224" s="442"/>
      <c r="Y224" s="442"/>
      <c r="Z224" s="443"/>
      <c r="AA224" s="442"/>
      <c r="AB224" s="442"/>
      <c r="AC224" s="442"/>
      <c r="AD224" s="442"/>
      <c r="AE224" s="442"/>
      <c r="AF224" s="443"/>
      <c r="AG224" s="442"/>
      <c r="AH224" s="442"/>
      <c r="AI224" s="442"/>
      <c r="AJ224" s="442"/>
      <c r="AK224" s="442"/>
      <c r="AL224" s="443"/>
      <c r="AM224" s="442"/>
      <c r="AN224" s="442"/>
      <c r="AO224" s="442"/>
      <c r="AP224" s="442"/>
      <c r="AQ224" s="442"/>
      <c r="AR224" s="443"/>
      <c r="AS224" s="442"/>
      <c r="AT224" s="442"/>
      <c r="AU224" s="442"/>
      <c r="AV224" s="442"/>
      <c r="AW224" s="442"/>
      <c r="AX224" s="443"/>
      <c r="AY224" s="442"/>
      <c r="AZ224" s="442"/>
      <c r="BA224" s="442"/>
      <c r="BB224" s="442"/>
      <c r="BC224" s="442"/>
      <c r="BD224" s="443"/>
      <c r="BE224" s="442"/>
      <c r="BF224" s="442"/>
      <c r="BG224" s="442"/>
      <c r="BH224" s="442"/>
      <c r="BI224" s="442"/>
      <c r="BJ224" s="443"/>
      <c r="BK224" s="442">
        <v>33</v>
      </c>
      <c r="BL224" s="442">
        <v>50</v>
      </c>
      <c r="BM224" s="442">
        <v>59</v>
      </c>
      <c r="BN224" s="442">
        <v>57</v>
      </c>
      <c r="BO224" s="367">
        <f>SUM(BK224:BN224)</f>
        <v>199</v>
      </c>
      <c r="BP224" s="443"/>
      <c r="BQ224" s="442">
        <v>45</v>
      </c>
      <c r="BR224" s="442">
        <v>69</v>
      </c>
      <c r="BS224" s="442">
        <v>71</v>
      </c>
      <c r="BT224" s="442">
        <v>77</v>
      </c>
      <c r="BU224" s="442">
        <f>SUM(BQ224:BT224)</f>
        <v>262</v>
      </c>
      <c r="BV224" s="443"/>
      <c r="BW224" s="442">
        <v>63</v>
      </c>
      <c r="BX224" s="442">
        <v>70</v>
      </c>
      <c r="BY224" s="442">
        <v>83</v>
      </c>
      <c r="BZ224" s="442">
        <v>132</v>
      </c>
      <c r="CA224" s="442">
        <f>SUM(BW224:BZ224)</f>
        <v>348</v>
      </c>
      <c r="CB224" s="443"/>
      <c r="CC224" s="442">
        <v>82.53</v>
      </c>
      <c r="CD224" s="442">
        <v>74.2</v>
      </c>
      <c r="CE224" s="442">
        <v>106.24</v>
      </c>
      <c r="CF224" s="442">
        <v>207.24</v>
      </c>
      <c r="CG224" s="446">
        <f>SUM(CC224:CF224)</f>
        <v>470.21000000000004</v>
      </c>
      <c r="CH224" s="443"/>
      <c r="CI224" s="442">
        <v>128.33414999999999</v>
      </c>
      <c r="CJ224" s="442">
        <v>119.46199999999999</v>
      </c>
      <c r="CK224" s="442">
        <v>193.35679999999999</v>
      </c>
      <c r="CL224" s="442">
        <v>310.86</v>
      </c>
      <c r="CM224" s="446">
        <f>SUM(CI224:CL224)</f>
        <v>752.01295000000005</v>
      </c>
      <c r="CN224" s="443"/>
      <c r="CO224" s="442">
        <v>251.27826569999999</v>
      </c>
      <c r="CP224" s="442">
        <v>230</v>
      </c>
      <c r="CQ224" s="442">
        <v>290</v>
      </c>
      <c r="CR224" s="442">
        <f>CR228-CR217-CR214</f>
        <v>575.94129999999973</v>
      </c>
      <c r="CS224" s="446">
        <f>SUM(CO224:CR224)</f>
        <v>1347.2195656999997</v>
      </c>
      <c r="CT224" s="443"/>
      <c r="CU224" s="442">
        <f>CU228-CU217-CU214</f>
        <v>355.78617852600001</v>
      </c>
      <c r="CV224" s="442">
        <f>CV228-CV217-CV214</f>
        <v>266.8646</v>
      </c>
      <c r="CW224" s="442">
        <f>CW228-CW217-CW214</f>
        <v>282.60000000000002</v>
      </c>
      <c r="CX224" s="442">
        <f>CX228-CX217-CX214</f>
        <v>486.26599599999963</v>
      </c>
      <c r="CY224" s="446">
        <f>SUM(CU224:CX224)</f>
        <v>1391.5167745259996</v>
      </c>
      <c r="CZ224" s="443"/>
      <c r="DA224" s="442">
        <f>DA228-DA217-DA214</f>
        <v>256.24362032080006</v>
      </c>
      <c r="DB224" s="442">
        <f>DB228-DB217-DB214</f>
        <v>353.85014000000001</v>
      </c>
      <c r="DC224" s="442">
        <f>DC228-DC217-DC214</f>
        <v>403.59999999999991</v>
      </c>
      <c r="DD224" s="442">
        <f>DD228-DD217-DD214</f>
        <v>754.62929579999945</v>
      </c>
      <c r="DE224" s="446">
        <f>SUM(DA224:DD224)</f>
        <v>1768.3230561207995</v>
      </c>
      <c r="DF224" s="443"/>
      <c r="DG224" s="442">
        <f>DG228-DG217-DG214</f>
        <v>458.12881146184003</v>
      </c>
      <c r="DH224" s="442">
        <f>DH228-DH217-DH214</f>
        <v>540.80564979999986</v>
      </c>
      <c r="DI224" s="442">
        <f>DI228-DI217-DI214</f>
        <v>611.99000000000024</v>
      </c>
      <c r="DJ224" s="442">
        <f>DJ228-DJ217-DJ214</f>
        <v>1046.5996394639994</v>
      </c>
      <c r="DK224" s="446">
        <f>SUM(DG224:DJ224)</f>
        <v>2657.5241007258396</v>
      </c>
      <c r="DL224" s="443"/>
      <c r="DM224" s="442">
        <f>DM228-DM217-DM214</f>
        <v>519.2981331811161</v>
      </c>
      <c r="DN224" s="442">
        <f>DN228-DN217-DN214</f>
        <v>538.01987378400008</v>
      </c>
      <c r="DO224" s="442">
        <f>DO228-DO217-DO214</f>
        <v>701.2894500000001</v>
      </c>
      <c r="DP224" s="442">
        <f>DP228-DP217-DP214</f>
        <v>982.92928575719907</v>
      </c>
      <c r="DQ224" s="446">
        <f>SUM(DM224:DP224)</f>
        <v>2741.5367427223155</v>
      </c>
      <c r="DR224" s="443"/>
      <c r="DS224" s="442">
        <f>DS228-DS217-DS214</f>
        <v>522.15281841542196</v>
      </c>
      <c r="DT224" s="442">
        <f>DT228-DT217-DT214</f>
        <v>651.33585499320009</v>
      </c>
      <c r="DU224" s="442">
        <f>DU228-DU217-DU214</f>
        <v>732.51986850000037</v>
      </c>
      <c r="DV224" s="442">
        <f>DV228-DV217-DV214</f>
        <v>1186.3713875106594</v>
      </c>
      <c r="DW224" s="446">
        <f>SUM(DS224:DV224)</f>
        <v>3092.3799294192822</v>
      </c>
      <c r="DX224" s="443"/>
      <c r="DY224" s="442">
        <f>DY228-DY217-DY214</f>
        <v>612.53942019746319</v>
      </c>
      <c r="DZ224" s="442">
        <f>DZ228-DZ217-DZ214</f>
        <v>623.93248426445984</v>
      </c>
      <c r="EA224" s="442">
        <f>EA228-EA217-EA214</f>
        <v>801.04108360500061</v>
      </c>
      <c r="EB224" s="442">
        <f>EB228-EB217-EB214</f>
        <v>1091.0335653490406</v>
      </c>
      <c r="EC224" s="446">
        <f>SUM(DY224:EB224)</f>
        <v>3128.5465534159644</v>
      </c>
      <c r="ED224" s="443"/>
      <c r="EE224" s="442">
        <f>EE228-EE217-EE214</f>
        <v>567.77172893750787</v>
      </c>
      <c r="EF224" s="442">
        <f>EF228-EF217-EF214</f>
        <v>585.7645999210107</v>
      </c>
      <c r="EG224" s="442">
        <f>EG228-EG217-EG214</f>
        <v>720.94553719965029</v>
      </c>
      <c r="EH224" s="442">
        <f>EH228-EH217-EH214</f>
        <v>923.28466775636844</v>
      </c>
      <c r="EI224" s="446">
        <f>SUM(EE224:EH224)</f>
        <v>2797.7665338145371</v>
      </c>
      <c r="EJ224" s="443"/>
      <c r="EK224" s="442">
        <f>EK228-EK217-EK214</f>
        <v>515.28457908296855</v>
      </c>
      <c r="EL224" s="442">
        <f>EL228-EL217-EL214</f>
        <v>502.73038106835543</v>
      </c>
      <c r="EM224" s="442">
        <f>EM228-EM217-EM214</f>
        <v>628.10097212718483</v>
      </c>
      <c r="EN224" s="442">
        <f>EN228-EN217-EN214</f>
        <v>765.37785159325267</v>
      </c>
      <c r="EO224" s="446">
        <f>SUM(EK224:EN224)</f>
        <v>2411.4937838717615</v>
      </c>
      <c r="EP224" s="443"/>
      <c r="EQ224" s="442">
        <f>EQ228-EQ217-EQ214</f>
        <v>461.18154106733925</v>
      </c>
      <c r="ER224" s="442">
        <f>ER228-ER217-ER214</f>
        <v>474.9717315324458</v>
      </c>
      <c r="ES224" s="442">
        <f>ES228-ES217-ES214</f>
        <v>607.28940662200012</v>
      </c>
      <c r="ET224" s="442">
        <f>ET228-ET217-ET214</f>
        <v>601.56397143483605</v>
      </c>
      <c r="EU224" s="446">
        <f>SUM(EQ224:ET224)</f>
        <v>2145.0066506566209</v>
      </c>
      <c r="EV224" s="443"/>
      <c r="EW224" s="442">
        <f>EW228-EW217-EW214</f>
        <v>405.35032010555972</v>
      </c>
      <c r="EX224" s="442">
        <f>EX228-EX217-EX214</f>
        <v>512.21299701795863</v>
      </c>
      <c r="EY224" s="442">
        <f>EY228-EY217-EY214</f>
        <v>689.83091770910801</v>
      </c>
      <c r="EZ224" s="442">
        <f>EZ228-EZ217-EZ214</f>
        <v>546.53267520207692</v>
      </c>
      <c r="FA224" s="446">
        <f>SUM(EW224:EZ224)</f>
        <v>2153.9269100347033</v>
      </c>
      <c r="FB224" s="443"/>
      <c r="FC224" s="442">
        <f>FC228-FC217-FC214</f>
        <v>393.96863720945203</v>
      </c>
      <c r="FD224" s="442">
        <f>FD228-FD217-FD214</f>
        <v>489.32559894845906</v>
      </c>
      <c r="FE224" s="442">
        <f>FE228-FE217-FE214</f>
        <v>666.20883019762505</v>
      </c>
      <c r="FF224" s="442">
        <f>FF228-FF217-FF214</f>
        <v>485.8976393616349</v>
      </c>
      <c r="FG224" s="446">
        <f>SUM(FC224:FF224)</f>
        <v>2035.4007057171711</v>
      </c>
      <c r="FH224" s="443"/>
      <c r="FI224" s="442">
        <f>FI228-FI217-FI214</f>
        <v>381.07737534040245</v>
      </c>
      <c r="FJ224" s="442">
        <f>FJ228-FJ217-FJ214</f>
        <v>463.87845713419756</v>
      </c>
      <c r="FK224" s="442">
        <f>FK228-FK217-FK214</f>
        <v>639.61816857414829</v>
      </c>
      <c r="FL224" s="442">
        <f>FL228-FL217-FL214</f>
        <v>419.24941756915018</v>
      </c>
      <c r="FM224" s="446">
        <f>SUM(FI224:FL224)</f>
        <v>1903.8234186178986</v>
      </c>
      <c r="FQ224"/>
      <c r="FR224"/>
      <c r="FS224"/>
      <c r="FT224"/>
      <c r="FU224"/>
      <c r="FV224"/>
      <c r="GB224" s="24"/>
      <c r="GC224" s="24"/>
      <c r="GD224" s="24"/>
      <c r="GE224" s="24"/>
      <c r="GF224" s="24"/>
      <c r="GG224" s="24"/>
      <c r="GH224" s="24"/>
      <c r="GI224" s="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</row>
    <row r="225" spans="1:274" s="32" customFormat="1" hidden="1" outlineLevel="1" x14ac:dyDescent="0.2">
      <c r="A225" s="346" t="s">
        <v>128</v>
      </c>
      <c r="B225" s="102"/>
      <c r="C225" s="102"/>
      <c r="D225" s="615"/>
      <c r="E225" s="615"/>
      <c r="F225" s="615"/>
      <c r="G225" s="615"/>
      <c r="H225" s="615"/>
      <c r="I225" s="615"/>
      <c r="J225" s="615"/>
      <c r="K225" s="615"/>
      <c r="L225" s="615"/>
      <c r="M225" s="615"/>
      <c r="N225" s="102"/>
      <c r="O225" s="102"/>
      <c r="P225" s="102"/>
      <c r="Q225" s="102"/>
      <c r="R225" s="102"/>
      <c r="S225" s="615"/>
      <c r="T225" s="102"/>
      <c r="U225" s="615"/>
      <c r="V225" s="615"/>
      <c r="W225" s="615"/>
      <c r="X225" s="615"/>
      <c r="Y225" s="615"/>
      <c r="Z225" s="102"/>
      <c r="AA225" s="615"/>
      <c r="AB225" s="615"/>
      <c r="AC225" s="615"/>
      <c r="AD225" s="615"/>
      <c r="AE225" s="615"/>
      <c r="AF225" s="102"/>
      <c r="AG225" s="615"/>
      <c r="AH225" s="615"/>
      <c r="AI225" s="615"/>
      <c r="AJ225" s="615"/>
      <c r="AK225" s="615"/>
      <c r="AL225" s="102"/>
      <c r="AM225" s="615"/>
      <c r="AN225" s="615"/>
      <c r="AO225" s="615"/>
      <c r="AP225" s="615"/>
      <c r="AQ225" s="615"/>
      <c r="AR225" s="102"/>
      <c r="AS225" s="615"/>
      <c r="AT225" s="615"/>
      <c r="AU225" s="615"/>
      <c r="AV225" s="615"/>
      <c r="AW225" s="615"/>
      <c r="AX225" s="102"/>
      <c r="AY225" s="615"/>
      <c r="AZ225" s="615"/>
      <c r="BA225" s="615"/>
      <c r="BB225" s="615"/>
      <c r="BC225" s="615"/>
      <c r="BD225" s="102"/>
      <c r="BE225" s="615"/>
      <c r="BF225" s="615"/>
      <c r="BG225" s="615"/>
      <c r="BH225" s="615"/>
      <c r="BI225" s="615"/>
      <c r="BJ225" s="102"/>
      <c r="BK225" s="615"/>
      <c r="BL225" s="615"/>
      <c r="BM225" s="615"/>
      <c r="BN225" s="615"/>
      <c r="BO225" s="615"/>
      <c r="BP225" s="102"/>
      <c r="BQ225" s="615">
        <f>BQ224/BK224-1</f>
        <v>0.36363636363636354</v>
      </c>
      <c r="BR225" s="615">
        <f>BR224/BL224-1</f>
        <v>0.37999999999999989</v>
      </c>
      <c r="BS225" s="615">
        <f>BS224/BM224-1</f>
        <v>0.20338983050847448</v>
      </c>
      <c r="BT225" s="615">
        <f>BT224/BN224-1</f>
        <v>0.35087719298245612</v>
      </c>
      <c r="BU225" s="615">
        <f>BU224/BO224-1</f>
        <v>0.31658291457286425</v>
      </c>
      <c r="BV225" s="102"/>
      <c r="BW225" s="615">
        <f>BW224/BQ224-1</f>
        <v>0.39999999999999991</v>
      </c>
      <c r="BX225" s="615">
        <f>BX224/BR224-1</f>
        <v>1.449275362318847E-2</v>
      </c>
      <c r="BY225" s="615">
        <f>BY224/BS224-1</f>
        <v>0.16901408450704225</v>
      </c>
      <c r="BZ225" s="615">
        <f>BZ224/BT224-1</f>
        <v>0.71428571428571419</v>
      </c>
      <c r="CA225" s="615">
        <f>CA224/BU224-1</f>
        <v>0.3282442748091603</v>
      </c>
      <c r="CB225" s="102"/>
      <c r="CC225" s="615">
        <f>CC224/BW224-1</f>
        <v>0.31000000000000005</v>
      </c>
      <c r="CD225" s="615">
        <f>CD224/BX224-1</f>
        <v>6.0000000000000053E-2</v>
      </c>
      <c r="CE225" s="615">
        <f>CE224/BY224-1</f>
        <v>0.28000000000000003</v>
      </c>
      <c r="CF225" s="615">
        <f>CF224/BZ224-1</f>
        <v>0.57000000000000006</v>
      </c>
      <c r="CG225" s="888">
        <f>CG224/CA224-1</f>
        <v>0.35117816091954035</v>
      </c>
      <c r="CH225" s="102"/>
      <c r="CI225" s="615">
        <f>CI224/CC224-1</f>
        <v>0.55499999999999994</v>
      </c>
      <c r="CJ225" s="615">
        <f>CJ224/CD224-1</f>
        <v>0.60999999999999988</v>
      </c>
      <c r="CK225" s="615">
        <f>CK224/CE224-1</f>
        <v>0.82000000000000006</v>
      </c>
      <c r="CL225" s="615">
        <f>CL224/CF224-1</f>
        <v>0.5</v>
      </c>
      <c r="CM225" s="888">
        <f>CM224/CG224-1</f>
        <v>0.59931296654686195</v>
      </c>
      <c r="CN225" s="102"/>
      <c r="CO225" s="615">
        <f>CO224/CI224-1</f>
        <v>0.95799999999999996</v>
      </c>
      <c r="CP225" s="615">
        <f>CP224/CJ224-1</f>
        <v>0.92529842125529482</v>
      </c>
      <c r="CQ225" s="615">
        <f>CQ224/CK224-1</f>
        <v>0.49981795313120614</v>
      </c>
      <c r="CR225" s="615">
        <f>CR224/CL224-1</f>
        <v>0.85273531493276611</v>
      </c>
      <c r="CS225" s="888">
        <f>CS224/CM224-1</f>
        <v>0.79148452922253498</v>
      </c>
      <c r="CT225" s="102"/>
      <c r="CU225" s="615">
        <f>CU224/CO224-1</f>
        <v>0.41590510239660583</v>
      </c>
      <c r="CV225" s="615">
        <f>CV224/CP224-1</f>
        <v>0.16028086956521737</v>
      </c>
      <c r="CW225" s="615">
        <f>CW224/CQ224-1</f>
        <v>-2.5517241379310218E-2</v>
      </c>
      <c r="CX225" s="615">
        <f>CX224/CR224-1</f>
        <v>-0.15570215923046349</v>
      </c>
      <c r="CY225" s="888">
        <f>CY224/CS224-1</f>
        <v>3.2880467262946578E-2</v>
      </c>
      <c r="CZ225" s="102"/>
      <c r="DA225" s="615">
        <f>DA224/CU224-1</f>
        <v>-0.27978197078255984</v>
      </c>
      <c r="DB225" s="615">
        <f>DB224/CV224-1</f>
        <v>0.32595383576540327</v>
      </c>
      <c r="DC225" s="615">
        <f>DC224/CW224-1</f>
        <v>0.42816702052370803</v>
      </c>
      <c r="DD225" s="615">
        <f>DD224/CX224-1</f>
        <v>0.55188580325900483</v>
      </c>
      <c r="DE225" s="888">
        <f>DE224/CY224-1</f>
        <v>0.27078817050060611</v>
      </c>
      <c r="DF225" s="102"/>
      <c r="DG225" s="615">
        <f>DG224/DA224-1</f>
        <v>0.78786426326748371</v>
      </c>
      <c r="DH225" s="615">
        <f>DH224/DB224-1</f>
        <v>0.52834657575661792</v>
      </c>
      <c r="DI225" s="615">
        <f>DI224/DC224-1</f>
        <v>0.51632804757185435</v>
      </c>
      <c r="DJ225" s="615">
        <f>DJ224/DD224-1</f>
        <v>0.38690565723992432</v>
      </c>
      <c r="DK225" s="888">
        <f>DK224/DE224-1</f>
        <v>0.50284988454298363</v>
      </c>
      <c r="DL225" s="102"/>
      <c r="DM225" s="615">
        <f>DM224/DG224-1</f>
        <v>0.13351991882826875</v>
      </c>
      <c r="DN225" s="615">
        <f>DN224/DH224-1</f>
        <v>-5.1511592325820255E-3</v>
      </c>
      <c r="DO225" s="615">
        <f>DO224/DI224-1</f>
        <v>0.14591651824376184</v>
      </c>
      <c r="DP225" s="615">
        <f>DP224/DJ224-1</f>
        <v>-6.0835443952004575E-2</v>
      </c>
      <c r="DQ225" s="888">
        <f>DQ224/DK224-1</f>
        <v>3.1613125154172472E-2</v>
      </c>
      <c r="DR225" s="102"/>
      <c r="DS225" s="615">
        <f>DS224/DM224-1</f>
        <v>5.4971991076082638E-3</v>
      </c>
      <c r="DT225" s="615">
        <f>DT224/DN224-1</f>
        <v>0.21061672018214916</v>
      </c>
      <c r="DU225" s="615">
        <f>DU224/DO224-1</f>
        <v>4.4532850879191566E-2</v>
      </c>
      <c r="DV225" s="615">
        <f>DV224/DP224-1</f>
        <v>0.2069753182669074</v>
      </c>
      <c r="DW225" s="888">
        <f>DW224/DQ224-1</f>
        <v>0.12797318424723469</v>
      </c>
      <c r="DX225" s="102"/>
      <c r="DY225" s="615">
        <f>DY224/DS224-1</f>
        <v>0.17310373245966115</v>
      </c>
      <c r="DZ225" s="615">
        <f>DZ224/DT224-1</f>
        <v>-4.2072565971400966E-2</v>
      </c>
      <c r="EA225" s="615">
        <f>EA224/DU224-1</f>
        <v>9.3541783713406712E-2</v>
      </c>
      <c r="EB225" s="615">
        <f>EB224/DV224-1</f>
        <v>-8.036085762457934E-2</v>
      </c>
      <c r="EC225" s="888">
        <f>EC224/DW224-1</f>
        <v>1.1695401219174784E-2</v>
      </c>
      <c r="ED225" s="102"/>
      <c r="EE225" s="615">
        <f>EE224/DY224-1</f>
        <v>-7.308540443898881E-2</v>
      </c>
      <c r="EF225" s="615">
        <f>EF224/DZ224-1</f>
        <v>-6.1173100144712667E-2</v>
      </c>
      <c r="EG225" s="615">
        <f>EG224/EA224-1</f>
        <v>-9.9989311465635167E-2</v>
      </c>
      <c r="EH225" s="615">
        <f>EH224/EB224-1</f>
        <v>-0.15375227941681735</v>
      </c>
      <c r="EI225" s="888">
        <f>EI224/EC224-1</f>
        <v>-0.10572961404082626</v>
      </c>
      <c r="EJ225" s="102"/>
      <c r="EK225" s="615">
        <f>EK224/EE224-1</f>
        <v>-9.2444105931023479E-2</v>
      </c>
      <c r="EL225" s="615">
        <f>EL224/EF224-1</f>
        <v>-0.14175356254688709</v>
      </c>
      <c r="EM225" s="615">
        <f>EM224/EG224-1</f>
        <v>-0.12878166280507009</v>
      </c>
      <c r="EN225" s="615">
        <f>EN224/EH224-1</f>
        <v>-0.17102722668062698</v>
      </c>
      <c r="EO225" s="888">
        <f>EO224/EI224-1</f>
        <v>-0.13806468312283471</v>
      </c>
      <c r="EP225" s="102"/>
      <c r="EQ225" s="615">
        <f>EQ224/EK224-1</f>
        <v>-0.10499642374688234</v>
      </c>
      <c r="ER225" s="615">
        <f>ER224/EL224-1</f>
        <v>-5.5215778837395035E-2</v>
      </c>
      <c r="ES225" s="615">
        <f>ES224/EM224-1</f>
        <v>-3.3134108095235648E-2</v>
      </c>
      <c r="ET225" s="615">
        <f>ET224/EN224-1</f>
        <v>-0.21403007653985884</v>
      </c>
      <c r="EU225" s="888">
        <f>EU224/EO224-1</f>
        <v>-0.11050707864039511</v>
      </c>
      <c r="EV225" s="102"/>
      <c r="EW225" s="615">
        <f>EW224/EQ224-1</f>
        <v>-0.12106126544563356</v>
      </c>
      <c r="EX225" s="615">
        <f>EX224/ER224-1</f>
        <v>7.8407330401238484E-2</v>
      </c>
      <c r="EY225" s="615">
        <f>EY224/ES224-1</f>
        <v>0.13591791687300891</v>
      </c>
      <c r="EZ225" s="615">
        <f>EZ224/ET224-1</f>
        <v>-9.1480372572013913E-2</v>
      </c>
      <c r="FA225" s="888">
        <f>FA224/EU224-1</f>
        <v>4.1586161867384064E-3</v>
      </c>
      <c r="FB225" s="102"/>
      <c r="FC225" s="615">
        <f>FC224/EW224-1</f>
        <v>-2.8078633052870727E-2</v>
      </c>
      <c r="FD225" s="615">
        <f>FD224/EX224-1</f>
        <v>-4.4683360638537506E-2</v>
      </c>
      <c r="FE225" s="615">
        <f>FE224/EY224-1</f>
        <v>-3.4243300648122088E-2</v>
      </c>
      <c r="FF225" s="615">
        <f>FF224/EZ224-1</f>
        <v>-0.11094494179697967</v>
      </c>
      <c r="FG225" s="888">
        <f>FG224/FA224-1</f>
        <v>-5.5027960217843397E-2</v>
      </c>
      <c r="FH225" s="102"/>
      <c r="FI225" s="615">
        <f>FI224/FC224-1</f>
        <v>-3.2721543421224131E-2</v>
      </c>
      <c r="FJ225" s="615">
        <f>FJ224/FD224-1</f>
        <v>-5.2004517787228699E-2</v>
      </c>
      <c r="FK225" s="615">
        <f>FK224/FE224-1</f>
        <v>-3.9913403152565308E-2</v>
      </c>
      <c r="FL225" s="615">
        <f>FL224/FF224-1</f>
        <v>-0.13716514836344162</v>
      </c>
      <c r="FM225" s="888">
        <f>FM224/FG224-1</f>
        <v>-6.4644414600864231E-2</v>
      </c>
      <c r="FQ225"/>
      <c r="FR225"/>
      <c r="FS225"/>
      <c r="FT225"/>
      <c r="FU225"/>
      <c r="FV225"/>
      <c r="GB225" s="24"/>
      <c r="GC225" s="24"/>
      <c r="GD225" s="24"/>
      <c r="GE225" s="24"/>
      <c r="GF225" s="24"/>
      <c r="GG225" s="24"/>
      <c r="GH225" s="24"/>
      <c r="GI225" s="24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</row>
    <row r="226" spans="1:274" s="32" customFormat="1" hidden="1" outlineLevel="1" x14ac:dyDescent="0.2">
      <c r="A226" s="911" t="s">
        <v>485</v>
      </c>
      <c r="B226" s="885"/>
      <c r="C226" s="885"/>
      <c r="D226" s="912"/>
      <c r="E226" s="912"/>
      <c r="F226" s="912"/>
      <c r="G226" s="912"/>
      <c r="H226" s="912"/>
      <c r="I226" s="912"/>
      <c r="J226" s="912"/>
      <c r="K226" s="912"/>
      <c r="L226" s="912"/>
      <c r="M226" s="912"/>
      <c r="N226" s="885"/>
      <c r="O226" s="885"/>
      <c r="P226" s="885"/>
      <c r="Q226" s="885"/>
      <c r="R226" s="885"/>
      <c r="S226" s="912"/>
      <c r="T226" s="885"/>
      <c r="U226" s="912"/>
      <c r="V226" s="912"/>
      <c r="W226" s="912"/>
      <c r="X226" s="912"/>
      <c r="Y226" s="912"/>
      <c r="Z226" s="885"/>
      <c r="AA226" s="912"/>
      <c r="AB226" s="912"/>
      <c r="AC226" s="912"/>
      <c r="AD226" s="912"/>
      <c r="AE226" s="912"/>
      <c r="AF226" s="885"/>
      <c r="AG226" s="912"/>
      <c r="AH226" s="912"/>
      <c r="AI226" s="912"/>
      <c r="AJ226" s="912"/>
      <c r="AK226" s="912"/>
      <c r="AL226" s="885"/>
      <c r="AM226" s="912"/>
      <c r="AN226" s="912"/>
      <c r="AO226" s="912"/>
      <c r="AP226" s="912"/>
      <c r="AQ226" s="912"/>
      <c r="AR226" s="885"/>
      <c r="AS226" s="912"/>
      <c r="AT226" s="912"/>
      <c r="AU226" s="912"/>
      <c r="AV226" s="912"/>
      <c r="AW226" s="912"/>
      <c r="AX226" s="885"/>
      <c r="AY226" s="912"/>
      <c r="AZ226" s="912"/>
      <c r="BA226" s="912"/>
      <c r="BB226" s="912"/>
      <c r="BC226" s="912"/>
      <c r="BD226" s="885"/>
      <c r="BE226" s="912"/>
      <c r="BF226" s="912"/>
      <c r="BG226" s="912"/>
      <c r="BH226" s="912"/>
      <c r="BI226" s="912"/>
      <c r="BJ226" s="885"/>
      <c r="BK226" s="912"/>
      <c r="BL226" s="912"/>
      <c r="BM226" s="912"/>
      <c r="BN226" s="912"/>
      <c r="BO226" s="912"/>
      <c r="BP226" s="885"/>
      <c r="BQ226" s="912"/>
      <c r="BR226" s="912"/>
      <c r="BS226" s="912"/>
      <c r="BT226" s="912"/>
      <c r="BU226" s="912"/>
      <c r="BV226" s="885"/>
      <c r="BW226" s="912"/>
      <c r="BX226" s="912"/>
      <c r="BY226" s="912"/>
      <c r="BZ226" s="912"/>
      <c r="CA226" s="912"/>
      <c r="CB226" s="885"/>
      <c r="CC226" s="912"/>
      <c r="CD226" s="912"/>
      <c r="CE226" s="912"/>
      <c r="CF226" s="912"/>
      <c r="CG226" s="887"/>
      <c r="CH226" s="885"/>
      <c r="CI226" s="912"/>
      <c r="CJ226" s="912"/>
      <c r="CK226" s="912"/>
      <c r="CL226" s="1041">
        <f>(CL224-CL45-CL46)/CF224-1</f>
        <v>0.42279482725342588</v>
      </c>
      <c r="CM226" s="886">
        <f>(CM224-CM45-CM46)/CG224-1</f>
        <v>0.56528561706471581</v>
      </c>
      <c r="CN226" s="913"/>
      <c r="CO226" s="1041">
        <f>(CO224-CO45-CO46)/CI224-1</f>
        <v>0.73981957023909839</v>
      </c>
      <c r="CP226" s="1041">
        <f>(CP224-CP45-CP46)/CJ224-1</f>
        <v>0.73276857912976534</v>
      </c>
      <c r="CQ226" s="1041">
        <f>(CQ224-CQ45-CQ46)/CK224-1</f>
        <v>0.38603866013504562</v>
      </c>
      <c r="CR226" s="1041">
        <f>(CR224-CR45-CR46)/CL224-1</f>
        <v>0.50852891977095704</v>
      </c>
      <c r="CS226" s="886">
        <f>(CS224-CS45-CS46)/CM224-1</f>
        <v>0.55212694901065151</v>
      </c>
      <c r="CT226" s="913"/>
      <c r="CU226" s="1041">
        <f>(CU224-CU45-CU46)/CO224-1</f>
        <v>8.1614351996858847E-2</v>
      </c>
      <c r="CV226" s="1041">
        <f>(CV224-CV45-CV46)/CP224-1</f>
        <v>-0.39189304347826093</v>
      </c>
      <c r="CW226" s="1041">
        <f>(CW224-CW45-CW46)/CQ224-1</f>
        <v>-0.50827586206896536</v>
      </c>
      <c r="CX226" s="1041">
        <f>(CX224-CX45-CX46)/CR224-1</f>
        <v>-0.34322126925087715</v>
      </c>
      <c r="CY226" s="886">
        <f>(CY224-CY45-CY46)/CS224-1</f>
        <v>-0.30782123547806806</v>
      </c>
      <c r="CZ226" s="885"/>
      <c r="DA226" s="912"/>
      <c r="DB226" s="912"/>
      <c r="DC226" s="912"/>
      <c r="DD226" s="912"/>
      <c r="DE226" s="887"/>
      <c r="DF226" s="885"/>
      <c r="DG226" s="912"/>
      <c r="DH226" s="860"/>
      <c r="DI226" s="860"/>
      <c r="DJ226" s="860"/>
      <c r="DK226" s="1157"/>
      <c r="DL226" s="1158"/>
      <c r="DM226" s="860"/>
      <c r="DN226" s="860"/>
      <c r="DO226" s="860"/>
      <c r="DP226" s="860"/>
      <c r="DQ226" s="1157"/>
      <c r="DR226" s="885"/>
      <c r="DS226" s="912"/>
      <c r="DT226" s="912"/>
      <c r="DU226" s="912"/>
      <c r="DV226" s="912"/>
      <c r="DW226" s="887"/>
      <c r="DX226" s="885"/>
      <c r="DY226" s="912"/>
      <c r="DZ226" s="912"/>
      <c r="EA226" s="912"/>
      <c r="EB226" s="912"/>
      <c r="EC226" s="887"/>
      <c r="ED226" s="885"/>
      <c r="EE226" s="912"/>
      <c r="EF226" s="912"/>
      <c r="EG226" s="912"/>
      <c r="EH226" s="912"/>
      <c r="EI226" s="887"/>
      <c r="EJ226" s="885"/>
      <c r="EK226" s="912"/>
      <c r="EL226" s="912"/>
      <c r="EM226" s="912"/>
      <c r="EN226" s="912"/>
      <c r="EO226" s="887"/>
      <c r="EP226" s="885"/>
      <c r="EQ226" s="912"/>
      <c r="ER226" s="912"/>
      <c r="ES226" s="912"/>
      <c r="ET226" s="912"/>
      <c r="EU226" s="887"/>
      <c r="EV226" s="885"/>
      <c r="EW226" s="912"/>
      <c r="EX226" s="912"/>
      <c r="EY226" s="912"/>
      <c r="EZ226" s="912"/>
      <c r="FA226" s="887"/>
      <c r="FB226" s="885"/>
      <c r="FC226" s="912"/>
      <c r="FD226" s="912"/>
      <c r="FE226" s="912"/>
      <c r="FF226" s="912"/>
      <c r="FG226" s="887"/>
      <c r="FH226" s="885"/>
      <c r="FI226" s="912"/>
      <c r="FJ226" s="912"/>
      <c r="FK226" s="912"/>
      <c r="FL226" s="912"/>
      <c r="FM226" s="887"/>
      <c r="FQ226"/>
      <c r="FR226"/>
      <c r="FS226"/>
      <c r="FT226"/>
      <c r="FU226"/>
      <c r="FV226"/>
      <c r="GB226" s="24"/>
      <c r="GC226" s="24"/>
      <c r="GD226" s="24"/>
      <c r="GE226" s="24"/>
      <c r="GF226" s="24"/>
      <c r="GG226" s="24"/>
      <c r="GH226" s="24"/>
      <c r="GI226" s="24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</row>
    <row r="227" spans="1:274" s="32" customFormat="1" ht="6" hidden="1" customHeight="1" outlineLevel="1" thickBot="1" x14ac:dyDescent="0.25">
      <c r="A227" s="102"/>
      <c r="B227" s="102"/>
      <c r="C227" s="102"/>
      <c r="D227" s="615"/>
      <c r="E227" s="615"/>
      <c r="F227" s="615"/>
      <c r="G227" s="615"/>
      <c r="H227" s="615"/>
      <c r="I227" s="615"/>
      <c r="J227" s="615"/>
      <c r="K227" s="615"/>
      <c r="L227" s="615"/>
      <c r="M227" s="615"/>
      <c r="N227" s="102"/>
      <c r="O227" s="102"/>
      <c r="P227" s="102"/>
      <c r="Q227" s="102"/>
      <c r="R227" s="102"/>
      <c r="S227" s="615"/>
      <c r="T227" s="102"/>
      <c r="U227" s="615"/>
      <c r="V227" s="615"/>
      <c r="W227" s="615"/>
      <c r="X227" s="615"/>
      <c r="Y227" s="615"/>
      <c r="Z227" s="102"/>
      <c r="AA227" s="615"/>
      <c r="AB227" s="615"/>
      <c r="AC227" s="615"/>
      <c r="AD227" s="615"/>
      <c r="AE227" s="615"/>
      <c r="AF227" s="102"/>
      <c r="AG227" s="615"/>
      <c r="AH227" s="615"/>
      <c r="AI227" s="615"/>
      <c r="AJ227" s="615"/>
      <c r="AK227" s="615"/>
      <c r="AL227" s="102"/>
      <c r="AM227" s="615"/>
      <c r="AN227" s="615"/>
      <c r="AO227" s="615"/>
      <c r="AP227" s="615"/>
      <c r="AQ227" s="615"/>
      <c r="AR227" s="102"/>
      <c r="AS227" s="615"/>
      <c r="AT227" s="615"/>
      <c r="AU227" s="615"/>
      <c r="AV227" s="615"/>
      <c r="AW227" s="615"/>
      <c r="AX227" s="102"/>
      <c r="AY227" s="615"/>
      <c r="AZ227" s="615"/>
      <c r="BA227" s="615"/>
      <c r="BB227" s="615"/>
      <c r="BC227" s="615"/>
      <c r="BD227" s="102"/>
      <c r="BE227" s="615"/>
      <c r="BF227" s="615"/>
      <c r="BG227" s="615"/>
      <c r="BH227" s="615"/>
      <c r="BI227" s="615"/>
      <c r="BJ227" s="102"/>
      <c r="BK227" s="615"/>
      <c r="BL227" s="615"/>
      <c r="BM227" s="615"/>
      <c r="BN227" s="615"/>
      <c r="BO227" s="615"/>
      <c r="BP227" s="102"/>
      <c r="BQ227" s="615"/>
      <c r="BR227" s="615"/>
      <c r="BS227" s="615"/>
      <c r="BT227" s="615"/>
      <c r="BU227" s="615"/>
      <c r="BV227" s="102"/>
      <c r="BW227" s="615"/>
      <c r="BX227" s="615"/>
      <c r="BY227" s="615"/>
      <c r="BZ227" s="615"/>
      <c r="CA227" s="615"/>
      <c r="CB227" s="102"/>
      <c r="CC227" s="615"/>
      <c r="CD227" s="615"/>
      <c r="CE227" s="615"/>
      <c r="CF227" s="615"/>
      <c r="CG227" s="888"/>
      <c r="CH227" s="102"/>
      <c r="CI227" s="615"/>
      <c r="CJ227" s="615"/>
      <c r="CK227" s="615"/>
      <c r="CL227" s="615"/>
      <c r="CM227" s="888"/>
      <c r="CN227" s="102"/>
      <c r="CO227" s="615"/>
      <c r="CP227" s="615"/>
      <c r="CQ227" s="615"/>
      <c r="CR227" s="615"/>
      <c r="CS227" s="888"/>
      <c r="CT227" s="102"/>
      <c r="CU227" s="615"/>
      <c r="CV227" s="615"/>
      <c r="CW227" s="615"/>
      <c r="CX227" s="615"/>
      <c r="CY227" s="888"/>
      <c r="CZ227" s="102"/>
      <c r="DA227" s="615"/>
      <c r="DB227" s="615"/>
      <c r="DC227" s="615"/>
      <c r="DD227" s="615"/>
      <c r="DE227" s="888"/>
      <c r="DF227" s="102"/>
      <c r="DG227" s="615"/>
      <c r="DH227" s="615"/>
      <c r="DI227" s="615"/>
      <c r="DJ227" s="615"/>
      <c r="DK227" s="888"/>
      <c r="DL227" s="102"/>
      <c r="DM227" s="615"/>
      <c r="DN227" s="615"/>
      <c r="DO227" s="615"/>
      <c r="DP227" s="615"/>
      <c r="DQ227" s="888"/>
      <c r="DR227" s="102"/>
      <c r="DS227" s="615"/>
      <c r="DT227" s="615"/>
      <c r="DU227" s="615"/>
      <c r="DV227" s="615"/>
      <c r="DW227" s="888"/>
      <c r="DX227" s="102"/>
      <c r="DY227" s="615"/>
      <c r="DZ227" s="615"/>
      <c r="EA227" s="615"/>
      <c r="EB227" s="615"/>
      <c r="EC227" s="888"/>
      <c r="ED227" s="102"/>
      <c r="EE227" s="615"/>
      <c r="EF227" s="615"/>
      <c r="EG227" s="615"/>
      <c r="EH227" s="615"/>
      <c r="EI227" s="888"/>
      <c r="EJ227" s="102"/>
      <c r="EK227" s="615"/>
      <c r="EL227" s="615"/>
      <c r="EM227" s="615"/>
      <c r="EN227" s="615"/>
      <c r="EO227" s="888"/>
      <c r="EP227" s="102"/>
      <c r="EQ227" s="615"/>
      <c r="ER227" s="615"/>
      <c r="ES227" s="615"/>
      <c r="ET227" s="615"/>
      <c r="EU227" s="888"/>
      <c r="EV227" s="102"/>
      <c r="EW227" s="615"/>
      <c r="EX227" s="615"/>
      <c r="EY227" s="615"/>
      <c r="EZ227" s="615"/>
      <c r="FA227" s="888"/>
      <c r="FB227" s="102"/>
      <c r="FC227" s="615"/>
      <c r="FD227" s="615"/>
      <c r="FE227" s="615"/>
      <c r="FF227" s="615"/>
      <c r="FG227" s="888"/>
      <c r="FH227" s="102"/>
      <c r="FI227" s="615"/>
      <c r="FJ227" s="615"/>
      <c r="FK227" s="615"/>
      <c r="FL227" s="615"/>
      <c r="FM227" s="888"/>
      <c r="FQ227"/>
      <c r="FR227"/>
      <c r="FS227"/>
      <c r="FT227"/>
      <c r="FU227"/>
      <c r="FV227"/>
      <c r="GB227" s="24"/>
      <c r="GC227" s="24"/>
      <c r="GD227" s="24"/>
      <c r="GE227" s="24"/>
      <c r="GF227" s="24"/>
      <c r="GG227" s="24"/>
      <c r="GH227" s="24"/>
      <c r="GI227" s="24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</row>
    <row r="228" spans="1:274" s="32" customFormat="1" hidden="1" outlineLevel="1" x14ac:dyDescent="0.2">
      <c r="A228" s="914" t="s">
        <v>48</v>
      </c>
      <c r="B228" s="915"/>
      <c r="C228" s="915"/>
      <c r="D228" s="916"/>
      <c r="E228" s="916"/>
      <c r="F228" s="916"/>
      <c r="G228" s="916"/>
      <c r="H228" s="916"/>
      <c r="I228" s="916"/>
      <c r="J228" s="916"/>
      <c r="K228" s="916"/>
      <c r="L228" s="916"/>
      <c r="M228" s="916"/>
      <c r="N228" s="915"/>
      <c r="O228" s="915"/>
      <c r="P228" s="915"/>
      <c r="Q228" s="915"/>
      <c r="R228" s="915"/>
      <c r="S228" s="916"/>
      <c r="T228" s="915"/>
      <c r="U228" s="916"/>
      <c r="V228" s="916"/>
      <c r="W228" s="916"/>
      <c r="X228" s="916"/>
      <c r="Y228" s="916"/>
      <c r="Z228" s="915"/>
      <c r="AA228" s="916"/>
      <c r="AB228" s="916"/>
      <c r="AC228" s="916"/>
      <c r="AD228" s="916"/>
      <c r="AE228" s="916"/>
      <c r="AF228" s="915"/>
      <c r="AG228" s="916"/>
      <c r="AH228" s="916"/>
      <c r="AI228" s="916"/>
      <c r="AJ228" s="916"/>
      <c r="AK228" s="916"/>
      <c r="AL228" s="915"/>
      <c r="AM228" s="916"/>
      <c r="AN228" s="916"/>
      <c r="AO228" s="916"/>
      <c r="AP228" s="916"/>
      <c r="AQ228" s="916"/>
      <c r="AR228" s="915"/>
      <c r="AS228" s="916"/>
      <c r="AT228" s="916"/>
      <c r="AU228" s="916"/>
      <c r="AV228" s="916"/>
      <c r="AW228" s="916"/>
      <c r="AX228" s="915"/>
      <c r="AY228" s="916"/>
      <c r="AZ228" s="916"/>
      <c r="BA228" s="916"/>
      <c r="BB228" s="916"/>
      <c r="BC228" s="916"/>
      <c r="BD228" s="915"/>
      <c r="BE228" s="916"/>
      <c r="BF228" s="916"/>
      <c r="BG228" s="916"/>
      <c r="BH228" s="916"/>
      <c r="BI228" s="916"/>
      <c r="BJ228" s="915"/>
      <c r="BK228" s="916">
        <f>Model!BK39</f>
        <v>452</v>
      </c>
      <c r="BL228" s="916">
        <f>Model!BL39</f>
        <v>657</v>
      </c>
      <c r="BM228" s="916">
        <f>Model!BM39</f>
        <v>615</v>
      </c>
      <c r="BN228" s="916">
        <f>Model!BN39</f>
        <v>941</v>
      </c>
      <c r="BO228" s="916">
        <f>Model!BO39</f>
        <v>2665</v>
      </c>
      <c r="BP228" s="915"/>
      <c r="BQ228" s="916">
        <f>Model!BQ39</f>
        <v>418</v>
      </c>
      <c r="BR228" s="916">
        <f>Model!BR39</f>
        <v>718</v>
      </c>
      <c r="BS228" s="916">
        <f>Model!BS39</f>
        <v>707</v>
      </c>
      <c r="BT228" s="916">
        <f>Model!BT39</f>
        <v>1083</v>
      </c>
      <c r="BU228" s="916">
        <f>Model!BU39</f>
        <v>2926</v>
      </c>
      <c r="BV228" s="915"/>
      <c r="BW228" s="916">
        <f>Model!BW39</f>
        <v>494</v>
      </c>
      <c r="BX228" s="916">
        <f>Model!BX39</f>
        <v>756</v>
      </c>
      <c r="BY228" s="916">
        <f>Model!BY39</f>
        <v>795</v>
      </c>
      <c r="BZ228" s="916">
        <f>Model!BZ39</f>
        <v>1259</v>
      </c>
      <c r="CA228" s="916">
        <f>Model!CA39</f>
        <v>3304</v>
      </c>
      <c r="CB228" s="915"/>
      <c r="CC228" s="916">
        <f>Model!CC39</f>
        <v>502</v>
      </c>
      <c r="CD228" s="916">
        <f>Model!CD39</f>
        <v>792</v>
      </c>
      <c r="CE228" s="916">
        <f>Model!CE39</f>
        <v>827.4</v>
      </c>
      <c r="CF228" s="916">
        <f>Model!CF39</f>
        <v>1480</v>
      </c>
      <c r="CG228" s="1029">
        <f>Model!CG39</f>
        <v>3601.4</v>
      </c>
      <c r="CH228" s="915"/>
      <c r="CI228" s="916">
        <f>Model!CI39</f>
        <v>576</v>
      </c>
      <c r="CJ228" s="916">
        <f>Model!CJ39</f>
        <v>867</v>
      </c>
      <c r="CK228" s="916">
        <f>Model!CK39</f>
        <v>967</v>
      </c>
      <c r="CL228" s="916">
        <f>Model!CL39</f>
        <v>1755</v>
      </c>
      <c r="CM228" s="1029">
        <f>Model!CM39</f>
        <v>4165</v>
      </c>
      <c r="CN228" s="915"/>
      <c r="CO228" s="916">
        <f>Model!CO39</f>
        <v>711</v>
      </c>
      <c r="CP228" s="916">
        <f>Model!CP39</f>
        <v>1115</v>
      </c>
      <c r="CQ228" s="916">
        <f>Model!CQ39</f>
        <v>1165</v>
      </c>
      <c r="CR228" s="916">
        <f>Model!CR39</f>
        <v>2155</v>
      </c>
      <c r="CS228" s="1029">
        <f>Model!CS39</f>
        <v>5146</v>
      </c>
      <c r="CT228" s="915"/>
      <c r="CU228" s="916">
        <f>Model!CU39</f>
        <v>904</v>
      </c>
      <c r="CV228" s="916">
        <f>Model!CV39</f>
        <v>1157</v>
      </c>
      <c r="CW228" s="916">
        <f>Model!CW39</f>
        <v>1120</v>
      </c>
      <c r="CX228" s="916">
        <f>Model!CX39</f>
        <v>1939</v>
      </c>
      <c r="CY228" s="1029">
        <f>Model!CY39</f>
        <v>5120</v>
      </c>
      <c r="CZ228" s="915"/>
      <c r="DA228" s="916">
        <f>Model!DA39</f>
        <v>711</v>
      </c>
      <c r="DB228" s="916">
        <f>Model!DB39</f>
        <v>1175</v>
      </c>
      <c r="DC228" s="916">
        <f>Model!DC39</f>
        <v>1241</v>
      </c>
      <c r="DD228" s="916">
        <f>Model!DD39</f>
        <v>2280</v>
      </c>
      <c r="DE228" s="1029">
        <f>Model!DE39</f>
        <v>5407</v>
      </c>
      <c r="DF228" s="915"/>
      <c r="DG228" s="916">
        <f>Model!DG39</f>
        <v>937</v>
      </c>
      <c r="DH228" s="916">
        <f>Model!DH39</f>
        <v>1420</v>
      </c>
      <c r="DI228" s="916">
        <f>Model!DI39</f>
        <v>1575</v>
      </c>
      <c r="DJ228" s="916">
        <f>Model!DJ39</f>
        <v>2694</v>
      </c>
      <c r="DK228" s="1029">
        <f>Model!DK39</f>
        <v>6626</v>
      </c>
      <c r="DL228" s="915"/>
      <c r="DM228" s="916">
        <f>Model!DM39</f>
        <v>1070</v>
      </c>
      <c r="DN228" s="916">
        <f>Model!DN39</f>
        <v>1479</v>
      </c>
      <c r="DO228" s="916">
        <f>Model!DO39</f>
        <v>1716</v>
      </c>
      <c r="DP228" s="916">
        <f>Model!DP39</f>
        <v>2721</v>
      </c>
      <c r="DQ228" s="1029">
        <f>Model!DQ39</f>
        <v>6986</v>
      </c>
      <c r="DR228" s="915"/>
      <c r="DS228" s="916">
        <f>Model!DS39</f>
        <v>1102.1000000000001</v>
      </c>
      <c r="DT228" s="916">
        <f>Model!DT39</f>
        <v>1641.69</v>
      </c>
      <c r="DU228" s="916">
        <f>Model!DU39</f>
        <v>1801.8000000000002</v>
      </c>
      <c r="DV228" s="916">
        <f>Model!DV39</f>
        <v>3020.3100000000004</v>
      </c>
      <c r="DW228" s="1029">
        <f>Model!DW39</f>
        <v>7565.9000000000005</v>
      </c>
      <c r="DX228" s="915"/>
      <c r="DY228" s="916">
        <f>Model!DY39</f>
        <v>1223.3310000000004</v>
      </c>
      <c r="DZ228" s="916">
        <f>Model!DZ39</f>
        <v>1666.3153499999999</v>
      </c>
      <c r="EA228" s="916">
        <f>Model!EA39</f>
        <v>1927.9260000000004</v>
      </c>
      <c r="EB228" s="916">
        <f>Model!EB39</f>
        <v>3026.3506200000006</v>
      </c>
      <c r="EC228" s="1029">
        <f>Model!EC39</f>
        <v>7843.9229700000014</v>
      </c>
      <c r="ED228" s="915"/>
      <c r="EE228" s="916">
        <f>Model!EE39</f>
        <v>1211.0976900000003</v>
      </c>
      <c r="EF228" s="916">
        <f>Model!EF39</f>
        <v>1682.9785034999998</v>
      </c>
      <c r="EG228" s="916">
        <f>Model!EG39</f>
        <v>1908.6467400000004</v>
      </c>
      <c r="EH228" s="916">
        <f>Model!EH39</f>
        <v>2965.8236076000007</v>
      </c>
      <c r="EI228" s="1029">
        <f>Model!EI39</f>
        <v>7768.5465411000005</v>
      </c>
      <c r="EJ228" s="915"/>
      <c r="EK228" s="916">
        <f>Model!EK39</f>
        <v>1192.9312246500003</v>
      </c>
      <c r="EL228" s="916">
        <f>Model!EL39</f>
        <v>1657.7338259474998</v>
      </c>
      <c r="EM228" s="916">
        <f>Model!EM39</f>
        <v>1880.0170389000004</v>
      </c>
      <c r="EN228" s="916">
        <f>Model!EN39</f>
        <v>2921.3362534860007</v>
      </c>
      <c r="EO228" s="1029">
        <f>Model!EO39</f>
        <v>7652.0183429835015</v>
      </c>
      <c r="EP228" s="915"/>
      <c r="EQ228" s="916">
        <f>Model!EQ39</f>
        <v>1175.0372562802504</v>
      </c>
      <c r="ER228" s="916">
        <f>Model!ER39</f>
        <v>1690.8885024664498</v>
      </c>
      <c r="ES228" s="916">
        <f>Model!ES39</f>
        <v>1927.0174648725003</v>
      </c>
      <c r="ET228" s="916">
        <f>Model!ET39</f>
        <v>2877.5162096837107</v>
      </c>
      <c r="EU228" s="1029">
        <f>Model!EU39</f>
        <v>7670.4594333029108</v>
      </c>
      <c r="EV228" s="915"/>
      <c r="EW228" s="916">
        <f>Model!EW39</f>
        <v>1157.4116974360466</v>
      </c>
      <c r="EX228" s="916">
        <f>Model!EX39</f>
        <v>1792.341812614437</v>
      </c>
      <c r="EY228" s="916">
        <f>Model!EY39</f>
        <v>2081.1788620623006</v>
      </c>
      <c r="EZ228" s="916">
        <f>Model!EZ39</f>
        <v>2949.4541149258034</v>
      </c>
      <c r="FA228" s="1029">
        <f>Model!FA39</f>
        <v>7980.3864870385878</v>
      </c>
      <c r="FB228" s="915"/>
      <c r="FC228" s="916">
        <f>Model!FC39</f>
        <v>1186.3469898719477</v>
      </c>
      <c r="FD228" s="916">
        <f>Model!FD39</f>
        <v>1837.1503579297978</v>
      </c>
      <c r="FE228" s="916">
        <f>Model!FE39</f>
        <v>2133.208333613858</v>
      </c>
      <c r="FF228" s="916">
        <f>Model!FF39</f>
        <v>3023.1904677989482</v>
      </c>
      <c r="FG228" s="1029">
        <f>Model!FG39</f>
        <v>8179.8961492145518</v>
      </c>
      <c r="FH228" s="915"/>
      <c r="FI228" s="916">
        <f>Model!FI39</f>
        <v>1216.0056646187463</v>
      </c>
      <c r="FJ228" s="916">
        <f>Model!FJ39</f>
        <v>1883.0791168780427</v>
      </c>
      <c r="FK228" s="916">
        <f>Model!FK39</f>
        <v>2186.5385419542044</v>
      </c>
      <c r="FL228" s="916">
        <f>Model!FL39</f>
        <v>3098.7702294939218</v>
      </c>
      <c r="FM228" s="1029">
        <f>Model!FM39</f>
        <v>8384.3935529449154</v>
      </c>
      <c r="FQ228"/>
      <c r="FR228"/>
      <c r="FS228"/>
      <c r="FT228"/>
      <c r="FU228"/>
      <c r="FV228"/>
      <c r="GB228" s="24"/>
      <c r="GC228" s="24"/>
      <c r="GD228" s="24"/>
      <c r="GE228" s="24"/>
      <c r="GF228" s="24"/>
      <c r="GG228" s="24"/>
      <c r="GH228" s="24"/>
      <c r="GI228" s="24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</row>
    <row r="229" spans="1:274" s="32" customFormat="1" ht="13.5" hidden="1" outlineLevel="1" thickBot="1" x14ac:dyDescent="0.25">
      <c r="A229" s="882" t="s">
        <v>128</v>
      </c>
      <c r="B229" s="889"/>
      <c r="C229" s="889"/>
      <c r="D229" s="883"/>
      <c r="E229" s="883"/>
      <c r="F229" s="883"/>
      <c r="G229" s="883"/>
      <c r="H229" s="883"/>
      <c r="I229" s="883"/>
      <c r="J229" s="883"/>
      <c r="K229" s="883"/>
      <c r="L229" s="883"/>
      <c r="M229" s="883"/>
      <c r="N229" s="889"/>
      <c r="O229" s="889"/>
      <c r="P229" s="889"/>
      <c r="Q229" s="889"/>
      <c r="R229" s="889"/>
      <c r="S229" s="883"/>
      <c r="T229" s="889"/>
      <c r="U229" s="883"/>
      <c r="V229" s="883"/>
      <c r="W229" s="883"/>
      <c r="X229" s="883"/>
      <c r="Y229" s="883"/>
      <c r="Z229" s="889"/>
      <c r="AA229" s="883"/>
      <c r="AB229" s="883"/>
      <c r="AC229" s="883"/>
      <c r="AD229" s="883"/>
      <c r="AE229" s="883"/>
      <c r="AF229" s="889"/>
      <c r="AG229" s="883"/>
      <c r="AH229" s="883"/>
      <c r="AI229" s="883"/>
      <c r="AJ229" s="883"/>
      <c r="AK229" s="883"/>
      <c r="AL229" s="889"/>
      <c r="AM229" s="883"/>
      <c r="AN229" s="883"/>
      <c r="AO229" s="883"/>
      <c r="AP229" s="883"/>
      <c r="AQ229" s="883"/>
      <c r="AR229" s="889"/>
      <c r="AS229" s="883"/>
      <c r="AT229" s="883"/>
      <c r="AU229" s="883"/>
      <c r="AV229" s="883"/>
      <c r="AW229" s="883"/>
      <c r="AX229" s="889"/>
      <c r="AY229" s="883"/>
      <c r="AZ229" s="883"/>
      <c r="BA229" s="883"/>
      <c r="BB229" s="883"/>
      <c r="BC229" s="883"/>
      <c r="BD229" s="889"/>
      <c r="BE229" s="883"/>
      <c r="BF229" s="883"/>
      <c r="BG229" s="883"/>
      <c r="BH229" s="883"/>
      <c r="BI229" s="883"/>
      <c r="BJ229" s="889"/>
      <c r="BK229" s="883"/>
      <c r="BL229" s="883"/>
      <c r="BM229" s="883"/>
      <c r="BN229" s="883"/>
      <c r="BO229" s="883"/>
      <c r="BP229" s="889"/>
      <c r="BQ229" s="883">
        <f>BQ228/BK228-1</f>
        <v>-7.5221238938053103E-2</v>
      </c>
      <c r="BR229" s="883">
        <f>BR228/BL228-1</f>
        <v>9.284627092846276E-2</v>
      </c>
      <c r="BS229" s="883">
        <f>BS228/BM228-1</f>
        <v>0.14959349593495941</v>
      </c>
      <c r="BT229" s="883">
        <f>BT228/BN228-1</f>
        <v>0.15090329436769401</v>
      </c>
      <c r="BU229" s="883">
        <f>BU228/BO228-1</f>
        <v>9.7936210131332135E-2</v>
      </c>
      <c r="BV229" s="889"/>
      <c r="BW229" s="883">
        <f>BW228/BQ228-1</f>
        <v>0.18181818181818188</v>
      </c>
      <c r="BX229" s="883">
        <f>BX228/BR228-1</f>
        <v>5.2924791086351064E-2</v>
      </c>
      <c r="BY229" s="883">
        <f>BY228/BS228-1</f>
        <v>0.12446958981612455</v>
      </c>
      <c r="BZ229" s="883">
        <f>BZ228/BT228-1</f>
        <v>0.16251154201292706</v>
      </c>
      <c r="CA229" s="883">
        <f>CA228/BU228-1</f>
        <v>0.12918660287081329</v>
      </c>
      <c r="CB229" s="889"/>
      <c r="CC229" s="883">
        <f>CC228/BW228-1</f>
        <v>1.6194331983805599E-2</v>
      </c>
      <c r="CD229" s="883">
        <f>CD228/BX228-1</f>
        <v>4.7619047619047672E-2</v>
      </c>
      <c r="CE229" s="883">
        <f>CE228/BY228-1</f>
        <v>4.0754716981131978E-2</v>
      </c>
      <c r="CF229" s="883">
        <f>CF228/BZ228-1</f>
        <v>0.17553613979348692</v>
      </c>
      <c r="CG229" s="884">
        <f>CG228/CA228-1</f>
        <v>9.0012106537530334E-2</v>
      </c>
      <c r="CH229" s="889"/>
      <c r="CI229" s="883">
        <f>CI228/CC228-1</f>
        <v>0.14741035856573714</v>
      </c>
      <c r="CJ229" s="883">
        <f>CJ228/CD228-1</f>
        <v>9.4696969696969724E-2</v>
      </c>
      <c r="CK229" s="883">
        <f>CK228/CE228-1</f>
        <v>0.16872129562484894</v>
      </c>
      <c r="CL229" s="883">
        <f>CL228/CF228-1</f>
        <v>0.18581081081081074</v>
      </c>
      <c r="CM229" s="884">
        <f>CM228/CG228-1</f>
        <v>0.15649469650691405</v>
      </c>
      <c r="CN229" s="889"/>
      <c r="CO229" s="883">
        <f>CO228/CI228-1</f>
        <v>0.234375</v>
      </c>
      <c r="CP229" s="883">
        <f>CP228/CJ228-1</f>
        <v>0.28604382929642447</v>
      </c>
      <c r="CQ229" s="883">
        <f>CQ228/CK228-1</f>
        <v>0.20475698035160295</v>
      </c>
      <c r="CR229" s="883">
        <f>CR228/CL228-1</f>
        <v>0.22792022792022792</v>
      </c>
      <c r="CS229" s="884">
        <f>CS228/CM228-1</f>
        <v>0.23553421368547411</v>
      </c>
      <c r="CT229" s="889"/>
      <c r="CU229" s="883">
        <f>CU228/CO228-1</f>
        <v>0.27144866385372723</v>
      </c>
      <c r="CV229" s="883">
        <f>CV228/CP228-1</f>
        <v>3.7668161434977643E-2</v>
      </c>
      <c r="CW229" s="883">
        <f>CW228/CQ228-1</f>
        <v>-3.8626609442060089E-2</v>
      </c>
      <c r="CX229" s="883">
        <f>CX228/CR228-1</f>
        <v>-0.10023201856148489</v>
      </c>
      <c r="CY229" s="884">
        <f>CY228/CS228-1</f>
        <v>-5.0524679362611291E-3</v>
      </c>
      <c r="CZ229" s="889"/>
      <c r="DA229" s="883">
        <f>DA228/CU228-1</f>
        <v>-0.21349557522123896</v>
      </c>
      <c r="DB229" s="883">
        <f>DB228/CV228-1</f>
        <v>1.5557476231633505E-2</v>
      </c>
      <c r="DC229" s="883">
        <f>DC228/CW228-1</f>
        <v>0.10803571428571423</v>
      </c>
      <c r="DD229" s="883">
        <f>DD228/CX228-1</f>
        <v>0.17586384734399174</v>
      </c>
      <c r="DE229" s="884">
        <f>DE228/CY228-1</f>
        <v>5.6054687500000089E-2</v>
      </c>
      <c r="DF229" s="889"/>
      <c r="DG229" s="883">
        <f>DG228/DA228-1</f>
        <v>0.31786216596343175</v>
      </c>
      <c r="DH229" s="883">
        <f>DH228/DB228-1</f>
        <v>0.20851063829787231</v>
      </c>
      <c r="DI229" s="883">
        <f>DI228/DC228-1</f>
        <v>0.26913779210314259</v>
      </c>
      <c r="DJ229" s="883">
        <f>DJ228/DD228-1</f>
        <v>0.18157894736842106</v>
      </c>
      <c r="DK229" s="884">
        <f>DK228/DE228-1</f>
        <v>0.22544849269465517</v>
      </c>
      <c r="DL229" s="889"/>
      <c r="DM229" s="883">
        <f>DM228/DG228-1</f>
        <v>0.14194236926360726</v>
      </c>
      <c r="DN229" s="883">
        <f>DN228/DH228-1</f>
        <v>4.1549295774647943E-2</v>
      </c>
      <c r="DO229" s="883">
        <f>DO228/DI228-1</f>
        <v>8.9523809523809561E-2</v>
      </c>
      <c r="DP229" s="883">
        <f>DP228/DJ228-1</f>
        <v>1.0022271714922093E-2</v>
      </c>
      <c r="DQ229" s="884">
        <f>DQ228/DK228-1</f>
        <v>5.4331421672200397E-2</v>
      </c>
      <c r="DR229" s="889"/>
      <c r="DS229" s="883">
        <f>DS228/DM228-1</f>
        <v>3.0000000000000027E-2</v>
      </c>
      <c r="DT229" s="883">
        <f>DT228/DN228-1</f>
        <v>0.1100000000000001</v>
      </c>
      <c r="DU229" s="883">
        <f>DU228/DO228-1</f>
        <v>5.0000000000000044E-2</v>
      </c>
      <c r="DV229" s="883">
        <f>DV228/DP228-1</f>
        <v>0.1100000000000001</v>
      </c>
      <c r="DW229" s="884">
        <f>DW228/DQ228-1</f>
        <v>8.3008874892642526E-2</v>
      </c>
      <c r="DX229" s="889"/>
      <c r="DY229" s="883">
        <f>DY228/DS228-1</f>
        <v>0.1100000000000001</v>
      </c>
      <c r="DZ229" s="883">
        <f>DZ228/DT228-1</f>
        <v>1.4999999999999902E-2</v>
      </c>
      <c r="EA229" s="883">
        <f>EA228/DU228-1</f>
        <v>7.0000000000000062E-2</v>
      </c>
      <c r="EB229" s="883">
        <f>EB228/DV228-1</f>
        <v>2.0000000000000018E-3</v>
      </c>
      <c r="EC229" s="884">
        <f>EC228/DW228-1</f>
        <v>3.6746847037365082E-2</v>
      </c>
      <c r="ED229" s="889"/>
      <c r="EE229" s="883">
        <f>EE228/DY228-1</f>
        <v>-1.0000000000000009E-2</v>
      </c>
      <c r="EF229" s="883">
        <f>EF228/DZ228-1</f>
        <v>1.0000000000000009E-2</v>
      </c>
      <c r="EG229" s="883">
        <f>EG228/EA228-1</f>
        <v>-1.0000000000000009E-2</v>
      </c>
      <c r="EH229" s="883">
        <f>EH228/EB228-1</f>
        <v>-1.9999999999999907E-2</v>
      </c>
      <c r="EI229" s="884">
        <f>EI228/EC228-1</f>
        <v>-9.6095320145654917E-3</v>
      </c>
      <c r="EJ229" s="889"/>
      <c r="EK229" s="883">
        <f>EK228/EE228-1</f>
        <v>-1.4999999999999902E-2</v>
      </c>
      <c r="EL229" s="883">
        <f>EL228/EF228-1</f>
        <v>-1.5000000000000013E-2</v>
      </c>
      <c r="EM229" s="883">
        <f>EM228/EG228-1</f>
        <v>-1.4999999999999902E-2</v>
      </c>
      <c r="EN229" s="883">
        <f>EN228/EH228-1</f>
        <v>-1.5000000000000013E-2</v>
      </c>
      <c r="EO229" s="884">
        <f>EO228/EI228-1</f>
        <v>-1.4999999999999902E-2</v>
      </c>
      <c r="EP229" s="889"/>
      <c r="EQ229" s="883">
        <f>EQ228/EK228-1</f>
        <v>-1.4999999999999902E-2</v>
      </c>
      <c r="ER229" s="883">
        <f>ER228/EL228-1</f>
        <v>2.0000000000000018E-2</v>
      </c>
      <c r="ES229" s="883">
        <f>ES228/EM228-1</f>
        <v>2.4999999999999911E-2</v>
      </c>
      <c r="ET229" s="883">
        <f>ET228/EN228-1</f>
        <v>-1.5000000000000013E-2</v>
      </c>
      <c r="EU229" s="884">
        <f>EU228/EO228-1</f>
        <v>2.4099642071975236E-3</v>
      </c>
      <c r="EV229" s="889"/>
      <c r="EW229" s="883">
        <f>EW228/EQ228-1</f>
        <v>-1.5000000000000124E-2</v>
      </c>
      <c r="EX229" s="883">
        <f>EX228/ER228-1</f>
        <v>6.0000000000000053E-2</v>
      </c>
      <c r="EY229" s="883">
        <f>EY228/ES228-1</f>
        <v>8.0000000000000071E-2</v>
      </c>
      <c r="EZ229" s="883">
        <f>EZ228/ET228-1</f>
        <v>2.4999999999999911E-2</v>
      </c>
      <c r="FA229" s="884">
        <f>FA228/EU228-1</f>
        <v>4.0405279035837571E-2</v>
      </c>
      <c r="FB229" s="889"/>
      <c r="FC229" s="883">
        <f>FC228/EW228-1</f>
        <v>2.4999999999999911E-2</v>
      </c>
      <c r="FD229" s="883">
        <f>FD228/EX228-1</f>
        <v>2.4999999999999911E-2</v>
      </c>
      <c r="FE229" s="883">
        <f>FE228/EY228-1</f>
        <v>2.4999999999999911E-2</v>
      </c>
      <c r="FF229" s="883">
        <f>FF228/EZ228-1</f>
        <v>2.4999999999999911E-2</v>
      </c>
      <c r="FG229" s="884">
        <f>FG228/FA228-1</f>
        <v>2.4999999999999911E-2</v>
      </c>
      <c r="FH229" s="889"/>
      <c r="FI229" s="883">
        <f>FI228/FC228-1</f>
        <v>2.4999999999999911E-2</v>
      </c>
      <c r="FJ229" s="883">
        <f>FJ228/FD228-1</f>
        <v>2.4999999999999911E-2</v>
      </c>
      <c r="FK229" s="883">
        <f>FK228/FE228-1</f>
        <v>2.4999999999999911E-2</v>
      </c>
      <c r="FL229" s="883">
        <f>FL228/FF228-1</f>
        <v>2.4999999999999911E-2</v>
      </c>
      <c r="FM229" s="884">
        <f>FM228/FG228-1</f>
        <v>2.4999999999999911E-2</v>
      </c>
      <c r="FQ229"/>
      <c r="FR229"/>
      <c r="FS229"/>
      <c r="FT229"/>
      <c r="FU229"/>
      <c r="FV229"/>
      <c r="GB229" s="24"/>
      <c r="GC229" s="24"/>
      <c r="GD229" s="24"/>
      <c r="GE229" s="24"/>
      <c r="GF229" s="24"/>
      <c r="GG229" s="24"/>
      <c r="GH229" s="24"/>
      <c r="GI229" s="24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</row>
    <row r="230" spans="1:274" s="32" customFormat="1" hidden="1" outlineLevel="1" x14ac:dyDescent="0.2">
      <c r="A230" s="442"/>
      <c r="B230" s="443"/>
      <c r="C230" s="443"/>
      <c r="D230" s="442"/>
      <c r="E230" s="442"/>
      <c r="F230" s="442"/>
      <c r="G230" s="442"/>
      <c r="H230" s="442"/>
      <c r="I230" s="442"/>
      <c r="J230" s="442"/>
      <c r="K230" s="442"/>
      <c r="L230" s="442"/>
      <c r="M230" s="442"/>
      <c r="N230" s="443"/>
      <c r="O230" s="443"/>
      <c r="P230" s="443"/>
      <c r="Q230" s="443"/>
      <c r="R230" s="443"/>
      <c r="S230" s="442"/>
      <c r="T230" s="443"/>
      <c r="U230" s="442"/>
      <c r="V230" s="442"/>
      <c r="W230" s="442"/>
      <c r="X230" s="442"/>
      <c r="Y230" s="442"/>
      <c r="Z230" s="443"/>
      <c r="AA230" s="442"/>
      <c r="AB230" s="442"/>
      <c r="AC230" s="442"/>
      <c r="AD230" s="442"/>
      <c r="AE230" s="442"/>
      <c r="AF230" s="443"/>
      <c r="AG230" s="442"/>
      <c r="AH230" s="442"/>
      <c r="AI230" s="442"/>
      <c r="AJ230" s="442"/>
      <c r="AK230" s="442"/>
      <c r="AL230" s="443"/>
      <c r="AM230" s="442"/>
      <c r="AN230" s="442"/>
      <c r="AO230" s="442"/>
      <c r="AP230" s="442"/>
      <c r="AQ230" s="442"/>
      <c r="AR230" s="443"/>
      <c r="AS230" s="442"/>
      <c r="AT230" s="442"/>
      <c r="AU230" s="442"/>
      <c r="AV230" s="442"/>
      <c r="AW230" s="442"/>
      <c r="AX230" s="443"/>
      <c r="AY230" s="442"/>
      <c r="AZ230" s="442"/>
      <c r="BA230" s="442"/>
      <c r="BB230" s="442"/>
      <c r="BC230" s="442"/>
      <c r="BD230" s="443"/>
      <c r="BE230" s="442"/>
      <c r="BF230" s="442"/>
      <c r="BG230" s="442"/>
      <c r="BH230" s="442"/>
      <c r="BI230" s="442"/>
      <c r="BJ230" s="443"/>
      <c r="BK230" s="442">
        <f>BK228-BK214-BK217-BK224</f>
        <v>14</v>
      </c>
      <c r="BL230" s="442">
        <f>BL228-BL214-BL217-BL224</f>
        <v>13.299999999999997</v>
      </c>
      <c r="BM230" s="442">
        <f>BM228-BM214-BM217-BM224</f>
        <v>12.000000000000014</v>
      </c>
      <c r="BN230" s="442">
        <f>BN228-BN214-BN217-BN224</f>
        <v>8.0000000000000142</v>
      </c>
      <c r="BO230" s="442">
        <f>BO228-BO214-BO217-BO224</f>
        <v>47.300000000000352</v>
      </c>
      <c r="BP230" s="443"/>
      <c r="BQ230" s="442">
        <f>BQ228-BQ214-BQ217-BQ224</f>
        <v>10</v>
      </c>
      <c r="BR230" s="442">
        <f>BR228-BR214-BR217-BR224</f>
        <v>6</v>
      </c>
      <c r="BS230" s="442">
        <f>BS228-BS214-BS217-BS224</f>
        <v>6.9999999999999574</v>
      </c>
      <c r="BT230" s="442">
        <f>BT228-BT214-BT217-BT224</f>
        <v>10</v>
      </c>
      <c r="BU230" s="442">
        <f>BU228-BU214-BU217-BU224</f>
        <v>33.000000000000171</v>
      </c>
      <c r="BV230" s="443"/>
      <c r="BW230" s="442">
        <f>BW228-BW214-BW217-BW224</f>
        <v>8.0000000000000284</v>
      </c>
      <c r="BX230" s="442">
        <f>BX228-BX214-BX217-BX224</f>
        <v>7</v>
      </c>
      <c r="BY230" s="442">
        <f>BY228-BY214-BY217-BY224</f>
        <v>12.999999999999972</v>
      </c>
      <c r="BZ230" s="442">
        <f>BZ228-BZ214-BZ217-BZ224</f>
        <v>12</v>
      </c>
      <c r="CA230" s="442">
        <f>CA228-CA214-CA217-CA224</f>
        <v>39.999999999999886</v>
      </c>
      <c r="CB230" s="443"/>
      <c r="CC230" s="442">
        <f>CC228-CC214-CC217-CC224</f>
        <v>9.9999999999999716</v>
      </c>
      <c r="CD230" s="442">
        <f>CD228-CD214-CD217-CD224</f>
        <v>6.9999999999999858</v>
      </c>
      <c r="CE230" s="442">
        <f>CE228-CE214-CE217-CE224</f>
        <v>6.9999999999999289</v>
      </c>
      <c r="CF230" s="442">
        <f>CF228-CF214-CF217-CF224</f>
        <v>11</v>
      </c>
      <c r="CG230" s="446">
        <f>CG228-CG214-CG217-CG224</f>
        <v>35.000000000000114</v>
      </c>
      <c r="CH230" s="443"/>
      <c r="CI230" s="442">
        <f>CI228-CI214-CI217-CI224</f>
        <v>11.000000000000028</v>
      </c>
      <c r="CJ230" s="442">
        <f>CJ228-CJ214-CJ217-CJ224</f>
        <v>8</v>
      </c>
      <c r="CK230" s="442">
        <f>CK228-CK214-CK217-CK224</f>
        <v>7.9999999999999432</v>
      </c>
      <c r="CL230" s="442">
        <f>CL228-CL214-CL217-CL224</f>
        <v>18.999999999999886</v>
      </c>
      <c r="CM230" s="446">
        <f>CM228-CM214-CM217-CM224</f>
        <v>92.000000000000114</v>
      </c>
      <c r="CN230" s="443"/>
      <c r="CO230" s="442">
        <f>CO228-CO214-CO217-CO224</f>
        <v>17.000000000000028</v>
      </c>
      <c r="CP230" s="442">
        <f>CP228-CP214-CP217-CP224</f>
        <v>0</v>
      </c>
      <c r="CQ230" s="442">
        <f>CQ228-CQ214-CQ217-CQ224</f>
        <v>0</v>
      </c>
      <c r="CR230" s="442">
        <f>CR228-CR214-CR217-CR224</f>
        <v>0</v>
      </c>
      <c r="CS230" s="446">
        <f>CS228-CS214-CS217-CS224</f>
        <v>17</v>
      </c>
      <c r="CT230" s="443"/>
      <c r="CU230" s="442">
        <f>CU228-CU214-CU217-CU224</f>
        <v>0</v>
      </c>
      <c r="CV230" s="442">
        <f>CV228-CV214-CV217-CV224</f>
        <v>0</v>
      </c>
      <c r="CW230" s="442">
        <f>CW228-CW214-CW217-CW224</f>
        <v>0</v>
      </c>
      <c r="CX230" s="442">
        <f>CX228-CX214-CX217-CX224</f>
        <v>0</v>
      </c>
      <c r="CY230" s="446">
        <f>CY228-CY214-CY217-CY224</f>
        <v>0</v>
      </c>
      <c r="CZ230" s="443"/>
      <c r="DA230" s="442">
        <f>DA228-DA214-DA217-DA224</f>
        <v>0</v>
      </c>
      <c r="DB230" s="442">
        <f>DB228-DB214-DB217-DB224</f>
        <v>0</v>
      </c>
      <c r="DC230" s="442">
        <f>DC228-DC214-DC217-DC224</f>
        <v>0</v>
      </c>
      <c r="DD230" s="442">
        <f>DD228-DD214-DD217-DD224</f>
        <v>0</v>
      </c>
      <c r="DE230" s="446">
        <f>DE228-DE214-DE217-DE224</f>
        <v>0</v>
      </c>
      <c r="DF230" s="443"/>
      <c r="DG230" s="442">
        <f>DG228-DG214-DG217-DG224</f>
        <v>0</v>
      </c>
      <c r="DH230" s="442">
        <f>DH228-DH214-DH217-DH224</f>
        <v>0</v>
      </c>
      <c r="DI230" s="442">
        <f>DI228-DI214-DI217-DI224</f>
        <v>0</v>
      </c>
      <c r="DJ230" s="442">
        <f>DJ228-DJ214-DJ217-DJ224</f>
        <v>0</v>
      </c>
      <c r="DK230" s="446">
        <f>DK228-DK214-DK217-DK224</f>
        <v>0</v>
      </c>
      <c r="DL230" s="443"/>
      <c r="DM230" s="442">
        <f>DM228-DM214-DM217-DM224</f>
        <v>0</v>
      </c>
      <c r="DN230" s="442">
        <f>DN228-DN214-DN217-DN224</f>
        <v>0</v>
      </c>
      <c r="DO230" s="442">
        <f>DO228-DO214-DO217-DO224</f>
        <v>0</v>
      </c>
      <c r="DP230" s="442">
        <f>DP228-DP214-DP217-DP224</f>
        <v>0</v>
      </c>
      <c r="DQ230" s="446">
        <f>DQ228-DQ214-DQ217-DQ224</f>
        <v>0</v>
      </c>
      <c r="DR230" s="443"/>
      <c r="DS230" s="442">
        <f>DS228-DS214-DS217-DS224</f>
        <v>0</v>
      </c>
      <c r="DT230" s="442">
        <f>DT228-DT214-DT217-DT224</f>
        <v>0</v>
      </c>
      <c r="DU230" s="442">
        <f>DU228-DU214-DU217-DU224</f>
        <v>0</v>
      </c>
      <c r="DV230" s="442">
        <f>DV228-DV214-DV217-DV224</f>
        <v>0</v>
      </c>
      <c r="DW230" s="446">
        <f>DW228-DW214-DW217-DW224</f>
        <v>0</v>
      </c>
      <c r="DX230" s="443"/>
      <c r="DY230" s="442">
        <f>DY228-DY214-DY217-DY224</f>
        <v>0</v>
      </c>
      <c r="DZ230" s="442">
        <f>DZ228-DZ214-DZ217-DZ224</f>
        <v>0</v>
      </c>
      <c r="EA230" s="442">
        <f>EA228-EA214-EA217-EA224</f>
        <v>0</v>
      </c>
      <c r="EB230" s="442">
        <f>EB228-EB214-EB217-EB224</f>
        <v>0</v>
      </c>
      <c r="EC230" s="446">
        <f>EC228-EC214-EC217-EC224</f>
        <v>0</v>
      </c>
      <c r="ED230" s="443"/>
      <c r="EE230" s="442">
        <f>EE228-EE214-EE217-EE224</f>
        <v>0</v>
      </c>
      <c r="EF230" s="442">
        <f>EF228-EF214-EF217-EF224</f>
        <v>0</v>
      </c>
      <c r="EG230" s="442">
        <f>EG228-EG214-EG217-EG224</f>
        <v>0</v>
      </c>
      <c r="EH230" s="442">
        <f>EH228-EH214-EH217-EH224</f>
        <v>0</v>
      </c>
      <c r="EI230" s="446">
        <f>EI228-EI214-EI217-EI224</f>
        <v>0</v>
      </c>
      <c r="EJ230" s="443"/>
      <c r="EK230" s="442">
        <f>EK228-EK214-EK217-EK224</f>
        <v>0</v>
      </c>
      <c r="EL230" s="442">
        <f>EL228-EL214-EL217-EL224</f>
        <v>0</v>
      </c>
      <c r="EM230" s="442">
        <f>EM228-EM214-EM217-EM224</f>
        <v>0</v>
      </c>
      <c r="EN230" s="442">
        <f>EN228-EN214-EN217-EN224</f>
        <v>0</v>
      </c>
      <c r="EO230" s="446">
        <f>EO228-EO214-EO217-EO224</f>
        <v>0</v>
      </c>
      <c r="EP230" s="443"/>
      <c r="EQ230" s="442">
        <f>EQ228-EQ214-EQ217-EQ224</f>
        <v>0</v>
      </c>
      <c r="ER230" s="442">
        <f>ER228-ER214-ER217-ER224</f>
        <v>0</v>
      </c>
      <c r="ES230" s="442">
        <f>ES228-ES214-ES217-ES224</f>
        <v>0</v>
      </c>
      <c r="ET230" s="442">
        <f>ET228-ET214-ET217-ET224</f>
        <v>0</v>
      </c>
      <c r="EU230" s="446">
        <f>EU228-EU214-EU217-EU224</f>
        <v>0</v>
      </c>
      <c r="EV230" s="443"/>
      <c r="EW230" s="442">
        <f>EW228-EW214-EW217-EW224</f>
        <v>0</v>
      </c>
      <c r="EX230" s="442">
        <f>EX228-EX214-EX217-EX224</f>
        <v>0</v>
      </c>
      <c r="EY230" s="442">
        <f>EY228-EY214-EY217-EY224</f>
        <v>0</v>
      </c>
      <c r="EZ230" s="442">
        <f>EZ228-EZ214-EZ217-EZ224</f>
        <v>0</v>
      </c>
      <c r="FA230" s="446">
        <f>FA228-FA214-FA217-FA224</f>
        <v>0</v>
      </c>
      <c r="FB230" s="443"/>
      <c r="FC230" s="442">
        <f>FC228-FC214-FC217-FC224</f>
        <v>0</v>
      </c>
      <c r="FD230" s="442">
        <f>FD228-FD214-FD217-FD224</f>
        <v>0</v>
      </c>
      <c r="FE230" s="442">
        <f>FE228-FE214-FE217-FE224</f>
        <v>0</v>
      </c>
      <c r="FF230" s="442">
        <f>FF228-FF214-FF217-FF224</f>
        <v>0</v>
      </c>
      <c r="FG230" s="446">
        <f>FG228-FG214-FG217-FG224</f>
        <v>0</v>
      </c>
      <c r="FH230" s="443"/>
      <c r="FI230" s="442">
        <f>FI228-FI214-FI217-FI224</f>
        <v>0</v>
      </c>
      <c r="FJ230" s="442">
        <f>FJ228-FJ214-FJ217-FJ224</f>
        <v>0</v>
      </c>
      <c r="FK230" s="442">
        <f>FK228-FK214-FK217-FK224</f>
        <v>0</v>
      </c>
      <c r="FL230" s="442">
        <f>FL228-FL214-FL217-FL224</f>
        <v>0</v>
      </c>
      <c r="FM230" s="446">
        <f>FM228-FM214-FM217-FM224</f>
        <v>0</v>
      </c>
      <c r="FQ230"/>
      <c r="FR230"/>
      <c r="FS230"/>
      <c r="FT230"/>
      <c r="FU230"/>
      <c r="FV230"/>
      <c r="GB230" s="24"/>
      <c r="GC230" s="24"/>
      <c r="GD230" s="24"/>
      <c r="GE230" s="24"/>
      <c r="GF230" s="24"/>
      <c r="GG230" s="24"/>
      <c r="GH230" s="24"/>
      <c r="GI230" s="24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</row>
    <row r="231" spans="1:274" s="1516" customFormat="1" hidden="1" outlineLevel="1" x14ac:dyDescent="0.2">
      <c r="A231" s="1595" t="s">
        <v>241</v>
      </c>
      <c r="B231" s="1542"/>
      <c r="C231" s="1542"/>
      <c r="D231" s="1541"/>
      <c r="E231" s="1541"/>
      <c r="F231" s="1541"/>
      <c r="G231" s="1541"/>
      <c r="H231" s="1541"/>
      <c r="I231" s="1541"/>
      <c r="J231" s="1541"/>
      <c r="K231" s="1541"/>
      <c r="L231" s="1541"/>
      <c r="M231" s="1541"/>
      <c r="N231" s="1542"/>
      <c r="O231" s="1542"/>
      <c r="P231" s="1542"/>
      <c r="Q231" s="1542"/>
      <c r="R231" s="1542"/>
      <c r="S231" s="1541"/>
      <c r="T231" s="1542"/>
      <c r="U231" s="1541"/>
      <c r="V231" s="1541"/>
      <c r="W231" s="1541"/>
      <c r="X231" s="1541"/>
      <c r="Y231" s="1541"/>
      <c r="Z231" s="1542"/>
      <c r="AA231" s="1541"/>
      <c r="AB231" s="1541"/>
      <c r="AC231" s="1541"/>
      <c r="AD231" s="1541"/>
      <c r="AE231" s="1541"/>
      <c r="AF231" s="1542"/>
      <c r="AG231" s="1541"/>
      <c r="AH231" s="1541"/>
      <c r="AI231" s="1541"/>
      <c r="AJ231" s="1541"/>
      <c r="AK231" s="1541"/>
      <c r="AL231" s="1542"/>
      <c r="AM231" s="1541"/>
      <c r="AN231" s="1541"/>
      <c r="AO231" s="1541"/>
      <c r="AP231" s="1541"/>
      <c r="AQ231" s="1541"/>
      <c r="AR231" s="1542"/>
      <c r="AS231" s="1541"/>
      <c r="AT231" s="1541"/>
      <c r="AU231" s="1541"/>
      <c r="AV231" s="1541"/>
      <c r="AW231" s="1541"/>
      <c r="AX231" s="1542"/>
      <c r="AY231" s="1541"/>
      <c r="AZ231" s="1541"/>
      <c r="BA231" s="1541"/>
      <c r="BB231" s="1541"/>
      <c r="BC231" s="1541"/>
      <c r="BD231" s="1542"/>
      <c r="BE231" s="1541"/>
      <c r="BF231" s="1541"/>
      <c r="BG231" s="1541"/>
      <c r="BH231" s="1541"/>
      <c r="BI231" s="1541"/>
      <c r="BJ231" s="1542"/>
      <c r="BK231" s="1541"/>
      <c r="BL231" s="1541"/>
      <c r="BM231" s="1541"/>
      <c r="BN231" s="1541"/>
      <c r="BO231" s="1541"/>
      <c r="BP231" s="1542"/>
      <c r="BQ231" s="1541"/>
      <c r="BR231" s="1541"/>
      <c r="BS231" s="1541"/>
      <c r="BT231" s="1541"/>
      <c r="BU231" s="1541"/>
      <c r="BV231" s="1542"/>
      <c r="BW231" s="1541"/>
      <c r="BX231" s="1541"/>
      <c r="BY231" s="1541"/>
      <c r="BZ231" s="1541"/>
      <c r="CA231" s="1541"/>
      <c r="CB231" s="1542"/>
      <c r="CC231" s="1541"/>
      <c r="CD231" s="1541"/>
      <c r="CE231" s="1541"/>
      <c r="CF231" s="1541"/>
      <c r="CG231" s="1545"/>
      <c r="CH231" s="1542"/>
      <c r="CI231" s="1541"/>
      <c r="CJ231" s="1541"/>
      <c r="CK231" s="1541"/>
      <c r="CL231" s="1541"/>
      <c r="CM231" s="1545"/>
      <c r="CN231" s="1542"/>
      <c r="CO231" s="1541"/>
      <c r="CP231" s="1541"/>
      <c r="CQ231" s="1541"/>
      <c r="CR231" s="1541"/>
      <c r="CS231" s="1545"/>
      <c r="CT231" s="1542"/>
      <c r="CU231" s="1541"/>
      <c r="CV231" s="1541"/>
      <c r="CW231" s="1541"/>
      <c r="CX231" s="1541"/>
      <c r="CY231" s="1545"/>
      <c r="CZ231" s="1542"/>
      <c r="DA231" s="1541"/>
      <c r="DB231" s="1541"/>
      <c r="DC231" s="1541"/>
      <c r="DD231" s="1541"/>
      <c r="DE231" s="1545"/>
      <c r="DF231" s="1542"/>
      <c r="DG231" s="1541"/>
      <c r="DH231" s="1541"/>
      <c r="DI231" s="1541"/>
      <c r="DJ231" s="1541"/>
      <c r="DK231" s="1545"/>
      <c r="DL231" s="1542"/>
      <c r="DM231" s="1541"/>
      <c r="DN231" s="1596"/>
      <c r="DO231" s="1597"/>
      <c r="DP231" s="1597"/>
      <c r="DQ231" s="1545"/>
      <c r="DR231" s="1542"/>
      <c r="DS231" s="1597"/>
      <c r="DT231" s="1597"/>
      <c r="DU231" s="1541"/>
      <c r="DV231" s="1541"/>
      <c r="DW231" s="1545"/>
      <c r="DX231" s="1542"/>
      <c r="DY231" s="1541"/>
      <c r="DZ231" s="1541"/>
      <c r="EA231" s="1541"/>
      <c r="EB231" s="1541"/>
      <c r="EC231" s="1545"/>
      <c r="ED231" s="1542"/>
      <c r="EE231" s="1541"/>
      <c r="EF231" s="1541"/>
      <c r="EG231" s="1541"/>
      <c r="EH231" s="1541"/>
      <c r="EI231" s="1545"/>
      <c r="EJ231" s="1542"/>
      <c r="EK231" s="1541"/>
      <c r="EL231" s="1541"/>
      <c r="EM231" s="1541"/>
      <c r="EN231" s="1541"/>
      <c r="EO231" s="1545"/>
      <c r="EP231" s="1542"/>
      <c r="EQ231" s="1541"/>
      <c r="ER231" s="1541"/>
      <c r="ES231" s="1541"/>
      <c r="ET231" s="1541"/>
      <c r="EU231" s="1545"/>
      <c r="EV231" s="1542"/>
      <c r="EW231" s="1541"/>
      <c r="EX231" s="1541"/>
      <c r="EY231" s="1541"/>
      <c r="EZ231" s="1541"/>
      <c r="FA231" s="1545"/>
      <c r="FB231" s="1542"/>
      <c r="FC231" s="1541"/>
      <c r="FD231" s="1541"/>
      <c r="FE231" s="1541"/>
      <c r="FF231" s="1541"/>
      <c r="FG231" s="1545"/>
      <c r="FH231" s="1542"/>
      <c r="FI231" s="1541"/>
      <c r="FJ231" s="1541"/>
      <c r="FK231" s="1541"/>
      <c r="FL231" s="1541"/>
      <c r="FM231" s="1545"/>
      <c r="FQ231"/>
      <c r="FR231"/>
      <c r="FS231"/>
      <c r="FT231"/>
      <c r="FU231"/>
      <c r="FV231"/>
      <c r="GB231" s="1523"/>
      <c r="GC231" s="1523"/>
      <c r="GD231" s="1523"/>
      <c r="GE231" s="1523"/>
      <c r="GF231" s="1523"/>
      <c r="GG231" s="1523"/>
      <c r="GH231" s="1523"/>
      <c r="GI231" s="1523"/>
      <c r="GJ231" s="1522"/>
      <c r="GK231" s="1522"/>
      <c r="GL231" s="1522"/>
      <c r="GM231" s="1522"/>
      <c r="GN231" s="1522"/>
      <c r="GO231" s="1522"/>
      <c r="GP231" s="1522"/>
      <c r="GQ231" s="1522"/>
      <c r="GR231" s="1522"/>
      <c r="GS231" s="1522"/>
      <c r="GT231" s="1522"/>
      <c r="GU231" s="1522"/>
      <c r="GV231" s="1522"/>
      <c r="GW231" s="1522"/>
      <c r="GX231" s="1522"/>
      <c r="GY231" s="1522"/>
      <c r="GZ231" s="1522"/>
      <c r="HA231" s="1522"/>
      <c r="HB231" s="1522"/>
      <c r="HC231" s="1522"/>
      <c r="HD231" s="1522"/>
      <c r="HE231" s="1522"/>
      <c r="HF231" s="1522"/>
      <c r="HG231" s="1522"/>
      <c r="HH231" s="1522"/>
      <c r="HI231" s="1522"/>
      <c r="HJ231" s="1522"/>
      <c r="HK231" s="1522"/>
      <c r="HL231" s="1522"/>
      <c r="HM231" s="1522"/>
      <c r="HN231" s="1522"/>
      <c r="HO231" s="1522"/>
      <c r="HP231" s="1522"/>
      <c r="HQ231" s="1522"/>
      <c r="HR231" s="1522"/>
      <c r="HS231" s="1522"/>
      <c r="HT231" s="1522"/>
      <c r="HU231" s="1522"/>
      <c r="HV231" s="1522"/>
      <c r="HW231" s="1522"/>
      <c r="HX231" s="1522"/>
      <c r="HY231" s="1522"/>
      <c r="HZ231" s="1522"/>
      <c r="IA231" s="1522"/>
      <c r="IB231" s="1522"/>
      <c r="IC231" s="1522"/>
      <c r="ID231" s="1522"/>
      <c r="IE231" s="1522"/>
      <c r="IF231" s="1522"/>
      <c r="IG231" s="1522"/>
      <c r="IH231" s="1522"/>
      <c r="II231" s="1522"/>
      <c r="IJ231" s="1522"/>
      <c r="IK231" s="1522"/>
      <c r="IL231" s="1522"/>
      <c r="IM231" s="1522"/>
      <c r="IN231" s="1522"/>
      <c r="IO231" s="1522"/>
      <c r="IP231" s="1522"/>
      <c r="IQ231" s="1522"/>
      <c r="IR231" s="1522"/>
      <c r="IS231" s="1522"/>
      <c r="IT231" s="1522"/>
      <c r="IU231" s="1522"/>
      <c r="IV231" s="1522"/>
      <c r="IW231" s="1522"/>
      <c r="IX231" s="1522"/>
      <c r="IY231" s="1522"/>
      <c r="IZ231" s="1522"/>
      <c r="JA231" s="1522"/>
      <c r="JB231" s="1522"/>
      <c r="JC231" s="1522"/>
      <c r="JD231" s="1522"/>
      <c r="JE231" s="1522"/>
      <c r="JF231" s="1522"/>
      <c r="JG231" s="1522"/>
      <c r="JH231" s="1522"/>
      <c r="JI231" s="1522"/>
      <c r="JJ231" s="1522"/>
      <c r="JK231" s="1522"/>
      <c r="JL231" s="1522"/>
      <c r="JM231" s="1522"/>
      <c r="JN231" s="1522"/>
    </row>
    <row r="232" spans="1:274" s="1516" customFormat="1" hidden="1" outlineLevel="1" x14ac:dyDescent="0.2">
      <c r="A232" s="1538" t="s">
        <v>242</v>
      </c>
      <c r="B232" s="1542"/>
      <c r="C232" s="1542"/>
      <c r="D232" s="1541"/>
      <c r="E232" s="1541"/>
      <c r="F232" s="1541"/>
      <c r="G232" s="1541"/>
      <c r="H232" s="1541"/>
      <c r="I232" s="1541"/>
      <c r="J232" s="1541"/>
      <c r="K232" s="1541"/>
      <c r="L232" s="1541"/>
      <c r="M232" s="1541"/>
      <c r="N232" s="1542"/>
      <c r="O232" s="1542"/>
      <c r="P232" s="1542"/>
      <c r="Q232" s="1542"/>
      <c r="R232" s="1542"/>
      <c r="S232" s="1541"/>
      <c r="T232" s="1542"/>
      <c r="U232" s="1541"/>
      <c r="V232" s="1541"/>
      <c r="W232" s="1541"/>
      <c r="X232" s="1541"/>
      <c r="Y232" s="1541"/>
      <c r="Z232" s="1542"/>
      <c r="AA232" s="1541"/>
      <c r="AB232" s="1541"/>
      <c r="AC232" s="1541"/>
      <c r="AD232" s="1541"/>
      <c r="AE232" s="1541"/>
      <c r="AF232" s="1542"/>
      <c r="AG232" s="1541"/>
      <c r="AH232" s="1541"/>
      <c r="AI232" s="1541"/>
      <c r="AJ232" s="1541"/>
      <c r="AK232" s="1541"/>
      <c r="AL232" s="1542"/>
      <c r="AM232" s="1541"/>
      <c r="AN232" s="1541"/>
      <c r="AO232" s="1541"/>
      <c r="AP232" s="1541"/>
      <c r="AQ232" s="1541"/>
      <c r="AR232" s="1542"/>
      <c r="AS232" s="1541"/>
      <c r="AT232" s="1541"/>
      <c r="AU232" s="1541"/>
      <c r="AV232" s="1541"/>
      <c r="AW232" s="1541"/>
      <c r="AX232" s="1542"/>
      <c r="AY232" s="1541"/>
      <c r="AZ232" s="1541"/>
      <c r="BA232" s="1541"/>
      <c r="BB232" s="1541"/>
      <c r="BC232" s="1541"/>
      <c r="BD232" s="1542"/>
      <c r="BE232" s="1541"/>
      <c r="BF232" s="1541"/>
      <c r="BG232" s="1541"/>
      <c r="BH232" s="1541"/>
      <c r="BI232" s="1541"/>
      <c r="BJ232" s="1542"/>
      <c r="BK232" s="1541"/>
      <c r="BL232" s="1541"/>
      <c r="BM232" s="1541"/>
      <c r="BN232" s="1541"/>
      <c r="BO232" s="1541"/>
      <c r="BP232" s="1542"/>
      <c r="BQ232" s="1541"/>
      <c r="BR232" s="1541"/>
      <c r="BS232" s="1541"/>
      <c r="BT232" s="1541"/>
      <c r="BU232" s="1541"/>
      <c r="BV232" s="1542"/>
      <c r="BW232" s="1541"/>
      <c r="BX232" s="1541"/>
      <c r="BY232" s="1541"/>
      <c r="BZ232" s="1541"/>
      <c r="CA232" s="1541"/>
      <c r="CB232" s="1542"/>
      <c r="CC232" s="1541"/>
      <c r="CD232" s="1541"/>
      <c r="CE232" s="1541"/>
      <c r="CF232" s="1541"/>
      <c r="CG232" s="1545"/>
      <c r="CH232" s="1542"/>
      <c r="CI232" s="1541"/>
      <c r="CJ232" s="1541"/>
      <c r="CK232" s="1541"/>
      <c r="CL232" s="1541"/>
      <c r="CM232" s="1545"/>
      <c r="CN232" s="1542"/>
      <c r="CO232" s="1541"/>
      <c r="CP232" s="1541"/>
      <c r="CQ232" s="1541"/>
      <c r="CR232" s="1541"/>
      <c r="CS232" s="1545"/>
      <c r="CT232" s="1542"/>
      <c r="CU232" s="1541"/>
      <c r="CV232" s="1541"/>
      <c r="CW232" s="1541"/>
      <c r="CX232" s="1541"/>
      <c r="CY232" s="1545"/>
      <c r="CZ232" s="1542"/>
      <c r="DA232" s="1538"/>
      <c r="DB232" s="1538"/>
      <c r="DC232" s="1538"/>
      <c r="DD232" s="1538"/>
      <c r="DE232" s="1536"/>
      <c r="DF232" s="1538"/>
      <c r="DG232" s="1538">
        <v>28.265625</v>
      </c>
      <c r="DH232" s="1538">
        <v>31.421250000000004</v>
      </c>
      <c r="DI232" s="1538">
        <v>53.579999999999991</v>
      </c>
      <c r="DJ232" s="1538">
        <v>90.190312499999962</v>
      </c>
      <c r="DK232" s="1536">
        <f>SUM(DG232:DJ232)</f>
        <v>203.45718749999997</v>
      </c>
      <c r="DL232" s="1538"/>
      <c r="DM232" s="1538">
        <v>87.016874999999999</v>
      </c>
      <c r="DN232" s="1538">
        <v>99.153749999999988</v>
      </c>
      <c r="DO232" s="1538">
        <v>132.88755</v>
      </c>
      <c r="DP232" s="1538">
        <v>245.66512500000005</v>
      </c>
      <c r="DQ232" s="1536">
        <f>SUM(DM232:DP232)</f>
        <v>564.72330000000011</v>
      </c>
      <c r="DR232" s="1538"/>
      <c r="DS232" s="1538">
        <v>178.44</v>
      </c>
      <c r="DT232" s="1538">
        <v>188.76187500000003</v>
      </c>
      <c r="DU232" s="1538">
        <v>223.44375000000005</v>
      </c>
      <c r="DV232" s="1538">
        <v>354.85036875000003</v>
      </c>
      <c r="DW232" s="1536">
        <f>SUM(DS232:DV232)</f>
        <v>945.49599375000014</v>
      </c>
      <c r="DX232" s="1542"/>
      <c r="DY232" s="1538">
        <v>231.73086468750003</v>
      </c>
      <c r="DZ232" s="1538">
        <v>250.87790625000002</v>
      </c>
      <c r="EA232" s="1538">
        <v>301.33808062500003</v>
      </c>
      <c r="EB232" s="1538">
        <v>458.45758186875003</v>
      </c>
      <c r="EC232" s="1536">
        <f>SUM(DY232:EB232)</f>
        <v>1242.4044334312503</v>
      </c>
      <c r="ED232" s="1542"/>
      <c r="EE232" s="1541"/>
      <c r="EF232" s="1541"/>
      <c r="EG232" s="1541"/>
      <c r="EH232" s="1541"/>
      <c r="EI232" s="1545"/>
      <c r="EJ232" s="1542"/>
      <c r="EK232" s="1541"/>
      <c r="EL232" s="1541"/>
      <c r="EM232" s="1541"/>
      <c r="EN232" s="1541"/>
      <c r="EO232" s="1545"/>
      <c r="EP232" s="1542"/>
      <c r="EQ232" s="1541"/>
      <c r="ER232" s="1541"/>
      <c r="ES232" s="1541"/>
      <c r="ET232" s="1541"/>
      <c r="EU232" s="1545"/>
      <c r="EV232" s="1542"/>
      <c r="EW232" s="1541"/>
      <c r="EX232" s="1541"/>
      <c r="EY232" s="1541"/>
      <c r="EZ232" s="1541"/>
      <c r="FA232" s="1545"/>
      <c r="FB232" s="1542"/>
      <c r="FC232" s="1541"/>
      <c r="FD232" s="1541"/>
      <c r="FE232" s="1541"/>
      <c r="FF232" s="1541"/>
      <c r="FG232" s="1545"/>
      <c r="FH232" s="1542"/>
      <c r="FI232" s="1541"/>
      <c r="FJ232" s="1541"/>
      <c r="FK232" s="1541"/>
      <c r="FL232" s="1541"/>
      <c r="FM232" s="1545"/>
      <c r="FQ232"/>
      <c r="FR232"/>
      <c r="FS232"/>
      <c r="FT232"/>
      <c r="FU232"/>
      <c r="FV232"/>
      <c r="GB232" s="1523"/>
      <c r="GC232" s="1523"/>
      <c r="GD232" s="1523"/>
      <c r="GE232" s="1523"/>
      <c r="GF232" s="1523"/>
      <c r="GG232" s="1523"/>
      <c r="GH232" s="1523"/>
      <c r="GI232" s="1523"/>
      <c r="GJ232" s="1522"/>
      <c r="GK232" s="1522"/>
      <c r="GL232" s="1522"/>
      <c r="GM232" s="1522"/>
      <c r="GN232" s="1522"/>
      <c r="GO232" s="1522"/>
      <c r="GP232" s="1522"/>
      <c r="GQ232" s="1522"/>
      <c r="GR232" s="1522"/>
      <c r="GS232" s="1522"/>
      <c r="GT232" s="1522"/>
      <c r="GU232" s="1522"/>
      <c r="GV232" s="1522"/>
      <c r="GW232" s="1522"/>
      <c r="GX232" s="1522"/>
      <c r="GY232" s="1522"/>
      <c r="GZ232" s="1522"/>
      <c r="HA232" s="1522"/>
      <c r="HB232" s="1522"/>
      <c r="HC232" s="1522"/>
      <c r="HD232" s="1522"/>
      <c r="HE232" s="1522"/>
      <c r="HF232" s="1522"/>
      <c r="HG232" s="1522"/>
      <c r="HH232" s="1522"/>
      <c r="HI232" s="1522"/>
      <c r="HJ232" s="1522"/>
      <c r="HK232" s="1522"/>
      <c r="HL232" s="1522"/>
      <c r="HM232" s="1522"/>
      <c r="HN232" s="1522"/>
      <c r="HO232" s="1522"/>
      <c r="HP232" s="1522"/>
      <c r="HQ232" s="1522"/>
      <c r="HR232" s="1522"/>
      <c r="HS232" s="1522"/>
      <c r="HT232" s="1522"/>
      <c r="HU232" s="1522"/>
      <c r="HV232" s="1522"/>
      <c r="HW232" s="1522"/>
      <c r="HX232" s="1522"/>
      <c r="HY232" s="1522"/>
      <c r="HZ232" s="1522"/>
      <c r="IA232" s="1522"/>
      <c r="IB232" s="1522"/>
      <c r="IC232" s="1522"/>
      <c r="ID232" s="1522"/>
      <c r="IE232" s="1522"/>
      <c r="IF232" s="1522"/>
      <c r="IG232" s="1522"/>
      <c r="IH232" s="1522"/>
      <c r="II232" s="1522"/>
      <c r="IJ232" s="1522"/>
      <c r="IK232" s="1522"/>
      <c r="IL232" s="1522"/>
      <c r="IM232" s="1522"/>
      <c r="IN232" s="1522"/>
      <c r="IO232" s="1522"/>
      <c r="IP232" s="1522"/>
      <c r="IQ232" s="1522"/>
      <c r="IR232" s="1522"/>
      <c r="IS232" s="1522"/>
      <c r="IT232" s="1522"/>
      <c r="IU232" s="1522"/>
      <c r="IV232" s="1522"/>
      <c r="IW232" s="1522"/>
      <c r="IX232" s="1522"/>
      <c r="IY232" s="1522"/>
      <c r="IZ232" s="1522"/>
      <c r="JA232" s="1522"/>
      <c r="JB232" s="1522"/>
      <c r="JC232" s="1522"/>
      <c r="JD232" s="1522"/>
      <c r="JE232" s="1522"/>
      <c r="JF232" s="1522"/>
      <c r="JG232" s="1522"/>
      <c r="JH232" s="1522"/>
      <c r="JI232" s="1522"/>
      <c r="JJ232" s="1522"/>
      <c r="JK232" s="1522"/>
      <c r="JL232" s="1522"/>
      <c r="JM232" s="1522"/>
      <c r="JN232" s="1522"/>
    </row>
    <row r="233" spans="1:274" s="1516" customFormat="1" hidden="1" outlineLevel="1" x14ac:dyDescent="0.2">
      <c r="A233" s="1598" t="s">
        <v>128</v>
      </c>
      <c r="B233" s="1542"/>
      <c r="C233" s="1542"/>
      <c r="D233" s="1541"/>
      <c r="E233" s="1541"/>
      <c r="F233" s="1541"/>
      <c r="G233" s="1541"/>
      <c r="H233" s="1541"/>
      <c r="I233" s="1541"/>
      <c r="J233" s="1541"/>
      <c r="K233" s="1541"/>
      <c r="L233" s="1541"/>
      <c r="M233" s="1541"/>
      <c r="N233" s="1542"/>
      <c r="O233" s="1542"/>
      <c r="P233" s="1542"/>
      <c r="Q233" s="1542"/>
      <c r="R233" s="1542"/>
      <c r="S233" s="1541"/>
      <c r="T233" s="1542"/>
      <c r="U233" s="1541"/>
      <c r="V233" s="1541"/>
      <c r="W233" s="1541"/>
      <c r="X233" s="1541"/>
      <c r="Y233" s="1541"/>
      <c r="Z233" s="1542"/>
      <c r="AA233" s="1541"/>
      <c r="AB233" s="1541"/>
      <c r="AC233" s="1541"/>
      <c r="AD233" s="1541"/>
      <c r="AE233" s="1541"/>
      <c r="AF233" s="1542"/>
      <c r="AG233" s="1541"/>
      <c r="AH233" s="1541"/>
      <c r="AI233" s="1541"/>
      <c r="AJ233" s="1541"/>
      <c r="AK233" s="1541"/>
      <c r="AL233" s="1542"/>
      <c r="AM233" s="1541"/>
      <c r="AN233" s="1541"/>
      <c r="AO233" s="1541"/>
      <c r="AP233" s="1541"/>
      <c r="AQ233" s="1541"/>
      <c r="AR233" s="1542"/>
      <c r="AS233" s="1541"/>
      <c r="AT233" s="1541"/>
      <c r="AU233" s="1541"/>
      <c r="AV233" s="1541"/>
      <c r="AW233" s="1541"/>
      <c r="AX233" s="1542"/>
      <c r="AY233" s="1541"/>
      <c r="AZ233" s="1541"/>
      <c r="BA233" s="1541"/>
      <c r="BB233" s="1541"/>
      <c r="BC233" s="1541"/>
      <c r="BD233" s="1542"/>
      <c r="BE233" s="1541"/>
      <c r="BF233" s="1541"/>
      <c r="BG233" s="1541"/>
      <c r="BH233" s="1541"/>
      <c r="BI233" s="1541"/>
      <c r="BJ233" s="1542"/>
      <c r="BK233" s="1541"/>
      <c r="BL233" s="1541"/>
      <c r="BM233" s="1541"/>
      <c r="BN233" s="1541"/>
      <c r="BO233" s="1541"/>
      <c r="BP233" s="1542"/>
      <c r="BQ233" s="1541"/>
      <c r="BR233" s="1541"/>
      <c r="BS233" s="1541"/>
      <c r="BT233" s="1541"/>
      <c r="BU233" s="1541"/>
      <c r="BV233" s="1542"/>
      <c r="BW233" s="1541"/>
      <c r="BX233" s="1541"/>
      <c r="BY233" s="1541"/>
      <c r="BZ233" s="1541"/>
      <c r="CA233" s="1541"/>
      <c r="CB233" s="1542"/>
      <c r="CC233" s="1541"/>
      <c r="CD233" s="1541"/>
      <c r="CE233" s="1541"/>
      <c r="CF233" s="1541"/>
      <c r="CG233" s="1545"/>
      <c r="CH233" s="1542"/>
      <c r="CI233" s="1541"/>
      <c r="CJ233" s="1541"/>
      <c r="CK233" s="1541"/>
      <c r="CL233" s="1541"/>
      <c r="CM233" s="1545"/>
      <c r="CN233" s="1542"/>
      <c r="CO233" s="1541"/>
      <c r="CP233" s="1541"/>
      <c r="CQ233" s="1541"/>
      <c r="CR233" s="1541"/>
      <c r="CS233" s="1545"/>
      <c r="CT233" s="1542"/>
      <c r="CU233" s="1541"/>
      <c r="CV233" s="1541"/>
      <c r="CW233" s="1541"/>
      <c r="CX233" s="1541"/>
      <c r="CY233" s="1545"/>
      <c r="CZ233" s="1542"/>
      <c r="DA233" s="1538"/>
      <c r="DB233" s="1538"/>
      <c r="DC233" s="1538"/>
      <c r="DD233" s="1538"/>
      <c r="DE233" s="1536"/>
      <c r="DF233" s="1538"/>
      <c r="DG233" s="1538"/>
      <c r="DH233" s="1538"/>
      <c r="DI233" s="1538"/>
      <c r="DJ233" s="1538"/>
      <c r="DK233" s="1536"/>
      <c r="DL233" s="1538"/>
      <c r="DM233" s="1599">
        <f>DM232/DG232-1</f>
        <v>2.0785406301824212</v>
      </c>
      <c r="DN233" s="1599">
        <f>DN232/DH232-1</f>
        <v>2.1556271631459594</v>
      </c>
      <c r="DO233" s="1599">
        <f>DO232/DI232-1</f>
        <v>1.4801707726763724</v>
      </c>
      <c r="DP233" s="1599">
        <f>DP232/DJ232-1</f>
        <v>1.7238526865066595</v>
      </c>
      <c r="DQ233" s="1572">
        <f>DQ232/DK232-1</f>
        <v>1.7756370120863889</v>
      </c>
      <c r="DR233" s="1538"/>
      <c r="DS233" s="1599">
        <f>DS232/DM232-1</f>
        <v>1.0506367299446229</v>
      </c>
      <c r="DT233" s="1599">
        <f>DT232/DN232-1</f>
        <v>0.90372905714609941</v>
      </c>
      <c r="DU233" s="1599">
        <f>DU232/DO232-1</f>
        <v>0.68144984236672324</v>
      </c>
      <c r="DV233" s="1599">
        <f>DV232/DP232-1</f>
        <v>0.44444747193969825</v>
      </c>
      <c r="DW233" s="1572">
        <f>DW232/DQ232-1</f>
        <v>0.6742641816797712</v>
      </c>
      <c r="DX233" s="1542"/>
      <c r="DY233" s="1599">
        <f>DY232/DS232-1</f>
        <v>0.29864864765467414</v>
      </c>
      <c r="DZ233" s="1599">
        <f>DZ232/DT232-1</f>
        <v>0.32907085315824491</v>
      </c>
      <c r="EA233" s="1599">
        <f>EA232/DU232-1</f>
        <v>0.34860823193756807</v>
      </c>
      <c r="EB233" s="1599">
        <f>EB232/DV232-1</f>
        <v>0.29197437072904253</v>
      </c>
      <c r="EC233" s="1572">
        <f>EC232/DW232-1</f>
        <v>0.31402400607078196</v>
      </c>
      <c r="ED233" s="1542"/>
      <c r="EE233" s="1541"/>
      <c r="EF233" s="1541"/>
      <c r="EG233" s="1541"/>
      <c r="EH233" s="1541"/>
      <c r="EI233" s="1545"/>
      <c r="EJ233" s="1542"/>
      <c r="EK233" s="1541"/>
      <c r="EL233" s="1541"/>
      <c r="EM233" s="1541"/>
      <c r="EN233" s="1541"/>
      <c r="EO233" s="1545"/>
      <c r="EP233" s="1542"/>
      <c r="EQ233" s="1541"/>
      <c r="ER233" s="1541"/>
      <c r="ES233" s="1541"/>
      <c r="ET233" s="1541"/>
      <c r="EU233" s="1545"/>
      <c r="EV233" s="1542"/>
      <c r="EW233" s="1541"/>
      <c r="EX233" s="1541"/>
      <c r="EY233" s="1541"/>
      <c r="EZ233" s="1541"/>
      <c r="FA233" s="1545"/>
      <c r="FB233" s="1542"/>
      <c r="FC233" s="1541"/>
      <c r="FD233" s="1541"/>
      <c r="FE233" s="1541"/>
      <c r="FF233" s="1541"/>
      <c r="FG233" s="1545"/>
      <c r="FH233" s="1542"/>
      <c r="FI233" s="1541"/>
      <c r="FJ233" s="1541"/>
      <c r="FK233" s="1541"/>
      <c r="FL233" s="1541"/>
      <c r="FM233" s="1545"/>
      <c r="FQ233"/>
      <c r="FR233"/>
      <c r="FS233"/>
      <c r="FT233"/>
      <c r="FU233"/>
      <c r="FV233"/>
      <c r="GB233" s="1523"/>
      <c r="GC233" s="1523"/>
      <c r="GD233" s="1523"/>
      <c r="GE233" s="1523"/>
      <c r="GF233" s="1523"/>
      <c r="GG233" s="1523"/>
      <c r="GH233" s="1523"/>
      <c r="GI233" s="1523"/>
      <c r="GJ233" s="1522"/>
      <c r="GK233" s="1522"/>
      <c r="GL233" s="1522"/>
      <c r="GM233" s="1522"/>
      <c r="GN233" s="1522"/>
      <c r="GO233" s="1522"/>
      <c r="GP233" s="1522"/>
      <c r="GQ233" s="1522"/>
      <c r="GR233" s="1522"/>
      <c r="GS233" s="1522"/>
      <c r="GT233" s="1522"/>
      <c r="GU233" s="1522"/>
      <c r="GV233" s="1522"/>
      <c r="GW233" s="1522"/>
      <c r="GX233" s="1522"/>
      <c r="GY233" s="1522"/>
      <c r="GZ233" s="1522"/>
      <c r="HA233" s="1522"/>
      <c r="HB233" s="1522"/>
      <c r="HC233" s="1522"/>
      <c r="HD233" s="1522"/>
      <c r="HE233" s="1522"/>
      <c r="HF233" s="1522"/>
      <c r="HG233" s="1522"/>
      <c r="HH233" s="1522"/>
      <c r="HI233" s="1522"/>
      <c r="HJ233" s="1522"/>
      <c r="HK233" s="1522"/>
      <c r="HL233" s="1522"/>
      <c r="HM233" s="1522"/>
      <c r="HN233" s="1522"/>
      <c r="HO233" s="1522"/>
      <c r="HP233" s="1522"/>
      <c r="HQ233" s="1522"/>
      <c r="HR233" s="1522"/>
      <c r="HS233" s="1522"/>
      <c r="HT233" s="1522"/>
      <c r="HU233" s="1522"/>
      <c r="HV233" s="1522"/>
      <c r="HW233" s="1522"/>
      <c r="HX233" s="1522"/>
      <c r="HY233" s="1522"/>
      <c r="HZ233" s="1522"/>
      <c r="IA233" s="1522"/>
      <c r="IB233" s="1522"/>
      <c r="IC233" s="1522"/>
      <c r="ID233" s="1522"/>
      <c r="IE233" s="1522"/>
      <c r="IF233" s="1522"/>
      <c r="IG233" s="1522"/>
      <c r="IH233" s="1522"/>
      <c r="II233" s="1522"/>
      <c r="IJ233" s="1522"/>
      <c r="IK233" s="1522"/>
      <c r="IL233" s="1522"/>
      <c r="IM233" s="1522"/>
      <c r="IN233" s="1522"/>
      <c r="IO233" s="1522"/>
      <c r="IP233" s="1522"/>
      <c r="IQ233" s="1522"/>
      <c r="IR233" s="1522"/>
      <c r="IS233" s="1522"/>
      <c r="IT233" s="1522"/>
      <c r="IU233" s="1522"/>
      <c r="IV233" s="1522"/>
      <c r="IW233" s="1522"/>
      <c r="IX233" s="1522"/>
      <c r="IY233" s="1522"/>
      <c r="IZ233" s="1522"/>
      <c r="JA233" s="1522"/>
      <c r="JB233" s="1522"/>
      <c r="JC233" s="1522"/>
      <c r="JD233" s="1522"/>
      <c r="JE233" s="1522"/>
      <c r="JF233" s="1522"/>
      <c r="JG233" s="1522"/>
      <c r="JH233" s="1522"/>
      <c r="JI233" s="1522"/>
      <c r="JJ233" s="1522"/>
      <c r="JK233" s="1522"/>
      <c r="JL233" s="1522"/>
      <c r="JM233" s="1522"/>
      <c r="JN233" s="1522"/>
    </row>
    <row r="234" spans="1:274" s="1516" customFormat="1" ht="6.75" hidden="1" customHeight="1" outlineLevel="1" x14ac:dyDescent="0.2">
      <c r="A234" s="1541"/>
      <c r="B234" s="1542"/>
      <c r="C234" s="1542"/>
      <c r="D234" s="1541"/>
      <c r="E234" s="1541"/>
      <c r="F234" s="1541"/>
      <c r="G234" s="1541"/>
      <c r="H234" s="1541"/>
      <c r="I234" s="1541"/>
      <c r="J234" s="1541"/>
      <c r="K234" s="1541"/>
      <c r="L234" s="1541"/>
      <c r="M234" s="1541"/>
      <c r="N234" s="1542"/>
      <c r="O234" s="1542"/>
      <c r="P234" s="1542"/>
      <c r="Q234" s="1542"/>
      <c r="R234" s="1542"/>
      <c r="S234" s="1541"/>
      <c r="T234" s="1542"/>
      <c r="U234" s="1541"/>
      <c r="V234" s="1541"/>
      <c r="W234" s="1541"/>
      <c r="X234" s="1541"/>
      <c r="Y234" s="1541"/>
      <c r="Z234" s="1542"/>
      <c r="AA234" s="1541"/>
      <c r="AB234" s="1541"/>
      <c r="AC234" s="1541"/>
      <c r="AD234" s="1541"/>
      <c r="AE234" s="1541"/>
      <c r="AF234" s="1542"/>
      <c r="AG234" s="1541"/>
      <c r="AH234" s="1541"/>
      <c r="AI234" s="1541"/>
      <c r="AJ234" s="1541"/>
      <c r="AK234" s="1541"/>
      <c r="AL234" s="1542"/>
      <c r="AM234" s="1541"/>
      <c r="AN234" s="1541"/>
      <c r="AO234" s="1541"/>
      <c r="AP234" s="1541"/>
      <c r="AQ234" s="1541"/>
      <c r="AR234" s="1542"/>
      <c r="AS234" s="1541"/>
      <c r="AT234" s="1541"/>
      <c r="AU234" s="1541"/>
      <c r="AV234" s="1541"/>
      <c r="AW234" s="1541"/>
      <c r="AX234" s="1542"/>
      <c r="AY234" s="1541"/>
      <c r="AZ234" s="1541"/>
      <c r="BA234" s="1541"/>
      <c r="BB234" s="1541"/>
      <c r="BC234" s="1541"/>
      <c r="BD234" s="1542"/>
      <c r="BE234" s="1541"/>
      <c r="BF234" s="1541"/>
      <c r="BG234" s="1541"/>
      <c r="BH234" s="1541"/>
      <c r="BI234" s="1541"/>
      <c r="BJ234" s="1542"/>
      <c r="BK234" s="1541"/>
      <c r="BL234" s="1541"/>
      <c r="BM234" s="1541"/>
      <c r="BN234" s="1541"/>
      <c r="BO234" s="1541"/>
      <c r="BP234" s="1542"/>
      <c r="BQ234" s="1541"/>
      <c r="BR234" s="1541"/>
      <c r="BS234" s="1541"/>
      <c r="BT234" s="1541"/>
      <c r="BU234" s="1541"/>
      <c r="BV234" s="1542"/>
      <c r="BW234" s="1541"/>
      <c r="BX234" s="1541"/>
      <c r="BY234" s="1541"/>
      <c r="BZ234" s="1541"/>
      <c r="CA234" s="1541"/>
      <c r="CB234" s="1542"/>
      <c r="CC234" s="1541"/>
      <c r="CD234" s="1541"/>
      <c r="CE234" s="1541"/>
      <c r="CF234" s="1541"/>
      <c r="CG234" s="1545"/>
      <c r="CH234" s="1542"/>
      <c r="CI234" s="1541"/>
      <c r="CJ234" s="1541"/>
      <c r="CK234" s="1541"/>
      <c r="CL234" s="1541"/>
      <c r="CM234" s="1545"/>
      <c r="CN234" s="1542"/>
      <c r="CO234" s="1541"/>
      <c r="CP234" s="1541"/>
      <c r="CQ234" s="1541"/>
      <c r="CR234" s="1541"/>
      <c r="CS234" s="1545"/>
      <c r="CT234" s="1542"/>
      <c r="CU234" s="1541"/>
      <c r="CV234" s="1541"/>
      <c r="CW234" s="1541"/>
      <c r="CX234" s="1541"/>
      <c r="CY234" s="1545"/>
      <c r="CZ234" s="1542"/>
      <c r="DA234" s="1541"/>
      <c r="DB234" s="1541"/>
      <c r="DC234" s="1541"/>
      <c r="DD234" s="1541"/>
      <c r="DE234" s="1545"/>
      <c r="DF234" s="1542"/>
      <c r="DG234" s="1541"/>
      <c r="DH234" s="1541"/>
      <c r="DI234" s="1541"/>
      <c r="DJ234" s="1541"/>
      <c r="DK234" s="1545"/>
      <c r="DL234" s="1542"/>
      <c r="DM234" s="1541"/>
      <c r="DN234" s="1541"/>
      <c r="DO234" s="1541"/>
      <c r="DP234" s="1541"/>
      <c r="DQ234" s="1545"/>
      <c r="DR234" s="1542"/>
      <c r="DS234" s="1541"/>
      <c r="DT234" s="1541"/>
      <c r="DU234" s="1541"/>
      <c r="DV234" s="1541"/>
      <c r="DW234" s="1545"/>
      <c r="DX234" s="1542"/>
      <c r="DY234" s="1541"/>
      <c r="DZ234" s="1541"/>
      <c r="EA234" s="1541"/>
      <c r="EB234" s="1541"/>
      <c r="EC234" s="1545"/>
      <c r="ED234" s="1542"/>
      <c r="EE234" s="1541"/>
      <c r="EF234" s="1541"/>
      <c r="EG234" s="1541"/>
      <c r="EH234" s="1541"/>
      <c r="EI234" s="1545"/>
      <c r="EJ234" s="1542"/>
      <c r="EK234" s="1541"/>
      <c r="EL234" s="442"/>
      <c r="EM234" s="1541"/>
      <c r="EN234" s="1541"/>
      <c r="EO234" s="1545"/>
      <c r="EP234" s="1542"/>
      <c r="EQ234" s="1541"/>
      <c r="ER234" s="1541"/>
      <c r="ES234" s="1541"/>
      <c r="ET234" s="1541"/>
      <c r="EU234" s="1545"/>
      <c r="EV234" s="1542"/>
      <c r="EW234" s="1541"/>
      <c r="EX234" s="1541"/>
      <c r="EY234" s="1541"/>
      <c r="EZ234" s="1541"/>
      <c r="FA234" s="1545"/>
      <c r="FB234" s="1542"/>
      <c r="FC234" s="1541"/>
      <c r="FD234" s="1541"/>
      <c r="FE234" s="1541"/>
      <c r="FF234" s="1541"/>
      <c r="FG234" s="1545"/>
      <c r="FH234" s="1542"/>
      <c r="FI234" s="1541"/>
      <c r="FJ234" s="1541"/>
      <c r="FK234" s="1541"/>
      <c r="FL234" s="1541"/>
      <c r="FM234" s="1545"/>
      <c r="FQ234"/>
      <c r="FR234"/>
      <c r="FS234"/>
      <c r="FT234"/>
      <c r="FU234"/>
      <c r="FV234"/>
      <c r="GB234" s="1523"/>
      <c r="GC234" s="1523"/>
      <c r="GD234" s="1523"/>
      <c r="GE234" s="1523"/>
      <c r="GF234" s="1523"/>
      <c r="GG234" s="1523"/>
      <c r="GH234" s="1523"/>
      <c r="GI234" s="1523"/>
      <c r="GJ234" s="1522"/>
      <c r="GK234" s="1522"/>
      <c r="GL234" s="1522"/>
      <c r="GM234" s="1522"/>
      <c r="GN234" s="1522"/>
      <c r="GO234" s="1522"/>
      <c r="GP234" s="1522"/>
      <c r="GQ234" s="1522"/>
      <c r="GR234" s="1522"/>
      <c r="GS234" s="1522"/>
      <c r="GT234" s="1522"/>
      <c r="GU234" s="1522"/>
      <c r="GV234" s="1522"/>
      <c r="GW234" s="1522"/>
      <c r="GX234" s="1522"/>
      <c r="GY234" s="1522"/>
      <c r="GZ234" s="1522"/>
      <c r="HA234" s="1522"/>
      <c r="HB234" s="1522"/>
      <c r="HC234" s="1522"/>
      <c r="HD234" s="1522"/>
      <c r="HE234" s="1522"/>
      <c r="HF234" s="1522"/>
      <c r="HG234" s="1522"/>
      <c r="HH234" s="1522"/>
      <c r="HI234" s="1522"/>
      <c r="HJ234" s="1522"/>
      <c r="HK234" s="1522"/>
      <c r="HL234" s="1522"/>
      <c r="HM234" s="1522"/>
      <c r="HN234" s="1522"/>
      <c r="HO234" s="1522"/>
      <c r="HP234" s="1522"/>
      <c r="HQ234" s="1522"/>
      <c r="HR234" s="1522"/>
      <c r="HS234" s="1522"/>
      <c r="HT234" s="1522"/>
      <c r="HU234" s="1522"/>
      <c r="HV234" s="1522"/>
      <c r="HW234" s="1522"/>
      <c r="HX234" s="1522"/>
      <c r="HY234" s="1522"/>
      <c r="HZ234" s="1522"/>
      <c r="IA234" s="1522"/>
      <c r="IB234" s="1522"/>
      <c r="IC234" s="1522"/>
      <c r="ID234" s="1522"/>
      <c r="IE234" s="1522"/>
      <c r="IF234" s="1522"/>
      <c r="IG234" s="1522"/>
      <c r="IH234" s="1522"/>
      <c r="II234" s="1522"/>
      <c r="IJ234" s="1522"/>
      <c r="IK234" s="1522"/>
      <c r="IL234" s="1522"/>
      <c r="IM234" s="1522"/>
      <c r="IN234" s="1522"/>
      <c r="IO234" s="1522"/>
      <c r="IP234" s="1522"/>
      <c r="IQ234" s="1522"/>
      <c r="IR234" s="1522"/>
      <c r="IS234" s="1522"/>
      <c r="IT234" s="1522"/>
      <c r="IU234" s="1522"/>
      <c r="IV234" s="1522"/>
      <c r="IW234" s="1522"/>
      <c r="IX234" s="1522"/>
      <c r="IY234" s="1522"/>
      <c r="IZ234" s="1522"/>
      <c r="JA234" s="1522"/>
      <c r="JB234" s="1522"/>
      <c r="JC234" s="1522"/>
      <c r="JD234" s="1522"/>
      <c r="JE234" s="1522"/>
      <c r="JF234" s="1522"/>
      <c r="JG234" s="1522"/>
      <c r="JH234" s="1522"/>
      <c r="JI234" s="1522"/>
      <c r="JJ234" s="1522"/>
      <c r="JK234" s="1522"/>
      <c r="JL234" s="1522"/>
      <c r="JM234" s="1522"/>
      <c r="JN234" s="1522"/>
    </row>
    <row r="235" spans="1:274" s="1516" customFormat="1" hidden="1" outlineLevel="1" x14ac:dyDescent="0.2">
      <c r="A235" s="1538" t="s">
        <v>243</v>
      </c>
      <c r="B235" s="1542"/>
      <c r="C235" s="1542"/>
      <c r="D235" s="1538"/>
      <c r="E235" s="1538"/>
      <c r="F235" s="1538"/>
      <c r="G235" s="1538"/>
      <c r="H235" s="1538"/>
      <c r="I235" s="1538"/>
      <c r="J235" s="1538"/>
      <c r="K235" s="1538"/>
      <c r="L235" s="1538"/>
      <c r="M235" s="1538"/>
      <c r="N235" s="1542"/>
      <c r="O235" s="1542"/>
      <c r="P235" s="1542"/>
      <c r="Q235" s="1542"/>
      <c r="R235" s="1542"/>
      <c r="S235" s="1538"/>
      <c r="T235" s="1542"/>
      <c r="U235" s="1538"/>
      <c r="V235" s="1538"/>
      <c r="W235" s="1538"/>
      <c r="X235" s="1538"/>
      <c r="Y235" s="1538"/>
      <c r="Z235" s="1542"/>
      <c r="AA235" s="1538"/>
      <c r="AB235" s="1538"/>
      <c r="AC235" s="1538"/>
      <c r="AD235" s="1538"/>
      <c r="AE235" s="1538"/>
      <c r="AF235" s="1542"/>
      <c r="AG235" s="1538"/>
      <c r="AH235" s="1538"/>
      <c r="AI235" s="1538"/>
      <c r="AJ235" s="1538"/>
      <c r="AK235" s="1538"/>
      <c r="AL235" s="1542"/>
      <c r="AM235" s="1538"/>
      <c r="AN235" s="1538"/>
      <c r="AO235" s="1538"/>
      <c r="AP235" s="1538"/>
      <c r="AQ235" s="1538"/>
      <c r="AR235" s="1542"/>
      <c r="AS235" s="1538"/>
      <c r="AT235" s="1538"/>
      <c r="AU235" s="1538"/>
      <c r="AV235" s="1538"/>
      <c r="AW235" s="1538"/>
      <c r="AX235" s="1542"/>
      <c r="AY235" s="1538"/>
      <c r="AZ235" s="1538"/>
      <c r="BA235" s="1538"/>
      <c r="BB235" s="1538"/>
      <c r="BC235" s="1538"/>
      <c r="BD235" s="1542"/>
      <c r="BE235" s="1538"/>
      <c r="BF235" s="1538"/>
      <c r="BG235" s="1538"/>
      <c r="BH235" s="1538"/>
      <c r="BI235" s="1538"/>
      <c r="BJ235" s="1542"/>
      <c r="BK235" s="1538"/>
      <c r="BL235" s="1538"/>
      <c r="BM235" s="1538"/>
      <c r="BN235" s="1538"/>
      <c r="BO235" s="1538"/>
      <c r="BP235" s="1542"/>
      <c r="BQ235" s="1538"/>
      <c r="BR235" s="1538"/>
      <c r="BS235" s="1538"/>
      <c r="BT235" s="1538"/>
      <c r="BU235" s="1538"/>
      <c r="BV235" s="1542"/>
      <c r="BW235" s="1538"/>
      <c r="BX235" s="1538"/>
      <c r="BY235" s="1538"/>
      <c r="BZ235" s="1538"/>
      <c r="CA235" s="1538"/>
      <c r="CB235" s="1542"/>
      <c r="CC235" s="1538"/>
      <c r="CD235" s="1538"/>
      <c r="CE235" s="1538"/>
      <c r="CF235" s="1538"/>
      <c r="CG235" s="1536"/>
      <c r="CH235" s="1542"/>
      <c r="CI235" s="1538"/>
      <c r="CJ235" s="1538"/>
      <c r="CK235" s="1538"/>
      <c r="CL235" s="1538"/>
      <c r="CM235" s="1536"/>
      <c r="CN235" s="1542"/>
      <c r="CO235" s="1538"/>
      <c r="CP235" s="1538"/>
      <c r="CQ235" s="1538"/>
      <c r="CR235" s="1538"/>
      <c r="CS235" s="1536"/>
      <c r="CT235" s="1542"/>
      <c r="CU235" s="1538"/>
      <c r="CV235" s="1538"/>
      <c r="CW235" s="1538"/>
      <c r="CX235" s="1538"/>
      <c r="CY235" s="1536"/>
      <c r="CZ235" s="1542"/>
      <c r="DA235" s="1538"/>
      <c r="DB235" s="1538"/>
      <c r="DC235" s="1538"/>
      <c r="DD235" s="1538"/>
      <c r="DE235" s="1536"/>
      <c r="DF235" s="1542"/>
      <c r="DG235" s="1538">
        <f>DG100-DG232</f>
        <v>1050.734375</v>
      </c>
      <c r="DH235" s="1538">
        <f>DH100-DH232</f>
        <v>1080.5787499999999</v>
      </c>
      <c r="DI235" s="1538">
        <f>DI100-DI232</f>
        <v>981.42</v>
      </c>
      <c r="DJ235" s="1538">
        <f>DJ100-DJ232</f>
        <v>1066.8096875000001</v>
      </c>
      <c r="DK235" s="1536">
        <f>SUM(DG235:DJ235)</f>
        <v>4179.5428124999999</v>
      </c>
      <c r="DL235" s="1542"/>
      <c r="DM235" s="1538">
        <f>DM100-DM232</f>
        <v>941.98312499999997</v>
      </c>
      <c r="DN235" s="1538">
        <f>DN100-DN232</f>
        <v>853.84625000000005</v>
      </c>
      <c r="DO235" s="1538">
        <f>DO100-DO232</f>
        <v>736.11244999999997</v>
      </c>
      <c r="DP235" s="1538">
        <f>DP100-DP232</f>
        <v>731.33487500000001</v>
      </c>
      <c r="DQ235" s="1536">
        <f>SUM(DM235:DP235)</f>
        <v>3263.2766999999999</v>
      </c>
      <c r="DR235" s="1542"/>
      <c r="DS235" s="1538">
        <f>DS100-DS232</f>
        <v>600.55999999999995</v>
      </c>
      <c r="DT235" s="1538">
        <f>DT100-DT232</f>
        <v>545.23812499999997</v>
      </c>
      <c r="DU235" s="1538">
        <f>DU100-DU232</f>
        <v>447.55624999999998</v>
      </c>
      <c r="DV235" s="1538">
        <f>DV100-DV232</f>
        <v>494.14963124999997</v>
      </c>
      <c r="DW235" s="1536">
        <f>SUM(DS235:DV235)</f>
        <v>2087.5040062499997</v>
      </c>
      <c r="DX235" s="1542"/>
      <c r="DY235" s="1538">
        <f>DY100-DY232</f>
        <v>437.2691353125</v>
      </c>
      <c r="DZ235" s="1538">
        <f>DZ100-DZ232</f>
        <v>463.12209374999998</v>
      </c>
      <c r="EA235" s="1538">
        <f>EA100-EA232</f>
        <v>423.66191937499997</v>
      </c>
      <c r="EB235" s="1538">
        <f>EB100-EB232</f>
        <v>411.54241813124997</v>
      </c>
      <c r="EC235" s="1536">
        <f>SUM(DY235:EB235)</f>
        <v>1735.5955665687497</v>
      </c>
      <c r="ED235" s="1542"/>
      <c r="EE235" s="1541"/>
      <c r="EF235" s="1541"/>
      <c r="EG235" s="1541"/>
      <c r="EH235" s="1541"/>
      <c r="EI235" s="1545"/>
      <c r="EJ235" s="1542"/>
      <c r="EK235" s="1541"/>
      <c r="EL235" s="442"/>
      <c r="EM235" s="1541"/>
      <c r="EN235" s="1541"/>
      <c r="EO235" s="1545"/>
      <c r="EP235" s="1542"/>
      <c r="EQ235" s="1541"/>
      <c r="ER235" s="1541"/>
      <c r="ES235" s="1541"/>
      <c r="ET235" s="1541"/>
      <c r="EU235" s="1545"/>
      <c r="EV235" s="1542"/>
      <c r="EW235" s="1541"/>
      <c r="EX235" s="1541"/>
      <c r="EY235" s="1541"/>
      <c r="EZ235" s="1541"/>
      <c r="FA235" s="1545"/>
      <c r="FB235" s="1542"/>
      <c r="FC235" s="1541"/>
      <c r="FD235" s="1541"/>
      <c r="FE235" s="1541"/>
      <c r="FF235" s="1541"/>
      <c r="FG235" s="1545"/>
      <c r="FH235" s="1542"/>
      <c r="FI235" s="1541"/>
      <c r="FJ235" s="1541"/>
      <c r="FK235" s="1541"/>
      <c r="FL235" s="1541"/>
      <c r="FM235" s="1545"/>
      <c r="FQ235"/>
      <c r="FR235"/>
      <c r="FS235"/>
      <c r="FT235"/>
      <c r="FU235"/>
      <c r="FV235"/>
      <c r="GB235" s="1523"/>
      <c r="GC235" s="1523"/>
      <c r="GD235" s="1523"/>
      <c r="GE235" s="1523"/>
      <c r="GF235" s="1523"/>
      <c r="GG235" s="1523"/>
      <c r="GH235" s="1523"/>
      <c r="GI235" s="1523"/>
      <c r="GJ235" s="1522"/>
      <c r="GK235" s="1522"/>
      <c r="GL235" s="1522"/>
      <c r="GM235" s="1522"/>
      <c r="GN235" s="1522"/>
      <c r="GO235" s="1522"/>
      <c r="GP235" s="1522"/>
      <c r="GQ235" s="1522"/>
      <c r="GR235" s="1522"/>
      <c r="GS235" s="1522"/>
      <c r="GT235" s="1522"/>
      <c r="GU235" s="1522"/>
      <c r="GV235" s="1522"/>
      <c r="GW235" s="1522"/>
      <c r="GX235" s="1522"/>
      <c r="GY235" s="1522"/>
      <c r="GZ235" s="1522"/>
      <c r="HA235" s="1522"/>
      <c r="HB235" s="1522"/>
      <c r="HC235" s="1522"/>
      <c r="HD235" s="1522"/>
      <c r="HE235" s="1522"/>
      <c r="HF235" s="1522"/>
      <c r="HG235" s="1522"/>
      <c r="HH235" s="1522"/>
      <c r="HI235" s="1522"/>
      <c r="HJ235" s="1522"/>
      <c r="HK235" s="1522"/>
      <c r="HL235" s="1522"/>
      <c r="HM235" s="1522"/>
      <c r="HN235" s="1522"/>
      <c r="HO235" s="1522"/>
      <c r="HP235" s="1522"/>
      <c r="HQ235" s="1522"/>
      <c r="HR235" s="1522"/>
      <c r="HS235" s="1522"/>
      <c r="HT235" s="1522"/>
      <c r="HU235" s="1522"/>
      <c r="HV235" s="1522"/>
      <c r="HW235" s="1522"/>
      <c r="HX235" s="1522"/>
      <c r="HY235" s="1522"/>
      <c r="HZ235" s="1522"/>
      <c r="IA235" s="1522"/>
      <c r="IB235" s="1522"/>
      <c r="IC235" s="1522"/>
      <c r="ID235" s="1522"/>
      <c r="IE235" s="1522"/>
      <c r="IF235" s="1522"/>
      <c r="IG235" s="1522"/>
      <c r="IH235" s="1522"/>
      <c r="II235" s="1522"/>
      <c r="IJ235" s="1522"/>
      <c r="IK235" s="1522"/>
      <c r="IL235" s="1522"/>
      <c r="IM235" s="1522"/>
      <c r="IN235" s="1522"/>
      <c r="IO235" s="1522"/>
      <c r="IP235" s="1522"/>
      <c r="IQ235" s="1522"/>
      <c r="IR235" s="1522"/>
      <c r="IS235" s="1522"/>
      <c r="IT235" s="1522"/>
      <c r="IU235" s="1522"/>
      <c r="IV235" s="1522"/>
      <c r="IW235" s="1522"/>
      <c r="IX235" s="1522"/>
      <c r="IY235" s="1522"/>
      <c r="IZ235" s="1522"/>
      <c r="JA235" s="1522"/>
      <c r="JB235" s="1522"/>
      <c r="JC235" s="1522"/>
      <c r="JD235" s="1522"/>
      <c r="JE235" s="1522"/>
      <c r="JF235" s="1522"/>
      <c r="JG235" s="1522"/>
      <c r="JH235" s="1522"/>
      <c r="JI235" s="1522"/>
      <c r="JJ235" s="1522"/>
      <c r="JK235" s="1522"/>
      <c r="JL235" s="1522"/>
      <c r="JM235" s="1522"/>
      <c r="JN235" s="1522"/>
    </row>
    <row r="236" spans="1:274" s="1516" customFormat="1" hidden="1" outlineLevel="1" x14ac:dyDescent="0.2">
      <c r="A236" s="1598" t="s">
        <v>128</v>
      </c>
      <c r="B236" s="1542"/>
      <c r="C236" s="1542"/>
      <c r="D236" s="1541"/>
      <c r="E236" s="1541"/>
      <c r="F236" s="1541"/>
      <c r="G236" s="1541"/>
      <c r="H236" s="1541"/>
      <c r="I236" s="1541"/>
      <c r="J236" s="1541"/>
      <c r="K236" s="1541"/>
      <c r="L236" s="1541"/>
      <c r="M236" s="1541"/>
      <c r="N236" s="1542"/>
      <c r="O236" s="1542"/>
      <c r="P236" s="1542"/>
      <c r="Q236" s="1542"/>
      <c r="R236" s="1542"/>
      <c r="S236" s="1541"/>
      <c r="T236" s="1542"/>
      <c r="U236" s="1541"/>
      <c r="V236" s="1541"/>
      <c r="W236" s="1541"/>
      <c r="X236" s="1541"/>
      <c r="Y236" s="1541"/>
      <c r="Z236" s="1542"/>
      <c r="AA236" s="1541"/>
      <c r="AB236" s="1541"/>
      <c r="AC236" s="1541"/>
      <c r="AD236" s="1541"/>
      <c r="AE236" s="1541"/>
      <c r="AF236" s="1542"/>
      <c r="AG236" s="1541"/>
      <c r="AH236" s="1541"/>
      <c r="AI236" s="1541"/>
      <c r="AJ236" s="1541"/>
      <c r="AK236" s="1541"/>
      <c r="AL236" s="1542"/>
      <c r="AM236" s="1541"/>
      <c r="AN236" s="1541"/>
      <c r="AO236" s="1541"/>
      <c r="AP236" s="1541"/>
      <c r="AQ236" s="1541"/>
      <c r="AR236" s="1542"/>
      <c r="AS236" s="1541"/>
      <c r="AT236" s="1541"/>
      <c r="AU236" s="1541"/>
      <c r="AV236" s="1541"/>
      <c r="AW236" s="1541"/>
      <c r="AX236" s="1542"/>
      <c r="AY236" s="1541"/>
      <c r="AZ236" s="1541"/>
      <c r="BA236" s="1541"/>
      <c r="BB236" s="1541"/>
      <c r="BC236" s="1541"/>
      <c r="BD236" s="1542"/>
      <c r="BE236" s="1541"/>
      <c r="BF236" s="1541"/>
      <c r="BG236" s="1541"/>
      <c r="BH236" s="1541"/>
      <c r="BI236" s="1541"/>
      <c r="BJ236" s="1542"/>
      <c r="BK236" s="1541"/>
      <c r="BL236" s="1541"/>
      <c r="BM236" s="1541"/>
      <c r="BN236" s="1541"/>
      <c r="BO236" s="1541"/>
      <c r="BP236" s="1542"/>
      <c r="BQ236" s="1541"/>
      <c r="BR236" s="1541"/>
      <c r="BS236" s="1541"/>
      <c r="BT236" s="1541"/>
      <c r="BU236" s="1541"/>
      <c r="BV236" s="1542"/>
      <c r="BW236" s="1541"/>
      <c r="BX236" s="1541"/>
      <c r="BY236" s="1541"/>
      <c r="BZ236" s="1541"/>
      <c r="CA236" s="1541"/>
      <c r="CB236" s="1542"/>
      <c r="CC236" s="1541"/>
      <c r="CD236" s="1541"/>
      <c r="CE236" s="1541"/>
      <c r="CF236" s="1541"/>
      <c r="CG236" s="1545"/>
      <c r="CH236" s="1542"/>
      <c r="CI236" s="1541"/>
      <c r="CJ236" s="1541"/>
      <c r="CK236" s="1541"/>
      <c r="CL236" s="1541"/>
      <c r="CM236" s="1545"/>
      <c r="CN236" s="1542"/>
      <c r="CO236" s="1541"/>
      <c r="CP236" s="1541"/>
      <c r="CQ236" s="1541"/>
      <c r="CR236" s="1541"/>
      <c r="CS236" s="1545"/>
      <c r="CT236" s="1542"/>
      <c r="CU236" s="1541"/>
      <c r="CV236" s="1541"/>
      <c r="CW236" s="1541"/>
      <c r="CX236" s="1541"/>
      <c r="CY236" s="1545"/>
      <c r="CZ236" s="1542"/>
      <c r="DA236" s="1541"/>
      <c r="DB236" s="1541"/>
      <c r="DC236" s="1541"/>
      <c r="DD236" s="1541"/>
      <c r="DE236" s="1545"/>
      <c r="DF236" s="1542"/>
      <c r="DG236" s="1541"/>
      <c r="DH236" s="1541"/>
      <c r="DI236" s="1541"/>
      <c r="DJ236" s="1541"/>
      <c r="DK236" s="1545"/>
      <c r="DL236" s="1542"/>
      <c r="DM236" s="1597">
        <f>DM235/DG235-1</f>
        <v>-0.10350023049355361</v>
      </c>
      <c r="DN236" s="1597">
        <f>DN235/DH235-1</f>
        <v>-0.20982505902508253</v>
      </c>
      <c r="DO236" s="1597">
        <f>DO235/DI235-1</f>
        <v>-0.24995165168836997</v>
      </c>
      <c r="DP236" s="1597">
        <f>DP235/DJ235-1</f>
        <v>-0.31446547254943269</v>
      </c>
      <c r="DQ236" s="1600">
        <f>DQ235/DK235-1</f>
        <v>-0.21922639714556102</v>
      </c>
      <c r="DR236" s="1542"/>
      <c r="DS236" s="1597">
        <f>DS235/DM235-1</f>
        <v>-0.3624514239573029</v>
      </c>
      <c r="DT236" s="1597">
        <f>DT235/DN235-1</f>
        <v>-0.36143289848728632</v>
      </c>
      <c r="DU236" s="1597">
        <f>DU235/DO235-1</f>
        <v>-0.39200016247517622</v>
      </c>
      <c r="DV236" s="1597">
        <f>DV235/DP235-1</f>
        <v>-0.32431824579676993</v>
      </c>
      <c r="DW236" s="1600">
        <f>DW235/DQ235-1</f>
        <v>-0.36030432042431471</v>
      </c>
      <c r="DX236" s="1542"/>
      <c r="DY236" s="1597">
        <f>DY235/DS235-1</f>
        <v>-0.27189766998717857</v>
      </c>
      <c r="DZ236" s="1597">
        <f>DZ235/DT235-1</f>
        <v>-0.15060581328570888</v>
      </c>
      <c r="EA236" s="1597">
        <f>EA235/DU235-1</f>
        <v>-5.3388441397031139E-2</v>
      </c>
      <c r="EB236" s="1597">
        <f>EB235/DV235-1</f>
        <v>-0.16717044371719336</v>
      </c>
      <c r="EC236" s="1600">
        <f>EC235/DW235-1</f>
        <v>-0.16857856973094854</v>
      </c>
      <c r="ED236" s="1542"/>
      <c r="EE236" s="1541"/>
      <c r="EF236" s="1541"/>
      <c r="EG236" s="1541"/>
      <c r="EH236" s="1541"/>
      <c r="EI236" s="1545"/>
      <c r="EJ236" s="1542"/>
      <c r="EK236" s="1541"/>
      <c r="EL236" s="442"/>
      <c r="EM236" s="1541"/>
      <c r="EN236" s="1541"/>
      <c r="EO236" s="1545"/>
      <c r="EP236" s="1542"/>
      <c r="EQ236" s="1541"/>
      <c r="ER236" s="1541"/>
      <c r="ES236" s="1541"/>
      <c r="ET236" s="1541"/>
      <c r="EU236" s="1545"/>
      <c r="EV236" s="1542"/>
      <c r="EW236" s="1541"/>
      <c r="EX236" s="1541"/>
      <c r="EY236" s="1541"/>
      <c r="EZ236" s="1541"/>
      <c r="FA236" s="1545"/>
      <c r="FB236" s="1542"/>
      <c r="FC236" s="1541"/>
      <c r="FD236" s="1541"/>
      <c r="FE236" s="1541"/>
      <c r="FF236" s="1541"/>
      <c r="FG236" s="1545"/>
      <c r="FH236" s="1542"/>
      <c r="FI236" s="1541"/>
      <c r="FJ236" s="1541"/>
      <c r="FK236" s="1541"/>
      <c r="FL236" s="1541"/>
      <c r="FM236" s="1545"/>
      <c r="FQ236"/>
      <c r="FR236"/>
      <c r="FS236"/>
      <c r="FT236"/>
      <c r="FU236"/>
      <c r="FV236"/>
      <c r="GB236" s="1523"/>
      <c r="GC236" s="1523"/>
      <c r="GD236" s="1523"/>
      <c r="GE236" s="1523"/>
      <c r="GF236" s="1523"/>
      <c r="GG236" s="1523"/>
      <c r="GH236" s="1523"/>
      <c r="GI236" s="1523"/>
      <c r="GJ236" s="1522"/>
      <c r="GK236" s="1522"/>
      <c r="GL236" s="1522"/>
      <c r="GM236" s="1522"/>
      <c r="GN236" s="1522"/>
      <c r="GO236" s="1522"/>
      <c r="GP236" s="1522"/>
      <c r="GQ236" s="1522"/>
      <c r="GR236" s="1522"/>
      <c r="GS236" s="1522"/>
      <c r="GT236" s="1522"/>
      <c r="GU236" s="1522"/>
      <c r="GV236" s="1522"/>
      <c r="GW236" s="1522"/>
      <c r="GX236" s="1522"/>
      <c r="GY236" s="1522"/>
      <c r="GZ236" s="1522"/>
      <c r="HA236" s="1522"/>
      <c r="HB236" s="1522"/>
      <c r="HC236" s="1522"/>
      <c r="HD236" s="1522"/>
      <c r="HE236" s="1522"/>
      <c r="HF236" s="1522"/>
      <c r="HG236" s="1522"/>
      <c r="HH236" s="1522"/>
      <c r="HI236" s="1522"/>
      <c r="HJ236" s="1522"/>
      <c r="HK236" s="1522"/>
      <c r="HL236" s="1522"/>
      <c r="HM236" s="1522"/>
      <c r="HN236" s="1522"/>
      <c r="HO236" s="1522"/>
      <c r="HP236" s="1522"/>
      <c r="HQ236" s="1522"/>
      <c r="HR236" s="1522"/>
      <c r="HS236" s="1522"/>
      <c r="HT236" s="1522"/>
      <c r="HU236" s="1522"/>
      <c r="HV236" s="1522"/>
      <c r="HW236" s="1522"/>
      <c r="HX236" s="1522"/>
      <c r="HY236" s="1522"/>
      <c r="HZ236" s="1522"/>
      <c r="IA236" s="1522"/>
      <c r="IB236" s="1522"/>
      <c r="IC236" s="1522"/>
      <c r="ID236" s="1522"/>
      <c r="IE236" s="1522"/>
      <c r="IF236" s="1522"/>
      <c r="IG236" s="1522"/>
      <c r="IH236" s="1522"/>
      <c r="II236" s="1522"/>
      <c r="IJ236" s="1522"/>
      <c r="IK236" s="1522"/>
      <c r="IL236" s="1522"/>
      <c r="IM236" s="1522"/>
      <c r="IN236" s="1522"/>
      <c r="IO236" s="1522"/>
      <c r="IP236" s="1522"/>
      <c r="IQ236" s="1522"/>
      <c r="IR236" s="1522"/>
      <c r="IS236" s="1522"/>
      <c r="IT236" s="1522"/>
      <c r="IU236" s="1522"/>
      <c r="IV236" s="1522"/>
      <c r="IW236" s="1522"/>
      <c r="IX236" s="1522"/>
      <c r="IY236" s="1522"/>
      <c r="IZ236" s="1522"/>
      <c r="JA236" s="1522"/>
      <c r="JB236" s="1522"/>
      <c r="JC236" s="1522"/>
      <c r="JD236" s="1522"/>
      <c r="JE236" s="1522"/>
      <c r="JF236" s="1522"/>
      <c r="JG236" s="1522"/>
      <c r="JH236" s="1522"/>
      <c r="JI236" s="1522"/>
      <c r="JJ236" s="1522"/>
      <c r="JK236" s="1522"/>
      <c r="JL236" s="1522"/>
      <c r="JM236" s="1522"/>
      <c r="JN236" s="1522"/>
    </row>
    <row r="237" spans="1:274" s="1516" customFormat="1" collapsed="1" x14ac:dyDescent="0.2">
      <c r="A237" s="1541"/>
      <c r="B237" s="1542"/>
      <c r="C237" s="1542"/>
      <c r="D237" s="1541"/>
      <c r="E237" s="1541"/>
      <c r="F237" s="1541"/>
      <c r="G237" s="1541"/>
      <c r="H237" s="1541"/>
      <c r="I237" s="1541"/>
      <c r="J237" s="1541"/>
      <c r="K237" s="1541"/>
      <c r="L237" s="1541"/>
      <c r="M237" s="1541"/>
      <c r="N237" s="1542"/>
      <c r="O237" s="1542"/>
      <c r="P237" s="1542"/>
      <c r="Q237" s="1542"/>
      <c r="R237" s="1542"/>
      <c r="S237" s="1541"/>
      <c r="T237" s="1542"/>
      <c r="U237" s="1541"/>
      <c r="V237" s="1541"/>
      <c r="W237" s="1541"/>
      <c r="X237" s="1541"/>
      <c r="Y237" s="1541"/>
      <c r="Z237" s="1542"/>
      <c r="AA237" s="1541"/>
      <c r="AB237" s="1541"/>
      <c r="AC237" s="1541"/>
      <c r="AD237" s="1541"/>
      <c r="AE237" s="1541"/>
      <c r="AF237" s="1542"/>
      <c r="AG237" s="1541"/>
      <c r="AH237" s="1541"/>
      <c r="AI237" s="1541"/>
      <c r="AJ237" s="1541"/>
      <c r="AK237" s="1541"/>
      <c r="AL237" s="1542"/>
      <c r="AM237" s="1541"/>
      <c r="AN237" s="1541"/>
      <c r="AO237" s="1541"/>
      <c r="AP237" s="1541"/>
      <c r="AQ237" s="1541"/>
      <c r="AR237" s="1542"/>
      <c r="AS237" s="1541"/>
      <c r="AT237" s="1541"/>
      <c r="AU237" s="1541"/>
      <c r="AV237" s="1541"/>
      <c r="AW237" s="1541"/>
      <c r="AX237" s="1542"/>
      <c r="AY237" s="1541"/>
      <c r="AZ237" s="1541"/>
      <c r="BA237" s="1541"/>
      <c r="BB237" s="1541"/>
      <c r="BC237" s="1541"/>
      <c r="BD237" s="1542"/>
      <c r="BE237" s="1541"/>
      <c r="BF237" s="1541"/>
      <c r="BG237" s="1541"/>
      <c r="BH237" s="1541"/>
      <c r="BI237" s="1541"/>
      <c r="BJ237" s="1542"/>
      <c r="BK237" s="1541"/>
      <c r="BL237" s="1541"/>
      <c r="BM237" s="1541"/>
      <c r="BN237" s="1541"/>
      <c r="BO237" s="1541"/>
      <c r="BP237" s="1542"/>
      <c r="BQ237" s="1541"/>
      <c r="BR237" s="1541"/>
      <c r="BS237" s="1541"/>
      <c r="BT237" s="1541"/>
      <c r="BU237" s="1541"/>
      <c r="BV237" s="1542"/>
      <c r="BW237" s="1541"/>
      <c r="BX237" s="1541"/>
      <c r="BY237" s="1541"/>
      <c r="BZ237" s="1541"/>
      <c r="CA237" s="1541"/>
      <c r="CB237" s="1542"/>
      <c r="CC237" s="1541"/>
      <c r="CD237" s="1541"/>
      <c r="CE237" s="1541"/>
      <c r="CF237" s="1541"/>
      <c r="CG237" s="1545"/>
      <c r="CH237" s="1542"/>
      <c r="CI237" s="1541"/>
      <c r="CJ237" s="1541"/>
      <c r="CK237" s="1541"/>
      <c r="CL237" s="1541"/>
      <c r="CM237" s="1545"/>
      <c r="CN237" s="1542"/>
      <c r="CO237" s="1541"/>
      <c r="CP237" s="1541"/>
      <c r="CQ237" s="1541"/>
      <c r="CR237" s="1541"/>
      <c r="CS237" s="1545"/>
      <c r="CT237" s="1542"/>
      <c r="CU237" s="1541"/>
      <c r="CV237" s="1541"/>
      <c r="CW237" s="1541"/>
      <c r="CX237" s="1541"/>
      <c r="CY237" s="1545"/>
      <c r="CZ237" s="1542"/>
      <c r="DA237" s="1541"/>
      <c r="DB237" s="1541"/>
      <c r="DC237" s="1541"/>
      <c r="DD237" s="1541"/>
      <c r="DE237" s="1545"/>
      <c r="DF237" s="1542"/>
      <c r="DG237" s="1541"/>
      <c r="DH237" s="1596"/>
      <c r="DI237" s="1596"/>
      <c r="DJ237" s="1541"/>
      <c r="DK237" s="1545"/>
      <c r="DL237" s="1542"/>
      <c r="DM237" s="1596"/>
      <c r="DN237" s="1596"/>
      <c r="DO237" s="1596"/>
      <c r="DP237" s="1541"/>
      <c r="DQ237" s="1545"/>
      <c r="DR237" s="1542"/>
      <c r="DS237" s="1596"/>
      <c r="DT237" s="1596"/>
      <c r="DU237" s="1596"/>
      <c r="DV237" s="1596"/>
      <c r="DW237" s="1545"/>
      <c r="DX237" s="1542"/>
      <c r="DY237" s="1541"/>
      <c r="DZ237" s="1541"/>
      <c r="EA237" s="1541"/>
      <c r="EB237" s="1541"/>
      <c r="EC237" s="1545"/>
      <c r="ED237" s="1542"/>
      <c r="EE237" s="1541"/>
      <c r="EF237" s="1541"/>
      <c r="EG237" s="1541"/>
      <c r="EH237" s="1541"/>
      <c r="EI237" s="1545"/>
      <c r="EJ237" s="1542"/>
      <c r="EK237" s="1541"/>
      <c r="EL237" s="442"/>
      <c r="EM237" s="1541"/>
      <c r="EN237" s="1541"/>
      <c r="EO237" s="1545"/>
      <c r="EP237" s="1542"/>
      <c r="EQ237" s="1541"/>
      <c r="ER237" s="1541"/>
      <c r="ES237" s="1541"/>
      <c r="ET237" s="1541"/>
      <c r="EU237" s="1545"/>
      <c r="EV237" s="1542"/>
      <c r="EW237" s="1541"/>
      <c r="EX237" s="1541"/>
      <c r="EY237" s="1541"/>
      <c r="EZ237" s="1541"/>
      <c r="FA237" s="1545"/>
      <c r="FB237" s="1542"/>
      <c r="FC237" s="1541"/>
      <c r="FD237" s="1541"/>
      <c r="FE237" s="1541"/>
      <c r="FF237" s="1541"/>
      <c r="FG237" s="1545"/>
      <c r="FH237" s="1542"/>
      <c r="FI237" s="1541"/>
      <c r="FJ237" s="1541"/>
      <c r="FK237" s="1541"/>
      <c r="FL237" s="1541"/>
      <c r="FM237" s="1545"/>
      <c r="FQ237"/>
      <c r="FR237"/>
      <c r="FS237"/>
      <c r="FT237"/>
      <c r="FU237"/>
      <c r="FV237"/>
      <c r="GB237" s="1523"/>
      <c r="GC237" s="1523"/>
      <c r="GD237" s="1523"/>
      <c r="GE237" s="1523"/>
      <c r="GF237" s="1523"/>
      <c r="GG237" s="1523"/>
      <c r="GH237" s="1523"/>
      <c r="GI237" s="1523"/>
      <c r="GJ237" s="1522"/>
      <c r="GK237" s="1522"/>
      <c r="GL237" s="1522"/>
      <c r="GM237" s="1522"/>
      <c r="GN237" s="1522"/>
      <c r="GO237" s="1522"/>
      <c r="GP237" s="1522"/>
      <c r="GQ237" s="1522"/>
      <c r="GR237" s="1522"/>
      <c r="GS237" s="1522"/>
      <c r="GT237" s="1522"/>
      <c r="GU237" s="1522"/>
      <c r="GV237" s="1522"/>
      <c r="GW237" s="1522"/>
      <c r="GX237" s="1522"/>
      <c r="GY237" s="1522"/>
      <c r="GZ237" s="1522"/>
      <c r="HA237" s="1522"/>
      <c r="HB237" s="1522"/>
      <c r="HC237" s="1522"/>
      <c r="HD237" s="1522"/>
      <c r="HE237" s="1522"/>
      <c r="HF237" s="1522"/>
      <c r="HG237" s="1522"/>
      <c r="HH237" s="1522"/>
      <c r="HI237" s="1522"/>
      <c r="HJ237" s="1522"/>
      <c r="HK237" s="1522"/>
      <c r="HL237" s="1522"/>
      <c r="HM237" s="1522"/>
      <c r="HN237" s="1522"/>
      <c r="HO237" s="1522"/>
      <c r="HP237" s="1522"/>
      <c r="HQ237" s="1522"/>
      <c r="HR237" s="1522"/>
      <c r="HS237" s="1522"/>
      <c r="HT237" s="1522"/>
      <c r="HU237" s="1522"/>
      <c r="HV237" s="1522"/>
      <c r="HW237" s="1522"/>
      <c r="HX237" s="1522"/>
      <c r="HY237" s="1522"/>
      <c r="HZ237" s="1522"/>
      <c r="IA237" s="1522"/>
      <c r="IB237" s="1522"/>
      <c r="IC237" s="1522"/>
      <c r="ID237" s="1522"/>
      <c r="IE237" s="1522"/>
      <c r="IF237" s="1522"/>
      <c r="IG237" s="1522"/>
      <c r="IH237" s="1522"/>
      <c r="II237" s="1522"/>
      <c r="IJ237" s="1522"/>
      <c r="IK237" s="1522"/>
      <c r="IL237" s="1522"/>
      <c r="IM237" s="1522"/>
      <c r="IN237" s="1522"/>
      <c r="IO237" s="1522"/>
      <c r="IP237" s="1522"/>
      <c r="IQ237" s="1522"/>
      <c r="IR237" s="1522"/>
      <c r="IS237" s="1522"/>
      <c r="IT237" s="1522"/>
      <c r="IU237" s="1522"/>
      <c r="IV237" s="1522"/>
      <c r="IW237" s="1522"/>
      <c r="IX237" s="1522"/>
      <c r="IY237" s="1522"/>
      <c r="IZ237" s="1522"/>
      <c r="JA237" s="1522"/>
      <c r="JB237" s="1522"/>
      <c r="JC237" s="1522"/>
      <c r="JD237" s="1522"/>
      <c r="JE237" s="1522"/>
      <c r="JF237" s="1522"/>
      <c r="JG237" s="1522"/>
      <c r="JH237" s="1522"/>
      <c r="JI237" s="1522"/>
      <c r="JJ237" s="1522"/>
      <c r="JK237" s="1522"/>
      <c r="JL237" s="1522"/>
      <c r="JM237" s="1522"/>
      <c r="JN237" s="1522"/>
    </row>
    <row r="238" spans="1:274" s="1516" customFormat="1" x14ac:dyDescent="0.2">
      <c r="A238" s="1541" t="s">
        <v>486</v>
      </c>
      <c r="B238" s="1542"/>
      <c r="C238" s="1542"/>
      <c r="D238" s="1541"/>
      <c r="E238" s="1541"/>
      <c r="F238" s="1541"/>
      <c r="G238" s="1541"/>
      <c r="H238" s="1541"/>
      <c r="I238" s="1541"/>
      <c r="J238" s="1541"/>
      <c r="K238" s="1541"/>
      <c r="L238" s="1541"/>
      <c r="M238" s="1541"/>
      <c r="N238" s="1542"/>
      <c r="O238" s="1542"/>
      <c r="P238" s="1542"/>
      <c r="Q238" s="1542"/>
      <c r="R238" s="1542"/>
      <c r="S238" s="1541"/>
      <c r="T238" s="1542"/>
      <c r="U238" s="1541"/>
      <c r="V238" s="1541"/>
      <c r="W238" s="1541"/>
      <c r="X238" s="1541"/>
      <c r="Y238" s="1541"/>
      <c r="Z238" s="1542"/>
      <c r="AA238" s="1541"/>
      <c r="AB238" s="1541"/>
      <c r="AC238" s="1541"/>
      <c r="AD238" s="1541"/>
      <c r="AE238" s="1541"/>
      <c r="AF238" s="1542"/>
      <c r="AG238" s="1541"/>
      <c r="AH238" s="1541"/>
      <c r="AI238" s="1541"/>
      <c r="AJ238" s="1541"/>
      <c r="AK238" s="1541"/>
      <c r="AL238" s="1542"/>
      <c r="AM238" s="1541"/>
      <c r="AN238" s="1541"/>
      <c r="AO238" s="1541"/>
      <c r="AP238" s="1541"/>
      <c r="AQ238" s="1541"/>
      <c r="AR238" s="1542"/>
      <c r="AS238" s="1541"/>
      <c r="AT238" s="1541"/>
      <c r="AU238" s="1541"/>
      <c r="AV238" s="1541"/>
      <c r="AW238" s="1541"/>
      <c r="AX238" s="1542"/>
      <c r="AY238" s="1541"/>
      <c r="AZ238" s="1541"/>
      <c r="BA238" s="1541"/>
      <c r="BB238" s="1541"/>
      <c r="BC238" s="1541"/>
      <c r="BD238" s="1542"/>
      <c r="BE238" s="1541"/>
      <c r="BF238" s="1541"/>
      <c r="BG238" s="1541"/>
      <c r="BH238" s="1541"/>
      <c r="BI238" s="1541"/>
      <c r="BJ238" s="1542"/>
      <c r="BK238" s="1541"/>
      <c r="BL238" s="1541"/>
      <c r="BM238" s="1541"/>
      <c r="BN238" s="1541"/>
      <c r="BO238" s="1541"/>
      <c r="BP238" s="1542"/>
      <c r="BQ238" s="1541"/>
      <c r="BR238" s="1541"/>
      <c r="BS238" s="1541"/>
      <c r="BT238" s="1541"/>
      <c r="BU238" s="1541"/>
      <c r="BV238" s="1542"/>
      <c r="BW238" s="1541"/>
      <c r="BX238" s="1541"/>
      <c r="BY238" s="1541"/>
      <c r="BZ238" s="1541"/>
      <c r="CA238" s="1541"/>
      <c r="CB238" s="1542"/>
      <c r="CC238" s="1541"/>
      <c r="CD238" s="1541"/>
      <c r="CE238" s="1541"/>
      <c r="CF238" s="1541"/>
      <c r="CG238" s="1545"/>
      <c r="CH238" s="1542"/>
      <c r="CI238" s="1541"/>
      <c r="CJ238" s="1541"/>
      <c r="CK238" s="1541"/>
      <c r="CL238" s="1541"/>
      <c r="CM238" s="1545"/>
      <c r="CN238" s="1542"/>
      <c r="CO238" s="1541"/>
      <c r="CP238" s="1541"/>
      <c r="CQ238" s="1541"/>
      <c r="CR238" s="1541"/>
      <c r="CS238" s="1545"/>
      <c r="CT238" s="1542"/>
      <c r="CU238" s="1541"/>
      <c r="CV238" s="1541"/>
      <c r="CW238" s="1541"/>
      <c r="CX238" s="1541"/>
      <c r="CY238" s="1545"/>
      <c r="CZ238" s="1542"/>
      <c r="DA238" s="1541"/>
      <c r="DB238" s="1541"/>
      <c r="DC238" s="1541"/>
      <c r="DD238" s="1541"/>
      <c r="DE238" s="1545"/>
      <c r="DF238" s="1542"/>
      <c r="DG238" s="1601"/>
      <c r="DH238" s="1601"/>
      <c r="DI238" s="1601"/>
      <c r="DJ238" s="1601"/>
      <c r="DK238" s="1545"/>
      <c r="DL238" s="1542"/>
      <c r="DP238" s="1601"/>
      <c r="DQ238" s="1545"/>
      <c r="DR238" s="1542"/>
      <c r="DV238" s="1601"/>
      <c r="DW238" s="1545"/>
      <c r="DX238" s="1542"/>
      <c r="DY238" s="1541"/>
      <c r="DZ238" s="1541"/>
      <c r="EA238" s="1541"/>
      <c r="EB238" s="1541"/>
      <c r="EC238" s="1545"/>
      <c r="ED238" s="1542"/>
      <c r="EE238" s="1541"/>
      <c r="EF238" s="1541"/>
      <c r="EG238" s="1541"/>
      <c r="EH238" s="1541"/>
      <c r="EI238" s="1545"/>
      <c r="EJ238" s="1542"/>
      <c r="EK238" s="1541"/>
      <c r="EL238" s="442"/>
      <c r="EM238" s="1541"/>
      <c r="EN238" s="1541"/>
      <c r="EO238" s="1545"/>
      <c r="EP238" s="1542"/>
      <c r="EQ238" s="1541"/>
      <c r="ER238" s="1541"/>
      <c r="ES238" s="1541"/>
      <c r="ET238" s="1541"/>
      <c r="EU238" s="1545"/>
      <c r="EV238" s="1542"/>
      <c r="EW238" s="1541"/>
      <c r="EX238" s="1541"/>
      <c r="EY238" s="1541"/>
      <c r="EZ238" s="1541"/>
      <c r="FA238" s="1545"/>
      <c r="FB238" s="1542"/>
      <c r="FC238" s="1541"/>
      <c r="FD238" s="1541"/>
      <c r="FE238" s="1541"/>
      <c r="FF238" s="1541"/>
      <c r="FG238" s="1545"/>
      <c r="FH238" s="1542"/>
      <c r="FI238" s="1541"/>
      <c r="FJ238" s="1541"/>
      <c r="FK238" s="1541"/>
      <c r="FL238" s="1541"/>
      <c r="FM238" s="1545"/>
      <c r="FQ238"/>
      <c r="FR238"/>
      <c r="FS238"/>
      <c r="FT238"/>
      <c r="FU238"/>
      <c r="FV238"/>
      <c r="GB238" s="1523"/>
      <c r="GC238" s="1523"/>
      <c r="GD238" s="1523"/>
      <c r="GE238" s="1523"/>
      <c r="GF238" s="1523"/>
      <c r="GG238" s="1523"/>
      <c r="GH238" s="1523"/>
      <c r="GI238" s="1523"/>
      <c r="GJ238" s="1522"/>
      <c r="GK238" s="1522"/>
      <c r="GL238" s="1522"/>
      <c r="GM238" s="1522"/>
      <c r="GN238" s="1522"/>
      <c r="GO238" s="1522"/>
      <c r="GP238" s="1522"/>
      <c r="GQ238" s="1522"/>
      <c r="GR238" s="1522"/>
      <c r="GS238" s="1522"/>
      <c r="GT238" s="1522"/>
      <c r="GU238" s="1522"/>
      <c r="GV238" s="1522"/>
      <c r="GW238" s="1522"/>
      <c r="GX238" s="1522"/>
      <c r="GY238" s="1522"/>
      <c r="GZ238" s="1522"/>
      <c r="HA238" s="1522"/>
      <c r="HB238" s="1522"/>
      <c r="HC238" s="1522"/>
      <c r="HD238" s="1522"/>
      <c r="HE238" s="1522"/>
      <c r="HF238" s="1522"/>
      <c r="HG238" s="1522"/>
      <c r="HH238" s="1522"/>
      <c r="HI238" s="1522"/>
      <c r="HJ238" s="1522"/>
      <c r="HK238" s="1522"/>
      <c r="HL238" s="1522"/>
      <c r="HM238" s="1522"/>
      <c r="HN238" s="1522"/>
      <c r="HO238" s="1522"/>
      <c r="HP238" s="1522"/>
      <c r="HQ238" s="1522"/>
      <c r="HR238" s="1522"/>
      <c r="HS238" s="1522"/>
      <c r="HT238" s="1522"/>
      <c r="HU238" s="1522"/>
      <c r="HV238" s="1522"/>
      <c r="HW238" s="1522"/>
      <c r="HX238" s="1522"/>
      <c r="HY238" s="1522"/>
      <c r="HZ238" s="1522"/>
      <c r="IA238" s="1522"/>
      <c r="IB238" s="1522"/>
      <c r="IC238" s="1522"/>
      <c r="ID238" s="1522"/>
      <c r="IE238" s="1522"/>
      <c r="IF238" s="1522"/>
      <c r="IG238" s="1522"/>
      <c r="IH238" s="1522"/>
      <c r="II238" s="1522"/>
      <c r="IJ238" s="1522"/>
      <c r="IK238" s="1522"/>
      <c r="IL238" s="1522"/>
      <c r="IM238" s="1522"/>
      <c r="IN238" s="1522"/>
      <c r="IO238" s="1522"/>
      <c r="IP238" s="1522"/>
      <c r="IQ238" s="1522"/>
      <c r="IR238" s="1522"/>
      <c r="IS238" s="1522"/>
      <c r="IT238" s="1522"/>
      <c r="IU238" s="1522"/>
      <c r="IV238" s="1522"/>
      <c r="IW238" s="1522"/>
      <c r="IX238" s="1522"/>
      <c r="IY238" s="1522"/>
      <c r="IZ238" s="1522"/>
      <c r="JA238" s="1522"/>
      <c r="JB238" s="1522"/>
      <c r="JC238" s="1522"/>
      <c r="JD238" s="1522"/>
      <c r="JE238" s="1522"/>
      <c r="JF238" s="1522"/>
      <c r="JG238" s="1522"/>
      <c r="JH238" s="1522"/>
      <c r="JI238" s="1522"/>
      <c r="JJ238" s="1522"/>
      <c r="JK238" s="1522"/>
      <c r="JL238" s="1522"/>
      <c r="JM238" s="1522"/>
      <c r="JN238" s="1522"/>
    </row>
    <row r="239" spans="1:274" s="1517" customFormat="1" hidden="1" x14ac:dyDescent="0.2">
      <c r="A239" s="1517" t="s">
        <v>683</v>
      </c>
      <c r="C239" s="1602" t="s">
        <v>945</v>
      </c>
      <c r="D239" s="1602" t="s">
        <v>945</v>
      </c>
      <c r="E239" s="1602" t="s">
        <v>945</v>
      </c>
      <c r="F239" s="1602" t="s">
        <v>945</v>
      </c>
      <c r="G239" s="1602" t="s">
        <v>945</v>
      </c>
      <c r="H239" s="1602" t="s">
        <v>945</v>
      </c>
      <c r="I239" s="1602" t="s">
        <v>945</v>
      </c>
      <c r="J239" s="1602" t="s">
        <v>945</v>
      </c>
      <c r="K239" s="1602" t="s">
        <v>945</v>
      </c>
      <c r="L239" s="1602" t="s">
        <v>945</v>
      </c>
      <c r="M239" s="1602" t="s">
        <v>945</v>
      </c>
      <c r="O239" s="1602" t="s">
        <v>945</v>
      </c>
      <c r="P239" s="1602" t="s">
        <v>945</v>
      </c>
      <c r="Q239" s="1602" t="s">
        <v>945</v>
      </c>
      <c r="R239" s="1602" t="s">
        <v>945</v>
      </c>
      <c r="S239" s="1602" t="s">
        <v>945</v>
      </c>
      <c r="U239" s="1602" t="s">
        <v>945</v>
      </c>
      <c r="V239" s="1602" t="s">
        <v>945</v>
      </c>
      <c r="W239" s="1602" t="s">
        <v>945</v>
      </c>
      <c r="X239" s="1602" t="s">
        <v>945</v>
      </c>
      <c r="Y239" s="1602" t="s">
        <v>945</v>
      </c>
      <c r="AA239" s="1602" t="s">
        <v>945</v>
      </c>
      <c r="AB239" s="1602" t="s">
        <v>945</v>
      </c>
      <c r="AC239" s="1602" t="s">
        <v>945</v>
      </c>
      <c r="AD239" s="1602" t="s">
        <v>945</v>
      </c>
      <c r="AE239" s="1602" t="s">
        <v>945</v>
      </c>
      <c r="AG239" s="1602" t="s">
        <v>945</v>
      </c>
      <c r="AH239" s="1602" t="s">
        <v>945</v>
      </c>
      <c r="AI239" s="1602" t="s">
        <v>945</v>
      </c>
      <c r="AJ239" s="1602" t="s">
        <v>945</v>
      </c>
      <c r="AK239" s="1602" t="s">
        <v>945</v>
      </c>
      <c r="AM239" s="1602" t="s">
        <v>945</v>
      </c>
      <c r="AN239" s="1602" t="s">
        <v>945</v>
      </c>
      <c r="AO239" s="1602" t="s">
        <v>945</v>
      </c>
      <c r="AP239" s="1602" t="s">
        <v>945</v>
      </c>
      <c r="AQ239" s="1602" t="s">
        <v>945</v>
      </c>
      <c r="AS239" s="1602" t="s">
        <v>945</v>
      </c>
      <c r="AT239" s="1602" t="s">
        <v>945</v>
      </c>
      <c r="AU239" s="1602" t="s">
        <v>945</v>
      </c>
      <c r="AV239" s="1578">
        <v>0.56000000000000005</v>
      </c>
      <c r="AW239" s="1602" t="s">
        <v>945</v>
      </c>
      <c r="AY239" s="1578">
        <v>0.34</v>
      </c>
      <c r="AZ239" s="1578">
        <v>0.45</v>
      </c>
      <c r="BA239" s="1578">
        <v>0.45</v>
      </c>
      <c r="BB239" s="1578">
        <v>0.52</v>
      </c>
      <c r="BC239" s="1578">
        <f>AVERAGE(AY239:BB239)</f>
        <v>0.44</v>
      </c>
      <c r="BD239" s="1577"/>
      <c r="BE239" s="1578">
        <v>0.31</v>
      </c>
      <c r="BF239" s="1578">
        <v>0.38</v>
      </c>
      <c r="BG239" s="1578">
        <v>0.35</v>
      </c>
      <c r="BH239" s="1578">
        <v>0.43</v>
      </c>
      <c r="BI239" s="1578">
        <f>AVERAGE(BE239:BH239)</f>
        <v>0.36749999999999999</v>
      </c>
      <c r="BJ239" s="1577"/>
      <c r="BK239" s="1578">
        <v>0.35</v>
      </c>
      <c r="BL239" s="1578">
        <v>0.32</v>
      </c>
      <c r="BM239" s="1578">
        <v>0.33</v>
      </c>
      <c r="BN239" s="1578">
        <v>0.41</v>
      </c>
      <c r="BO239" s="1578">
        <f>SUMPRODUCT(BK172:BN172,BK239:BN239)/BO172</f>
        <v>0.3601437308868502</v>
      </c>
      <c r="BP239" s="1577"/>
      <c r="BQ239" s="1578">
        <v>0.32</v>
      </c>
      <c r="BR239" s="1578">
        <v>0.36</v>
      </c>
      <c r="BS239" s="1578">
        <v>0.32</v>
      </c>
      <c r="BT239" s="1578">
        <v>0.44</v>
      </c>
      <c r="BU239" s="1578">
        <f>SUMPRODUCT(BQ172:BT172,BQ239:BT239)/BU172</f>
        <v>0.37418808246258117</v>
      </c>
      <c r="BV239" s="1577"/>
      <c r="BW239" s="1578">
        <v>0.27</v>
      </c>
      <c r="BX239" s="1578">
        <v>0.4</v>
      </c>
      <c r="BY239" s="1578">
        <v>0.35</v>
      </c>
      <c r="BZ239" s="1578">
        <v>0.47</v>
      </c>
      <c r="CA239" s="1578">
        <f>SUMPRODUCT(BW172:BZ172,BW239:BZ239)/CA172</f>
        <v>0.39806601466992669</v>
      </c>
      <c r="CB239" s="1577"/>
      <c r="CC239" s="1578">
        <v>0.28000000000000003</v>
      </c>
      <c r="CD239" s="1578">
        <v>0.41</v>
      </c>
      <c r="CE239" s="1578">
        <v>0.39</v>
      </c>
      <c r="CF239" s="1578">
        <v>0.55000000000000004</v>
      </c>
      <c r="CG239" s="1603">
        <f>SUMPRODUCT(CC172:CF172,CC239:CF239)/CG172</f>
        <v>0.44940176168338641</v>
      </c>
      <c r="CH239" s="1582"/>
      <c r="CI239" s="1578">
        <v>0.34</v>
      </c>
      <c r="CJ239" s="1578">
        <v>0.41</v>
      </c>
      <c r="CK239" s="1578">
        <v>0.41</v>
      </c>
      <c r="CL239" s="1602" t="s">
        <v>945</v>
      </c>
      <c r="CM239" s="1604" t="s">
        <v>945</v>
      </c>
      <c r="CN239" s="1582"/>
      <c r="CO239" s="1602" t="s">
        <v>945</v>
      </c>
      <c r="CP239" s="1602" t="s">
        <v>945</v>
      </c>
      <c r="CQ239" s="1602" t="s">
        <v>945</v>
      </c>
      <c r="CR239" s="1602" t="s">
        <v>945</v>
      </c>
      <c r="CS239" s="1603">
        <v>0.51</v>
      </c>
      <c r="CT239" s="1582"/>
      <c r="CU239" s="1602" t="s">
        <v>945</v>
      </c>
      <c r="CV239" s="1602" t="s">
        <v>945</v>
      </c>
      <c r="CW239" s="1602" t="s">
        <v>945</v>
      </c>
      <c r="CX239" s="1602" t="s">
        <v>945</v>
      </c>
      <c r="CY239" s="1603">
        <v>0.5</v>
      </c>
      <c r="CZ239" s="1582"/>
      <c r="DA239" s="1602" t="s">
        <v>945</v>
      </c>
      <c r="DB239" s="1602" t="s">
        <v>945</v>
      </c>
      <c r="DC239" s="1602" t="s">
        <v>945</v>
      </c>
      <c r="DD239" s="1602" t="s">
        <v>945</v>
      </c>
      <c r="DE239" s="1604" t="s">
        <v>945</v>
      </c>
      <c r="DF239" s="1582"/>
      <c r="DG239" s="1602" t="s">
        <v>945</v>
      </c>
      <c r="DH239" s="1602" t="s">
        <v>945</v>
      </c>
      <c r="DI239" s="1602" t="s">
        <v>945</v>
      </c>
      <c r="DJ239" s="1602" t="s">
        <v>945</v>
      </c>
      <c r="DK239" s="1604" t="s">
        <v>945</v>
      </c>
      <c r="DL239" s="1582"/>
      <c r="DM239" s="1578">
        <v>0.49</v>
      </c>
      <c r="DN239" s="1602" t="s">
        <v>945</v>
      </c>
      <c r="DO239" s="1602" t="s">
        <v>945</v>
      </c>
      <c r="DP239" s="1602" t="s">
        <v>945</v>
      </c>
      <c r="DQ239" s="1604" t="s">
        <v>945</v>
      </c>
      <c r="DR239" s="1582"/>
      <c r="DS239" s="1602" t="s">
        <v>945</v>
      </c>
      <c r="DT239" s="1602" t="s">
        <v>945</v>
      </c>
      <c r="DU239" s="1602" t="s">
        <v>945</v>
      </c>
      <c r="DV239" s="1602" t="s">
        <v>945</v>
      </c>
      <c r="DW239" s="1604" t="s">
        <v>945</v>
      </c>
      <c r="DX239" s="1582"/>
      <c r="DY239" s="1602" t="s">
        <v>945</v>
      </c>
      <c r="DZ239" s="1602" t="s">
        <v>945</v>
      </c>
      <c r="EA239" s="1602" t="s">
        <v>945</v>
      </c>
      <c r="EB239" s="1602" t="s">
        <v>945</v>
      </c>
      <c r="EC239" s="1604" t="s">
        <v>945</v>
      </c>
      <c r="ED239" s="1582"/>
      <c r="EE239" s="1602" t="s">
        <v>945</v>
      </c>
      <c r="EF239" s="1602" t="s">
        <v>945</v>
      </c>
      <c r="EG239" s="1602" t="s">
        <v>945</v>
      </c>
      <c r="EH239" s="1602" t="s">
        <v>945</v>
      </c>
      <c r="EI239" s="1604" t="s">
        <v>945</v>
      </c>
      <c r="EJ239" s="1582"/>
      <c r="EK239" s="1602" t="s">
        <v>945</v>
      </c>
      <c r="EL239" s="144"/>
      <c r="EM239" s="1602" t="s">
        <v>945</v>
      </c>
      <c r="EN239" s="1602" t="s">
        <v>945</v>
      </c>
      <c r="EO239" s="1604" t="s">
        <v>945</v>
      </c>
      <c r="EP239" s="1582"/>
      <c r="EQ239" s="1602" t="s">
        <v>945</v>
      </c>
      <c r="ER239" s="1602" t="s">
        <v>945</v>
      </c>
      <c r="ES239" s="1602" t="s">
        <v>945</v>
      </c>
      <c r="ET239" s="1602" t="s">
        <v>945</v>
      </c>
      <c r="EU239" s="1604" t="s">
        <v>945</v>
      </c>
      <c r="EV239" s="1582"/>
      <c r="EW239" s="1602" t="s">
        <v>945</v>
      </c>
      <c r="EX239" s="1602" t="s">
        <v>945</v>
      </c>
      <c r="EY239" s="1602" t="s">
        <v>945</v>
      </c>
      <c r="EZ239" s="1602" t="s">
        <v>945</v>
      </c>
      <c r="FA239" s="1604" t="s">
        <v>945</v>
      </c>
      <c r="FB239" s="1582"/>
      <c r="FC239" s="1602" t="s">
        <v>945</v>
      </c>
      <c r="FD239" s="1602" t="s">
        <v>945</v>
      </c>
      <c r="FE239" s="1602" t="s">
        <v>945</v>
      </c>
      <c r="FF239" s="1602" t="s">
        <v>945</v>
      </c>
      <c r="FG239" s="1604" t="s">
        <v>945</v>
      </c>
      <c r="FH239" s="1582"/>
      <c r="FI239" s="1602" t="s">
        <v>945</v>
      </c>
      <c r="FJ239" s="1602" t="s">
        <v>945</v>
      </c>
      <c r="FK239" s="1602" t="s">
        <v>945</v>
      </c>
      <c r="FL239" s="1602" t="s">
        <v>945</v>
      </c>
      <c r="FM239" s="1604" t="s">
        <v>945</v>
      </c>
      <c r="FQ239"/>
      <c r="FR239"/>
      <c r="FS239"/>
      <c r="FT239"/>
      <c r="FU239"/>
      <c r="FV239"/>
      <c r="GB239" s="1523"/>
      <c r="GC239" s="1523"/>
      <c r="GD239" s="1523"/>
      <c r="GE239" s="1523"/>
      <c r="GF239" s="1523"/>
      <c r="GG239" s="1523"/>
      <c r="GH239" s="1523"/>
      <c r="GI239" s="1523"/>
      <c r="GJ239" s="1522"/>
      <c r="GK239" s="1522"/>
      <c r="GL239" s="1522"/>
      <c r="GM239" s="1522"/>
      <c r="GN239" s="1522"/>
      <c r="GO239" s="1522"/>
      <c r="GP239" s="1522"/>
      <c r="GQ239" s="1522"/>
      <c r="GR239" s="1522"/>
      <c r="GS239" s="1522"/>
      <c r="GT239" s="1522"/>
      <c r="GU239" s="1522"/>
      <c r="GV239" s="1522"/>
      <c r="GW239" s="1522"/>
      <c r="GX239" s="1522"/>
      <c r="GY239" s="1522"/>
      <c r="GZ239" s="1522"/>
      <c r="HA239" s="1522"/>
      <c r="HB239" s="1522"/>
      <c r="HC239" s="1522"/>
      <c r="HD239" s="1522"/>
      <c r="HE239" s="1522"/>
      <c r="HF239" s="1522"/>
      <c r="HG239" s="1522"/>
      <c r="HH239" s="1522"/>
      <c r="HI239" s="1522"/>
      <c r="HJ239" s="1522"/>
      <c r="HK239" s="1522"/>
      <c r="HL239" s="1522"/>
      <c r="HM239" s="1522"/>
      <c r="HN239" s="1522"/>
      <c r="HO239" s="1522"/>
      <c r="HP239" s="1522"/>
      <c r="HQ239" s="1522"/>
      <c r="HR239" s="1522"/>
      <c r="HS239" s="1522"/>
      <c r="HT239" s="1522"/>
      <c r="HU239" s="1522"/>
      <c r="HV239" s="1522"/>
      <c r="HW239" s="1522"/>
      <c r="HX239" s="1522"/>
      <c r="HY239" s="1522"/>
      <c r="HZ239" s="1522"/>
      <c r="IA239" s="1522"/>
      <c r="IB239" s="1522"/>
      <c r="IC239" s="1522"/>
      <c r="ID239" s="1522"/>
      <c r="IE239" s="1522"/>
      <c r="IF239" s="1522"/>
      <c r="IG239" s="1522"/>
      <c r="IH239" s="1522"/>
      <c r="II239" s="1522"/>
      <c r="IJ239" s="1522"/>
      <c r="IK239" s="1522"/>
      <c r="IL239" s="1522"/>
      <c r="IM239" s="1522"/>
      <c r="IN239" s="1522"/>
      <c r="IO239" s="1522"/>
      <c r="IP239" s="1522"/>
      <c r="IQ239" s="1522"/>
      <c r="IR239" s="1522"/>
      <c r="IS239" s="1522"/>
      <c r="IT239" s="1522"/>
      <c r="IU239" s="1522"/>
      <c r="IV239" s="1522"/>
      <c r="IW239" s="1522"/>
      <c r="IX239" s="1522"/>
      <c r="IY239" s="1522"/>
      <c r="IZ239" s="1522"/>
      <c r="JA239" s="1522"/>
      <c r="JB239" s="1522"/>
      <c r="JC239" s="1522"/>
      <c r="JD239" s="1522"/>
      <c r="JE239" s="1522"/>
      <c r="JF239" s="1522"/>
      <c r="JG239" s="1522"/>
      <c r="JH239" s="1522"/>
      <c r="JI239" s="1522"/>
      <c r="JJ239" s="1522"/>
      <c r="JK239" s="1522"/>
      <c r="JL239" s="1522"/>
      <c r="JM239" s="1522"/>
      <c r="JN239" s="1522"/>
    </row>
    <row r="240" spans="1:274" s="1517" customFormat="1" x14ac:dyDescent="0.2">
      <c r="A240" s="1517" t="s">
        <v>907</v>
      </c>
      <c r="C240" s="1602"/>
      <c r="D240" s="1602"/>
      <c r="E240" s="1602"/>
      <c r="F240" s="1602"/>
      <c r="G240" s="1602"/>
      <c r="H240" s="1602"/>
      <c r="I240" s="1602"/>
      <c r="J240" s="1602"/>
      <c r="K240" s="1602"/>
      <c r="L240" s="1602"/>
      <c r="M240" s="1602"/>
      <c r="O240" s="1602"/>
      <c r="P240" s="1602"/>
      <c r="Q240" s="1602"/>
      <c r="R240" s="1602"/>
      <c r="S240" s="1602"/>
      <c r="U240" s="1602"/>
      <c r="V240" s="1602"/>
      <c r="W240" s="1602"/>
      <c r="X240" s="1602"/>
      <c r="Y240" s="1602"/>
      <c r="AA240" s="1602"/>
      <c r="AB240" s="1602"/>
      <c r="AC240" s="1602"/>
      <c r="AD240" s="1602"/>
      <c r="AE240" s="1602"/>
      <c r="AG240" s="1602"/>
      <c r="AH240" s="1602"/>
      <c r="AI240" s="1602"/>
      <c r="AJ240" s="1602"/>
      <c r="AK240" s="1602"/>
      <c r="AM240" s="1602"/>
      <c r="AN240" s="1602"/>
      <c r="AO240" s="1602"/>
      <c r="AP240" s="1602"/>
      <c r="AQ240" s="1602"/>
      <c r="AS240" s="1602"/>
      <c r="AT240" s="1602"/>
      <c r="AU240" s="1602"/>
      <c r="AV240" s="1578"/>
      <c r="AW240" s="1602"/>
      <c r="AY240" s="1578"/>
      <c r="AZ240" s="1578"/>
      <c r="BA240" s="1578"/>
      <c r="BB240" s="1578"/>
      <c r="BC240" s="1578"/>
      <c r="BD240" s="1577"/>
      <c r="BE240" s="1578"/>
      <c r="BF240" s="1578"/>
      <c r="BG240" s="1578"/>
      <c r="BH240" s="1578"/>
      <c r="BI240" s="1578"/>
      <c r="BJ240" s="1577"/>
      <c r="BK240" s="1578"/>
      <c r="BL240" s="1578"/>
      <c r="BM240" s="1578"/>
      <c r="BN240" s="1578"/>
      <c r="BO240" s="1578"/>
      <c r="BP240" s="1577"/>
      <c r="BQ240" s="1578"/>
      <c r="BR240" s="1578"/>
      <c r="BS240" s="1578"/>
      <c r="BT240" s="1578"/>
      <c r="BU240" s="1578"/>
      <c r="BV240" s="1577"/>
      <c r="BW240" s="1578"/>
      <c r="BX240" s="1578"/>
      <c r="BY240" s="1578"/>
      <c r="BZ240" s="1578"/>
      <c r="CA240" s="1578"/>
      <c r="CB240" s="1577"/>
      <c r="CC240" s="1578"/>
      <c r="CD240" s="1578"/>
      <c r="CE240" s="1578"/>
      <c r="CF240" s="1578"/>
      <c r="CG240" s="1603"/>
      <c r="CH240" s="1582"/>
      <c r="CI240" s="1578"/>
      <c r="CJ240" s="1578"/>
      <c r="CK240" s="1578"/>
      <c r="CL240" s="1602"/>
      <c r="CM240" s="1604"/>
      <c r="CN240" s="1582"/>
      <c r="CO240" s="1602"/>
      <c r="CP240" s="1602"/>
      <c r="CQ240" s="1602"/>
      <c r="CR240" s="1602"/>
      <c r="CS240" s="1603"/>
      <c r="CT240" s="1582"/>
      <c r="CU240" s="1602"/>
      <c r="CV240" s="1602"/>
      <c r="CW240" s="1602"/>
      <c r="CX240" s="1602"/>
      <c r="CY240" s="1603"/>
      <c r="CZ240" s="1582"/>
      <c r="DA240" s="1602"/>
      <c r="DB240" s="1602"/>
      <c r="DC240" s="1602"/>
      <c r="DD240" s="1602"/>
      <c r="DE240" s="1604"/>
      <c r="DF240" s="1582"/>
      <c r="DG240" s="1578">
        <v>0.17</v>
      </c>
      <c r="DH240" s="1578">
        <v>0.22</v>
      </c>
      <c r="DI240" s="1578">
        <v>0.27</v>
      </c>
      <c r="DJ240" s="1578">
        <f>DJ241/Model!DJ14</f>
        <v>0.35589400428265522</v>
      </c>
      <c r="DK240" s="1603">
        <f>DK241/DK172</f>
        <v>0.28000000000000003</v>
      </c>
      <c r="DL240" s="1582"/>
      <c r="DM240" s="1578">
        <v>0.21</v>
      </c>
      <c r="DN240" s="1578">
        <v>0.2</v>
      </c>
      <c r="DO240" s="1578">
        <v>0.26</v>
      </c>
      <c r="DP240" s="1578">
        <f>DP241/Model!DP14</f>
        <v>0.33413276765660094</v>
      </c>
      <c r="DQ240" s="1603">
        <f>DQ241/DQ172</f>
        <v>0.27</v>
      </c>
      <c r="DR240" s="1582"/>
      <c r="DS240" s="1578">
        <v>0.22</v>
      </c>
      <c r="DT240" s="1578">
        <v>0.27</v>
      </c>
      <c r="DU240" s="1578">
        <v>0.22</v>
      </c>
      <c r="DV240" s="1578">
        <f>DV241/Model!DV14</f>
        <v>0.47673257776706057</v>
      </c>
      <c r="DW240" s="1603">
        <f>DW241/DW172</f>
        <v>0.37943688907777307</v>
      </c>
      <c r="DX240" s="1582"/>
      <c r="DY240" s="1578">
        <v>0.28000000000000003</v>
      </c>
      <c r="DZ240" s="1578">
        <v>0.3</v>
      </c>
      <c r="EA240" s="1578">
        <v>0.28000000000000003</v>
      </c>
      <c r="EB240" s="1578">
        <f>EB241/Model!EB14</f>
        <v>0.35126657196969696</v>
      </c>
      <c r="EC240" s="1603">
        <f>EC241/Model!EC17</f>
        <v>0.33</v>
      </c>
      <c r="ED240" s="1582"/>
      <c r="EE240" s="1578">
        <v>0.23</v>
      </c>
      <c r="EF240" s="1578">
        <v>0.3</v>
      </c>
      <c r="EG240" s="1578">
        <v>0.28000000000000003</v>
      </c>
      <c r="EH240" s="1578">
        <f>EH241/Model!EH17</f>
        <v>0.37039196940726576</v>
      </c>
      <c r="EI240" s="1603">
        <f>EI241/Model!EI17</f>
        <v>0.31</v>
      </c>
      <c r="EJ240" s="1582"/>
      <c r="EK240" s="928">
        <v>0.2</v>
      </c>
      <c r="EL240" s="928">
        <v>0.25</v>
      </c>
      <c r="EM240" s="1578">
        <v>0.25</v>
      </c>
      <c r="EN240" s="1578">
        <f>EN241/Model!EN17</f>
        <v>0.34969992769342018</v>
      </c>
      <c r="EO240" s="1603">
        <f>EO241/Model!EO17</f>
        <v>0.28000000000000003</v>
      </c>
      <c r="EP240" s="1582"/>
      <c r="EQ240" s="928">
        <v>0.22</v>
      </c>
      <c r="ER240" s="928">
        <v>0.26</v>
      </c>
      <c r="ES240" s="1578">
        <v>0.3</v>
      </c>
      <c r="ET240" s="1602"/>
      <c r="EU240" s="1604"/>
      <c r="EV240" s="1582"/>
      <c r="EW240" s="1602"/>
      <c r="EX240" s="1602"/>
      <c r="EY240" s="1602"/>
      <c r="EZ240" s="1602"/>
      <c r="FA240" s="1604"/>
      <c r="FB240" s="1582"/>
      <c r="FC240" s="1602"/>
      <c r="FD240" s="1602"/>
      <c r="FE240" s="1602"/>
      <c r="FF240" s="1602"/>
      <c r="FG240" s="1604"/>
      <c r="FH240" s="1582"/>
      <c r="FI240" s="1602"/>
      <c r="FJ240" s="1602"/>
      <c r="FK240" s="1602"/>
      <c r="FL240" s="1602"/>
      <c r="FM240" s="1604"/>
      <c r="FQ240"/>
      <c r="FR240"/>
      <c r="FS240"/>
      <c r="FT240"/>
      <c r="FU240"/>
      <c r="FV240"/>
      <c r="GB240" s="1523"/>
      <c r="GC240" s="1523"/>
      <c r="GD240" s="1523"/>
      <c r="GE240" s="1523"/>
      <c r="GF240" s="1523"/>
      <c r="GG240" s="1523"/>
      <c r="GH240" s="1523"/>
      <c r="GI240" s="1523"/>
      <c r="GJ240" s="1522"/>
      <c r="GK240" s="1522"/>
      <c r="GL240" s="1522"/>
      <c r="GM240" s="1522"/>
      <c r="GN240" s="1522"/>
      <c r="GO240" s="1522"/>
      <c r="GP240" s="1522"/>
      <c r="GQ240" s="1522"/>
      <c r="GR240" s="1522"/>
      <c r="GS240" s="1522"/>
      <c r="GT240" s="1522"/>
      <c r="GU240" s="1522"/>
      <c r="GV240" s="1522"/>
      <c r="GW240" s="1522"/>
      <c r="GX240" s="1522"/>
      <c r="GY240" s="1522"/>
      <c r="GZ240" s="1522"/>
      <c r="HA240" s="1522"/>
      <c r="HB240" s="1522"/>
      <c r="HC240" s="1522"/>
      <c r="HD240" s="1522"/>
      <c r="HE240" s="1522"/>
      <c r="HF240" s="1522"/>
      <c r="HG240" s="1522"/>
      <c r="HH240" s="1522"/>
      <c r="HI240" s="1522"/>
      <c r="HJ240" s="1522"/>
      <c r="HK240" s="1522"/>
      <c r="HL240" s="1522"/>
      <c r="HM240" s="1522"/>
      <c r="HN240" s="1522"/>
      <c r="HO240" s="1522"/>
      <c r="HP240" s="1522"/>
      <c r="HQ240" s="1522"/>
      <c r="HR240" s="1522"/>
      <c r="HS240" s="1522"/>
      <c r="HT240" s="1522"/>
      <c r="HU240" s="1522"/>
      <c r="HV240" s="1522"/>
      <c r="HW240" s="1522"/>
      <c r="HX240" s="1522"/>
      <c r="HY240" s="1522"/>
      <c r="HZ240" s="1522"/>
      <c r="IA240" s="1522"/>
      <c r="IB240" s="1522"/>
      <c r="IC240" s="1522"/>
      <c r="ID240" s="1522"/>
      <c r="IE240" s="1522"/>
      <c r="IF240" s="1522"/>
      <c r="IG240" s="1522"/>
      <c r="IH240" s="1522"/>
      <c r="II240" s="1522"/>
      <c r="IJ240" s="1522"/>
      <c r="IK240" s="1522"/>
      <c r="IL240" s="1522"/>
      <c r="IM240" s="1522"/>
      <c r="IN240" s="1522"/>
      <c r="IO240" s="1522"/>
      <c r="IP240" s="1522"/>
      <c r="IQ240" s="1522"/>
      <c r="IR240" s="1522"/>
      <c r="IS240" s="1522"/>
      <c r="IT240" s="1522"/>
      <c r="IU240" s="1522"/>
      <c r="IV240" s="1522"/>
      <c r="IW240" s="1522"/>
      <c r="IX240" s="1522"/>
      <c r="IY240" s="1522"/>
      <c r="IZ240" s="1522"/>
      <c r="JA240" s="1522"/>
      <c r="JB240" s="1522"/>
      <c r="JC240" s="1522"/>
      <c r="JD240" s="1522"/>
      <c r="JE240" s="1522"/>
      <c r="JF240" s="1522"/>
      <c r="JG240" s="1522"/>
      <c r="JH240" s="1522"/>
      <c r="JI240" s="1522"/>
      <c r="JJ240" s="1522"/>
      <c r="JK240" s="1522"/>
      <c r="JL240" s="1522"/>
      <c r="JM240" s="1522"/>
      <c r="JN240" s="1522"/>
    </row>
    <row r="241" spans="1:274" s="1517" customFormat="1" x14ac:dyDescent="0.2">
      <c r="A241" s="1517" t="s">
        <v>906</v>
      </c>
      <c r="C241" s="1602"/>
      <c r="D241" s="1602"/>
      <c r="E241" s="1602"/>
      <c r="F241" s="1602"/>
      <c r="G241" s="1602"/>
      <c r="H241" s="1602"/>
      <c r="I241" s="1602"/>
      <c r="J241" s="1602"/>
      <c r="K241" s="1602"/>
      <c r="L241" s="1602"/>
      <c r="M241" s="1602"/>
      <c r="O241" s="1602"/>
      <c r="P241" s="1602"/>
      <c r="Q241" s="1602"/>
      <c r="R241" s="1602"/>
      <c r="S241" s="1602"/>
      <c r="U241" s="1602"/>
      <c r="V241" s="1602"/>
      <c r="W241" s="1602"/>
      <c r="X241" s="1602"/>
      <c r="Y241" s="1602"/>
      <c r="AA241" s="1602"/>
      <c r="AB241" s="1602"/>
      <c r="AC241" s="1602"/>
      <c r="AD241" s="1602"/>
      <c r="AE241" s="1602"/>
      <c r="AG241" s="1602"/>
      <c r="AH241" s="1602"/>
      <c r="AI241" s="1602"/>
      <c r="AJ241" s="1602"/>
      <c r="AK241" s="1602"/>
      <c r="AM241" s="1602"/>
      <c r="AN241" s="1602"/>
      <c r="AO241" s="1602"/>
      <c r="AP241" s="1602"/>
      <c r="AQ241" s="1602"/>
      <c r="AS241" s="1602"/>
      <c r="AT241" s="1602"/>
      <c r="AU241" s="1602"/>
      <c r="AV241" s="1578"/>
      <c r="AW241" s="1602"/>
      <c r="AY241" s="1578"/>
      <c r="AZ241" s="1578"/>
      <c r="BA241" s="1578"/>
      <c r="BB241" s="1578"/>
      <c r="BC241" s="1578"/>
      <c r="BD241" s="1577"/>
      <c r="BE241" s="1578"/>
      <c r="BF241" s="1578"/>
      <c r="BG241" s="1578"/>
      <c r="BH241" s="1578"/>
      <c r="BI241" s="1578"/>
      <c r="BJ241" s="1577"/>
      <c r="BK241" s="1578"/>
      <c r="BL241" s="1578"/>
      <c r="BM241" s="1578"/>
      <c r="BN241" s="1578"/>
      <c r="BO241" s="1578"/>
      <c r="BP241" s="1577"/>
      <c r="BQ241" s="1578"/>
      <c r="BR241" s="1578"/>
      <c r="BS241" s="1578"/>
      <c r="BT241" s="1578"/>
      <c r="BU241" s="1578"/>
      <c r="BV241" s="1577"/>
      <c r="BW241" s="1578"/>
      <c r="BX241" s="1578"/>
      <c r="BY241" s="1578"/>
      <c r="BZ241" s="1578"/>
      <c r="CA241" s="1578"/>
      <c r="CB241" s="1577"/>
      <c r="CC241" s="1578"/>
      <c r="CD241" s="1578"/>
      <c r="CE241" s="1578"/>
      <c r="CF241" s="1578"/>
      <c r="CG241" s="1603"/>
      <c r="CH241" s="1582"/>
      <c r="CI241" s="1578"/>
      <c r="CJ241" s="1578"/>
      <c r="CK241" s="1578"/>
      <c r="CL241" s="1602"/>
      <c r="CM241" s="1604"/>
      <c r="CN241" s="1582"/>
      <c r="CO241" s="1602"/>
      <c r="CP241" s="1602"/>
      <c r="CQ241" s="1602"/>
      <c r="CR241" s="1602"/>
      <c r="CS241" s="1603"/>
      <c r="CT241" s="1582"/>
      <c r="CU241" s="1602"/>
      <c r="CV241" s="1602"/>
      <c r="CW241" s="1602"/>
      <c r="CX241" s="1602"/>
      <c r="CY241" s="1603"/>
      <c r="CZ241" s="1582"/>
      <c r="DA241" s="1602"/>
      <c r="DB241" s="1602"/>
      <c r="DC241" s="1602"/>
      <c r="DD241" s="1602"/>
      <c r="DE241" s="1604"/>
      <c r="DF241" s="1582"/>
      <c r="DG241" s="1601">
        <f>DG240*Model!DG14</f>
        <v>218.62</v>
      </c>
      <c r="DH241" s="1601">
        <f>DH240*Model!DH14</f>
        <v>439.78000000000003</v>
      </c>
      <c r="DI241" s="1601">
        <f>DI240*Model!DI14</f>
        <v>597.78000000000009</v>
      </c>
      <c r="DJ241" s="1602">
        <f>(0.28*Model!DK14)-SUM(DG241:DI241)</f>
        <v>1329.62</v>
      </c>
      <c r="DK241" s="1605">
        <f>SUM(DG241:DJ241)</f>
        <v>2585.8000000000002</v>
      </c>
      <c r="DL241" s="1582"/>
      <c r="DM241" s="1601">
        <f>DM240*Model!DM14</f>
        <v>314.58</v>
      </c>
      <c r="DN241" s="1601">
        <f>DN240*Model!DN14</f>
        <v>409.6</v>
      </c>
      <c r="DO241" s="1601">
        <f>DO240*Model!DO14</f>
        <v>617.24</v>
      </c>
      <c r="DP241" s="1602">
        <f>(0.27*Model!DQ14)-SUM(DM241:DO241)</f>
        <v>1338.87</v>
      </c>
      <c r="DQ241" s="1605">
        <f>SUM(DM241:DP241)</f>
        <v>2680.29</v>
      </c>
      <c r="DR241" s="1582"/>
      <c r="DS241" s="1601">
        <f>DS240*Model!DS14</f>
        <v>376.64</v>
      </c>
      <c r="DT241" s="1601">
        <f>DT240*Model!DT14</f>
        <v>679.05000000000007</v>
      </c>
      <c r="DU241" s="1601">
        <f>DU240*Model!DU14</f>
        <v>538.56000000000006</v>
      </c>
      <c r="DV241" s="1602">
        <f>(0.33*Model!DW14)-SUM(DS241:DU241)</f>
        <v>1977.0100000000002</v>
      </c>
      <c r="DW241" s="1536">
        <f>SUM(DS241:DV241)</f>
        <v>3571.26</v>
      </c>
      <c r="DX241" s="1536"/>
      <c r="DY241" s="1536">
        <f>DY240*Model!DY17</f>
        <v>391.72</v>
      </c>
      <c r="DZ241" s="1536">
        <f>DZ240*Model!DZ17</f>
        <v>636.29999999999995</v>
      </c>
      <c r="EA241" s="1536">
        <f>EA240*Model!EA17</f>
        <v>595.84</v>
      </c>
      <c r="EB241" s="1536">
        <f>(0.33*Model!EC17)-SUM(DY241:EA241)</f>
        <v>1483.75</v>
      </c>
      <c r="EC241" s="1536">
        <f>SUM(DY241:EB241)</f>
        <v>3107.61</v>
      </c>
      <c r="ED241" s="1825"/>
      <c r="EE241" s="1538">
        <f>EE240*Model!EE17</f>
        <v>315.10000000000002</v>
      </c>
      <c r="EF241" s="1538">
        <f>EF240*Model!EF17</f>
        <v>613.5</v>
      </c>
      <c r="EG241" s="1538">
        <f>EG240*Model!EG17</f>
        <v>554.96</v>
      </c>
      <c r="EH241" s="1819">
        <f>(0.31*Model!EI17)-SUM(EE241:EG241)</f>
        <v>1162.29</v>
      </c>
      <c r="EI241" s="1536">
        <f>SUM(EE241:EH241)</f>
        <v>2645.85</v>
      </c>
      <c r="EJ241" s="1582"/>
      <c r="EK241" s="1601">
        <f>EK240*Model!EK17</f>
        <v>230.20000000000002</v>
      </c>
      <c r="EL241" s="1820">
        <f>EL240*Model!EL17</f>
        <v>419.25</v>
      </c>
      <c r="EM241" s="1538">
        <f>EM240*Model!EM17</f>
        <v>420</v>
      </c>
      <c r="EN241" s="1819">
        <f>(0.28*Model!EO17)-SUM(EK241:EM241)</f>
        <v>967.27000000000021</v>
      </c>
      <c r="EO241" s="1536">
        <f>SUM(EK241:EN241)</f>
        <v>2036.7200000000003</v>
      </c>
      <c r="EP241" s="1582"/>
      <c r="EQ241" s="1601">
        <f>EQ240*Model!EQ17</f>
        <v>226.6</v>
      </c>
      <c r="ER241" s="1820">
        <f>ER240*Model!ER17</f>
        <v>350.22</v>
      </c>
      <c r="ES241" s="1538">
        <f>ES240*Model!ES17</f>
        <v>424.2</v>
      </c>
      <c r="ET241" s="1602"/>
      <c r="EU241" s="1604"/>
      <c r="EV241" s="1582"/>
      <c r="EW241" s="1602"/>
      <c r="EX241" s="1602"/>
      <c r="EY241" s="1602"/>
      <c r="EZ241" s="1602"/>
      <c r="FA241" s="1604"/>
      <c r="FB241" s="1582"/>
      <c r="FC241" s="1602"/>
      <c r="FD241" s="1602"/>
      <c r="FE241" s="1602"/>
      <c r="FF241" s="1602"/>
      <c r="FG241" s="1604"/>
      <c r="FH241" s="1582"/>
      <c r="FI241" s="1602"/>
      <c r="FJ241" s="1602"/>
      <c r="FK241" s="1602"/>
      <c r="FL241" s="1602"/>
      <c r="FM241" s="1604"/>
      <c r="FQ241"/>
      <c r="FR241"/>
      <c r="FS241"/>
      <c r="FT241"/>
      <c r="FU241"/>
      <c r="FV241"/>
      <c r="GB241" s="1523"/>
      <c r="GC241" s="1523"/>
      <c r="GD241" s="1523"/>
      <c r="GE241" s="1523"/>
      <c r="GF241" s="1523"/>
      <c r="GG241" s="1523"/>
      <c r="GH241" s="1523"/>
      <c r="GI241" s="1523"/>
      <c r="GJ241" s="1522"/>
      <c r="GK241" s="1522"/>
      <c r="GL241" s="1522"/>
      <c r="GM241" s="1522"/>
      <c r="GN241" s="1522"/>
      <c r="GO241" s="1522"/>
      <c r="GP241" s="1522"/>
      <c r="GQ241" s="1522"/>
      <c r="GR241" s="1522"/>
      <c r="GS241" s="1522"/>
      <c r="GT241" s="1522"/>
      <c r="GU241" s="1522"/>
      <c r="GV241" s="1522"/>
      <c r="GW241" s="1522"/>
      <c r="GX241" s="1522"/>
      <c r="GY241" s="1522"/>
      <c r="GZ241" s="1522"/>
      <c r="HA241" s="1522"/>
      <c r="HB241" s="1522"/>
      <c r="HC241" s="1522"/>
      <c r="HD241" s="1522"/>
      <c r="HE241" s="1522"/>
      <c r="HF241" s="1522"/>
      <c r="HG241" s="1522"/>
      <c r="HH241" s="1522"/>
      <c r="HI241" s="1522"/>
      <c r="HJ241" s="1522"/>
      <c r="HK241" s="1522"/>
      <c r="HL241" s="1522"/>
      <c r="HM241" s="1522"/>
      <c r="HN241" s="1522"/>
      <c r="HO241" s="1522"/>
      <c r="HP241" s="1522"/>
      <c r="HQ241" s="1522"/>
      <c r="HR241" s="1522"/>
      <c r="HS241" s="1522"/>
      <c r="HT241" s="1522"/>
      <c r="HU241" s="1522"/>
      <c r="HV241" s="1522"/>
      <c r="HW241" s="1522"/>
      <c r="HX241" s="1522"/>
      <c r="HY241" s="1522"/>
      <c r="HZ241" s="1522"/>
      <c r="IA241" s="1522"/>
      <c r="IB241" s="1522"/>
      <c r="IC241" s="1522"/>
      <c r="ID241" s="1522"/>
      <c r="IE241" s="1522"/>
      <c r="IF241" s="1522"/>
      <c r="IG241" s="1522"/>
      <c r="IH241" s="1522"/>
      <c r="II241" s="1522"/>
      <c r="IJ241" s="1522"/>
      <c r="IK241" s="1522"/>
      <c r="IL241" s="1522"/>
      <c r="IM241" s="1522"/>
      <c r="IN241" s="1522"/>
      <c r="IO241" s="1522"/>
      <c r="IP241" s="1522"/>
      <c r="IQ241" s="1522"/>
      <c r="IR241" s="1522"/>
      <c r="IS241" s="1522"/>
      <c r="IT241" s="1522"/>
      <c r="IU241" s="1522"/>
      <c r="IV241" s="1522"/>
      <c r="IW241" s="1522"/>
      <c r="IX241" s="1522"/>
      <c r="IY241" s="1522"/>
      <c r="IZ241" s="1522"/>
      <c r="JA241" s="1522"/>
      <c r="JB241" s="1522"/>
      <c r="JC241" s="1522"/>
      <c r="JD241" s="1522"/>
      <c r="JE241" s="1522"/>
      <c r="JF241" s="1522"/>
      <c r="JG241" s="1522"/>
      <c r="JH241" s="1522"/>
      <c r="JI241" s="1522"/>
      <c r="JJ241" s="1522"/>
      <c r="JK241" s="1522"/>
      <c r="JL241" s="1522"/>
      <c r="JM241" s="1522"/>
      <c r="JN241" s="1522"/>
    </row>
    <row r="242" spans="1:274" s="1516" customFormat="1" x14ac:dyDescent="0.2">
      <c r="A242" s="1516" t="s">
        <v>908</v>
      </c>
      <c r="C242" s="1606"/>
      <c r="D242" s="1606"/>
      <c r="E242" s="1606"/>
      <c r="F242" s="1606"/>
      <c r="G242" s="1606"/>
      <c r="H242" s="1606"/>
      <c r="I242" s="1606"/>
      <c r="J242" s="1606"/>
      <c r="K242" s="1606"/>
      <c r="L242" s="1606"/>
      <c r="M242" s="1606"/>
      <c r="O242" s="1606"/>
      <c r="P242" s="1606"/>
      <c r="Q242" s="1606"/>
      <c r="R242" s="1606"/>
      <c r="S242" s="1606"/>
      <c r="U242" s="1606"/>
      <c r="V242" s="1606"/>
      <c r="W242" s="1606"/>
      <c r="X242" s="1606"/>
      <c r="Y242" s="1606"/>
      <c r="AA242" s="1606"/>
      <c r="AB242" s="1606"/>
      <c r="AC242" s="1606"/>
      <c r="AD242" s="1606"/>
      <c r="AE242" s="1606"/>
      <c r="AG242" s="1606"/>
      <c r="AH242" s="1606"/>
      <c r="AI242" s="1606"/>
      <c r="AJ242" s="1606"/>
      <c r="AK242" s="1606"/>
      <c r="AM242" s="1606"/>
      <c r="AN242" s="1606"/>
      <c r="AO242" s="1606"/>
      <c r="AP242" s="1606"/>
      <c r="AQ242" s="1606"/>
      <c r="AS242" s="1606"/>
      <c r="AT242" s="1606"/>
      <c r="AU242" s="1606"/>
      <c r="AV242" s="1552"/>
      <c r="AW242" s="1606"/>
      <c r="AY242" s="1552"/>
      <c r="AZ242" s="1552"/>
      <c r="BA242" s="1552"/>
      <c r="BB242" s="1552"/>
      <c r="BC242" s="1552"/>
      <c r="BD242" s="1607"/>
      <c r="BE242" s="1552"/>
      <c r="BF242" s="1552"/>
      <c r="BG242" s="1552"/>
      <c r="BH242" s="1552"/>
      <c r="BI242" s="1552"/>
      <c r="BJ242" s="1607"/>
      <c r="BK242" s="1552"/>
      <c r="BL242" s="1552"/>
      <c r="BM242" s="1552"/>
      <c r="BN242" s="1552"/>
      <c r="BO242" s="1552"/>
      <c r="BP242" s="1607"/>
      <c r="BQ242" s="1552"/>
      <c r="BR242" s="1552"/>
      <c r="BS242" s="1552"/>
      <c r="BT242" s="1552"/>
      <c r="BU242" s="1552"/>
      <c r="BV242" s="1607"/>
      <c r="BW242" s="1552"/>
      <c r="BX242" s="1552"/>
      <c r="BY242" s="1552"/>
      <c r="BZ242" s="1552"/>
      <c r="CA242" s="1552"/>
      <c r="CB242" s="1607"/>
      <c r="CC242" s="1552"/>
      <c r="CD242" s="1552"/>
      <c r="CE242" s="1552"/>
      <c r="CF242" s="1552"/>
      <c r="CG242" s="1608"/>
      <c r="CH242" s="1609"/>
      <c r="CI242" s="1552"/>
      <c r="CJ242" s="1552"/>
      <c r="CK242" s="1552"/>
      <c r="CL242" s="1606"/>
      <c r="CM242" s="1610"/>
      <c r="CN242" s="1609"/>
      <c r="CO242" s="1606"/>
      <c r="CP242" s="1606"/>
      <c r="CQ242" s="1606"/>
      <c r="CR242" s="1606"/>
      <c r="CS242" s="1608"/>
      <c r="CT242" s="1609"/>
      <c r="CU242" s="1606"/>
      <c r="CV242" s="1606"/>
      <c r="CW242" s="1606"/>
      <c r="CX242" s="1606"/>
      <c r="CY242" s="1608"/>
      <c r="CZ242" s="1609"/>
      <c r="DA242" s="1606"/>
      <c r="DB242" s="1606"/>
      <c r="DC242" s="1606"/>
      <c r="DD242" s="1606"/>
      <c r="DE242" s="1610"/>
      <c r="DF242" s="1609"/>
      <c r="DG242" s="1611"/>
      <c r="DH242" s="1612">
        <f>DH241/DG241-1</f>
        <v>1.0116183331808619</v>
      </c>
      <c r="DI242" s="1612">
        <f>DI241/DH241-1</f>
        <v>0.3592705443630908</v>
      </c>
      <c r="DJ242" s="1612">
        <f>DJ241/DI241-1</f>
        <v>1.2242631068285985</v>
      </c>
      <c r="DK242" s="1610"/>
      <c r="DL242" s="1609"/>
      <c r="DM242" s="1612">
        <f>DM241/DJ241-1</f>
        <v>-0.76340608594936898</v>
      </c>
      <c r="DN242" s="1612">
        <f>DN241/DM241-1</f>
        <v>0.30205353169305127</v>
      </c>
      <c r="DO242" s="1612">
        <f>DO241/DN241-1</f>
        <v>0.50693359374999991</v>
      </c>
      <c r="DP242" s="1612">
        <f>DP241/DO241-1</f>
        <v>1.1691238416175231</v>
      </c>
      <c r="DQ242" s="1610"/>
      <c r="DR242" s="1609"/>
      <c r="DS242" s="1612">
        <f>DS241/DP241-1</f>
        <v>-0.71868814746764054</v>
      </c>
      <c r="DT242" s="1612">
        <f>DT241/DS241-1</f>
        <v>0.80291525063721347</v>
      </c>
      <c r="DU242" s="1612">
        <f>DU241/DT241-1</f>
        <v>-0.20689198144466536</v>
      </c>
      <c r="DV242" s="1612">
        <f>DV241/DU241-1</f>
        <v>2.6709187462863935</v>
      </c>
      <c r="DW242" s="1610"/>
      <c r="DX242" s="1609"/>
      <c r="DY242" s="1612">
        <f>DY241/DV241-1</f>
        <v>-0.80186240838437839</v>
      </c>
      <c r="DZ242" s="1612">
        <f>DZ241/DY241-1</f>
        <v>0.62437455325232283</v>
      </c>
      <c r="EA242" s="1612">
        <f>EA241/DZ241-1</f>
        <v>-6.3586358635863482E-2</v>
      </c>
      <c r="EB242" s="1612">
        <f>EB241/EA241-1</f>
        <v>1.4901819280343713</v>
      </c>
      <c r="EC242" s="1610"/>
      <c r="ED242" s="1609"/>
      <c r="EE242" s="1821">
        <f>EE241/EB241-1</f>
        <v>-0.78763268744734627</v>
      </c>
      <c r="EF242" s="1821">
        <f>EF241/EE241-1</f>
        <v>0.94700095207870505</v>
      </c>
      <c r="EG242" s="1821">
        <f>EG241/EF241-1</f>
        <v>-9.5419722901385451E-2</v>
      </c>
      <c r="EH242" s="1612">
        <f>EH241/EG241-1</f>
        <v>1.0943671615972321</v>
      </c>
      <c r="EI242" s="1610"/>
      <c r="EJ242" s="1609"/>
      <c r="EK242" s="1612">
        <f>EK241/EH241-1</f>
        <v>-0.80194271653373939</v>
      </c>
      <c r="EL242" s="1821">
        <f>EL241/EI241-1</f>
        <v>-0.84154430523272294</v>
      </c>
      <c r="EM242" s="1821">
        <f>EM241/EL241-1</f>
        <v>1.7889087656528524E-3</v>
      </c>
      <c r="EN242" s="1612">
        <f>EN241/EM241-1</f>
        <v>1.3030238095238098</v>
      </c>
      <c r="EO242" s="1610"/>
      <c r="EP242" s="1609"/>
      <c r="EQ242" s="1612">
        <f>EQ241/EN241-1</f>
        <v>-0.76573242217788218</v>
      </c>
      <c r="ER242" s="1821">
        <f>ER241/EO241-1</f>
        <v>-0.82804705605090545</v>
      </c>
      <c r="ES242" s="1821">
        <f>ES241/ER241-1</f>
        <v>0.21123864999143382</v>
      </c>
      <c r="ET242" s="1606"/>
      <c r="EU242" s="1610"/>
      <c r="EV242" s="1609"/>
      <c r="EW242" s="1606"/>
      <c r="EX242" s="1606"/>
      <c r="EY242" s="1606"/>
      <c r="EZ242" s="1606"/>
      <c r="FA242" s="1610"/>
      <c r="FB242" s="1609"/>
      <c r="FC242" s="1606"/>
      <c r="FD242" s="1606"/>
      <c r="FE242" s="1606"/>
      <c r="FF242" s="1606"/>
      <c r="FG242" s="1610"/>
      <c r="FH242" s="1609"/>
      <c r="FI242" s="1606"/>
      <c r="FJ242" s="1606"/>
      <c r="FK242" s="1606"/>
      <c r="FL242" s="1606"/>
      <c r="FM242" s="1610"/>
      <c r="FQ242"/>
      <c r="FR242"/>
      <c r="FS242"/>
      <c r="FT242"/>
      <c r="FU242"/>
      <c r="FV242"/>
      <c r="GB242" s="1613"/>
      <c r="GC242" s="1613"/>
      <c r="GD242" s="1613"/>
      <c r="GE242" s="1613"/>
      <c r="GF242" s="1613"/>
      <c r="GG242" s="1613"/>
      <c r="GH242" s="1613"/>
      <c r="GI242" s="1613"/>
      <c r="GJ242" s="1522"/>
      <c r="GK242" s="1522"/>
      <c r="GL242" s="1522"/>
      <c r="GM242" s="1522"/>
      <c r="GN242" s="1522"/>
      <c r="GO242" s="1522"/>
      <c r="GP242" s="1522"/>
      <c r="GQ242" s="1522"/>
      <c r="GR242" s="1522"/>
      <c r="GS242" s="1522"/>
      <c r="GT242" s="1522"/>
      <c r="GU242" s="1522"/>
      <c r="GV242" s="1522"/>
      <c r="GW242" s="1522"/>
      <c r="GX242" s="1522"/>
      <c r="GY242" s="1522"/>
      <c r="GZ242" s="1522"/>
      <c r="HA242" s="1522"/>
      <c r="HB242" s="1522"/>
      <c r="HC242" s="1522"/>
      <c r="HD242" s="1522"/>
      <c r="HE242" s="1522"/>
      <c r="HF242" s="1522"/>
      <c r="HG242" s="1522"/>
      <c r="HH242" s="1522"/>
      <c r="HI242" s="1522"/>
      <c r="HJ242" s="1522"/>
      <c r="HK242" s="1522"/>
      <c r="HL242" s="1522"/>
      <c r="HM242" s="1522"/>
      <c r="HN242" s="1522"/>
      <c r="HO242" s="1522"/>
      <c r="HP242" s="1522"/>
      <c r="HQ242" s="1522"/>
      <c r="HR242" s="1522"/>
      <c r="HS242" s="1522"/>
      <c r="HT242" s="1522"/>
      <c r="HU242" s="1522"/>
      <c r="HV242" s="1522"/>
      <c r="HW242" s="1522"/>
      <c r="HX242" s="1522"/>
      <c r="HY242" s="1522"/>
      <c r="HZ242" s="1522"/>
      <c r="IA242" s="1522"/>
      <c r="IB242" s="1522"/>
      <c r="IC242" s="1522"/>
      <c r="ID242" s="1522"/>
      <c r="IE242" s="1522"/>
      <c r="IF242" s="1522"/>
      <c r="IG242" s="1522"/>
      <c r="IH242" s="1522"/>
      <c r="II242" s="1522"/>
      <c r="IJ242" s="1522"/>
      <c r="IK242" s="1522"/>
      <c r="IL242" s="1522"/>
      <c r="IM242" s="1522"/>
      <c r="IN242" s="1522"/>
      <c r="IO242" s="1522"/>
      <c r="IP242" s="1522"/>
      <c r="IQ242" s="1522"/>
      <c r="IR242" s="1522"/>
      <c r="IS242" s="1522"/>
      <c r="IT242" s="1522"/>
      <c r="IU242" s="1522"/>
      <c r="IV242" s="1522"/>
      <c r="IW242" s="1522"/>
      <c r="IX242" s="1522"/>
      <c r="IY242" s="1522"/>
      <c r="IZ242" s="1522"/>
      <c r="JA242" s="1522"/>
      <c r="JB242" s="1522"/>
      <c r="JC242" s="1522"/>
      <c r="JD242" s="1522"/>
      <c r="JE242" s="1522"/>
      <c r="JF242" s="1522"/>
      <c r="JG242" s="1522"/>
      <c r="JH242" s="1522"/>
      <c r="JI242" s="1522"/>
      <c r="JJ242" s="1522"/>
      <c r="JK242" s="1522"/>
      <c r="JL242" s="1522"/>
      <c r="JM242" s="1522"/>
      <c r="JN242" s="1522"/>
    </row>
    <row r="243" spans="1:274" s="1516" customFormat="1" x14ac:dyDescent="0.2">
      <c r="A243" s="1516" t="s">
        <v>44</v>
      </c>
      <c r="C243" s="1606"/>
      <c r="D243" s="1606"/>
      <c r="E243" s="1606"/>
      <c r="F243" s="1606"/>
      <c r="G243" s="1606"/>
      <c r="H243" s="1606"/>
      <c r="I243" s="1606"/>
      <c r="J243" s="1606"/>
      <c r="K243" s="1606"/>
      <c r="L243" s="1606"/>
      <c r="M243" s="1606"/>
      <c r="O243" s="1606"/>
      <c r="P243" s="1606"/>
      <c r="Q243" s="1606"/>
      <c r="R243" s="1606"/>
      <c r="S243" s="1606"/>
      <c r="U243" s="1606"/>
      <c r="V243" s="1606"/>
      <c r="W243" s="1606"/>
      <c r="X243" s="1606"/>
      <c r="Y243" s="1606"/>
      <c r="AA243" s="1606"/>
      <c r="AB243" s="1606"/>
      <c r="AC243" s="1606"/>
      <c r="AD243" s="1606"/>
      <c r="AE243" s="1606"/>
      <c r="AG243" s="1606"/>
      <c r="AH243" s="1606"/>
      <c r="AI243" s="1606"/>
      <c r="AJ243" s="1606"/>
      <c r="AK243" s="1606"/>
      <c r="AM243" s="1606"/>
      <c r="AN243" s="1606"/>
      <c r="AO243" s="1606"/>
      <c r="AP243" s="1606"/>
      <c r="AQ243" s="1606"/>
      <c r="AS243" s="1606"/>
      <c r="AT243" s="1606"/>
      <c r="AU243" s="1606"/>
      <c r="AV243" s="1552"/>
      <c r="AW243" s="1606"/>
      <c r="AY243" s="1552"/>
      <c r="AZ243" s="1552"/>
      <c r="BA243" s="1552"/>
      <c r="BB243" s="1552"/>
      <c r="BC243" s="1552"/>
      <c r="BD243" s="1607"/>
      <c r="BE243" s="1552"/>
      <c r="BF243" s="1552"/>
      <c r="BG243" s="1552"/>
      <c r="BH243" s="1552"/>
      <c r="BI243" s="1552"/>
      <c r="BJ243" s="1607"/>
      <c r="BK243" s="1552"/>
      <c r="BL243" s="1552"/>
      <c r="BM243" s="1552"/>
      <c r="BN243" s="1552"/>
      <c r="BO243" s="1552"/>
      <c r="BP243" s="1607"/>
      <c r="BQ243" s="1552"/>
      <c r="BR243" s="1552"/>
      <c r="BS243" s="1552"/>
      <c r="BT243" s="1552"/>
      <c r="BU243" s="1552"/>
      <c r="BV243" s="1607"/>
      <c r="BW243" s="1552"/>
      <c r="BX243" s="1552"/>
      <c r="BY243" s="1552"/>
      <c r="BZ243" s="1552"/>
      <c r="CA243" s="1552"/>
      <c r="CB243" s="1607"/>
      <c r="CC243" s="1552"/>
      <c r="CD243" s="1552"/>
      <c r="CE243" s="1552"/>
      <c r="CF243" s="1552"/>
      <c r="CG243" s="1608"/>
      <c r="CH243" s="1609"/>
      <c r="CI243" s="1552"/>
      <c r="CJ243" s="1552"/>
      <c r="CK243" s="1552"/>
      <c r="CL243" s="1606"/>
      <c r="CM243" s="1610"/>
      <c r="CN243" s="1609"/>
      <c r="CO243" s="1606"/>
      <c r="CP243" s="1606"/>
      <c r="CQ243" s="1606"/>
      <c r="CR243" s="1606"/>
      <c r="CS243" s="1608"/>
      <c r="CT243" s="1609"/>
      <c r="CU243" s="1606"/>
      <c r="CV243" s="1606"/>
      <c r="CW243" s="1606"/>
      <c r="CX243" s="1606"/>
      <c r="CY243" s="1608"/>
      <c r="CZ243" s="1609"/>
      <c r="DA243" s="1606"/>
      <c r="DB243" s="1606"/>
      <c r="DC243" s="1606"/>
      <c r="DD243" s="1606"/>
      <c r="DE243" s="1610"/>
      <c r="DF243" s="1609"/>
      <c r="DG243" s="1606"/>
      <c r="DH243" s="1552"/>
      <c r="DI243" s="1606"/>
      <c r="DJ243" s="1612"/>
      <c r="DK243" s="1610"/>
      <c r="DL243" s="1609"/>
      <c r="DM243" s="1552">
        <v>0.45</v>
      </c>
      <c r="DN243" s="1552">
        <v>-0.06</v>
      </c>
      <c r="DO243" s="1552">
        <v>0.03</v>
      </c>
      <c r="DP243" s="1612">
        <f>DP241/DJ241-1</f>
        <v>6.9568748965869176E-3</v>
      </c>
      <c r="DQ243" s="1608">
        <v>0.04</v>
      </c>
      <c r="DR243" s="1609"/>
      <c r="DS243" s="1552">
        <v>0.1</v>
      </c>
      <c r="DT243" s="1552">
        <v>0.56000000000000005</v>
      </c>
      <c r="DU243" s="1552">
        <f>DU241/DO241-1</f>
        <v>-0.12747067591212491</v>
      </c>
      <c r="DV243" s="1612">
        <f>DV241/DP241-1</f>
        <v>0.47662581131850024</v>
      </c>
      <c r="DW243" s="1614">
        <f>DW241/DQ241-1</f>
        <v>0.33241552220095594</v>
      </c>
      <c r="DX243" s="1609"/>
      <c r="DY243" s="1552">
        <f>DY241/DS241-1</f>
        <v>4.0038232795242212E-2</v>
      </c>
      <c r="DZ243" s="1552">
        <f>DZ241/DT241-1</f>
        <v>-6.2955599734923928E-2</v>
      </c>
      <c r="EA243" s="1552">
        <f>EA241/DU241-1</f>
        <v>0.10635769459298872</v>
      </c>
      <c r="EB243" s="1612">
        <f>EB241/DV241-1</f>
        <v>-0.24949797927172856</v>
      </c>
      <c r="EC243" s="1608">
        <v>0.04</v>
      </c>
      <c r="ED243" s="1609"/>
      <c r="EE243" s="1822">
        <f>EE241/DY241-1</f>
        <v>-0.19559889717144896</v>
      </c>
      <c r="EF243" s="1822">
        <f>EF241/DZ241-1</f>
        <v>-3.5832154644035774E-2</v>
      </c>
      <c r="EG243" s="1822">
        <f>EG241/EA241-1</f>
        <v>-6.8609022556391008E-2</v>
      </c>
      <c r="EH243" s="1552">
        <f>EH241/EB241-1</f>
        <v>-0.21665374894692502</v>
      </c>
      <c r="EI243" s="1608">
        <f>EI241/EC241-1</f>
        <v>-0.14859007404404034</v>
      </c>
      <c r="EJ243" s="1609"/>
      <c r="EK243" s="1552">
        <f>EK241/EE241-1</f>
        <v>-0.26943827356394801</v>
      </c>
      <c r="EL243" s="1822">
        <f>EL241/EF241-1</f>
        <v>-0.31662591687041564</v>
      </c>
      <c r="EM243" s="1822">
        <f>EM241/EG241-1</f>
        <v>-0.24318869828456113</v>
      </c>
      <c r="EN243" s="1552">
        <f>EN241/EH241-1</f>
        <v>-0.1677894501372289</v>
      </c>
      <c r="EO243" s="1603">
        <f>EO241/EI241-1</f>
        <v>-0.23022091199425498</v>
      </c>
      <c r="EP243" s="1609"/>
      <c r="EQ243" s="1552">
        <f>EQ241/EK241-1</f>
        <v>-1.5638575152041811E-2</v>
      </c>
      <c r="ER243" s="1822">
        <f>ER241/EL241-1</f>
        <v>-0.16465116279069758</v>
      </c>
      <c r="ES243" s="1822">
        <f>ES241/EM241-1</f>
        <v>1.0000000000000009E-2</v>
      </c>
      <c r="ET243" s="1606"/>
      <c r="EU243" s="1610"/>
      <c r="EV243" s="1609"/>
      <c r="EW243" s="1606"/>
      <c r="EX243" s="1606"/>
      <c r="EY243" s="1606"/>
      <c r="EZ243" s="1606"/>
      <c r="FA243" s="1610"/>
      <c r="FB243" s="1609"/>
      <c r="FC243" s="1606"/>
      <c r="FD243" s="1606"/>
      <c r="FE243" s="1606"/>
      <c r="FF243" s="1606"/>
      <c r="FG243" s="1610"/>
      <c r="FH243" s="1609"/>
      <c r="FI243" s="1606"/>
      <c r="FJ243" s="1606"/>
      <c r="FK243" s="1606"/>
      <c r="FL243" s="1606"/>
      <c r="FM243" s="1610"/>
      <c r="FQ243"/>
      <c r="FR243"/>
      <c r="FS243"/>
      <c r="FT243"/>
      <c r="FU243"/>
      <c r="FV243"/>
      <c r="GB243" s="1613"/>
      <c r="GC243" s="1613"/>
      <c r="GD243" s="1613"/>
      <c r="GE243" s="1613"/>
      <c r="GF243" s="1613"/>
      <c r="GG243" s="1613"/>
      <c r="GH243" s="1613"/>
      <c r="GI243" s="1613"/>
      <c r="GJ243" s="1522"/>
      <c r="GK243" s="1522"/>
      <c r="GL243" s="1522"/>
      <c r="GM243" s="1522"/>
      <c r="GN243" s="1522"/>
      <c r="GO243" s="1522"/>
      <c r="GP243" s="1522"/>
      <c r="GQ243" s="1522"/>
      <c r="GR243" s="1522"/>
      <c r="GS243" s="1522"/>
      <c r="GT243" s="1522"/>
      <c r="GU243" s="1522"/>
      <c r="GV243" s="1522"/>
      <c r="GW243" s="1522"/>
      <c r="GX243" s="1522"/>
      <c r="GY243" s="1522"/>
      <c r="GZ243" s="1522"/>
      <c r="HA243" s="1522"/>
      <c r="HB243" s="1522"/>
      <c r="HC243" s="1522"/>
      <c r="HD243" s="1522"/>
      <c r="HE243" s="1522"/>
      <c r="HF243" s="1522"/>
      <c r="HG243" s="1522"/>
      <c r="HH243" s="1522"/>
      <c r="HI243" s="1522"/>
      <c r="HJ243" s="1522"/>
      <c r="HK243" s="1522"/>
      <c r="HL243" s="1522"/>
      <c r="HM243" s="1522"/>
      <c r="HN243" s="1522"/>
      <c r="HO243" s="1522"/>
      <c r="HP243" s="1522"/>
      <c r="HQ243" s="1522"/>
      <c r="HR243" s="1522"/>
      <c r="HS243" s="1522"/>
      <c r="HT243" s="1522"/>
      <c r="HU243" s="1522"/>
      <c r="HV243" s="1522"/>
      <c r="HW243" s="1522"/>
      <c r="HX243" s="1522"/>
      <c r="HY243" s="1522"/>
      <c r="HZ243" s="1522"/>
      <c r="IA243" s="1522"/>
      <c r="IB243" s="1522"/>
      <c r="IC243" s="1522"/>
      <c r="ID243" s="1522"/>
      <c r="IE243" s="1522"/>
      <c r="IF243" s="1522"/>
      <c r="IG243" s="1522"/>
      <c r="IH243" s="1522"/>
      <c r="II243" s="1522"/>
      <c r="IJ243" s="1522"/>
      <c r="IK243" s="1522"/>
      <c r="IL243" s="1522"/>
      <c r="IM243" s="1522"/>
      <c r="IN243" s="1522"/>
      <c r="IO243" s="1522"/>
      <c r="IP243" s="1522"/>
      <c r="IQ243" s="1522"/>
      <c r="IR243" s="1522"/>
      <c r="IS243" s="1522"/>
      <c r="IT243" s="1522"/>
      <c r="IU243" s="1522"/>
      <c r="IV243" s="1522"/>
      <c r="IW243" s="1522"/>
      <c r="IX243" s="1522"/>
      <c r="IY243" s="1522"/>
      <c r="IZ243" s="1522"/>
      <c r="JA243" s="1522"/>
      <c r="JB243" s="1522"/>
      <c r="JC243" s="1522"/>
      <c r="JD243" s="1522"/>
      <c r="JE243" s="1522"/>
      <c r="JF243" s="1522"/>
      <c r="JG243" s="1522"/>
      <c r="JH243" s="1522"/>
      <c r="JI243" s="1522"/>
      <c r="JJ243" s="1522"/>
      <c r="JK243" s="1522"/>
      <c r="JL243" s="1522"/>
      <c r="JM243" s="1522"/>
      <c r="JN243" s="1522"/>
    </row>
    <row r="244" spans="1:274" s="1516" customFormat="1" x14ac:dyDescent="0.2">
      <c r="C244" s="1606"/>
      <c r="D244" s="1606"/>
      <c r="E244" s="1606"/>
      <c r="F244" s="1606"/>
      <c r="G244" s="1606"/>
      <c r="H244" s="1606"/>
      <c r="I244" s="1606"/>
      <c r="J244" s="1606"/>
      <c r="K244" s="1606"/>
      <c r="L244" s="1606"/>
      <c r="M244" s="1606"/>
      <c r="O244" s="1606"/>
      <c r="P244" s="1606"/>
      <c r="Q244" s="1606"/>
      <c r="R244" s="1606"/>
      <c r="S244" s="1606"/>
      <c r="U244" s="1606"/>
      <c r="V244" s="1606"/>
      <c r="W244" s="1606"/>
      <c r="X244" s="1606"/>
      <c r="Y244" s="1606"/>
      <c r="AA244" s="1606"/>
      <c r="AB244" s="1606"/>
      <c r="AC244" s="1606"/>
      <c r="AD244" s="1606"/>
      <c r="AE244" s="1606"/>
      <c r="AG244" s="1606"/>
      <c r="AH244" s="1606"/>
      <c r="AI244" s="1606"/>
      <c r="AJ244" s="1606"/>
      <c r="AK244" s="1606"/>
      <c r="AM244" s="1606"/>
      <c r="AN244" s="1606"/>
      <c r="AO244" s="1606"/>
      <c r="AP244" s="1606"/>
      <c r="AQ244" s="1606"/>
      <c r="AS244" s="1606"/>
      <c r="AT244" s="1606"/>
      <c r="AU244" s="1606"/>
      <c r="AV244" s="1552"/>
      <c r="AW244" s="1606"/>
      <c r="AY244" s="1552"/>
      <c r="AZ244" s="1552"/>
      <c r="BA244" s="1552"/>
      <c r="BB244" s="1552"/>
      <c r="BC244" s="1552"/>
      <c r="BD244" s="1607"/>
      <c r="BE244" s="1552"/>
      <c r="BF244" s="1552"/>
      <c r="BG244" s="1552"/>
      <c r="BH244" s="1552"/>
      <c r="BI244" s="1552"/>
      <c r="BJ244" s="1607"/>
      <c r="BK244" s="1552"/>
      <c r="BL244" s="1552"/>
      <c r="BM244" s="1552"/>
      <c r="BN244" s="1552"/>
      <c r="BO244" s="1552"/>
      <c r="BP244" s="1607"/>
      <c r="BQ244" s="1552"/>
      <c r="BR244" s="1552"/>
      <c r="BS244" s="1552"/>
      <c r="BT244" s="1552"/>
      <c r="BU244" s="1552"/>
      <c r="BV244" s="1607"/>
      <c r="BW244" s="1552"/>
      <c r="BX244" s="1552"/>
      <c r="BY244" s="1552"/>
      <c r="BZ244" s="1552"/>
      <c r="CA244" s="1552"/>
      <c r="CB244" s="1607"/>
      <c r="CC244" s="1552"/>
      <c r="CD244" s="1552"/>
      <c r="CE244" s="1552"/>
      <c r="CF244" s="1552"/>
      <c r="CG244" s="1608"/>
      <c r="CH244" s="1609"/>
      <c r="CI244" s="1552"/>
      <c r="CJ244" s="1552"/>
      <c r="CK244" s="1552"/>
      <c r="CL244" s="1606"/>
      <c r="CM244" s="1610"/>
      <c r="CN244" s="1609"/>
      <c r="CO244" s="1606"/>
      <c r="CP244" s="1606"/>
      <c r="CQ244" s="1606"/>
      <c r="CR244" s="1606"/>
      <c r="CS244" s="1608"/>
      <c r="CT244" s="1609"/>
      <c r="CU244" s="1606"/>
      <c r="CV244" s="1606"/>
      <c r="CW244" s="1606"/>
      <c r="CX244" s="1606"/>
      <c r="CY244" s="1608"/>
      <c r="CZ244" s="1609"/>
      <c r="DA244" s="1606"/>
      <c r="DB244" s="1606"/>
      <c r="DC244" s="1606"/>
      <c r="DD244" s="1606"/>
      <c r="DE244" s="1610"/>
      <c r="DF244" s="1609"/>
      <c r="DG244" s="1606"/>
      <c r="DH244" s="1552"/>
      <c r="DI244" s="1606"/>
      <c r="DJ244" s="1612"/>
      <c r="DK244" s="1610"/>
      <c r="DL244" s="1609"/>
      <c r="DM244" s="1552"/>
      <c r="DN244" s="1552"/>
      <c r="DO244" s="1552"/>
      <c r="DP244" s="1612"/>
      <c r="DQ244" s="1608"/>
      <c r="DR244" s="1609"/>
      <c r="DS244" s="1552"/>
      <c r="DT244" s="1552"/>
      <c r="DU244" s="1606"/>
      <c r="DV244" s="1612"/>
      <c r="DW244" s="1610"/>
      <c r="DX244" s="1609"/>
      <c r="DY244" s="1552"/>
      <c r="DZ244" s="1552"/>
      <c r="EA244" s="1606"/>
      <c r="EB244" s="1606"/>
      <c r="EC244" s="1610"/>
      <c r="ED244" s="1609"/>
      <c r="EE244" s="1822"/>
      <c r="EF244" s="1822"/>
      <c r="EG244" s="1824"/>
      <c r="EH244" s="1606"/>
      <c r="EI244" s="1610"/>
      <c r="EJ244" s="1609"/>
      <c r="EK244" s="473"/>
      <c r="EL244" s="1823"/>
      <c r="EM244" s="1824"/>
      <c r="EN244" s="1606"/>
      <c r="EO244" s="1610"/>
      <c r="EP244" s="1609"/>
      <c r="EQ244" s="473"/>
      <c r="ER244" s="1823"/>
      <c r="ES244" s="1824"/>
      <c r="ET244" s="1606"/>
      <c r="EU244" s="1610"/>
      <c r="EV244" s="1609"/>
      <c r="EW244" s="1606"/>
      <c r="EX244" s="1606"/>
      <c r="EY244" s="1606"/>
      <c r="EZ244" s="1606"/>
      <c r="FA244" s="1610"/>
      <c r="FB244" s="1609"/>
      <c r="FC244" s="1606"/>
      <c r="FD244" s="1606"/>
      <c r="FE244" s="1606"/>
      <c r="FF244" s="1606"/>
      <c r="FG244" s="1610"/>
      <c r="FH244" s="1609"/>
      <c r="FI244" s="1606"/>
      <c r="FJ244" s="1606"/>
      <c r="FK244" s="1606"/>
      <c r="FL244" s="1606"/>
      <c r="FM244" s="1610"/>
      <c r="FQ244"/>
      <c r="FR244"/>
      <c r="FS244"/>
      <c r="FT244"/>
      <c r="FU244"/>
      <c r="FV244"/>
      <c r="GB244" s="1613"/>
      <c r="GC244" s="1613"/>
      <c r="GD244" s="1613"/>
      <c r="GE244" s="1613"/>
      <c r="GF244" s="1613"/>
      <c r="GG244" s="1613"/>
      <c r="GH244" s="1613"/>
      <c r="GI244" s="1613"/>
      <c r="GJ244" s="1522"/>
      <c r="GK244" s="1522"/>
      <c r="GL244" s="1522"/>
      <c r="GM244" s="1522"/>
      <c r="GN244" s="1522"/>
      <c r="GO244" s="1522"/>
      <c r="GP244" s="1522"/>
      <c r="GQ244" s="1522"/>
      <c r="GR244" s="1522"/>
      <c r="GS244" s="1522"/>
      <c r="GT244" s="1522"/>
      <c r="GU244" s="1522"/>
      <c r="GV244" s="1522"/>
      <c r="GW244" s="1522"/>
      <c r="GX244" s="1522"/>
      <c r="GY244" s="1522"/>
      <c r="GZ244" s="1522"/>
      <c r="HA244" s="1522"/>
      <c r="HB244" s="1522"/>
      <c r="HC244" s="1522"/>
      <c r="HD244" s="1522"/>
      <c r="HE244" s="1522"/>
      <c r="HF244" s="1522"/>
      <c r="HG244" s="1522"/>
      <c r="HH244" s="1522"/>
      <c r="HI244" s="1522"/>
      <c r="HJ244" s="1522"/>
      <c r="HK244" s="1522"/>
      <c r="HL244" s="1522"/>
      <c r="HM244" s="1522"/>
      <c r="HN244" s="1522"/>
      <c r="HO244" s="1522"/>
      <c r="HP244" s="1522"/>
      <c r="HQ244" s="1522"/>
      <c r="HR244" s="1522"/>
      <c r="HS244" s="1522"/>
      <c r="HT244" s="1522"/>
      <c r="HU244" s="1522"/>
      <c r="HV244" s="1522"/>
      <c r="HW244" s="1522"/>
      <c r="HX244" s="1522"/>
      <c r="HY244" s="1522"/>
      <c r="HZ244" s="1522"/>
      <c r="IA244" s="1522"/>
      <c r="IB244" s="1522"/>
      <c r="IC244" s="1522"/>
      <c r="ID244" s="1522"/>
      <c r="IE244" s="1522"/>
      <c r="IF244" s="1522"/>
      <c r="IG244" s="1522"/>
      <c r="IH244" s="1522"/>
      <c r="II244" s="1522"/>
      <c r="IJ244" s="1522"/>
      <c r="IK244" s="1522"/>
      <c r="IL244" s="1522"/>
      <c r="IM244" s="1522"/>
      <c r="IN244" s="1522"/>
      <c r="IO244" s="1522"/>
      <c r="IP244" s="1522"/>
      <c r="IQ244" s="1522"/>
      <c r="IR244" s="1522"/>
      <c r="IS244" s="1522"/>
      <c r="IT244" s="1522"/>
      <c r="IU244" s="1522"/>
      <c r="IV244" s="1522"/>
      <c r="IW244" s="1522"/>
      <c r="IX244" s="1522"/>
      <c r="IY244" s="1522"/>
      <c r="IZ244" s="1522"/>
      <c r="JA244" s="1522"/>
      <c r="JB244" s="1522"/>
      <c r="JC244" s="1522"/>
      <c r="JD244" s="1522"/>
      <c r="JE244" s="1522"/>
      <c r="JF244" s="1522"/>
      <c r="JG244" s="1522"/>
      <c r="JH244" s="1522"/>
      <c r="JI244" s="1522"/>
      <c r="JJ244" s="1522"/>
      <c r="JK244" s="1522"/>
      <c r="JL244" s="1522"/>
      <c r="JM244" s="1522"/>
      <c r="JN244" s="1522"/>
    </row>
    <row r="245" spans="1:274" s="1517" customFormat="1" x14ac:dyDescent="0.2">
      <c r="A245" s="1517" t="s">
        <v>1047</v>
      </c>
      <c r="C245" s="1602"/>
      <c r="D245" s="1602"/>
      <c r="E245" s="1602"/>
      <c r="F245" s="1602"/>
      <c r="G245" s="1602"/>
      <c r="H245" s="1602"/>
      <c r="I245" s="1602"/>
      <c r="J245" s="1602"/>
      <c r="K245" s="1602"/>
      <c r="L245" s="1602"/>
      <c r="M245" s="1602"/>
      <c r="O245" s="1602"/>
      <c r="P245" s="1602"/>
      <c r="Q245" s="1602"/>
      <c r="R245" s="1602"/>
      <c r="S245" s="1602"/>
      <c r="U245" s="1602"/>
      <c r="V245" s="1602"/>
      <c r="W245" s="1602"/>
      <c r="X245" s="1602"/>
      <c r="Y245" s="1602"/>
      <c r="AA245" s="1602"/>
      <c r="AB245" s="1602"/>
      <c r="AC245" s="1602"/>
      <c r="AD245" s="1602"/>
      <c r="AE245" s="1602"/>
      <c r="AG245" s="1602"/>
      <c r="AH245" s="1602"/>
      <c r="AI245" s="1602"/>
      <c r="AJ245" s="1602"/>
      <c r="AK245" s="1602"/>
      <c r="AM245" s="1602"/>
      <c r="AN245" s="1602"/>
      <c r="AO245" s="1602"/>
      <c r="AP245" s="1602"/>
      <c r="AQ245" s="1602"/>
      <c r="AS245" s="1602"/>
      <c r="AT245" s="1602"/>
      <c r="AU245" s="1602"/>
      <c r="AV245" s="1578"/>
      <c r="AW245" s="1602"/>
      <c r="AY245" s="1578"/>
      <c r="AZ245" s="1578"/>
      <c r="BA245" s="1578"/>
      <c r="BB245" s="1578"/>
      <c r="BC245" s="1578"/>
      <c r="BD245" s="1577"/>
      <c r="BE245" s="1578"/>
      <c r="BF245" s="1578"/>
      <c r="BG245" s="1578"/>
      <c r="BH245" s="1578"/>
      <c r="BI245" s="1578"/>
      <c r="BJ245" s="1577"/>
      <c r="BK245" s="1578"/>
      <c r="BL245" s="1578"/>
      <c r="BM245" s="1578"/>
      <c r="BN245" s="1578"/>
      <c r="BO245" s="1578"/>
      <c r="BP245" s="1577"/>
      <c r="BQ245" s="1578"/>
      <c r="BR245" s="1578"/>
      <c r="BS245" s="1578"/>
      <c r="BT245" s="1578"/>
      <c r="BU245" s="1578"/>
      <c r="BV245" s="1577"/>
      <c r="BW245" s="1578"/>
      <c r="BX245" s="1578"/>
      <c r="BY245" s="1578"/>
      <c r="BZ245" s="1578"/>
      <c r="CA245" s="1578"/>
      <c r="CB245" s="1577"/>
      <c r="CC245" s="1578"/>
      <c r="CD245" s="1578"/>
      <c r="CE245" s="1578"/>
      <c r="CF245" s="1578"/>
      <c r="CG245" s="1603"/>
      <c r="CH245" s="1582"/>
      <c r="CI245" s="1578"/>
      <c r="CJ245" s="1578"/>
      <c r="CK245" s="1578"/>
      <c r="CL245" s="1602"/>
      <c r="CM245" s="1604"/>
      <c r="CN245" s="1582"/>
      <c r="CO245" s="1602"/>
      <c r="CP245" s="1602"/>
      <c r="CQ245" s="1602"/>
      <c r="CR245" s="1602"/>
      <c r="CS245" s="1603"/>
      <c r="CT245" s="1582"/>
      <c r="CU245" s="1602"/>
      <c r="CV245" s="1602"/>
      <c r="CW245" s="1602"/>
      <c r="CX245" s="1602"/>
      <c r="CY245" s="1603"/>
      <c r="CZ245" s="1582"/>
      <c r="DA245" s="1602"/>
      <c r="DB245" s="1602"/>
      <c r="DC245" s="1602"/>
      <c r="DD245" s="1602"/>
      <c r="DE245" s="1604"/>
      <c r="DF245" s="1582"/>
      <c r="DG245" s="1601">
        <f>Model!DG14-Metrics!DG241</f>
        <v>1067.3800000000001</v>
      </c>
      <c r="DH245" s="1601">
        <f>Model!DH14-Metrics!DH241</f>
        <v>1559.22</v>
      </c>
      <c r="DI245" s="1601">
        <f>Model!DI14-Metrics!DI241</f>
        <v>1616.2199999999998</v>
      </c>
      <c r="DJ245" s="1601">
        <f>Model!DJ14-Metrics!DJ241</f>
        <v>2406.38</v>
      </c>
      <c r="DK245" s="1605">
        <f>SUM(DG245:DJ245)</f>
        <v>6649.2</v>
      </c>
      <c r="DL245" s="1582"/>
      <c r="DM245" s="1601">
        <f>Model!DM14-Metrics!DM241</f>
        <v>1183.42</v>
      </c>
      <c r="DN245" s="1601">
        <f>Model!DN14-Metrics!DN241</f>
        <v>1638.4</v>
      </c>
      <c r="DO245" s="1601">
        <f>Model!DO14-Metrics!DO241</f>
        <v>1756.76</v>
      </c>
      <c r="DP245" s="1601">
        <f>Model!DP14-Metrics!DP241</f>
        <v>2668.13</v>
      </c>
      <c r="DQ245" s="1605">
        <f>SUM(DM245:DP245)</f>
        <v>7246.71</v>
      </c>
      <c r="DR245" s="1542"/>
      <c r="DS245" s="1601">
        <f>Model!DS14-Metrics!DS241</f>
        <v>1335.3600000000001</v>
      </c>
      <c r="DT245" s="1601">
        <f>Model!DT14-Metrics!DT241</f>
        <v>1835.9499999999998</v>
      </c>
      <c r="DU245" s="1601">
        <f>Model!DU14-Metrics!DU241</f>
        <v>1909.44</v>
      </c>
      <c r="DV245" s="1601">
        <f>Model!DV14-Metrics!DV241</f>
        <v>2169.9899999999998</v>
      </c>
      <c r="DW245" s="1536">
        <f>Model!DW14-Metrics!DW241</f>
        <v>7250.74</v>
      </c>
      <c r="DX245" s="1536"/>
      <c r="DY245" s="1536">
        <f>Model!DY17-Metrics!DY241</f>
        <v>1007.28</v>
      </c>
      <c r="DZ245" s="1536">
        <f>Model!DZ17-Metrics!DZ241</f>
        <v>1484.7</v>
      </c>
      <c r="EA245" s="1536">
        <f>Model!EA17-Metrics!EA241</f>
        <v>1532.1599999999999</v>
      </c>
      <c r="EB245" s="1536">
        <f>Model!EB17-Metrics!EB241</f>
        <v>2285.25</v>
      </c>
      <c r="EC245" s="1536">
        <f>Model!EC17-Metrics!EC241</f>
        <v>6309.3899999999994</v>
      </c>
      <c r="ED245" s="1825"/>
      <c r="EE245" s="1538">
        <f>Model!EE17-Metrics!EE241</f>
        <v>1054.9000000000001</v>
      </c>
      <c r="EF245" s="1538">
        <f>Model!EF17-Metrics!EF241</f>
        <v>1431.5</v>
      </c>
      <c r="EG245" s="1538">
        <f>Model!EG14-Metrics!EG241</f>
        <v>1957.04</v>
      </c>
      <c r="EH245" s="1819">
        <f>Model!EH17-Metrics!EH241</f>
        <v>1975.71</v>
      </c>
      <c r="EI245" s="1536">
        <f>Model!EI14-Metrics!EI241</f>
        <v>7994.15</v>
      </c>
      <c r="EJ245" s="1582"/>
      <c r="EK245" s="1601">
        <f>Model!EK17-Metrics!EK241</f>
        <v>920.8</v>
      </c>
      <c r="EL245" s="1820">
        <f>Model!EL17-Metrics!EL241</f>
        <v>1257.75</v>
      </c>
      <c r="EM245" s="1538">
        <f>Model!EM17-Metrics!EM241</f>
        <v>1260</v>
      </c>
      <c r="EN245" s="1819">
        <f>Model!EN17-Metrics!EN241</f>
        <v>1798.7299999999998</v>
      </c>
      <c r="EO245" s="1536">
        <f>Model!EO17-Metrics!EO241</f>
        <v>5237.28</v>
      </c>
      <c r="EP245" s="1582"/>
      <c r="EQ245" s="1601">
        <f>Model!EQ17-Metrics!EQ241</f>
        <v>803.4</v>
      </c>
      <c r="ER245" s="1820">
        <f>Model!ER17-Metrics!ER241</f>
        <v>996.78</v>
      </c>
      <c r="ES245" s="1538">
        <f>Model!ES17-Metrics!ES241</f>
        <v>989.8</v>
      </c>
      <c r="ET245" s="1602"/>
      <c r="EU245" s="1604"/>
      <c r="EV245" s="1582"/>
      <c r="EW245" s="1602"/>
      <c r="EX245" s="1602"/>
      <c r="EY245" s="1602"/>
      <c r="EZ245" s="1602"/>
      <c r="FA245" s="1604"/>
      <c r="FB245" s="1582"/>
      <c r="FC245" s="1602"/>
      <c r="FD245" s="1602"/>
      <c r="FE245" s="1602"/>
      <c r="FF245" s="1602"/>
      <c r="FG245" s="1604"/>
      <c r="FH245" s="1582"/>
      <c r="FI245" s="1602"/>
      <c r="FJ245" s="1602"/>
      <c r="FK245" s="1602"/>
      <c r="FL245" s="1602"/>
      <c r="FM245" s="1604"/>
      <c r="FQ245"/>
      <c r="FR245"/>
      <c r="FS245"/>
      <c r="FT245"/>
      <c r="FU245"/>
      <c r="FV245"/>
      <c r="GB245" s="1523"/>
      <c r="GC245" s="1523"/>
      <c r="GD245" s="1523"/>
      <c r="GE245" s="1523"/>
      <c r="GF245" s="1523"/>
      <c r="GG245" s="1523"/>
      <c r="GH245" s="1523"/>
      <c r="GI245" s="1523"/>
      <c r="GJ245" s="1522"/>
      <c r="GK245" s="1522"/>
      <c r="GL245" s="1522"/>
      <c r="GM245" s="1522"/>
      <c r="GN245" s="1522"/>
      <c r="GO245" s="1522"/>
      <c r="GP245" s="1522"/>
      <c r="GQ245" s="1522"/>
      <c r="GR245" s="1522"/>
      <c r="GS245" s="1522"/>
      <c r="GT245" s="1522"/>
      <c r="GU245" s="1522"/>
      <c r="GV245" s="1522"/>
      <c r="GW245" s="1522"/>
      <c r="GX245" s="1522"/>
      <c r="GY245" s="1522"/>
      <c r="GZ245" s="1522"/>
      <c r="HA245" s="1522"/>
      <c r="HB245" s="1522"/>
      <c r="HC245" s="1522"/>
      <c r="HD245" s="1522"/>
      <c r="HE245" s="1522"/>
      <c r="HF245" s="1522"/>
      <c r="HG245" s="1522"/>
      <c r="HH245" s="1522"/>
      <c r="HI245" s="1522"/>
      <c r="HJ245" s="1522"/>
      <c r="HK245" s="1522"/>
      <c r="HL245" s="1522"/>
      <c r="HM245" s="1522"/>
      <c r="HN245" s="1522"/>
      <c r="HO245" s="1522"/>
      <c r="HP245" s="1522"/>
      <c r="HQ245" s="1522"/>
      <c r="HR245" s="1522"/>
      <c r="HS245" s="1522"/>
      <c r="HT245" s="1522"/>
      <c r="HU245" s="1522"/>
      <c r="HV245" s="1522"/>
      <c r="HW245" s="1522"/>
      <c r="HX245" s="1522"/>
      <c r="HY245" s="1522"/>
      <c r="HZ245" s="1522"/>
      <c r="IA245" s="1522"/>
      <c r="IB245" s="1522"/>
      <c r="IC245" s="1522"/>
      <c r="ID245" s="1522"/>
      <c r="IE245" s="1522"/>
      <c r="IF245" s="1522"/>
      <c r="IG245" s="1522"/>
      <c r="IH245" s="1522"/>
      <c r="II245" s="1522"/>
      <c r="IJ245" s="1522"/>
      <c r="IK245" s="1522"/>
      <c r="IL245" s="1522"/>
      <c r="IM245" s="1522"/>
      <c r="IN245" s="1522"/>
      <c r="IO245" s="1522"/>
      <c r="IP245" s="1522"/>
      <c r="IQ245" s="1522"/>
      <c r="IR245" s="1522"/>
      <c r="IS245" s="1522"/>
      <c r="IT245" s="1522"/>
      <c r="IU245" s="1522"/>
      <c r="IV245" s="1522"/>
      <c r="IW245" s="1522"/>
      <c r="IX245" s="1522"/>
      <c r="IY245" s="1522"/>
      <c r="IZ245" s="1522"/>
      <c r="JA245" s="1522"/>
      <c r="JB245" s="1522"/>
      <c r="JC245" s="1522"/>
      <c r="JD245" s="1522"/>
      <c r="JE245" s="1522"/>
      <c r="JF245" s="1522"/>
      <c r="JG245" s="1522"/>
      <c r="JH245" s="1522"/>
      <c r="JI245" s="1522"/>
      <c r="JJ245" s="1522"/>
      <c r="JK245" s="1522"/>
      <c r="JL245" s="1522"/>
      <c r="JM245" s="1522"/>
      <c r="JN245" s="1522"/>
    </row>
    <row r="246" spans="1:274" s="1516" customFormat="1" x14ac:dyDescent="0.2">
      <c r="A246" s="1516" t="s">
        <v>908</v>
      </c>
      <c r="C246" s="1606"/>
      <c r="D246" s="1606"/>
      <c r="E246" s="1606"/>
      <c r="F246" s="1606"/>
      <c r="G246" s="1606"/>
      <c r="H246" s="1606"/>
      <c r="I246" s="1606"/>
      <c r="J246" s="1606"/>
      <c r="K246" s="1606"/>
      <c r="L246" s="1606"/>
      <c r="M246" s="1606"/>
      <c r="O246" s="1606"/>
      <c r="P246" s="1606"/>
      <c r="Q246" s="1606"/>
      <c r="R246" s="1606"/>
      <c r="S246" s="1606"/>
      <c r="U246" s="1606"/>
      <c r="V246" s="1606"/>
      <c r="W246" s="1606"/>
      <c r="X246" s="1606"/>
      <c r="Y246" s="1606"/>
      <c r="AA246" s="1606"/>
      <c r="AB246" s="1606"/>
      <c r="AC246" s="1606"/>
      <c r="AD246" s="1606"/>
      <c r="AE246" s="1606"/>
      <c r="AG246" s="1606"/>
      <c r="AH246" s="1606"/>
      <c r="AI246" s="1606"/>
      <c r="AJ246" s="1606"/>
      <c r="AK246" s="1606"/>
      <c r="AM246" s="1606"/>
      <c r="AN246" s="1606"/>
      <c r="AO246" s="1606"/>
      <c r="AP246" s="1606"/>
      <c r="AQ246" s="1606"/>
      <c r="AS246" s="1606"/>
      <c r="AT246" s="1606"/>
      <c r="AU246" s="1606"/>
      <c r="AV246" s="1552"/>
      <c r="AW246" s="1606"/>
      <c r="AY246" s="1552"/>
      <c r="AZ246" s="1552"/>
      <c r="BA246" s="1552"/>
      <c r="BB246" s="1552"/>
      <c r="BC246" s="1552"/>
      <c r="BD246" s="1607"/>
      <c r="BE246" s="1552"/>
      <c r="BF246" s="1552"/>
      <c r="BG246" s="1552"/>
      <c r="BH246" s="1552"/>
      <c r="BI246" s="1552"/>
      <c r="BJ246" s="1607"/>
      <c r="BK246" s="1552"/>
      <c r="BL246" s="1552"/>
      <c r="BM246" s="1552"/>
      <c r="BN246" s="1552"/>
      <c r="BO246" s="1552"/>
      <c r="BP246" s="1607"/>
      <c r="BQ246" s="1552"/>
      <c r="BR246" s="1552"/>
      <c r="BS246" s="1552"/>
      <c r="BT246" s="1552"/>
      <c r="BU246" s="1552"/>
      <c r="BV246" s="1607"/>
      <c r="BW246" s="1552"/>
      <c r="BX246" s="1552"/>
      <c r="BY246" s="1552"/>
      <c r="BZ246" s="1552"/>
      <c r="CA246" s="1552"/>
      <c r="CB246" s="1607"/>
      <c r="CC246" s="1552"/>
      <c r="CD246" s="1552"/>
      <c r="CE246" s="1552"/>
      <c r="CF246" s="1552"/>
      <c r="CG246" s="1608"/>
      <c r="CH246" s="1609"/>
      <c r="CI246" s="1552"/>
      <c r="CJ246" s="1552"/>
      <c r="CK246" s="1552"/>
      <c r="CL246" s="1606"/>
      <c r="CM246" s="1610"/>
      <c r="CN246" s="1609"/>
      <c r="CO246" s="1606"/>
      <c r="CP246" s="1606"/>
      <c r="CQ246" s="1606"/>
      <c r="CR246" s="1606"/>
      <c r="CS246" s="1608"/>
      <c r="CT246" s="1609"/>
      <c r="CU246" s="1606"/>
      <c r="CV246" s="1606"/>
      <c r="CW246" s="1606"/>
      <c r="CX246" s="1606"/>
      <c r="CY246" s="1608"/>
      <c r="CZ246" s="1609"/>
      <c r="DA246" s="1606"/>
      <c r="DB246" s="1606"/>
      <c r="DC246" s="1606"/>
      <c r="DD246" s="1606"/>
      <c r="DE246" s="1610"/>
      <c r="DF246" s="1609"/>
      <c r="DG246" s="1606"/>
      <c r="DH246" s="1552">
        <f>DH245/DG245-1</f>
        <v>0.46079184545335306</v>
      </c>
      <c r="DI246" s="1606">
        <f>DI245/DH245-1</f>
        <v>3.6556739908415681E-2</v>
      </c>
      <c r="DJ246" s="1612">
        <f>DJ245/DI245-1</f>
        <v>0.48889383871007674</v>
      </c>
      <c r="DK246" s="1610"/>
      <c r="DL246" s="1609"/>
      <c r="DM246" s="1552">
        <f>DM245/DJ245-1</f>
        <v>-0.5082156600370682</v>
      </c>
      <c r="DN246" s="1552">
        <f>DN245/DM245-1</f>
        <v>0.38446198306602897</v>
      </c>
      <c r="DO246" s="1552">
        <f>DO245/DN245-1</f>
        <v>7.2241210937499911E-2</v>
      </c>
      <c r="DP246" s="1612">
        <f>DP245/DO245-1</f>
        <v>0.51877888840820607</v>
      </c>
      <c r="DQ246" s="1608"/>
      <c r="DR246" s="1609"/>
      <c r="DS246" s="1552">
        <f>DS245/DP245-1</f>
        <v>-0.49951464134056434</v>
      </c>
      <c r="DT246" s="1552">
        <f>DT245/DS245-1</f>
        <v>0.37487269350587082</v>
      </c>
      <c r="DU246" s="1552">
        <f>DU245/DT245-1</f>
        <v>4.0028323211416472E-2</v>
      </c>
      <c r="DV246" s="1612">
        <f>DV245/DU245-1</f>
        <v>0.13645361990950211</v>
      </c>
      <c r="DW246" s="1610"/>
      <c r="DX246" s="1609"/>
      <c r="DY246" s="1552">
        <f>DY245/DV245-1</f>
        <v>-0.53581352909460411</v>
      </c>
      <c r="DZ246" s="1552">
        <f>DZ245/DY245-1</f>
        <v>0.47396950202525612</v>
      </c>
      <c r="EA246" s="1552">
        <f>EA245/DZ245-1</f>
        <v>3.1966053748231804E-2</v>
      </c>
      <c r="EB246" s="1612">
        <f>EB245/EA245-1</f>
        <v>0.49152177318295753</v>
      </c>
      <c r="EC246" s="1610"/>
      <c r="ED246" s="1609"/>
      <c r="EE246" s="1552">
        <f>EE245/EB245-1</f>
        <v>-0.53838748495788202</v>
      </c>
      <c r="EF246" s="1552">
        <f>EF245/EE245-1</f>
        <v>0.35700066357000648</v>
      </c>
      <c r="EG246" s="1552">
        <f>EG245/EF245-1</f>
        <v>0.36712539294446378</v>
      </c>
      <c r="EH246" s="1552">
        <f>EH245/EG245-1</f>
        <v>9.5399174263173236E-3</v>
      </c>
      <c r="EI246" s="1610"/>
      <c r="EJ246" s="1609"/>
      <c r="EK246" s="1552">
        <f>EK245/EH245-1</f>
        <v>-0.53393969762768823</v>
      </c>
      <c r="EL246" s="1822">
        <f>EL245/EK245-1</f>
        <v>0.36593179843614254</v>
      </c>
      <c r="EM246" s="1822">
        <f>EM245/EL245-1</f>
        <v>1.7889087656528524E-3</v>
      </c>
      <c r="EN246" s="1552">
        <f>EN245/EM245-1</f>
        <v>0.42756349206349187</v>
      </c>
      <c r="EO246" s="1610"/>
      <c r="EP246" s="1609"/>
      <c r="EQ246" s="1552">
        <f>EQ245/EN245-1</f>
        <v>-0.553351531358236</v>
      </c>
      <c r="ER246" s="1822">
        <f>ER245/EQ245-1</f>
        <v>0.24070201643017186</v>
      </c>
      <c r="ES246" s="1822">
        <f>ES245/ER245-1</f>
        <v>-7.0025482052208377E-3</v>
      </c>
      <c r="ET246" s="1606"/>
      <c r="EU246" s="1610"/>
      <c r="EV246" s="1609"/>
      <c r="EW246" s="1606"/>
      <c r="EX246" s="1606"/>
      <c r="EY246" s="1606"/>
      <c r="EZ246" s="1606"/>
      <c r="FA246" s="1610"/>
      <c r="FB246" s="1609"/>
      <c r="FC246" s="1606"/>
      <c r="FD246" s="1606"/>
      <c r="FE246" s="1606"/>
      <c r="FF246" s="1606"/>
      <c r="FG246" s="1610"/>
      <c r="FH246" s="1609"/>
      <c r="FI246" s="1606"/>
      <c r="FJ246" s="1606"/>
      <c r="FK246" s="1606"/>
      <c r="FL246" s="1606"/>
      <c r="FM246" s="1610"/>
      <c r="FQ246"/>
      <c r="FR246"/>
      <c r="FS246"/>
      <c r="FT246"/>
      <c r="FU246"/>
      <c r="FV246"/>
      <c r="GB246" s="1613"/>
      <c r="GC246" s="1613"/>
      <c r="GD246" s="1613"/>
      <c r="GE246" s="1613"/>
      <c r="GF246" s="1613"/>
      <c r="GG246" s="1613"/>
      <c r="GH246" s="1613"/>
      <c r="GI246" s="1613"/>
      <c r="GJ246" s="1522"/>
      <c r="GK246" s="1522"/>
      <c r="GL246" s="1522"/>
      <c r="GM246" s="1522"/>
      <c r="GN246" s="1522"/>
      <c r="GO246" s="1522"/>
      <c r="GP246" s="1522"/>
      <c r="GQ246" s="1522"/>
      <c r="GR246" s="1522"/>
      <c r="GS246" s="1522"/>
      <c r="GT246" s="1522"/>
      <c r="GU246" s="1522"/>
      <c r="GV246" s="1522"/>
      <c r="GW246" s="1522"/>
      <c r="GX246" s="1522"/>
      <c r="GY246" s="1522"/>
      <c r="GZ246" s="1522"/>
      <c r="HA246" s="1522"/>
      <c r="HB246" s="1522"/>
      <c r="HC246" s="1522"/>
      <c r="HD246" s="1522"/>
      <c r="HE246" s="1522"/>
      <c r="HF246" s="1522"/>
      <c r="HG246" s="1522"/>
      <c r="HH246" s="1522"/>
      <c r="HI246" s="1522"/>
      <c r="HJ246" s="1522"/>
      <c r="HK246" s="1522"/>
      <c r="HL246" s="1522"/>
      <c r="HM246" s="1522"/>
      <c r="HN246" s="1522"/>
      <c r="HO246" s="1522"/>
      <c r="HP246" s="1522"/>
      <c r="HQ246" s="1522"/>
      <c r="HR246" s="1522"/>
      <c r="HS246" s="1522"/>
      <c r="HT246" s="1522"/>
      <c r="HU246" s="1522"/>
      <c r="HV246" s="1522"/>
      <c r="HW246" s="1522"/>
      <c r="HX246" s="1522"/>
      <c r="HY246" s="1522"/>
      <c r="HZ246" s="1522"/>
      <c r="IA246" s="1522"/>
      <c r="IB246" s="1522"/>
      <c r="IC246" s="1522"/>
      <c r="ID246" s="1522"/>
      <c r="IE246" s="1522"/>
      <c r="IF246" s="1522"/>
      <c r="IG246" s="1522"/>
      <c r="IH246" s="1522"/>
      <c r="II246" s="1522"/>
      <c r="IJ246" s="1522"/>
      <c r="IK246" s="1522"/>
      <c r="IL246" s="1522"/>
      <c r="IM246" s="1522"/>
      <c r="IN246" s="1522"/>
      <c r="IO246" s="1522"/>
      <c r="IP246" s="1522"/>
      <c r="IQ246" s="1522"/>
      <c r="IR246" s="1522"/>
      <c r="IS246" s="1522"/>
      <c r="IT246" s="1522"/>
      <c r="IU246" s="1522"/>
      <c r="IV246" s="1522"/>
      <c r="IW246" s="1522"/>
      <c r="IX246" s="1522"/>
      <c r="IY246" s="1522"/>
      <c r="IZ246" s="1522"/>
      <c r="JA246" s="1522"/>
      <c r="JB246" s="1522"/>
      <c r="JC246" s="1522"/>
      <c r="JD246" s="1522"/>
      <c r="JE246" s="1522"/>
      <c r="JF246" s="1522"/>
      <c r="JG246" s="1522"/>
      <c r="JH246" s="1522"/>
      <c r="JI246" s="1522"/>
      <c r="JJ246" s="1522"/>
      <c r="JK246" s="1522"/>
      <c r="JL246" s="1522"/>
      <c r="JM246" s="1522"/>
      <c r="JN246" s="1522"/>
    </row>
    <row r="247" spans="1:274" s="1516" customFormat="1" x14ac:dyDescent="0.2">
      <c r="A247" s="1516" t="s">
        <v>44</v>
      </c>
      <c r="C247" s="1606"/>
      <c r="D247" s="1606"/>
      <c r="E247" s="1606"/>
      <c r="F247" s="1606"/>
      <c r="G247" s="1606"/>
      <c r="H247" s="1606"/>
      <c r="I247" s="1606"/>
      <c r="J247" s="1606"/>
      <c r="K247" s="1606"/>
      <c r="L247" s="1606"/>
      <c r="M247" s="1606"/>
      <c r="O247" s="1606"/>
      <c r="P247" s="1606"/>
      <c r="Q247" s="1606"/>
      <c r="R247" s="1606"/>
      <c r="S247" s="1606"/>
      <c r="U247" s="1606"/>
      <c r="V247" s="1606"/>
      <c r="W247" s="1606"/>
      <c r="X247" s="1606"/>
      <c r="Y247" s="1606"/>
      <c r="AA247" s="1606"/>
      <c r="AB247" s="1606"/>
      <c r="AC247" s="1606"/>
      <c r="AD247" s="1606"/>
      <c r="AE247" s="1606"/>
      <c r="AG247" s="1606"/>
      <c r="AH247" s="1606"/>
      <c r="AI247" s="1606"/>
      <c r="AJ247" s="1606"/>
      <c r="AK247" s="1606"/>
      <c r="AM247" s="1606"/>
      <c r="AN247" s="1606"/>
      <c r="AO247" s="1606"/>
      <c r="AP247" s="1606"/>
      <c r="AQ247" s="1606"/>
      <c r="AS247" s="1606"/>
      <c r="AT247" s="1606"/>
      <c r="AU247" s="1606"/>
      <c r="AV247" s="1552"/>
      <c r="AW247" s="1606"/>
      <c r="AY247" s="1552"/>
      <c r="AZ247" s="1552"/>
      <c r="BA247" s="1552"/>
      <c r="BB247" s="1552"/>
      <c r="BC247" s="1552"/>
      <c r="BD247" s="1607"/>
      <c r="BE247" s="1552"/>
      <c r="BF247" s="1552"/>
      <c r="BG247" s="1552"/>
      <c r="BH247" s="1552"/>
      <c r="BI247" s="1552"/>
      <c r="BJ247" s="1607"/>
      <c r="BK247" s="1552"/>
      <c r="BL247" s="1552"/>
      <c r="BM247" s="1552"/>
      <c r="BN247" s="1552"/>
      <c r="BO247" s="1552"/>
      <c r="BP247" s="1607"/>
      <c r="BQ247" s="1552"/>
      <c r="BR247" s="1552"/>
      <c r="BS247" s="1552"/>
      <c r="BT247" s="1552"/>
      <c r="BU247" s="1552"/>
      <c r="BV247" s="1607"/>
      <c r="BW247" s="1552"/>
      <c r="BX247" s="1552"/>
      <c r="BY247" s="1552"/>
      <c r="BZ247" s="1552"/>
      <c r="CA247" s="1552"/>
      <c r="CB247" s="1607"/>
      <c r="CC247" s="1552"/>
      <c r="CD247" s="1552"/>
      <c r="CE247" s="1552"/>
      <c r="CF247" s="1552"/>
      <c r="CG247" s="1608"/>
      <c r="CH247" s="1609"/>
      <c r="CI247" s="1552"/>
      <c r="CJ247" s="1552"/>
      <c r="CK247" s="1552"/>
      <c r="CL247" s="1606"/>
      <c r="CM247" s="1610"/>
      <c r="CN247" s="1609"/>
      <c r="CO247" s="1606"/>
      <c r="CP247" s="1606"/>
      <c r="CQ247" s="1606"/>
      <c r="CR247" s="1606"/>
      <c r="CS247" s="1608"/>
      <c r="CT247" s="1609"/>
      <c r="CU247" s="1606"/>
      <c r="CV247" s="1606"/>
      <c r="CW247" s="1606"/>
      <c r="CX247" s="1606"/>
      <c r="CY247" s="1608"/>
      <c r="CZ247" s="1609"/>
      <c r="DA247" s="1606"/>
      <c r="DB247" s="1606"/>
      <c r="DC247" s="1606"/>
      <c r="DD247" s="1606"/>
      <c r="DE247" s="1610"/>
      <c r="DF247" s="1609"/>
      <c r="DG247" s="1606"/>
      <c r="DH247" s="1552"/>
      <c r="DI247" s="1606"/>
      <c r="DJ247" s="1612"/>
      <c r="DK247" s="1610"/>
      <c r="DL247" s="1609"/>
      <c r="DM247" s="1552">
        <v>0.45</v>
      </c>
      <c r="DN247" s="1552">
        <v>-0.06</v>
      </c>
      <c r="DO247" s="1552">
        <v>0.03</v>
      </c>
      <c r="DP247" s="1612">
        <f>DP245/DJ245-1</f>
        <v>0.10877334419335272</v>
      </c>
      <c r="DQ247" s="1608">
        <f>DQ245/DK245-1</f>
        <v>8.9861938278289255E-2</v>
      </c>
      <c r="DR247" s="1609"/>
      <c r="DS247" s="1552">
        <f>DS245/DM245-1</f>
        <v>0.12839059674502717</v>
      </c>
      <c r="DT247" s="1552">
        <f>DT245/DN245-1</f>
        <v>0.12057495117187478</v>
      </c>
      <c r="DU247" s="1552">
        <f>DU245/DO245-1</f>
        <v>8.6909993396935281E-2</v>
      </c>
      <c r="DV247" s="1552">
        <f>DV245/DP245-1</f>
        <v>-0.18670004834846887</v>
      </c>
      <c r="DW247" s="1614">
        <f>DW245/DQ245-1</f>
        <v>5.5611442985847859E-4</v>
      </c>
      <c r="DX247" s="1609"/>
      <c r="DY247" s="1552">
        <f>DY245/DS245-1</f>
        <v>-0.2456865564342201</v>
      </c>
      <c r="DZ247" s="1552">
        <f>DZ245/DT245-1</f>
        <v>-0.191317846346578</v>
      </c>
      <c r="EA247" s="1552">
        <f>EA245/DU245-1</f>
        <v>-0.19758672699849178</v>
      </c>
      <c r="EB247" s="1552">
        <f>EB245/DV245-1</f>
        <v>5.3115452144940845E-2</v>
      </c>
      <c r="EC247" s="1614">
        <f>EC245/DW245-1</f>
        <v>-0.12982812788763631</v>
      </c>
      <c r="ED247" s="1609"/>
      <c r="EE247" s="1552">
        <f>EE245/DY245-1</f>
        <v>4.7275831943451863E-2</v>
      </c>
      <c r="EF247" s="1552">
        <f>EF245/DZ245-1</f>
        <v>-3.5832154644035885E-2</v>
      </c>
      <c r="EG247" s="1552">
        <f>EG245/EA245-1</f>
        <v>0.27730785296574778</v>
      </c>
      <c r="EH247" s="1552">
        <f>EH245/EB245-1</f>
        <v>-0.13545126353790615</v>
      </c>
      <c r="EI247" s="1614">
        <f>EI245/EC245-1</f>
        <v>0.26702422896666711</v>
      </c>
      <c r="EJ247" s="1609"/>
      <c r="EK247" s="1552">
        <f>EK245/EE245-1</f>
        <v>-0.12712105412835351</v>
      </c>
      <c r="EL247" s="1822">
        <f>EL245/EF245-1</f>
        <v>-0.12137617883339158</v>
      </c>
      <c r="EM247" s="1822">
        <f>EM245/EG245-1</f>
        <v>-0.35617054326942732</v>
      </c>
      <c r="EN247" s="1552">
        <f>EN245/EH245-1</f>
        <v>-8.9577923885590605E-2</v>
      </c>
      <c r="EO247" s="1614">
        <f>EO245/EI245-1</f>
        <v>-0.34486092955473691</v>
      </c>
      <c r="EP247" s="1609"/>
      <c r="EQ247" s="1552">
        <f>EQ245/EK245-1</f>
        <v>-0.12749782797567333</v>
      </c>
      <c r="ER247" s="1822">
        <f>ER245/EL245-1</f>
        <v>-0.20748956469886704</v>
      </c>
      <c r="ES247" s="1822">
        <f>ES245/EM245-1</f>
        <v>-0.21444444444444444</v>
      </c>
      <c r="ET247" s="1606"/>
      <c r="EU247" s="1610"/>
      <c r="EV247" s="1609"/>
      <c r="EW247" s="1606"/>
      <c r="EX247" s="1606"/>
      <c r="EY247" s="1606"/>
      <c r="EZ247" s="1606"/>
      <c r="FA247" s="1610"/>
      <c r="FB247" s="1609"/>
      <c r="FC247" s="1606"/>
      <c r="FD247" s="1606"/>
      <c r="FE247" s="1606"/>
      <c r="FF247" s="1606"/>
      <c r="FG247" s="1610"/>
      <c r="FH247" s="1609"/>
      <c r="FI247" s="1606"/>
      <c r="FJ247" s="1606"/>
      <c r="FK247" s="1606"/>
      <c r="FL247" s="1606"/>
      <c r="FM247" s="1610"/>
      <c r="FQ247"/>
      <c r="FR247"/>
      <c r="FS247"/>
      <c r="FT247"/>
      <c r="FU247"/>
      <c r="FV247"/>
      <c r="GB247" s="1613"/>
      <c r="GC247" s="1613"/>
      <c r="GD247" s="1613"/>
      <c r="GE247" s="1613"/>
      <c r="GF247" s="1613"/>
      <c r="GG247" s="1613"/>
      <c r="GH247" s="1613"/>
      <c r="GI247" s="1613"/>
      <c r="GJ247" s="1522"/>
      <c r="GK247" s="1522"/>
      <c r="GL247" s="1522"/>
      <c r="GM247" s="1522"/>
      <c r="GN247" s="1522"/>
      <c r="GO247" s="1522"/>
      <c r="GP247" s="1522"/>
      <c r="GQ247" s="1522"/>
      <c r="GR247" s="1522"/>
      <c r="GS247" s="1522"/>
      <c r="GT247" s="1522"/>
      <c r="GU247" s="1522"/>
      <c r="GV247" s="1522"/>
      <c r="GW247" s="1522"/>
      <c r="GX247" s="1522"/>
      <c r="GY247" s="1522"/>
      <c r="GZ247" s="1522"/>
      <c r="HA247" s="1522"/>
      <c r="HB247" s="1522"/>
      <c r="HC247" s="1522"/>
      <c r="HD247" s="1522"/>
      <c r="HE247" s="1522"/>
      <c r="HF247" s="1522"/>
      <c r="HG247" s="1522"/>
      <c r="HH247" s="1522"/>
      <c r="HI247" s="1522"/>
      <c r="HJ247" s="1522"/>
      <c r="HK247" s="1522"/>
      <c r="HL247" s="1522"/>
      <c r="HM247" s="1522"/>
      <c r="HN247" s="1522"/>
      <c r="HO247" s="1522"/>
      <c r="HP247" s="1522"/>
      <c r="HQ247" s="1522"/>
      <c r="HR247" s="1522"/>
      <c r="HS247" s="1522"/>
      <c r="HT247" s="1522"/>
      <c r="HU247" s="1522"/>
      <c r="HV247" s="1522"/>
      <c r="HW247" s="1522"/>
      <c r="HX247" s="1522"/>
      <c r="HY247" s="1522"/>
      <c r="HZ247" s="1522"/>
      <c r="IA247" s="1522"/>
      <c r="IB247" s="1522"/>
      <c r="IC247" s="1522"/>
      <c r="ID247" s="1522"/>
      <c r="IE247" s="1522"/>
      <c r="IF247" s="1522"/>
      <c r="IG247" s="1522"/>
      <c r="IH247" s="1522"/>
      <c r="II247" s="1522"/>
      <c r="IJ247" s="1522"/>
      <c r="IK247" s="1522"/>
      <c r="IL247" s="1522"/>
      <c r="IM247" s="1522"/>
      <c r="IN247" s="1522"/>
      <c r="IO247" s="1522"/>
      <c r="IP247" s="1522"/>
      <c r="IQ247" s="1522"/>
      <c r="IR247" s="1522"/>
      <c r="IS247" s="1522"/>
      <c r="IT247" s="1522"/>
      <c r="IU247" s="1522"/>
      <c r="IV247" s="1522"/>
      <c r="IW247" s="1522"/>
      <c r="IX247" s="1522"/>
      <c r="IY247" s="1522"/>
      <c r="IZ247" s="1522"/>
      <c r="JA247" s="1522"/>
      <c r="JB247" s="1522"/>
      <c r="JC247" s="1522"/>
      <c r="JD247" s="1522"/>
      <c r="JE247" s="1522"/>
      <c r="JF247" s="1522"/>
      <c r="JG247" s="1522"/>
      <c r="JH247" s="1522"/>
      <c r="JI247" s="1522"/>
      <c r="JJ247" s="1522"/>
      <c r="JK247" s="1522"/>
      <c r="JL247" s="1522"/>
      <c r="JM247" s="1522"/>
      <c r="JN247" s="1522"/>
    </row>
    <row r="248" spans="1:274" s="28" customFormat="1" ht="9.75" customHeight="1" thickBot="1" x14ac:dyDescent="0.25">
      <c r="A248" s="18"/>
      <c r="B248" s="595"/>
      <c r="CG248" s="416"/>
      <c r="CM248" s="416"/>
      <c r="CS248" s="416"/>
      <c r="CY248" s="416"/>
      <c r="DE248" s="416"/>
      <c r="DK248" s="416"/>
      <c r="DM248" s="1163"/>
      <c r="DN248" s="1163"/>
      <c r="DO248" s="1163"/>
      <c r="DP248" s="1163"/>
      <c r="DQ248" s="416"/>
      <c r="DS248" s="1163"/>
      <c r="DT248" s="1163"/>
      <c r="DU248" s="1163"/>
      <c r="DW248" s="416"/>
      <c r="EC248" s="416"/>
      <c r="EI248" s="416"/>
      <c r="EO248" s="416"/>
      <c r="EU248" s="416"/>
      <c r="FA248" s="416"/>
      <c r="FG248" s="416"/>
      <c r="FM248" s="416"/>
      <c r="FQ248"/>
      <c r="FR248"/>
      <c r="FS248"/>
      <c r="FT248"/>
      <c r="FU248"/>
      <c r="FV248"/>
      <c r="GB248" s="24"/>
      <c r="GC248" s="24"/>
      <c r="GD248" s="24"/>
      <c r="GE248" s="24"/>
      <c r="GF248" s="24"/>
      <c r="GG248" s="24"/>
      <c r="GH248" s="24"/>
      <c r="GI248" s="24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</row>
    <row r="249" spans="1:274" s="27" customFormat="1" hidden="1" outlineLevel="1" x14ac:dyDescent="0.2">
      <c r="A249" s="433" t="s">
        <v>487</v>
      </c>
      <c r="C249" s="144"/>
      <c r="D249" s="144"/>
      <c r="E249" s="144"/>
      <c r="F249" s="144"/>
      <c r="G249" s="144"/>
      <c r="H249" s="144"/>
      <c r="I249" s="144"/>
      <c r="J249" s="144"/>
      <c r="K249" s="144"/>
      <c r="L249" s="144"/>
      <c r="M249" s="144"/>
      <c r="O249" s="144"/>
      <c r="P249" s="144"/>
      <c r="Q249" s="144"/>
      <c r="R249" s="144"/>
      <c r="S249" s="144"/>
      <c r="U249" s="144"/>
      <c r="V249" s="144"/>
      <c r="W249" s="144"/>
      <c r="X249" s="144"/>
      <c r="Y249" s="144"/>
      <c r="AA249" s="144"/>
      <c r="AB249" s="144"/>
      <c r="AC249" s="144"/>
      <c r="AD249" s="144"/>
      <c r="AE249" s="144"/>
      <c r="AG249" s="144"/>
      <c r="AH249" s="144"/>
      <c r="AI249" s="144"/>
      <c r="AJ249" s="144"/>
      <c r="AK249" s="144"/>
      <c r="AM249" s="144"/>
      <c r="AN249" s="144"/>
      <c r="AO249" s="144"/>
      <c r="AP249" s="144"/>
      <c r="AQ249" s="144"/>
      <c r="AS249" s="144"/>
      <c r="AT249" s="144"/>
      <c r="AU249" s="144"/>
      <c r="AV249" s="144"/>
      <c r="AW249" s="144"/>
      <c r="AY249" s="403"/>
      <c r="AZ249" s="403"/>
      <c r="BA249" s="403"/>
      <c r="BB249" s="403"/>
      <c r="BC249" s="403"/>
      <c r="BD249" s="49"/>
      <c r="BE249" s="403"/>
      <c r="BF249" s="403"/>
      <c r="BG249" s="403"/>
      <c r="BH249" s="403"/>
      <c r="BI249" s="403"/>
      <c r="BJ249" s="49"/>
      <c r="BK249" s="403"/>
      <c r="BL249" s="403"/>
      <c r="BM249" s="403"/>
      <c r="BN249" s="403"/>
      <c r="BO249" s="403"/>
      <c r="BP249" s="49"/>
      <c r="BQ249" s="403"/>
      <c r="BR249" s="144"/>
      <c r="BS249" s="144"/>
      <c r="BT249" s="144"/>
      <c r="BU249" s="144"/>
      <c r="BV249" s="49"/>
      <c r="BW249" s="144"/>
      <c r="BX249" s="144"/>
      <c r="BY249" s="144"/>
      <c r="BZ249" s="144"/>
      <c r="CA249" s="144"/>
      <c r="CB249" s="49"/>
      <c r="CC249" s="144"/>
      <c r="CD249" s="144"/>
      <c r="CE249" s="144"/>
      <c r="CF249" s="144"/>
      <c r="CG249" s="644"/>
      <c r="CH249" s="86"/>
      <c r="CI249" s="144"/>
      <c r="CJ249" s="144"/>
      <c r="CK249" s="144"/>
      <c r="CL249" s="144"/>
      <c r="CM249" s="644"/>
      <c r="CN249" s="86"/>
      <c r="CO249" s="144"/>
      <c r="CP249" s="144"/>
      <c r="CQ249" s="144"/>
      <c r="CR249" s="144"/>
      <c r="CS249" s="644"/>
      <c r="CT249" s="86"/>
      <c r="CU249" s="144"/>
      <c r="CV249" s="144"/>
      <c r="CW249" s="144"/>
      <c r="CX249" s="144"/>
      <c r="CY249" s="644"/>
      <c r="CZ249" s="86"/>
      <c r="DA249" s="144"/>
      <c r="DB249" s="144"/>
      <c r="DC249" s="144"/>
      <c r="DD249" s="144"/>
      <c r="DE249" s="644"/>
      <c r="DF249" s="86"/>
      <c r="DG249" s="144"/>
      <c r="DH249" s="144"/>
      <c r="DI249" s="144"/>
      <c r="DJ249" s="144"/>
      <c r="DK249" s="644"/>
      <c r="DL249" s="86"/>
      <c r="DM249" s="144"/>
      <c r="DN249" s="144"/>
      <c r="DO249" s="144"/>
      <c r="DP249" s="144"/>
      <c r="DQ249" s="644"/>
      <c r="DR249" s="86"/>
      <c r="DS249" s="144"/>
      <c r="DT249" s="144"/>
      <c r="DU249" s="144"/>
      <c r="DV249" s="144"/>
      <c r="DW249" s="644"/>
      <c r="DX249" s="86"/>
      <c r="DY249" s="144"/>
      <c r="DZ249" s="144"/>
      <c r="EA249" s="144"/>
      <c r="EB249" s="144"/>
      <c r="EC249" s="644"/>
      <c r="ED249" s="86"/>
      <c r="EE249" s="144"/>
      <c r="EF249" s="144"/>
      <c r="EG249" s="144"/>
      <c r="EH249" s="144"/>
      <c r="EI249" s="644"/>
      <c r="EJ249" s="86"/>
      <c r="EK249" s="144"/>
      <c r="EL249" s="144"/>
      <c r="EM249" s="144"/>
      <c r="EN249" s="144"/>
      <c r="EO249" s="644"/>
      <c r="EP249" s="86"/>
      <c r="EQ249" s="144"/>
      <c r="ER249" s="144"/>
      <c r="ES249" s="144"/>
      <c r="ET249" s="144"/>
      <c r="EU249" s="644"/>
      <c r="EV249" s="86"/>
      <c r="EW249" s="144"/>
      <c r="EX249" s="144"/>
      <c r="EY249" s="144"/>
      <c r="EZ249" s="144"/>
      <c r="FA249" s="644"/>
      <c r="FB249" s="86"/>
      <c r="FC249" s="144"/>
      <c r="FD249" s="144"/>
      <c r="FE249" s="144"/>
      <c r="FF249" s="144"/>
      <c r="FG249" s="644"/>
      <c r="FH249" s="86"/>
      <c r="FI249" s="144"/>
      <c r="FJ249" s="144"/>
      <c r="FK249" s="144"/>
      <c r="FL249" s="144"/>
      <c r="FM249" s="644"/>
      <c r="FQ249"/>
      <c r="FR249"/>
      <c r="FS249"/>
      <c r="FT249"/>
      <c r="FU249"/>
      <c r="FV249"/>
      <c r="GB249" s="24"/>
      <c r="GC249" s="24"/>
      <c r="GD249" s="24"/>
      <c r="GE249" s="24"/>
      <c r="GF249" s="24"/>
      <c r="GG249" s="24"/>
      <c r="GH249" s="24"/>
      <c r="GI249" s="24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</row>
    <row r="250" spans="1:274" s="27" customFormat="1" hidden="1" outlineLevel="1" x14ac:dyDescent="0.2">
      <c r="A250" s="27" t="s">
        <v>488</v>
      </c>
      <c r="B250" s="20"/>
      <c r="C250" s="406" t="s">
        <v>945</v>
      </c>
      <c r="D250" s="406" t="s">
        <v>945</v>
      </c>
      <c r="E250" s="406" t="s">
        <v>945</v>
      </c>
      <c r="F250" s="406" t="s">
        <v>945</v>
      </c>
      <c r="G250" s="406" t="s">
        <v>945</v>
      </c>
      <c r="H250" s="406" t="s">
        <v>945</v>
      </c>
      <c r="I250" s="406">
        <v>250</v>
      </c>
      <c r="J250" s="406">
        <v>400</v>
      </c>
      <c r="K250" s="406">
        <v>750</v>
      </c>
      <c r="L250" s="406">
        <v>1500</v>
      </c>
      <c r="M250" s="406">
        <v>2000</v>
      </c>
      <c r="O250" s="406" t="s">
        <v>945</v>
      </c>
      <c r="P250" s="406" t="s">
        <v>945</v>
      </c>
      <c r="Q250" s="406" t="s">
        <v>945</v>
      </c>
      <c r="R250" s="406" t="s">
        <v>945</v>
      </c>
      <c r="S250" s="406">
        <v>2750</v>
      </c>
      <c r="T250" s="342"/>
      <c r="U250" s="406" t="s">
        <v>945</v>
      </c>
      <c r="V250" s="406" t="s">
        <v>945</v>
      </c>
      <c r="W250" s="406" t="s">
        <v>945</v>
      </c>
      <c r="X250" s="406" t="s">
        <v>945</v>
      </c>
      <c r="Y250" s="406">
        <v>3250</v>
      </c>
      <c r="Z250" s="342"/>
      <c r="AA250" s="406" t="s">
        <v>945</v>
      </c>
      <c r="AB250" s="406" t="s">
        <v>945</v>
      </c>
      <c r="AC250" s="406" t="s">
        <v>945</v>
      </c>
      <c r="AD250" s="406" t="s">
        <v>945</v>
      </c>
      <c r="AE250" s="406">
        <v>5000</v>
      </c>
      <c r="AF250" s="342"/>
      <c r="AG250" s="406" t="s">
        <v>945</v>
      </c>
      <c r="AH250" s="406" t="s">
        <v>945</v>
      </c>
      <c r="AI250" s="406" t="s">
        <v>945</v>
      </c>
      <c r="AJ250" s="406" t="s">
        <v>945</v>
      </c>
      <c r="AK250" s="406">
        <v>6000</v>
      </c>
      <c r="AL250" s="342"/>
      <c r="AM250" s="406" t="s">
        <v>945</v>
      </c>
      <c r="AN250" s="406" t="s">
        <v>945</v>
      </c>
      <c r="AO250" s="406" t="s">
        <v>945</v>
      </c>
      <c r="AP250" s="406" t="s">
        <v>945</v>
      </c>
      <c r="AQ250" s="406">
        <v>7500</v>
      </c>
      <c r="AR250" s="342"/>
      <c r="AS250" s="406" t="s">
        <v>945</v>
      </c>
      <c r="AT250" s="406" t="s">
        <v>945</v>
      </c>
      <c r="AU250" s="406" t="s">
        <v>945</v>
      </c>
      <c r="AV250" s="406" t="s">
        <v>945</v>
      </c>
      <c r="AW250" s="406">
        <v>8500</v>
      </c>
      <c r="AX250" s="342"/>
      <c r="AY250" s="406" t="s">
        <v>945</v>
      </c>
      <c r="AZ250" s="406" t="s">
        <v>945</v>
      </c>
      <c r="BA250" s="406" t="s">
        <v>945</v>
      </c>
      <c r="BB250" s="406" t="s">
        <v>945</v>
      </c>
      <c r="BC250" s="342">
        <v>9000</v>
      </c>
      <c r="BD250" s="43"/>
      <c r="BE250" s="406" t="s">
        <v>945</v>
      </c>
      <c r="BF250" s="406" t="s">
        <v>945</v>
      </c>
      <c r="BG250" s="406" t="s">
        <v>945</v>
      </c>
      <c r="BH250" s="406" t="s">
        <v>945</v>
      </c>
      <c r="BI250" s="406">
        <v>10000</v>
      </c>
      <c r="BJ250" s="43"/>
      <c r="BK250" s="406" t="s">
        <v>945</v>
      </c>
      <c r="BL250" s="406" t="s">
        <v>945</v>
      </c>
      <c r="BM250" s="406" t="s">
        <v>945</v>
      </c>
      <c r="BN250" s="406" t="s">
        <v>945</v>
      </c>
      <c r="BO250" s="406">
        <v>13000</v>
      </c>
      <c r="BP250" s="43"/>
      <c r="BQ250" s="406" t="s">
        <v>945</v>
      </c>
      <c r="BR250" s="406">
        <v>15000</v>
      </c>
      <c r="BS250" s="406" t="s">
        <v>945</v>
      </c>
      <c r="BT250" s="406" t="s">
        <v>945</v>
      </c>
      <c r="BU250" s="406" t="s">
        <v>945</v>
      </c>
      <c r="BV250" s="43"/>
      <c r="BW250" s="406" t="s">
        <v>945</v>
      </c>
      <c r="BX250" s="406" t="s">
        <v>945</v>
      </c>
      <c r="BY250" s="406" t="s">
        <v>945</v>
      </c>
      <c r="BZ250" s="406" t="s">
        <v>945</v>
      </c>
      <c r="CA250" s="406" t="s">
        <v>945</v>
      </c>
      <c r="CB250" s="43"/>
      <c r="CC250" s="406" t="s">
        <v>945</v>
      </c>
      <c r="CD250" s="406" t="s">
        <v>945</v>
      </c>
      <c r="CE250" s="406" t="s">
        <v>945</v>
      </c>
      <c r="CF250" s="406" t="s">
        <v>945</v>
      </c>
      <c r="CG250" s="645" t="s">
        <v>945</v>
      </c>
      <c r="CH250" s="156"/>
      <c r="CI250" s="406" t="s">
        <v>945</v>
      </c>
      <c r="CJ250" s="406" t="s">
        <v>945</v>
      </c>
      <c r="CK250" s="406" t="s">
        <v>945</v>
      </c>
      <c r="CL250" s="406" t="s">
        <v>945</v>
      </c>
      <c r="CM250" s="645" t="s">
        <v>945</v>
      </c>
      <c r="CN250" s="156"/>
      <c r="CO250" s="406" t="s">
        <v>945</v>
      </c>
      <c r="CP250" s="406" t="s">
        <v>945</v>
      </c>
      <c r="CQ250" s="406" t="s">
        <v>945</v>
      </c>
      <c r="CR250" s="406" t="s">
        <v>945</v>
      </c>
      <c r="CS250" s="645" t="s">
        <v>945</v>
      </c>
      <c r="CT250" s="156"/>
      <c r="CU250" s="406" t="s">
        <v>945</v>
      </c>
      <c r="CV250" s="406" t="s">
        <v>945</v>
      </c>
      <c r="CW250" s="406" t="s">
        <v>945</v>
      </c>
      <c r="CX250" s="406" t="s">
        <v>945</v>
      </c>
      <c r="CY250" s="645" t="s">
        <v>945</v>
      </c>
      <c r="CZ250" s="156"/>
      <c r="DA250" s="406" t="s">
        <v>945</v>
      </c>
      <c r="DB250" s="406" t="s">
        <v>945</v>
      </c>
      <c r="DC250" s="406" t="s">
        <v>945</v>
      </c>
      <c r="DD250" s="406" t="s">
        <v>945</v>
      </c>
      <c r="DE250" s="645" t="s">
        <v>945</v>
      </c>
      <c r="DF250" s="156"/>
      <c r="DG250" s="406" t="s">
        <v>945</v>
      </c>
      <c r="DH250" s="406" t="s">
        <v>945</v>
      </c>
      <c r="DI250" s="406" t="s">
        <v>945</v>
      </c>
      <c r="DJ250" s="406" t="s">
        <v>945</v>
      </c>
      <c r="DK250" s="645" t="s">
        <v>945</v>
      </c>
      <c r="DL250" s="156"/>
      <c r="DM250" s="406" t="s">
        <v>945</v>
      </c>
      <c r="DN250" s="406" t="s">
        <v>945</v>
      </c>
      <c r="DO250" s="406" t="s">
        <v>945</v>
      </c>
      <c r="DP250" s="406" t="s">
        <v>945</v>
      </c>
      <c r="DQ250" s="645" t="s">
        <v>945</v>
      </c>
      <c r="DR250" s="156"/>
      <c r="DS250" s="406" t="s">
        <v>945</v>
      </c>
      <c r="DT250" s="406" t="s">
        <v>945</v>
      </c>
      <c r="DU250" s="406" t="s">
        <v>945</v>
      </c>
      <c r="DV250" s="406" t="s">
        <v>945</v>
      </c>
      <c r="DW250" s="645" t="s">
        <v>945</v>
      </c>
      <c r="DX250" s="156"/>
      <c r="DY250" s="406" t="s">
        <v>945</v>
      </c>
      <c r="DZ250" s="406" t="s">
        <v>945</v>
      </c>
      <c r="EA250" s="406" t="s">
        <v>945</v>
      </c>
      <c r="EB250" s="406" t="s">
        <v>945</v>
      </c>
      <c r="EC250" s="645" t="s">
        <v>945</v>
      </c>
      <c r="ED250" s="156"/>
      <c r="EE250" s="406" t="s">
        <v>945</v>
      </c>
      <c r="EF250" s="406" t="s">
        <v>945</v>
      </c>
      <c r="EG250" s="406" t="s">
        <v>945</v>
      </c>
      <c r="EH250" s="406" t="s">
        <v>945</v>
      </c>
      <c r="EI250" s="645" t="s">
        <v>945</v>
      </c>
      <c r="EJ250" s="156"/>
      <c r="EK250" s="406" t="s">
        <v>945</v>
      </c>
      <c r="EL250" s="406" t="s">
        <v>945</v>
      </c>
      <c r="EM250" s="406" t="s">
        <v>945</v>
      </c>
      <c r="EN250" s="406" t="s">
        <v>945</v>
      </c>
      <c r="EO250" s="645" t="s">
        <v>945</v>
      </c>
      <c r="EP250" s="156"/>
      <c r="EQ250" s="406" t="s">
        <v>945</v>
      </c>
      <c r="ER250" s="406" t="s">
        <v>945</v>
      </c>
      <c r="ES250" s="406" t="s">
        <v>945</v>
      </c>
      <c r="ET250" s="406" t="s">
        <v>945</v>
      </c>
      <c r="EU250" s="645" t="s">
        <v>945</v>
      </c>
      <c r="EV250" s="156"/>
      <c r="EW250" s="406" t="s">
        <v>945</v>
      </c>
      <c r="EX250" s="406" t="s">
        <v>945</v>
      </c>
      <c r="EY250" s="406" t="s">
        <v>945</v>
      </c>
      <c r="EZ250" s="406" t="s">
        <v>945</v>
      </c>
      <c r="FA250" s="645" t="s">
        <v>945</v>
      </c>
      <c r="FB250" s="156"/>
      <c r="FC250" s="406" t="s">
        <v>945</v>
      </c>
      <c r="FD250" s="406" t="s">
        <v>945</v>
      </c>
      <c r="FE250" s="406" t="s">
        <v>945</v>
      </c>
      <c r="FF250" s="406" t="s">
        <v>945</v>
      </c>
      <c r="FG250" s="645" t="s">
        <v>945</v>
      </c>
      <c r="FH250" s="156"/>
      <c r="FI250" s="406" t="s">
        <v>945</v>
      </c>
      <c r="FJ250" s="406" t="s">
        <v>945</v>
      </c>
      <c r="FK250" s="406" t="s">
        <v>945</v>
      </c>
      <c r="FL250" s="406" t="s">
        <v>945</v>
      </c>
      <c r="FM250" s="645" t="s">
        <v>945</v>
      </c>
      <c r="FQ250"/>
      <c r="FR250"/>
      <c r="FS250"/>
      <c r="FT250"/>
      <c r="FU250"/>
      <c r="FV250"/>
      <c r="GB250" s="24"/>
      <c r="GC250" s="24"/>
      <c r="GD250" s="24"/>
      <c r="GE250" s="24"/>
      <c r="GF250" s="24"/>
      <c r="GG250" s="24"/>
      <c r="GH250" s="24"/>
      <c r="GI250" s="24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</row>
    <row r="251" spans="1:274" s="27" customFormat="1" hidden="1" outlineLevel="1" x14ac:dyDescent="0.2">
      <c r="A251" s="27" t="s">
        <v>597</v>
      </c>
      <c r="B251" s="20"/>
      <c r="C251" s="406" t="s">
        <v>945</v>
      </c>
      <c r="D251" s="406" t="s">
        <v>945</v>
      </c>
      <c r="E251" s="406" t="s">
        <v>945</v>
      </c>
      <c r="F251" s="406" t="s">
        <v>945</v>
      </c>
      <c r="G251" s="406" t="s">
        <v>945</v>
      </c>
      <c r="H251" s="406" t="s">
        <v>945</v>
      </c>
      <c r="I251" s="406" t="s">
        <v>945</v>
      </c>
      <c r="J251" s="406" t="s">
        <v>945</v>
      </c>
      <c r="K251" s="406" t="s">
        <v>945</v>
      </c>
      <c r="L251" s="406" t="s">
        <v>945</v>
      </c>
      <c r="M251" s="406" t="s">
        <v>945</v>
      </c>
      <c r="N251" s="342"/>
      <c r="O251" s="406" t="s">
        <v>945</v>
      </c>
      <c r="P251" s="406" t="s">
        <v>945</v>
      </c>
      <c r="Q251" s="406" t="s">
        <v>945</v>
      </c>
      <c r="R251" s="406" t="s">
        <v>945</v>
      </c>
      <c r="S251" s="406" t="s">
        <v>945</v>
      </c>
      <c r="T251" s="342"/>
      <c r="U251" s="406" t="s">
        <v>945</v>
      </c>
      <c r="V251" s="406" t="s">
        <v>945</v>
      </c>
      <c r="W251" s="406" t="s">
        <v>945</v>
      </c>
      <c r="X251" s="406" t="s">
        <v>945</v>
      </c>
      <c r="Y251" s="406" t="s">
        <v>945</v>
      </c>
      <c r="Z251" s="342"/>
      <c r="AA251" s="406" t="s">
        <v>945</v>
      </c>
      <c r="AB251" s="406" t="s">
        <v>945</v>
      </c>
      <c r="AC251" s="406" t="s">
        <v>945</v>
      </c>
      <c r="AD251" s="406" t="s">
        <v>945</v>
      </c>
      <c r="AE251" s="406" t="s">
        <v>945</v>
      </c>
      <c r="AF251" s="342"/>
      <c r="AG251" s="406" t="s">
        <v>945</v>
      </c>
      <c r="AH251" s="406" t="s">
        <v>945</v>
      </c>
      <c r="AI251" s="406" t="s">
        <v>945</v>
      </c>
      <c r="AJ251" s="406" t="s">
        <v>945</v>
      </c>
      <c r="AK251" s="406" t="s">
        <v>945</v>
      </c>
      <c r="AL251" s="342"/>
      <c r="AM251" s="406" t="s">
        <v>945</v>
      </c>
      <c r="AN251" s="406" t="s">
        <v>945</v>
      </c>
      <c r="AO251" s="406" t="s">
        <v>945</v>
      </c>
      <c r="AP251" s="406" t="s">
        <v>945</v>
      </c>
      <c r="AQ251" s="406" t="s">
        <v>945</v>
      </c>
      <c r="AR251" s="342"/>
      <c r="AS251" s="406" t="s">
        <v>945</v>
      </c>
      <c r="AT251" s="406" t="s">
        <v>945</v>
      </c>
      <c r="AU251" s="406" t="s">
        <v>945</v>
      </c>
      <c r="AV251" s="406" t="s">
        <v>945</v>
      </c>
      <c r="AW251" s="406">
        <v>150000</v>
      </c>
      <c r="AX251" s="342"/>
      <c r="AY251" s="406" t="s">
        <v>945</v>
      </c>
      <c r="AZ251" s="406" t="s">
        <v>945</v>
      </c>
      <c r="BA251" s="406" t="s">
        <v>945</v>
      </c>
      <c r="BB251" s="406" t="s">
        <v>945</v>
      </c>
      <c r="BC251" s="406">
        <v>175000</v>
      </c>
      <c r="BD251" s="43"/>
      <c r="BE251" s="406" t="s">
        <v>945</v>
      </c>
      <c r="BF251" s="406" t="s">
        <v>945</v>
      </c>
      <c r="BG251" s="406" t="s">
        <v>945</v>
      </c>
      <c r="BH251" s="406" t="s">
        <v>945</v>
      </c>
      <c r="BI251" s="406">
        <v>200000</v>
      </c>
      <c r="BJ251" s="43"/>
      <c r="BK251" s="406" t="s">
        <v>945</v>
      </c>
      <c r="BL251" s="406" t="s">
        <v>945</v>
      </c>
      <c r="BM251" s="406" t="s">
        <v>945</v>
      </c>
      <c r="BN251" s="406" t="s">
        <v>945</v>
      </c>
      <c r="BO251" s="406">
        <v>230000</v>
      </c>
      <c r="BP251" s="43"/>
      <c r="BQ251" s="406" t="s">
        <v>945</v>
      </c>
      <c r="BR251" s="406" t="s">
        <v>945</v>
      </c>
      <c r="BS251" s="406" t="s">
        <v>945</v>
      </c>
      <c r="BT251" s="406" t="s">
        <v>945</v>
      </c>
      <c r="BU251" s="406" t="s">
        <v>945</v>
      </c>
      <c r="BV251" s="43"/>
      <c r="BW251" s="406" t="s">
        <v>945</v>
      </c>
      <c r="BX251" s="406" t="s">
        <v>945</v>
      </c>
      <c r="BY251" s="406" t="s">
        <v>945</v>
      </c>
      <c r="BZ251" s="406" t="s">
        <v>945</v>
      </c>
      <c r="CA251" s="406" t="s">
        <v>945</v>
      </c>
      <c r="CB251" s="43"/>
      <c r="CC251" s="406" t="s">
        <v>945</v>
      </c>
      <c r="CD251" s="406" t="s">
        <v>945</v>
      </c>
      <c r="CE251" s="406" t="s">
        <v>945</v>
      </c>
      <c r="CF251" s="406" t="s">
        <v>945</v>
      </c>
      <c r="CG251" s="645" t="s">
        <v>945</v>
      </c>
      <c r="CH251" s="156"/>
      <c r="CI251" s="406" t="s">
        <v>945</v>
      </c>
      <c r="CJ251" s="406" t="s">
        <v>945</v>
      </c>
      <c r="CK251" s="406" t="s">
        <v>945</v>
      </c>
      <c r="CL251" s="406" t="s">
        <v>945</v>
      </c>
      <c r="CM251" s="645" t="s">
        <v>945</v>
      </c>
      <c r="CN251" s="156"/>
      <c r="CO251" s="406" t="s">
        <v>945</v>
      </c>
      <c r="CP251" s="406" t="s">
        <v>945</v>
      </c>
      <c r="CQ251" s="406" t="s">
        <v>945</v>
      </c>
      <c r="CR251" s="406" t="s">
        <v>945</v>
      </c>
      <c r="CS251" s="645" t="s">
        <v>945</v>
      </c>
      <c r="CT251" s="156"/>
      <c r="CU251" s="406" t="s">
        <v>945</v>
      </c>
      <c r="CV251" s="406" t="s">
        <v>945</v>
      </c>
      <c r="CW251" s="406" t="s">
        <v>945</v>
      </c>
      <c r="CX251" s="406" t="s">
        <v>945</v>
      </c>
      <c r="CY251" s="645" t="s">
        <v>945</v>
      </c>
      <c r="CZ251" s="156"/>
      <c r="DA251" s="406" t="s">
        <v>945</v>
      </c>
      <c r="DB251" s="406" t="s">
        <v>945</v>
      </c>
      <c r="DC251" s="406" t="s">
        <v>945</v>
      </c>
      <c r="DD251" s="406" t="s">
        <v>945</v>
      </c>
      <c r="DE251" s="645" t="s">
        <v>945</v>
      </c>
      <c r="DF251" s="156"/>
      <c r="DG251" s="406" t="s">
        <v>945</v>
      </c>
      <c r="DH251" s="406" t="s">
        <v>945</v>
      </c>
      <c r="DI251" s="406" t="s">
        <v>945</v>
      </c>
      <c r="DJ251" s="406" t="s">
        <v>945</v>
      </c>
      <c r="DK251" s="645" t="s">
        <v>945</v>
      </c>
      <c r="DL251" s="156"/>
      <c r="DM251" s="406" t="s">
        <v>945</v>
      </c>
      <c r="DN251" s="406" t="s">
        <v>945</v>
      </c>
      <c r="DO251" s="406" t="s">
        <v>945</v>
      </c>
      <c r="DP251" s="406" t="s">
        <v>945</v>
      </c>
      <c r="DQ251" s="645" t="s">
        <v>945</v>
      </c>
      <c r="DR251" s="156"/>
      <c r="DS251" s="406" t="s">
        <v>945</v>
      </c>
      <c r="DT251" s="406" t="s">
        <v>945</v>
      </c>
      <c r="DU251" s="406" t="s">
        <v>945</v>
      </c>
      <c r="DV251" s="406" t="s">
        <v>945</v>
      </c>
      <c r="DW251" s="645" t="s">
        <v>945</v>
      </c>
      <c r="DX251" s="156"/>
      <c r="DY251" s="406" t="s">
        <v>945</v>
      </c>
      <c r="DZ251" s="406" t="s">
        <v>945</v>
      </c>
      <c r="EA251" s="406" t="s">
        <v>945</v>
      </c>
      <c r="EB251" s="406" t="s">
        <v>945</v>
      </c>
      <c r="EC251" s="645" t="s">
        <v>945</v>
      </c>
      <c r="ED251" s="156"/>
      <c r="EE251" s="406" t="s">
        <v>945</v>
      </c>
      <c r="EF251" s="406" t="s">
        <v>945</v>
      </c>
      <c r="EG251" s="406" t="s">
        <v>945</v>
      </c>
      <c r="EH251" s="406" t="s">
        <v>945</v>
      </c>
      <c r="EI251" s="645" t="s">
        <v>945</v>
      </c>
      <c r="EJ251" s="156"/>
      <c r="EK251" s="406" t="s">
        <v>945</v>
      </c>
      <c r="EL251" s="406" t="s">
        <v>945</v>
      </c>
      <c r="EM251" s="406" t="s">
        <v>945</v>
      </c>
      <c r="EN251" s="406" t="s">
        <v>945</v>
      </c>
      <c r="EO251" s="645" t="s">
        <v>945</v>
      </c>
      <c r="EP251" s="156"/>
      <c r="EQ251" s="406" t="s">
        <v>945</v>
      </c>
      <c r="ER251" s="406" t="s">
        <v>945</v>
      </c>
      <c r="ES251" s="406" t="s">
        <v>945</v>
      </c>
      <c r="ET251" s="406" t="s">
        <v>945</v>
      </c>
      <c r="EU251" s="645" t="s">
        <v>945</v>
      </c>
      <c r="EV251" s="156"/>
      <c r="EW251" s="406" t="s">
        <v>945</v>
      </c>
      <c r="EX251" s="406" t="s">
        <v>945</v>
      </c>
      <c r="EY251" s="406" t="s">
        <v>945</v>
      </c>
      <c r="EZ251" s="406" t="s">
        <v>945</v>
      </c>
      <c r="FA251" s="645" t="s">
        <v>945</v>
      </c>
      <c r="FB251" s="156"/>
      <c r="FC251" s="406" t="s">
        <v>945</v>
      </c>
      <c r="FD251" s="406" t="s">
        <v>945</v>
      </c>
      <c r="FE251" s="406" t="s">
        <v>945</v>
      </c>
      <c r="FF251" s="406" t="s">
        <v>945</v>
      </c>
      <c r="FG251" s="645" t="s">
        <v>945</v>
      </c>
      <c r="FH251" s="156"/>
      <c r="FI251" s="406" t="s">
        <v>945</v>
      </c>
      <c r="FJ251" s="406" t="s">
        <v>945</v>
      </c>
      <c r="FK251" s="406" t="s">
        <v>945</v>
      </c>
      <c r="FL251" s="406" t="s">
        <v>945</v>
      </c>
      <c r="FM251" s="645" t="s">
        <v>945</v>
      </c>
      <c r="FQ251"/>
      <c r="FR251"/>
      <c r="FS251"/>
      <c r="FT251"/>
      <c r="FU251"/>
      <c r="FV251"/>
      <c r="GB251" s="24"/>
      <c r="GC251" s="24"/>
      <c r="GD251" s="24"/>
      <c r="GE251" s="24"/>
      <c r="GF251" s="24"/>
      <c r="GG251" s="24"/>
      <c r="GH251" s="24"/>
      <c r="GI251" s="24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</row>
    <row r="252" spans="1:274" s="28" customFormat="1" ht="5.25" hidden="1" customHeight="1" outlineLevel="1" thickBot="1" x14ac:dyDescent="0.25">
      <c r="A252" s="18"/>
      <c r="B252" s="595"/>
      <c r="CG252" s="416"/>
      <c r="CM252" s="416"/>
      <c r="CS252" s="416"/>
      <c r="CY252" s="416"/>
      <c r="DE252" s="416"/>
      <c r="DK252" s="416"/>
      <c r="DQ252" s="416"/>
      <c r="DW252" s="416"/>
      <c r="EC252" s="416"/>
      <c r="EI252" s="416"/>
      <c r="EO252" s="416"/>
      <c r="EU252" s="416"/>
      <c r="FA252" s="416"/>
      <c r="FG252" s="416"/>
      <c r="FM252" s="416"/>
      <c r="FQ252"/>
      <c r="FR252"/>
      <c r="FS252"/>
      <c r="FT252"/>
      <c r="FU252"/>
      <c r="FV252"/>
      <c r="GB252" s="24"/>
      <c r="GC252" s="24"/>
      <c r="GD252" s="24"/>
      <c r="GE252" s="24"/>
      <c r="GF252" s="24"/>
      <c r="GG252" s="24"/>
      <c r="GH252" s="24"/>
      <c r="GI252" s="24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</row>
    <row r="253" spans="1:274" s="646" customFormat="1" ht="12" customHeight="1" collapsed="1" x14ac:dyDescent="0.2">
      <c r="A253" s="1456" t="s">
        <v>825</v>
      </c>
      <c r="B253" s="1457"/>
      <c r="C253" s="1458" t="s">
        <v>945</v>
      </c>
      <c r="D253" s="1458" t="s">
        <v>945</v>
      </c>
      <c r="E253" s="1458" t="s">
        <v>945</v>
      </c>
      <c r="F253" s="1458" t="s">
        <v>945</v>
      </c>
      <c r="G253" s="1458" t="s">
        <v>945</v>
      </c>
      <c r="H253" s="1458" t="s">
        <v>945</v>
      </c>
      <c r="I253" s="1458" t="s">
        <v>945</v>
      </c>
      <c r="J253" s="1458" t="s">
        <v>945</v>
      </c>
      <c r="K253" s="1458" t="s">
        <v>945</v>
      </c>
      <c r="L253" s="1458" t="s">
        <v>945</v>
      </c>
      <c r="M253" s="1458" t="s">
        <v>945</v>
      </c>
      <c r="N253" s="1457"/>
      <c r="O253" s="1459" t="s">
        <v>945</v>
      </c>
      <c r="P253" s="1459" t="s">
        <v>945</v>
      </c>
      <c r="Q253" s="1459" t="s">
        <v>945</v>
      </c>
      <c r="R253" s="1459" t="s">
        <v>945</v>
      </c>
      <c r="S253" s="1459" t="s">
        <v>945</v>
      </c>
      <c r="T253" s="1457"/>
      <c r="U253" s="1459" t="s">
        <v>945</v>
      </c>
      <c r="V253" s="1459" t="s">
        <v>945</v>
      </c>
      <c r="W253" s="1459" t="s">
        <v>945</v>
      </c>
      <c r="X253" s="1459" t="s">
        <v>945</v>
      </c>
      <c r="Y253" s="1459" t="s">
        <v>945</v>
      </c>
      <c r="Z253" s="1457"/>
      <c r="AA253" s="1459">
        <f>Model!AA72</f>
        <v>303.18700000000001</v>
      </c>
      <c r="AB253" s="1459">
        <f>Model!AB72</f>
        <v>369.81599999999997</v>
      </c>
      <c r="AC253" s="1459">
        <f>Model!AC72</f>
        <v>358.767</v>
      </c>
      <c r="AD253" s="1459">
        <f>Model!AD72</f>
        <v>435.92099999999999</v>
      </c>
      <c r="AE253" s="1459">
        <f>Model!AE72</f>
        <v>1467.691</v>
      </c>
      <c r="AF253" s="1457"/>
      <c r="AG253" s="1459">
        <f>Model!AG72</f>
        <v>433.05700000000002</v>
      </c>
      <c r="AH253" s="1459">
        <f>Model!AH72</f>
        <v>540.60500000000002</v>
      </c>
      <c r="AI253" s="1459">
        <f>Model!AI72</f>
        <v>526.24099999999999</v>
      </c>
      <c r="AJ253" s="1459">
        <f>Model!AJ72</f>
        <v>656.35599999999999</v>
      </c>
      <c r="AK253" s="1459">
        <f>Model!AK72</f>
        <v>2156.259</v>
      </c>
      <c r="AL253" s="1457"/>
      <c r="AM253" s="1459">
        <f>Model!AM72</f>
        <v>641.79</v>
      </c>
      <c r="AN253" s="1459">
        <f>Model!AN72</f>
        <v>722.07600000000002</v>
      </c>
      <c r="AO253" s="1459">
        <f>Model!AO72</f>
        <v>669.58500000000004</v>
      </c>
      <c r="AP253" s="1459">
        <f>Model!AP72</f>
        <v>759.91099999999994</v>
      </c>
      <c r="AQ253" s="1459">
        <f>Model!AQ72</f>
        <v>2793.3620000000001</v>
      </c>
      <c r="AR253" s="1457"/>
      <c r="AS253" s="1459">
        <f>Model!AS72+Model!AS74</f>
        <v>684.92100000000005</v>
      </c>
      <c r="AT253" s="1459">
        <f>Model!AT72+Model!AT74</f>
        <v>698.90899999999999</v>
      </c>
      <c r="AU253" s="1459">
        <f>Model!AU72+Model!AU74</f>
        <v>623.63199999999995</v>
      </c>
      <c r="AV253" s="1459">
        <f>Model!AV72+Model!AV74</f>
        <v>696.99800000000005</v>
      </c>
      <c r="AW253" s="1459">
        <f>Model!AW72+Model!AW74</f>
        <v>2704.4599999999996</v>
      </c>
      <c r="AX253" s="1457"/>
      <c r="AY253" s="1459">
        <f>Model!AY72+Model!AY74</f>
        <v>638.34799999999996</v>
      </c>
      <c r="AZ253" s="1459">
        <f>Model!AZ72+Model!AZ74</f>
        <v>692.63599999999997</v>
      </c>
      <c r="BA253" s="1459">
        <f>Model!BA72+Model!BA74</f>
        <v>658.25900000000001</v>
      </c>
      <c r="BB253" s="1459">
        <f>Model!BB72+Model!BB74</f>
        <v>679.702</v>
      </c>
      <c r="BC253" s="1459">
        <f>Model!BC72+Model!BC74</f>
        <v>2668.9450000000002</v>
      </c>
      <c r="BD253" s="1457"/>
      <c r="BE253" s="1459">
        <f>Model!BE72+Model!BE73+Model!BE74</f>
        <v>690.45799999999997</v>
      </c>
      <c r="BF253" s="1459">
        <f>Model!BF72+Model!BF73+Model!BF74</f>
        <v>679.97800000000007</v>
      </c>
      <c r="BG253" s="1459">
        <f>Model!BG72+Model!BG73+Model!BG74</f>
        <v>597.34499999999991</v>
      </c>
      <c r="BH253" s="1459">
        <f>Model!BH72+Model!BH73+Model!BH74</f>
        <v>651.822</v>
      </c>
      <c r="BI253" s="1459">
        <f>Model!BI72+Model!BI73+Model!BI74</f>
        <v>2619.6030000000001</v>
      </c>
      <c r="BJ253" s="1457"/>
      <c r="BK253" s="1459">
        <f>Model!BK72+Model!BK73+Model!BK74</f>
        <v>560</v>
      </c>
      <c r="BL253" s="1459">
        <f>Model!BL72+Model!BL73+Model!BL74</f>
        <v>590</v>
      </c>
      <c r="BM253" s="1459">
        <f>Model!BM72+Model!BM73+Model!BM74</f>
        <v>547</v>
      </c>
      <c r="BN253" s="1459">
        <f>Model!BN72+Model!BN73+Model!BN74</f>
        <v>579</v>
      </c>
      <c r="BO253" s="1459">
        <f>Model!BO72+Model!BO73+Model!BO74</f>
        <v>2276</v>
      </c>
      <c r="BP253" s="1457"/>
      <c r="BQ253" s="1459">
        <f>Model!BQ72+Model!BQ73+Model!BQ74</f>
        <v>513</v>
      </c>
      <c r="BR253" s="1459">
        <f>Model!BR72+Model!BR73+Model!BR74</f>
        <v>529</v>
      </c>
      <c r="BS253" s="1459">
        <f>Model!BS72+Model!BS73+Model!BS74</f>
        <v>486</v>
      </c>
      <c r="BT253" s="1459">
        <f>BT259+BT265+BT271</f>
        <v>558</v>
      </c>
      <c r="BU253" s="1459">
        <f>SUM(BQ253:BT253)</f>
        <v>2086</v>
      </c>
      <c r="BV253" s="1457"/>
      <c r="BW253" s="1459">
        <f>BW259+BW265+BW271</f>
        <v>476</v>
      </c>
      <c r="BX253" s="1459">
        <f>BX259+BX265+BX271</f>
        <v>533</v>
      </c>
      <c r="BY253" s="1459">
        <f>BY259+BY265+BY271</f>
        <v>614</v>
      </c>
      <c r="BZ253" s="1459">
        <f>BZ259+BZ265+BZ271</f>
        <v>755</v>
      </c>
      <c r="CA253" s="1459">
        <f>SUM(BW253:BZ253)</f>
        <v>2378</v>
      </c>
      <c r="CB253" s="1457"/>
      <c r="CC253" s="1459">
        <f>CC259+CC265+CC271</f>
        <v>637</v>
      </c>
      <c r="CD253" s="1459">
        <f>CD259+CD265+CD271</f>
        <v>675</v>
      </c>
      <c r="CE253" s="1459">
        <f>CE259+CE265+CE271</f>
        <v>671</v>
      </c>
      <c r="CF253" s="1459">
        <f>CF259+CF265+CF271</f>
        <v>857</v>
      </c>
      <c r="CG253" s="1460">
        <f>SUM(CC253:CF253)</f>
        <v>2840</v>
      </c>
      <c r="CH253" s="1457"/>
      <c r="CI253" s="1459">
        <f>CI259+CI265+CI271</f>
        <v>846</v>
      </c>
      <c r="CJ253" s="1459">
        <f>CJ259+CJ265+CJ271</f>
        <v>949</v>
      </c>
      <c r="CK253" s="1459">
        <f>CK259+CK265+CK271</f>
        <v>916</v>
      </c>
      <c r="CL253" s="1459">
        <f>CL259+CL265+CL271</f>
        <v>1075</v>
      </c>
      <c r="CM253" s="1460">
        <f>SUM(CI253:CL253)</f>
        <v>3786</v>
      </c>
      <c r="CN253" s="1457"/>
      <c r="CO253" s="1459">
        <f>CO259+CO265+CO271</f>
        <v>1059</v>
      </c>
      <c r="CP253" s="1459">
        <f>CP259+CP265+CP271</f>
        <v>1154</v>
      </c>
      <c r="CQ253" s="1459">
        <f>CQ259+CQ265+CQ271</f>
        <v>1109</v>
      </c>
      <c r="CR253" s="1459">
        <f>CR259+CR265+CR271</f>
        <v>1265</v>
      </c>
      <c r="CS253" s="1460">
        <f>SUM(CO253:CR253)</f>
        <v>4587</v>
      </c>
      <c r="CT253" s="1457"/>
      <c r="CU253" s="1459">
        <f>CU259+CU265+CU271</f>
        <v>1159</v>
      </c>
      <c r="CV253" s="1459">
        <f>CV259+CV265+CV271</f>
        <v>1131</v>
      </c>
      <c r="CW253" s="1459">
        <f>CW259+CW265+CW271</f>
        <v>1020</v>
      </c>
      <c r="CX253" s="1459">
        <f>CX259+CX265+CX271</f>
        <v>1065</v>
      </c>
      <c r="CY253" s="1460">
        <f>SUM(CU253:CX253)</f>
        <v>4375</v>
      </c>
      <c r="CZ253" s="1457"/>
      <c r="DA253" s="1459">
        <f>DA259+DA265+DA271</f>
        <v>909</v>
      </c>
      <c r="DB253" s="1459">
        <f>DB259+DB265+DB271</f>
        <v>958</v>
      </c>
      <c r="DC253" s="1459">
        <f>DC259+DC265+DC271</f>
        <v>931</v>
      </c>
      <c r="DD253" s="1459">
        <f>DD259+DD265+DD271</f>
        <v>1108</v>
      </c>
      <c r="DE253" s="1460">
        <f>SUM(DA253:DD253)</f>
        <v>3906</v>
      </c>
      <c r="DF253" s="1457"/>
      <c r="DG253" s="1459">
        <f>DG259+DG265+DG271</f>
        <v>1068</v>
      </c>
      <c r="DH253" s="1459">
        <f>DH259+DH265+DH271</f>
        <v>1185</v>
      </c>
      <c r="DI253" s="1459">
        <f>DI259+DI265+DI271</f>
        <v>1146</v>
      </c>
      <c r="DJ253" s="1459">
        <f>DJ259+DJ265+DJ271</f>
        <v>1248</v>
      </c>
      <c r="DK253" s="1460">
        <f>SUM(DG253:DJ253)</f>
        <v>4647</v>
      </c>
      <c r="DL253" s="1457"/>
      <c r="DM253" s="1459">
        <f>DM259+DM265+DM271</f>
        <v>1180</v>
      </c>
      <c r="DN253" s="1459">
        <f>DN259+DN265+DN271</f>
        <v>1180</v>
      </c>
      <c r="DO253" s="1459">
        <f>DO259+DO265+DO271</f>
        <v>1141.3391999999999</v>
      </c>
      <c r="DP253" s="1459">
        <f>DP259+DP265+DP271</f>
        <v>1202.1596999999999</v>
      </c>
      <c r="DQ253" s="1460">
        <f>SUM(DM253:DP253)</f>
        <v>4703.4988999999996</v>
      </c>
      <c r="DR253" s="1457"/>
      <c r="DS253" s="1459">
        <v>995</v>
      </c>
      <c r="DT253" s="1459">
        <v>1010</v>
      </c>
      <c r="DU253" s="1459">
        <v>935</v>
      </c>
      <c r="DV253" s="1459">
        <v>975</v>
      </c>
      <c r="DW253" s="1460">
        <f>SUM(DS253:DV253)</f>
        <v>3915</v>
      </c>
      <c r="DX253" s="1457"/>
      <c r="DY253" s="1459">
        <v>918</v>
      </c>
      <c r="DZ253" s="1459">
        <v>959</v>
      </c>
      <c r="EA253" s="1459">
        <v>884</v>
      </c>
      <c r="EB253" s="1459">
        <v>940</v>
      </c>
      <c r="EC253" s="1460">
        <f>SUM(DY253:EB253)</f>
        <v>3701</v>
      </c>
      <c r="ED253" s="1457"/>
      <c r="EE253" s="1459">
        <v>855</v>
      </c>
      <c r="EF253" s="1459">
        <v>935</v>
      </c>
      <c r="EG253" s="1459">
        <v>858</v>
      </c>
      <c r="EH253" s="1459">
        <v>899</v>
      </c>
      <c r="EI253" s="1460">
        <f>SUM(EE253:EH253)</f>
        <v>3547</v>
      </c>
      <c r="EJ253" s="1457"/>
      <c r="EK253" s="1459">
        <v>862</v>
      </c>
      <c r="EL253" s="1459">
        <v>861</v>
      </c>
      <c r="EM253" s="1459">
        <v>793</v>
      </c>
      <c r="EN253" s="1459">
        <v>872</v>
      </c>
      <c r="EO253" s="1460">
        <f>SUM(EK253:EN253)</f>
        <v>3388</v>
      </c>
      <c r="EP253" s="1457"/>
      <c r="EQ253" s="1459">
        <v>808</v>
      </c>
      <c r="ER253" s="1459">
        <f>EL253*(1+ER254)</f>
        <v>843.78</v>
      </c>
      <c r="ES253" s="1459">
        <v>812</v>
      </c>
      <c r="ET253" s="1459">
        <v>894</v>
      </c>
      <c r="EU253" s="1460">
        <f>SUM(EQ253:ET253)</f>
        <v>3357.7799999999997</v>
      </c>
      <c r="EV253" s="1457"/>
      <c r="EW253" s="1459">
        <v>860</v>
      </c>
      <c r="EX253" s="1459">
        <v>856</v>
      </c>
      <c r="EY253" s="1459">
        <v>796</v>
      </c>
      <c r="EZ253" s="1459">
        <f t="shared" ref="EZ253" si="125">ET253*(1+EZ254)</f>
        <v>911.88</v>
      </c>
      <c r="FA253" s="1460">
        <f>SUM(EW253:EZ253)</f>
        <v>3423.88</v>
      </c>
      <c r="FB253" s="1457"/>
      <c r="FC253" s="1459">
        <f t="shared" ref="FC253" si="126">EW253*(1+FC254)</f>
        <v>860</v>
      </c>
      <c r="FD253" s="1459">
        <f t="shared" ref="FD253" si="127">EX253*(1+FD254)</f>
        <v>856</v>
      </c>
      <c r="FE253" s="1459">
        <f t="shared" ref="FE253" si="128">EY253*(1+FE254)</f>
        <v>796</v>
      </c>
      <c r="FF253" s="1459">
        <f t="shared" ref="FF253" si="129">EZ253*(1+FF254)</f>
        <v>911.88</v>
      </c>
      <c r="FG253" s="1460">
        <f>SUM(FC253:FF253)</f>
        <v>3423.88</v>
      </c>
      <c r="FH253" s="1457"/>
      <c r="FI253" s="1459">
        <f t="shared" ref="FI253" si="130">FC253*(1+FI254)</f>
        <v>860</v>
      </c>
      <c r="FJ253" s="1459">
        <f t="shared" ref="FJ253" si="131">FD253*(1+FJ254)</f>
        <v>856</v>
      </c>
      <c r="FK253" s="1459">
        <f t="shared" ref="FK253" si="132">FE253*(1+FK254)</f>
        <v>796</v>
      </c>
      <c r="FL253" s="1459">
        <f t="shared" ref="FL253" si="133">FF253*(1+FL254)</f>
        <v>911.88</v>
      </c>
      <c r="FM253" s="1460">
        <f>SUM(FI253:FL253)</f>
        <v>3423.88</v>
      </c>
      <c r="FQ253"/>
      <c r="FR253"/>
      <c r="FS253"/>
      <c r="FT253"/>
      <c r="FU253"/>
      <c r="FV253"/>
      <c r="GB253" s="24"/>
      <c r="GC253" s="24"/>
      <c r="GD253" s="24"/>
      <c r="GE253" s="24"/>
      <c r="GF253" s="24"/>
      <c r="GG253" s="24"/>
      <c r="GH253" s="24"/>
      <c r="GI253" s="24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</row>
    <row r="254" spans="1:274" s="28" customFormat="1" ht="12" customHeight="1" x14ac:dyDescent="0.2">
      <c r="A254" s="1431" t="s">
        <v>161</v>
      </c>
      <c r="B254" s="1393"/>
      <c r="C254" s="1461" t="s">
        <v>945</v>
      </c>
      <c r="D254" s="1461" t="s">
        <v>945</v>
      </c>
      <c r="E254" s="1461" t="s">
        <v>945</v>
      </c>
      <c r="F254" s="1461" t="s">
        <v>945</v>
      </c>
      <c r="G254" s="1461" t="s">
        <v>945</v>
      </c>
      <c r="H254" s="1462" t="s">
        <v>945</v>
      </c>
      <c r="I254" s="1462" t="s">
        <v>945</v>
      </c>
      <c r="J254" s="1462" t="s">
        <v>945</v>
      </c>
      <c r="K254" s="1462" t="s">
        <v>945</v>
      </c>
      <c r="L254" s="1462" t="s">
        <v>945</v>
      </c>
      <c r="M254" s="1462" t="s">
        <v>945</v>
      </c>
      <c r="N254" s="1461"/>
      <c r="O254" s="1381" t="s">
        <v>945</v>
      </c>
      <c r="P254" s="1381" t="s">
        <v>945</v>
      </c>
      <c r="Q254" s="1381" t="s">
        <v>945</v>
      </c>
      <c r="R254" s="1381" t="s">
        <v>945</v>
      </c>
      <c r="S254" s="1381" t="s">
        <v>945</v>
      </c>
      <c r="T254" s="1393"/>
      <c r="U254" s="1381" t="s">
        <v>945</v>
      </c>
      <c r="V254" s="1381" t="s">
        <v>945</v>
      </c>
      <c r="W254" s="1381" t="s">
        <v>945</v>
      </c>
      <c r="X254" s="1381" t="s">
        <v>945</v>
      </c>
      <c r="Y254" s="1381" t="s">
        <v>945</v>
      </c>
      <c r="Z254" s="1393"/>
      <c r="AA254" s="1381" t="s">
        <v>945</v>
      </c>
      <c r="AB254" s="1381" t="s">
        <v>945</v>
      </c>
      <c r="AC254" s="1381" t="s">
        <v>945</v>
      </c>
      <c r="AD254" s="1381" t="s">
        <v>945</v>
      </c>
      <c r="AE254" s="1381" t="s">
        <v>945</v>
      </c>
      <c r="AF254" s="1393"/>
      <c r="AG254" s="1463">
        <f>AG253/AA253-1</f>
        <v>0.42834950047330533</v>
      </c>
      <c r="AH254" s="1463">
        <f>AH253/AB253-1</f>
        <v>0.46182155450277995</v>
      </c>
      <c r="AI254" s="1463">
        <f>AI253/AC253-1</f>
        <v>0.46680436049023455</v>
      </c>
      <c r="AJ254" s="1463">
        <f>AJ253/AD253-1</f>
        <v>0.50567648725342429</v>
      </c>
      <c r="AK254" s="1463">
        <f>AK253/AE253-1</f>
        <v>0.46915052282803393</v>
      </c>
      <c r="AL254" s="1393"/>
      <c r="AM254" s="1463">
        <f t="shared" ref="AM254:AQ255" si="134">AM253/AG253-1</f>
        <v>0.48199890545586355</v>
      </c>
      <c r="AN254" s="1463">
        <f t="shared" si="134"/>
        <v>0.33568132000258966</v>
      </c>
      <c r="AO254" s="1463">
        <f t="shared" si="134"/>
        <v>0.27239230694681726</v>
      </c>
      <c r="AP254" s="1463">
        <f t="shared" si="134"/>
        <v>0.15777261120489472</v>
      </c>
      <c r="AQ254" s="1463">
        <f t="shared" si="134"/>
        <v>0.29546682471818086</v>
      </c>
      <c r="AR254" s="1393"/>
      <c r="AS254" s="1463">
        <f t="shared" ref="AS254:AW255" si="135">AS253/AM253-1</f>
        <v>6.7204225681297691E-2</v>
      </c>
      <c r="AT254" s="1463">
        <f t="shared" si="135"/>
        <v>-3.2083880367163586E-2</v>
      </c>
      <c r="AU254" s="1463">
        <f t="shared" si="135"/>
        <v>-6.8629076218852059E-2</v>
      </c>
      <c r="AV254" s="1463">
        <f t="shared" si="135"/>
        <v>-8.2789958297747934E-2</v>
      </c>
      <c r="AW254" s="1463">
        <f t="shared" si="135"/>
        <v>-3.1826165029810172E-2</v>
      </c>
      <c r="AX254" s="1393"/>
      <c r="AY254" s="1463">
        <f t="shared" ref="AY254:BC255" si="136">AY253/AS253-1</f>
        <v>-6.7997623083538183E-2</v>
      </c>
      <c r="AZ254" s="1463">
        <f t="shared" si="136"/>
        <v>-8.9754174005486353E-3</v>
      </c>
      <c r="BA254" s="1463">
        <f t="shared" si="136"/>
        <v>5.5524732534571797E-2</v>
      </c>
      <c r="BB254" s="1463">
        <f t="shared" si="136"/>
        <v>-2.4814992295530303E-2</v>
      </c>
      <c r="BC254" s="1463">
        <f t="shared" si="136"/>
        <v>-1.3132011566079571E-2</v>
      </c>
      <c r="BD254" s="1393"/>
      <c r="BE254" s="1463">
        <f t="shared" ref="BE254:BI255" si="137">BE253/AY253-1</f>
        <v>8.1632589120667731E-2</v>
      </c>
      <c r="BF254" s="1463">
        <f t="shared" si="137"/>
        <v>-1.8275111313879044E-2</v>
      </c>
      <c r="BG254" s="1463">
        <f t="shared" si="137"/>
        <v>-9.2538043536055103E-2</v>
      </c>
      <c r="BH254" s="1463">
        <f t="shared" si="137"/>
        <v>-4.1017975524568095E-2</v>
      </c>
      <c r="BI254" s="1463">
        <f t="shared" si="137"/>
        <v>-1.8487454780821699E-2</v>
      </c>
      <c r="BJ254" s="1393"/>
      <c r="BK254" s="1463">
        <f t="shared" ref="BK254:BO255" si="138">BK253/BE253-1</f>
        <v>-0.18894415011485122</v>
      </c>
      <c r="BL254" s="1463">
        <f t="shared" si="138"/>
        <v>-0.132324869334008</v>
      </c>
      <c r="BM254" s="1463">
        <f t="shared" si="138"/>
        <v>-8.4281277988431991E-2</v>
      </c>
      <c r="BN254" s="1463">
        <f t="shared" si="138"/>
        <v>-0.11172068448134609</v>
      </c>
      <c r="BO254" s="1463">
        <f t="shared" si="138"/>
        <v>-0.13116605836838635</v>
      </c>
      <c r="BP254" s="1393"/>
      <c r="BQ254" s="1463">
        <f t="shared" ref="BQ254:BU255" si="139">BQ253/BK253-1</f>
        <v>-8.3928571428571463E-2</v>
      </c>
      <c r="BR254" s="1463">
        <f t="shared" si="139"/>
        <v>-0.10338983050847461</v>
      </c>
      <c r="BS254" s="1463">
        <f t="shared" si="139"/>
        <v>-0.11151736745886653</v>
      </c>
      <c r="BT254" s="1463">
        <f t="shared" si="139"/>
        <v>-3.6269430051813489E-2</v>
      </c>
      <c r="BU254" s="1463">
        <f t="shared" si="139"/>
        <v>-8.3479789103690694E-2</v>
      </c>
      <c r="BV254" s="1393"/>
      <c r="BW254" s="1463">
        <f t="shared" ref="BW254:CA255" si="140">BW253/BQ253-1</f>
        <v>-7.2124756335282703E-2</v>
      </c>
      <c r="BX254" s="1463">
        <f t="shared" si="140"/>
        <v>7.5614366729679361E-3</v>
      </c>
      <c r="BY254" s="1463">
        <f t="shared" si="140"/>
        <v>0.26337448559670773</v>
      </c>
      <c r="BZ254" s="1463">
        <f t="shared" si="140"/>
        <v>0.35304659498207891</v>
      </c>
      <c r="CA254" s="1463">
        <f t="shared" si="140"/>
        <v>0.13998082454458283</v>
      </c>
      <c r="CB254" s="1393"/>
      <c r="CC254" s="1463">
        <f t="shared" ref="CC254:CG255" si="141">CC253/BW253-1</f>
        <v>0.33823529411764697</v>
      </c>
      <c r="CD254" s="1463">
        <f t="shared" si="141"/>
        <v>0.26641651031894931</v>
      </c>
      <c r="CE254" s="1463">
        <f t="shared" si="141"/>
        <v>9.2833876221498413E-2</v>
      </c>
      <c r="CF254" s="1463">
        <f t="shared" si="141"/>
        <v>0.13509933774834426</v>
      </c>
      <c r="CG254" s="1464">
        <f t="shared" si="141"/>
        <v>0.19428090832632461</v>
      </c>
      <c r="CH254" s="1393"/>
      <c r="CI254" s="1463">
        <f t="shared" ref="CI254:CM255" si="142">CI253/CC253-1</f>
        <v>0.32810047095761385</v>
      </c>
      <c r="CJ254" s="1463">
        <f t="shared" si="142"/>
        <v>0.40592592592592602</v>
      </c>
      <c r="CK254" s="1463">
        <f t="shared" si="142"/>
        <v>0.36512667660208642</v>
      </c>
      <c r="CL254" s="1463">
        <f t="shared" si="142"/>
        <v>0.25437572928821472</v>
      </c>
      <c r="CM254" s="1464">
        <f t="shared" si="142"/>
        <v>0.33309859154929566</v>
      </c>
      <c r="CN254" s="1393"/>
      <c r="CO254" s="1463">
        <f t="shared" ref="CO254:CS255" si="143">CO253/CI253-1</f>
        <v>0.25177304964539005</v>
      </c>
      <c r="CP254" s="1463">
        <f t="shared" si="143"/>
        <v>0.21601685985247632</v>
      </c>
      <c r="CQ254" s="1463">
        <f t="shared" si="143"/>
        <v>0.2106986899563319</v>
      </c>
      <c r="CR254" s="1463">
        <f t="shared" si="143"/>
        <v>0.17674418604651154</v>
      </c>
      <c r="CS254" s="1464">
        <f t="shared" si="143"/>
        <v>0.21156893819334388</v>
      </c>
      <c r="CT254" s="1393"/>
      <c r="CU254" s="1463">
        <f>CU253/CO253-1</f>
        <v>9.4428706326723288E-2</v>
      </c>
      <c r="CV254" s="1463">
        <f>CV253/CP253-1</f>
        <v>-1.9930675909878737E-2</v>
      </c>
      <c r="CW254" s="1463">
        <f>CW253/CQ253-1</f>
        <v>-8.0252479711451774E-2</v>
      </c>
      <c r="CX254" s="1463">
        <f>CX253/CR253-1</f>
        <v>-0.15810276679841895</v>
      </c>
      <c r="CY254" s="1464">
        <f>CY253/CS253-1</f>
        <v>-4.6217571397427548E-2</v>
      </c>
      <c r="CZ254" s="1393"/>
      <c r="DA254" s="1463">
        <f>DA253/CU253-1</f>
        <v>-0.21570319240724767</v>
      </c>
      <c r="DB254" s="1463">
        <f>DB253/CV253-1</f>
        <v>-0.15296198054818744</v>
      </c>
      <c r="DC254" s="1463">
        <f>DC253/CW253-1</f>
        <v>-8.7254901960784337E-2</v>
      </c>
      <c r="DD254" s="1463">
        <f>DD253/CX253-1</f>
        <v>4.0375586854460188E-2</v>
      </c>
      <c r="DE254" s="1464">
        <f>DE253/CY253-1</f>
        <v>-0.10719999999999996</v>
      </c>
      <c r="DF254" s="1393"/>
      <c r="DG254" s="1463">
        <f>DG253/DA253-1</f>
        <v>0.17491749174917492</v>
      </c>
      <c r="DH254" s="1463">
        <f>DH253/DB253-1</f>
        <v>0.23695198329853873</v>
      </c>
      <c r="DI254" s="1463">
        <f>DI253/DC253-1</f>
        <v>0.23093447905477982</v>
      </c>
      <c r="DJ254" s="1463">
        <f>DJ253/DD253-1</f>
        <v>0.12635379061371843</v>
      </c>
      <c r="DK254" s="1464">
        <f>DK253/DE253-1</f>
        <v>0.18970814132104463</v>
      </c>
      <c r="DL254" s="1393"/>
      <c r="DM254" s="1463">
        <f>DM253/DG253-1</f>
        <v>0.10486891385767794</v>
      </c>
      <c r="DN254" s="1463">
        <f>DN253/DH253-1</f>
        <v>-4.2194092827003704E-3</v>
      </c>
      <c r="DO254" s="1463">
        <f>DO253/DI253-1</f>
        <v>-4.0670157068063428E-3</v>
      </c>
      <c r="DP254" s="1463">
        <f>DP253/DJ253-1</f>
        <v>-3.6731009615384669E-2</v>
      </c>
      <c r="DQ254" s="1464">
        <f>DQ253/DK253-1</f>
        <v>1.2158145039810497E-2</v>
      </c>
      <c r="DR254" s="1393"/>
      <c r="DS254" s="1463">
        <f>DS253/DM253-1</f>
        <v>-0.15677966101694918</v>
      </c>
      <c r="DT254" s="1463">
        <f>DT253/DN253-1</f>
        <v>-0.14406779661016944</v>
      </c>
      <c r="DU254" s="1463">
        <f>DU253/DO253-1</f>
        <v>-0.18078692118872275</v>
      </c>
      <c r="DV254" s="1463">
        <f>DV253/DP253-1</f>
        <v>-0.18895966983421586</v>
      </c>
      <c r="DW254" s="1464">
        <f>DW253/DQ253-1</f>
        <v>-0.16764092365366545</v>
      </c>
      <c r="DX254" s="1393"/>
      <c r="DY254" s="1463">
        <f>DY253/DS253-1</f>
        <v>-7.7386934673366881E-2</v>
      </c>
      <c r="DZ254" s="1463">
        <f>DZ253/DT253-1</f>
        <v>-5.049504950495054E-2</v>
      </c>
      <c r="EA254" s="1463">
        <f>EA253/DU253-1</f>
        <v>-5.4545454545454564E-2</v>
      </c>
      <c r="EB254" s="1463">
        <f>EB253/DV253-1</f>
        <v>-3.5897435897435881E-2</v>
      </c>
      <c r="EC254" s="1464">
        <f>EC253/DW253-1</f>
        <v>-5.4661558109833974E-2</v>
      </c>
      <c r="ED254" s="1393"/>
      <c r="EE254" s="1463">
        <f>EE253/DY253-1</f>
        <v>-6.8627450980392135E-2</v>
      </c>
      <c r="EF254" s="1463">
        <f>EF253/DZ253-1</f>
        <v>-2.5026068821689229E-2</v>
      </c>
      <c r="EG254" s="1463">
        <f>EG253/EA253-1</f>
        <v>-2.9411764705882359E-2</v>
      </c>
      <c r="EH254" s="1463">
        <f>EH253/EB253-1</f>
        <v>-4.3617021276595724E-2</v>
      </c>
      <c r="EI254" s="1464">
        <f>EI253/EC253-1</f>
        <v>-4.1610375574169134E-2</v>
      </c>
      <c r="EJ254" s="1393"/>
      <c r="EK254" s="1463">
        <f>EK253/EE253-1</f>
        <v>8.1871345029240761E-3</v>
      </c>
      <c r="EL254" s="1463">
        <f>EL253/EF253-1</f>
        <v>-7.9144385026737929E-2</v>
      </c>
      <c r="EM254" s="1463">
        <f>EM253/EG253-1</f>
        <v>-7.5757575757575801E-2</v>
      </c>
      <c r="EN254" s="1463">
        <f>EN253/EH253-1</f>
        <v>-3.0033370411568394E-2</v>
      </c>
      <c r="EO254" s="1464">
        <f>EO253/EI253-1</f>
        <v>-4.4826614040033852E-2</v>
      </c>
      <c r="EP254" s="1393"/>
      <c r="EQ254" s="1463">
        <f>EQ253/EK253-1</f>
        <v>-6.2645011600928058E-2</v>
      </c>
      <c r="ER254" s="1463">
        <v>-0.02</v>
      </c>
      <c r="ES254" s="1463">
        <f>ES253/EM253-1</f>
        <v>2.3959646910466592E-2</v>
      </c>
      <c r="ET254" s="1463">
        <f>ET253/EN253-1</f>
        <v>2.5229357798165042E-2</v>
      </c>
      <c r="EU254" s="1464">
        <f>EU253/EO253-1</f>
        <v>-8.9197166469894285E-3</v>
      </c>
      <c r="EV254" s="1393"/>
      <c r="EW254" s="1463">
        <f>EW253/EQ253-1</f>
        <v>6.4356435643564414E-2</v>
      </c>
      <c r="EX254" s="1463">
        <f t="shared" ref="EX254:EY254" si="144">EX253/ER253-1</f>
        <v>1.4482448031477357E-2</v>
      </c>
      <c r="EY254" s="1463">
        <f t="shared" si="144"/>
        <v>-1.9704433497536922E-2</v>
      </c>
      <c r="EZ254" s="1463">
        <v>0.02</v>
      </c>
      <c r="FA254" s="1464">
        <f>FA253/EU253-1</f>
        <v>1.9685625621690628E-2</v>
      </c>
      <c r="FB254" s="1393"/>
      <c r="FC254" s="1463">
        <v>0</v>
      </c>
      <c r="FD254" s="1463">
        <v>0</v>
      </c>
      <c r="FE254" s="1463">
        <v>0</v>
      </c>
      <c r="FF254" s="1463">
        <v>0</v>
      </c>
      <c r="FG254" s="1464">
        <f>FG253/FA253-1</f>
        <v>0</v>
      </c>
      <c r="FH254" s="1393"/>
      <c r="FI254" s="1463">
        <v>0</v>
      </c>
      <c r="FJ254" s="1463">
        <v>0</v>
      </c>
      <c r="FK254" s="1463">
        <v>0</v>
      </c>
      <c r="FL254" s="1463">
        <v>0</v>
      </c>
      <c r="FM254" s="1464">
        <f>FM253/FG253-1</f>
        <v>0</v>
      </c>
      <c r="FQ254"/>
      <c r="FR254"/>
      <c r="FS254"/>
      <c r="FT254"/>
      <c r="FU254"/>
      <c r="FV254"/>
      <c r="GB254" s="24"/>
      <c r="GC254" s="24"/>
      <c r="GD254" s="24"/>
      <c r="GE254" s="24"/>
      <c r="GF254" s="24"/>
      <c r="GG254" s="24"/>
      <c r="GH254" s="24"/>
      <c r="GI254" s="2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</row>
    <row r="255" spans="1:274" s="28" customFormat="1" ht="12" customHeight="1" thickBot="1" x14ac:dyDescent="0.25">
      <c r="A255" s="1465" t="s">
        <v>647</v>
      </c>
      <c r="B255" s="1438"/>
      <c r="C255" s="1466" t="s">
        <v>945</v>
      </c>
      <c r="D255" s="1466" t="s">
        <v>945</v>
      </c>
      <c r="E255" s="1466" t="s">
        <v>945</v>
      </c>
      <c r="F255" s="1466" t="s">
        <v>945</v>
      </c>
      <c r="G255" s="1466" t="s">
        <v>945</v>
      </c>
      <c r="H255" s="1467" t="s">
        <v>945</v>
      </c>
      <c r="I255" s="1467" t="s">
        <v>945</v>
      </c>
      <c r="J255" s="1467" t="s">
        <v>945</v>
      </c>
      <c r="K255" s="1467" t="s">
        <v>945</v>
      </c>
      <c r="L255" s="1467" t="s">
        <v>945</v>
      </c>
      <c r="M255" s="1467" t="s">
        <v>945</v>
      </c>
      <c r="N255" s="1466"/>
      <c r="O255" s="1468" t="s">
        <v>945</v>
      </c>
      <c r="P255" s="1468" t="s">
        <v>945</v>
      </c>
      <c r="Q255" s="1468" t="s">
        <v>945</v>
      </c>
      <c r="R255" s="1468" t="s">
        <v>945</v>
      </c>
      <c r="S255" s="1468" t="s">
        <v>945</v>
      </c>
      <c r="T255" s="1438"/>
      <c r="U255" s="1468" t="s">
        <v>945</v>
      </c>
      <c r="V255" s="1468" t="s">
        <v>945</v>
      </c>
      <c r="W255" s="1468" t="s">
        <v>945</v>
      </c>
      <c r="X255" s="1468" t="s">
        <v>945</v>
      </c>
      <c r="Y255" s="1468" t="s">
        <v>945</v>
      </c>
      <c r="Z255" s="1438"/>
      <c r="AA255" s="1468" t="s">
        <v>945</v>
      </c>
      <c r="AB255" s="1468" t="s">
        <v>945</v>
      </c>
      <c r="AC255" s="1468" t="s">
        <v>945</v>
      </c>
      <c r="AD255" s="1468" t="s">
        <v>945</v>
      </c>
      <c r="AE255" s="1468" t="s">
        <v>945</v>
      </c>
      <c r="AF255" s="1438"/>
      <c r="AG255" s="1439"/>
      <c r="AH255" s="1439"/>
      <c r="AI255" s="1439"/>
      <c r="AJ255" s="1439"/>
      <c r="AK255" s="1439"/>
      <c r="AL255" s="1438"/>
      <c r="AM255" s="1439">
        <f t="shared" si="134"/>
        <v>0.12524680178984271</v>
      </c>
      <c r="AN255" s="1439">
        <f t="shared" si="134"/>
        <v>-0.27313630832150992</v>
      </c>
      <c r="AO255" s="1439">
        <f t="shared" si="134"/>
        <v>-0.41647437341683602</v>
      </c>
      <c r="AP255" s="1439">
        <f t="shared" si="134"/>
        <v>-0.68799694037222348</v>
      </c>
      <c r="AQ255" s="1439">
        <f t="shared" si="134"/>
        <v>-0.37020889812269575</v>
      </c>
      <c r="AR255" s="1438"/>
      <c r="AS255" s="1439">
        <f t="shared" si="135"/>
        <v>-0.86057182927057174</v>
      </c>
      <c r="AT255" s="1439">
        <f t="shared" si="135"/>
        <v>-1.0955783907395147</v>
      </c>
      <c r="AU255" s="1439">
        <f t="shared" si="135"/>
        <v>-1.2519493923602307</v>
      </c>
      <c r="AV255" s="1439">
        <f t="shared" si="135"/>
        <v>-1.5247422709524088</v>
      </c>
      <c r="AW255" s="1439">
        <f t="shared" si="135"/>
        <v>-1.1077148511010204</v>
      </c>
      <c r="AX255" s="1438"/>
      <c r="AY255" s="1439">
        <f t="shared" si="136"/>
        <v>-2.0118057665897826</v>
      </c>
      <c r="AZ255" s="1439">
        <f t="shared" si="136"/>
        <v>-0.72025150019775741</v>
      </c>
      <c r="BA255" s="1439">
        <f t="shared" si="136"/>
        <v>-1.8090555139851852</v>
      </c>
      <c r="BB255" s="1439">
        <f t="shared" si="136"/>
        <v>-0.70026567465724487</v>
      </c>
      <c r="BC255" s="1439">
        <f t="shared" si="136"/>
        <v>-0.5873831624457615</v>
      </c>
      <c r="BD255" s="1438"/>
      <c r="BE255" s="1439">
        <f t="shared" si="137"/>
        <v>-2.200521215578056</v>
      </c>
      <c r="BF255" s="1439">
        <f t="shared" si="137"/>
        <v>1.0361294075038732</v>
      </c>
      <c r="BG255" s="1439">
        <f t="shared" si="137"/>
        <v>-2.6666094425297304</v>
      </c>
      <c r="BH255" s="1439">
        <f t="shared" si="137"/>
        <v>0.65295137052918961</v>
      </c>
      <c r="BI255" s="1439">
        <f t="shared" si="137"/>
        <v>0.4078159075472807</v>
      </c>
      <c r="BJ255" s="1438"/>
      <c r="BK255" s="1439">
        <f t="shared" si="138"/>
        <v>-3.3145676518425451</v>
      </c>
      <c r="BL255" s="1439">
        <f t="shared" si="138"/>
        <v>6.2407148203531762</v>
      </c>
      <c r="BM255" s="1439">
        <f t="shared" si="138"/>
        <v>-8.9225633394832582E-2</v>
      </c>
      <c r="BN255" s="1439">
        <f t="shared" si="138"/>
        <v>1.7237005983981328</v>
      </c>
      <c r="BO255" s="1439">
        <f t="shared" si="138"/>
        <v>6.0948683809333168</v>
      </c>
      <c r="BP255" s="1438"/>
      <c r="BQ255" s="1439">
        <f t="shared" si="139"/>
        <v>-0.55580222315665861</v>
      </c>
      <c r="BR255" s="1439">
        <f t="shared" si="139"/>
        <v>-0.21866667219218616</v>
      </c>
      <c r="BS255" s="1439">
        <f t="shared" si="139"/>
        <v>0.32315705362432712</v>
      </c>
      <c r="BT255" s="1439">
        <f t="shared" si="139"/>
        <v>-0.67535617759422728</v>
      </c>
      <c r="BU255" s="1439">
        <f t="shared" si="139"/>
        <v>-0.36355647076598441</v>
      </c>
      <c r="BV255" s="1438"/>
      <c r="BW255" s="1439">
        <f t="shared" si="140"/>
        <v>-0.14064120111152556</v>
      </c>
      <c r="BX255" s="1439">
        <f t="shared" si="140"/>
        <v>-1.0731352071647717</v>
      </c>
      <c r="BY255" s="1439">
        <f t="shared" si="140"/>
        <v>-3.3617351413344121</v>
      </c>
      <c r="BZ255" s="1439">
        <f t="shared" si="140"/>
        <v>-10.733998975934457</v>
      </c>
      <c r="CA255" s="1439">
        <f t="shared" si="140"/>
        <v>-2.6768229298077393</v>
      </c>
      <c r="CB255" s="1438"/>
      <c r="CC255" s="1439">
        <f t="shared" si="141"/>
        <v>-5.6895866454689941</v>
      </c>
      <c r="CD255" s="1439">
        <f t="shared" si="141"/>
        <v>34.233583489680711</v>
      </c>
      <c r="CE255" s="1439">
        <f t="shared" si="141"/>
        <v>-0.64752137622149808</v>
      </c>
      <c r="CF255" s="1439">
        <f t="shared" si="141"/>
        <v>-0.61733284028641577</v>
      </c>
      <c r="CG255" s="1440">
        <f t="shared" si="141"/>
        <v>0.38791087249559397</v>
      </c>
      <c r="CH255" s="1438"/>
      <c r="CI255" s="1439">
        <f t="shared" si="142"/>
        <v>-2.9963824994880484E-2</v>
      </c>
      <c r="CJ255" s="1439">
        <f t="shared" si="142"/>
        <v>0.52365153886280713</v>
      </c>
      <c r="CK255" s="1439">
        <f t="shared" si="142"/>
        <v>2.9331189374329991</v>
      </c>
      <c r="CL255" s="1439">
        <f t="shared" si="142"/>
        <v>0.88287917267257132</v>
      </c>
      <c r="CM255" s="1440">
        <f t="shared" si="142"/>
        <v>0.71452045606975156</v>
      </c>
      <c r="CN255" s="1438"/>
      <c r="CO255" s="1439">
        <f t="shared" si="143"/>
        <v>-0.23263429366452903</v>
      </c>
      <c r="CP255" s="1439">
        <f t="shared" si="143"/>
        <v>-0.46784167737072457</v>
      </c>
      <c r="CQ255" s="1439">
        <f t="shared" si="143"/>
        <v>-0.42294358791551545</v>
      </c>
      <c r="CR255" s="1439">
        <f t="shared" si="143"/>
        <v>-0.30518455301898906</v>
      </c>
      <c r="CS255" s="1440">
        <f t="shared" si="143"/>
        <v>-0.36484589379588073</v>
      </c>
      <c r="CT255" s="1438"/>
      <c r="CU255" s="1439">
        <f>CU253/CR253-1</f>
        <v>-8.3794466403162016E-2</v>
      </c>
      <c r="CV255" s="1439">
        <f>CV253/CU253-1</f>
        <v>-2.415875754961172E-2</v>
      </c>
      <c r="CW255" s="1439">
        <f>CW253/CV253-1</f>
        <v>-9.8143236074270557E-2</v>
      </c>
      <c r="CX255" s="1439">
        <f>CX253/CW253-1</f>
        <v>4.4117647058823595E-2</v>
      </c>
      <c r="CY255" s="1440"/>
      <c r="CZ255" s="1438"/>
      <c r="DA255" s="1439">
        <f>DA253/CX253-1</f>
        <v>-0.14647887323943665</v>
      </c>
      <c r="DB255" s="1439">
        <f>DB253/DA253-1</f>
        <v>5.3905390539053855E-2</v>
      </c>
      <c r="DC255" s="1439">
        <f>DC253/DB253-1</f>
        <v>-2.8183716075156573E-2</v>
      </c>
      <c r="DD255" s="1439">
        <f>DD253/DC253-1</f>
        <v>0.19011815252416753</v>
      </c>
      <c r="DE255" s="1440"/>
      <c r="DF255" s="1438"/>
      <c r="DG255" s="1439">
        <f>DG253/DD253-1</f>
        <v>-3.6101083032490933E-2</v>
      </c>
      <c r="DH255" s="1439">
        <f>DH253/DG253-1</f>
        <v>0.1095505617977528</v>
      </c>
      <c r="DI255" s="1439">
        <f>DI253/DH253-1</f>
        <v>-3.2911392405063244E-2</v>
      </c>
      <c r="DJ255" s="1439">
        <f>DJ253/DI253-1</f>
        <v>8.9005235602094279E-2</v>
      </c>
      <c r="DK255" s="1440"/>
      <c r="DL255" s="1438"/>
      <c r="DM255" s="1439">
        <f>DM253/DJ253-1</f>
        <v>-5.4487179487179516E-2</v>
      </c>
      <c r="DN255" s="1439">
        <f>DN253/DM253-1</f>
        <v>0</v>
      </c>
      <c r="DO255" s="1439">
        <f>DO253/DN253-1</f>
        <v>-3.2763389830508527E-2</v>
      </c>
      <c r="DP255" s="1439">
        <f>DP253/DO253-1</f>
        <v>5.3288715572022749E-2</v>
      </c>
      <c r="DQ255" s="1440"/>
      <c r="DR255" s="1438"/>
      <c r="DS255" s="1439">
        <f>DS253/DP253-1</f>
        <v>-0.17232294511286639</v>
      </c>
      <c r="DT255" s="1439">
        <f>DT253/DS253-1</f>
        <v>1.5075376884422065E-2</v>
      </c>
      <c r="DU255" s="1439">
        <f>DU253/DT253-1</f>
        <v>-7.4257425742574212E-2</v>
      </c>
      <c r="DV255" s="1439">
        <f>DV253/DU253-1</f>
        <v>4.2780748663101553E-2</v>
      </c>
      <c r="DW255" s="1440"/>
      <c r="DX255" s="1438"/>
      <c r="DY255" s="1439">
        <f>DY253/DV253-1</f>
        <v>-5.8461538461538454E-2</v>
      </c>
      <c r="DZ255" s="1439">
        <f>DZ253/DY253-1</f>
        <v>4.466230936819171E-2</v>
      </c>
      <c r="EA255" s="1439">
        <f>EA253/DZ253-1</f>
        <v>-7.8206465067778952E-2</v>
      </c>
      <c r="EB255" s="1439">
        <f>EB253/EA253-1</f>
        <v>6.3348416289592757E-2</v>
      </c>
      <c r="EC255" s="1440"/>
      <c r="ED255" s="1438"/>
      <c r="EE255" s="1439">
        <f>EE253/EB253-1</f>
        <v>-9.0425531914893664E-2</v>
      </c>
      <c r="EF255" s="1439">
        <f>EF253/EE253-1</f>
        <v>9.3567251461988299E-2</v>
      </c>
      <c r="EG255" s="1439">
        <f>EG253/EF253-1</f>
        <v>-8.2352941176470629E-2</v>
      </c>
      <c r="EH255" s="1439">
        <f>EH253/EG253-1</f>
        <v>4.7785547785547777E-2</v>
      </c>
      <c r="EI255" s="1440"/>
      <c r="EJ255" s="1438"/>
      <c r="EK255" s="1439">
        <f>EK253/EH253-1</f>
        <v>-4.1156840934371552E-2</v>
      </c>
      <c r="EL255" s="1439">
        <f>EL253/EK253-1</f>
        <v>-1.1600928074245731E-3</v>
      </c>
      <c r="EM255" s="1439">
        <f>EM253/EL253-1</f>
        <v>-7.8977932636469239E-2</v>
      </c>
      <c r="EN255" s="1439">
        <f>EN253/EM253-1</f>
        <v>9.9621689785624135E-2</v>
      </c>
      <c r="EO255" s="1440"/>
      <c r="EP255" s="1438"/>
      <c r="EQ255" s="1439">
        <f>EQ253/EN253-1</f>
        <v>-7.3394495412844041E-2</v>
      </c>
      <c r="ER255" s="1439">
        <f>ER253/EQ253-1</f>
        <v>4.4282178217821766E-2</v>
      </c>
      <c r="ES255" s="1439">
        <f>ES253/ER253-1</f>
        <v>-3.7663846026215309E-2</v>
      </c>
      <c r="ET255" s="1439">
        <f>ET253/ES253-1</f>
        <v>0.10098522167487678</v>
      </c>
      <c r="EU255" s="1440"/>
      <c r="EV255" s="1438"/>
      <c r="EW255" s="1439">
        <f>EW253/ET253-1</f>
        <v>-3.8031319910514561E-2</v>
      </c>
      <c r="EX255" s="1439">
        <f>EX253/EW253-1</f>
        <v>-4.6511627906976605E-3</v>
      </c>
      <c r="EY255" s="1439">
        <f>EY253/EX253-1</f>
        <v>-7.0093457943925186E-2</v>
      </c>
      <c r="EZ255" s="1439">
        <f>EZ253/EY253-1</f>
        <v>0.14557788944723615</v>
      </c>
      <c r="FA255" s="1440"/>
      <c r="FB255" s="1438"/>
      <c r="FC255" s="1439">
        <f>FC253/EZ253-1</f>
        <v>-5.689345089266129E-2</v>
      </c>
      <c r="FD255" s="1439">
        <f>FD253/FC253-1</f>
        <v>-4.6511627906976605E-3</v>
      </c>
      <c r="FE255" s="1439">
        <f>FE253/FD253-1</f>
        <v>-7.0093457943925186E-2</v>
      </c>
      <c r="FF255" s="1439">
        <f>FF253/FE253-1</f>
        <v>0.14557788944723615</v>
      </c>
      <c r="FG255" s="1440"/>
      <c r="FH255" s="1438"/>
      <c r="FI255" s="1439">
        <f>FI253/FF253-1</f>
        <v>-5.689345089266129E-2</v>
      </c>
      <c r="FJ255" s="1439">
        <f>FJ253/FI253-1</f>
        <v>-4.6511627906976605E-3</v>
      </c>
      <c r="FK255" s="1439">
        <f>FK253/FJ253-1</f>
        <v>-7.0093457943925186E-2</v>
      </c>
      <c r="FL255" s="1439">
        <f>FL253/FK253-1</f>
        <v>0.14557788944723615</v>
      </c>
      <c r="FM255" s="1440"/>
      <c r="FQ255"/>
      <c r="FR255"/>
      <c r="FS255"/>
      <c r="FT255"/>
      <c r="FU255"/>
      <c r="FV255"/>
      <c r="GB255" s="621"/>
      <c r="GC255" s="621"/>
      <c r="GD255" s="621"/>
      <c r="GE255" s="621"/>
      <c r="GF255" s="621"/>
      <c r="GG255" s="621"/>
      <c r="GH255" s="621"/>
      <c r="GI255" s="621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</row>
    <row r="256" spans="1:274" s="28" customFormat="1" ht="6" customHeight="1" x14ac:dyDescent="0.2">
      <c r="A256" s="614"/>
      <c r="B256" s="595"/>
      <c r="CG256" s="416"/>
      <c r="CM256" s="416"/>
      <c r="CS256" s="416"/>
      <c r="CY256" s="416"/>
      <c r="DE256" s="416"/>
      <c r="DK256" s="416"/>
      <c r="DQ256" s="416"/>
      <c r="DW256" s="416"/>
      <c r="EC256" s="416"/>
      <c r="EI256" s="416"/>
      <c r="EO256" s="416"/>
      <c r="EU256" s="416"/>
      <c r="FA256" s="416"/>
      <c r="FG256" s="416"/>
      <c r="FM256" s="416"/>
      <c r="FQ256"/>
      <c r="FR256"/>
      <c r="FS256"/>
      <c r="FT256"/>
      <c r="FU256"/>
      <c r="FV256"/>
      <c r="GB256" s="24"/>
      <c r="GC256" s="24"/>
      <c r="GD256" s="24"/>
      <c r="GE256" s="24"/>
      <c r="GF256" s="24"/>
      <c r="GG256" s="24"/>
      <c r="GH256" s="24"/>
      <c r="GI256" s="24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</row>
    <row r="257" spans="1:274" s="28" customFormat="1" ht="12" customHeight="1" x14ac:dyDescent="0.2">
      <c r="A257" s="75" t="s">
        <v>605</v>
      </c>
      <c r="B257" s="1030"/>
      <c r="C257" s="1031"/>
      <c r="D257" s="1031"/>
      <c r="E257" s="1031"/>
      <c r="F257" s="1031"/>
      <c r="G257" s="1031"/>
      <c r="H257" s="1031"/>
      <c r="I257" s="1031"/>
      <c r="J257" s="1031"/>
      <c r="K257" s="1031"/>
      <c r="L257" s="1031"/>
      <c r="M257" s="1031"/>
      <c r="N257" s="1031"/>
      <c r="O257" s="1031"/>
      <c r="P257" s="1031"/>
      <c r="Q257" s="1031"/>
      <c r="R257" s="1031"/>
      <c r="S257" s="1031"/>
      <c r="T257" s="1031"/>
      <c r="U257" s="1031"/>
      <c r="V257" s="1031"/>
      <c r="W257" s="1031"/>
      <c r="X257" s="1031"/>
      <c r="Y257" s="1031"/>
      <c r="Z257" s="1031"/>
      <c r="AA257" s="647">
        <f>AA253/(AA172+X172+W172+V172)</f>
        <v>0.13026814820098073</v>
      </c>
      <c r="AB257" s="647">
        <f>AB253/(AB172+AA172+X172+W172)</f>
        <v>0.15102149492560327</v>
      </c>
      <c r="AC257" s="647">
        <f>AC253/(AC172+AB172+AA172+X172)</f>
        <v>0.13809241726683505</v>
      </c>
      <c r="AD257" s="647">
        <f>AD253/(AD172+AC172+AB172+AA172)</f>
        <v>0.15444773158071887</v>
      </c>
      <c r="AE257" s="1031"/>
      <c r="AF257" s="1031"/>
      <c r="AG257" s="647">
        <f>AG253/(AG172+AD172+AC172+AB172)</f>
        <v>0.15018402925047225</v>
      </c>
      <c r="AH257" s="647">
        <f>AH253/(AH172+AG172+AD172+AC172)</f>
        <v>0.18652936447417906</v>
      </c>
      <c r="AI257" s="647">
        <f>AI253/(AI172+AH172+AG172+AD172)</f>
        <v>0.17616731042064618</v>
      </c>
      <c r="AJ257" s="647">
        <f>AJ253/(AJ172+AI172+AH172+AG172)</f>
        <v>0.21247758217710244</v>
      </c>
      <c r="AK257" s="1031"/>
      <c r="AL257" s="1031"/>
      <c r="AM257" s="647">
        <f>AM253/(AM172+AJ172+AI172+AH172)</f>
        <v>0.20430732910641686</v>
      </c>
      <c r="AN257" s="647">
        <f>AN253/(AN172+AM172+AJ172+AI172)</f>
        <v>0.22113104279568416</v>
      </c>
      <c r="AO257" s="647">
        <f>AO253/(AO172+AN172+AM172+AJ172)</f>
        <v>0.20187741762366626</v>
      </c>
      <c r="AP257" s="647">
        <f>AP253/(AP172+AO172+AN172+AM172)</f>
        <v>0.21162320642251395</v>
      </c>
      <c r="AQ257" s="1031"/>
      <c r="AR257" s="1031"/>
      <c r="AS257" s="647">
        <f>AS253/(AS172+AP172+AO172+AN172)</f>
        <v>0.18837724129452371</v>
      </c>
      <c r="AT257" s="647">
        <f>AT253/(AT172+AS172+AP172+AO172)</f>
        <v>0.18549401843238475</v>
      </c>
      <c r="AU257" s="647">
        <f>AU253/(AU172+AT172+AS172+AP172)</f>
        <v>0.1556580132307514</v>
      </c>
      <c r="AV257" s="647">
        <f>AV253/(AV172+AU172+AT172+AS172)</f>
        <v>0.161527999000702</v>
      </c>
      <c r="AW257" s="1031"/>
      <c r="AX257" s="1031"/>
      <c r="AY257" s="647">
        <f>AY253/(AY172+AV172+AU172+AT172)</f>
        <v>0.14237309607309079</v>
      </c>
      <c r="AZ257" s="647">
        <f>AZ253/(AZ172+AY172+AV172+AU172)</f>
        <v>0.14738033683359397</v>
      </c>
      <c r="BA257" s="647">
        <f>BA253/(BA172+AZ172+AY172+AV172)</f>
        <v>0.13836502180073226</v>
      </c>
      <c r="BB257" s="647">
        <f>BB253/(BB172+BA172+AZ172+AY172)</f>
        <v>0.14828083526564706</v>
      </c>
      <c r="BC257" s="1031"/>
      <c r="BD257" s="1031"/>
      <c r="BE257" s="647">
        <f>BE253/(BE172+BB172+BA172+AZ172)</f>
        <v>0.15262970113706648</v>
      </c>
      <c r="BF257" s="647">
        <f>BF253/(BF172+BE172+BB172+BA172)</f>
        <v>0.1606015573186608</v>
      </c>
      <c r="BG257" s="647">
        <f>BG253/(BG172+BF172+BE172+BB172)</f>
        <v>0.15277631426838112</v>
      </c>
      <c r="BH257" s="647">
        <f>BH253/(BH172+BG172+BF172+BE172)</f>
        <v>0.18940440456438165</v>
      </c>
      <c r="BI257" s="1031"/>
      <c r="BJ257" s="1031"/>
      <c r="BK257" s="647">
        <f>BK253/(BK172+BH172+BG172+BF172)</f>
        <v>0.17004107099153984</v>
      </c>
      <c r="BL257" s="647">
        <f>BL253/(BL172+BK172+BH172+BG172)</f>
        <v>0.18126344306530615</v>
      </c>
      <c r="BM257" s="647">
        <f>BM253/(BM172+BL172+BK172+BH172)</f>
        <v>0.16919385161297107</v>
      </c>
      <c r="BN257" s="647">
        <f>BN253/(BN172+BM172+BL172+BK172)</f>
        <v>0.17706422018348625</v>
      </c>
      <c r="BO257" s="1031"/>
      <c r="BP257" s="1031"/>
      <c r="BQ257" s="647">
        <f>BQ253/(BQ172+BN172+BM172+BL172)</f>
        <v>0.15872524752475248</v>
      </c>
      <c r="BR257" s="647">
        <f>BR253/(BR172+BQ172+BN172+BM172)</f>
        <v>0.15924142083082479</v>
      </c>
      <c r="BS257" s="647">
        <f>BS253/(BS172+BR172+BQ172+BN172)</f>
        <v>0.14235500878734622</v>
      </c>
      <c r="BT257" s="647">
        <f>BT253/(BT172+BS172+BR172+BQ172)</f>
        <v>0.15758260378424174</v>
      </c>
      <c r="BU257" s="1031"/>
      <c r="BV257" s="1031"/>
      <c r="BW257" s="647">
        <f>BW253/(BW172+BT172+BS172+BR172)</f>
        <v>0.13299804414640962</v>
      </c>
      <c r="BX257" s="647">
        <f>BX253/(BX172+BW172+BT172+BS172)</f>
        <v>0.1442489851150203</v>
      </c>
      <c r="BY257" s="647">
        <f>BY253/(BY172+BX172+BW172+BT172)</f>
        <v>0.16179183135704875</v>
      </c>
      <c r="BZ257" s="647">
        <f>BZ253/(BZ172+BY172+BX172+BW172)</f>
        <v>0.1845965770171149</v>
      </c>
      <c r="CA257" s="1031"/>
      <c r="CB257" s="1031"/>
      <c r="CC257" s="647">
        <f>CC253/(CC172+BZ172+BY172+BX172)</f>
        <v>0.15327237728585177</v>
      </c>
      <c r="CD257" s="647">
        <f>CD253/(CD172+CC172+BZ172+BY172)</f>
        <v>0.15908555267499411</v>
      </c>
      <c r="CE257" s="647">
        <f>CE253/(CE172+CD172+CC172+BZ172)</f>
        <v>0.15276386485748111</v>
      </c>
      <c r="CF257" s="647">
        <f>CF253/(CF172+CE172+CD172+CC172)</f>
        <v>0.17474104885409023</v>
      </c>
      <c r="CG257" s="1032"/>
      <c r="CH257" s="1031"/>
      <c r="CI257" s="647">
        <f>CI253/(CI172+CF172+CE172+CD172)</f>
        <v>0.16655510493365358</v>
      </c>
      <c r="CJ257" s="647">
        <f>CJ253/(CJ172+CI172+CF172+CE172)</f>
        <v>0.18150868334480913</v>
      </c>
      <c r="CK257" s="647">
        <f>CK253/(CK172+CJ172+CI172+CF172)</f>
        <v>0.16588192683810213</v>
      </c>
      <c r="CL257" s="647">
        <f>CL253/(CL172+CK172+CJ172+CI172)</f>
        <v>0.18276096565793948</v>
      </c>
      <c r="CM257" s="1032"/>
      <c r="CN257" s="1031"/>
      <c r="CO257" s="647">
        <f>CO253/(CO172+CL172+CK172+CJ172)</f>
        <v>0.17177615571776156</v>
      </c>
      <c r="CP257" s="647">
        <f>CP253/(CP172+CO172+CL172+CK172)</f>
        <v>0.17416239058255359</v>
      </c>
      <c r="CQ257" s="647">
        <f>CQ253/(CQ172+CP172+CO172+CL172)</f>
        <v>0.16185055458260361</v>
      </c>
      <c r="CR257" s="647">
        <f>CR253/(CR172+CQ172+CP172+CO172)</f>
        <v>0.16833000665335995</v>
      </c>
      <c r="CS257" s="1032"/>
      <c r="CT257" s="1031"/>
      <c r="CU257" s="647">
        <f>CU253/(CU172+CR172+CQ172+CP172)</f>
        <v>0.15124624820566357</v>
      </c>
      <c r="CV257" s="647">
        <f>CV253/(CV172+CU172+CR172+CQ172)</f>
        <v>0.14840572103398503</v>
      </c>
      <c r="CW257" s="647">
        <f>CW253/(CW172+CV172+CU172+CR172)</f>
        <v>0.13562026326286397</v>
      </c>
      <c r="CX257" s="647">
        <f>CX253/(CX172+CW172+CV172+CU172)</f>
        <v>0.14955764639797781</v>
      </c>
      <c r="CY257" s="1032"/>
      <c r="CZ257" s="1031"/>
      <c r="DA257" s="647">
        <f>DA253/(DA172+CX172+CW172+CV172)</f>
        <v>0.13147237489152444</v>
      </c>
      <c r="DB257" s="647">
        <f>DB253/(DB172+DA172+CX172+CW172)</f>
        <v>0.13802045814724104</v>
      </c>
      <c r="DC257" s="647">
        <f>DC253/(DC172+DB172+DA172+CX172)</f>
        <v>0.13033009491278663</v>
      </c>
      <c r="DD257" s="647">
        <f>DD253/(DD172+DC172+DB172+DA172)</f>
        <v>0.14705882352941177</v>
      </c>
      <c r="DE257" s="1032"/>
      <c r="DF257" s="1031"/>
      <c r="DG257" s="647">
        <f>DG253/(DG172+DD172+DC172+DB172)</f>
        <v>0.13705661927005802</v>
      </c>
      <c r="DH257" s="647">
        <f>DH253/(DH172+DG172+DD172+DC172)</f>
        <v>0.14560601592450606</v>
      </c>
      <c r="DI257" s="647">
        <f>DI253/(DI172+DH172+DG172+DD172)</f>
        <v>0.13273106323835998</v>
      </c>
      <c r="DJ257" s="647">
        <f>DJ253/(DJ172+DI172+DH172+DG172)</f>
        <v>0.13513806172171089</v>
      </c>
      <c r="DK257" s="1032"/>
      <c r="DL257" s="1031"/>
      <c r="DM257" s="647">
        <f>DM253/(DM172+DJ172+DI172+DH172)</f>
        <v>0.12490737800359902</v>
      </c>
      <c r="DN257" s="647">
        <f>DN253/(DN172+DM172+DJ172+DI172)</f>
        <v>0.12426284751474305</v>
      </c>
      <c r="DO257" s="647">
        <f>DO253/(DO172+DN172+DM172+DJ172)</f>
        <v>0.11819999999999999</v>
      </c>
      <c r="DP257" s="647">
        <f>DP253/(DP172+DO172+DN172+DM172)</f>
        <v>0.1211</v>
      </c>
      <c r="DQ257" s="1032"/>
      <c r="DR257" s="1031"/>
      <c r="DS257" s="647">
        <f>DS253/(DS172+DP172+DO172+DN172)</f>
        <v>0.10153061224489796</v>
      </c>
      <c r="DT257" s="647">
        <f>DT253/(DT172+DS172+DP172+DO172)</f>
        <v>0.10178373475763378</v>
      </c>
      <c r="DU257" s="647">
        <f>DU253/(DU172+DT172+DS172+DP172)</f>
        <v>9.689119170984456E-2</v>
      </c>
      <c r="DV257" s="647">
        <f>DV253/(DV172+DU172+DT172+DS172)</f>
        <v>0.10359116022099447</v>
      </c>
      <c r="DW257" s="1032"/>
      <c r="DX257" s="1031"/>
      <c r="DY257" s="647">
        <f>DY253/(DY172+DV172+DU172+DT172)</f>
        <v>9.72457627118644E-2</v>
      </c>
      <c r="DZ257" s="647">
        <f>DZ253/(DZ172+DY172+DV172+DU172)</f>
        <v>0.10212992545260915</v>
      </c>
      <c r="EA257" s="647">
        <f>EA253/(EA172+DZ172+DY172+DV172)</f>
        <v>9.3872783264309229E-2</v>
      </c>
      <c r="EB257" s="647">
        <f>EB253/(EB172+EA172+DZ172+DY172)</f>
        <v>9.9819475416799405E-2</v>
      </c>
      <c r="EC257" s="1032"/>
      <c r="ED257" s="1031"/>
      <c r="EE257" s="647">
        <f>EE253/(EE172+EB172+EA172+DZ172)</f>
        <v>9.1073711120579465E-2</v>
      </c>
      <c r="EF257" s="647">
        <f>EF253/(EF172+EE172+EB172+EA172)</f>
        <v>0.10040807560137457</v>
      </c>
      <c r="EG257" s="647">
        <f>EG253/(EG172+EF172+EE172+EB172)</f>
        <v>9.3606807767837655E-2</v>
      </c>
      <c r="EH257" s="647">
        <f>EH253/(EH172+EG172+EF172+EE172)</f>
        <v>0.10533099004100761</v>
      </c>
      <c r="EI257" s="1032"/>
      <c r="EJ257" s="1031"/>
      <c r="EK257" s="647">
        <f>EK253/(EK172+EH172+EG172+EF172)</f>
        <v>0.10365560365560365</v>
      </c>
      <c r="EL257" s="647">
        <f>EL253/(EL172+EK172+EH172+EG172)</f>
        <v>0.1083291394061399</v>
      </c>
      <c r="EM257" s="647">
        <f>EM253/(EM172+EL172+EK172+EH172)</f>
        <v>0.10371436044990845</v>
      </c>
      <c r="EN257" s="647">
        <f>EN253/(EN172+EM172+EL172+EK172)</f>
        <v>0.11987902117129502</v>
      </c>
      <c r="EO257" s="1032"/>
      <c r="EP257" s="1031"/>
      <c r="EQ257" s="1769">
        <f>EQ253/(EQ172+EN172+EM172+EL172)</f>
        <v>0.11295959737173214</v>
      </c>
      <c r="ER257" s="1769">
        <f>ER253/(ER172+EQ172+EN172+EM172)</f>
        <v>0.12366700864722263</v>
      </c>
      <c r="ES257" s="1769">
        <f>ES253/(ES172+ER172+EQ172+EN172)</f>
        <v>0.12383712063443648</v>
      </c>
      <c r="ET257" s="1769">
        <f>ET253/(ET172+ES172+ER172+EQ172)</f>
        <v>0.13931743805516597</v>
      </c>
      <c r="EU257" s="1770"/>
      <c r="EV257" s="1771"/>
      <c r="EW257" s="1769">
        <f>EW253/(EW172+ET172+ES172+ER172)</f>
        <v>0.1353691169526208</v>
      </c>
      <c r="EX257" s="1769">
        <f>EX253/(EX172+EW172+ET172+ES172)</f>
        <v>0.13461236043403052</v>
      </c>
      <c r="EY257" s="1769">
        <f>EY253/(EY172+EX172+EW172+ET172)</f>
        <v>0.12569082583293859</v>
      </c>
      <c r="EZ257" s="1769">
        <f>EZ253/(EZ172+EY172+EX172+EW172)</f>
        <v>0.14813479115850314</v>
      </c>
      <c r="FA257" s="1770"/>
      <c r="FB257" s="1771"/>
      <c r="FC257" s="1769">
        <f>FC253/(FC172+EZ172+EY172+EX172)</f>
        <v>0.13992647351932164</v>
      </c>
      <c r="FD257" s="1769">
        <f>FD253/(FD172+FC172+EZ172+EY172)</f>
        <v>0.14113988595039825</v>
      </c>
      <c r="FE257" s="1769">
        <f>FE253/(FE172+FD172+FC172+EZ172)</f>
        <v>0.13338371528944351</v>
      </c>
      <c r="FF257" s="1769">
        <f>FF253/(FF172+FE172+FD172+FC172)</f>
        <v>0.15798759959856165</v>
      </c>
      <c r="FG257" s="1770"/>
      <c r="FH257" s="1771"/>
      <c r="FI257" s="1769">
        <f>FI253/(FI172+FF172+FE172+FD172)</f>
        <v>0.15100069035408642</v>
      </c>
      <c r="FJ257" s="1769">
        <f>FJ253/(FJ172+FI172+FF172+FE172)</f>
        <v>0.1530322390658197</v>
      </c>
      <c r="FK257" s="1769">
        <f>FK253/(FK172+FJ172+FI172+FF172)</f>
        <v>0.14498229922765599</v>
      </c>
      <c r="FL257" s="1769">
        <f>FL253/(FL172+FK172+FJ172+FI172)</f>
        <v>0.17172565173756704</v>
      </c>
      <c r="FM257" s="1770"/>
      <c r="FQ257"/>
      <c r="FR257"/>
      <c r="FS257"/>
      <c r="FT257"/>
      <c r="FU257"/>
      <c r="FV257"/>
      <c r="GB257" s="24"/>
      <c r="GC257" s="24"/>
      <c r="GD257" s="24"/>
      <c r="GE257" s="24"/>
      <c r="GF257" s="24"/>
      <c r="GG257" s="24"/>
      <c r="GH257" s="24"/>
      <c r="GI257" s="24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</row>
    <row r="258" spans="1:274" s="28" customFormat="1" ht="8.25" customHeight="1" x14ac:dyDescent="0.2">
      <c r="A258" s="18"/>
      <c r="B258" s="595"/>
      <c r="BY258" s="33"/>
      <c r="BZ258" s="33"/>
      <c r="CC258" s="33"/>
      <c r="CD258" s="33"/>
      <c r="CE258" s="33"/>
      <c r="CG258" s="416"/>
      <c r="CI258" s="33"/>
      <c r="CJ258" s="33"/>
      <c r="CK258" s="33"/>
      <c r="CM258" s="416"/>
      <c r="CS258" s="416"/>
      <c r="CY258" s="416"/>
      <c r="DE258" s="416"/>
      <c r="DK258" s="416"/>
      <c r="DQ258" s="416"/>
      <c r="DW258" s="416"/>
      <c r="EC258" s="416"/>
      <c r="EI258" s="416"/>
      <c r="EO258" s="416"/>
      <c r="EU258" s="416"/>
      <c r="FA258" s="416"/>
      <c r="FG258" s="416"/>
      <c r="FM258" s="416"/>
      <c r="FQ258"/>
      <c r="FR258"/>
      <c r="FS258"/>
      <c r="FT258"/>
      <c r="FU258"/>
      <c r="FV258"/>
      <c r="GB258" s="24"/>
      <c r="GC258" s="24"/>
      <c r="GD258" s="24"/>
      <c r="GE258" s="24"/>
      <c r="GF258" s="24"/>
      <c r="GG258" s="24"/>
      <c r="GH258" s="24"/>
      <c r="GI258" s="24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</row>
    <row r="259" spans="1:274" s="646" customFormat="1" ht="12" hidden="1" customHeight="1" outlineLevel="1" x14ac:dyDescent="0.2">
      <c r="A259" s="648" t="s">
        <v>235</v>
      </c>
      <c r="B259" s="624"/>
      <c r="C259" s="649" t="s">
        <v>945</v>
      </c>
      <c r="D259" s="649" t="s">
        <v>945</v>
      </c>
      <c r="E259" s="649" t="s">
        <v>945</v>
      </c>
      <c r="F259" s="649" t="s">
        <v>945</v>
      </c>
      <c r="G259" s="649" t="s">
        <v>945</v>
      </c>
      <c r="H259" s="649" t="s">
        <v>945</v>
      </c>
      <c r="I259" s="649" t="s">
        <v>945</v>
      </c>
      <c r="J259" s="649" t="s">
        <v>945</v>
      </c>
      <c r="K259" s="649" t="s">
        <v>945</v>
      </c>
      <c r="L259" s="649" t="s">
        <v>945</v>
      </c>
      <c r="M259" s="649" t="s">
        <v>945</v>
      </c>
      <c r="N259" s="624"/>
      <c r="O259" s="650" t="s">
        <v>945</v>
      </c>
      <c r="P259" s="650" t="s">
        <v>945</v>
      </c>
      <c r="Q259" s="650" t="s">
        <v>945</v>
      </c>
      <c r="R259" s="650" t="s">
        <v>945</v>
      </c>
      <c r="S259" s="650" t="s">
        <v>945</v>
      </c>
      <c r="T259" s="624"/>
      <c r="U259" s="650" t="s">
        <v>945</v>
      </c>
      <c r="V259" s="650" t="s">
        <v>945</v>
      </c>
      <c r="W259" s="650" t="s">
        <v>945</v>
      </c>
      <c r="X259" s="650" t="s">
        <v>945</v>
      </c>
      <c r="Y259" s="650" t="s">
        <v>945</v>
      </c>
      <c r="Z259" s="624"/>
      <c r="AA259" s="650" t="s">
        <v>945</v>
      </c>
      <c r="AB259" s="650" t="s">
        <v>945</v>
      </c>
      <c r="AC259" s="650" t="s">
        <v>945</v>
      </c>
      <c r="AD259" s="650" t="s">
        <v>945</v>
      </c>
      <c r="AE259" s="650" t="s">
        <v>945</v>
      </c>
      <c r="AF259" s="624"/>
      <c r="AG259" s="650" t="s">
        <v>945</v>
      </c>
      <c r="AH259" s="650" t="s">
        <v>945</v>
      </c>
      <c r="AI259" s="650" t="s">
        <v>945</v>
      </c>
      <c r="AJ259" s="650" t="s">
        <v>945</v>
      </c>
      <c r="AK259" s="650" t="s">
        <v>945</v>
      </c>
      <c r="AL259" s="624"/>
      <c r="AM259" s="650" t="s">
        <v>945</v>
      </c>
      <c r="AN259" s="650" t="s">
        <v>945</v>
      </c>
      <c r="AO259" s="650" t="s">
        <v>945</v>
      </c>
      <c r="AP259" s="650" t="s">
        <v>945</v>
      </c>
      <c r="AQ259" s="650" t="s">
        <v>945</v>
      </c>
      <c r="AR259" s="624"/>
      <c r="AS259" s="650" t="s">
        <v>945</v>
      </c>
      <c r="AT259" s="650" t="s">
        <v>945</v>
      </c>
      <c r="AU259" s="650" t="s">
        <v>945</v>
      </c>
      <c r="AV259" s="650" t="s">
        <v>945</v>
      </c>
      <c r="AW259" s="650" t="s">
        <v>945</v>
      </c>
      <c r="AX259" s="624"/>
      <c r="AY259" s="650" t="s">
        <v>945</v>
      </c>
      <c r="AZ259" s="650" t="s">
        <v>945</v>
      </c>
      <c r="BA259" s="650" t="s">
        <v>945</v>
      </c>
      <c r="BB259" s="650" t="s">
        <v>945</v>
      </c>
      <c r="BC259" s="650" t="s">
        <v>945</v>
      </c>
      <c r="BD259" s="624"/>
      <c r="BE259" s="650">
        <f>Model!BE72</f>
        <v>524.67499999999995</v>
      </c>
      <c r="BF259" s="650">
        <f>Model!BF72</f>
        <v>510.93700000000001</v>
      </c>
      <c r="BG259" s="650">
        <f>Model!BG72</f>
        <v>458.81299999999999</v>
      </c>
      <c r="BH259" s="650">
        <f>Model!BH72</f>
        <v>487.37200000000001</v>
      </c>
      <c r="BI259" s="650">
        <f>Model!BI72</f>
        <v>1981.7970000000003</v>
      </c>
      <c r="BJ259" s="624"/>
      <c r="BK259" s="650">
        <f>Model!BK72</f>
        <v>432</v>
      </c>
      <c r="BL259" s="650">
        <f>Model!BL72</f>
        <v>455</v>
      </c>
      <c r="BM259" s="650">
        <f>Model!BM72</f>
        <v>430</v>
      </c>
      <c r="BN259" s="650">
        <f>Model!BN72</f>
        <v>444</v>
      </c>
      <c r="BO259" s="650">
        <f>Model!BO72</f>
        <v>1761</v>
      </c>
      <c r="BP259" s="624"/>
      <c r="BQ259" s="650">
        <f>Model!BQ72</f>
        <v>397</v>
      </c>
      <c r="BR259" s="650">
        <f>Model!BR72</f>
        <v>396</v>
      </c>
      <c r="BS259" s="650">
        <f>Model!BS72</f>
        <v>374</v>
      </c>
      <c r="BT259" s="650">
        <f>Model!BT72</f>
        <v>422</v>
      </c>
      <c r="BU259" s="650">
        <f>SUM(BQ259:BT259)</f>
        <v>1589</v>
      </c>
      <c r="BV259" s="624"/>
      <c r="BW259" s="650">
        <f>Model!BW72</f>
        <v>355</v>
      </c>
      <c r="BX259" s="650">
        <f>Model!BX72</f>
        <v>395</v>
      </c>
      <c r="BY259" s="650">
        <f>Model!BY72</f>
        <v>470</v>
      </c>
      <c r="BZ259" s="650">
        <f>Model!BZ72</f>
        <v>589</v>
      </c>
      <c r="CA259" s="650">
        <f>SUM(BW259:BZ259)</f>
        <v>1809</v>
      </c>
      <c r="CB259" s="624"/>
      <c r="CC259" s="650">
        <f>Model!CC72</f>
        <v>481</v>
      </c>
      <c r="CD259" s="650">
        <f>Model!CD72</f>
        <v>506</v>
      </c>
      <c r="CE259" s="650">
        <f>Model!CE72</f>
        <v>501</v>
      </c>
      <c r="CF259" s="650">
        <f>Model!CF72</f>
        <v>632</v>
      </c>
      <c r="CG259" s="651">
        <f>SUM(CC259:CF259)</f>
        <v>2120</v>
      </c>
      <c r="CH259" s="624"/>
      <c r="CI259" s="650">
        <f>Model!CI72</f>
        <v>640</v>
      </c>
      <c r="CJ259" s="650">
        <f>Model!CJ72</f>
        <v>716</v>
      </c>
      <c r="CK259" s="650">
        <f>Model!CK72</f>
        <v>694</v>
      </c>
      <c r="CL259" s="650">
        <f>Model!CL72</f>
        <v>819</v>
      </c>
      <c r="CM259" s="651">
        <f>SUM(CI259:CL259)</f>
        <v>2869</v>
      </c>
      <c r="CN259" s="624"/>
      <c r="CO259" s="650">
        <f>Model!CO72</f>
        <v>801</v>
      </c>
      <c r="CP259" s="650">
        <f>Model!CP72</f>
        <v>877</v>
      </c>
      <c r="CQ259" s="650">
        <f>Model!CQ72</f>
        <v>843</v>
      </c>
      <c r="CR259" s="650">
        <f>Model!CR72</f>
        <v>957</v>
      </c>
      <c r="CS259" s="651">
        <f>SUM(CO259:CR259)</f>
        <v>3478</v>
      </c>
      <c r="CT259" s="624"/>
      <c r="CU259" s="650">
        <f>Model!CU72</f>
        <v>865</v>
      </c>
      <c r="CV259" s="650">
        <f>Model!CV72</f>
        <v>842</v>
      </c>
      <c r="CW259" s="650">
        <f>Model!CW72</f>
        <v>758</v>
      </c>
      <c r="CX259" s="650">
        <f>Model!CX72</f>
        <v>782</v>
      </c>
      <c r="CY259" s="651">
        <f>SUM(CU259:CX259)</f>
        <v>3247</v>
      </c>
      <c r="CZ259" s="624"/>
      <c r="DA259" s="650">
        <f>Model!DA72</f>
        <v>663</v>
      </c>
      <c r="DB259" s="650">
        <f>Model!DB72</f>
        <v>692</v>
      </c>
      <c r="DC259" s="650">
        <f>Model!DC72</f>
        <v>651</v>
      </c>
      <c r="DD259" s="650">
        <f>Model!DD72</f>
        <v>713</v>
      </c>
      <c r="DE259" s="651">
        <f>SUM(DA259:DD259)</f>
        <v>2719</v>
      </c>
      <c r="DF259" s="624"/>
      <c r="DG259" s="650">
        <f>Model!DG72</f>
        <v>666</v>
      </c>
      <c r="DH259" s="650">
        <f>Model!DH72</f>
        <v>738</v>
      </c>
      <c r="DI259" s="650">
        <f>Model!DI72</f>
        <v>722</v>
      </c>
      <c r="DJ259" s="650">
        <f>Model!DJ72</f>
        <v>787</v>
      </c>
      <c r="DK259" s="651">
        <f>SUM(DG259:DJ259)</f>
        <v>2913</v>
      </c>
      <c r="DL259" s="624"/>
      <c r="DM259" s="650">
        <f>SUM(DH$172,DI$172,DJ$172,DM$172)*DM262</f>
        <v>727.41899999999998</v>
      </c>
      <c r="DN259" s="650">
        <f>SUM(DI$172,DJ$172,DM$172,DN$172)*DN262</f>
        <v>740.68799999999999</v>
      </c>
      <c r="DO259" s="650">
        <f>SUM(DJ$172,DM$172,DN$172,DO$172)*DO262</f>
        <v>706.81920000000002</v>
      </c>
      <c r="DP259" s="650">
        <f>SUM(DM$172,DN$172,DO$172,DP$172)*DP262</f>
        <v>735.59069999999997</v>
      </c>
      <c r="DQ259" s="651">
        <f>SUM(DM259:DP259)</f>
        <v>2910.5168999999996</v>
      </c>
      <c r="DR259" s="624"/>
      <c r="DS259" s="650">
        <f>SUM(DN$172,DO$172,DP$172,DS$172)*DS262</f>
        <v>687.96</v>
      </c>
      <c r="DT259" s="650">
        <f>SUM(DO$172,DP$172,DS$172,DT$172)*DT262</f>
        <v>676.74860000000001</v>
      </c>
      <c r="DU259" s="650">
        <f>SUM(DP$172,DS$172,DT$172,DU$172)*DU262</f>
        <v>627.25</v>
      </c>
      <c r="DV259" s="650">
        <f>SUM(DS$172,DT$172,DU$172,DV$172)*DV262</f>
        <v>621.19200000000001</v>
      </c>
      <c r="DW259" s="651">
        <f>SUM(DS259:DV259)</f>
        <v>2613.1505999999999</v>
      </c>
      <c r="DX259" s="624"/>
      <c r="DY259" s="650">
        <f>SUM(DT$172,DU$172,DV$172,DY$172)*DY262</f>
        <v>590</v>
      </c>
      <c r="DZ259" s="650">
        <f>SUM(DU$172,DV$172,DY$172,DZ$172)*DZ262</f>
        <v>596.26499999999999</v>
      </c>
      <c r="EA259" s="650">
        <f>SUM(DV$172,DY$172,DZ$172,EA$172)*EA262</f>
        <v>583.85400000000004</v>
      </c>
      <c r="EB259" s="650">
        <f>SUM(DY$172,DZ$172,EA$172,EB$172)*EB262</f>
        <v>583.85400000000004</v>
      </c>
      <c r="EC259" s="651">
        <f>SUM(DY259:EB259)</f>
        <v>2353.973</v>
      </c>
      <c r="ED259" s="624"/>
      <c r="EE259" s="650">
        <f>SUM(DZ$172,EA$172,EB$172,EE$172)*EE262</f>
        <v>567.97399999999993</v>
      </c>
      <c r="EF259" s="650">
        <f>SUM(EA$172,EB$172,EE$172,EF$172)*EF262</f>
        <v>572.68799999999999</v>
      </c>
      <c r="EG259" s="650">
        <f>SUM(EB$172,EE$172,EF$172,EG$172)*EG262</f>
        <v>549.96</v>
      </c>
      <c r="EH259" s="650">
        <f>SUM(EE$172,EF$172,EG$172,EH$172)*EH262</f>
        <v>512.1</v>
      </c>
      <c r="EI259" s="651">
        <f>SUM(EE259:EH259)</f>
        <v>2202.7219999999998</v>
      </c>
      <c r="EJ259" s="624"/>
      <c r="EK259" s="650">
        <f>SUM(EF$172,EG$172,EH$172,EK$172)*EK262</f>
        <v>486.48599999999999</v>
      </c>
      <c r="EL259" s="650">
        <f>SUM(EG$172,EH$172,EK$172,EL$172)*EL262</f>
        <v>472.90600000000001</v>
      </c>
      <c r="EM259" s="650">
        <f>SUM(EH$172,EK$172,EL$172,EM$172)*EM262</f>
        <v>443.46799999999996</v>
      </c>
      <c r="EN259" s="650">
        <f>SUM(EK$172,EL$172,EM$172,EN$172)*EN262</f>
        <v>421.892</v>
      </c>
      <c r="EO259" s="651">
        <f>SUM(EK259:EN259)</f>
        <v>1824.7520000000002</v>
      </c>
      <c r="EP259" s="624"/>
      <c r="EQ259" s="650">
        <f>SUM(EL$172,EM$172,EN$172,EQ$172)*EQ262</f>
        <v>404.14449999999994</v>
      </c>
      <c r="ER259" s="650">
        <f>SUM(EM$172,EN$172,EQ$172,ER$172)*ER262</f>
        <v>392.32249999999999</v>
      </c>
      <c r="ES259" s="650">
        <f>SUM(EN$172,EQ$172,ER$172,ES$172)*ES262</f>
        <v>367.19199999999995</v>
      </c>
      <c r="ET259" s="650">
        <f>SUM(EQ$172,ER$172,ES$172,ET$172)*ET262</f>
        <v>359.35199999999998</v>
      </c>
      <c r="EU259" s="651">
        <f>SUM(EQ259:ET259)</f>
        <v>1523.011</v>
      </c>
      <c r="EV259" s="1772"/>
      <c r="EW259" s="650">
        <f>SUM(ER$172,ES$172,ET$172,EW$172)*EW262</f>
        <v>346.23849999999993</v>
      </c>
      <c r="EX259" s="650">
        <f>SUM(ES$172,ET$172,EW$172,EX$172)*EX262</f>
        <v>352.92449999999997</v>
      </c>
      <c r="EY259" s="650">
        <f>SUM(ET$172,EW$172,EX$172,EY$172)*EY262</f>
        <v>341.98199999999997</v>
      </c>
      <c r="EZ259" s="650">
        <f>SUM(EW$172,EX$172,EY$172,EZ$172)*EZ262</f>
        <v>332.41022999999996</v>
      </c>
      <c r="FA259" s="651">
        <f>SUM(EW259:EZ259)</f>
        <v>1373.5552299999999</v>
      </c>
      <c r="FB259" s="1772"/>
      <c r="FC259" s="650">
        <f>SUM(EX$172,EY$172,EZ$172,FC$172)*FC262</f>
        <v>322.66946249999995</v>
      </c>
      <c r="FD259" s="650">
        <f>SUM(EY$172,EZ$172,FC$172,FD$172)*FD262</f>
        <v>324.47241749999995</v>
      </c>
      <c r="FE259" s="650">
        <f>SUM(EZ$172,FC$172,FD$172,FE$172)*FE262</f>
        <v>310.32273999999995</v>
      </c>
      <c r="FF259" s="650">
        <f>SUM(FC$172,FD$172,FE$172,FF$172)*FF262</f>
        <v>300.13596079999996</v>
      </c>
      <c r="FG259" s="651">
        <f>SUM(FC259:FF259)</f>
        <v>1257.6005807999998</v>
      </c>
      <c r="FH259" s="1772"/>
      <c r="FI259" s="650">
        <f>SUM(FD$172,FE$172,FF$172,FI$172)*FI262</f>
        <v>287.61457909999996</v>
      </c>
      <c r="FJ259" s="650">
        <f>SUM(FE$172,FF$172,FI$172,FJ$172)*FJ262</f>
        <v>288.07001889999992</v>
      </c>
      <c r="FK259" s="650">
        <f>SUM(FF$172,FI$172,FJ$172,FK$172)*FK262</f>
        <v>274.51626999999991</v>
      </c>
      <c r="FL259" s="650">
        <f>SUM(FI$172,FJ$172,FK$172,FL$172)*FL262</f>
        <v>265.50488839999991</v>
      </c>
      <c r="FM259" s="651">
        <f>SUM(FI259:FL259)</f>
        <v>1115.7057563999997</v>
      </c>
      <c r="FQ259"/>
      <c r="FR259"/>
      <c r="FS259"/>
      <c r="FT259"/>
      <c r="FU259"/>
      <c r="FV259"/>
      <c r="GB259" s="24"/>
      <c r="GC259" s="24"/>
      <c r="GD259" s="24"/>
      <c r="GE259" s="24"/>
      <c r="GF259" s="24"/>
      <c r="GG259" s="24"/>
      <c r="GH259" s="24"/>
      <c r="GI259" s="24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</row>
    <row r="260" spans="1:274" s="28" customFormat="1" ht="12" hidden="1" customHeight="1" outlineLevel="1" thickBot="1" x14ac:dyDescent="0.25">
      <c r="A260" s="113" t="s">
        <v>161</v>
      </c>
      <c r="B260" s="652"/>
      <c r="C260" s="653" t="s">
        <v>945</v>
      </c>
      <c r="D260" s="653" t="s">
        <v>945</v>
      </c>
      <c r="E260" s="653" t="s">
        <v>945</v>
      </c>
      <c r="F260" s="653" t="s">
        <v>945</v>
      </c>
      <c r="G260" s="653" t="s">
        <v>945</v>
      </c>
      <c r="H260" s="654" t="s">
        <v>945</v>
      </c>
      <c r="I260" s="654" t="s">
        <v>945</v>
      </c>
      <c r="J260" s="654" t="s">
        <v>945</v>
      </c>
      <c r="K260" s="654" t="s">
        <v>945</v>
      </c>
      <c r="L260" s="654" t="s">
        <v>945</v>
      </c>
      <c r="M260" s="654" t="s">
        <v>945</v>
      </c>
      <c r="N260" s="653"/>
      <c r="O260" s="655" t="s">
        <v>945</v>
      </c>
      <c r="P260" s="655" t="s">
        <v>945</v>
      </c>
      <c r="Q260" s="655" t="s">
        <v>945</v>
      </c>
      <c r="R260" s="655" t="s">
        <v>945</v>
      </c>
      <c r="S260" s="655" t="s">
        <v>945</v>
      </c>
      <c r="T260" s="652"/>
      <c r="U260" s="655" t="s">
        <v>945</v>
      </c>
      <c r="V260" s="655" t="s">
        <v>945</v>
      </c>
      <c r="W260" s="655" t="s">
        <v>945</v>
      </c>
      <c r="X260" s="655" t="s">
        <v>945</v>
      </c>
      <c r="Y260" s="655" t="s">
        <v>945</v>
      </c>
      <c r="Z260" s="652"/>
      <c r="AA260" s="655" t="s">
        <v>945</v>
      </c>
      <c r="AB260" s="655" t="s">
        <v>945</v>
      </c>
      <c r="AC260" s="655" t="s">
        <v>945</v>
      </c>
      <c r="AD260" s="655" t="s">
        <v>945</v>
      </c>
      <c r="AE260" s="655" t="s">
        <v>945</v>
      </c>
      <c r="AF260" s="652"/>
      <c r="AG260" s="655" t="s">
        <v>945</v>
      </c>
      <c r="AH260" s="655" t="s">
        <v>945</v>
      </c>
      <c r="AI260" s="655" t="s">
        <v>945</v>
      </c>
      <c r="AJ260" s="655" t="s">
        <v>945</v>
      </c>
      <c r="AK260" s="655" t="s">
        <v>945</v>
      </c>
      <c r="AL260" s="652"/>
      <c r="AM260" s="655" t="s">
        <v>945</v>
      </c>
      <c r="AN260" s="655" t="s">
        <v>945</v>
      </c>
      <c r="AO260" s="655" t="s">
        <v>945</v>
      </c>
      <c r="AP260" s="655" t="s">
        <v>945</v>
      </c>
      <c r="AQ260" s="655" t="s">
        <v>945</v>
      </c>
      <c r="AR260" s="652"/>
      <c r="AS260" s="655" t="s">
        <v>945</v>
      </c>
      <c r="AT260" s="655" t="s">
        <v>945</v>
      </c>
      <c r="AU260" s="655" t="s">
        <v>945</v>
      </c>
      <c r="AV260" s="655" t="s">
        <v>945</v>
      </c>
      <c r="AW260" s="655" t="s">
        <v>945</v>
      </c>
      <c r="AX260" s="652"/>
      <c r="AY260" s="655" t="s">
        <v>945</v>
      </c>
      <c r="AZ260" s="655" t="s">
        <v>945</v>
      </c>
      <c r="BA260" s="655" t="s">
        <v>945</v>
      </c>
      <c r="BB260" s="655" t="s">
        <v>945</v>
      </c>
      <c r="BC260" s="655" t="s">
        <v>945</v>
      </c>
      <c r="BD260" s="652"/>
      <c r="BE260" s="655" t="s">
        <v>945</v>
      </c>
      <c r="BF260" s="655" t="s">
        <v>945</v>
      </c>
      <c r="BG260" s="655" t="s">
        <v>945</v>
      </c>
      <c r="BH260" s="655" t="s">
        <v>945</v>
      </c>
      <c r="BI260" s="655" t="s">
        <v>945</v>
      </c>
      <c r="BJ260" s="652"/>
      <c r="BK260" s="656">
        <f>BK259/BE259-1</f>
        <v>-0.17663315385714962</v>
      </c>
      <c r="BL260" s="656">
        <f>BL259/BF259-1</f>
        <v>-0.1094792508665452</v>
      </c>
      <c r="BM260" s="656">
        <f>BM259/BG259-1</f>
        <v>-6.2799005259223217E-2</v>
      </c>
      <c r="BN260" s="656">
        <f>BN259/BH259-1</f>
        <v>-8.8991571120212054E-2</v>
      </c>
      <c r="BO260" s="656">
        <f>BO259/BI259-1</f>
        <v>-0.11141252106043165</v>
      </c>
      <c r="BP260" s="652"/>
      <c r="BQ260" s="656">
        <f>BQ259/BK259-1</f>
        <v>-8.101851851851849E-2</v>
      </c>
      <c r="BR260" s="656">
        <f>BR259/BL259-1</f>
        <v>-0.12967032967032965</v>
      </c>
      <c r="BS260" s="656">
        <f>BS259/BM259-1</f>
        <v>-0.13023255813953494</v>
      </c>
      <c r="BT260" s="656">
        <f>BT259/BN259-1</f>
        <v>-4.9549549549549599E-2</v>
      </c>
      <c r="BU260" s="656">
        <f>BU259/BO259-1</f>
        <v>-9.7671777399204962E-2</v>
      </c>
      <c r="BV260" s="652"/>
      <c r="BW260" s="656">
        <f>BW259/BQ259-1</f>
        <v>-0.10579345088161207</v>
      </c>
      <c r="BX260" s="656">
        <f>BX259/BR259-1</f>
        <v>-2.525252525252486E-3</v>
      </c>
      <c r="BY260" s="656">
        <f>BY259/BS259-1</f>
        <v>0.25668449197860954</v>
      </c>
      <c r="BZ260" s="656">
        <f>BZ259/BT259-1</f>
        <v>0.39573459715639814</v>
      </c>
      <c r="CA260" s="656">
        <f>CA259/BU259-1</f>
        <v>0.13845185651353042</v>
      </c>
      <c r="CB260" s="652"/>
      <c r="CC260" s="656">
        <f>CC259/BW259-1</f>
        <v>0.3549295774647887</v>
      </c>
      <c r="CD260" s="656">
        <f>CD259/BX259-1</f>
        <v>0.28101265822784804</v>
      </c>
      <c r="CE260" s="656">
        <f>CE259/BY259-1</f>
        <v>6.5957446808510678E-2</v>
      </c>
      <c r="CF260" s="656">
        <f>CF259/BZ259-1</f>
        <v>7.3005093378607722E-2</v>
      </c>
      <c r="CG260" s="657">
        <f>CG259/CA259-1</f>
        <v>0.17191818684355997</v>
      </c>
      <c r="CH260" s="652"/>
      <c r="CI260" s="656">
        <f>CI259/CC259-1</f>
        <v>0.33056133056133064</v>
      </c>
      <c r="CJ260" s="656">
        <f>CJ259/CD259-1</f>
        <v>0.41501976284584985</v>
      </c>
      <c r="CK260" s="656">
        <f>CK259/CE259-1</f>
        <v>0.38522954091816364</v>
      </c>
      <c r="CL260" s="656">
        <f>CL259/CF259-1</f>
        <v>0.29588607594936711</v>
      </c>
      <c r="CM260" s="657">
        <f>CM259/CG259-1</f>
        <v>0.35330188679245289</v>
      </c>
      <c r="CN260" s="652"/>
      <c r="CO260" s="656">
        <f>CO259/CI259-1</f>
        <v>0.25156249999999991</v>
      </c>
      <c r="CP260" s="656">
        <f>CP259/CJ259-1</f>
        <v>0.22486033519553073</v>
      </c>
      <c r="CQ260" s="656">
        <f>CQ259/CK259-1</f>
        <v>0.21469740634005774</v>
      </c>
      <c r="CR260" s="656">
        <f>CR259/CL259-1</f>
        <v>0.16849816849816857</v>
      </c>
      <c r="CS260" s="657">
        <f>CS259/CM259-1</f>
        <v>0.21226908330428729</v>
      </c>
      <c r="CT260" s="652"/>
      <c r="CU260" s="656">
        <f>CU259/CO259-1</f>
        <v>7.9900124843945042E-2</v>
      </c>
      <c r="CV260" s="656">
        <f>CV259/CP259-1</f>
        <v>-3.9908779931584926E-2</v>
      </c>
      <c r="CW260" s="656">
        <f>CW259/CQ259-1</f>
        <v>-0.10083036773428233</v>
      </c>
      <c r="CX260" s="656">
        <f>CX259/CR259-1</f>
        <v>-0.18286311389759669</v>
      </c>
      <c r="CY260" s="657">
        <f>CY259/CS259-1</f>
        <v>-6.641748131109837E-2</v>
      </c>
      <c r="CZ260" s="652"/>
      <c r="DA260" s="656">
        <f>DA259/CU259-1</f>
        <v>-0.23352601156069364</v>
      </c>
      <c r="DB260" s="656">
        <f>DB259/CV259-1</f>
        <v>-0.17814726840855111</v>
      </c>
      <c r="DC260" s="656">
        <f>DC259/CW259-1</f>
        <v>-0.14116094986807393</v>
      </c>
      <c r="DD260" s="656">
        <f>DD259/CX259-1</f>
        <v>-8.8235294117647078E-2</v>
      </c>
      <c r="DE260" s="657">
        <f>DE259/CY259-1</f>
        <v>-0.16261164151524488</v>
      </c>
      <c r="DF260" s="652"/>
      <c r="DG260" s="656">
        <f>DG259/DA259-1</f>
        <v>4.5248868778280382E-3</v>
      </c>
      <c r="DH260" s="656">
        <f>DH259/DB259-1</f>
        <v>6.6473988439306408E-2</v>
      </c>
      <c r="DI260" s="656">
        <f>DI259/DC259-1</f>
        <v>0.1090629800307219</v>
      </c>
      <c r="DJ260" s="656">
        <f>DJ259/DD259-1</f>
        <v>0.10378681626928477</v>
      </c>
      <c r="DK260" s="657">
        <f>DK259/DE259-1</f>
        <v>7.1349760941522566E-2</v>
      </c>
      <c r="DL260" s="652"/>
      <c r="DM260" s="656">
        <f>DM259/DG259-1</f>
        <v>9.2220720720720628E-2</v>
      </c>
      <c r="DN260" s="656">
        <f>DN259/DH259-1</f>
        <v>3.6422764227641569E-3</v>
      </c>
      <c r="DO260" s="656">
        <f>DO259/DI259-1</f>
        <v>-2.1026038781163381E-2</v>
      </c>
      <c r="DP260" s="656">
        <f>DP259/DJ259-1</f>
        <v>-6.5323125794155112E-2</v>
      </c>
      <c r="DQ260" s="657">
        <f>DQ259/DK259-1</f>
        <v>-8.5242018537601272E-4</v>
      </c>
      <c r="DR260" s="652"/>
      <c r="DS260" s="656">
        <f>DS259/DM259-1</f>
        <v>-5.4245214931146868E-2</v>
      </c>
      <c r="DT260" s="656">
        <f>DT259/DN259-1</f>
        <v>-8.6324336292744053E-2</v>
      </c>
      <c r="DU260" s="656">
        <f>DU259/DO259-1</f>
        <v>-0.11257362561741391</v>
      </c>
      <c r="DV260" s="656">
        <f>DV259/DP259-1</f>
        <v>-0.1555195028974673</v>
      </c>
      <c r="DW260" s="657">
        <f>DW259/DQ259-1</f>
        <v>-0.10216958369147411</v>
      </c>
      <c r="DX260" s="652"/>
      <c r="DY260" s="656">
        <f>DY259/DS259-1</f>
        <v>-0.14239199953485671</v>
      </c>
      <c r="DZ260" s="656">
        <f>DZ259/DT259-1</f>
        <v>-0.11892688067622159</v>
      </c>
      <c r="EA260" s="656">
        <f>EA259/DU259-1</f>
        <v>-6.9184535671582226E-2</v>
      </c>
      <c r="EB260" s="656">
        <f>EB259/DV259-1</f>
        <v>-6.0107020051771376E-2</v>
      </c>
      <c r="EC260" s="657">
        <f>EC259/DW259-1</f>
        <v>-9.9182037192957817E-2</v>
      </c>
      <c r="ED260" s="652"/>
      <c r="EE260" s="656">
        <f>EE259/DY259-1</f>
        <v>-3.7332203389830676E-2</v>
      </c>
      <c r="EF260" s="656">
        <f>EF259/DZ259-1</f>
        <v>-3.9541143619028496E-2</v>
      </c>
      <c r="EG260" s="656">
        <f>EG259/EA259-1</f>
        <v>-5.8052184278946428E-2</v>
      </c>
      <c r="EH260" s="656">
        <f>EH259/EB259-1</f>
        <v>-0.12289716264682615</v>
      </c>
      <c r="EI260" s="657">
        <f>EI259/EC259-1</f>
        <v>-6.4253498234686734E-2</v>
      </c>
      <c r="EJ260" s="652"/>
      <c r="EK260" s="656">
        <f>EK259/EE259-1</f>
        <v>-0.14347135608320094</v>
      </c>
      <c r="EL260" s="656">
        <f>EL259/EF259-1</f>
        <v>-0.17423448719023271</v>
      </c>
      <c r="EM260" s="656">
        <f>EM259/EG259-1</f>
        <v>-0.19363590079278503</v>
      </c>
      <c r="EN260" s="656">
        <f>EN259/EH259-1</f>
        <v>-0.17615309509861354</v>
      </c>
      <c r="EO260" s="657">
        <f>EO259/EI259-1</f>
        <v>-0.17159223905694843</v>
      </c>
      <c r="EP260" s="652"/>
      <c r="EQ260" s="656">
        <f>EQ259/EK259-1</f>
        <v>-0.16925769703547489</v>
      </c>
      <c r="ER260" s="656">
        <f>ER259/EL259-1</f>
        <v>-0.17040067159224037</v>
      </c>
      <c r="ES260" s="656">
        <f>ES259/EM259-1</f>
        <v>-0.17199888154274945</v>
      </c>
      <c r="ET260" s="656">
        <f>ET259/EN259-1</f>
        <v>-0.1482369895613096</v>
      </c>
      <c r="EU260" s="657">
        <f>EU259/EO259-1</f>
        <v>-0.16536000508562265</v>
      </c>
      <c r="EV260" s="652"/>
      <c r="EW260" s="656">
        <f>EW259/EQ259-1</f>
        <v>-0.1432804355867765</v>
      </c>
      <c r="EX260" s="656">
        <f>EX259/ER259-1</f>
        <v>-0.10042248405329801</v>
      </c>
      <c r="EY260" s="656">
        <f>EY259/ES259-1</f>
        <v>-6.865617987319983E-2</v>
      </c>
      <c r="EZ260" s="656">
        <f>EZ259/ET259-1</f>
        <v>-7.4973201763173791E-2</v>
      </c>
      <c r="FA260" s="657">
        <f>FA259/EU259-1</f>
        <v>-9.8131773178263382E-2</v>
      </c>
      <c r="FB260" s="652"/>
      <c r="FC260" s="656">
        <f>FC259/EW259-1</f>
        <v>-6.8071683247241332E-2</v>
      </c>
      <c r="FD260" s="656">
        <f>FD259/EX259-1</f>
        <v>-8.0618042952529612E-2</v>
      </c>
      <c r="FE260" s="656">
        <f>FE259/EY259-1</f>
        <v>-9.2575808083466438E-2</v>
      </c>
      <c r="FF260" s="656">
        <f>FF259/EZ259-1</f>
        <v>-9.7091684573004877E-2</v>
      </c>
      <c r="FG260" s="657">
        <f>FG259/FA259-1</f>
        <v>-8.4419356912208143E-2</v>
      </c>
      <c r="FH260" s="652"/>
      <c r="FI260" s="656">
        <f>FI259/FC259-1</f>
        <v>-0.10864022621911429</v>
      </c>
      <c r="FJ260" s="656">
        <f>FJ259/FD259-1</f>
        <v>-0.1121895009766124</v>
      </c>
      <c r="FK260" s="656">
        <f>FK259/FE259-1</f>
        <v>-0.11538461538461553</v>
      </c>
      <c r="FL260" s="656">
        <f>FL259/FF259-1</f>
        <v>-0.11538461538461553</v>
      </c>
      <c r="FM260" s="657">
        <f>FM259/FG259-1</f>
        <v>-0.11282980189921366</v>
      </c>
      <c r="FQ260"/>
      <c r="FR260"/>
      <c r="FS260"/>
      <c r="FT260"/>
      <c r="FU260"/>
      <c r="FV260"/>
      <c r="GB260" s="24"/>
      <c r="GC260" s="24"/>
      <c r="GD260" s="24"/>
      <c r="GE260" s="24"/>
      <c r="GF260" s="24"/>
      <c r="GG260" s="24"/>
      <c r="GH260" s="24"/>
      <c r="GI260" s="24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</row>
    <row r="261" spans="1:274" s="28" customFormat="1" ht="6" hidden="1" customHeight="1" outlineLevel="1" x14ac:dyDescent="0.2">
      <c r="A261" s="614"/>
      <c r="B261" s="595"/>
      <c r="CG261" s="416"/>
      <c r="CM261" s="416"/>
      <c r="CS261" s="416"/>
      <c r="CY261" s="416"/>
      <c r="DE261" s="416"/>
      <c r="DK261" s="416"/>
      <c r="DQ261" s="416"/>
      <c r="DW261" s="416"/>
      <c r="EC261" s="416"/>
      <c r="EI261" s="416"/>
      <c r="EO261" s="416"/>
      <c r="EU261" s="416"/>
      <c r="FA261" s="416"/>
      <c r="FG261" s="416"/>
      <c r="FM261" s="416"/>
      <c r="FQ261"/>
      <c r="FR261"/>
      <c r="FS261"/>
      <c r="FT261"/>
      <c r="FU261"/>
      <c r="FV261"/>
      <c r="GB261" s="24"/>
      <c r="GC261" s="24"/>
      <c r="GD261" s="24"/>
      <c r="GE261" s="24"/>
      <c r="GF261" s="24"/>
      <c r="GG261" s="24"/>
      <c r="GH261" s="24"/>
      <c r="GI261" s="24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</row>
    <row r="262" spans="1:274" s="28" customFormat="1" ht="12" hidden="1" customHeight="1" outlineLevel="1" x14ac:dyDescent="0.2">
      <c r="A262" s="75" t="s">
        <v>606</v>
      </c>
      <c r="B262" s="1030"/>
      <c r="C262" s="1031"/>
      <c r="D262" s="1031"/>
      <c r="E262" s="1031"/>
      <c r="F262" s="1031"/>
      <c r="G262" s="1031"/>
      <c r="H262" s="1031"/>
      <c r="I262" s="1031"/>
      <c r="J262" s="1031"/>
      <c r="K262" s="1031"/>
      <c r="L262" s="1031"/>
      <c r="M262" s="1031"/>
      <c r="N262" s="1031"/>
      <c r="O262" s="1031"/>
      <c r="P262" s="1031"/>
      <c r="Q262" s="1031"/>
      <c r="R262" s="1031"/>
      <c r="S262" s="1031"/>
      <c r="T262" s="1031"/>
      <c r="U262" s="1031"/>
      <c r="V262" s="1031"/>
      <c r="W262" s="1031"/>
      <c r="X262" s="1031"/>
      <c r="Y262" s="1031"/>
      <c r="Z262" s="1031"/>
      <c r="AA262" s="647"/>
      <c r="AB262" s="647"/>
      <c r="AC262" s="647"/>
      <c r="AD262" s="647"/>
      <c r="AE262" s="1031"/>
      <c r="AF262" s="1031"/>
      <c r="AG262" s="647"/>
      <c r="AH262" s="647"/>
      <c r="AI262" s="647"/>
      <c r="AJ262" s="647"/>
      <c r="AK262" s="1031"/>
      <c r="AL262" s="1031"/>
      <c r="AM262" s="647"/>
      <c r="AN262" s="647"/>
      <c r="AO262" s="647"/>
      <c r="AP262" s="647"/>
      <c r="AQ262" s="1031"/>
      <c r="AR262" s="1031"/>
      <c r="AS262" s="647"/>
      <c r="AT262" s="647"/>
      <c r="AU262" s="647"/>
      <c r="AV262" s="647"/>
      <c r="AW262" s="1031"/>
      <c r="AX262" s="1031"/>
      <c r="AY262" s="647"/>
      <c r="AZ262" s="647"/>
      <c r="BA262" s="647"/>
      <c r="BB262" s="647"/>
      <c r="BC262" s="1031"/>
      <c r="BD262" s="1031"/>
      <c r="BE262" s="658">
        <f>BE259/(BE172+BB172+BA172+AZ172)</f>
        <v>0.11598241811100798</v>
      </c>
      <c r="BF262" s="658">
        <f>BF259/(BF172+BE172+BB172+BA172)</f>
        <v>0.12067637172338604</v>
      </c>
      <c r="BG262" s="658">
        <f>BG259/(BG172+BF172+BE172+BB172)</f>
        <v>0.11734551905250525</v>
      </c>
      <c r="BH262" s="658">
        <f>BH259/(BH172+BG172+BF172+BE172)</f>
        <v>0.14161903627271222</v>
      </c>
      <c r="BI262" s="1031"/>
      <c r="BJ262" s="1031"/>
      <c r="BK262" s="658">
        <f>BK259/(BK172+BH172+BG172+BF172)</f>
        <v>0.13117454047918789</v>
      </c>
      <c r="BL262" s="658">
        <f>BL259/(BL172+BK172+BH172+BG172)</f>
        <v>0.13978790948256661</v>
      </c>
      <c r="BM262" s="658">
        <f>BM259/(BM172+BL172+BK172+BH172)</f>
        <v>0.13300430748368841</v>
      </c>
      <c r="BN262" s="658">
        <f>BN259/(BN172+BM172+BL172+BK172)</f>
        <v>0.13577981651376148</v>
      </c>
      <c r="BO262" s="1033"/>
      <c r="BP262" s="1033"/>
      <c r="BQ262" s="658">
        <f>BQ259/(BQ172+BN172+BM172+BL172)</f>
        <v>0.12283415841584158</v>
      </c>
      <c r="BR262" s="658">
        <f>BR259/(BR172+BQ172+BN172+BM172)</f>
        <v>0.11920529801324503</v>
      </c>
      <c r="BS262" s="658">
        <f>BS259/(BS172+BR172+BQ172+BN172)</f>
        <v>0.10954891622729936</v>
      </c>
      <c r="BT262" s="658">
        <f>BT259/(BT172+BS172+BR172+BQ172)</f>
        <v>0.11917537418808247</v>
      </c>
      <c r="BU262" s="1033"/>
      <c r="BV262" s="1033"/>
      <c r="BW262" s="658">
        <f>BW259/(BW172+BT172+BS172+BR172)</f>
        <v>9.9189717798267671E-2</v>
      </c>
      <c r="BX262" s="658">
        <f>BX259/(BX172+BW172+BT172+BS172)</f>
        <v>0.10690121786197564</v>
      </c>
      <c r="BY262" s="658">
        <f>BY259/(BY172+BX172+BW172+BT172)</f>
        <v>0.12384716732542819</v>
      </c>
      <c r="BZ262" s="658">
        <f>BZ259/(BZ172+BY172+BX172+BW172)</f>
        <v>0.14400977995110023</v>
      </c>
      <c r="CA262" s="1033"/>
      <c r="CB262" s="1033"/>
      <c r="CC262" s="658">
        <f>CC259/(CC172+BZ172+BY172+BX172)</f>
        <v>0.11573628488931666</v>
      </c>
      <c r="CD262" s="658">
        <f>CD259/(CD172+CC172+BZ172+BY172)</f>
        <v>0.11925524393118077</v>
      </c>
      <c r="CE262" s="658">
        <f>CE259/(CE172+CD172+CC172+BZ172)</f>
        <v>0.11406065021400602</v>
      </c>
      <c r="CF262" s="658">
        <f>CF259/(CF172+CE172+CD172+CC172)</f>
        <v>0.1288638773346383</v>
      </c>
      <c r="CG262" s="1032"/>
      <c r="CH262" s="1033"/>
      <c r="CI262" s="658">
        <f>CI259/(CI172+CF172+CE172+CD172)</f>
        <v>0.12599913375595545</v>
      </c>
      <c r="CJ262" s="658">
        <f>CJ259/(CJ172+CI172+CF172+CE172)</f>
        <v>0.13694438069007728</v>
      </c>
      <c r="CK262" s="658">
        <f>CK259/(CK172+CJ172+CI172+CF172)</f>
        <v>0.1256791017747193</v>
      </c>
      <c r="CL262" s="658">
        <f>CL259/(CL172+CK172+CJ172+CI172)</f>
        <v>0.13923835430125808</v>
      </c>
      <c r="CM262" s="1032"/>
      <c r="CN262" s="1033"/>
      <c r="CO262" s="658">
        <f>CO259/(CO172+CL172+CK172+CJ172)</f>
        <v>0.12992700729927006</v>
      </c>
      <c r="CP262" s="658">
        <f>CP259/(CP172+CO172+CL172+CK172)</f>
        <v>0.13235738001811048</v>
      </c>
      <c r="CQ262" s="658">
        <f>CQ259/(CQ172+CP172+CO172+CL172)</f>
        <v>0.12302977232924693</v>
      </c>
      <c r="CR262" s="658">
        <f>CR259/(CR172+CQ172+CP172+CO172)</f>
        <v>0.12734530938123753</v>
      </c>
      <c r="CS262" s="1032"/>
      <c r="CT262" s="1033"/>
      <c r="CU262" s="658">
        <f>CU259/(CU172+CR172+CQ172+CP172)</f>
        <v>0.11288007307842882</v>
      </c>
      <c r="CV262" s="658">
        <f>CV259/(CV172+CU172+CR172+CQ172)</f>
        <v>0.11048418842671566</v>
      </c>
      <c r="CW262" s="658">
        <f>CW259/(CW172+CV172+CU172+CR172)</f>
        <v>0.10078447015024598</v>
      </c>
      <c r="CX262" s="658">
        <f>CX259/(CX172+CW172+CV172+CU172)</f>
        <v>0.10981603707344474</v>
      </c>
      <c r="CY262" s="1032"/>
      <c r="CZ262" s="1033"/>
      <c r="DA262" s="658">
        <f>DA259/(DA172+CX172+CW172+CV172)</f>
        <v>9.5892392247613534E-2</v>
      </c>
      <c r="DB262" s="658">
        <f>DB259/(DB172+DA172+CX172+CW172)</f>
        <v>9.9697449935167839E-2</v>
      </c>
      <c r="DC262" s="658">
        <f>DC259/(DC172+DB172+DA172+CX172)</f>
        <v>9.1133073886384641E-2</v>
      </c>
      <c r="DD262" s="658">
        <f>DD259/(DD172+DC172+DB172+DA172)</f>
        <v>9.463261839031642E-2</v>
      </c>
      <c r="DE262" s="1032"/>
      <c r="DF262" s="1033"/>
      <c r="DG262" s="658">
        <f>DG259/(DG172+DD172+DC172+DB172)</f>
        <v>8.5467891792002468E-2</v>
      </c>
      <c r="DH262" s="658">
        <f>DH259/(DH172+DG172+DD172+DC172)</f>
        <v>9.068121498083162E-2</v>
      </c>
      <c r="DI262" s="658">
        <f>DI259/(DI172+DH172+DG172+DD172)</f>
        <v>8.3622886263608989E-2</v>
      </c>
      <c r="DJ262" s="658">
        <f>DJ259/(DJ172+DI172+DH172+DG172)</f>
        <v>8.5219274499187869E-2</v>
      </c>
      <c r="DK262" s="1032"/>
      <c r="DL262" s="1033"/>
      <c r="DM262" s="659">
        <v>7.6999999999999999E-2</v>
      </c>
      <c r="DN262" s="659">
        <v>7.8E-2</v>
      </c>
      <c r="DO262" s="659">
        <v>7.3200000000000001E-2</v>
      </c>
      <c r="DP262" s="659">
        <v>7.4099999999999999E-2</v>
      </c>
      <c r="DQ262" s="1177"/>
      <c r="DR262" s="1178"/>
      <c r="DS262" s="659">
        <v>7.0199999999999999E-2</v>
      </c>
      <c r="DT262" s="659">
        <v>6.8199999999999997E-2</v>
      </c>
      <c r="DU262" s="659">
        <v>6.5000000000000002E-2</v>
      </c>
      <c r="DV262" s="659">
        <v>6.6000000000000003E-2</v>
      </c>
      <c r="DW262" s="1032"/>
      <c r="DX262" s="1178"/>
      <c r="DY262" s="659">
        <f>DV262-0.35%</f>
        <v>6.25E-2</v>
      </c>
      <c r="DZ262" s="659">
        <f>DY262+0.1%</f>
        <v>6.3500000000000001E-2</v>
      </c>
      <c r="EA262" s="659">
        <v>6.2E-2</v>
      </c>
      <c r="EB262" s="659">
        <v>6.2E-2</v>
      </c>
      <c r="EC262" s="1032"/>
      <c r="ED262" s="1178"/>
      <c r="EE262" s="659">
        <f>DY262-0.2%</f>
        <v>6.0499999999999998E-2</v>
      </c>
      <c r="EF262" s="659">
        <f>DZ262-0.2%</f>
        <v>6.1499999999999999E-2</v>
      </c>
      <c r="EG262" s="659">
        <f>EA262-0.2%</f>
        <v>0.06</v>
      </c>
      <c r="EH262" s="659">
        <f>EB262-0.2%</f>
        <v>0.06</v>
      </c>
      <c r="EI262" s="1032"/>
      <c r="EJ262" s="1178"/>
      <c r="EK262" s="659">
        <f>EE262-0.2%</f>
        <v>5.8499999999999996E-2</v>
      </c>
      <c r="EL262" s="659">
        <f>EF262-0.2%</f>
        <v>5.9499999999999997E-2</v>
      </c>
      <c r="EM262" s="659">
        <f>EG262-0.2%</f>
        <v>5.7999999999999996E-2</v>
      </c>
      <c r="EN262" s="659">
        <f>EH262-0.2%</f>
        <v>5.7999999999999996E-2</v>
      </c>
      <c r="EO262" s="1032"/>
      <c r="EP262" s="1178"/>
      <c r="EQ262" s="1773">
        <f>EK262-0.2%</f>
        <v>5.6499999999999995E-2</v>
      </c>
      <c r="ER262" s="1773">
        <f>EL262-0.2%</f>
        <v>5.7499999999999996E-2</v>
      </c>
      <c r="ES262" s="1773">
        <f>EM262-0.2%</f>
        <v>5.5999999999999994E-2</v>
      </c>
      <c r="ET262" s="1773">
        <f>EN262-0.2%</f>
        <v>5.5999999999999994E-2</v>
      </c>
      <c r="EU262" s="1770"/>
      <c r="EV262" s="1774"/>
      <c r="EW262" s="1773">
        <f>EQ262-0.2%</f>
        <v>5.4499999999999993E-2</v>
      </c>
      <c r="EX262" s="1773">
        <f>ER262-0.2%</f>
        <v>5.5499999999999994E-2</v>
      </c>
      <c r="EY262" s="1773">
        <f>ES262-0.2%</f>
        <v>5.3999999999999992E-2</v>
      </c>
      <c r="EZ262" s="1773">
        <f>ET262-0.2%</f>
        <v>5.3999999999999992E-2</v>
      </c>
      <c r="FA262" s="1770"/>
      <c r="FB262" s="1774"/>
      <c r="FC262" s="1773">
        <f>EW262-0.2%</f>
        <v>5.2499999999999991E-2</v>
      </c>
      <c r="FD262" s="1773">
        <f>EX262-0.2%</f>
        <v>5.3499999999999992E-2</v>
      </c>
      <c r="FE262" s="1773">
        <f>EY262-0.2%</f>
        <v>5.1999999999999991E-2</v>
      </c>
      <c r="FF262" s="1773">
        <f>EZ262-0.2%</f>
        <v>5.1999999999999991E-2</v>
      </c>
      <c r="FG262" s="1770"/>
      <c r="FH262" s="1774"/>
      <c r="FI262" s="1773">
        <f>FC262-0.2%</f>
        <v>5.0499999999999989E-2</v>
      </c>
      <c r="FJ262" s="1773">
        <f>FD262-0.2%</f>
        <v>5.149999999999999E-2</v>
      </c>
      <c r="FK262" s="1773">
        <f>FE262-0.2%</f>
        <v>4.9999999999999989E-2</v>
      </c>
      <c r="FL262" s="1773">
        <f>FF262-0.2%</f>
        <v>4.9999999999999989E-2</v>
      </c>
      <c r="FM262" s="1770"/>
      <c r="FQ262"/>
      <c r="FR262"/>
      <c r="FS262"/>
      <c r="FT262"/>
      <c r="FU262"/>
      <c r="FV262"/>
      <c r="GB262" s="24"/>
      <c r="GC262" s="24"/>
      <c r="GD262" s="24"/>
      <c r="GE262" s="24"/>
      <c r="GF262" s="24"/>
      <c r="GG262" s="24"/>
      <c r="GH262" s="24"/>
      <c r="GI262" s="24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</row>
    <row r="263" spans="1:274" s="28" customFormat="1" ht="5.25" hidden="1" customHeight="1" outlineLevel="1" x14ac:dyDescent="0.2">
      <c r="A263" s="18"/>
      <c r="B263" s="595"/>
      <c r="CG263" s="416"/>
      <c r="CM263" s="416"/>
      <c r="CS263" s="416"/>
      <c r="CY263" s="416"/>
      <c r="DE263" s="416"/>
      <c r="DK263" s="416"/>
      <c r="DQ263" s="416"/>
      <c r="DW263" s="416"/>
      <c r="EC263" s="416"/>
      <c r="EI263" s="416"/>
      <c r="EO263" s="416"/>
      <c r="EU263" s="416"/>
      <c r="FA263" s="416"/>
      <c r="FG263" s="416"/>
      <c r="FM263" s="416"/>
      <c r="FQ263"/>
      <c r="FR263"/>
      <c r="FS263"/>
      <c r="FT263"/>
      <c r="FU263"/>
      <c r="FV263"/>
      <c r="GB263" s="24"/>
      <c r="GC263" s="24"/>
      <c r="GD263" s="24"/>
      <c r="GE263" s="24"/>
      <c r="GF263" s="24"/>
      <c r="GG263" s="24"/>
      <c r="GH263" s="24"/>
      <c r="GI263" s="24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</row>
    <row r="264" spans="1:274" s="28" customFormat="1" ht="5.25" hidden="1" customHeight="1" outlineLevel="1" thickBot="1" x14ac:dyDescent="0.25">
      <c r="A264" s="18"/>
      <c r="B264" s="595"/>
      <c r="CG264" s="416"/>
      <c r="CM264" s="416"/>
      <c r="CS264" s="416"/>
      <c r="CY264" s="416"/>
      <c r="DE264" s="416"/>
      <c r="DK264" s="416"/>
      <c r="DQ264" s="416"/>
      <c r="DW264" s="416"/>
      <c r="EC264" s="416"/>
      <c r="EI264" s="416"/>
      <c r="EO264" s="416"/>
      <c r="EU264" s="416"/>
      <c r="FA264" s="416"/>
      <c r="FG264" s="416"/>
      <c r="FM264" s="416"/>
      <c r="FQ264"/>
      <c r="FR264"/>
      <c r="FS264"/>
      <c r="FT264"/>
      <c r="FU264"/>
      <c r="FV264"/>
      <c r="GB264" s="24"/>
      <c r="GC264" s="24"/>
      <c r="GD264" s="24"/>
      <c r="GE264" s="24"/>
      <c r="GF264" s="24"/>
      <c r="GG264" s="24"/>
      <c r="GH264" s="24"/>
      <c r="GI264" s="2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</row>
    <row r="265" spans="1:274" s="646" customFormat="1" ht="12" hidden="1" customHeight="1" outlineLevel="1" x14ac:dyDescent="0.2">
      <c r="A265" s="648" t="s">
        <v>607</v>
      </c>
      <c r="B265" s="624"/>
      <c r="C265" s="649" t="s">
        <v>945</v>
      </c>
      <c r="D265" s="649" t="s">
        <v>945</v>
      </c>
      <c r="E265" s="649" t="s">
        <v>945</v>
      </c>
      <c r="F265" s="649" t="s">
        <v>945</v>
      </c>
      <c r="G265" s="649" t="s">
        <v>945</v>
      </c>
      <c r="H265" s="649" t="s">
        <v>945</v>
      </c>
      <c r="I265" s="649" t="s">
        <v>945</v>
      </c>
      <c r="J265" s="649" t="s">
        <v>945</v>
      </c>
      <c r="K265" s="649" t="s">
        <v>945</v>
      </c>
      <c r="L265" s="649" t="s">
        <v>945</v>
      </c>
      <c r="M265" s="649" t="s">
        <v>945</v>
      </c>
      <c r="N265" s="624"/>
      <c r="O265" s="650" t="s">
        <v>945</v>
      </c>
      <c r="P265" s="650" t="s">
        <v>945</v>
      </c>
      <c r="Q265" s="650" t="s">
        <v>945</v>
      </c>
      <c r="R265" s="650" t="s">
        <v>945</v>
      </c>
      <c r="S265" s="650" t="s">
        <v>945</v>
      </c>
      <c r="T265" s="624"/>
      <c r="U265" s="650" t="s">
        <v>945</v>
      </c>
      <c r="V265" s="650" t="s">
        <v>945</v>
      </c>
      <c r="W265" s="650" t="s">
        <v>945</v>
      </c>
      <c r="X265" s="650" t="s">
        <v>945</v>
      </c>
      <c r="Y265" s="650" t="s">
        <v>945</v>
      </c>
      <c r="Z265" s="624"/>
      <c r="AA265" s="650" t="s">
        <v>945</v>
      </c>
      <c r="AB265" s="650" t="s">
        <v>945</v>
      </c>
      <c r="AC265" s="650" t="s">
        <v>945</v>
      </c>
      <c r="AD265" s="650" t="s">
        <v>945</v>
      </c>
      <c r="AE265" s="650" t="s">
        <v>945</v>
      </c>
      <c r="AF265" s="624"/>
      <c r="AG265" s="650" t="s">
        <v>945</v>
      </c>
      <c r="AH265" s="650" t="s">
        <v>945</v>
      </c>
      <c r="AI265" s="650" t="s">
        <v>945</v>
      </c>
      <c r="AJ265" s="650" t="s">
        <v>945</v>
      </c>
      <c r="AK265" s="650" t="s">
        <v>945</v>
      </c>
      <c r="AL265" s="624"/>
      <c r="AM265" s="650" t="s">
        <v>945</v>
      </c>
      <c r="AN265" s="650" t="s">
        <v>945</v>
      </c>
      <c r="AO265" s="650" t="s">
        <v>945</v>
      </c>
      <c r="AP265" s="650" t="s">
        <v>945</v>
      </c>
      <c r="AQ265" s="650" t="s">
        <v>945</v>
      </c>
      <c r="AR265" s="624"/>
      <c r="AS265" s="650" t="s">
        <v>945</v>
      </c>
      <c r="AT265" s="650" t="s">
        <v>945</v>
      </c>
      <c r="AU265" s="650" t="s">
        <v>945</v>
      </c>
      <c r="AV265" s="650" t="s">
        <v>945</v>
      </c>
      <c r="AW265" s="650" t="s">
        <v>945</v>
      </c>
      <c r="AX265" s="624"/>
      <c r="AY265" s="650" t="s">
        <v>945</v>
      </c>
      <c r="AZ265" s="650" t="s">
        <v>945</v>
      </c>
      <c r="BA265" s="650" t="s">
        <v>945</v>
      </c>
      <c r="BB265" s="650" t="s">
        <v>945</v>
      </c>
      <c r="BC265" s="650" t="s">
        <v>945</v>
      </c>
      <c r="BD265" s="624"/>
      <c r="BE265" s="650">
        <f>Model!BE73</f>
        <v>77.664000000000001</v>
      </c>
      <c r="BF265" s="650">
        <f>Model!BF73</f>
        <v>83.200999999999993</v>
      </c>
      <c r="BG265" s="650">
        <f>Model!BG73</f>
        <v>74.867000000000004</v>
      </c>
      <c r="BH265" s="650">
        <f>Model!BH73</f>
        <v>84.872</v>
      </c>
      <c r="BI265" s="650">
        <f>Model!BI73</f>
        <v>320.60400000000004</v>
      </c>
      <c r="BJ265" s="624"/>
      <c r="BK265" s="650">
        <f>Model!BK73</f>
        <v>64</v>
      </c>
      <c r="BL265" s="650">
        <f>Model!BL73</f>
        <v>64</v>
      </c>
      <c r="BM265" s="650">
        <f>Model!BM73</f>
        <v>63</v>
      </c>
      <c r="BN265" s="650">
        <f>Model!BN73</f>
        <v>66</v>
      </c>
      <c r="BO265" s="650">
        <f>Model!BO73</f>
        <v>257</v>
      </c>
      <c r="BP265" s="624"/>
      <c r="BQ265" s="650">
        <f>Model!BQ73</f>
        <v>60</v>
      </c>
      <c r="BR265" s="650">
        <f>Model!BR73</f>
        <v>65</v>
      </c>
      <c r="BS265" s="650">
        <f>Model!BS73</f>
        <v>62</v>
      </c>
      <c r="BT265" s="650">
        <f>Model!BT73</f>
        <v>71</v>
      </c>
      <c r="BU265" s="650">
        <f>SUM(BQ265:BT265)</f>
        <v>258</v>
      </c>
      <c r="BV265" s="624"/>
      <c r="BW265" s="650">
        <f>Model!BW73</f>
        <v>71</v>
      </c>
      <c r="BX265" s="650">
        <f>Model!BX73</f>
        <v>72</v>
      </c>
      <c r="BY265" s="650">
        <f>Model!BY73</f>
        <v>76</v>
      </c>
      <c r="BZ265" s="650">
        <f>Model!BZ73</f>
        <v>80</v>
      </c>
      <c r="CA265" s="650">
        <f>SUM(BW265:BZ265)</f>
        <v>299</v>
      </c>
      <c r="CB265" s="624"/>
      <c r="CC265" s="650">
        <f>Model!CC73</f>
        <v>84</v>
      </c>
      <c r="CD265" s="650">
        <f>Model!CD73</f>
        <v>87</v>
      </c>
      <c r="CE265" s="650">
        <f>Model!CE73</f>
        <v>96</v>
      </c>
      <c r="CF265" s="650">
        <f>Model!CF73</f>
        <v>130</v>
      </c>
      <c r="CG265" s="651">
        <f>SUM(CC265:CF265)</f>
        <v>397</v>
      </c>
      <c r="CH265" s="624"/>
      <c r="CI265" s="650">
        <f>Model!CI73</f>
        <v>125</v>
      </c>
      <c r="CJ265" s="650">
        <f>Model!CJ73</f>
        <v>140</v>
      </c>
      <c r="CK265" s="650">
        <f>Model!CK73</f>
        <v>142</v>
      </c>
      <c r="CL265" s="650">
        <f>Model!CL73</f>
        <v>151</v>
      </c>
      <c r="CM265" s="651">
        <f>SUM(CI265:CL265)</f>
        <v>558</v>
      </c>
      <c r="CN265" s="624"/>
      <c r="CO265" s="650">
        <f>Model!CO73</f>
        <v>158</v>
      </c>
      <c r="CP265" s="650">
        <f>Model!CP73</f>
        <v>167</v>
      </c>
      <c r="CQ265" s="650">
        <f>Model!CQ73</f>
        <v>174</v>
      </c>
      <c r="CR265" s="650">
        <f>Model!CR73</f>
        <v>194</v>
      </c>
      <c r="CS265" s="651">
        <f>SUM(CO265:CR265)</f>
        <v>693</v>
      </c>
      <c r="CT265" s="624"/>
      <c r="CU265" s="650">
        <f>Model!CU73</f>
        <v>195</v>
      </c>
      <c r="CV265" s="650">
        <f>Model!CV73</f>
        <v>189</v>
      </c>
      <c r="CW265" s="650">
        <f>Model!CW73</f>
        <v>191</v>
      </c>
      <c r="CX265" s="650">
        <f>Model!CX73</f>
        <v>204</v>
      </c>
      <c r="CY265" s="651">
        <f>SUM(CU265:CX265)</f>
        <v>779</v>
      </c>
      <c r="CZ265" s="624"/>
      <c r="DA265" s="650">
        <f>Model!DA73</f>
        <v>180</v>
      </c>
      <c r="DB265" s="650">
        <f>Model!DB73</f>
        <v>188</v>
      </c>
      <c r="DC265" s="650">
        <f>Model!DC73</f>
        <v>211</v>
      </c>
      <c r="DD265" s="650">
        <f>Model!DD73</f>
        <v>295</v>
      </c>
      <c r="DE265" s="651">
        <f>SUM(DA265:DD265)</f>
        <v>874</v>
      </c>
      <c r="DF265" s="624"/>
      <c r="DG265" s="650">
        <f>Model!DG73</f>
        <v>321</v>
      </c>
      <c r="DH265" s="650">
        <f>Model!DH73</f>
        <v>350</v>
      </c>
      <c r="DI265" s="650">
        <f>Model!DI73</f>
        <v>341</v>
      </c>
      <c r="DJ265" s="650">
        <f>Model!DJ73</f>
        <v>367</v>
      </c>
      <c r="DK265" s="651">
        <f>SUM(DG265:DJ265)</f>
        <v>1379</v>
      </c>
      <c r="DL265" s="624"/>
      <c r="DM265" s="650">
        <f>SUM(DH$172,DI$172,DJ$172,DM$172)*DM268</f>
        <v>387.327</v>
      </c>
      <c r="DN265" s="650">
        <f>SUM(DI$172,DJ$172,DM$172,DN$172)*DN268</f>
        <v>375.09199999999998</v>
      </c>
      <c r="DO265" s="650">
        <f>SUM(DJ$172,DM$172,DN$172,DO$172)*DO268</f>
        <v>347.61599999999999</v>
      </c>
      <c r="DP265" s="650">
        <f>SUM(DM$172,DN$172,DO$172,DP$172)*DP268</f>
        <v>377.226</v>
      </c>
      <c r="DQ265" s="651">
        <f>SUM(DM265:DP265)</f>
        <v>1487.261</v>
      </c>
      <c r="DR265" s="624"/>
      <c r="DS265" s="650">
        <f>SUM(DN$172,DO$172,DP$172,DS$172)*DS268</f>
        <v>214.78225421556067</v>
      </c>
      <c r="DT265" s="650">
        <f>SUM(DO$172,DP$172,DS$172,DT$172)*DT268</f>
        <v>208.49375444947205</v>
      </c>
      <c r="DU265" s="650">
        <f>SUM(DP$172,DS$172,DT$172,DU$172)*DU268</f>
        <v>159.51860138550833</v>
      </c>
      <c r="DV265" s="650">
        <f>SUM(DS$172,DT$172,DU$172,DV$172)*DV268</f>
        <v>160.8911040473109</v>
      </c>
      <c r="DW265" s="651">
        <f>SUM(DS265:DV265)</f>
        <v>743.68571409785193</v>
      </c>
      <c r="DX265" s="624"/>
      <c r="DY265" s="650">
        <f>SUM(DT$172,DU$172,DV$172,DY$172)*DY268</f>
        <v>159.66620689655167</v>
      </c>
      <c r="DZ265" s="650">
        <f>SUM(DU$172,DV$172,DY$172,DZ$172)*DZ268</f>
        <v>187.50547970479704</v>
      </c>
      <c r="EA265" s="650">
        <f>SUM(DV$172,DY$172,DZ$172,EA$172)*EA268</f>
        <v>130.48311652794297</v>
      </c>
      <c r="EB265" s="650">
        <f>SUM(DY$172,DZ$172,EA$172,EB$172)*EB268</f>
        <v>173.05555040871931</v>
      </c>
      <c r="EC265" s="651">
        <f>SUM(DY265:EB265)</f>
        <v>650.71035353801096</v>
      </c>
      <c r="ED265" s="624"/>
      <c r="EE265" s="650">
        <f>SUM(DZ$172,EA$172,EB$172,EE$172)*EE268</f>
        <v>149.39868965517235</v>
      </c>
      <c r="EF265" s="650">
        <f>SUM(EA$172,EB$172,EE$172,EF$172)*EF268</f>
        <v>176.63592619926197</v>
      </c>
      <c r="EG265" s="650">
        <f>SUM(EB$172,EE$172,EF$172,EG$172)*EG268</f>
        <v>117.83922948870398</v>
      </c>
      <c r="EH265" s="650">
        <f>SUM(EE$172,EF$172,EG$172,EH$172)*EH268</f>
        <v>148.31209809264303</v>
      </c>
      <c r="EI265" s="651">
        <f>SUM(EE265:EH265)</f>
        <v>592.18594343578138</v>
      </c>
      <c r="EJ265" s="624"/>
      <c r="EK265" s="650">
        <f>SUM(EF$172,EG$172,EH$172,EK$172)*EK268</f>
        <v>124.0231034482758</v>
      </c>
      <c r="EL265" s="650">
        <f>SUM(EG$172,EH$172,EK$172,EL$172)*EL268</f>
        <v>119.22</v>
      </c>
      <c r="EM265" s="650">
        <f>SUM(EH$172,EK$172,EL$172,EM$172)*EM268</f>
        <v>90.65192152199765</v>
      </c>
      <c r="EN265" s="650">
        <f>SUM(EK$172,EL$172,EM$172,EN$172)*EN268</f>
        <v>119.12578928247045</v>
      </c>
      <c r="EO265" s="651">
        <f>SUM(EK265:EN265)</f>
        <v>453.02081425274389</v>
      </c>
      <c r="EP265" s="624"/>
      <c r="EQ265" s="650">
        <f>SUM(EL$172,EM$172,EN$172,EQ$172)*EQ268</f>
        <v>99.525362068965464</v>
      </c>
      <c r="ER265" s="650">
        <f>SUM(EM$172,EN$172,EQ$172,ER$172)*ER268</f>
        <v>95.521999999999991</v>
      </c>
      <c r="ES265" s="650">
        <f>SUM(EN$172,EQ$172,ER$172,ES$172)*ES268</f>
        <v>71.183602853745569</v>
      </c>
      <c r="ET265" s="650">
        <f>SUM(EQ$172,ER$172,ES$172,ET$172)*ET268</f>
        <v>98.673760217983613</v>
      </c>
      <c r="EU265" s="651">
        <f>SUM(EQ265:ET265)</f>
        <v>364.90472514069467</v>
      </c>
      <c r="EV265" s="1772"/>
      <c r="EW265" s="650">
        <f>SUM(ER$172,ES$172,ET$172,EW$172)*EW268</f>
        <v>82.041327586206847</v>
      </c>
      <c r="EX265" s="650">
        <f>SUM(ES$172,ET$172,EW$172,EX$172)*EX268</f>
        <v>82.666999999999987</v>
      </c>
      <c r="EY265" s="650">
        <f>SUM(ET$172,EW$172,EX$172,EY$172)*EY268</f>
        <v>62.418831153388837</v>
      </c>
      <c r="EZ265" s="650">
        <f>SUM(EW$172,EX$172,EY$172,EZ$172)*EZ268</f>
        <v>88.500715354223388</v>
      </c>
      <c r="FA265" s="651">
        <f>SUM(EW265:EZ265)</f>
        <v>315.62787409381906</v>
      </c>
      <c r="FB265" s="1772"/>
      <c r="FC265" s="650">
        <f>SUM(EX$172,EY$172,EZ$172,FC$172)*FC268</f>
        <v>73.22318508620684</v>
      </c>
      <c r="FD265" s="650">
        <f>SUM(EY$172,EZ$172,FC$172,FD$172)*FD268</f>
        <v>72.77885999999998</v>
      </c>
      <c r="FE265" s="650">
        <f>SUM(EZ$172,FC$172,FD$172,FE$172)*FE268</f>
        <v>52.851087705112967</v>
      </c>
      <c r="FF265" s="650">
        <f>SUM(FC$172,FD$172,FE$172,FF$172)*FF268</f>
        <v>77.209572253587609</v>
      </c>
      <c r="FG265" s="651">
        <f>SUM(FC265:FF265)</f>
        <v>276.06270504490737</v>
      </c>
      <c r="FH265" s="1772"/>
      <c r="FI265" s="650">
        <f>SUM(FD$172,FE$172,FF$172,FI$172)*FI268</f>
        <v>62.157742768965456</v>
      </c>
      <c r="FJ265" s="650">
        <f>SUM(FE$172,FF$172,FI$172,FJ$172)*FJ268</f>
        <v>61.529518599999975</v>
      </c>
      <c r="FK265" s="650">
        <f>SUM(FF$172,FI$172,FJ$172,FK$172)*FK268</f>
        <v>43.132675288703929</v>
      </c>
      <c r="FL265" s="650">
        <f>SUM(FI$172,FJ$172,FK$172,FL$172)*FL268</f>
        <v>65.72270870530059</v>
      </c>
      <c r="FM265" s="651">
        <f>SUM(FI265:FL265)</f>
        <v>232.54264536296995</v>
      </c>
      <c r="FQ265"/>
      <c r="FR265"/>
      <c r="FS265"/>
      <c r="FT265"/>
      <c r="FU265"/>
      <c r="FV265"/>
      <c r="GB265" s="24"/>
      <c r="GC265" s="24"/>
      <c r="GD265" s="24"/>
      <c r="GE265" s="24"/>
      <c r="GF265" s="24"/>
      <c r="GG265" s="24"/>
      <c r="GH265" s="24"/>
      <c r="GI265" s="24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</row>
    <row r="266" spans="1:274" s="28" customFormat="1" ht="12" hidden="1" customHeight="1" outlineLevel="1" thickBot="1" x14ac:dyDescent="0.25">
      <c r="A266" s="113" t="s">
        <v>161</v>
      </c>
      <c r="B266" s="652"/>
      <c r="C266" s="653" t="s">
        <v>945</v>
      </c>
      <c r="D266" s="653" t="s">
        <v>945</v>
      </c>
      <c r="E266" s="653" t="s">
        <v>945</v>
      </c>
      <c r="F266" s="653" t="s">
        <v>945</v>
      </c>
      <c r="G266" s="653" t="s">
        <v>945</v>
      </c>
      <c r="H266" s="654" t="s">
        <v>945</v>
      </c>
      <c r="I266" s="654" t="s">
        <v>945</v>
      </c>
      <c r="J266" s="654" t="s">
        <v>945</v>
      </c>
      <c r="K266" s="654" t="s">
        <v>945</v>
      </c>
      <c r="L266" s="654" t="s">
        <v>945</v>
      </c>
      <c r="M266" s="654" t="s">
        <v>945</v>
      </c>
      <c r="N266" s="653"/>
      <c r="O266" s="655" t="s">
        <v>945</v>
      </c>
      <c r="P266" s="655" t="s">
        <v>945</v>
      </c>
      <c r="Q266" s="655" t="s">
        <v>945</v>
      </c>
      <c r="R266" s="655" t="s">
        <v>945</v>
      </c>
      <c r="S266" s="655" t="s">
        <v>945</v>
      </c>
      <c r="T266" s="652"/>
      <c r="U266" s="655" t="s">
        <v>945</v>
      </c>
      <c r="V266" s="655" t="s">
        <v>945</v>
      </c>
      <c r="W266" s="655" t="s">
        <v>945</v>
      </c>
      <c r="X266" s="655" t="s">
        <v>945</v>
      </c>
      <c r="Y266" s="655" t="s">
        <v>945</v>
      </c>
      <c r="Z266" s="652"/>
      <c r="AA266" s="655" t="s">
        <v>945</v>
      </c>
      <c r="AB266" s="655" t="s">
        <v>945</v>
      </c>
      <c r="AC266" s="655" t="s">
        <v>945</v>
      </c>
      <c r="AD266" s="655" t="s">
        <v>945</v>
      </c>
      <c r="AE266" s="655" t="s">
        <v>945</v>
      </c>
      <c r="AF266" s="652"/>
      <c r="AG266" s="655" t="s">
        <v>945</v>
      </c>
      <c r="AH266" s="655" t="s">
        <v>945</v>
      </c>
      <c r="AI266" s="655" t="s">
        <v>945</v>
      </c>
      <c r="AJ266" s="655" t="s">
        <v>945</v>
      </c>
      <c r="AK266" s="655" t="s">
        <v>945</v>
      </c>
      <c r="AL266" s="652"/>
      <c r="AM266" s="655" t="s">
        <v>945</v>
      </c>
      <c r="AN266" s="655" t="s">
        <v>945</v>
      </c>
      <c r="AO266" s="655" t="s">
        <v>945</v>
      </c>
      <c r="AP266" s="655" t="s">
        <v>945</v>
      </c>
      <c r="AQ266" s="655" t="s">
        <v>945</v>
      </c>
      <c r="AR266" s="652"/>
      <c r="AS266" s="655" t="s">
        <v>945</v>
      </c>
      <c r="AT266" s="655" t="s">
        <v>945</v>
      </c>
      <c r="AU266" s="655" t="s">
        <v>945</v>
      </c>
      <c r="AV266" s="655" t="s">
        <v>945</v>
      </c>
      <c r="AW266" s="655" t="s">
        <v>945</v>
      </c>
      <c r="AX266" s="652"/>
      <c r="AY266" s="655" t="s">
        <v>945</v>
      </c>
      <c r="AZ266" s="655" t="s">
        <v>945</v>
      </c>
      <c r="BA266" s="655" t="s">
        <v>945</v>
      </c>
      <c r="BB266" s="655" t="s">
        <v>945</v>
      </c>
      <c r="BC266" s="655" t="s">
        <v>945</v>
      </c>
      <c r="BD266" s="652"/>
      <c r="BE266" s="655" t="s">
        <v>945</v>
      </c>
      <c r="BF266" s="655" t="s">
        <v>945</v>
      </c>
      <c r="BG266" s="655" t="s">
        <v>945</v>
      </c>
      <c r="BH266" s="655" t="s">
        <v>945</v>
      </c>
      <c r="BI266" s="655" t="s">
        <v>945</v>
      </c>
      <c r="BJ266" s="652"/>
      <c r="BK266" s="656">
        <f>BK265/BE265-1</f>
        <v>-0.17593737124021425</v>
      </c>
      <c r="BL266" s="656">
        <f>BL265/BF265-1</f>
        <v>-0.23077847622023773</v>
      </c>
      <c r="BM266" s="656">
        <f>BM265/BG265-1</f>
        <v>-0.15850775374998338</v>
      </c>
      <c r="BN266" s="656">
        <f>BN265/BH265-1</f>
        <v>-0.22235837496465261</v>
      </c>
      <c r="BO266" s="656">
        <f>BO265/BI265-1</f>
        <v>-0.19838804256964993</v>
      </c>
      <c r="BP266" s="652"/>
      <c r="BQ266" s="656">
        <f>BQ265/BK265-1</f>
        <v>-6.25E-2</v>
      </c>
      <c r="BR266" s="656">
        <f>BR265/BL265-1</f>
        <v>1.5625E-2</v>
      </c>
      <c r="BS266" s="656">
        <f>BS265/BM265-1</f>
        <v>-1.5873015873015928E-2</v>
      </c>
      <c r="BT266" s="656">
        <f>BT265/BN265-1</f>
        <v>7.575757575757569E-2</v>
      </c>
      <c r="BU266" s="656">
        <f>BU265/BO265-1</f>
        <v>3.8910505836575737E-3</v>
      </c>
      <c r="BV266" s="652"/>
      <c r="BW266" s="656">
        <f>BW265/BQ265-1</f>
        <v>0.18333333333333335</v>
      </c>
      <c r="BX266" s="656">
        <f>BX265/BR265-1</f>
        <v>0.10769230769230775</v>
      </c>
      <c r="BY266" s="656">
        <f>BY265/BS265-1</f>
        <v>0.22580645161290325</v>
      </c>
      <c r="BZ266" s="656">
        <f>BZ265/BT265-1</f>
        <v>0.12676056338028174</v>
      </c>
      <c r="CA266" s="656">
        <f>CA265/BU265-1</f>
        <v>0.1589147286821706</v>
      </c>
      <c r="CB266" s="652"/>
      <c r="CC266" s="656">
        <f>CC265/BW265-1</f>
        <v>0.18309859154929575</v>
      </c>
      <c r="CD266" s="656">
        <f>CD265/BX265-1</f>
        <v>0.20833333333333326</v>
      </c>
      <c r="CE266" s="656">
        <f>CE265/BY265-1</f>
        <v>0.26315789473684204</v>
      </c>
      <c r="CF266" s="656">
        <f>CF265/BZ265-1</f>
        <v>0.625</v>
      </c>
      <c r="CG266" s="657">
        <f>CG265/CA265-1</f>
        <v>0.32775919732441472</v>
      </c>
      <c r="CH266" s="652"/>
      <c r="CI266" s="656">
        <f>CI265/CC265-1</f>
        <v>0.48809523809523814</v>
      </c>
      <c r="CJ266" s="656">
        <f>CJ265/CD265-1</f>
        <v>0.60919540229885061</v>
      </c>
      <c r="CK266" s="656">
        <f>CK265/CE265-1</f>
        <v>0.47916666666666674</v>
      </c>
      <c r="CL266" s="656">
        <f>CL265/CF265-1</f>
        <v>0.16153846153846163</v>
      </c>
      <c r="CM266" s="657">
        <f>CM265/CG265-1</f>
        <v>0.40554156171284639</v>
      </c>
      <c r="CN266" s="652"/>
      <c r="CO266" s="656">
        <f>CO265/CI265-1</f>
        <v>0.26400000000000001</v>
      </c>
      <c r="CP266" s="656">
        <f>CP265/CJ265-1</f>
        <v>0.19285714285714284</v>
      </c>
      <c r="CQ266" s="656">
        <f>CQ265/CK265-1</f>
        <v>0.22535211267605626</v>
      </c>
      <c r="CR266" s="656">
        <f>CR265/CL265-1</f>
        <v>0.2847682119205297</v>
      </c>
      <c r="CS266" s="657">
        <f>CS265/CM265-1</f>
        <v>0.24193548387096775</v>
      </c>
      <c r="CT266" s="652"/>
      <c r="CU266" s="656">
        <f>CU265/CO265-1</f>
        <v>0.23417721518987333</v>
      </c>
      <c r="CV266" s="656">
        <f>CV265/CP265-1</f>
        <v>0.13173652694610771</v>
      </c>
      <c r="CW266" s="656">
        <f>CW265/CQ265-1</f>
        <v>9.7701149425287293E-2</v>
      </c>
      <c r="CX266" s="656">
        <f>CX265/CR265-1</f>
        <v>5.1546391752577359E-2</v>
      </c>
      <c r="CY266" s="657">
        <f>CY265/CS265-1</f>
        <v>0.12409812409812404</v>
      </c>
      <c r="CZ266" s="652"/>
      <c r="DA266" s="656">
        <f>DA265/CU265-1</f>
        <v>-7.6923076923076872E-2</v>
      </c>
      <c r="DB266" s="656">
        <f>DB265/CV265-1</f>
        <v>-5.2910052910053462E-3</v>
      </c>
      <c r="DC266" s="656">
        <f>DC265/CW265-1</f>
        <v>0.10471204188481686</v>
      </c>
      <c r="DD266" s="656">
        <f>DD265/CX265-1</f>
        <v>0.44607843137254899</v>
      </c>
      <c r="DE266" s="657">
        <f>DE265/CY265-1</f>
        <v>0.12195121951219523</v>
      </c>
      <c r="DF266" s="652"/>
      <c r="DG266" s="656">
        <f>DG265/DA265-1</f>
        <v>0.78333333333333344</v>
      </c>
      <c r="DH266" s="656">
        <f>DH265/DB265-1</f>
        <v>0.86170212765957444</v>
      </c>
      <c r="DI266" s="656">
        <f>DI265/DC265-1</f>
        <v>0.61611374407582931</v>
      </c>
      <c r="DJ266" s="656">
        <f>DJ265/DD265-1</f>
        <v>0.24406779661016942</v>
      </c>
      <c r="DK266" s="657">
        <f>DK265/DE265-1</f>
        <v>0.5778032036613272</v>
      </c>
      <c r="DL266" s="652"/>
      <c r="DM266" s="656">
        <f>DM265/DG265-1</f>
        <v>0.20662616822429913</v>
      </c>
      <c r="DN266" s="656">
        <f>DN265/DH265-1</f>
        <v>7.1691428571428517E-2</v>
      </c>
      <c r="DO266" s="656">
        <f>DO265/DI265-1</f>
        <v>1.9401759530791818E-2</v>
      </c>
      <c r="DP266" s="656">
        <f>DP265/DJ265-1</f>
        <v>2.7863760217983646E-2</v>
      </c>
      <c r="DQ266" s="657">
        <f>DQ265/DK265-1</f>
        <v>7.8506889050036222E-2</v>
      </c>
      <c r="DR266" s="652"/>
      <c r="DS266" s="656">
        <f>DS265/DM265-1</f>
        <v>-0.44547564663563177</v>
      </c>
      <c r="DT266" s="656">
        <f>DT265/DN265-1</f>
        <v>-0.44415302259319833</v>
      </c>
      <c r="DU266" s="656">
        <f>DU265/DO265-1</f>
        <v>-0.54110684955379407</v>
      </c>
      <c r="DV266" s="656">
        <f>DV265/DP265-1</f>
        <v>-0.57348882620150543</v>
      </c>
      <c r="DW266" s="657">
        <f>DW265/DQ265-1</f>
        <v>-0.49996287531384742</v>
      </c>
      <c r="DX266" s="652"/>
      <c r="DY266" s="656">
        <f>DY265/DS265-1</f>
        <v>-0.25661359929528071</v>
      </c>
      <c r="DZ266" s="656">
        <f>DZ265/DT265-1</f>
        <v>-0.10066620364765633</v>
      </c>
      <c r="EA266" s="656">
        <f>EA265/DU265-1</f>
        <v>-0.18201942974283836</v>
      </c>
      <c r="EB266" s="656">
        <f>EB265/DV265-1</f>
        <v>7.5606705749445169E-2</v>
      </c>
      <c r="EC266" s="657">
        <f>EC265/DW265-1</f>
        <v>-0.12501969420325254</v>
      </c>
      <c r="ED266" s="652"/>
      <c r="EE266" s="656">
        <f>EE265/DY265-1</f>
        <v>-6.4306138668601798E-2</v>
      </c>
      <c r="EF266" s="656">
        <f>EF265/DZ265-1</f>
        <v>-5.7969257872611313E-2</v>
      </c>
      <c r="EG266" s="656">
        <f>EG265/EA265-1</f>
        <v>-9.6900559824774746E-2</v>
      </c>
      <c r="EH266" s="656">
        <f>EH265/EB265-1</f>
        <v>-0.14297982501940953</v>
      </c>
      <c r="EI266" s="657">
        <f>EI265/EC265-1</f>
        <v>-8.9939263735429265E-2</v>
      </c>
      <c r="EJ266" s="652"/>
      <c r="EK266" s="656">
        <f>EK265/EE265-1</f>
        <v>-0.16985146432988152</v>
      </c>
      <c r="EL266" s="656">
        <f>EL265/EF265-1</f>
        <v>-0.32505236864719922</v>
      </c>
      <c r="EM266" s="656">
        <f>EM265/EG265-1</f>
        <v>-0.23071525573164486</v>
      </c>
      <c r="EN266" s="656">
        <f>EN265/EH265-1</f>
        <v>-0.1967898046452109</v>
      </c>
      <c r="EO266" s="657">
        <f>EO265/EI265-1</f>
        <v>-0.23500241896256535</v>
      </c>
      <c r="EP266" s="652"/>
      <c r="EQ266" s="656">
        <f>EQ265/EK265-1</f>
        <v>-0.19752562787244876</v>
      </c>
      <c r="ER266" s="656">
        <f>ER265/EL265-1</f>
        <v>-0.19877537325952033</v>
      </c>
      <c r="ES266" s="656">
        <f>ES265/EM265-1</f>
        <v>-0.21475902927802681</v>
      </c>
      <c r="ET266" s="656">
        <f>ET265/EN265-1</f>
        <v>-0.17168431107718496</v>
      </c>
      <c r="EU266" s="657">
        <f>EU265/EO265-1</f>
        <v>-0.19450781584372978</v>
      </c>
      <c r="EV266" s="652"/>
      <c r="EW266" s="656">
        <f>EW265/EQ265-1</f>
        <v>-0.17567416103086531</v>
      </c>
      <c r="EX266" s="656">
        <f>EX265/ER265-1</f>
        <v>-0.13457632796633245</v>
      </c>
      <c r="EY266" s="656">
        <f>EY265/ES265-1</f>
        <v>-0.12312908238664044</v>
      </c>
      <c r="EZ266" s="656">
        <f>EZ265/ET265-1</f>
        <v>-0.10309777230832795</v>
      </c>
      <c r="FA266" s="657">
        <f>FA265/EU265-1</f>
        <v>-0.13504032053264359</v>
      </c>
      <c r="FB266" s="652"/>
      <c r="FC266" s="656">
        <f>FC265/EW265-1</f>
        <v>-0.10748415170066739</v>
      </c>
      <c r="FD266" s="656">
        <f>FD265/EX265-1</f>
        <v>-0.11961411445921599</v>
      </c>
      <c r="FE266" s="656">
        <f>FE265/EY265-1</f>
        <v>-0.15328296399469532</v>
      </c>
      <c r="FF266" s="656">
        <f>FF265/EZ265-1</f>
        <v>-0.12758250659831472</v>
      </c>
      <c r="FG266" s="657">
        <f>FG265/FA265-1</f>
        <v>-0.12535384956891071</v>
      </c>
      <c r="FH266" s="652"/>
      <c r="FI266" s="656">
        <f>FI265/FC265-1</f>
        <v>-0.15111937980045342</v>
      </c>
      <c r="FJ266" s="656">
        <f>FJ265/FD265-1</f>
        <v>-0.15456880473258316</v>
      </c>
      <c r="FK266" s="656">
        <f>FK265/FE265-1</f>
        <v>-0.18388292158968855</v>
      </c>
      <c r="FL266" s="656">
        <f>FL265/FF265-1</f>
        <v>-0.14877512221618705</v>
      </c>
      <c r="FM266" s="657">
        <f>FM265/FG265-1</f>
        <v>-0.15764555981894757</v>
      </c>
      <c r="FQ266"/>
      <c r="FR266"/>
      <c r="FS266"/>
      <c r="FT266"/>
      <c r="FU266"/>
      <c r="FV266"/>
      <c r="GB266" s="24"/>
      <c r="GC266" s="24"/>
      <c r="GD266" s="24"/>
      <c r="GE266" s="24"/>
      <c r="GF266" s="24"/>
      <c r="GG266" s="24"/>
      <c r="GH266" s="24"/>
      <c r="GI266" s="24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</row>
    <row r="267" spans="1:274" s="28" customFormat="1" ht="6" hidden="1" customHeight="1" outlineLevel="1" x14ac:dyDescent="0.2">
      <c r="A267" s="614"/>
      <c r="B267" s="595"/>
      <c r="CG267" s="416"/>
      <c r="CM267" s="416"/>
      <c r="CS267" s="416"/>
      <c r="CY267" s="416"/>
      <c r="DE267" s="416"/>
      <c r="DK267" s="416"/>
      <c r="DQ267" s="416"/>
      <c r="DW267" s="416"/>
      <c r="EC267" s="416"/>
      <c r="EI267" s="416"/>
      <c r="EO267" s="416"/>
      <c r="EU267" s="416"/>
      <c r="FA267" s="416"/>
      <c r="FG267" s="416"/>
      <c r="FM267" s="416"/>
      <c r="FQ267"/>
      <c r="FR267"/>
      <c r="FS267"/>
      <c r="FT267"/>
      <c r="FU267"/>
      <c r="FV267"/>
      <c r="GB267" s="24"/>
      <c r="GC267" s="24"/>
      <c r="GD267" s="24"/>
      <c r="GE267" s="24"/>
      <c r="GF267" s="24"/>
      <c r="GG267" s="24"/>
      <c r="GH267" s="24"/>
      <c r="GI267" s="24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</row>
    <row r="268" spans="1:274" s="28" customFormat="1" ht="12" hidden="1" customHeight="1" outlineLevel="1" x14ac:dyDescent="0.2">
      <c r="A268" s="75" t="s">
        <v>608</v>
      </c>
      <c r="B268" s="1030"/>
      <c r="C268" s="1031"/>
      <c r="D268" s="1031"/>
      <c r="E268" s="1031"/>
      <c r="F268" s="1031"/>
      <c r="G268" s="1031"/>
      <c r="H268" s="1031"/>
      <c r="I268" s="1031"/>
      <c r="J268" s="1031"/>
      <c r="K268" s="1031"/>
      <c r="L268" s="1031"/>
      <c r="M268" s="1031"/>
      <c r="N268" s="1031"/>
      <c r="O268" s="1031"/>
      <c r="P268" s="1031"/>
      <c r="Q268" s="1031"/>
      <c r="R268" s="1031"/>
      <c r="S268" s="1031"/>
      <c r="T268" s="1031"/>
      <c r="U268" s="1031"/>
      <c r="V268" s="1031"/>
      <c r="W268" s="1031"/>
      <c r="X268" s="1031"/>
      <c r="Y268" s="1031"/>
      <c r="Z268" s="1031"/>
      <c r="AA268" s="647"/>
      <c r="AB268" s="647"/>
      <c r="AC268" s="647"/>
      <c r="AD268" s="647"/>
      <c r="AE268" s="1031"/>
      <c r="AF268" s="1031"/>
      <c r="AG268" s="647"/>
      <c r="AH268" s="647"/>
      <c r="AI268" s="647"/>
      <c r="AJ268" s="647"/>
      <c r="AK268" s="1031"/>
      <c r="AL268" s="1031"/>
      <c r="AM268" s="647"/>
      <c r="AN268" s="647"/>
      <c r="AO268" s="647"/>
      <c r="AP268" s="647"/>
      <c r="AQ268" s="1031"/>
      <c r="AR268" s="1031"/>
      <c r="AS268" s="647"/>
      <c r="AT268" s="647"/>
      <c r="AU268" s="647"/>
      <c r="AV268" s="647"/>
      <c r="AW268" s="1031"/>
      <c r="AX268" s="1031"/>
      <c r="AY268" s="647"/>
      <c r="AZ268" s="647"/>
      <c r="BA268" s="647"/>
      <c r="BB268" s="647"/>
      <c r="BC268" s="1031"/>
      <c r="BD268" s="1031"/>
      <c r="BE268" s="658">
        <f>BE265/(BE172+BB172+BA172+AZ172)</f>
        <v>1.7168072654830752E-2</v>
      </c>
      <c r="BF268" s="658">
        <f>BF265/(BF172+BE172+BB172+BA172)</f>
        <v>1.9650944840082906E-2</v>
      </c>
      <c r="BG268" s="658">
        <f>BG265/(BG172+BF172+BE172+BB172)</f>
        <v>1.9147903339495419E-2</v>
      </c>
      <c r="BH268" s="658">
        <f>BH265/(BH172+BG172+BF172+BE172)</f>
        <v>2.4661841153241527E-2</v>
      </c>
      <c r="BI268" s="1031"/>
      <c r="BJ268" s="1031"/>
      <c r="BK268" s="658">
        <f>BK265/(BK172+BH172+BG172+BF172)</f>
        <v>1.9433265256175981E-2</v>
      </c>
      <c r="BL268" s="658">
        <f>BL265/(BL172+BK172+BH172+BG172)</f>
        <v>1.9662475179965413E-2</v>
      </c>
      <c r="BM268" s="658">
        <f>BM265/(BM172+BL172+BK172+BH172)</f>
        <v>1.9486677608075278E-2</v>
      </c>
      <c r="BN268" s="658">
        <f>BN265/(BN172+BM172+BL172+BK172)</f>
        <v>2.0183486238532111E-2</v>
      </c>
      <c r="BO268" s="1031"/>
      <c r="BP268" s="1031"/>
      <c r="BQ268" s="658">
        <f>BQ265/(BQ172+BN172+BM172+BL172)</f>
        <v>1.8564356435643563E-2</v>
      </c>
      <c r="BR268" s="658">
        <f>BR265/(BR172+BQ172+BN172+BM172)</f>
        <v>1.9566526189042744E-2</v>
      </c>
      <c r="BS268" s="658">
        <f>BS265/(BS172+BR172+BQ172+BN172)</f>
        <v>1.8160515524311659E-2</v>
      </c>
      <c r="BT268" s="658">
        <f>BT265/(BT172+BS172+BR172+BQ172)</f>
        <v>2.0050833097994918E-2</v>
      </c>
      <c r="BU268" s="1031"/>
      <c r="BV268" s="1031"/>
      <c r="BW268" s="658">
        <f>BW265/(BW172+BT172+BS172+BR172)</f>
        <v>1.9837943559653536E-2</v>
      </c>
      <c r="BX268" s="658">
        <f>BX265/(BX172+BW172+BT172+BS172)</f>
        <v>1.9485791610284169E-2</v>
      </c>
      <c r="BY268" s="658">
        <f>BY265/(BY172+BX172+BW172+BT172)</f>
        <v>2.0026350461133071E-2</v>
      </c>
      <c r="BZ268" s="658">
        <f>BZ265/(BZ172+BY172+BX172+BW172)</f>
        <v>1.9559902200488997E-2</v>
      </c>
      <c r="CA268" s="1031"/>
      <c r="CB268" s="1031"/>
      <c r="CC268" s="658">
        <f>CC265/(CC172+BZ172+BY172+BX172)</f>
        <v>2.0211742059672761E-2</v>
      </c>
      <c r="CD268" s="658">
        <f>CD265/(CD172+CC172+BZ172+BY172)</f>
        <v>2.0504360122554795E-2</v>
      </c>
      <c r="CE268" s="658">
        <f>CE265/(CE172+CD172+CC172+BZ172)</f>
        <v>2.1855932975138877E-2</v>
      </c>
      <c r="CF268" s="658">
        <f>CF265/(CF172+CE172+CD172+CC172)</f>
        <v>2.650681021123889E-2</v>
      </c>
      <c r="CG268" s="1032"/>
      <c r="CH268" s="1031"/>
      <c r="CI268" s="658">
        <f>CI265/(CI172+CF172+CE172+CD172)</f>
        <v>2.4609205811710045E-2</v>
      </c>
      <c r="CJ268" s="658">
        <f>CJ265/(CJ172+CI172+CF172+CE172)</f>
        <v>2.6776834213143603E-2</v>
      </c>
      <c r="CK268" s="658">
        <f>CK265/(CK172+CJ172+CI172+CF172)</f>
        <v>2.5715320536037669E-2</v>
      </c>
      <c r="CL268" s="658">
        <f>CL265/(CL172+CK172+CJ172+CI172)</f>
        <v>2.5671540292417545E-2</v>
      </c>
      <c r="CM268" s="1032"/>
      <c r="CN268" s="1031"/>
      <c r="CO268" s="658">
        <f>CO265/(CO172+CL172+CK172+CJ172)</f>
        <v>2.5628548256285483E-2</v>
      </c>
      <c r="CP268" s="658">
        <f>CP265/(CP172+CO172+CL172+CK172)</f>
        <v>2.5203742831270751E-2</v>
      </c>
      <c r="CQ268" s="658">
        <f>CQ265/(CQ172+CP172+CO172+CL172)</f>
        <v>2.5394045534150613E-2</v>
      </c>
      <c r="CR268" s="658">
        <f>CR265/(CR172+CQ172+CP172+CO172)</f>
        <v>2.5815036593479706E-2</v>
      </c>
      <c r="CS268" s="1032"/>
      <c r="CT268" s="1033"/>
      <c r="CU268" s="658">
        <f>CU265/(CU172+CR172+CQ172+CP172)</f>
        <v>2.5446952890512853E-2</v>
      </c>
      <c r="CV268" s="658">
        <f>CV265/(CV172+CU172+CR172+CQ172)</f>
        <v>2.4799895026899357E-2</v>
      </c>
      <c r="CW268" s="658">
        <f>CW265/(CW172+CV172+CU172+CR172)</f>
        <v>2.5395559101183355E-2</v>
      </c>
      <c r="CX268" s="658">
        <f>CX265/(CX172+CW172+CV172+CU172)</f>
        <v>2.8647661845246454E-2</v>
      </c>
      <c r="CY268" s="1032"/>
      <c r="CZ268" s="1031"/>
      <c r="DA268" s="658">
        <f>DA265/(DA172+CX172+CW172+CV172)</f>
        <v>2.6034133641886028E-2</v>
      </c>
      <c r="DB268" s="658">
        <f>DB265/(DB172+DA172+CX172+CW172)</f>
        <v>2.7085434375450225E-2</v>
      </c>
      <c r="DC268" s="658">
        <f>DC265/(DC172+DB172+DA172+CX172)</f>
        <v>2.9537755130610074E-2</v>
      </c>
      <c r="DD268" s="658">
        <f>DD265/(DD172+DC172+DB172+DA172)</f>
        <v>3.9153748141856022E-2</v>
      </c>
      <c r="DE268" s="1034"/>
      <c r="DF268" s="1035"/>
      <c r="DG268" s="658">
        <f>DG265/(DG172+DD172+DC172+DB172)</f>
        <v>4.1193983881730921E-2</v>
      </c>
      <c r="DH268" s="658">
        <f>DH265/(DH172+DG172+DD172+DC172)</f>
        <v>4.3005996264622037E-2</v>
      </c>
      <c r="DI268" s="658">
        <f>DI265/(DI172+DH172+DG172+DD172)</f>
        <v>3.9495019689599259E-2</v>
      </c>
      <c r="DJ268" s="658">
        <f>DJ265/(DJ172+DI172+DH172+DG172)</f>
        <v>3.9740119112073632E-2</v>
      </c>
      <c r="DK268" s="1032"/>
      <c r="DL268" s="1031"/>
      <c r="DM268" s="659">
        <v>4.1000000000000002E-2</v>
      </c>
      <c r="DN268" s="659">
        <v>3.95E-2</v>
      </c>
      <c r="DO268" s="659">
        <v>3.5999999999999997E-2</v>
      </c>
      <c r="DP268" s="659">
        <v>3.7999999999999999E-2</v>
      </c>
      <c r="DQ268" s="1032"/>
      <c r="DR268" s="1031"/>
      <c r="DS268" s="659">
        <v>2.191655655260823E-2</v>
      </c>
      <c r="DT268" s="659">
        <v>2.1011161387631972E-2</v>
      </c>
      <c r="DU268" s="659">
        <v>1.6530425014042314E-2</v>
      </c>
      <c r="DV268" s="659">
        <v>1.7094252448715565E-2</v>
      </c>
      <c r="DW268" s="1032"/>
      <c r="DX268" s="1031"/>
      <c r="DY268" s="659">
        <v>1.6913793103448271E-2</v>
      </c>
      <c r="DZ268" s="659">
        <v>1.9968634686346864E-2</v>
      </c>
      <c r="EA268" s="659">
        <v>1.3856123662306782E-2</v>
      </c>
      <c r="EB268" s="659">
        <v>1.8376930063578562E-2</v>
      </c>
      <c r="EC268" s="1032"/>
      <c r="ED268" s="1031"/>
      <c r="EE268" s="659">
        <v>1.591379310344827E-2</v>
      </c>
      <c r="EF268" s="659">
        <f>DZ268-0.1%</f>
        <v>1.8968634686346863E-2</v>
      </c>
      <c r="EG268" s="659">
        <f>EA268-0.1%</f>
        <v>1.2856123662306783E-2</v>
      </c>
      <c r="EH268" s="659">
        <f>EB268-0.1%</f>
        <v>1.7376930063578561E-2</v>
      </c>
      <c r="EI268" s="1032"/>
      <c r="EJ268" s="1031"/>
      <c r="EK268" s="659">
        <f>EE268-0.1%</f>
        <v>1.4913793103448269E-2</v>
      </c>
      <c r="EL268" s="659">
        <v>1.4999999999999999E-2</v>
      </c>
      <c r="EM268" s="659">
        <f>EG268-0.1%</f>
        <v>1.1856123662306782E-2</v>
      </c>
      <c r="EN268" s="659">
        <f>EH268-0.1%</f>
        <v>1.637693006357856E-2</v>
      </c>
      <c r="EO268" s="1032"/>
      <c r="EP268" s="1031"/>
      <c r="EQ268" s="1773">
        <f>EK268-0.1%</f>
        <v>1.3913793103448268E-2</v>
      </c>
      <c r="ER268" s="1773">
        <f>EL268-0.1%</f>
        <v>1.3999999999999999E-2</v>
      </c>
      <c r="ES268" s="1773">
        <f>EM268-0.1%</f>
        <v>1.0856123662306781E-2</v>
      </c>
      <c r="ET268" s="1773">
        <f>EN268-0.1%</f>
        <v>1.537693006357856E-2</v>
      </c>
      <c r="EU268" s="1770"/>
      <c r="EV268" s="1771"/>
      <c r="EW268" s="1773">
        <f>EQ268-0.1%</f>
        <v>1.2913793103448267E-2</v>
      </c>
      <c r="EX268" s="1773">
        <f>ER268-0.1%</f>
        <v>1.2999999999999998E-2</v>
      </c>
      <c r="EY268" s="1773">
        <f>ES268-0.1%</f>
        <v>9.8561236623067802E-3</v>
      </c>
      <c r="EZ268" s="1773">
        <f>ET268-0.1%</f>
        <v>1.4376930063578559E-2</v>
      </c>
      <c r="FA268" s="1770"/>
      <c r="FB268" s="1771"/>
      <c r="FC268" s="1773">
        <f>EW268-0.1%</f>
        <v>1.1913793103448266E-2</v>
      </c>
      <c r="FD268" s="1773">
        <f>EX268-0.1%</f>
        <v>1.1999999999999997E-2</v>
      </c>
      <c r="FE268" s="1773">
        <f>EY268-0.1%</f>
        <v>8.8561236623067793E-3</v>
      </c>
      <c r="FF268" s="1773">
        <f>EZ268-0.1%</f>
        <v>1.3376930063578558E-2</v>
      </c>
      <c r="FG268" s="1770"/>
      <c r="FH268" s="1771"/>
      <c r="FI268" s="1773">
        <f>FC268-0.1%</f>
        <v>1.0913793103448265E-2</v>
      </c>
      <c r="FJ268" s="1773">
        <f>FD268-0.1%</f>
        <v>1.0999999999999996E-2</v>
      </c>
      <c r="FK268" s="1773">
        <f>FE268-0.1%</f>
        <v>7.8561236623067784E-3</v>
      </c>
      <c r="FL268" s="1773">
        <f>FF268-0.1%</f>
        <v>1.2376930063578557E-2</v>
      </c>
      <c r="FM268" s="1770"/>
      <c r="FQ268"/>
      <c r="FR268"/>
      <c r="FS268"/>
      <c r="FT268"/>
      <c r="FU268"/>
      <c r="FV268"/>
      <c r="GB268" s="24"/>
      <c r="GC268" s="24"/>
      <c r="GD268" s="24"/>
      <c r="GE268" s="24"/>
      <c r="GF268" s="24"/>
      <c r="GG268" s="24"/>
      <c r="GH268" s="24"/>
      <c r="GI268" s="24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</row>
    <row r="269" spans="1:274" s="28" customFormat="1" ht="5.25" hidden="1" customHeight="1" outlineLevel="1" x14ac:dyDescent="0.2">
      <c r="A269" s="18"/>
      <c r="B269" s="595"/>
      <c r="CG269" s="416"/>
      <c r="CM269" s="416"/>
      <c r="CS269" s="416"/>
      <c r="CY269" s="416"/>
      <c r="DE269" s="416"/>
      <c r="DK269" s="416"/>
      <c r="DQ269" s="416"/>
      <c r="DW269" s="416"/>
      <c r="EC269" s="416"/>
      <c r="EI269" s="416"/>
      <c r="EO269" s="416"/>
      <c r="EU269" s="416"/>
      <c r="FA269" s="416"/>
      <c r="FG269" s="416"/>
      <c r="FM269" s="416"/>
      <c r="FQ269"/>
      <c r="FR269"/>
      <c r="FS269"/>
      <c r="FT269"/>
      <c r="FU269"/>
      <c r="FV269"/>
      <c r="GB269" s="24"/>
      <c r="GC269" s="24"/>
      <c r="GD269" s="24"/>
      <c r="GE269" s="24"/>
      <c r="GF269" s="24"/>
      <c r="GG269" s="24"/>
      <c r="GH269" s="24"/>
      <c r="GI269" s="24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</row>
    <row r="270" spans="1:274" s="28" customFormat="1" ht="5.25" hidden="1" customHeight="1" outlineLevel="1" thickBot="1" x14ac:dyDescent="0.25">
      <c r="A270" s="18"/>
      <c r="B270" s="595"/>
      <c r="CG270" s="416"/>
      <c r="CM270" s="416"/>
      <c r="CS270" s="416"/>
      <c r="CY270" s="416"/>
      <c r="DE270" s="416"/>
      <c r="DK270" s="416"/>
      <c r="DQ270" s="416"/>
      <c r="DW270" s="416"/>
      <c r="EC270" s="416"/>
      <c r="EI270" s="416"/>
      <c r="EO270" s="416"/>
      <c r="EU270" s="416"/>
      <c r="FA270" s="416"/>
      <c r="FG270" s="416"/>
      <c r="FM270" s="416"/>
      <c r="FQ270"/>
      <c r="FR270"/>
      <c r="FS270"/>
      <c r="FT270"/>
      <c r="FU270"/>
      <c r="FV270"/>
      <c r="GB270" s="24"/>
      <c r="GC270" s="24"/>
      <c r="GD270" s="24"/>
      <c r="GE270" s="24"/>
      <c r="GF270" s="24"/>
      <c r="GG270" s="24"/>
      <c r="GH270" s="24"/>
      <c r="GI270" s="24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</row>
    <row r="271" spans="1:274" s="646" customFormat="1" ht="12" hidden="1" customHeight="1" outlineLevel="1" x14ac:dyDescent="0.2">
      <c r="A271" s="648" t="s">
        <v>92</v>
      </c>
      <c r="B271" s="624"/>
      <c r="C271" s="649" t="s">
        <v>945</v>
      </c>
      <c r="D271" s="649" t="s">
        <v>945</v>
      </c>
      <c r="E271" s="649" t="s">
        <v>945</v>
      </c>
      <c r="F271" s="649" t="s">
        <v>945</v>
      </c>
      <c r="G271" s="649" t="s">
        <v>945</v>
      </c>
      <c r="H271" s="649" t="s">
        <v>945</v>
      </c>
      <c r="I271" s="649" t="s">
        <v>945</v>
      </c>
      <c r="J271" s="649" t="s">
        <v>945</v>
      </c>
      <c r="K271" s="649" t="s">
        <v>945</v>
      </c>
      <c r="L271" s="649" t="s">
        <v>945</v>
      </c>
      <c r="M271" s="649" t="s">
        <v>945</v>
      </c>
      <c r="N271" s="624"/>
      <c r="O271" s="650" t="s">
        <v>945</v>
      </c>
      <c r="P271" s="650" t="s">
        <v>945</v>
      </c>
      <c r="Q271" s="650" t="s">
        <v>945</v>
      </c>
      <c r="R271" s="650" t="s">
        <v>945</v>
      </c>
      <c r="S271" s="650" t="s">
        <v>945</v>
      </c>
      <c r="T271" s="624"/>
      <c r="U271" s="650" t="s">
        <v>945</v>
      </c>
      <c r="V271" s="650" t="s">
        <v>945</v>
      </c>
      <c r="W271" s="650" t="s">
        <v>945</v>
      </c>
      <c r="X271" s="650" t="s">
        <v>945</v>
      </c>
      <c r="Y271" s="650" t="s">
        <v>945</v>
      </c>
      <c r="Z271" s="624"/>
      <c r="AA271" s="650" t="s">
        <v>945</v>
      </c>
      <c r="AB271" s="650" t="s">
        <v>945</v>
      </c>
      <c r="AC271" s="650" t="s">
        <v>945</v>
      </c>
      <c r="AD271" s="650" t="s">
        <v>945</v>
      </c>
      <c r="AE271" s="650" t="s">
        <v>945</v>
      </c>
      <c r="AF271" s="624"/>
      <c r="AG271" s="650" t="s">
        <v>945</v>
      </c>
      <c r="AH271" s="650" t="s">
        <v>945</v>
      </c>
      <c r="AI271" s="650" t="s">
        <v>945</v>
      </c>
      <c r="AJ271" s="650" t="s">
        <v>945</v>
      </c>
      <c r="AK271" s="650" t="s">
        <v>945</v>
      </c>
      <c r="AL271" s="624"/>
      <c r="AM271" s="650" t="s">
        <v>945</v>
      </c>
      <c r="AN271" s="650" t="s">
        <v>945</v>
      </c>
      <c r="AO271" s="650" t="s">
        <v>945</v>
      </c>
      <c r="AP271" s="650" t="s">
        <v>945</v>
      </c>
      <c r="AQ271" s="650" t="s">
        <v>945</v>
      </c>
      <c r="AR271" s="624"/>
      <c r="AS271" s="650" t="s">
        <v>945</v>
      </c>
      <c r="AT271" s="650" t="s">
        <v>945</v>
      </c>
      <c r="AU271" s="650" t="s">
        <v>945</v>
      </c>
      <c r="AV271" s="650" t="s">
        <v>945</v>
      </c>
      <c r="AW271" s="650" t="s">
        <v>945</v>
      </c>
      <c r="AX271" s="624"/>
      <c r="AY271" s="650" t="s">
        <v>945</v>
      </c>
      <c r="AZ271" s="650" t="s">
        <v>945</v>
      </c>
      <c r="BA271" s="650" t="s">
        <v>945</v>
      </c>
      <c r="BB271" s="650" t="s">
        <v>945</v>
      </c>
      <c r="BC271" s="650" t="s">
        <v>945</v>
      </c>
      <c r="BD271" s="624"/>
      <c r="BE271" s="650">
        <f>Model!BE74</f>
        <v>88.119</v>
      </c>
      <c r="BF271" s="650">
        <f>Model!BF74</f>
        <v>85.84</v>
      </c>
      <c r="BG271" s="650">
        <f>Model!BG74</f>
        <v>63.664999999999999</v>
      </c>
      <c r="BH271" s="650">
        <f>Model!BH74</f>
        <v>79.578000000000003</v>
      </c>
      <c r="BI271" s="650">
        <f>Model!BI74</f>
        <v>317.202</v>
      </c>
      <c r="BJ271" s="624"/>
      <c r="BK271" s="650">
        <f>Model!BK74</f>
        <v>64</v>
      </c>
      <c r="BL271" s="650">
        <f>Model!BL74</f>
        <v>71</v>
      </c>
      <c r="BM271" s="650">
        <f>Model!BM74</f>
        <v>54</v>
      </c>
      <c r="BN271" s="650">
        <f>Model!BN74</f>
        <v>69</v>
      </c>
      <c r="BO271" s="650">
        <f>Model!BO74</f>
        <v>258</v>
      </c>
      <c r="BP271" s="624"/>
      <c r="BQ271" s="650">
        <f>Model!BQ74</f>
        <v>56</v>
      </c>
      <c r="BR271" s="650">
        <f>Model!BR74</f>
        <v>68</v>
      </c>
      <c r="BS271" s="650">
        <f>Model!BS74</f>
        <v>50</v>
      </c>
      <c r="BT271" s="650">
        <f>Model!BT74</f>
        <v>65</v>
      </c>
      <c r="BU271" s="650">
        <f>SUM(BQ271:BT271)</f>
        <v>239</v>
      </c>
      <c r="BV271" s="624"/>
      <c r="BW271" s="650">
        <f>Model!BW74</f>
        <v>50</v>
      </c>
      <c r="BX271" s="650">
        <f>Model!BX74</f>
        <v>66</v>
      </c>
      <c r="BY271" s="650">
        <f>Model!BY74</f>
        <v>68</v>
      </c>
      <c r="BZ271" s="650">
        <f>Model!BZ74</f>
        <v>86</v>
      </c>
      <c r="CA271" s="650">
        <f>SUM(BW271:BZ271)</f>
        <v>270</v>
      </c>
      <c r="CB271" s="624"/>
      <c r="CC271" s="650">
        <f>Model!CC74</f>
        <v>72</v>
      </c>
      <c r="CD271" s="650">
        <f>Model!CD74</f>
        <v>82</v>
      </c>
      <c r="CE271" s="650">
        <f>Model!CE74</f>
        <v>74</v>
      </c>
      <c r="CF271" s="650">
        <f>Model!CF74</f>
        <v>95</v>
      </c>
      <c r="CG271" s="651">
        <f>SUM(CC271:CF271)</f>
        <v>323</v>
      </c>
      <c r="CH271" s="624"/>
      <c r="CI271" s="650">
        <f>Model!CI74</f>
        <v>81</v>
      </c>
      <c r="CJ271" s="650">
        <f>Model!CJ74</f>
        <v>93</v>
      </c>
      <c r="CK271" s="650">
        <f>Model!CK74</f>
        <v>80</v>
      </c>
      <c r="CL271" s="650">
        <f>Model!CL74</f>
        <v>105</v>
      </c>
      <c r="CM271" s="651">
        <f>SUM(CI271:CL271)</f>
        <v>359</v>
      </c>
      <c r="CN271" s="624"/>
      <c r="CO271" s="650">
        <f>Model!CO74</f>
        <v>100</v>
      </c>
      <c r="CP271" s="650">
        <f>Model!CP74</f>
        <v>110</v>
      </c>
      <c r="CQ271" s="650">
        <f>Model!CQ74</f>
        <v>92</v>
      </c>
      <c r="CR271" s="650">
        <f>Model!CR74</f>
        <v>114</v>
      </c>
      <c r="CS271" s="651">
        <f>SUM(CO271:CR271)</f>
        <v>416</v>
      </c>
      <c r="CT271" s="624"/>
      <c r="CU271" s="650">
        <f>Model!CU74</f>
        <v>99</v>
      </c>
      <c r="CV271" s="650">
        <f>Model!CV74</f>
        <v>100</v>
      </c>
      <c r="CW271" s="650">
        <f>Model!CW74</f>
        <v>71</v>
      </c>
      <c r="CX271" s="650">
        <f>Model!CX74</f>
        <v>79</v>
      </c>
      <c r="CY271" s="651">
        <f>SUM(CU271:CX271)</f>
        <v>349</v>
      </c>
      <c r="CZ271" s="624"/>
      <c r="DA271" s="650">
        <f>Model!DA74</f>
        <v>66</v>
      </c>
      <c r="DB271" s="650">
        <f>Model!DB74</f>
        <v>78</v>
      </c>
      <c r="DC271" s="650">
        <f>Model!DC74</f>
        <v>69</v>
      </c>
      <c r="DD271" s="650">
        <f>Model!DD74</f>
        <v>100</v>
      </c>
      <c r="DE271" s="651">
        <f>SUM(DA271:DD271)</f>
        <v>313</v>
      </c>
      <c r="DF271" s="624"/>
      <c r="DG271" s="650">
        <f>Model!DG74</f>
        <v>81</v>
      </c>
      <c r="DH271" s="650">
        <f>Model!DH74</f>
        <v>97</v>
      </c>
      <c r="DI271" s="650">
        <f>Model!DI74</f>
        <v>83</v>
      </c>
      <c r="DJ271" s="650">
        <f>Model!DJ74</f>
        <v>94</v>
      </c>
      <c r="DK271" s="651">
        <f>SUM(DG271:DJ271)</f>
        <v>355</v>
      </c>
      <c r="DL271" s="624"/>
      <c r="DM271" s="650">
        <f>Model!DM74</f>
        <v>65.254000000000019</v>
      </c>
      <c r="DN271" s="650">
        <f>Model!DN74</f>
        <v>64.220000000000027</v>
      </c>
      <c r="DO271" s="650">
        <f>SUM(DJ$172,DM$172,DN$172,DO$172)*DO274</f>
        <v>86.903999999999996</v>
      </c>
      <c r="DP271" s="650">
        <f>SUM(DM$172,DN$172,DO$172,DP$172)*DP274</f>
        <v>89.342999999999989</v>
      </c>
      <c r="DQ271" s="651">
        <f>SUM(DM271:DP271)</f>
        <v>305.721</v>
      </c>
      <c r="DR271" s="624"/>
      <c r="DS271" s="650">
        <f>SUM(DN$172,DO$172,DP$172,DS$172)*DS274</f>
        <v>58.800000000000004</v>
      </c>
      <c r="DT271" s="650">
        <f>SUM(DO$172,DP$172,DS$172,DT$172)*DT274</f>
        <v>59.538000000000004</v>
      </c>
      <c r="DU271" s="650">
        <f>SUM(DP$172,DS$172,DT$172,DU$172)*DU274</f>
        <v>57.9</v>
      </c>
      <c r="DV271" s="650">
        <f>SUM(DS$172,DT$172,DU$172,DV$172)*DV274</f>
        <v>65.884</v>
      </c>
      <c r="DW271" s="651">
        <f>SUM(DS271:DV271)</f>
        <v>242.12200000000001</v>
      </c>
      <c r="DX271" s="624"/>
      <c r="DY271" s="650">
        <f>SUM(DT$172,DU$172,DV$172,DY$172)*DY274</f>
        <v>47.2</v>
      </c>
      <c r="DZ271" s="650">
        <f>SUM(DU$172,DV$172,DY$172,DZ$172)*DZ274</f>
        <v>46.95</v>
      </c>
      <c r="EA271" s="650">
        <f>SUM(DV$172,DY$172,DZ$172,EA$172)*EA274</f>
        <v>47.085000000000001</v>
      </c>
      <c r="EB271" s="650">
        <f>SUM(DY$172,DZ$172,EA$172,EB$172)*EB274</f>
        <v>47.085000000000001</v>
      </c>
      <c r="EC271" s="651">
        <f>SUM(DY271:EB271)</f>
        <v>188.32000000000002</v>
      </c>
      <c r="ED271" s="624"/>
      <c r="EE271" s="650">
        <f>SUM(DZ$172,EA$172,EB$172,EE$172)*EE274</f>
        <v>45.062400000000004</v>
      </c>
      <c r="EF271" s="650">
        <f>SUM(EA$172,EB$172,EE$172,EF$172)*EF274</f>
        <v>44.697600000000001</v>
      </c>
      <c r="EG271" s="650">
        <f>SUM(EB$172,EE$172,EF$172,EG$172)*EG274</f>
        <v>43.996800000000007</v>
      </c>
      <c r="EH271" s="650">
        <f>SUM(EE$172,EF$172,EG$172,EH$172)*EH274</f>
        <v>40.968000000000004</v>
      </c>
      <c r="EI271" s="651">
        <f>SUM(EE271:EH271)</f>
        <v>174.72480000000002</v>
      </c>
      <c r="EJ271" s="624"/>
      <c r="EK271" s="650">
        <f>SUM(EF$172,EG$172,EH$172,EK$172)*EK274</f>
        <v>38.253600000000006</v>
      </c>
      <c r="EL271" s="650">
        <f>SUM(EG$172,EH$172,EK$172,EL$172)*EL274</f>
        <v>36.560800000000008</v>
      </c>
      <c r="EM271" s="650">
        <f>SUM(EH$172,EK$172,EL$172,EM$172)*EM274</f>
        <v>35.171600000000005</v>
      </c>
      <c r="EN271" s="650">
        <f>SUM(EK$172,EL$172,EM$172,EN$172)*EN274</f>
        <v>33.460400000000007</v>
      </c>
      <c r="EO271" s="651">
        <f>SUM(EK271:EN271)</f>
        <v>143.44640000000004</v>
      </c>
      <c r="EP271" s="624"/>
      <c r="EQ271" s="650">
        <f>SUM(EL$172,EM$172,EN$172,EQ$172)*EQ274</f>
        <v>31.473200000000009</v>
      </c>
      <c r="ER271" s="650">
        <f>SUM(EM$172,EN$172,EQ$172,ER$172)*ER274</f>
        <v>30.021200000000007</v>
      </c>
      <c r="ES271" s="650">
        <f>SUM(EN$172,EQ$172,ER$172,ES$172)*ES274</f>
        <v>28.850800000000007</v>
      </c>
      <c r="ET271" s="650">
        <f>SUM(EQ$172,ER$172,ES$172,ET$172)*ET274</f>
        <v>28.234800000000007</v>
      </c>
      <c r="EU271" s="651">
        <f>SUM(EQ271:ET271)</f>
        <v>118.58000000000003</v>
      </c>
      <c r="EV271" s="1772"/>
      <c r="EW271" s="650">
        <f>SUM(ER$172,ES$172,ET$172,EW$172)*EW274</f>
        <v>26.682600000000008</v>
      </c>
      <c r="EX271" s="650">
        <f>SUM(ES$172,ET$172,EW$172,EX$172)*EX274</f>
        <v>26.70780000000001</v>
      </c>
      <c r="EY271" s="650">
        <f>SUM(ET$172,EW$172,EX$172,EY$172)*EY274</f>
        <v>26.598600000000008</v>
      </c>
      <c r="EZ271" s="650">
        <f>SUM(EW$172,EX$172,EY$172,EZ$172)*EZ274</f>
        <v>25.854129000000007</v>
      </c>
      <c r="FA271" s="651">
        <f>SUM(EW271:EZ271)</f>
        <v>105.84312900000003</v>
      </c>
      <c r="FB271" s="1772"/>
      <c r="FC271" s="650">
        <f>SUM(EX$172,EY$172,EZ$172,FC$172)*FC274</f>
        <v>24.584340000000012</v>
      </c>
      <c r="FD271" s="650">
        <f>SUM(EY$172,EZ$172,FC$172,FD$172)*FD274</f>
        <v>24.259620000000009</v>
      </c>
      <c r="FE271" s="650">
        <f>SUM(EZ$172,FC$172,FD$172,FE$172)*FE274</f>
        <v>23.87098000000001</v>
      </c>
      <c r="FF271" s="650">
        <f>SUM(FC$172,FD$172,FE$172,FF$172)*FF274</f>
        <v>23.087381600000011</v>
      </c>
      <c r="FG271" s="651">
        <f>SUM(FC271:FF271)</f>
        <v>95.802321600000056</v>
      </c>
      <c r="FH271" s="1772"/>
      <c r="FI271" s="650">
        <f>SUM(FD$172,FE$172,FF$172,FI$172)*FI274</f>
        <v>21.642285160000011</v>
      </c>
      <c r="FJ271" s="650">
        <f>SUM(FE$172,FF$172,FI$172,FJ$172)*FJ274</f>
        <v>21.255651880000009</v>
      </c>
      <c r="FK271" s="650">
        <f>SUM(FF$172,FI$172,FJ$172,FK$172)*FK274</f>
        <v>20.863236520000008</v>
      </c>
      <c r="FL271" s="650">
        <f>SUM(FI$172,FJ$172,FK$172,FL$172)*FL274</f>
        <v>20.178371518400009</v>
      </c>
      <c r="FM271" s="651">
        <f>SUM(FI271:FL271)</f>
        <v>83.93954507840003</v>
      </c>
      <c r="FQ271"/>
      <c r="FR271"/>
      <c r="FS271"/>
      <c r="FT271"/>
      <c r="FU271"/>
      <c r="FV271"/>
      <c r="GB271" s="24"/>
      <c r="GC271" s="24"/>
      <c r="GD271" s="24"/>
      <c r="GE271" s="24"/>
      <c r="GF271" s="24"/>
      <c r="GG271" s="24"/>
      <c r="GH271" s="24"/>
      <c r="GI271" s="24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</row>
    <row r="272" spans="1:274" s="28" customFormat="1" ht="12" hidden="1" customHeight="1" outlineLevel="1" thickBot="1" x14ac:dyDescent="0.25">
      <c r="A272" s="113" t="s">
        <v>161</v>
      </c>
      <c r="B272" s="652"/>
      <c r="C272" s="653" t="s">
        <v>945</v>
      </c>
      <c r="D272" s="653" t="s">
        <v>945</v>
      </c>
      <c r="E272" s="653" t="s">
        <v>945</v>
      </c>
      <c r="F272" s="653" t="s">
        <v>945</v>
      </c>
      <c r="G272" s="653" t="s">
        <v>945</v>
      </c>
      <c r="H272" s="654" t="s">
        <v>945</v>
      </c>
      <c r="I272" s="654" t="s">
        <v>945</v>
      </c>
      <c r="J272" s="654" t="s">
        <v>945</v>
      </c>
      <c r="K272" s="654" t="s">
        <v>945</v>
      </c>
      <c r="L272" s="654" t="s">
        <v>945</v>
      </c>
      <c r="M272" s="654" t="s">
        <v>945</v>
      </c>
      <c r="N272" s="653"/>
      <c r="O272" s="655" t="s">
        <v>945</v>
      </c>
      <c r="P272" s="655" t="s">
        <v>945</v>
      </c>
      <c r="Q272" s="655" t="s">
        <v>945</v>
      </c>
      <c r="R272" s="655" t="s">
        <v>945</v>
      </c>
      <c r="S272" s="655" t="s">
        <v>945</v>
      </c>
      <c r="T272" s="652"/>
      <c r="U272" s="655" t="s">
        <v>945</v>
      </c>
      <c r="V272" s="655" t="s">
        <v>945</v>
      </c>
      <c r="W272" s="655" t="s">
        <v>945</v>
      </c>
      <c r="X272" s="655" t="s">
        <v>945</v>
      </c>
      <c r="Y272" s="655" t="s">
        <v>945</v>
      </c>
      <c r="Z272" s="652"/>
      <c r="AA272" s="655" t="s">
        <v>945</v>
      </c>
      <c r="AB272" s="655" t="s">
        <v>945</v>
      </c>
      <c r="AC272" s="655" t="s">
        <v>945</v>
      </c>
      <c r="AD272" s="655" t="s">
        <v>945</v>
      </c>
      <c r="AE272" s="655" t="s">
        <v>945</v>
      </c>
      <c r="AF272" s="652"/>
      <c r="AG272" s="655" t="s">
        <v>945</v>
      </c>
      <c r="AH272" s="655" t="s">
        <v>945</v>
      </c>
      <c r="AI272" s="655" t="s">
        <v>945</v>
      </c>
      <c r="AJ272" s="655" t="s">
        <v>945</v>
      </c>
      <c r="AK272" s="655" t="s">
        <v>945</v>
      </c>
      <c r="AL272" s="652"/>
      <c r="AM272" s="655" t="s">
        <v>945</v>
      </c>
      <c r="AN272" s="655" t="s">
        <v>945</v>
      </c>
      <c r="AO272" s="655" t="s">
        <v>945</v>
      </c>
      <c r="AP272" s="655" t="s">
        <v>945</v>
      </c>
      <c r="AQ272" s="655" t="s">
        <v>945</v>
      </c>
      <c r="AR272" s="652"/>
      <c r="AS272" s="655" t="s">
        <v>945</v>
      </c>
      <c r="AT272" s="655" t="s">
        <v>945</v>
      </c>
      <c r="AU272" s="655" t="s">
        <v>945</v>
      </c>
      <c r="AV272" s="655" t="s">
        <v>945</v>
      </c>
      <c r="AW272" s="655" t="s">
        <v>945</v>
      </c>
      <c r="AX272" s="652"/>
      <c r="AY272" s="655" t="s">
        <v>945</v>
      </c>
      <c r="AZ272" s="655" t="s">
        <v>945</v>
      </c>
      <c r="BA272" s="655" t="s">
        <v>945</v>
      </c>
      <c r="BB272" s="655" t="s">
        <v>945</v>
      </c>
      <c r="BC272" s="655" t="s">
        <v>945</v>
      </c>
      <c r="BD272" s="652"/>
      <c r="BE272" s="655" t="s">
        <v>945</v>
      </c>
      <c r="BF272" s="655" t="s">
        <v>945</v>
      </c>
      <c r="BG272" s="655" t="s">
        <v>945</v>
      </c>
      <c r="BH272" s="655" t="s">
        <v>945</v>
      </c>
      <c r="BI272" s="655" t="s">
        <v>945</v>
      </c>
      <c r="BJ272" s="652"/>
      <c r="BK272" s="656">
        <f>BK271/BE271-1</f>
        <v>-0.27370941567652829</v>
      </c>
      <c r="BL272" s="656">
        <f>BL271/BF271-1</f>
        <v>-0.17287977632805218</v>
      </c>
      <c r="BM272" s="656">
        <f>BM271/BG271-1</f>
        <v>-0.15181025681300553</v>
      </c>
      <c r="BN272" s="656">
        <f>BN271/BH271-1</f>
        <v>-0.132926185629194</v>
      </c>
      <c r="BO272" s="656">
        <f>BO271/BI271-1</f>
        <v>-0.18663816747687589</v>
      </c>
      <c r="BP272" s="652"/>
      <c r="BQ272" s="656">
        <f>BQ271/BK271-1</f>
        <v>-0.125</v>
      </c>
      <c r="BR272" s="656">
        <f>BR271/BL271-1</f>
        <v>-4.2253521126760618E-2</v>
      </c>
      <c r="BS272" s="656">
        <f>BS271/BM271-1</f>
        <v>-7.407407407407407E-2</v>
      </c>
      <c r="BT272" s="656">
        <f>BT271/BN271-1</f>
        <v>-5.7971014492753659E-2</v>
      </c>
      <c r="BU272" s="656">
        <f>BU271/BO271-1</f>
        <v>-7.3643410852713198E-2</v>
      </c>
      <c r="BV272" s="652"/>
      <c r="BW272" s="656">
        <f>BW271/BQ271-1</f>
        <v>-0.1071428571428571</v>
      </c>
      <c r="BX272" s="656">
        <f>BX271/BR271-1</f>
        <v>-2.9411764705882359E-2</v>
      </c>
      <c r="BY272" s="656">
        <f>BY271/BS271-1</f>
        <v>0.3600000000000001</v>
      </c>
      <c r="BZ272" s="656">
        <f>BZ271/BT271-1</f>
        <v>0.32307692307692304</v>
      </c>
      <c r="CA272" s="656">
        <f>CA271/BU271-1</f>
        <v>0.12970711297071125</v>
      </c>
      <c r="CB272" s="652"/>
      <c r="CC272" s="656">
        <f>CC271/BW271-1</f>
        <v>0.43999999999999995</v>
      </c>
      <c r="CD272" s="656">
        <f>CD271/BX271-1</f>
        <v>0.24242424242424243</v>
      </c>
      <c r="CE272" s="656">
        <f>CE271/BY271-1</f>
        <v>8.8235294117646967E-2</v>
      </c>
      <c r="CF272" s="656">
        <f>CF271/BZ271-1</f>
        <v>0.10465116279069764</v>
      </c>
      <c r="CG272" s="657">
        <f>CG271/CA271-1</f>
        <v>0.19629629629629619</v>
      </c>
      <c r="CH272" s="652"/>
      <c r="CI272" s="656">
        <f>CI271/CC271-1</f>
        <v>0.125</v>
      </c>
      <c r="CJ272" s="656">
        <f>CJ271/CD271-1</f>
        <v>0.13414634146341453</v>
      </c>
      <c r="CK272" s="656">
        <f>CK271/CE271-1</f>
        <v>8.1081081081081141E-2</v>
      </c>
      <c r="CL272" s="656">
        <f>CL271/CF271-1</f>
        <v>0.10526315789473695</v>
      </c>
      <c r="CM272" s="657">
        <f>CM271/CG271-1</f>
        <v>0.11145510835913308</v>
      </c>
      <c r="CN272" s="652"/>
      <c r="CO272" s="656">
        <f>CO271/CI271-1</f>
        <v>0.23456790123456783</v>
      </c>
      <c r="CP272" s="656">
        <f>CP271/CJ271-1</f>
        <v>0.18279569892473124</v>
      </c>
      <c r="CQ272" s="656">
        <f>CQ271/CK271-1</f>
        <v>0.14999999999999991</v>
      </c>
      <c r="CR272" s="656">
        <f>CR271/CL271-1</f>
        <v>8.5714285714285632E-2</v>
      </c>
      <c r="CS272" s="657">
        <f>CS271/CM271-1</f>
        <v>0.15877437325905297</v>
      </c>
      <c r="CT272" s="652"/>
      <c r="CU272" s="656">
        <f>CU271/CO271-1</f>
        <v>-1.0000000000000009E-2</v>
      </c>
      <c r="CV272" s="656">
        <f>CV271/CP271-1</f>
        <v>-9.0909090909090939E-2</v>
      </c>
      <c r="CW272" s="656">
        <f>CW271/CQ271-1</f>
        <v>-0.22826086956521741</v>
      </c>
      <c r="CX272" s="656">
        <f>CX271/CR271-1</f>
        <v>-0.30701754385964908</v>
      </c>
      <c r="CY272" s="657">
        <f>CY271/CS271-1</f>
        <v>-0.16105769230769229</v>
      </c>
      <c r="CZ272" s="652"/>
      <c r="DA272" s="656">
        <f>DA271/CU271-1</f>
        <v>-0.33333333333333337</v>
      </c>
      <c r="DB272" s="656">
        <f>DB271/CV271-1</f>
        <v>-0.21999999999999997</v>
      </c>
      <c r="DC272" s="656">
        <f>DC271/CW271-1</f>
        <v>-2.8169014084507005E-2</v>
      </c>
      <c r="DD272" s="656">
        <f>DD271/CX271-1</f>
        <v>0.26582278481012667</v>
      </c>
      <c r="DE272" s="657">
        <f>DE271/CY271-1</f>
        <v>-0.1031518624641834</v>
      </c>
      <c r="DF272" s="652"/>
      <c r="DG272" s="656">
        <f>DG271/DA271-1</f>
        <v>0.22727272727272729</v>
      </c>
      <c r="DH272" s="656">
        <f>DH271/DB271-1</f>
        <v>0.24358974358974361</v>
      </c>
      <c r="DI272" s="656">
        <f>DI271/DC271-1</f>
        <v>0.20289855072463769</v>
      </c>
      <c r="DJ272" s="656">
        <f>DJ271/DD271-1</f>
        <v>-6.0000000000000053E-2</v>
      </c>
      <c r="DK272" s="657">
        <f>DK271/DE271-1</f>
        <v>0.13418530351437696</v>
      </c>
      <c r="DL272" s="652"/>
      <c r="DM272" s="656">
        <f>DM271/DG271-1</f>
        <v>-0.19439506172839482</v>
      </c>
      <c r="DN272" s="656">
        <f>DN271/DH271-1</f>
        <v>-0.33793814432989666</v>
      </c>
      <c r="DO272" s="656">
        <f>DO271/DI271-1</f>
        <v>4.7036144578313177E-2</v>
      </c>
      <c r="DP272" s="656">
        <f>DP271/DJ271-1</f>
        <v>-4.954255319148948E-2</v>
      </c>
      <c r="DQ272" s="657">
        <f>DQ271/DK271-1</f>
        <v>-0.13881408450704225</v>
      </c>
      <c r="DR272" s="652"/>
      <c r="DS272" s="656">
        <f>DS271/DM271-1</f>
        <v>-9.8905814202960962E-2</v>
      </c>
      <c r="DT272" s="656">
        <f>DT271/DN271-1</f>
        <v>-7.290563687324858E-2</v>
      </c>
      <c r="DU272" s="656">
        <f>DU271/DO271-1</f>
        <v>-0.33374758354045841</v>
      </c>
      <c r="DV272" s="656">
        <f>DV271/DP271-1</f>
        <v>-0.26257233359076804</v>
      </c>
      <c r="DW272" s="657">
        <f>DW271/DQ271-1</f>
        <v>-0.2080295432763859</v>
      </c>
      <c r="DX272" s="652"/>
      <c r="DY272" s="656">
        <f>DY271/DS271-1</f>
        <v>-0.19727891156462585</v>
      </c>
      <c r="DZ272" s="656">
        <f>DZ271/DT271-1</f>
        <v>-0.21142799556585712</v>
      </c>
      <c r="EA272" s="656">
        <f>EA271/DU271-1</f>
        <v>-0.18678756476683933</v>
      </c>
      <c r="EB272" s="656">
        <f>EB271/DV271-1</f>
        <v>-0.28533483091494138</v>
      </c>
      <c r="EC272" s="657">
        <f>EC271/DW271-1</f>
        <v>-0.22221029067990516</v>
      </c>
      <c r="ED272" s="652"/>
      <c r="EE272" s="656">
        <f>EE271/DY271-1</f>
        <v>-4.5288135593220313E-2</v>
      </c>
      <c r="EF272" s="656">
        <f>EF271/DZ271-1</f>
        <v>-4.7974440894568704E-2</v>
      </c>
      <c r="EG272" s="656">
        <f>EG271/EA271-1</f>
        <v>-6.5587766804714787E-2</v>
      </c>
      <c r="EH272" s="656">
        <f>EH271/EB271-1</f>
        <v>-0.12991398534565146</v>
      </c>
      <c r="EI272" s="657">
        <f>EI271/EC271-1</f>
        <v>-7.219201359388272E-2</v>
      </c>
      <c r="EJ272" s="652"/>
      <c r="EK272" s="656">
        <f>EK271/EE271-1</f>
        <v>-0.15109714529186191</v>
      </c>
      <c r="EL272" s="656">
        <f>EL271/EF271-1</f>
        <v>-0.18204109392898038</v>
      </c>
      <c r="EM272" s="656">
        <f>EM271/EG271-1</f>
        <v>-0.20058731544112296</v>
      </c>
      <c r="EN272" s="656">
        <f>EN271/EH271-1</f>
        <v>-0.18325522358914259</v>
      </c>
      <c r="EO272" s="657">
        <f>EO271/EI271-1</f>
        <v>-0.17901522851936291</v>
      </c>
      <c r="EP272" s="652"/>
      <c r="EQ272" s="656">
        <f>EQ271/EK271-1</f>
        <v>-0.1772486772486771</v>
      </c>
      <c r="ER272" s="656">
        <f>ER271/EL271-1</f>
        <v>-0.17886917135292446</v>
      </c>
      <c r="ES272" s="656">
        <f>ES271/EM271-1</f>
        <v>-0.17971317767744421</v>
      </c>
      <c r="ET272" s="656">
        <f>ET271/EN271-1</f>
        <v>-0.15617266978278799</v>
      </c>
      <c r="EU272" s="657">
        <f>EU271/EO271-1</f>
        <v>-0.173349766881567</v>
      </c>
      <c r="EV272" s="652"/>
      <c r="EW272" s="656">
        <f>EW271/EQ271-1</f>
        <v>-0.15221204072035888</v>
      </c>
      <c r="EX272" s="656">
        <f>EX271/ER271-1</f>
        <v>-0.11036867280455132</v>
      </c>
      <c r="EY272" s="656">
        <f>EY271/ES271-1</f>
        <v>-7.8063693207813922E-2</v>
      </c>
      <c r="EZ272" s="656">
        <f>EZ271/ET271-1</f>
        <v>-8.4316906795868896E-2</v>
      </c>
      <c r="FA272" s="657">
        <f>FA271/EU271-1</f>
        <v>-0.10741162927981107</v>
      </c>
      <c r="FB272" s="652"/>
      <c r="FC272" s="656">
        <f>FC271/EW271-1</f>
        <v>-7.8637763936048044E-2</v>
      </c>
      <c r="FD272" s="656">
        <f>FD271/EX271-1</f>
        <v>-9.1665356188079916E-2</v>
      </c>
      <c r="FE272" s="656">
        <f>FE271/EY271-1</f>
        <v>-0.10254750250013145</v>
      </c>
      <c r="FF272" s="656">
        <f>FF271/EZ271-1</f>
        <v>-0.10701375397330137</v>
      </c>
      <c r="FG272" s="657">
        <f>FG271/FA271-1</f>
        <v>-9.4864990244194036E-2</v>
      </c>
      <c r="FH272" s="652"/>
      <c r="FI272" s="656">
        <f>FI271/FC271-1</f>
        <v>-0.11967190658768956</v>
      </c>
      <c r="FJ272" s="656">
        <f>FJ271/FD271-1</f>
        <v>-0.12382585217740416</v>
      </c>
      <c r="FK272" s="656">
        <f>FK271/FE271-1</f>
        <v>-0.126</v>
      </c>
      <c r="FL272" s="656">
        <f>FL271/FF271-1</f>
        <v>-0.126</v>
      </c>
      <c r="FM272" s="657">
        <f>FM271/FG271-1</f>
        <v>-0.12382556417714219</v>
      </c>
      <c r="FQ272"/>
      <c r="FR272"/>
      <c r="FS272"/>
      <c r="FT272"/>
      <c r="FU272"/>
      <c r="FV272"/>
      <c r="GB272" s="24"/>
      <c r="GC272" s="24"/>
      <c r="GD272" s="24"/>
      <c r="GE272" s="24"/>
      <c r="GF272" s="24"/>
      <c r="GG272" s="24"/>
      <c r="GH272" s="24"/>
      <c r="GI272" s="24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</row>
    <row r="273" spans="1:274" s="28" customFormat="1" ht="6" hidden="1" customHeight="1" outlineLevel="1" x14ac:dyDescent="0.2">
      <c r="A273" s="614"/>
      <c r="B273" s="595"/>
      <c r="CG273" s="416"/>
      <c r="CM273" s="416"/>
      <c r="CS273" s="416"/>
      <c r="CY273" s="416"/>
      <c r="DE273" s="416"/>
      <c r="DK273" s="416"/>
      <c r="DQ273" s="416"/>
      <c r="DW273" s="416"/>
      <c r="EC273" s="416"/>
      <c r="EI273" s="416"/>
      <c r="EO273" s="416"/>
      <c r="EU273" s="416"/>
      <c r="FA273" s="416"/>
      <c r="FG273" s="416"/>
      <c r="FM273" s="416"/>
      <c r="FQ273"/>
      <c r="FR273"/>
      <c r="FS273"/>
      <c r="FT273"/>
      <c r="FU273"/>
      <c r="FV273"/>
      <c r="GB273" s="24"/>
      <c r="GC273" s="24"/>
      <c r="GD273" s="24"/>
      <c r="GE273" s="24"/>
      <c r="GF273" s="24"/>
      <c r="GG273" s="24"/>
      <c r="GH273" s="24"/>
      <c r="GI273" s="24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</row>
    <row r="274" spans="1:274" s="28" customFormat="1" ht="12" hidden="1" customHeight="1" outlineLevel="1" x14ac:dyDescent="0.2">
      <c r="A274" s="75" t="s">
        <v>609</v>
      </c>
      <c r="B274" s="1030"/>
      <c r="C274" s="1031"/>
      <c r="D274" s="1031"/>
      <c r="E274" s="1031"/>
      <c r="F274" s="1031"/>
      <c r="G274" s="1031"/>
      <c r="H274" s="1031"/>
      <c r="I274" s="1031"/>
      <c r="J274" s="1031"/>
      <c r="K274" s="1031"/>
      <c r="L274" s="1031"/>
      <c r="M274" s="1031"/>
      <c r="N274" s="1031"/>
      <c r="O274" s="1031"/>
      <c r="P274" s="1031"/>
      <c r="Q274" s="1031"/>
      <c r="R274" s="1031"/>
      <c r="S274" s="1031"/>
      <c r="T274" s="1031"/>
      <c r="U274" s="1031"/>
      <c r="V274" s="1031"/>
      <c r="W274" s="1031"/>
      <c r="X274" s="1031"/>
      <c r="Y274" s="1031"/>
      <c r="Z274" s="1031"/>
      <c r="AA274" s="647"/>
      <c r="AB274" s="647"/>
      <c r="AC274" s="647"/>
      <c r="AD274" s="647"/>
      <c r="AE274" s="1031"/>
      <c r="AF274" s="1031"/>
      <c r="AG274" s="647"/>
      <c r="AH274" s="647"/>
      <c r="AI274" s="647"/>
      <c r="AJ274" s="647"/>
      <c r="AK274" s="1031"/>
      <c r="AL274" s="1031"/>
      <c r="AM274" s="647"/>
      <c r="AN274" s="647"/>
      <c r="AO274" s="647"/>
      <c r="AP274" s="647"/>
      <c r="AQ274" s="1031"/>
      <c r="AR274" s="1031"/>
      <c r="AS274" s="647"/>
      <c r="AT274" s="647"/>
      <c r="AU274" s="647"/>
      <c r="AV274" s="647"/>
      <c r="AW274" s="1031"/>
      <c r="AX274" s="1031"/>
      <c r="AY274" s="647"/>
      <c r="AZ274" s="647"/>
      <c r="BA274" s="647"/>
      <c r="BB274" s="647"/>
      <c r="BC274" s="1031"/>
      <c r="BD274" s="1031"/>
      <c r="BE274" s="658">
        <f>BE271/(BE172+BB172+BA172+AZ172)</f>
        <v>1.947921037122774E-2</v>
      </c>
      <c r="BF274" s="658">
        <f>BF271/(BF172+BE172+BB172+BA172)</f>
        <v>2.0274240755191849E-2</v>
      </c>
      <c r="BG274" s="658">
        <f>BG271/(BG172+BF172+BE172+BB172)</f>
        <v>1.6282891876380459E-2</v>
      </c>
      <c r="BH274" s="658">
        <f>BH271/(BH172+BG172+BF172+BE172)</f>
        <v>2.312352713842792E-2</v>
      </c>
      <c r="BI274" s="1031"/>
      <c r="BJ274" s="1031"/>
      <c r="BK274" s="658">
        <f>BK271/(BK172+BH172+BG172+BF172)</f>
        <v>1.9433265256175981E-2</v>
      </c>
      <c r="BL274" s="658">
        <f>BL271/(BL172+BK172+BH172+BG172)</f>
        <v>2.181305840277413E-2</v>
      </c>
      <c r="BM274" s="658">
        <f>BM271/(BM172+BL172+BK172+BH172)</f>
        <v>1.6702866521207383E-2</v>
      </c>
      <c r="BN274" s="658">
        <f>BN271/(BN172+BM172+BL172+BK172)</f>
        <v>2.1100917431192662E-2</v>
      </c>
      <c r="BO274" s="1031"/>
      <c r="BP274" s="1031"/>
      <c r="BQ274" s="658">
        <f>BQ271/(BQ172+BN172+BM172+BL172)</f>
        <v>1.7326732673267328E-2</v>
      </c>
      <c r="BR274" s="658">
        <f>BR271/(BR172+BQ172+BN172+BM172)</f>
        <v>2.0469596628537028E-2</v>
      </c>
      <c r="BS274" s="658">
        <f>BS271/(BS172+BR172+BQ172+BN172)</f>
        <v>1.4645577035735208E-2</v>
      </c>
      <c r="BT274" s="658">
        <f>BT271/(BT172+BS172+BR172+BQ172)</f>
        <v>1.8356396498164361E-2</v>
      </c>
      <c r="BU274" s="1031"/>
      <c r="BV274" s="1031"/>
      <c r="BW274" s="658">
        <f>BW271/(BW172+BT172+BS172+BR172)</f>
        <v>1.3970382788488405E-2</v>
      </c>
      <c r="BX274" s="658">
        <f>BX271/(BX172+BW172+BT172+BS172)</f>
        <v>1.7861975642760486E-2</v>
      </c>
      <c r="BY274" s="658">
        <f>BY271/(BY172+BX172+BW172+BT172)</f>
        <v>1.7918313570487482E-2</v>
      </c>
      <c r="BZ274" s="658">
        <f>BZ271/(BZ172+BY172+BX172+BW172)</f>
        <v>2.1026894865525673E-2</v>
      </c>
      <c r="CA274" s="1031"/>
      <c r="CB274" s="1031"/>
      <c r="CC274" s="658">
        <f>CC271/(CC172+BZ172+BY172+BX172)</f>
        <v>1.7324350336862367E-2</v>
      </c>
      <c r="CD274" s="658">
        <f>CD271/(CD172+CC172+BZ172+BY172)</f>
        <v>1.9325948621258544E-2</v>
      </c>
      <c r="CE274" s="658">
        <f>CE271/(CE172+CD172+CC172+BZ172)</f>
        <v>1.6847281668336218E-2</v>
      </c>
      <c r="CF274" s="658">
        <f>CF271/(CF172+CE172+CD172+CC172)</f>
        <v>1.9370361308213034E-2</v>
      </c>
      <c r="CG274" s="1032"/>
      <c r="CH274" s="1031"/>
      <c r="CI274" s="658">
        <f>CI271/(CI172+CF172+CE172+CD172)</f>
        <v>1.594676536598811E-2</v>
      </c>
      <c r="CJ274" s="658">
        <f>CJ271/(CJ172+CI172+CF172+CE172)</f>
        <v>1.7787468441588249E-2</v>
      </c>
      <c r="CK274" s="658">
        <f>CK271/(CK172+CJ172+CI172+CF172)</f>
        <v>1.4487504527345164E-2</v>
      </c>
      <c r="CL274" s="658">
        <f>CL271/(CL172+CK172+CJ172+CI172)</f>
        <v>1.7851071064263854E-2</v>
      </c>
      <c r="CM274" s="1032"/>
      <c r="CN274" s="1031"/>
      <c r="CO274" s="658">
        <f>CO271/(CO172+CL172+CK172+CJ172)</f>
        <v>1.6220600162206E-2</v>
      </c>
      <c r="CP274" s="658">
        <f>CP271/(CP172+CO172+CL172+CK172)</f>
        <v>1.6601267733172352E-2</v>
      </c>
      <c r="CQ274" s="658">
        <f>CQ271/(CQ172+CP172+CO172+CL172)</f>
        <v>1.3426736719206071E-2</v>
      </c>
      <c r="CR274" s="658">
        <f>CR271/(CR172+CQ172+CP172+CO172)</f>
        <v>1.5169660678642715E-2</v>
      </c>
      <c r="CS274" s="1032"/>
      <c r="CT274" s="1033"/>
      <c r="CU274" s="658">
        <f>CU271/(CU172+CR172+CQ172+CP172)</f>
        <v>1.291922223672191E-2</v>
      </c>
      <c r="CV274" s="658">
        <f>CV271/(CV172+CU172+CR172+CQ172)</f>
        <v>1.312163758037003E-2</v>
      </c>
      <c r="CW274" s="658">
        <f>CW271/(CW172+CV172+CU172+CR172)</f>
        <v>9.4402340114346488E-3</v>
      </c>
      <c r="CX274" s="658">
        <f>CX271/(CX172+CW172+CV172+CU172)</f>
        <v>1.1093947479286617E-2</v>
      </c>
      <c r="CY274" s="1032"/>
      <c r="CZ274" s="1031"/>
      <c r="DA274" s="658">
        <f>DA271/(DA172+CX172+CW172+CV172)</f>
        <v>9.5458490020248771E-3</v>
      </c>
      <c r="DB274" s="658">
        <f>DB271/(DB172+DA172+CX172+CW172)</f>
        <v>1.1237573836622964E-2</v>
      </c>
      <c r="DC274" s="658">
        <f>DC271/(DC172+DB172+DA172+CX172)</f>
        <v>9.65926589579192E-3</v>
      </c>
      <c r="DD274" s="658">
        <f>DD271/(DD172+DC172+DB172+DA172)</f>
        <v>1.3272456997239329E-2</v>
      </c>
      <c r="DE274" s="1032"/>
      <c r="DF274" s="1031"/>
      <c r="DG274" s="658">
        <f>DG271/(DG172+DD172+DC172+DB172)</f>
        <v>1.0394743596324625E-2</v>
      </c>
      <c r="DH274" s="658">
        <f>DH271/(DH172+DG172+DD172+DC172)</f>
        <v>1.1918804679052394E-2</v>
      </c>
      <c r="DI274" s="658">
        <f>DI271/(DI172+DH172+DG172+DD172)</f>
        <v>9.6131572851517258E-3</v>
      </c>
      <c r="DJ274" s="658">
        <f>DJ271/(DJ172+DI172+DH172+DG172)</f>
        <v>1.0178668110449377E-2</v>
      </c>
      <c r="DK274" s="1032"/>
      <c r="DL274" s="1031"/>
      <c r="DM274" s="659">
        <v>8.9999999999999993E-3</v>
      </c>
      <c r="DN274" s="659">
        <v>9.7999999999999997E-3</v>
      </c>
      <c r="DO274" s="659">
        <v>8.9999999999999993E-3</v>
      </c>
      <c r="DP274" s="659">
        <v>8.9999999999999993E-3</v>
      </c>
      <c r="DQ274" s="1032"/>
      <c r="DR274" s="1031"/>
      <c r="DS274" s="659">
        <v>6.0000000000000001E-3</v>
      </c>
      <c r="DT274" s="659">
        <f>DS274</f>
        <v>6.0000000000000001E-3</v>
      </c>
      <c r="DU274" s="659">
        <v>6.0000000000000001E-3</v>
      </c>
      <c r="DV274" s="659">
        <v>7.0000000000000001E-3</v>
      </c>
      <c r="DW274" s="1032"/>
      <c r="DX274" s="1031"/>
      <c r="DY274" s="659">
        <v>5.0000000000000001E-3</v>
      </c>
      <c r="DZ274" s="659">
        <v>5.0000000000000001E-3</v>
      </c>
      <c r="EA274" s="659">
        <v>5.0000000000000001E-3</v>
      </c>
      <c r="EB274" s="659">
        <v>5.0000000000000001E-3</v>
      </c>
      <c r="EC274" s="1032"/>
      <c r="ED274" s="1031"/>
      <c r="EE274" s="659">
        <v>4.8000000000000004E-3</v>
      </c>
      <c r="EF274" s="659">
        <f>DZ274-0.02%</f>
        <v>4.8000000000000004E-3</v>
      </c>
      <c r="EG274" s="659">
        <f>EA274-0.02%</f>
        <v>4.8000000000000004E-3</v>
      </c>
      <c r="EH274" s="659">
        <f>EB274-0.02%</f>
        <v>4.8000000000000004E-3</v>
      </c>
      <c r="EI274" s="1032"/>
      <c r="EJ274" s="1031"/>
      <c r="EK274" s="659">
        <f>EE274-0.02%</f>
        <v>4.6000000000000008E-3</v>
      </c>
      <c r="EL274" s="659">
        <f>EF274-0.02%</f>
        <v>4.6000000000000008E-3</v>
      </c>
      <c r="EM274" s="659">
        <f>EG274-0.02%</f>
        <v>4.6000000000000008E-3</v>
      </c>
      <c r="EN274" s="659">
        <f>EH274-0.02%</f>
        <v>4.6000000000000008E-3</v>
      </c>
      <c r="EO274" s="1032"/>
      <c r="EP274" s="1031"/>
      <c r="EQ274" s="1773">
        <f>EK274-0.02%</f>
        <v>4.4000000000000011E-3</v>
      </c>
      <c r="ER274" s="1773">
        <f>EL274-0.02%</f>
        <v>4.4000000000000011E-3</v>
      </c>
      <c r="ES274" s="1773">
        <f>EM274-0.02%</f>
        <v>4.4000000000000011E-3</v>
      </c>
      <c r="ET274" s="1773">
        <f>EN274-0.02%</f>
        <v>4.4000000000000011E-3</v>
      </c>
      <c r="EU274" s="1770"/>
      <c r="EV274" s="1771"/>
      <c r="EW274" s="1773">
        <f>EQ274-0.02%</f>
        <v>4.2000000000000015E-3</v>
      </c>
      <c r="EX274" s="1773">
        <f>ER274-0.02%</f>
        <v>4.2000000000000015E-3</v>
      </c>
      <c r="EY274" s="1773">
        <f>ES274-0.02%</f>
        <v>4.2000000000000015E-3</v>
      </c>
      <c r="EZ274" s="1773">
        <f>ET274-0.02%</f>
        <v>4.2000000000000015E-3</v>
      </c>
      <c r="FA274" s="1770"/>
      <c r="FB274" s="1771"/>
      <c r="FC274" s="1773">
        <f>EW274-0.02%</f>
        <v>4.0000000000000018E-3</v>
      </c>
      <c r="FD274" s="1773">
        <f>EX274-0.02%</f>
        <v>4.0000000000000018E-3</v>
      </c>
      <c r="FE274" s="1773">
        <f>EY274-0.02%</f>
        <v>4.0000000000000018E-3</v>
      </c>
      <c r="FF274" s="1773">
        <f>EZ274-0.02%</f>
        <v>4.0000000000000018E-3</v>
      </c>
      <c r="FG274" s="1770"/>
      <c r="FH274" s="1771"/>
      <c r="FI274" s="1773">
        <f>FC274-0.02%</f>
        <v>3.8000000000000017E-3</v>
      </c>
      <c r="FJ274" s="1773">
        <f>FD274-0.02%</f>
        <v>3.8000000000000017E-3</v>
      </c>
      <c r="FK274" s="1773">
        <f>FE274-0.02%</f>
        <v>3.8000000000000017E-3</v>
      </c>
      <c r="FL274" s="1773">
        <f>FF274-0.02%</f>
        <v>3.8000000000000017E-3</v>
      </c>
      <c r="FM274" s="1770"/>
      <c r="FQ274"/>
      <c r="FR274"/>
      <c r="FS274"/>
      <c r="FT274"/>
      <c r="FU274"/>
      <c r="FV274"/>
      <c r="GB274" s="24"/>
      <c r="GC274" s="24"/>
      <c r="GD274" s="24"/>
      <c r="GE274" s="24"/>
      <c r="GF274" s="24"/>
      <c r="GG274" s="24"/>
      <c r="GH274" s="24"/>
      <c r="GI274" s="2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</row>
    <row r="275" spans="1:274" s="28" customFormat="1" ht="11.25" customHeight="1" collapsed="1" x14ac:dyDescent="0.2">
      <c r="A275" s="18"/>
      <c r="B275" s="595"/>
      <c r="BY275" s="33"/>
      <c r="BZ275" s="33"/>
      <c r="CC275" s="33"/>
      <c r="CD275" s="33"/>
      <c r="CE275" s="33"/>
      <c r="CF275" s="33"/>
      <c r="CG275" s="226"/>
      <c r="CI275" s="33"/>
      <c r="CJ275" s="33"/>
      <c r="CK275" s="33"/>
      <c r="CL275" s="33"/>
      <c r="CM275" s="226"/>
      <c r="CO275" s="33"/>
      <c r="CP275" s="33"/>
      <c r="CQ275" s="33"/>
      <c r="CR275" s="33"/>
      <c r="CS275" s="226"/>
      <c r="CU275" s="33"/>
      <c r="CV275" s="33"/>
      <c r="CW275" s="33"/>
      <c r="CX275" s="33"/>
      <c r="CY275" s="226"/>
      <c r="DA275" s="33"/>
      <c r="DB275" s="33"/>
      <c r="DC275" s="33"/>
      <c r="DD275" s="33"/>
      <c r="DE275" s="226"/>
      <c r="DG275" s="33"/>
      <c r="DH275" s="33"/>
      <c r="DI275" s="33"/>
      <c r="DJ275" s="33"/>
      <c r="DK275" s="226"/>
      <c r="DM275" s="33"/>
      <c r="DN275" s="33"/>
      <c r="DO275" s="33"/>
      <c r="DP275" s="33"/>
      <c r="DQ275" s="226"/>
      <c r="DS275" s="33"/>
      <c r="DT275" s="33"/>
      <c r="DU275" s="33"/>
      <c r="DV275" s="33"/>
      <c r="DW275" s="226"/>
      <c r="DY275" s="33"/>
      <c r="DZ275" s="33"/>
      <c r="EA275" s="33"/>
      <c r="EB275" s="33"/>
      <c r="EC275" s="226"/>
      <c r="EE275" s="33"/>
      <c r="EF275" s="33"/>
      <c r="EG275" s="33"/>
      <c r="EH275" s="33"/>
      <c r="EI275" s="226"/>
      <c r="EK275" s="33"/>
      <c r="EL275" s="33"/>
      <c r="EM275" s="33"/>
      <c r="EN275" s="33"/>
      <c r="EO275" s="226"/>
      <c r="EQ275" s="33"/>
      <c r="ER275" s="33"/>
      <c r="ES275" s="33"/>
      <c r="ET275" s="33"/>
      <c r="EU275" s="226"/>
      <c r="EW275" s="33"/>
      <c r="EX275" s="33"/>
      <c r="EY275" s="33"/>
      <c r="EZ275" s="33"/>
      <c r="FA275" s="226"/>
      <c r="FC275" s="33"/>
      <c r="FD275" s="33"/>
      <c r="FE275" s="33"/>
      <c r="FF275" s="33"/>
      <c r="FG275" s="226"/>
      <c r="FI275" s="33"/>
      <c r="FJ275" s="33"/>
      <c r="FK275" s="33"/>
      <c r="FL275" s="33"/>
      <c r="FM275" s="226"/>
      <c r="FQ275"/>
      <c r="FR275"/>
      <c r="FS275"/>
      <c r="FT275"/>
      <c r="FU275"/>
      <c r="FV275"/>
      <c r="GB275" s="24"/>
      <c r="GC275" s="24"/>
      <c r="GD275" s="24"/>
      <c r="GE275" s="24"/>
      <c r="GF275" s="24"/>
      <c r="GG275" s="24"/>
      <c r="GH275" s="24"/>
      <c r="GI275" s="24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</row>
    <row r="276" spans="1:274" s="32" customFormat="1" x14ac:dyDescent="0.2">
      <c r="A276" s="433" t="s">
        <v>123</v>
      </c>
      <c r="CF276" s="660"/>
      <c r="CG276" s="661"/>
      <c r="CM276" s="661"/>
      <c r="CS276" s="661"/>
      <c r="CT276" s="100"/>
      <c r="CY276" s="661"/>
      <c r="CZ276" s="100"/>
      <c r="DA276" s="662"/>
      <c r="DE276" s="661"/>
      <c r="DF276" s="100"/>
      <c r="DK276" s="661"/>
      <c r="DL276" s="100"/>
      <c r="DQ276" s="661"/>
      <c r="DR276" s="100"/>
      <c r="DW276" s="661"/>
      <c r="DX276" s="100"/>
      <c r="EC276" s="661"/>
      <c r="ED276" s="100"/>
      <c r="EI276" s="661"/>
      <c r="EJ276" s="100"/>
      <c r="EO276" s="661"/>
      <c r="EP276" s="100"/>
      <c r="EU276" s="661"/>
      <c r="EV276" s="100"/>
      <c r="FA276" s="661"/>
      <c r="FB276" s="100"/>
      <c r="FG276" s="661"/>
      <c r="FH276" s="100"/>
      <c r="FM276" s="661"/>
      <c r="FQ276"/>
      <c r="FR276"/>
      <c r="FS276"/>
      <c r="FT276"/>
      <c r="FU276"/>
      <c r="FV276"/>
      <c r="GB276" s="24"/>
      <c r="GC276" s="24"/>
      <c r="GD276" s="24"/>
      <c r="GE276" s="24"/>
      <c r="GF276" s="24"/>
      <c r="GG276" s="24"/>
      <c r="GH276" s="24"/>
      <c r="GI276" s="24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</row>
    <row r="277" spans="1:274" s="60" customFormat="1" hidden="1" outlineLevel="1" x14ac:dyDescent="0.2">
      <c r="A277" s="244" t="s">
        <v>571</v>
      </c>
      <c r="B277" s="476"/>
      <c r="C277" s="406" t="s">
        <v>945</v>
      </c>
      <c r="D277" s="406" t="s">
        <v>945</v>
      </c>
      <c r="E277" s="406" t="s">
        <v>945</v>
      </c>
      <c r="F277" s="406" t="s">
        <v>945</v>
      </c>
      <c r="G277" s="406" t="s">
        <v>945</v>
      </c>
      <c r="H277" s="406" t="s">
        <v>945</v>
      </c>
      <c r="I277" s="406" t="s">
        <v>945</v>
      </c>
      <c r="J277" s="59">
        <v>4993</v>
      </c>
      <c r="K277" s="59">
        <v>5474</v>
      </c>
      <c r="L277" s="59">
        <v>6131</v>
      </c>
      <c r="M277" s="59">
        <v>8254</v>
      </c>
      <c r="N277" s="244"/>
      <c r="O277" s="59">
        <v>9212</v>
      </c>
      <c r="P277" s="59">
        <v>10271</v>
      </c>
      <c r="Q277" s="59">
        <v>11185</v>
      </c>
      <c r="R277" s="59">
        <v>11775</v>
      </c>
      <c r="S277" s="59">
        <f>R277</f>
        <v>11775</v>
      </c>
      <c r="T277" s="244"/>
      <c r="U277" s="59">
        <v>13011</v>
      </c>
      <c r="V277" s="59">
        <v>14236</v>
      </c>
      <c r="W277" s="59">
        <v>15427</v>
      </c>
      <c r="X277" s="59">
        <v>16807</v>
      </c>
      <c r="Y277" s="59">
        <f>X277</f>
        <v>16807</v>
      </c>
      <c r="Z277" s="244"/>
      <c r="AA277" s="59">
        <v>18447</v>
      </c>
      <c r="AB277" s="59">
        <v>20127</v>
      </c>
      <c r="AC277" s="59">
        <v>21164</v>
      </c>
      <c r="AD277" s="59">
        <v>21617</v>
      </c>
      <c r="AE277" s="59">
        <f>AD277</f>
        <v>21617</v>
      </c>
      <c r="AF277" s="59"/>
      <c r="AG277" s="59">
        <v>22855</v>
      </c>
      <c r="AH277" s="59">
        <v>25032</v>
      </c>
      <c r="AI277" s="59">
        <v>26512</v>
      </c>
      <c r="AJ277" s="59">
        <v>27523</v>
      </c>
      <c r="AK277" s="59">
        <f>AJ277</f>
        <v>27523</v>
      </c>
      <c r="AL277" s="244"/>
      <c r="AM277" s="59">
        <v>29114</v>
      </c>
      <c r="AN277" s="59">
        <v>31076</v>
      </c>
      <c r="AO277" s="59">
        <v>32629</v>
      </c>
      <c r="AP277" s="59">
        <v>33056</v>
      </c>
      <c r="AQ277" s="59">
        <f>AP277</f>
        <v>33056</v>
      </c>
      <c r="AR277" s="244"/>
      <c r="AS277" s="59">
        <v>31701</v>
      </c>
      <c r="AT277" s="59">
        <v>31419</v>
      </c>
      <c r="AU277" s="59">
        <v>30525</v>
      </c>
      <c r="AV277" s="59">
        <v>29564</v>
      </c>
      <c r="AW277" s="59">
        <f>AV277</f>
        <v>29564</v>
      </c>
      <c r="AX277" s="244"/>
      <c r="AY277" s="59"/>
      <c r="AZ277" s="59"/>
      <c r="BA277" s="59"/>
      <c r="BB277" s="59">
        <v>29422</v>
      </c>
      <c r="BC277" s="59">
        <f>BB277</f>
        <v>29422</v>
      </c>
      <c r="BD277" s="244"/>
      <c r="BE277" s="59"/>
      <c r="BF277" s="59"/>
      <c r="BG277" s="59"/>
      <c r="BH277" s="59">
        <v>27059</v>
      </c>
      <c r="BI277" s="59">
        <f>BH277</f>
        <v>27059</v>
      </c>
      <c r="BJ277" s="244"/>
      <c r="BK277" s="59"/>
      <c r="BL277" s="59"/>
      <c r="BM277" s="59"/>
      <c r="BN277" s="59">
        <v>25268</v>
      </c>
      <c r="BO277" s="59">
        <f>BN277</f>
        <v>25268</v>
      </c>
      <c r="BP277" s="244"/>
      <c r="BQ277" s="59"/>
      <c r="BR277" s="59"/>
      <c r="BS277" s="59"/>
      <c r="BT277" s="435">
        <v>24760</v>
      </c>
      <c r="BU277" s="59">
        <f>BT277</f>
        <v>24760</v>
      </c>
      <c r="BV277" s="244"/>
      <c r="BW277" s="59"/>
      <c r="BX277" s="59"/>
      <c r="BY277" s="59"/>
      <c r="BZ277" s="663">
        <v>29650</v>
      </c>
      <c r="CA277" s="59">
        <f>BZ277</f>
        <v>29650</v>
      </c>
      <c r="CB277" s="244"/>
      <c r="CC277" s="59"/>
      <c r="CD277" s="59"/>
      <c r="CE277" s="59"/>
      <c r="CF277" s="1042">
        <f>13534+5500+16435</f>
        <v>35469</v>
      </c>
      <c r="CG277" s="1043">
        <f>CF277</f>
        <v>35469</v>
      </c>
      <c r="CH277" s="244"/>
      <c r="CI277" s="59"/>
      <c r="CJ277" s="59"/>
      <c r="CK277" s="59"/>
      <c r="CL277" s="663">
        <f>CL291+CL292+CL297-CL278</f>
        <v>48745</v>
      </c>
      <c r="CM277" s="168">
        <f>CL277</f>
        <v>48745</v>
      </c>
      <c r="CN277" s="244"/>
      <c r="CO277" s="59"/>
      <c r="CP277" s="59"/>
      <c r="CQ277" s="59"/>
      <c r="CR277" s="663">
        <f>CR291+CR292+CR297-CR278</f>
        <v>55322</v>
      </c>
      <c r="CS277" s="168">
        <f>CR277</f>
        <v>55322</v>
      </c>
      <c r="CT277" s="131"/>
      <c r="CU277" s="59"/>
      <c r="CV277" s="59"/>
      <c r="CW277" s="59"/>
      <c r="CX277" s="447">
        <f>CX291+CX292+CX297-CX278</f>
        <v>56000</v>
      </c>
      <c r="CY277" s="168">
        <f>CX277</f>
        <v>56000</v>
      </c>
      <c r="CZ277" s="131"/>
      <c r="DA277" s="59"/>
      <c r="DB277" s="59"/>
      <c r="DC277" s="59"/>
      <c r="DD277" s="663">
        <f>DD291+DD292+DD297-DD278</f>
        <v>59000</v>
      </c>
      <c r="DE277" s="168">
        <f t="shared" ref="DE277:DE282" si="145">DD277</f>
        <v>59000</v>
      </c>
      <c r="DF277" s="131"/>
      <c r="DG277" s="59"/>
      <c r="DH277" s="59"/>
      <c r="DI277" s="59"/>
      <c r="DJ277" s="663">
        <f>DJ291+DJ292+DJ297-DJ278</f>
        <v>61000</v>
      </c>
      <c r="DK277" s="168">
        <f>DJ277</f>
        <v>61000</v>
      </c>
      <c r="DL277" s="131"/>
      <c r="DM277" s="59"/>
      <c r="DN277" s="59"/>
      <c r="DO277" s="59"/>
      <c r="DP277" s="663">
        <f>DP291+DP292+DP297-DP278</f>
        <v>65559.195418199932</v>
      </c>
      <c r="DQ277" s="168">
        <f>DP277</f>
        <v>65559.195418199932</v>
      </c>
      <c r="DR277" s="131"/>
      <c r="DS277" s="59"/>
      <c r="DT277" s="59"/>
      <c r="DU277" s="59"/>
      <c r="DV277" s="663">
        <f>DV291+DV292+DV297-DV278</f>
        <v>67000</v>
      </c>
      <c r="DW277" s="168">
        <f>DV277</f>
        <v>67000</v>
      </c>
      <c r="DX277" s="131"/>
      <c r="DY277" s="59"/>
      <c r="DZ277" s="59"/>
      <c r="EA277" s="59"/>
      <c r="EB277" s="663">
        <f>EB291+EB292+EB297-EB278</f>
        <v>63000</v>
      </c>
      <c r="EC277" s="168">
        <f>EB277</f>
        <v>63000</v>
      </c>
      <c r="ED277" s="131"/>
      <c r="EE277" s="59"/>
      <c r="EF277" s="59"/>
      <c r="EG277" s="59"/>
      <c r="EH277" s="663">
        <f>EH291+EH292+EH297-EH278</f>
        <v>69000</v>
      </c>
      <c r="EI277" s="168">
        <f>EH277</f>
        <v>69000</v>
      </c>
      <c r="EJ277" s="131"/>
      <c r="EK277" s="59"/>
      <c r="EL277" s="59"/>
      <c r="EM277" s="59"/>
      <c r="EN277" s="447">
        <f>EN291+EN292+EN297-EN278</f>
        <v>71000</v>
      </c>
      <c r="EO277" s="168">
        <f>EN277</f>
        <v>71000</v>
      </c>
      <c r="EP277" s="131"/>
      <c r="EQ277" s="59"/>
      <c r="ER277" s="59"/>
      <c r="ES277" s="59"/>
      <c r="ET277" s="447">
        <f>ET291+ET292+ET297-ET278</f>
        <v>72000</v>
      </c>
      <c r="EU277" s="168">
        <f t="shared" ref="EU277:EU282" si="146">ET277</f>
        <v>72000</v>
      </c>
      <c r="EV277" s="131"/>
      <c r="EW277" s="59"/>
      <c r="EX277" s="59"/>
      <c r="EY277" s="59"/>
      <c r="EZ277" s="663">
        <f>EZ291+EZ292+EZ297-EZ278</f>
        <v>75377.051340782593</v>
      </c>
      <c r="FA277" s="168">
        <f>EZ277</f>
        <v>75377.051340782593</v>
      </c>
      <c r="FB277" s="131"/>
      <c r="FC277" s="59"/>
      <c r="FD277" s="59"/>
      <c r="FE277" s="59"/>
      <c r="FF277" s="663">
        <f>FF291+FF292+FF297-FF278</f>
        <v>78632.967785521803</v>
      </c>
      <c r="FG277" s="168">
        <f>FF277</f>
        <v>78632.967785521803</v>
      </c>
      <c r="FH277" s="131"/>
      <c r="FI277" s="59"/>
      <c r="FJ277" s="59"/>
      <c r="FK277" s="59"/>
      <c r="FL277" s="663">
        <f>FL291+FL292+FL297-FL278</f>
        <v>82061.082973966433</v>
      </c>
      <c r="FM277" s="168">
        <f>FL277</f>
        <v>82061.082973966433</v>
      </c>
      <c r="FQ277"/>
      <c r="FR277"/>
      <c r="FS277"/>
      <c r="FT277"/>
      <c r="FU277"/>
      <c r="FV277"/>
      <c r="GB277" s="24"/>
      <c r="GC277" s="24"/>
      <c r="GD277" s="24"/>
      <c r="GE277" s="24"/>
      <c r="GF277" s="24"/>
      <c r="GG277" s="24"/>
      <c r="GH277" s="24"/>
      <c r="GI277" s="24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</row>
    <row r="278" spans="1:274" s="60" customFormat="1" hidden="1" outlineLevel="1" x14ac:dyDescent="0.2">
      <c r="A278" s="244" t="s">
        <v>572</v>
      </c>
      <c r="B278" s="476"/>
      <c r="C278" s="406" t="s">
        <v>945</v>
      </c>
      <c r="D278" s="406" t="s">
        <v>945</v>
      </c>
      <c r="E278" s="406" t="s">
        <v>945</v>
      </c>
      <c r="F278" s="406" t="s">
        <v>945</v>
      </c>
      <c r="G278" s="406" t="s">
        <v>945</v>
      </c>
      <c r="H278" s="406" t="s">
        <v>945</v>
      </c>
      <c r="I278" s="406" t="s">
        <v>945</v>
      </c>
      <c r="J278" s="59">
        <v>436</v>
      </c>
      <c r="K278" s="59">
        <v>465</v>
      </c>
      <c r="L278" s="59">
        <v>511</v>
      </c>
      <c r="M278" s="59">
        <v>615</v>
      </c>
      <c r="N278" s="244"/>
      <c r="O278" s="59">
        <v>751</v>
      </c>
      <c r="P278" s="59">
        <v>795</v>
      </c>
      <c r="Q278" s="59">
        <v>830</v>
      </c>
      <c r="R278" s="59">
        <v>834</v>
      </c>
      <c r="S278" s="59">
        <f>R278</f>
        <v>834</v>
      </c>
      <c r="T278" s="244"/>
      <c r="U278" s="59">
        <v>947</v>
      </c>
      <c r="V278" s="59">
        <v>903</v>
      </c>
      <c r="W278" s="59">
        <v>922</v>
      </c>
      <c r="X278" s="59">
        <v>924</v>
      </c>
      <c r="Y278" s="59">
        <f>X278</f>
        <v>924</v>
      </c>
      <c r="Z278" s="244"/>
      <c r="AA278" s="59">
        <v>983</v>
      </c>
      <c r="AB278" s="59">
        <v>1037</v>
      </c>
      <c r="AC278" s="59">
        <v>1052</v>
      </c>
      <c r="AD278" s="59">
        <v>1032</v>
      </c>
      <c r="AE278" s="59">
        <f>AD278</f>
        <v>1032</v>
      </c>
      <c r="AF278" s="59"/>
      <c r="AG278" s="59">
        <v>939</v>
      </c>
      <c r="AH278" s="59">
        <v>979</v>
      </c>
      <c r="AI278" s="59">
        <v>900</v>
      </c>
      <c r="AJ278" s="59">
        <v>887</v>
      </c>
      <c r="AK278" s="59">
        <f>AJ278</f>
        <v>887</v>
      </c>
      <c r="AL278" s="244"/>
      <c r="AM278" s="59">
        <v>812</v>
      </c>
      <c r="AN278" s="59">
        <v>842</v>
      </c>
      <c r="AO278" s="59">
        <v>961</v>
      </c>
      <c r="AP278" s="59">
        <v>994</v>
      </c>
      <c r="AQ278" s="59">
        <f>AP278</f>
        <v>994</v>
      </c>
      <c r="AR278" s="244"/>
      <c r="AS278" s="59">
        <v>1297</v>
      </c>
      <c r="AT278" s="59">
        <v>1065</v>
      </c>
      <c r="AU278" s="59">
        <v>1071</v>
      </c>
      <c r="AV278" s="59">
        <v>1145</v>
      </c>
      <c r="AW278" s="59">
        <f>AV278</f>
        <v>1145</v>
      </c>
      <c r="AX278" s="244"/>
      <c r="AY278" s="59"/>
      <c r="AZ278" s="59"/>
      <c r="BA278" s="59"/>
      <c r="BB278" s="59">
        <v>1230</v>
      </c>
      <c r="BC278" s="59">
        <f>BB278</f>
        <v>1230</v>
      </c>
      <c r="BD278" s="244"/>
      <c r="BE278" s="59"/>
      <c r="BF278" s="59"/>
      <c r="BG278" s="59"/>
      <c r="BH278" s="59">
        <v>1162</v>
      </c>
      <c r="BI278" s="59">
        <f>BH278</f>
        <v>1162</v>
      </c>
      <c r="BJ278" s="244"/>
      <c r="BK278" s="59"/>
      <c r="BL278" s="59"/>
      <c r="BM278" s="59"/>
      <c r="BN278" s="59">
        <v>916</v>
      </c>
      <c r="BO278" s="59">
        <f>BN278</f>
        <v>916</v>
      </c>
      <c r="BP278" s="244"/>
      <c r="BQ278" s="59"/>
      <c r="BR278" s="59"/>
      <c r="BS278" s="59"/>
      <c r="BT278" s="435">
        <v>757</v>
      </c>
      <c r="BU278" s="59">
        <f>BT278</f>
        <v>757</v>
      </c>
      <c r="BV278" s="244"/>
      <c r="BW278" s="59"/>
      <c r="BX278" s="59"/>
      <c r="BY278" s="59"/>
      <c r="BZ278" s="663">
        <f>BZ282-BZ277-BZ280-BZ281</f>
        <v>857</v>
      </c>
      <c r="CA278" s="59">
        <f>BZ278</f>
        <v>857</v>
      </c>
      <c r="CB278" s="244"/>
      <c r="CC278" s="59"/>
      <c r="CD278" s="59"/>
      <c r="CE278" s="59"/>
      <c r="CF278" s="663">
        <f>CF282-CF277-CF280-CF281</f>
        <v>0</v>
      </c>
      <c r="CG278" s="1043">
        <f>CF278</f>
        <v>0</v>
      </c>
      <c r="CH278" s="244"/>
      <c r="CI278" s="59"/>
      <c r="CJ278" s="59"/>
      <c r="CK278" s="59"/>
      <c r="CL278" s="663">
        <f>CF278*1.1</f>
        <v>0</v>
      </c>
      <c r="CM278" s="168">
        <f>CL278</f>
        <v>0</v>
      </c>
      <c r="CN278" s="244"/>
      <c r="CO278" s="59"/>
      <c r="CP278" s="59"/>
      <c r="CQ278" s="59"/>
      <c r="CR278" s="663">
        <f>CL278*1.1</f>
        <v>0</v>
      </c>
      <c r="CS278" s="168">
        <f>CR278</f>
        <v>0</v>
      </c>
      <c r="CT278" s="131"/>
      <c r="CU278" s="59"/>
      <c r="CV278" s="59"/>
      <c r="CW278" s="59"/>
      <c r="CX278" s="447">
        <f>CR278*1.1</f>
        <v>0</v>
      </c>
      <c r="CY278" s="168">
        <f>CX278</f>
        <v>0</v>
      </c>
      <c r="CZ278" s="131"/>
      <c r="DA278" s="59"/>
      <c r="DB278" s="59"/>
      <c r="DC278" s="59"/>
      <c r="DD278" s="663">
        <f>CX278*1.1</f>
        <v>0</v>
      </c>
      <c r="DE278" s="168">
        <f t="shared" si="145"/>
        <v>0</v>
      </c>
      <c r="DF278" s="131"/>
      <c r="DG278" s="59"/>
      <c r="DH278" s="59"/>
      <c r="DI278" s="59"/>
      <c r="DJ278" s="663">
        <f>DD278*1.1</f>
        <v>0</v>
      </c>
      <c r="DK278" s="168">
        <f>DJ278</f>
        <v>0</v>
      </c>
      <c r="DL278" s="131"/>
      <c r="DM278" s="59"/>
      <c r="DN278" s="59"/>
      <c r="DO278" s="59"/>
      <c r="DP278" s="663">
        <f>DJ278*1.1</f>
        <v>0</v>
      </c>
      <c r="DQ278" s="168">
        <f>DP278</f>
        <v>0</v>
      </c>
      <c r="DR278" s="131"/>
      <c r="DS278" s="59"/>
      <c r="DT278" s="59"/>
      <c r="DU278" s="59"/>
      <c r="DV278" s="663">
        <f>DP278*1.1</f>
        <v>0</v>
      </c>
      <c r="DW278" s="168">
        <f>DV278</f>
        <v>0</v>
      </c>
      <c r="DX278" s="131"/>
      <c r="DY278" s="59"/>
      <c r="DZ278" s="59"/>
      <c r="EA278" s="59"/>
      <c r="EB278" s="663">
        <f>DV278*1.1</f>
        <v>0</v>
      </c>
      <c r="EC278" s="168">
        <f>EB278</f>
        <v>0</v>
      </c>
      <c r="ED278" s="131"/>
      <c r="EE278" s="59"/>
      <c r="EF278" s="59"/>
      <c r="EG278" s="59"/>
      <c r="EH278" s="663">
        <f>EB278*1.1</f>
        <v>0</v>
      </c>
      <c r="EI278" s="168">
        <f>EH278</f>
        <v>0</v>
      </c>
      <c r="EJ278" s="131"/>
      <c r="EK278" s="59"/>
      <c r="EL278" s="59"/>
      <c r="EM278" s="59"/>
      <c r="EN278" s="447">
        <f>EH278*1.1</f>
        <v>0</v>
      </c>
      <c r="EO278" s="168">
        <f>EN278</f>
        <v>0</v>
      </c>
      <c r="EP278" s="131"/>
      <c r="EQ278" s="59"/>
      <c r="ER278" s="59"/>
      <c r="ES278" s="59"/>
      <c r="ET278" s="447">
        <f>EN278*1.1</f>
        <v>0</v>
      </c>
      <c r="EU278" s="168">
        <f t="shared" si="146"/>
        <v>0</v>
      </c>
      <c r="EV278" s="131"/>
      <c r="EW278" s="59"/>
      <c r="EX278" s="59"/>
      <c r="EY278" s="59"/>
      <c r="EZ278" s="663">
        <f>ET278*1.1</f>
        <v>0</v>
      </c>
      <c r="FA278" s="168">
        <f>EZ278</f>
        <v>0</v>
      </c>
      <c r="FB278" s="131"/>
      <c r="FC278" s="59"/>
      <c r="FD278" s="59"/>
      <c r="FE278" s="59"/>
      <c r="FF278" s="663">
        <f>EZ278*1.1</f>
        <v>0</v>
      </c>
      <c r="FG278" s="168">
        <f>FF278</f>
        <v>0</v>
      </c>
      <c r="FH278" s="131"/>
      <c r="FI278" s="59"/>
      <c r="FJ278" s="59"/>
      <c r="FK278" s="59"/>
      <c r="FL278" s="663">
        <f>FF278*1.1</f>
        <v>0</v>
      </c>
      <c r="FM278" s="168">
        <f>FL278</f>
        <v>0</v>
      </c>
      <c r="FQ278"/>
      <c r="FR278"/>
      <c r="FS278"/>
      <c r="FT278"/>
      <c r="FU278"/>
      <c r="FV278"/>
      <c r="GB278" s="24"/>
      <c r="GC278" s="24"/>
      <c r="GD278" s="24"/>
      <c r="GE278" s="24"/>
      <c r="GF278" s="24"/>
      <c r="GG278" s="24"/>
      <c r="GH278" s="24"/>
      <c r="GI278" s="24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</row>
    <row r="279" spans="1:274" s="60" customFormat="1" hidden="1" outlineLevel="1" x14ac:dyDescent="0.2">
      <c r="A279" s="244" t="s">
        <v>427</v>
      </c>
      <c r="B279" s="476"/>
      <c r="C279" s="406"/>
      <c r="D279" s="406"/>
      <c r="E279" s="406"/>
      <c r="F279" s="406"/>
      <c r="G279" s="406"/>
      <c r="H279" s="406"/>
      <c r="I279" s="406"/>
      <c r="J279" s="59"/>
      <c r="K279" s="59"/>
      <c r="L279" s="59"/>
      <c r="M279" s="59"/>
      <c r="N279" s="244"/>
      <c r="O279" s="59"/>
      <c r="P279" s="59"/>
      <c r="Q279" s="59"/>
      <c r="R279" s="59"/>
      <c r="S279" s="59"/>
      <c r="T279" s="244"/>
      <c r="U279" s="59"/>
      <c r="V279" s="59"/>
      <c r="W279" s="59"/>
      <c r="X279" s="59"/>
      <c r="Y279" s="59"/>
      <c r="Z279" s="244"/>
      <c r="AA279" s="59"/>
      <c r="AB279" s="59"/>
      <c r="AC279" s="59"/>
      <c r="AD279" s="59"/>
      <c r="AE279" s="59"/>
      <c r="AF279" s="59"/>
      <c r="AG279" s="59"/>
      <c r="AH279" s="59"/>
      <c r="AI279" s="59"/>
      <c r="AJ279" s="59"/>
      <c r="AK279" s="59"/>
      <c r="AL279" s="244"/>
      <c r="AM279" s="59"/>
      <c r="AN279" s="59"/>
      <c r="AO279" s="59"/>
      <c r="AP279" s="59"/>
      <c r="AQ279" s="59"/>
      <c r="AR279" s="244"/>
      <c r="AS279" s="59"/>
      <c r="AT279" s="59"/>
      <c r="AU279" s="59"/>
      <c r="AV279" s="59"/>
      <c r="AW279" s="59"/>
      <c r="AX279" s="244"/>
      <c r="AY279" s="59"/>
      <c r="AZ279" s="59"/>
      <c r="BA279" s="59"/>
      <c r="BB279" s="59"/>
      <c r="BC279" s="59"/>
      <c r="BD279" s="244"/>
      <c r="BE279" s="59"/>
      <c r="BF279" s="59"/>
      <c r="BG279" s="59"/>
      <c r="BH279" s="59"/>
      <c r="BI279" s="59"/>
      <c r="BJ279" s="244"/>
      <c r="BK279" s="59"/>
      <c r="BL279" s="59"/>
      <c r="BM279" s="59"/>
      <c r="BN279" s="59"/>
      <c r="BO279" s="59"/>
      <c r="BP279" s="244"/>
      <c r="BQ279" s="59"/>
      <c r="BR279" s="59"/>
      <c r="BS279" s="59"/>
      <c r="BT279" s="435"/>
      <c r="BU279" s="59"/>
      <c r="BV279" s="244"/>
      <c r="BW279" s="59"/>
      <c r="BX279" s="59"/>
      <c r="BY279" s="59"/>
      <c r="BZ279" s="663"/>
      <c r="CA279" s="59"/>
      <c r="CB279" s="244"/>
      <c r="CC279" s="59"/>
      <c r="CD279" s="59"/>
      <c r="CE279" s="59"/>
      <c r="CF279" s="663"/>
      <c r="CG279" s="1043"/>
      <c r="CH279" s="244"/>
      <c r="CI279" s="59"/>
      <c r="CJ279" s="59"/>
      <c r="CK279" s="59"/>
      <c r="CL279" s="663"/>
      <c r="CM279" s="168"/>
      <c r="CN279" s="244"/>
      <c r="CO279" s="59"/>
      <c r="CP279" s="59"/>
      <c r="CQ279" s="59"/>
      <c r="CR279" s="663"/>
      <c r="CS279" s="168"/>
      <c r="CT279" s="131"/>
      <c r="CU279" s="59"/>
      <c r="CV279" s="59"/>
      <c r="CW279" s="59"/>
      <c r="CX279" s="447"/>
      <c r="CY279" s="168"/>
      <c r="CZ279" s="131"/>
      <c r="DA279" s="59"/>
      <c r="DB279" s="59"/>
      <c r="DC279" s="59"/>
      <c r="DD279" s="663">
        <f>SUM(DD294:DD295)</f>
        <v>6000</v>
      </c>
      <c r="DE279" s="168">
        <f t="shared" si="145"/>
        <v>6000</v>
      </c>
      <c r="DF279" s="131"/>
      <c r="DG279" s="59"/>
      <c r="DH279" s="59"/>
      <c r="DI279" s="59"/>
      <c r="DJ279" s="663"/>
      <c r="DK279" s="168"/>
      <c r="DL279" s="131"/>
      <c r="DM279" s="59"/>
      <c r="DN279" s="59"/>
      <c r="DO279" s="59"/>
      <c r="DP279" s="663"/>
      <c r="DQ279" s="168"/>
      <c r="DR279" s="131"/>
      <c r="DS279" s="59"/>
      <c r="DT279" s="59"/>
      <c r="DU279" s="59"/>
      <c r="DV279" s="663"/>
      <c r="DW279" s="168"/>
      <c r="DX279" s="131"/>
      <c r="DY279" s="59"/>
      <c r="DZ279" s="59"/>
      <c r="EA279" s="59"/>
      <c r="EB279" s="663"/>
      <c r="EC279" s="168"/>
      <c r="ED279" s="131"/>
      <c r="EE279" s="59"/>
      <c r="EF279" s="59"/>
      <c r="EG279" s="59"/>
      <c r="EH279" s="663"/>
      <c r="EI279" s="168"/>
      <c r="EJ279" s="131"/>
      <c r="EK279" s="59"/>
      <c r="EL279" s="59"/>
      <c r="EM279" s="59"/>
      <c r="EN279" s="447">
        <f>EN294+EN295</f>
        <v>6000</v>
      </c>
      <c r="EO279" s="168"/>
      <c r="EP279" s="131"/>
      <c r="EQ279" s="59"/>
      <c r="ER279" s="59"/>
      <c r="ES279" s="59"/>
      <c r="ET279" s="447">
        <f>ET296</f>
        <v>5000</v>
      </c>
      <c r="EU279" s="168">
        <f t="shared" si="146"/>
        <v>5000</v>
      </c>
      <c r="EV279" s="131"/>
      <c r="EW279" s="59"/>
      <c r="EX279" s="59"/>
      <c r="EY279" s="59"/>
      <c r="EZ279" s="663"/>
      <c r="FA279" s="168"/>
      <c r="FB279" s="131"/>
      <c r="FC279" s="59"/>
      <c r="FD279" s="59"/>
      <c r="FE279" s="59"/>
      <c r="FF279" s="663"/>
      <c r="FG279" s="168"/>
      <c r="FH279" s="131"/>
      <c r="FI279" s="59"/>
      <c r="FJ279" s="59"/>
      <c r="FK279" s="59"/>
      <c r="FL279" s="663"/>
      <c r="FM279" s="168"/>
      <c r="FQ279"/>
      <c r="FR279"/>
      <c r="FS279"/>
      <c r="FT279"/>
      <c r="FU279"/>
      <c r="FV279"/>
      <c r="GB279" s="24"/>
      <c r="GC279" s="24"/>
      <c r="GD279" s="24"/>
      <c r="GE279" s="24"/>
      <c r="GF279" s="24"/>
      <c r="GG279" s="24"/>
      <c r="GH279" s="24"/>
      <c r="GI279" s="24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</row>
    <row r="280" spans="1:274" s="60" customFormat="1" hidden="1" outlineLevel="1" x14ac:dyDescent="0.2">
      <c r="A280" s="244" t="s">
        <v>178</v>
      </c>
      <c r="B280" s="476"/>
      <c r="C280" s="406" t="s">
        <v>945</v>
      </c>
      <c r="D280" s="406" t="s">
        <v>945</v>
      </c>
      <c r="E280" s="406" t="s">
        <v>945</v>
      </c>
      <c r="F280" s="406" t="s">
        <v>945</v>
      </c>
      <c r="G280" s="406" t="s">
        <v>945</v>
      </c>
      <c r="H280" s="406" t="s">
        <v>945</v>
      </c>
      <c r="I280" s="406" t="s">
        <v>945</v>
      </c>
      <c r="J280" s="59">
        <v>1010</v>
      </c>
      <c r="K280" s="59">
        <v>1147</v>
      </c>
      <c r="L280" s="59">
        <v>1409</v>
      </c>
      <c r="M280" s="59">
        <v>1757</v>
      </c>
      <c r="N280" s="244"/>
      <c r="O280" s="59">
        <v>1939</v>
      </c>
      <c r="P280" s="59">
        <v>2020</v>
      </c>
      <c r="Q280" s="59">
        <v>2285</v>
      </c>
      <c r="R280" s="59">
        <v>2348</v>
      </c>
      <c r="S280" s="59">
        <f>R280</f>
        <v>2348</v>
      </c>
      <c r="T280" s="244"/>
      <c r="U280" s="59">
        <v>2589</v>
      </c>
      <c r="V280" s="59">
        <v>2772</v>
      </c>
      <c r="W280" s="59">
        <v>2912</v>
      </c>
      <c r="X280" s="59">
        <v>3125</v>
      </c>
      <c r="Y280" s="59">
        <f>X280</f>
        <v>3125</v>
      </c>
      <c r="Z280" s="244"/>
      <c r="AA280" s="59">
        <v>3334</v>
      </c>
      <c r="AB280" s="59">
        <v>3513</v>
      </c>
      <c r="AC280" s="59">
        <v>3827</v>
      </c>
      <c r="AD280" s="59">
        <v>3970</v>
      </c>
      <c r="AE280" s="59">
        <f>AD280</f>
        <v>3970</v>
      </c>
      <c r="AF280" s="59"/>
      <c r="AG280" s="59">
        <v>4523</v>
      </c>
      <c r="AH280" s="59">
        <v>4613</v>
      </c>
      <c r="AI280" s="59">
        <v>4710</v>
      </c>
      <c r="AJ280" s="59">
        <v>4826</v>
      </c>
      <c r="AK280" s="59">
        <f>AJ280</f>
        <v>4826</v>
      </c>
      <c r="AL280" s="244"/>
      <c r="AM280" s="59">
        <v>5024</v>
      </c>
      <c r="AN280" s="59">
        <v>5180</v>
      </c>
      <c r="AO280" s="59">
        <v>5396</v>
      </c>
      <c r="AP280" s="59">
        <v>5781</v>
      </c>
      <c r="AQ280" s="59">
        <f>AP280</f>
        <v>5781</v>
      </c>
      <c r="AR280" s="244"/>
      <c r="AS280" s="59">
        <v>6070</v>
      </c>
      <c r="AT280" s="59">
        <v>6281</v>
      </c>
      <c r="AU280" s="59">
        <v>6455</v>
      </c>
      <c r="AV280" s="59">
        <v>6650</v>
      </c>
      <c r="AW280" s="59">
        <f>AV280</f>
        <v>6650</v>
      </c>
      <c r="AX280" s="244"/>
      <c r="AY280" s="59"/>
      <c r="AZ280" s="59"/>
      <c r="BA280" s="59"/>
      <c r="BB280" s="59">
        <v>7926</v>
      </c>
      <c r="BC280" s="59">
        <f>BB280</f>
        <v>7926</v>
      </c>
      <c r="BD280" s="244"/>
      <c r="BE280" s="59"/>
      <c r="BF280" s="59"/>
      <c r="BG280" s="59"/>
      <c r="BH280" s="59">
        <v>8859</v>
      </c>
      <c r="BI280" s="59">
        <f>BH280</f>
        <v>8859</v>
      </c>
      <c r="BJ280" s="244"/>
      <c r="BK280" s="59"/>
      <c r="BL280" s="59"/>
      <c r="BM280" s="59"/>
      <c r="BN280" s="59">
        <v>9429</v>
      </c>
      <c r="BO280" s="59">
        <f>BN280</f>
        <v>9429</v>
      </c>
      <c r="BP280" s="244"/>
      <c r="BQ280" s="59"/>
      <c r="BR280" s="59"/>
      <c r="BS280" s="59"/>
      <c r="BT280" s="435">
        <v>11436</v>
      </c>
      <c r="BU280" s="59">
        <f>BT280</f>
        <v>11436</v>
      </c>
      <c r="BV280" s="244"/>
      <c r="BW280" s="59"/>
      <c r="BX280" s="59"/>
      <c r="BY280" s="59"/>
      <c r="BZ280" s="59">
        <v>13114</v>
      </c>
      <c r="CA280" s="59">
        <f>BZ280</f>
        <v>13114</v>
      </c>
      <c r="CB280" s="244"/>
      <c r="CC280" s="59"/>
      <c r="CD280" s="59"/>
      <c r="CE280" s="59"/>
      <c r="CF280" s="1042">
        <v>14432</v>
      </c>
      <c r="CG280" s="1043">
        <f>CF280</f>
        <v>14432</v>
      </c>
      <c r="CH280" s="244"/>
      <c r="CI280" s="59"/>
      <c r="CJ280" s="59"/>
      <c r="CK280" s="59"/>
      <c r="CL280" s="663">
        <f>CL298</f>
        <v>18130</v>
      </c>
      <c r="CM280" s="168">
        <f>CL280</f>
        <v>18130</v>
      </c>
      <c r="CN280" s="244"/>
      <c r="CO280" s="59"/>
      <c r="CP280" s="59"/>
      <c r="CQ280" s="59"/>
      <c r="CR280" s="663">
        <f>CR298</f>
        <v>20607</v>
      </c>
      <c r="CS280" s="168">
        <f>CR280</f>
        <v>20607</v>
      </c>
      <c r="CT280" s="131"/>
      <c r="CU280" s="59"/>
      <c r="CV280" s="59"/>
      <c r="CW280" s="59"/>
      <c r="CX280" s="447">
        <f>CX298</f>
        <v>22000</v>
      </c>
      <c r="CY280" s="168">
        <f>CX280</f>
        <v>22000</v>
      </c>
      <c r="CZ280" s="131"/>
      <c r="DA280" s="59"/>
      <c r="DB280" s="59"/>
      <c r="DC280" s="59"/>
      <c r="DD280" s="663">
        <f>DD298</f>
        <v>28000</v>
      </c>
      <c r="DE280" s="168">
        <f t="shared" si="145"/>
        <v>28000</v>
      </c>
      <c r="DF280" s="131"/>
      <c r="DG280" s="59"/>
      <c r="DH280" s="59"/>
      <c r="DI280" s="59"/>
      <c r="DJ280" s="663">
        <f>DJ298</f>
        <v>30000</v>
      </c>
      <c r="DK280" s="168">
        <f>DJ280</f>
        <v>30000</v>
      </c>
      <c r="DL280" s="131"/>
      <c r="DM280" s="59"/>
      <c r="DN280" s="59"/>
      <c r="DO280" s="59"/>
      <c r="DP280" s="663">
        <f>DP298</f>
        <v>32000</v>
      </c>
      <c r="DQ280" s="168">
        <f>DP280</f>
        <v>32000</v>
      </c>
      <c r="DR280" s="131"/>
      <c r="DS280" s="59"/>
      <c r="DT280" s="59"/>
      <c r="DU280" s="59"/>
      <c r="DV280" s="663">
        <f>DV298</f>
        <v>35000</v>
      </c>
      <c r="DW280" s="168">
        <f>DV280</f>
        <v>35000</v>
      </c>
      <c r="DX280" s="131"/>
      <c r="DY280" s="59"/>
      <c r="DZ280" s="59"/>
      <c r="EA280" s="59"/>
      <c r="EB280" s="663">
        <f>EB298</f>
        <v>36000</v>
      </c>
      <c r="EC280" s="168">
        <f>EB280</f>
        <v>36000</v>
      </c>
      <c r="ED280" s="131"/>
      <c r="EE280" s="59"/>
      <c r="EF280" s="59"/>
      <c r="EG280" s="59"/>
      <c r="EH280" s="663">
        <f>EH298</f>
        <v>38000</v>
      </c>
      <c r="EI280" s="168">
        <f>EH280</f>
        <v>38000</v>
      </c>
      <c r="EJ280" s="131"/>
      <c r="EK280" s="59"/>
      <c r="EL280" s="59"/>
      <c r="EM280" s="59"/>
      <c r="EN280" s="447">
        <f>EN298</f>
        <v>40000</v>
      </c>
      <c r="EO280" s="168">
        <f>EN280</f>
        <v>40000</v>
      </c>
      <c r="EP280" s="131"/>
      <c r="EQ280" s="59"/>
      <c r="ER280" s="59"/>
      <c r="ES280" s="59"/>
      <c r="ET280" s="447">
        <f>ET298</f>
        <v>40000</v>
      </c>
      <c r="EU280" s="168">
        <f t="shared" si="146"/>
        <v>40000</v>
      </c>
      <c r="EV280" s="131"/>
      <c r="EW280" s="59"/>
      <c r="EX280" s="59"/>
      <c r="EY280" s="59"/>
      <c r="EZ280" s="663">
        <f>EZ298</f>
        <v>41876.139633768107</v>
      </c>
      <c r="FA280" s="168">
        <f>EZ280</f>
        <v>41876.139633768107</v>
      </c>
      <c r="FB280" s="131"/>
      <c r="FC280" s="59"/>
      <c r="FD280" s="59"/>
      <c r="FE280" s="59"/>
      <c r="FF280" s="663">
        <f>FF298</f>
        <v>43684.982103067669</v>
      </c>
      <c r="FG280" s="168">
        <f>FF280</f>
        <v>43684.982103067669</v>
      </c>
      <c r="FH280" s="131"/>
      <c r="FI280" s="59"/>
      <c r="FJ280" s="59"/>
      <c r="FK280" s="59"/>
      <c r="FL280" s="663">
        <f>FL298</f>
        <v>45589.490541092469</v>
      </c>
      <c r="FM280" s="168">
        <f>FL280</f>
        <v>45589.490541092469</v>
      </c>
      <c r="FQ280"/>
      <c r="FR280"/>
      <c r="FS280"/>
      <c r="FT280"/>
      <c r="FU280"/>
      <c r="FV280"/>
      <c r="GB280" s="24"/>
      <c r="GC280" s="24"/>
      <c r="GD280" s="24"/>
      <c r="GE280" s="24"/>
      <c r="GF280" s="24"/>
      <c r="GG280" s="24"/>
      <c r="GH280" s="24"/>
      <c r="GI280" s="24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</row>
    <row r="281" spans="1:274" s="60" customFormat="1" hidden="1" outlineLevel="1" x14ac:dyDescent="0.2">
      <c r="A281" s="244" t="s">
        <v>179</v>
      </c>
      <c r="B281" s="476"/>
      <c r="C281" s="406" t="s">
        <v>945</v>
      </c>
      <c r="D281" s="406" t="s">
        <v>945</v>
      </c>
      <c r="E281" s="406" t="s">
        <v>945</v>
      </c>
      <c r="F281" s="406" t="s">
        <v>945</v>
      </c>
      <c r="G281" s="406" t="s">
        <v>945</v>
      </c>
      <c r="H281" s="406" t="s">
        <v>945</v>
      </c>
      <c r="I281" s="406" t="s">
        <v>945</v>
      </c>
      <c r="J281" s="59">
        <f>J282-J277-J278-J280</f>
        <v>1027</v>
      </c>
      <c r="K281" s="59">
        <f>K282-K277-K278-K280</f>
        <v>1074</v>
      </c>
      <c r="L281" s="59">
        <f>L282-L277-L278-L280</f>
        <v>1196</v>
      </c>
      <c r="M281" s="59">
        <f>M282-M277-M278-M280</f>
        <v>1432</v>
      </c>
      <c r="N281" s="244"/>
      <c r="O281" s="59">
        <f>O282-O277-O278-O280</f>
        <v>1554</v>
      </c>
      <c r="P281" s="59">
        <f>P282-P277-P278-P280</f>
        <v>1744</v>
      </c>
      <c r="Q281" s="59">
        <f>Q282-Q277-Q278-Q280</f>
        <v>1783</v>
      </c>
      <c r="R281" s="59">
        <f>R282-R277-R278-R280</f>
        <v>1925</v>
      </c>
      <c r="S281" s="59">
        <f>R281</f>
        <v>1925</v>
      </c>
      <c r="T281" s="244"/>
      <c r="U281" s="59">
        <f>U282-U277-U278-U280</f>
        <v>1952</v>
      </c>
      <c r="V281" s="59">
        <f>V282-V277-V278-V280</f>
        <v>2034</v>
      </c>
      <c r="W281" s="59">
        <f>W282-W277-W278-W280</f>
        <v>2115</v>
      </c>
      <c r="X281" s="59">
        <f>X282-X277-X278-X280</f>
        <v>2257</v>
      </c>
      <c r="Y281" s="59">
        <f>X281</f>
        <v>2257</v>
      </c>
      <c r="Z281" s="244"/>
      <c r="AA281" s="59">
        <f>AA282-AA277-AA278-AA280</f>
        <v>2460</v>
      </c>
      <c r="AB281" s="59">
        <f>AB282-AB277-AB278-AB280</f>
        <v>2675</v>
      </c>
      <c r="AC281" s="59">
        <f>AC282-AC277-AC278-AC280</f>
        <v>2801</v>
      </c>
      <c r="AD281" s="435">
        <v>2812</v>
      </c>
      <c r="AE281" s="59">
        <f>AD281</f>
        <v>2812</v>
      </c>
      <c r="AF281" s="59"/>
      <c r="AG281" s="59">
        <f>AG282-AG277-AG278-AG280</f>
        <v>3084</v>
      </c>
      <c r="AH281" s="59">
        <f>AH282-AH277-AH278-AH280</f>
        <v>3151</v>
      </c>
      <c r="AI281" s="59">
        <f>AI282-AI277-AI278-AI280</f>
        <v>3391</v>
      </c>
      <c r="AJ281" s="59">
        <f>AJ282-AJ277-AJ278-AJ280</f>
        <v>3566</v>
      </c>
      <c r="AK281" s="59">
        <f>AJ281</f>
        <v>3566</v>
      </c>
      <c r="AL281" s="244"/>
      <c r="AM281" s="59">
        <f>AM282-AM277-AM278-AM280</f>
        <v>3679</v>
      </c>
      <c r="AN281" s="59">
        <f>AN282-AN277-AN278-AN280</f>
        <v>3697</v>
      </c>
      <c r="AO281" s="59">
        <f>AO282-AO277-AO278-AO280</f>
        <v>3797</v>
      </c>
      <c r="AP281" s="59">
        <f>AP282-AP277-AP278-AP280</f>
        <v>3969</v>
      </c>
      <c r="AQ281" s="59">
        <f>AP281</f>
        <v>3969</v>
      </c>
      <c r="AR281" s="244"/>
      <c r="AS281" s="59">
        <f>AS282-AS277-AS278-AS280</f>
        <v>4025</v>
      </c>
      <c r="AT281" s="59">
        <f>AT282-AT277-AT278-AT280</f>
        <v>3917</v>
      </c>
      <c r="AU281" s="59">
        <f>AU282-AU277-AU278-AU280</f>
        <v>3866</v>
      </c>
      <c r="AV281" s="59">
        <f>AV282-AV277-AV278-AV280</f>
        <v>3961</v>
      </c>
      <c r="AW281" s="59">
        <f>AV281</f>
        <v>3961</v>
      </c>
      <c r="AX281" s="244"/>
      <c r="AY281" s="59"/>
      <c r="AZ281" s="59"/>
      <c r="BA281" s="59"/>
      <c r="BB281" s="59">
        <f>BB282-BB277-BB278-BB280</f>
        <v>4349</v>
      </c>
      <c r="BC281" s="59">
        <f>BB281</f>
        <v>4349</v>
      </c>
      <c r="BD281" s="244"/>
      <c r="BE281" s="59"/>
      <c r="BF281" s="59"/>
      <c r="BG281" s="59"/>
      <c r="BH281" s="59">
        <f>BH282-BH277-BH278-BH280</f>
        <v>4926</v>
      </c>
      <c r="BI281" s="59">
        <f>BH281</f>
        <v>4926</v>
      </c>
      <c r="BJ281" s="244"/>
      <c r="BK281" s="59"/>
      <c r="BL281" s="59"/>
      <c r="BM281" s="59"/>
      <c r="BN281" s="59">
        <v>5037</v>
      </c>
      <c r="BO281" s="59">
        <f>BN281</f>
        <v>5037</v>
      </c>
      <c r="BP281" s="244"/>
      <c r="BQ281" s="59"/>
      <c r="BR281" s="59"/>
      <c r="BS281" s="59"/>
      <c r="BT281" s="435">
        <f>BT282-BT277-BT278-BT280</f>
        <v>4705</v>
      </c>
      <c r="BU281" s="59">
        <f>BT281</f>
        <v>4705</v>
      </c>
      <c r="BV281" s="244"/>
      <c r="BW281" s="59"/>
      <c r="BX281" s="59"/>
      <c r="BY281" s="59"/>
      <c r="BZ281" s="59">
        <v>6251</v>
      </c>
      <c r="CA281" s="59">
        <f>BZ281</f>
        <v>6251</v>
      </c>
      <c r="CB281" s="244"/>
      <c r="CC281" s="59"/>
      <c r="CD281" s="59"/>
      <c r="CE281" s="59"/>
      <c r="CF281" s="1042">
        <v>6232</v>
      </c>
      <c r="CG281" s="1043">
        <f>CF281</f>
        <v>6232</v>
      </c>
      <c r="CH281" s="244"/>
      <c r="CI281" s="59"/>
      <c r="CJ281" s="59"/>
      <c r="CK281" s="59"/>
      <c r="CL281" s="663">
        <f>CL299</f>
        <v>7799</v>
      </c>
      <c r="CM281" s="168">
        <f>CL281</f>
        <v>7799</v>
      </c>
      <c r="CN281" s="244"/>
      <c r="CO281" s="59"/>
      <c r="CP281" s="59"/>
      <c r="CQ281" s="59"/>
      <c r="CR281" s="663">
        <f>CR299</f>
        <v>8304</v>
      </c>
      <c r="CS281" s="168">
        <f>CR281</f>
        <v>8304</v>
      </c>
      <c r="CT281" s="131"/>
      <c r="CU281" s="59"/>
      <c r="CV281" s="59"/>
      <c r="CW281" s="59"/>
      <c r="CX281" s="447">
        <f>CX299</f>
        <v>8000</v>
      </c>
      <c r="CY281" s="168">
        <f>CX281</f>
        <v>8000</v>
      </c>
      <c r="CZ281" s="131"/>
      <c r="DA281" s="59"/>
      <c r="DB281" s="59"/>
      <c r="DC281" s="59"/>
      <c r="DD281" s="663">
        <f>DD299</f>
        <v>12000</v>
      </c>
      <c r="DE281" s="168">
        <f t="shared" si="145"/>
        <v>12000</v>
      </c>
      <c r="DF281" s="131"/>
      <c r="DG281" s="59"/>
      <c r="DH281" s="59"/>
      <c r="DI281" s="59"/>
      <c r="DJ281" s="663">
        <f>DJ299</f>
        <v>10000</v>
      </c>
      <c r="DK281" s="168">
        <f>DJ281</f>
        <v>10000</v>
      </c>
      <c r="DL281" s="131"/>
      <c r="DM281" s="59"/>
      <c r="DN281" s="59"/>
      <c r="DO281" s="59"/>
      <c r="DP281" s="663">
        <f>DP299</f>
        <v>11000</v>
      </c>
      <c r="DQ281" s="168">
        <f>DP281</f>
        <v>11000</v>
      </c>
      <c r="DR281" s="131"/>
      <c r="DS281" s="59"/>
      <c r="DT281" s="59"/>
      <c r="DU281" s="59"/>
      <c r="DV281" s="663">
        <f>DV299</f>
        <v>11000</v>
      </c>
      <c r="DW281" s="168">
        <f>DV281</f>
        <v>11000</v>
      </c>
      <c r="DX281" s="131"/>
      <c r="DY281" s="59"/>
      <c r="DZ281" s="59"/>
      <c r="EA281" s="59"/>
      <c r="EB281" s="663">
        <f>EB299</f>
        <v>11000</v>
      </c>
      <c r="EC281" s="168">
        <f>EB281</f>
        <v>11000</v>
      </c>
      <c r="ED281" s="131"/>
      <c r="EE281" s="59"/>
      <c r="EF281" s="59"/>
      <c r="EG281" s="59"/>
      <c r="EH281" s="663">
        <f>EH299</f>
        <v>13000</v>
      </c>
      <c r="EI281" s="168">
        <f>EH281</f>
        <v>13000</v>
      </c>
      <c r="EJ281" s="131"/>
      <c r="EK281" s="59"/>
      <c r="EL281" s="59"/>
      <c r="EM281" s="59"/>
      <c r="EN281" s="447">
        <f>EN299</f>
        <v>13000</v>
      </c>
      <c r="EO281" s="168">
        <f>EN281</f>
        <v>13000</v>
      </c>
      <c r="EP281" s="131"/>
      <c r="EQ281" s="59"/>
      <c r="ER281" s="59"/>
      <c r="ES281" s="59"/>
      <c r="ET281" s="447">
        <f>ET299</f>
        <v>13000</v>
      </c>
      <c r="EU281" s="168">
        <f t="shared" si="146"/>
        <v>13000</v>
      </c>
      <c r="EV281" s="131"/>
      <c r="EW281" s="59"/>
      <c r="EX281" s="59"/>
      <c r="EY281" s="59"/>
      <c r="EZ281" s="663">
        <f>EZ299</f>
        <v>13609.745380974635</v>
      </c>
      <c r="FA281" s="168">
        <f>EZ281</f>
        <v>13609.745380974635</v>
      </c>
      <c r="FB281" s="131"/>
      <c r="FC281" s="59"/>
      <c r="FD281" s="59"/>
      <c r="FE281" s="59"/>
      <c r="FF281" s="663">
        <f>FF299</f>
        <v>14197.619183496992</v>
      </c>
      <c r="FG281" s="168">
        <f>FF281</f>
        <v>14197.619183496992</v>
      </c>
      <c r="FH281" s="131"/>
      <c r="FI281" s="59"/>
      <c r="FJ281" s="59"/>
      <c r="FK281" s="59"/>
      <c r="FL281" s="663">
        <f>FL299</f>
        <v>14816.584425855051</v>
      </c>
      <c r="FM281" s="168">
        <f>FL281</f>
        <v>14816.584425855051</v>
      </c>
      <c r="FQ281"/>
      <c r="FR281"/>
      <c r="FS281"/>
      <c r="FT281"/>
      <c r="FU281"/>
      <c r="FV281"/>
      <c r="GB281" s="24"/>
      <c r="GC281" s="24"/>
      <c r="GD281" s="24"/>
      <c r="GE281" s="24"/>
      <c r="GF281" s="24"/>
      <c r="GG281" s="24"/>
      <c r="GH281" s="24"/>
      <c r="GI281" s="24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</row>
    <row r="282" spans="1:274" s="60" customFormat="1" hidden="1" outlineLevel="1" x14ac:dyDescent="0.2">
      <c r="A282" s="244" t="s">
        <v>698</v>
      </c>
      <c r="B282" s="476"/>
      <c r="C282" s="406" t="s">
        <v>945</v>
      </c>
      <c r="D282" s="406" t="s">
        <v>945</v>
      </c>
      <c r="E282" s="406" t="s">
        <v>945</v>
      </c>
      <c r="F282" s="406" t="s">
        <v>945</v>
      </c>
      <c r="G282" s="406" t="s">
        <v>945</v>
      </c>
      <c r="H282" s="406" t="s">
        <v>945</v>
      </c>
      <c r="I282" s="406" t="s">
        <v>945</v>
      </c>
      <c r="J282" s="59">
        <f>SUM(J319:J320)</f>
        <v>7466</v>
      </c>
      <c r="K282" s="59">
        <f>SUM(K319:K320)</f>
        <v>8160</v>
      </c>
      <c r="L282" s="59">
        <f>SUM(L319:L320)</f>
        <v>9247</v>
      </c>
      <c r="M282" s="59">
        <f>SUM(M319:M320)</f>
        <v>12058</v>
      </c>
      <c r="N282" s="244"/>
      <c r="O282" s="59">
        <f>SUM(O319:O320)</f>
        <v>13456</v>
      </c>
      <c r="P282" s="59">
        <f>SUM(P319:P320)</f>
        <v>14830</v>
      </c>
      <c r="Q282" s="59">
        <f>SUM(Q319:Q320)</f>
        <v>16083</v>
      </c>
      <c r="R282" s="59">
        <f>SUM(R319:R320)</f>
        <v>16882</v>
      </c>
      <c r="S282" s="59">
        <f>R282</f>
        <v>16882</v>
      </c>
      <c r="T282" s="244"/>
      <c r="U282" s="59">
        <f>SUM(U319:U320)</f>
        <v>18499</v>
      </c>
      <c r="V282" s="59">
        <f>SUM(V319:V320)</f>
        <v>19945</v>
      </c>
      <c r="W282" s="59">
        <f>SUM(W319:W320)</f>
        <v>21376</v>
      </c>
      <c r="X282" s="59">
        <f>SUM(X319:X320)</f>
        <v>23113</v>
      </c>
      <c r="Y282" s="59">
        <f>X282</f>
        <v>23113</v>
      </c>
      <c r="Z282" s="244"/>
      <c r="AA282" s="59">
        <f>SUM(AA319:AA320)</f>
        <v>25224</v>
      </c>
      <c r="AB282" s="59">
        <f>SUM(AB319:AB320)</f>
        <v>27352</v>
      </c>
      <c r="AC282" s="59">
        <f>SUM(AC319:AC320)</f>
        <v>28844</v>
      </c>
      <c r="AD282" s="59">
        <f>SUM(AD319:AD320)</f>
        <v>29431</v>
      </c>
      <c r="AE282" s="59">
        <f>AD282</f>
        <v>29431</v>
      </c>
      <c r="AF282" s="59"/>
      <c r="AG282" s="59">
        <f>SUM(AG319:AG320)</f>
        <v>31401</v>
      </c>
      <c r="AH282" s="59">
        <f>SUM(AH319:AH320)</f>
        <v>33775</v>
      </c>
      <c r="AI282" s="59">
        <f>SUM(AI319:AI320)</f>
        <v>35513</v>
      </c>
      <c r="AJ282" s="59">
        <f>SUM(AJ319:AJ320)</f>
        <v>36802</v>
      </c>
      <c r="AK282" s="59">
        <f>AJ282</f>
        <v>36802</v>
      </c>
      <c r="AL282" s="244"/>
      <c r="AM282" s="59">
        <f>SUM(AM319:AM320)</f>
        <v>38629</v>
      </c>
      <c r="AN282" s="59">
        <f>SUM(AN319:AN320)</f>
        <v>40795</v>
      </c>
      <c r="AO282" s="59">
        <f>SUM(AO319:AO320)</f>
        <v>42783</v>
      </c>
      <c r="AP282" s="59">
        <f>SUM(AP319:AP320)</f>
        <v>43800</v>
      </c>
      <c r="AQ282" s="59">
        <f>AP282</f>
        <v>43800</v>
      </c>
      <c r="AR282" s="244"/>
      <c r="AS282" s="59">
        <f>SUM(AS319:AS320)</f>
        <v>43093</v>
      </c>
      <c r="AT282" s="59">
        <f>SUM(AT319:AT320)</f>
        <v>42682</v>
      </c>
      <c r="AU282" s="59">
        <f>SUM(AU319:AU320)</f>
        <v>41917</v>
      </c>
      <c r="AV282" s="59">
        <f>SUM(AV319:AV320)</f>
        <v>41320</v>
      </c>
      <c r="AW282" s="59">
        <f>AV282</f>
        <v>41320</v>
      </c>
      <c r="AX282" s="244"/>
      <c r="AY282" s="59">
        <f>SUM(AY319:AY320)</f>
        <v>41170</v>
      </c>
      <c r="AZ282" s="59">
        <f>SUM(AZ319:AZ320)</f>
        <v>42002</v>
      </c>
      <c r="BA282" s="59">
        <f>SUM(BA319:BA320)</f>
        <v>43308</v>
      </c>
      <c r="BB282" s="59">
        <f>SUM(BB319:BB320)</f>
        <v>42927</v>
      </c>
      <c r="BC282" s="59">
        <f>BB282</f>
        <v>42927</v>
      </c>
      <c r="BD282" s="244"/>
      <c r="BE282" s="59">
        <f>SUM(BE319:BE320)</f>
        <v>42299</v>
      </c>
      <c r="BF282" s="59">
        <f>SUM(BF319:BF320)</f>
        <v>42443</v>
      </c>
      <c r="BG282" s="59">
        <f>SUM(BG319:BG320)</f>
        <v>41935</v>
      </c>
      <c r="BH282" s="59">
        <f>SUM(BH319:BH320)</f>
        <v>42006</v>
      </c>
      <c r="BI282" s="59">
        <f>BH282</f>
        <v>42006</v>
      </c>
      <c r="BJ282" s="244"/>
      <c r="BK282" s="59">
        <f>SUM(BK319:BK320)</f>
        <v>41496</v>
      </c>
      <c r="BL282" s="59">
        <f>SUM(BL319:BL320)</f>
        <v>40645</v>
      </c>
      <c r="BM282" s="59">
        <f>SUM(BM319:BM320)</f>
        <v>40389</v>
      </c>
      <c r="BN282" s="59">
        <f>SUM(BN319:BN320)</f>
        <v>40650</v>
      </c>
      <c r="BO282" s="59">
        <f>BN282</f>
        <v>40650</v>
      </c>
      <c r="BP282" s="244"/>
      <c r="BQ282" s="59">
        <f>SUM(BQ319:BQ320)</f>
        <v>40324</v>
      </c>
      <c r="BR282" s="59">
        <f>SUM(BR319:BR320)</f>
        <v>40615</v>
      </c>
      <c r="BS282" s="59">
        <f>SUM(BS319:BS320)</f>
        <v>41194</v>
      </c>
      <c r="BT282" s="59">
        <f>SUM(BT319:BT320)</f>
        <v>41658</v>
      </c>
      <c r="BU282" s="59">
        <f>BT282</f>
        <v>41658</v>
      </c>
      <c r="BV282" s="244"/>
      <c r="BW282" s="59">
        <f>SUM(BW319:BW320)</f>
        <v>42068</v>
      </c>
      <c r="BX282" s="59">
        <f>SUM(BX319:BX320)</f>
        <v>42580</v>
      </c>
      <c r="BY282" s="59">
        <f>SUM(BY319:BY320)</f>
        <v>50881</v>
      </c>
      <c r="BZ282" s="59">
        <f>SUM(BZ319:BZ320)</f>
        <v>49872</v>
      </c>
      <c r="CA282" s="59">
        <f>BZ282</f>
        <v>49872</v>
      </c>
      <c r="CB282" s="244"/>
      <c r="CC282" s="59">
        <v>49516</v>
      </c>
      <c r="CD282" s="59">
        <f>SUM(CD319:CD320)</f>
        <v>51154</v>
      </c>
      <c r="CE282" s="59">
        <f>SUM(CE319:CE320)</f>
        <v>55582</v>
      </c>
      <c r="CF282" s="59">
        <f>SUM(CF319:CF320)</f>
        <v>56133</v>
      </c>
      <c r="CG282" s="168">
        <f>CF282</f>
        <v>56133</v>
      </c>
      <c r="CH282" s="244"/>
      <c r="CI282" s="59">
        <f>SUM(CI319:CI320)</f>
        <v>65126</v>
      </c>
      <c r="CJ282" s="59">
        <f>SUM(CJ319:CJ320)</f>
        <v>68434</v>
      </c>
      <c r="CK282" s="59">
        <f>SUM(CK319:CK320)</f>
        <v>70481</v>
      </c>
      <c r="CL282" s="59">
        <f>SUM(CL291:CL299)</f>
        <v>74674</v>
      </c>
      <c r="CM282" s="168">
        <f>CL282</f>
        <v>74674</v>
      </c>
      <c r="CN282" s="244"/>
      <c r="CO282" s="59">
        <f>SUM(CO319:CO320)</f>
        <v>77652</v>
      </c>
      <c r="CP282" s="59">
        <f>SUM(CP319:CP320)</f>
        <v>79649</v>
      </c>
      <c r="CQ282" s="59">
        <f>SUM(CQ319:CQ320)</f>
        <v>80219</v>
      </c>
      <c r="CR282" s="59">
        <f>SUM(CR291:CR299)</f>
        <v>84233</v>
      </c>
      <c r="CS282" s="168">
        <f>CR282</f>
        <v>84233</v>
      </c>
      <c r="CT282" s="131"/>
      <c r="CU282" s="59">
        <f>SUM(CU319:CU320)</f>
        <v>85188</v>
      </c>
      <c r="CV282" s="59">
        <f>SUM(CV319:CV320)</f>
        <v>86657</v>
      </c>
      <c r="CW282" s="59">
        <f>SUM(CW319:CW320)</f>
        <v>86588</v>
      </c>
      <c r="CX282" s="59">
        <v>85562</v>
      </c>
      <c r="CY282" s="168">
        <f>CX282</f>
        <v>85562</v>
      </c>
      <c r="CZ282" s="131"/>
      <c r="DA282" s="59">
        <f>SUM(DA319:DA320)</f>
        <v>84639</v>
      </c>
      <c r="DB282" s="59">
        <f>SUM(DB319:DB320)</f>
        <v>83366</v>
      </c>
      <c r="DC282" s="59">
        <f>SUM(DC319:DC320)</f>
        <v>106492</v>
      </c>
      <c r="DD282" s="59">
        <f>SUM(DD319:DD320)</f>
        <v>104569</v>
      </c>
      <c r="DE282" s="168">
        <f t="shared" si="145"/>
        <v>104569</v>
      </c>
      <c r="DF282" s="131"/>
      <c r="DG282" s="59">
        <f>SUM(DG319:DG320)</f>
        <v>105236</v>
      </c>
      <c r="DH282" s="59">
        <f>SUM(DH319:DH320)</f>
        <v>105730</v>
      </c>
      <c r="DI282" s="59">
        <f>SUM(DI319:DI320)</f>
        <v>107870</v>
      </c>
      <c r="DJ282" s="59">
        <f>SUM(DJ291:DJ299)</f>
        <v>108000</v>
      </c>
      <c r="DK282" s="168">
        <f>DJ282</f>
        <v>108000</v>
      </c>
      <c r="DL282" s="131"/>
      <c r="DM282" s="59">
        <f>SUM(DM319:DM320)</f>
        <v>109388</v>
      </c>
      <c r="DN282" s="59">
        <f>SUM(DN319:DN320)</f>
        <v>111302</v>
      </c>
      <c r="DO282" s="59">
        <f>SUM(DO319:DO320)</f>
        <v>113644</v>
      </c>
      <c r="DP282" s="59">
        <f>SUM(DP291:DP299)</f>
        <v>115559.19541819993</v>
      </c>
      <c r="DQ282" s="168">
        <f>DP282</f>
        <v>115559.19541819993</v>
      </c>
      <c r="DR282" s="131"/>
      <c r="DS282" s="59">
        <f>SUM(DS319:DS320)</f>
        <v>115899</v>
      </c>
      <c r="DT282" s="59">
        <f>SUM(DT319:DT320)</f>
        <v>117229</v>
      </c>
      <c r="DU282" s="59">
        <f>SUM(DU319:DU320)</f>
        <v>118657</v>
      </c>
      <c r="DV282" s="59">
        <f>SUM(DV291:DV299)</f>
        <v>120000</v>
      </c>
      <c r="DW282" s="168">
        <f>DV282</f>
        <v>120000</v>
      </c>
      <c r="DX282" s="131"/>
      <c r="DY282" s="59">
        <f>SUM(DY319:DY320)</f>
        <v>122327</v>
      </c>
      <c r="DZ282" s="59">
        <f>SUM(DZ319:DZ320)</f>
        <v>121868</v>
      </c>
      <c r="EA282" s="59">
        <f>SUM(EA319:EA320)</f>
        <v>122710</v>
      </c>
      <c r="EB282" s="59">
        <f>SUM(EB291:EB299)</f>
        <v>122000</v>
      </c>
      <c r="EC282" s="168">
        <f>EB282</f>
        <v>122000</v>
      </c>
      <c r="ED282" s="131"/>
      <c r="EE282" s="59">
        <f>SUM(EE319:EE320)</f>
        <v>122918</v>
      </c>
      <c r="EF282" s="59">
        <f>SUM(EF319:EF320)</f>
        <v>130552</v>
      </c>
      <c r="EG282" s="59">
        <f>SUM(EG319:EG320)</f>
        <v>131562</v>
      </c>
      <c r="EH282" s="59">
        <f>SUM(EH291:EH299)</f>
        <v>132000</v>
      </c>
      <c r="EI282" s="168">
        <f>EH282</f>
        <v>132000</v>
      </c>
      <c r="EJ282" s="131"/>
      <c r="EK282" s="59">
        <f>SUM(EK319:EK320)</f>
        <v>135070</v>
      </c>
      <c r="EL282" s="59">
        <f>SUM(EL319:EL320)</f>
        <v>136160</v>
      </c>
      <c r="EM282" s="59">
        <f>SUM(EM319:EM320)</f>
        <v>136406</v>
      </c>
      <c r="EN282" s="600">
        <f>SUM(EN291:EN299)</f>
        <v>142000</v>
      </c>
      <c r="EO282" s="168">
        <f>EN282</f>
        <v>142000</v>
      </c>
      <c r="EP282" s="131"/>
      <c r="EQ282" s="59">
        <f>SUM(EQ319:EQ320)</f>
        <v>137350</v>
      </c>
      <c r="ER282" s="59">
        <f>SUM(ER319:ER320)</f>
        <v>141682</v>
      </c>
      <c r="ES282" s="59">
        <f>SUM(ES319:ES320)</f>
        <v>140903</v>
      </c>
      <c r="ET282" s="59">
        <f>SUM(ET291:ET299)</f>
        <v>138000</v>
      </c>
      <c r="EU282" s="168">
        <f t="shared" si="146"/>
        <v>138000</v>
      </c>
      <c r="EV282" s="131"/>
      <c r="EW282" s="59">
        <f>SUM(EW319:EW320)</f>
        <v>141470.5</v>
      </c>
      <c r="EX282" s="59">
        <f>SUM(EX319:EX320)</f>
        <v>142961.98119999998</v>
      </c>
      <c r="EY282" s="59">
        <f>SUM(EY319:EY320)</f>
        <v>144472.68173649997</v>
      </c>
      <c r="EZ282" s="59">
        <f>SUM(EZ291:EZ299)</f>
        <v>130862.93635552534</v>
      </c>
      <c r="FA282" s="168">
        <f>EZ282</f>
        <v>130862.93635552534</v>
      </c>
      <c r="FB282" s="131"/>
      <c r="FC282" s="59">
        <f>SUM(FC319:FC320)</f>
        <v>146002.87413513995</v>
      </c>
      <c r="FD282" s="59">
        <f>SUM(FD319:FD320)</f>
        <v>147552.83493062251</v>
      </c>
      <c r="FE282" s="59">
        <f>SUM(FE319:FE320)</f>
        <v>149122.84472645458</v>
      </c>
      <c r="FF282" s="59">
        <f>SUM(FF291:FF299)</f>
        <v>136515.56907208645</v>
      </c>
      <c r="FG282" s="168">
        <f>FF282</f>
        <v>136515.56907208645</v>
      </c>
      <c r="FH282" s="131"/>
      <c r="FI282" s="59">
        <f>SUM(FI319:FI320)</f>
        <v>152324.15444194048</v>
      </c>
      <c r="FJ282" s="59">
        <f>SUM(FJ319:FJ320)</f>
        <v>153956.03646290544</v>
      </c>
      <c r="FK282" s="59">
        <f>SUM(FK319:FK320)</f>
        <v>155609.13181270656</v>
      </c>
      <c r="FL282" s="59">
        <f>SUM(FL291:FL299)</f>
        <v>142467.15794091395</v>
      </c>
      <c r="FM282" s="168">
        <f>FL282</f>
        <v>142467.15794091395</v>
      </c>
      <c r="FQ282"/>
      <c r="FR282"/>
      <c r="FS282"/>
      <c r="FT282"/>
      <c r="FU282"/>
      <c r="FV282"/>
      <c r="GB282" s="24"/>
      <c r="GC282" s="24"/>
      <c r="GD282" s="24"/>
      <c r="GE282" s="24"/>
      <c r="GF282" s="24"/>
      <c r="GG282" s="24"/>
      <c r="GH282" s="24"/>
      <c r="GI282" s="24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</row>
    <row r="283" spans="1:274" s="60" customFormat="1" ht="13.5" hidden="1" customHeight="1" outlineLevel="1" x14ac:dyDescent="0.2">
      <c r="A283" s="244"/>
      <c r="B283" s="476"/>
      <c r="C283" s="406"/>
      <c r="D283" s="406"/>
      <c r="E283" s="406"/>
      <c r="F283" s="406"/>
      <c r="G283" s="406"/>
      <c r="H283" s="406"/>
      <c r="I283" s="406"/>
      <c r="J283" s="59"/>
      <c r="K283" s="59"/>
      <c r="L283" s="59"/>
      <c r="M283" s="59"/>
      <c r="N283" s="244"/>
      <c r="O283" s="59"/>
      <c r="P283" s="59"/>
      <c r="Q283" s="59"/>
      <c r="R283" s="59"/>
      <c r="S283" s="59"/>
      <c r="T283" s="244"/>
      <c r="U283" s="59"/>
      <c r="V283" s="59"/>
      <c r="W283" s="59"/>
      <c r="X283" s="59"/>
      <c r="Y283" s="59"/>
      <c r="Z283" s="244"/>
      <c r="AA283" s="59"/>
      <c r="AB283" s="59"/>
      <c r="AC283" s="59"/>
      <c r="AD283" s="59"/>
      <c r="AE283" s="59"/>
      <c r="AF283" s="59"/>
      <c r="AG283" s="59"/>
      <c r="AH283" s="59"/>
      <c r="AI283" s="59"/>
      <c r="AJ283" s="59"/>
      <c r="AK283" s="59"/>
      <c r="AL283" s="244"/>
      <c r="AM283" s="59"/>
      <c r="AN283" s="59"/>
      <c r="AO283" s="59"/>
      <c r="AP283" s="59"/>
      <c r="AQ283" s="59"/>
      <c r="AR283" s="244"/>
      <c r="AS283" s="59"/>
      <c r="AT283" s="59"/>
      <c r="AU283" s="59"/>
      <c r="AV283" s="59"/>
      <c r="AW283" s="59"/>
      <c r="AX283" s="244"/>
      <c r="AY283" s="59"/>
      <c r="AZ283" s="59"/>
      <c r="BA283" s="59"/>
      <c r="BB283" s="59"/>
      <c r="BC283" s="59"/>
      <c r="BD283" s="244"/>
      <c r="BE283" s="59"/>
      <c r="BF283" s="59"/>
      <c r="BG283" s="59"/>
      <c r="BH283" s="59"/>
      <c r="BI283" s="59"/>
      <c r="BJ283" s="244"/>
      <c r="BK283" s="59"/>
      <c r="BL283" s="59"/>
      <c r="BM283" s="59"/>
      <c r="BN283" s="59"/>
      <c r="BO283" s="59"/>
      <c r="BP283" s="244"/>
      <c r="BQ283" s="59"/>
      <c r="BR283" s="59"/>
      <c r="BS283" s="59"/>
      <c r="BT283" s="59"/>
      <c r="BU283" s="59"/>
      <c r="BV283" s="244"/>
      <c r="BW283" s="94">
        <f>BW282/BQ282-1</f>
        <v>4.3249677611348014E-2</v>
      </c>
      <c r="BX283" s="94">
        <f>BX282/BR282-1</f>
        <v>4.8381139972916376E-2</v>
      </c>
      <c r="BY283" s="94">
        <f>BY282/BS282-1</f>
        <v>0.23515560518522105</v>
      </c>
      <c r="BZ283" s="94">
        <f>BZ282/BT282-1</f>
        <v>0.19717701281866629</v>
      </c>
      <c r="CA283" s="94">
        <f>CA282/BU282-1</f>
        <v>0.19717701281866629</v>
      </c>
      <c r="CB283" s="244"/>
      <c r="CC283" s="94">
        <f>CC282/BW282-1</f>
        <v>0.17704668631739096</v>
      </c>
      <c r="CD283" s="94">
        <f>CD282/BX282-1</f>
        <v>0.20136214185063417</v>
      </c>
      <c r="CE283" s="94">
        <f>CE282/BY282-1</f>
        <v>9.2392052043002382E-2</v>
      </c>
      <c r="CF283" s="94">
        <f>CF282/BZ282-1</f>
        <v>0.125541385948027</v>
      </c>
      <c r="CG283" s="149">
        <f>CG282/CA282-1</f>
        <v>0.125541385948027</v>
      </c>
      <c r="CH283" s="244"/>
      <c r="CI283" s="94">
        <f>CI282/CC282-1</f>
        <v>0.31525163583488158</v>
      </c>
      <c r="CJ283" s="94">
        <f>CJ282/CD282-1</f>
        <v>0.33780349532783349</v>
      </c>
      <c r="CK283" s="94">
        <f>CK282/CE282-1</f>
        <v>0.26805440610269504</v>
      </c>
      <c r="CL283" s="94">
        <f>CL282/CF282-1</f>
        <v>0.33030481178629323</v>
      </c>
      <c r="CM283" s="149">
        <f>CM282/CG282-1</f>
        <v>0.33030481178629323</v>
      </c>
      <c r="CN283" s="244"/>
      <c r="CO283" s="94">
        <f>CO282/CI282-1</f>
        <v>0.19233485858182608</v>
      </c>
      <c r="CP283" s="94">
        <f>CP282/CJ282-1</f>
        <v>0.16388052722331015</v>
      </c>
      <c r="CQ283" s="94">
        <f>CQ282/CK282-1</f>
        <v>0.13816489550375288</v>
      </c>
      <c r="CR283" s="94">
        <f>CR282/CL282-1</f>
        <v>0.12800974904250473</v>
      </c>
      <c r="CS283" s="149">
        <f>CS282/CM282-1</f>
        <v>0.12800974904250473</v>
      </c>
      <c r="CT283" s="131"/>
      <c r="CU283" s="94">
        <f>CU282/CO282-1</f>
        <v>9.7048369649204158E-2</v>
      </c>
      <c r="CV283" s="94">
        <f>CV282/CP282-1</f>
        <v>8.7986038744993555E-2</v>
      </c>
      <c r="CW283" s="94">
        <f>CW282/CQ282-1</f>
        <v>7.9395155761103897E-2</v>
      </c>
      <c r="CX283" s="94">
        <f>CX282/CR282-1</f>
        <v>1.5777664335830277E-2</v>
      </c>
      <c r="CY283" s="149">
        <f>CY282/CS282-1</f>
        <v>1.5777664335830277E-2</v>
      </c>
      <c r="CZ283" s="131"/>
      <c r="DA283" s="94">
        <f>DA282/CU282-1</f>
        <v>-6.4445696576982403E-3</v>
      </c>
      <c r="DB283" s="94">
        <f>DB282/CV282-1</f>
        <v>-3.7977312854126088E-2</v>
      </c>
      <c r="DC283" s="94">
        <f>DC282/CW282-1</f>
        <v>0.22987018986464647</v>
      </c>
      <c r="DD283" s="94">
        <f>DD282/CX282-1</f>
        <v>0.22214300740983139</v>
      </c>
      <c r="DE283" s="149">
        <f>DE282/CY282-1</f>
        <v>0.22214300740983139</v>
      </c>
      <c r="DF283" s="131"/>
      <c r="DG283" s="94">
        <f>DG282/DA282-1</f>
        <v>0.24335117380876436</v>
      </c>
      <c r="DH283" s="94">
        <f>DH282/DB282-1</f>
        <v>0.26826284096634123</v>
      </c>
      <c r="DI283" s="94">
        <f>DI282/DC282-1</f>
        <v>1.2939939150358626E-2</v>
      </c>
      <c r="DJ283" s="94">
        <f>DJ282/DD282-1</f>
        <v>3.2810871290726684E-2</v>
      </c>
      <c r="DK283" s="149">
        <f>DK282/DE282-1</f>
        <v>3.2810871290726684E-2</v>
      </c>
      <c r="DL283" s="131"/>
      <c r="DM283" s="94">
        <f>DM282/DG282-1</f>
        <v>3.9454179178227911E-2</v>
      </c>
      <c r="DN283" s="94">
        <f>DN282/DH282-1</f>
        <v>5.2700274283552506E-2</v>
      </c>
      <c r="DO283" s="94">
        <f>DO282/DI282-1</f>
        <v>5.3527394085473246E-2</v>
      </c>
      <c r="DP283" s="94">
        <f>DP282/DJ282-1</f>
        <v>6.9992550168517909E-2</v>
      </c>
      <c r="DQ283" s="149">
        <f>DQ282/DK282-1</f>
        <v>6.9992550168517909E-2</v>
      </c>
      <c r="DR283" s="131"/>
      <c r="DS283" s="94">
        <f>DS282/DM282-1</f>
        <v>5.9522068234175496E-2</v>
      </c>
      <c r="DT283" s="94">
        <f>DT282/DN282-1</f>
        <v>5.3251513899121417E-2</v>
      </c>
      <c r="DU283" s="94">
        <f>DU282/DO282-1</f>
        <v>4.4111435711520208E-2</v>
      </c>
      <c r="DV283" s="94">
        <f>DV282/DP282-1</f>
        <v>3.8428829187752145E-2</v>
      </c>
      <c r="DW283" s="149">
        <f>DW282/DQ282-1</f>
        <v>3.8428829187752145E-2</v>
      </c>
      <c r="DX283" s="131"/>
      <c r="DY283" s="94">
        <f>DY282/DS282-1</f>
        <v>5.5462083365689141E-2</v>
      </c>
      <c r="DZ283" s="94">
        <f>DZ282/DT282-1</f>
        <v>3.9572119526738225E-2</v>
      </c>
      <c r="EA283" s="94">
        <f>EA282/DU282-1</f>
        <v>3.4157276856822572E-2</v>
      </c>
      <c r="EB283" s="94">
        <f>EB282/DV282-1</f>
        <v>1.6666666666666607E-2</v>
      </c>
      <c r="EC283" s="149">
        <f>EC282/DW282-1</f>
        <v>1.6666666666666607E-2</v>
      </c>
      <c r="ED283" s="131"/>
      <c r="EE283" s="94">
        <f>EE282/DY282-1</f>
        <v>4.8313127927603894E-3</v>
      </c>
      <c r="EF283" s="94">
        <f>EF282/DZ282-1</f>
        <v>7.1257426067548479E-2</v>
      </c>
      <c r="EG283" s="94">
        <f>EG282/EA282-1</f>
        <v>7.2137560101051212E-2</v>
      </c>
      <c r="EH283" s="94">
        <f>EH282/EB282-1</f>
        <v>8.1967213114754189E-2</v>
      </c>
      <c r="EI283" s="149">
        <f>EI282/EC282-1</f>
        <v>8.1967213114754189E-2</v>
      </c>
      <c r="EJ283" s="131"/>
      <c r="EK283" s="94">
        <f>EK282/EE282-1</f>
        <v>9.886265640508296E-2</v>
      </c>
      <c r="EL283" s="94">
        <f>EL282/EF282-1</f>
        <v>4.2956063484282048E-2</v>
      </c>
      <c r="EM283" s="94">
        <f>EM282/EG282-1</f>
        <v>3.6819142305528851E-2</v>
      </c>
      <c r="EN283" s="928">
        <f>EN282/EH282-1</f>
        <v>7.575757575757569E-2</v>
      </c>
      <c r="EO283" s="149">
        <f>EO282/EI282-1</f>
        <v>7.575757575757569E-2</v>
      </c>
      <c r="EP283" s="131"/>
      <c r="EQ283" s="94">
        <f>EQ282/EK282-1</f>
        <v>1.6880136225660758E-2</v>
      </c>
      <c r="ER283" s="94">
        <f>ER282/EL282-1</f>
        <v>4.0555229142185567E-2</v>
      </c>
      <c r="ES283" s="94">
        <f>ES282/EM282-1</f>
        <v>3.296775801650953E-2</v>
      </c>
      <c r="ET283" s="94">
        <f>ET282/EN282-1</f>
        <v>-2.8169014084507005E-2</v>
      </c>
      <c r="EU283" s="149">
        <f>EU282/EO282-1</f>
        <v>-2.8169014084507005E-2</v>
      </c>
      <c r="EV283" s="131"/>
      <c r="EW283" s="94">
        <f>EW282/EQ282-1</f>
        <v>3.0000000000000027E-2</v>
      </c>
      <c r="EX283" s="94">
        <f>EX282/ER282-1</f>
        <v>9.0341835942462367E-3</v>
      </c>
      <c r="EY283" s="94">
        <f>EY282/ES282-1</f>
        <v>2.5334320323200821E-2</v>
      </c>
      <c r="EZ283" s="94">
        <f>EZ282/ET282-1</f>
        <v>-5.1717852496193206E-2</v>
      </c>
      <c r="FA283" s="149">
        <f>FA282/EU282-1</f>
        <v>-5.1717852496193206E-2</v>
      </c>
      <c r="FB283" s="131"/>
      <c r="FC283" s="94">
        <f>FC282/EW282-1</f>
        <v>3.2037591831088008E-2</v>
      </c>
      <c r="FD283" s="94">
        <f>FD282/EX282-1</f>
        <v>3.2112409831534627E-2</v>
      </c>
      <c r="FE283" s="94">
        <f>FE282/EY282-1</f>
        <v>3.2187143853506628E-2</v>
      </c>
      <c r="FF283" s="94">
        <f>FF282/EZ282-1</f>
        <v>4.3195062513377902E-2</v>
      </c>
      <c r="FG283" s="149">
        <f>FG282/FA282-1</f>
        <v>4.3195062513377902E-2</v>
      </c>
      <c r="FH283" s="131"/>
      <c r="FI283" s="94">
        <f>FI282/FC282-1</f>
        <v>4.3295588146775588E-2</v>
      </c>
      <c r="FJ283" s="94">
        <f>FJ282/FD282-1</f>
        <v>4.3395991241331533E-2</v>
      </c>
      <c r="FK283" s="94">
        <f>FK282/FE282-1</f>
        <v>4.3496267108840136E-2</v>
      </c>
      <c r="FL283" s="94">
        <f>FL282/FF282-1</f>
        <v>4.3596411085425668E-2</v>
      </c>
      <c r="FM283" s="149">
        <f>FM282/FG282-1</f>
        <v>4.3596411085425668E-2</v>
      </c>
      <c r="FQ283"/>
      <c r="FR283"/>
      <c r="FS283"/>
      <c r="FT283"/>
      <c r="FU283"/>
      <c r="FV283"/>
      <c r="GB283" s="24"/>
      <c r="GC283" s="24"/>
      <c r="GD283" s="24"/>
      <c r="GE283" s="24"/>
      <c r="GF283" s="24"/>
      <c r="GG283" s="24"/>
      <c r="GH283" s="24"/>
      <c r="GI283" s="24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</row>
    <row r="284" spans="1:274" s="60" customFormat="1" hidden="1" outlineLevel="1" x14ac:dyDescent="0.2">
      <c r="A284" s="244" t="s">
        <v>610</v>
      </c>
      <c r="B284" s="476"/>
      <c r="C284" s="406"/>
      <c r="D284" s="406"/>
      <c r="E284" s="406"/>
      <c r="F284" s="406"/>
      <c r="G284" s="406"/>
      <c r="H284" s="406"/>
      <c r="I284" s="406"/>
      <c r="J284" s="59"/>
      <c r="K284" s="59"/>
      <c r="L284" s="59"/>
      <c r="M284" s="59"/>
      <c r="N284" s="244"/>
      <c r="O284" s="59"/>
      <c r="P284" s="59"/>
      <c r="Q284" s="59"/>
      <c r="R284" s="59"/>
      <c r="S284" s="59"/>
      <c r="T284" s="244"/>
      <c r="U284" s="59"/>
      <c r="V284" s="59"/>
      <c r="W284" s="59"/>
      <c r="X284" s="59"/>
      <c r="Y284" s="59"/>
      <c r="Z284" s="244"/>
      <c r="AA284" s="59"/>
      <c r="AB284" s="59"/>
      <c r="AC284" s="59"/>
      <c r="AD284" s="59"/>
      <c r="AE284" s="59"/>
      <c r="AF284" s="59"/>
      <c r="AG284" s="59"/>
      <c r="AH284" s="59"/>
      <c r="AI284" s="59"/>
      <c r="AJ284" s="59"/>
      <c r="AK284" s="59"/>
      <c r="AL284" s="244"/>
      <c r="AM284" s="59"/>
      <c r="AN284" s="59"/>
      <c r="AO284" s="59"/>
      <c r="AP284" s="59"/>
      <c r="AQ284" s="59"/>
      <c r="AR284" s="244"/>
      <c r="AS284" s="59"/>
      <c r="AT284" s="59"/>
      <c r="AU284" s="59"/>
      <c r="AV284" s="59"/>
      <c r="AW284" s="59"/>
      <c r="AX284" s="244"/>
      <c r="AY284" s="59"/>
      <c r="AZ284" s="59"/>
      <c r="BA284" s="59"/>
      <c r="BB284" s="59"/>
      <c r="BC284" s="59"/>
      <c r="BD284" s="244"/>
      <c r="BE284" s="59"/>
      <c r="BF284" s="59"/>
      <c r="BG284" s="59"/>
      <c r="BH284" s="59"/>
      <c r="BI284" s="59"/>
      <c r="BJ284" s="244"/>
      <c r="BK284" s="59"/>
      <c r="BL284" s="59"/>
      <c r="BM284" s="59"/>
      <c r="BN284" s="59"/>
      <c r="BO284" s="59"/>
      <c r="BP284" s="244"/>
      <c r="BQ284" s="59"/>
      <c r="BR284" s="59"/>
      <c r="BS284" s="59"/>
      <c r="BT284" s="59"/>
      <c r="BU284" s="59"/>
      <c r="BV284" s="244"/>
      <c r="BW284" s="59"/>
      <c r="BX284" s="59"/>
      <c r="BY284" s="59"/>
      <c r="BZ284" s="59"/>
      <c r="CA284" s="59"/>
      <c r="CB284" s="244"/>
      <c r="CC284" s="59"/>
      <c r="CD284" s="59"/>
      <c r="CE284" s="59"/>
      <c r="CF284" s="59"/>
      <c r="CG284" s="168"/>
      <c r="CH284" s="244"/>
      <c r="CI284" s="59"/>
      <c r="CJ284" s="59"/>
      <c r="CK284" s="59"/>
      <c r="CL284" s="59"/>
      <c r="CM284" s="168"/>
      <c r="CN284" s="244"/>
      <c r="CO284" s="59"/>
      <c r="CP284" s="59"/>
      <c r="CQ284" s="59"/>
      <c r="CR284" s="59"/>
      <c r="CS284" s="168"/>
      <c r="CT284" s="131"/>
      <c r="CU284" s="59"/>
      <c r="CV284" s="59"/>
      <c r="CW284" s="59"/>
      <c r="CX284" s="59"/>
      <c r="CY284" s="168"/>
      <c r="CZ284" s="131"/>
      <c r="DA284" s="59"/>
      <c r="DB284" s="59"/>
      <c r="DC284" s="59"/>
      <c r="DD284" s="59"/>
      <c r="DE284" s="168"/>
      <c r="DF284" s="131"/>
      <c r="DG284" s="59"/>
      <c r="DH284" s="59"/>
      <c r="DI284" s="59"/>
      <c r="DJ284" s="59"/>
      <c r="DK284" s="168"/>
      <c r="DL284" s="131"/>
      <c r="DM284" s="59"/>
      <c r="DN284" s="59"/>
      <c r="DO284" s="59"/>
      <c r="DP284" s="59"/>
      <c r="DQ284" s="168"/>
      <c r="DR284" s="131"/>
      <c r="DS284" s="59"/>
      <c r="DT284" s="59"/>
      <c r="DU284" s="59"/>
      <c r="DV284" s="59"/>
      <c r="DW284" s="168"/>
      <c r="DX284" s="131"/>
      <c r="DY284" s="59"/>
      <c r="DZ284" s="59"/>
      <c r="EA284" s="59"/>
      <c r="EB284" s="59"/>
      <c r="EC284" s="168"/>
      <c r="ED284" s="131"/>
      <c r="EE284" s="59"/>
      <c r="EF284" s="59"/>
      <c r="EG284" s="59"/>
      <c r="EH284" s="59"/>
      <c r="EI284" s="168"/>
      <c r="EJ284" s="131"/>
      <c r="EK284" s="59"/>
      <c r="EL284" s="59"/>
      <c r="EM284" s="59"/>
      <c r="EN284" s="600"/>
      <c r="EO284" s="168"/>
      <c r="EP284" s="131"/>
      <c r="EQ284" s="59"/>
      <c r="ER284" s="59"/>
      <c r="ES284" s="59"/>
      <c r="ET284" s="59"/>
      <c r="EU284" s="168"/>
      <c r="EV284" s="131"/>
      <c r="EW284" s="59"/>
      <c r="EX284" s="59"/>
      <c r="EY284" s="59"/>
      <c r="EZ284" s="59"/>
      <c r="FA284" s="168"/>
      <c r="FB284" s="131"/>
      <c r="FC284" s="59"/>
      <c r="FD284" s="59"/>
      <c r="FE284" s="59"/>
      <c r="FF284" s="59"/>
      <c r="FG284" s="168"/>
      <c r="FH284" s="131"/>
      <c r="FI284" s="59"/>
      <c r="FJ284" s="59"/>
      <c r="FK284" s="59"/>
      <c r="FL284" s="59"/>
      <c r="FM284" s="168"/>
      <c r="FQ284"/>
      <c r="FR284"/>
      <c r="FS284"/>
      <c r="FT284"/>
      <c r="FU284"/>
      <c r="FV284"/>
      <c r="GB284" s="24"/>
      <c r="GC284" s="24"/>
      <c r="GD284" s="24"/>
      <c r="GE284" s="24"/>
      <c r="GF284" s="24"/>
      <c r="GG284" s="24"/>
      <c r="GH284" s="24"/>
      <c r="GI284" s="2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</row>
    <row r="285" spans="1:274" s="60" customFormat="1" hidden="1" outlineLevel="1" x14ac:dyDescent="0.2">
      <c r="A285" s="244" t="s">
        <v>571</v>
      </c>
      <c r="B285" s="476"/>
      <c r="C285" s="406"/>
      <c r="D285" s="406"/>
      <c r="E285" s="406"/>
      <c r="F285" s="406"/>
      <c r="G285" s="406"/>
      <c r="H285" s="406"/>
      <c r="I285" s="406"/>
      <c r="J285" s="59"/>
      <c r="K285" s="59"/>
      <c r="L285" s="59"/>
      <c r="M285" s="59"/>
      <c r="N285" s="244"/>
      <c r="O285" s="59"/>
      <c r="P285" s="59"/>
      <c r="Q285" s="59"/>
      <c r="R285" s="59"/>
      <c r="S285" s="59"/>
      <c r="T285" s="244"/>
      <c r="U285" s="94">
        <f t="shared" ref="U285:Y286" si="147">U277/O277-1</f>
        <v>0.41239687364307431</v>
      </c>
      <c r="V285" s="94">
        <f t="shared" si="147"/>
        <v>0.38603836043228501</v>
      </c>
      <c r="W285" s="94">
        <f t="shared" si="147"/>
        <v>0.37925793473401881</v>
      </c>
      <c r="X285" s="94">
        <f t="shared" si="147"/>
        <v>0.42734607218683651</v>
      </c>
      <c r="Y285" s="94">
        <f t="shared" si="147"/>
        <v>0.42734607218683651</v>
      </c>
      <c r="Z285" s="244"/>
      <c r="AA285" s="59"/>
      <c r="AB285" s="59"/>
      <c r="AC285" s="59"/>
      <c r="AD285" s="59"/>
      <c r="AE285" s="94">
        <f>AE277/Y277-1</f>
        <v>0.28619027786041529</v>
      </c>
      <c r="AF285" s="59"/>
      <c r="AG285" s="59"/>
      <c r="AH285" s="59"/>
      <c r="AI285" s="59"/>
      <c r="AJ285" s="59"/>
      <c r="AK285" s="94">
        <f>AK277/AE277-1</f>
        <v>0.2732108988296249</v>
      </c>
      <c r="AL285" s="244"/>
      <c r="AM285" s="59"/>
      <c r="AN285" s="59"/>
      <c r="AO285" s="59"/>
      <c r="AP285" s="59"/>
      <c r="AQ285" s="94">
        <f>AQ277/AK277-1</f>
        <v>0.20103186425898345</v>
      </c>
      <c r="AR285" s="244"/>
      <c r="AS285" s="59"/>
      <c r="AT285" s="59"/>
      <c r="AU285" s="59"/>
      <c r="AV285" s="59"/>
      <c r="AW285" s="94">
        <f>AW277/AQ277-1</f>
        <v>-0.10563891577928364</v>
      </c>
      <c r="AX285" s="244"/>
      <c r="AY285" s="59"/>
      <c r="AZ285" s="59"/>
      <c r="BA285" s="59"/>
      <c r="BB285" s="59"/>
      <c r="BC285" s="94">
        <f>BC277/AW277-1</f>
        <v>-4.8031389527803947E-3</v>
      </c>
      <c r="BD285" s="244"/>
      <c r="BE285" s="59"/>
      <c r="BF285" s="59"/>
      <c r="BG285" s="59"/>
      <c r="BH285" s="59"/>
      <c r="BI285" s="94">
        <f>BI277/BC277-1</f>
        <v>-8.0314050710352802E-2</v>
      </c>
      <c r="BJ285" s="244"/>
      <c r="BK285" s="59"/>
      <c r="BL285" s="59"/>
      <c r="BM285" s="59"/>
      <c r="BN285" s="59"/>
      <c r="BO285" s="94">
        <f>BO277/BI277-1</f>
        <v>-6.6188698769355847E-2</v>
      </c>
      <c r="BP285" s="244"/>
      <c r="BQ285" s="59"/>
      <c r="BR285" s="59"/>
      <c r="BS285" s="59"/>
      <c r="BT285" s="59"/>
      <c r="BU285" s="94">
        <f>BU277/BO277-1</f>
        <v>-2.0104479974671574E-2</v>
      </c>
      <c r="BV285" s="244"/>
      <c r="BW285" s="59"/>
      <c r="BX285" s="59"/>
      <c r="BY285" s="59"/>
      <c r="BZ285" s="59"/>
      <c r="CA285" s="94">
        <f>CA277/BU277-1</f>
        <v>0.19749596122778668</v>
      </c>
      <c r="CB285" s="244"/>
      <c r="CC285" s="59"/>
      <c r="CD285" s="59"/>
      <c r="CE285" s="59"/>
      <c r="CF285" s="59"/>
      <c r="CG285" s="149">
        <f>CG277/CA277-1</f>
        <v>0.1962563237774031</v>
      </c>
      <c r="CH285" s="244"/>
      <c r="CI285" s="59"/>
      <c r="CJ285" s="59"/>
      <c r="CK285" s="59"/>
      <c r="CL285" s="59"/>
      <c r="CM285" s="149">
        <f>CM277/CG277-1</f>
        <v>0.37429868335729788</v>
      </c>
      <c r="CN285" s="244"/>
      <c r="CO285" s="59"/>
      <c r="CP285" s="59"/>
      <c r="CQ285" s="59"/>
      <c r="CR285" s="59"/>
      <c r="CS285" s="149">
        <f>CS277/CM277-1</f>
        <v>0.13492665914452773</v>
      </c>
      <c r="CT285" s="131"/>
      <c r="CU285" s="59"/>
      <c r="CV285" s="59"/>
      <c r="CW285" s="59"/>
      <c r="CX285" s="59"/>
      <c r="CY285" s="149">
        <f>CY277/CS277-1</f>
        <v>1.22555222153935E-2</v>
      </c>
      <c r="CZ285" s="131"/>
      <c r="DA285" s="59"/>
      <c r="DB285" s="59"/>
      <c r="DC285" s="59"/>
      <c r="DD285" s="59"/>
      <c r="DE285" s="149">
        <f>DE277/CY277-1</f>
        <v>5.3571428571428603E-2</v>
      </c>
      <c r="DF285" s="131"/>
      <c r="DG285" s="59"/>
      <c r="DH285" s="59"/>
      <c r="DI285" s="59"/>
      <c r="DJ285" s="59"/>
      <c r="DK285" s="149">
        <f>DK277/DE277-1</f>
        <v>3.3898305084745672E-2</v>
      </c>
      <c r="DL285" s="131"/>
      <c r="DM285" s="59"/>
      <c r="DN285" s="59"/>
      <c r="DO285" s="59"/>
      <c r="DP285" s="59"/>
      <c r="DQ285" s="149">
        <f>DQ277/DK277-1</f>
        <v>7.4740908495080749E-2</v>
      </c>
      <c r="DR285" s="131"/>
      <c r="DS285" s="59"/>
      <c r="DT285" s="59"/>
      <c r="DU285" s="59"/>
      <c r="DV285" s="59"/>
      <c r="DW285" s="149">
        <f>DW277/DQ277-1</f>
        <v>2.1977154731830151E-2</v>
      </c>
      <c r="DX285" s="131"/>
      <c r="DY285" s="59"/>
      <c r="DZ285" s="59"/>
      <c r="EA285" s="59"/>
      <c r="EB285" s="59"/>
      <c r="EC285" s="149">
        <f>EC277/DW277-1</f>
        <v>-5.9701492537313383E-2</v>
      </c>
      <c r="ED285" s="131"/>
      <c r="EE285" s="59"/>
      <c r="EF285" s="59"/>
      <c r="EG285" s="59"/>
      <c r="EH285" s="59"/>
      <c r="EI285" s="149">
        <f>EI277/EC277-1</f>
        <v>9.5238095238095344E-2</v>
      </c>
      <c r="EJ285" s="131"/>
      <c r="EK285" s="59"/>
      <c r="EL285" s="59"/>
      <c r="EM285" s="59"/>
      <c r="EN285" s="600"/>
      <c r="EO285" s="149">
        <f>EO277/EI277-1</f>
        <v>2.8985507246376718E-2</v>
      </c>
      <c r="EP285" s="131"/>
      <c r="EQ285" s="59"/>
      <c r="ER285" s="59"/>
      <c r="ES285" s="59"/>
      <c r="ET285" s="59"/>
      <c r="EU285" s="149">
        <f>EU277/EO277-1</f>
        <v>1.4084507042253502E-2</v>
      </c>
      <c r="EV285" s="131"/>
      <c r="EW285" s="59"/>
      <c r="EX285" s="59"/>
      <c r="EY285" s="59"/>
      <c r="EZ285" s="59"/>
      <c r="FA285" s="149">
        <f>FA277/EU277-1</f>
        <v>4.6903490844202755E-2</v>
      </c>
      <c r="FB285" s="131"/>
      <c r="FC285" s="59"/>
      <c r="FD285" s="59"/>
      <c r="FE285" s="59"/>
      <c r="FF285" s="59"/>
      <c r="FG285" s="149">
        <f>FG277/FA277-1</f>
        <v>4.3195062513378124E-2</v>
      </c>
      <c r="FH285" s="131"/>
      <c r="FI285" s="59"/>
      <c r="FJ285" s="59"/>
      <c r="FK285" s="59"/>
      <c r="FL285" s="59"/>
      <c r="FM285" s="149">
        <f>FM277/FG277-1</f>
        <v>4.3596411085425446E-2</v>
      </c>
      <c r="FQ285"/>
      <c r="FR285"/>
      <c r="FS285"/>
      <c r="FT285"/>
      <c r="FU285"/>
      <c r="FV285"/>
      <c r="GB285" s="24"/>
      <c r="GC285" s="24"/>
      <c r="GD285" s="24"/>
      <c r="GE285" s="24"/>
      <c r="GF285" s="24"/>
      <c r="GG285" s="24"/>
      <c r="GH285" s="24"/>
      <c r="GI285" s="24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</row>
    <row r="286" spans="1:274" s="60" customFormat="1" hidden="1" outlineLevel="1" x14ac:dyDescent="0.2">
      <c r="A286" s="244" t="s">
        <v>572</v>
      </c>
      <c r="B286" s="476"/>
      <c r="C286" s="406"/>
      <c r="D286" s="406"/>
      <c r="E286" s="406"/>
      <c r="F286" s="406"/>
      <c r="G286" s="406"/>
      <c r="H286" s="406"/>
      <c r="I286" s="406"/>
      <c r="J286" s="59"/>
      <c r="K286" s="59"/>
      <c r="L286" s="59"/>
      <c r="M286" s="59"/>
      <c r="N286" s="244"/>
      <c r="O286" s="59"/>
      <c r="P286" s="59"/>
      <c r="Q286" s="59"/>
      <c r="R286" s="59"/>
      <c r="S286" s="59"/>
      <c r="T286" s="244"/>
      <c r="U286" s="94">
        <f t="shared" si="147"/>
        <v>0.26098535286284963</v>
      </c>
      <c r="V286" s="94">
        <f t="shared" si="147"/>
        <v>0.13584905660377355</v>
      </c>
      <c r="W286" s="94">
        <f t="shared" si="147"/>
        <v>0.11084337349397599</v>
      </c>
      <c r="X286" s="94">
        <f t="shared" si="147"/>
        <v>0.1079136690647482</v>
      </c>
      <c r="Y286" s="94">
        <f t="shared" si="147"/>
        <v>0.1079136690647482</v>
      </c>
      <c r="Z286" s="244"/>
      <c r="AA286" s="59"/>
      <c r="AB286" s="59"/>
      <c r="AC286" s="59"/>
      <c r="AD286" s="59"/>
      <c r="AE286" s="94">
        <f>AE278/Y278-1</f>
        <v>0.11688311688311681</v>
      </c>
      <c r="AF286" s="59"/>
      <c r="AG286" s="59"/>
      <c r="AH286" s="59"/>
      <c r="AI286" s="59"/>
      <c r="AJ286" s="59"/>
      <c r="AK286" s="94">
        <f>AK278/AE278-1</f>
        <v>-0.14050387596899228</v>
      </c>
      <c r="AL286" s="244"/>
      <c r="AM286" s="59"/>
      <c r="AN286" s="59"/>
      <c r="AO286" s="59"/>
      <c r="AP286" s="59"/>
      <c r="AQ286" s="94">
        <f>AQ278/AK278-1</f>
        <v>0.12063134160090194</v>
      </c>
      <c r="AR286" s="244"/>
      <c r="AS286" s="59"/>
      <c r="AT286" s="59"/>
      <c r="AU286" s="59"/>
      <c r="AV286" s="59"/>
      <c r="AW286" s="94">
        <f>AW278/AQ278-1</f>
        <v>0.15191146881287731</v>
      </c>
      <c r="AX286" s="244"/>
      <c r="AY286" s="59"/>
      <c r="AZ286" s="59"/>
      <c r="BA286" s="59"/>
      <c r="BB286" s="59"/>
      <c r="BC286" s="94">
        <f>BC278/AW278-1</f>
        <v>7.4235807860262071E-2</v>
      </c>
      <c r="BD286" s="244"/>
      <c r="BE286" s="59"/>
      <c r="BF286" s="59"/>
      <c r="BG286" s="59"/>
      <c r="BH286" s="59"/>
      <c r="BI286" s="94">
        <f>BI278/BC278-1</f>
        <v>-5.5284552845528467E-2</v>
      </c>
      <c r="BJ286" s="244"/>
      <c r="BK286" s="59"/>
      <c r="BL286" s="59"/>
      <c r="BM286" s="59"/>
      <c r="BN286" s="59"/>
      <c r="BO286" s="94">
        <f>BO278/BI278-1</f>
        <v>-0.2117039586919105</v>
      </c>
      <c r="BP286" s="244"/>
      <c r="BQ286" s="59"/>
      <c r="BR286" s="59"/>
      <c r="BS286" s="59"/>
      <c r="BT286" s="59"/>
      <c r="BU286" s="94">
        <f>BU278/BO278-1</f>
        <v>-0.17358078602620086</v>
      </c>
      <c r="BV286" s="244"/>
      <c r="BW286" s="59"/>
      <c r="BX286" s="59"/>
      <c r="BY286" s="59"/>
      <c r="BZ286" s="59"/>
      <c r="CA286" s="94">
        <f>CA278/BU278-1</f>
        <v>0.13210039630118886</v>
      </c>
      <c r="CB286" s="244"/>
      <c r="CC286" s="59"/>
      <c r="CD286" s="59"/>
      <c r="CE286" s="59"/>
      <c r="CF286" s="59"/>
      <c r="CG286" s="149"/>
      <c r="CH286" s="244"/>
      <c r="CI286" s="59"/>
      <c r="CJ286" s="59"/>
      <c r="CK286" s="59"/>
      <c r="CL286" s="59"/>
      <c r="CM286" s="149"/>
      <c r="CN286" s="244"/>
      <c r="CO286" s="59"/>
      <c r="CP286" s="59"/>
      <c r="CQ286" s="59"/>
      <c r="CR286" s="59"/>
      <c r="CS286" s="149"/>
      <c r="CT286" s="131"/>
      <c r="CU286" s="59"/>
      <c r="CV286" s="59"/>
      <c r="CW286" s="59"/>
      <c r="CX286" s="59"/>
      <c r="CY286" s="149"/>
      <c r="CZ286" s="131"/>
      <c r="DA286" s="59"/>
      <c r="DB286" s="59"/>
      <c r="DC286" s="59"/>
      <c r="DD286" s="59"/>
      <c r="DE286" s="149"/>
      <c r="DF286" s="131"/>
      <c r="DG286" s="59"/>
      <c r="DH286" s="59"/>
      <c r="DI286" s="59"/>
      <c r="DJ286" s="59"/>
      <c r="DK286" s="149"/>
      <c r="DL286" s="131"/>
      <c r="DM286" s="59"/>
      <c r="DN286" s="59"/>
      <c r="DO286" s="59"/>
      <c r="DP286" s="59"/>
      <c r="DQ286" s="149"/>
      <c r="DR286" s="131"/>
      <c r="DS286" s="59"/>
      <c r="DT286" s="59"/>
      <c r="DU286" s="59"/>
      <c r="DV286" s="59"/>
      <c r="DW286" s="149"/>
      <c r="DX286" s="131"/>
      <c r="DY286" s="59"/>
      <c r="DZ286" s="59"/>
      <c r="EA286" s="59"/>
      <c r="EB286" s="59"/>
      <c r="EC286" s="149"/>
      <c r="ED286" s="131"/>
      <c r="EE286" s="59"/>
      <c r="EF286" s="59"/>
      <c r="EG286" s="59"/>
      <c r="EH286" s="59"/>
      <c r="EI286" s="149"/>
      <c r="EJ286" s="131"/>
      <c r="EK286" s="59"/>
      <c r="EL286" s="59"/>
      <c r="EM286" s="59"/>
      <c r="EN286" s="600"/>
      <c r="EO286" s="149"/>
      <c r="EP286" s="131"/>
      <c r="EQ286" s="59"/>
      <c r="ER286" s="59"/>
      <c r="ES286" s="59"/>
      <c r="ET286" s="59"/>
      <c r="EU286" s="149"/>
      <c r="EV286" s="131"/>
      <c r="EW286" s="59"/>
      <c r="EX286" s="59"/>
      <c r="EY286" s="59"/>
      <c r="EZ286" s="59"/>
      <c r="FA286" s="149"/>
      <c r="FB286" s="131"/>
      <c r="FC286" s="59"/>
      <c r="FD286" s="59"/>
      <c r="FE286" s="59"/>
      <c r="FF286" s="59"/>
      <c r="FG286" s="149"/>
      <c r="FH286" s="131"/>
      <c r="FI286" s="59"/>
      <c r="FJ286" s="59"/>
      <c r="FK286" s="59"/>
      <c r="FL286" s="59"/>
      <c r="FM286" s="149"/>
      <c r="FQ286"/>
      <c r="FR286"/>
      <c r="FS286"/>
      <c r="FT286"/>
      <c r="FU286"/>
      <c r="FV286"/>
      <c r="GB286" s="24"/>
      <c r="GC286" s="24"/>
      <c r="GD286" s="24"/>
      <c r="GE286" s="24"/>
      <c r="GF286" s="24"/>
      <c r="GG286" s="24"/>
      <c r="GH286" s="24"/>
      <c r="GI286" s="24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</row>
    <row r="287" spans="1:274" s="60" customFormat="1" hidden="1" outlineLevel="1" x14ac:dyDescent="0.2">
      <c r="A287" s="244" t="s">
        <v>178</v>
      </c>
      <c r="B287" s="476"/>
      <c r="C287" s="406"/>
      <c r="D287" s="406"/>
      <c r="E287" s="406"/>
      <c r="F287" s="406"/>
      <c r="G287" s="406"/>
      <c r="H287" s="406"/>
      <c r="I287" s="406"/>
      <c r="J287" s="59"/>
      <c r="K287" s="59"/>
      <c r="L287" s="59"/>
      <c r="M287" s="59"/>
      <c r="N287" s="244"/>
      <c r="O287" s="59"/>
      <c r="P287" s="59"/>
      <c r="Q287" s="59"/>
      <c r="R287" s="59"/>
      <c r="S287" s="59"/>
      <c r="T287" s="244"/>
      <c r="U287" s="94">
        <f t="shared" ref="U287:Y289" si="148">U280/O280-1</f>
        <v>0.33522434244455912</v>
      </c>
      <c r="V287" s="94">
        <f t="shared" si="148"/>
        <v>0.37227722772277239</v>
      </c>
      <c r="W287" s="94">
        <f t="shared" si="148"/>
        <v>0.27439824945295399</v>
      </c>
      <c r="X287" s="94">
        <f t="shared" si="148"/>
        <v>0.33091993185689939</v>
      </c>
      <c r="Y287" s="94">
        <f t="shared" si="148"/>
        <v>0.33091993185689939</v>
      </c>
      <c r="Z287" s="244"/>
      <c r="AA287" s="59"/>
      <c r="AB287" s="59"/>
      <c r="AC287" s="59"/>
      <c r="AD287" s="59"/>
      <c r="AE287" s="94">
        <f>AE280/Y280-1</f>
        <v>0.27039999999999997</v>
      </c>
      <c r="AF287" s="59"/>
      <c r="AG287" s="59"/>
      <c r="AH287" s="59"/>
      <c r="AI287" s="59"/>
      <c r="AJ287" s="59"/>
      <c r="AK287" s="94">
        <f>AK280/AE280-1</f>
        <v>0.21561712846347603</v>
      </c>
      <c r="AL287" s="244"/>
      <c r="AM287" s="59"/>
      <c r="AN287" s="59"/>
      <c r="AO287" s="59"/>
      <c r="AP287" s="59"/>
      <c r="AQ287" s="94">
        <f>AQ280/AK280-1</f>
        <v>0.19788644840447578</v>
      </c>
      <c r="AR287" s="244"/>
      <c r="AS287" s="59"/>
      <c r="AT287" s="59"/>
      <c r="AU287" s="59"/>
      <c r="AV287" s="59"/>
      <c r="AW287" s="94">
        <f>AW280/AQ280-1</f>
        <v>0.15032001383843618</v>
      </c>
      <c r="AX287" s="244"/>
      <c r="AY287" s="59"/>
      <c r="AZ287" s="59"/>
      <c r="BA287" s="59"/>
      <c r="BB287" s="59"/>
      <c r="BC287" s="94">
        <f>BC280/AW280-1</f>
        <v>0.19187969924812021</v>
      </c>
      <c r="BD287" s="244"/>
      <c r="BE287" s="59"/>
      <c r="BF287" s="59"/>
      <c r="BG287" s="59"/>
      <c r="BH287" s="59"/>
      <c r="BI287" s="94">
        <f>BI280/BC280-1</f>
        <v>0.11771385314155935</v>
      </c>
      <c r="BJ287" s="244"/>
      <c r="BK287" s="59"/>
      <c r="BL287" s="59"/>
      <c r="BM287" s="59"/>
      <c r="BN287" s="59"/>
      <c r="BO287" s="94">
        <f>BO280/BI280-1</f>
        <v>6.4341347781916802E-2</v>
      </c>
      <c r="BP287" s="244"/>
      <c r="BQ287" s="59"/>
      <c r="BR287" s="59"/>
      <c r="BS287" s="59"/>
      <c r="BT287" s="59"/>
      <c r="BU287" s="94">
        <f>BU280/BO280-1</f>
        <v>0.21285396118358246</v>
      </c>
      <c r="BV287" s="244"/>
      <c r="BW287" s="59"/>
      <c r="BX287" s="59"/>
      <c r="BY287" s="59"/>
      <c r="BZ287" s="59"/>
      <c r="CA287" s="94">
        <f>CA280/BU280-1</f>
        <v>0.14672962574326687</v>
      </c>
      <c r="CB287" s="244"/>
      <c r="CC287" s="59"/>
      <c r="CD287" s="59"/>
      <c r="CE287" s="59"/>
      <c r="CF287" s="59"/>
      <c r="CG287" s="149">
        <f>CG280/CA280-1</f>
        <v>0.10050327893853894</v>
      </c>
      <c r="CH287" s="244"/>
      <c r="CI287" s="59"/>
      <c r="CJ287" s="59"/>
      <c r="CK287" s="59"/>
      <c r="CL287" s="59"/>
      <c r="CM287" s="149">
        <f>CM280/CG280-1</f>
        <v>0.25623614190687372</v>
      </c>
      <c r="CN287" s="244"/>
      <c r="CO287" s="59"/>
      <c r="CP287" s="59"/>
      <c r="CQ287" s="59"/>
      <c r="CR287" s="59"/>
      <c r="CS287" s="149">
        <f>CS280/CM280-1</f>
        <v>0.13662437948152228</v>
      </c>
      <c r="CT287" s="131"/>
      <c r="CU287" s="59"/>
      <c r="CV287" s="59"/>
      <c r="CW287" s="59"/>
      <c r="CX287" s="59"/>
      <c r="CY287" s="149">
        <f>CY280/CS280-1</f>
        <v>6.7598388896976669E-2</v>
      </c>
      <c r="CZ287" s="131"/>
      <c r="DA287" s="59"/>
      <c r="DB287" s="59"/>
      <c r="DC287" s="59"/>
      <c r="DD287" s="59"/>
      <c r="DE287" s="149">
        <f>DE280/CY280-1</f>
        <v>0.27272727272727271</v>
      </c>
      <c r="DF287" s="131"/>
      <c r="DG287" s="59"/>
      <c r="DH287" s="59"/>
      <c r="DI287" s="59"/>
      <c r="DJ287" s="59"/>
      <c r="DK287" s="149">
        <f>DK280/DE280-1</f>
        <v>7.1428571428571397E-2</v>
      </c>
      <c r="DL287" s="131"/>
      <c r="DM287" s="59"/>
      <c r="DN287" s="59"/>
      <c r="DO287" s="59"/>
      <c r="DP287" s="59"/>
      <c r="DQ287" s="149">
        <f>DQ280/DK280-1</f>
        <v>6.6666666666666652E-2</v>
      </c>
      <c r="DR287" s="131"/>
      <c r="DS287" s="59"/>
      <c r="DT287" s="59"/>
      <c r="DU287" s="59"/>
      <c r="DV287" s="59"/>
      <c r="DW287" s="149">
        <f>DW280/DQ280-1</f>
        <v>9.375E-2</v>
      </c>
      <c r="DX287" s="131"/>
      <c r="DY287" s="59"/>
      <c r="DZ287" s="59"/>
      <c r="EA287" s="59"/>
      <c r="EB287" s="59"/>
      <c r="EC287" s="149">
        <f>EC280/DW280-1</f>
        <v>2.857142857142847E-2</v>
      </c>
      <c r="ED287" s="131"/>
      <c r="EE287" s="59"/>
      <c r="EF287" s="59"/>
      <c r="EG287" s="59"/>
      <c r="EH287" s="59"/>
      <c r="EI287" s="149">
        <f>EI280/EC280-1</f>
        <v>5.555555555555558E-2</v>
      </c>
      <c r="EJ287" s="131"/>
      <c r="EK287" s="59"/>
      <c r="EL287" s="59"/>
      <c r="EM287" s="59"/>
      <c r="EN287" s="600"/>
      <c r="EO287" s="149">
        <f>EO280/EI280-1</f>
        <v>5.2631578947368363E-2</v>
      </c>
      <c r="EP287" s="131"/>
      <c r="EQ287" s="59"/>
      <c r="ER287" s="59"/>
      <c r="ES287" s="59"/>
      <c r="ET287" s="59"/>
      <c r="EU287" s="149">
        <f>EU280/EO280-1</f>
        <v>0</v>
      </c>
      <c r="EV287" s="131"/>
      <c r="EW287" s="59"/>
      <c r="EX287" s="59"/>
      <c r="EY287" s="59"/>
      <c r="EZ287" s="59"/>
      <c r="FA287" s="149">
        <f>FA280/EU280-1</f>
        <v>4.6903490844202755E-2</v>
      </c>
      <c r="FB287" s="131"/>
      <c r="FC287" s="59"/>
      <c r="FD287" s="59"/>
      <c r="FE287" s="59"/>
      <c r="FF287" s="59"/>
      <c r="FG287" s="149">
        <f>FG280/FA280-1</f>
        <v>4.3195062513378124E-2</v>
      </c>
      <c r="FH287" s="131"/>
      <c r="FI287" s="59"/>
      <c r="FJ287" s="59"/>
      <c r="FK287" s="59"/>
      <c r="FL287" s="59"/>
      <c r="FM287" s="149">
        <f>FM280/FG280-1</f>
        <v>4.3596411085425668E-2</v>
      </c>
      <c r="FQ287"/>
      <c r="FR287"/>
      <c r="FS287"/>
      <c r="FT287"/>
      <c r="FU287"/>
      <c r="FV287"/>
      <c r="GB287" s="24"/>
      <c r="GC287" s="24"/>
      <c r="GD287" s="24"/>
      <c r="GE287" s="24"/>
      <c r="GF287" s="24"/>
      <c r="GG287" s="24"/>
      <c r="GH287" s="24"/>
      <c r="GI287" s="24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</row>
    <row r="288" spans="1:274" s="60" customFormat="1" hidden="1" outlineLevel="1" x14ac:dyDescent="0.2">
      <c r="A288" s="244" t="s">
        <v>179</v>
      </c>
      <c r="B288" s="476"/>
      <c r="C288" s="406"/>
      <c r="D288" s="406"/>
      <c r="E288" s="406"/>
      <c r="F288" s="406"/>
      <c r="G288" s="406"/>
      <c r="H288" s="406"/>
      <c r="I288" s="406"/>
      <c r="J288" s="59"/>
      <c r="K288" s="59"/>
      <c r="L288" s="59"/>
      <c r="M288" s="59"/>
      <c r="N288" s="244"/>
      <c r="O288" s="59"/>
      <c r="P288" s="59"/>
      <c r="Q288" s="59"/>
      <c r="R288" s="59"/>
      <c r="S288" s="59"/>
      <c r="T288" s="244"/>
      <c r="U288" s="94">
        <f t="shared" si="148"/>
        <v>0.25611325611325619</v>
      </c>
      <c r="V288" s="94">
        <f t="shared" si="148"/>
        <v>0.16628440366972486</v>
      </c>
      <c r="W288" s="94">
        <f t="shared" si="148"/>
        <v>0.18620302860347726</v>
      </c>
      <c r="X288" s="94">
        <f t="shared" si="148"/>
        <v>0.17246753246753244</v>
      </c>
      <c r="Y288" s="94">
        <f t="shared" si="148"/>
        <v>0.17246753246753244</v>
      </c>
      <c r="Z288" s="244"/>
      <c r="AA288" s="59"/>
      <c r="AB288" s="59"/>
      <c r="AC288" s="59"/>
      <c r="AD288" s="59"/>
      <c r="AE288" s="94">
        <f>AE281/Y281-1</f>
        <v>0.24590163934426235</v>
      </c>
      <c r="AF288" s="59"/>
      <c r="AG288" s="59"/>
      <c r="AH288" s="59"/>
      <c r="AI288" s="59"/>
      <c r="AJ288" s="59"/>
      <c r="AK288" s="94">
        <f>AK281/AE281-1</f>
        <v>0.26813655761024191</v>
      </c>
      <c r="AL288" s="244"/>
      <c r="AM288" s="59"/>
      <c r="AN288" s="59"/>
      <c r="AO288" s="59"/>
      <c r="AP288" s="59"/>
      <c r="AQ288" s="94">
        <f>AQ281/AK281-1</f>
        <v>0.11301177790241157</v>
      </c>
      <c r="AR288" s="244"/>
      <c r="AS288" s="59"/>
      <c r="AT288" s="59"/>
      <c r="AU288" s="59"/>
      <c r="AV288" s="59"/>
      <c r="AW288" s="94">
        <f>AW281/AQ281-1</f>
        <v>-2.0156210632401583E-3</v>
      </c>
      <c r="AX288" s="244"/>
      <c r="AY288" s="59"/>
      <c r="AZ288" s="59"/>
      <c r="BA288" s="59"/>
      <c r="BB288" s="59"/>
      <c r="BC288" s="94">
        <f>BC281/AW281-1</f>
        <v>9.7955061853067349E-2</v>
      </c>
      <c r="BD288" s="244"/>
      <c r="BE288" s="59"/>
      <c r="BF288" s="59"/>
      <c r="BG288" s="59"/>
      <c r="BH288" s="59"/>
      <c r="BI288" s="94">
        <f>BI281/BC281-1</f>
        <v>0.13267417797194758</v>
      </c>
      <c r="BJ288" s="244"/>
      <c r="BK288" s="59"/>
      <c r="BL288" s="59"/>
      <c r="BM288" s="59"/>
      <c r="BN288" s="59"/>
      <c r="BO288" s="94">
        <f>BO281/BI281-1</f>
        <v>2.2533495736906106E-2</v>
      </c>
      <c r="BP288" s="244"/>
      <c r="BQ288" s="59"/>
      <c r="BR288" s="59"/>
      <c r="BS288" s="59"/>
      <c r="BT288" s="59"/>
      <c r="BU288" s="94">
        <f>BU281/BO281-1</f>
        <v>-6.5912249354774688E-2</v>
      </c>
      <c r="BV288" s="244"/>
      <c r="BW288" s="59"/>
      <c r="BX288" s="59"/>
      <c r="BY288" s="59"/>
      <c r="BZ288" s="59"/>
      <c r="CA288" s="94">
        <f>CA281/BU281-1</f>
        <v>0.32858660998937306</v>
      </c>
      <c r="CB288" s="244"/>
      <c r="CC288" s="59"/>
      <c r="CD288" s="59"/>
      <c r="CE288" s="59"/>
      <c r="CF288" s="59"/>
      <c r="CG288" s="149">
        <f>CG281/CA281-1</f>
        <v>-3.0395136778115228E-3</v>
      </c>
      <c r="CH288" s="244"/>
      <c r="CI288" s="59"/>
      <c r="CJ288" s="59"/>
      <c r="CK288" s="59"/>
      <c r="CL288" s="59"/>
      <c r="CM288" s="149">
        <f>CM281/CG281-1</f>
        <v>0.25144415917843399</v>
      </c>
      <c r="CN288" s="244"/>
      <c r="CO288" s="59"/>
      <c r="CP288" s="59"/>
      <c r="CQ288" s="59"/>
      <c r="CR288" s="59"/>
      <c r="CS288" s="149">
        <f>CS281/CM281-1</f>
        <v>6.4751891268111317E-2</v>
      </c>
      <c r="CT288" s="131"/>
      <c r="CU288" s="59"/>
      <c r="CV288" s="59"/>
      <c r="CW288" s="59"/>
      <c r="CX288" s="59"/>
      <c r="CY288" s="149">
        <f>CY281/CS281-1</f>
        <v>-3.6608863198458574E-2</v>
      </c>
      <c r="CZ288" s="131"/>
      <c r="DA288" s="59"/>
      <c r="DB288" s="59"/>
      <c r="DC288" s="59"/>
      <c r="DD288" s="59"/>
      <c r="DE288" s="149">
        <f>DE281/CY281-1</f>
        <v>0.5</v>
      </c>
      <c r="DF288" s="131"/>
      <c r="DG288" s="59"/>
      <c r="DH288" s="59"/>
      <c r="DI288" s="59"/>
      <c r="DJ288" s="59"/>
      <c r="DK288" s="149">
        <f>DK281/DE281-1</f>
        <v>-0.16666666666666663</v>
      </c>
      <c r="DL288" s="131"/>
      <c r="DM288" s="59"/>
      <c r="DN288" s="59"/>
      <c r="DO288" s="59"/>
      <c r="DP288" s="59"/>
      <c r="DQ288" s="149">
        <f>DQ281/DK281-1</f>
        <v>0.10000000000000009</v>
      </c>
      <c r="DR288" s="131"/>
      <c r="DS288" s="59"/>
      <c r="DT288" s="59"/>
      <c r="DU288" s="59"/>
      <c r="DV288" s="59"/>
      <c r="DW288" s="149">
        <f>DW281/DQ281-1</f>
        <v>0</v>
      </c>
      <c r="DX288" s="131"/>
      <c r="DY288" s="59"/>
      <c r="DZ288" s="59"/>
      <c r="EA288" s="59"/>
      <c r="EB288" s="59"/>
      <c r="EC288" s="149">
        <f>EC281/DW281-1</f>
        <v>0</v>
      </c>
      <c r="ED288" s="131"/>
      <c r="EE288" s="59"/>
      <c r="EF288" s="59"/>
      <c r="EG288" s="59"/>
      <c r="EH288" s="59"/>
      <c r="EI288" s="149">
        <f>EI281/EC281-1</f>
        <v>0.18181818181818188</v>
      </c>
      <c r="EJ288" s="131"/>
      <c r="EK288" s="59"/>
      <c r="EL288" s="59"/>
      <c r="EM288" s="59"/>
      <c r="EN288" s="600"/>
      <c r="EO288" s="149">
        <f>EO281/EI281-1</f>
        <v>0</v>
      </c>
      <c r="EP288" s="131"/>
      <c r="EQ288" s="59"/>
      <c r="ER288" s="59"/>
      <c r="ES288" s="59"/>
      <c r="ET288" s="59"/>
      <c r="EU288" s="149">
        <f>EU281/EO281-1</f>
        <v>0</v>
      </c>
      <c r="EV288" s="131"/>
      <c r="EW288" s="59"/>
      <c r="EX288" s="59"/>
      <c r="EY288" s="59"/>
      <c r="EZ288" s="59"/>
      <c r="FA288" s="149">
        <f>FA281/EU281-1</f>
        <v>4.6903490844202755E-2</v>
      </c>
      <c r="FB288" s="131"/>
      <c r="FC288" s="59"/>
      <c r="FD288" s="59"/>
      <c r="FE288" s="59"/>
      <c r="FF288" s="59"/>
      <c r="FG288" s="149">
        <f>FG281/FA281-1</f>
        <v>4.3195062513378124E-2</v>
      </c>
      <c r="FH288" s="131"/>
      <c r="FI288" s="59"/>
      <c r="FJ288" s="59"/>
      <c r="FK288" s="59"/>
      <c r="FL288" s="59"/>
      <c r="FM288" s="149">
        <f>FM281/FG281-1</f>
        <v>4.3596411085425668E-2</v>
      </c>
      <c r="FQ288"/>
      <c r="FR288"/>
      <c r="FS288"/>
      <c r="FT288"/>
      <c r="FU288"/>
      <c r="FV288"/>
      <c r="GB288" s="24"/>
      <c r="GC288" s="24"/>
      <c r="GD288" s="24"/>
      <c r="GE288" s="24"/>
      <c r="GF288" s="24"/>
      <c r="GG288" s="24"/>
      <c r="GH288" s="24"/>
      <c r="GI288" s="24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</row>
    <row r="289" spans="1:274" s="60" customFormat="1" hidden="1" outlineLevel="1" x14ac:dyDescent="0.2">
      <c r="A289" s="244" t="s">
        <v>698</v>
      </c>
      <c r="B289" s="476"/>
      <c r="C289" s="406"/>
      <c r="D289" s="406"/>
      <c r="E289" s="406"/>
      <c r="F289" s="406"/>
      <c r="G289" s="406"/>
      <c r="H289" s="406"/>
      <c r="I289" s="406"/>
      <c r="J289" s="59"/>
      <c r="K289" s="59"/>
      <c r="L289" s="59"/>
      <c r="M289" s="59"/>
      <c r="N289" s="244"/>
      <c r="O289" s="59"/>
      <c r="P289" s="59"/>
      <c r="Q289" s="59"/>
      <c r="R289" s="59"/>
      <c r="S289" s="59"/>
      <c r="T289" s="244"/>
      <c r="U289" s="94">
        <f t="shared" si="148"/>
        <v>0.37477705112960757</v>
      </c>
      <c r="V289" s="94">
        <f t="shared" si="148"/>
        <v>0.34490896830748485</v>
      </c>
      <c r="W289" s="94">
        <f t="shared" si="148"/>
        <v>0.3291052664303924</v>
      </c>
      <c r="X289" s="94">
        <f t="shared" si="148"/>
        <v>0.36909133988863885</v>
      </c>
      <c r="Y289" s="94">
        <f t="shared" si="148"/>
        <v>0.36909133988863885</v>
      </c>
      <c r="Z289" s="244"/>
      <c r="AA289" s="59"/>
      <c r="AB289" s="59"/>
      <c r="AC289" s="59"/>
      <c r="AD289" s="59"/>
      <c r="AE289" s="94">
        <f>AE282/Y282-1</f>
        <v>0.27335265867693503</v>
      </c>
      <c r="AF289" s="59"/>
      <c r="AG289" s="59"/>
      <c r="AH289" s="59"/>
      <c r="AI289" s="59"/>
      <c r="AJ289" s="59"/>
      <c r="AK289" s="94">
        <f>AK282/AE282-1</f>
        <v>0.25045020556556019</v>
      </c>
      <c r="AL289" s="244"/>
      <c r="AM289" s="59"/>
      <c r="AN289" s="59"/>
      <c r="AO289" s="59"/>
      <c r="AP289" s="59"/>
      <c r="AQ289" s="94">
        <f>AQ282/AK282-1</f>
        <v>0.19015270909189708</v>
      </c>
      <c r="AR289" s="244"/>
      <c r="AS289" s="59"/>
      <c r="AT289" s="59"/>
      <c r="AU289" s="59"/>
      <c r="AV289" s="59"/>
      <c r="AW289" s="94">
        <f>AW282/AQ282-1</f>
        <v>-5.6621004566209998E-2</v>
      </c>
      <c r="AX289" s="244"/>
      <c r="AY289" s="59"/>
      <c r="AZ289" s="59"/>
      <c r="BA289" s="59"/>
      <c r="BB289" s="59"/>
      <c r="BC289" s="94">
        <f>BC282/AW282-1</f>
        <v>3.8891577928364063E-2</v>
      </c>
      <c r="BD289" s="244"/>
      <c r="BE289" s="59"/>
      <c r="BF289" s="59"/>
      <c r="BG289" s="59"/>
      <c r="BH289" s="59"/>
      <c r="BI289" s="94">
        <f>BI282/BC282-1</f>
        <v>-2.1455028303864698E-2</v>
      </c>
      <c r="BJ289" s="244"/>
      <c r="BK289" s="59"/>
      <c r="BL289" s="59"/>
      <c r="BM289" s="59"/>
      <c r="BN289" s="59"/>
      <c r="BO289" s="94">
        <f>BO282/BI282-1</f>
        <v>-3.2281102699614372E-2</v>
      </c>
      <c r="BP289" s="244"/>
      <c r="BQ289" s="59"/>
      <c r="BR289" s="59"/>
      <c r="BS289" s="59"/>
      <c r="BT289" s="59"/>
      <c r="BU289" s="94">
        <f>BU282/BO282-1</f>
        <v>2.4797047970479769E-2</v>
      </c>
      <c r="BV289" s="244"/>
      <c r="BW289" s="94"/>
      <c r="BX289" s="59"/>
      <c r="BY289" s="59"/>
      <c r="BZ289" s="59"/>
      <c r="CA289" s="94">
        <f>CA282/BU282-1</f>
        <v>0.19717701281866629</v>
      </c>
      <c r="CB289" s="244"/>
      <c r="CC289" s="59"/>
      <c r="CD289" s="59"/>
      <c r="CE289" s="59"/>
      <c r="CF289" s="59"/>
      <c r="CG289" s="149">
        <f>CG282/CA282-1</f>
        <v>0.125541385948027</v>
      </c>
      <c r="CH289" s="244"/>
      <c r="CI289" s="59"/>
      <c r="CJ289" s="59"/>
      <c r="CK289" s="59"/>
      <c r="CL289" s="59"/>
      <c r="CM289" s="149">
        <f>CM282/CG282-1</f>
        <v>0.33030481178629323</v>
      </c>
      <c r="CN289" s="244"/>
      <c r="CO289" s="59"/>
      <c r="CP289" s="59"/>
      <c r="CQ289" s="59"/>
      <c r="CR289" s="59"/>
      <c r="CS289" s="149">
        <f>CS282/CM282-1</f>
        <v>0.12800974904250473</v>
      </c>
      <c r="CT289" s="131"/>
      <c r="CU289" s="59"/>
      <c r="CV289" s="59"/>
      <c r="CW289" s="59"/>
      <c r="CX289" s="59"/>
      <c r="CY289" s="149">
        <f>CY282/CS282-1</f>
        <v>1.5777664335830277E-2</v>
      </c>
      <c r="CZ289" s="131"/>
      <c r="DA289" s="59"/>
      <c r="DB289" s="59"/>
      <c r="DC289" s="59"/>
      <c r="DD289" s="59"/>
      <c r="DE289" s="149">
        <f>DE282/CY282-1</f>
        <v>0.22214300740983139</v>
      </c>
      <c r="DF289" s="131"/>
      <c r="DG289" s="59"/>
      <c r="DH289" s="59"/>
      <c r="DI289" s="59"/>
      <c r="DJ289" s="59"/>
      <c r="DK289" s="149">
        <f>DK282/DE282-1</f>
        <v>3.2810871290726684E-2</v>
      </c>
      <c r="DL289" s="131"/>
      <c r="DM289" s="59"/>
      <c r="DN289" s="59"/>
      <c r="DO289" s="59"/>
      <c r="DP289" s="59"/>
      <c r="DQ289" s="149">
        <f>DQ282/DK282-1</f>
        <v>6.9992550168517909E-2</v>
      </c>
      <c r="DR289" s="131"/>
      <c r="DS289" s="59"/>
      <c r="DT289" s="59"/>
      <c r="DU289" s="59"/>
      <c r="DV289" s="59"/>
      <c r="DW289" s="149">
        <f>DW282/DQ282-1</f>
        <v>3.8428829187752145E-2</v>
      </c>
      <c r="DX289" s="131"/>
      <c r="DY289" s="59"/>
      <c r="DZ289" s="59"/>
      <c r="EA289" s="59"/>
      <c r="EB289" s="59"/>
      <c r="EC289" s="149">
        <f>EC282/DW282-1</f>
        <v>1.6666666666666607E-2</v>
      </c>
      <c r="ED289" s="131"/>
      <c r="EE289" s="59"/>
      <c r="EF289" s="59"/>
      <c r="EG289" s="59"/>
      <c r="EH289" s="59"/>
      <c r="EI289" s="149">
        <f>EI282/EC282-1</f>
        <v>8.1967213114754189E-2</v>
      </c>
      <c r="EJ289" s="131"/>
      <c r="EK289" s="59"/>
      <c r="EL289" s="59"/>
      <c r="EM289" s="59"/>
      <c r="EN289" s="600"/>
      <c r="EO289" s="149">
        <f>EO282/EI282-1</f>
        <v>7.575757575757569E-2</v>
      </c>
      <c r="EP289" s="131"/>
      <c r="EQ289" s="59"/>
      <c r="ER289" s="59"/>
      <c r="ES289" s="59"/>
      <c r="ET289" s="59"/>
      <c r="EU289" s="149">
        <f>EU282/EO282-1</f>
        <v>-2.8169014084507005E-2</v>
      </c>
      <c r="EV289" s="131"/>
      <c r="EW289" s="59"/>
      <c r="EX289" s="59"/>
      <c r="EY289" s="59"/>
      <c r="EZ289" s="59"/>
      <c r="FA289" s="149">
        <f>FA282/EU282-1</f>
        <v>-5.1717852496193206E-2</v>
      </c>
      <c r="FB289" s="131"/>
      <c r="FC289" s="59"/>
      <c r="FD289" s="59"/>
      <c r="FE289" s="59"/>
      <c r="FF289" s="59"/>
      <c r="FG289" s="149">
        <f>FG282/FA282-1</f>
        <v>4.3195062513377902E-2</v>
      </c>
      <c r="FH289" s="131"/>
      <c r="FI289" s="59"/>
      <c r="FJ289" s="59"/>
      <c r="FK289" s="59"/>
      <c r="FL289" s="59"/>
      <c r="FM289" s="149">
        <f>FM282/FG282-1</f>
        <v>4.3596411085425668E-2</v>
      </c>
      <c r="FQ289"/>
      <c r="FR289"/>
      <c r="FS289"/>
      <c r="FT289"/>
      <c r="FU289"/>
      <c r="FV289"/>
      <c r="GB289" s="24"/>
      <c r="GC289" s="24"/>
      <c r="GD289" s="24"/>
      <c r="GE289" s="24"/>
      <c r="GF289" s="24"/>
      <c r="GG289" s="24"/>
      <c r="GH289" s="24"/>
      <c r="GI289" s="24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</row>
    <row r="290" spans="1:274" s="28" customFormat="1" ht="5.25" customHeight="1" collapsed="1" x14ac:dyDescent="0.2">
      <c r="A290" s="18"/>
      <c r="B290" s="595"/>
      <c r="C290" s="406" t="s">
        <v>945</v>
      </c>
      <c r="D290" s="406" t="s">
        <v>945</v>
      </c>
      <c r="E290" s="406" t="s">
        <v>945</v>
      </c>
      <c r="F290" s="406" t="s">
        <v>945</v>
      </c>
      <c r="G290" s="406" t="s">
        <v>945</v>
      </c>
      <c r="H290" s="406" t="s">
        <v>945</v>
      </c>
      <c r="I290" s="406" t="s">
        <v>945</v>
      </c>
      <c r="CG290" s="416"/>
      <c r="CM290" s="416"/>
      <c r="CS290" s="416"/>
      <c r="CY290" s="416"/>
      <c r="DE290" s="416"/>
      <c r="DK290" s="416"/>
      <c r="DQ290" s="416"/>
      <c r="DW290" s="416"/>
      <c r="EC290" s="416"/>
      <c r="EI290" s="416"/>
      <c r="EO290" s="416"/>
      <c r="EU290" s="416"/>
      <c r="FA290" s="416"/>
      <c r="FG290" s="416"/>
      <c r="FM290" s="416"/>
      <c r="FQ290"/>
      <c r="FR290"/>
      <c r="FS290"/>
      <c r="FT290"/>
      <c r="FU290"/>
      <c r="FV290"/>
      <c r="GB290" s="24"/>
      <c r="GC290" s="24"/>
      <c r="GD290" s="24"/>
      <c r="GE290" s="24"/>
      <c r="GF290" s="24"/>
      <c r="GG290" s="24"/>
      <c r="GH290" s="24"/>
      <c r="GI290" s="24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</row>
    <row r="291" spans="1:274" s="28" customFormat="1" ht="12.75" hidden="1" customHeight="1" outlineLevel="1" x14ac:dyDescent="0.2">
      <c r="A291" s="18" t="s">
        <v>177</v>
      </c>
      <c r="B291" s="595"/>
      <c r="C291" s="406"/>
      <c r="D291" s="406"/>
      <c r="E291" s="406"/>
      <c r="F291" s="406"/>
      <c r="G291" s="406"/>
      <c r="H291" s="406"/>
      <c r="I291" s="406"/>
      <c r="AW291" s="664">
        <f>(AW$277+AW278)*($CA291/($CA$277+$CA$278))</f>
        <v>11520.782279476842</v>
      </c>
      <c r="AX291" s="243"/>
      <c r="AY291" s="243"/>
      <c r="AZ291" s="243"/>
      <c r="BA291" s="243"/>
      <c r="BB291" s="243"/>
      <c r="BC291" s="664">
        <f>(BC$277+BC278)*($CA291/($CA$277+$CA$278))</f>
        <v>11499.398170911594</v>
      </c>
      <c r="BD291" s="243"/>
      <c r="BE291" s="243"/>
      <c r="BF291" s="243"/>
      <c r="BG291" s="243"/>
      <c r="BH291" s="243"/>
      <c r="BI291" s="664">
        <f>(BI$277+BI278)*($CA291/($CA$277+$CA$278))</f>
        <v>10587.384698593765</v>
      </c>
      <c r="BJ291" s="243"/>
      <c r="BK291" s="243"/>
      <c r="BL291" s="243"/>
      <c r="BM291" s="243"/>
      <c r="BN291" s="243"/>
      <c r="BO291" s="664">
        <f>(BO$277+BO278)*($CA291/($CA$277+$CA$278))</f>
        <v>9823.1841872357163</v>
      </c>
      <c r="BP291" s="243"/>
      <c r="BQ291" s="243"/>
      <c r="BR291" s="243"/>
      <c r="BS291" s="243"/>
      <c r="BT291" s="243"/>
      <c r="BU291" s="664">
        <f>(BU$277+BU278)*($CA291/($CA$277+$CA$278))</f>
        <v>9572.9526010423833</v>
      </c>
      <c r="BV291" s="305"/>
      <c r="BW291" s="305"/>
      <c r="BX291" s="305"/>
      <c r="BY291" s="305"/>
      <c r="BZ291" s="243">
        <f>CA291</f>
        <v>11445</v>
      </c>
      <c r="CA291" s="243">
        <v>11445</v>
      </c>
      <c r="CB291" s="305"/>
      <c r="CC291" s="305"/>
      <c r="CD291" s="243"/>
      <c r="CE291" s="243"/>
      <c r="CF291" s="243">
        <v>13534</v>
      </c>
      <c r="CG291" s="143">
        <f>CF291</f>
        <v>13534</v>
      </c>
      <c r="CH291" s="305"/>
      <c r="CI291" s="305"/>
      <c r="CJ291" s="305"/>
      <c r="CK291" s="305"/>
      <c r="CL291" s="59">
        <v>16902</v>
      </c>
      <c r="CM291" s="143">
        <f>CL291</f>
        <v>16902</v>
      </c>
      <c r="CN291" s="305"/>
      <c r="CO291" s="305"/>
      <c r="CP291" s="305"/>
      <c r="CQ291" s="305"/>
      <c r="CR291" s="59">
        <v>19465</v>
      </c>
      <c r="CS291" s="143">
        <f>CR291</f>
        <v>19465</v>
      </c>
      <c r="CT291" s="243"/>
      <c r="CU291" s="305"/>
      <c r="CV291" s="305"/>
      <c r="CW291" s="305"/>
      <c r="CX291" s="447">
        <v>20000</v>
      </c>
      <c r="CY291" s="143">
        <f>CX291</f>
        <v>20000</v>
      </c>
      <c r="CZ291" s="243"/>
      <c r="DA291" s="305"/>
      <c r="DB291" s="305"/>
      <c r="DC291" s="305"/>
      <c r="DD291" s="663">
        <v>24000</v>
      </c>
      <c r="DE291" s="143">
        <f t="shared" ref="DE291:DE300" si="149">DD291</f>
        <v>24000</v>
      </c>
      <c r="DF291" s="243"/>
      <c r="DG291" s="305"/>
      <c r="DH291" s="305"/>
      <c r="DI291" s="305"/>
      <c r="DJ291" s="663">
        <v>27000</v>
      </c>
      <c r="DK291" s="1044">
        <f t="shared" ref="DK291:DK299" si="150">DJ291</f>
        <v>27000</v>
      </c>
      <c r="DL291" s="243"/>
      <c r="DM291" s="305"/>
      <c r="DN291" s="305"/>
      <c r="DO291" s="305"/>
      <c r="DP291" s="663">
        <v>30000</v>
      </c>
      <c r="DQ291" s="1044">
        <f t="shared" ref="DQ291:DQ299" si="151">DP291</f>
        <v>30000</v>
      </c>
      <c r="DR291" s="243"/>
      <c r="DS291" s="305"/>
      <c r="DT291" s="305"/>
      <c r="DU291" s="305"/>
      <c r="DV291" s="663">
        <v>33000</v>
      </c>
      <c r="DW291" s="1044">
        <f t="shared" ref="DW291:DW299" si="152">DV291</f>
        <v>33000</v>
      </c>
      <c r="DX291" s="243"/>
      <c r="DY291" s="305"/>
      <c r="DZ291" s="305"/>
      <c r="EA291" s="305"/>
      <c r="EB291" s="1570">
        <v>32000</v>
      </c>
      <c r="EC291" s="1044">
        <f t="shared" ref="EC291:EC299" si="153">EB291</f>
        <v>32000</v>
      </c>
      <c r="ED291" s="243"/>
      <c r="EE291" s="305"/>
      <c r="EF291" s="305"/>
      <c r="EG291" s="305"/>
      <c r="EH291" s="663">
        <v>35000</v>
      </c>
      <c r="EI291" s="1044">
        <f t="shared" ref="EI291:EI299" si="154">EH291</f>
        <v>35000</v>
      </c>
      <c r="EJ291" s="243"/>
      <c r="EK291" s="305"/>
      <c r="EL291" s="305"/>
      <c r="EM291" s="305"/>
      <c r="EN291" s="447">
        <v>38000</v>
      </c>
      <c r="EO291" s="1044">
        <f t="shared" ref="EO291:EO299" si="155">EN291</f>
        <v>38000</v>
      </c>
      <c r="EP291" s="243"/>
      <c r="EQ291" s="305"/>
      <c r="ER291" s="305"/>
      <c r="ES291" s="305"/>
      <c r="ET291" s="447">
        <v>39000</v>
      </c>
      <c r="EU291" s="1044">
        <f t="shared" ref="EU291:EU296" si="156">ET291</f>
        <v>39000</v>
      </c>
      <c r="EV291" s="243"/>
      <c r="EW291" s="305"/>
      <c r="EX291" s="305"/>
      <c r="EY291" s="305"/>
      <c r="EZ291" s="663">
        <f>EZ$300*(ET291/ET$300)</f>
        <v>40829.236142923903</v>
      </c>
      <c r="FA291" s="1044">
        <f>EZ291</f>
        <v>40829.236142923903</v>
      </c>
      <c r="FB291" s="243"/>
      <c r="FC291" s="305"/>
      <c r="FD291" s="305"/>
      <c r="FE291" s="305"/>
      <c r="FF291" s="663">
        <f>FF$300*(EZ291/EZ$300)</f>
        <v>42592.857550490975</v>
      </c>
      <c r="FG291" s="1044">
        <f>FF291</f>
        <v>42592.857550490975</v>
      </c>
      <c r="FH291" s="243"/>
      <c r="FI291" s="305"/>
      <c r="FJ291" s="305"/>
      <c r="FK291" s="305"/>
      <c r="FL291" s="663">
        <f>FL$300*(FF291/FF$300)</f>
        <v>44449.753277565149</v>
      </c>
      <c r="FM291" s="1044">
        <f>FL291</f>
        <v>44449.753277565149</v>
      </c>
      <c r="FQ291"/>
      <c r="FR291"/>
      <c r="FS291"/>
      <c r="FT291"/>
      <c r="FU291"/>
      <c r="FV291"/>
      <c r="GB291" s="24"/>
      <c r="GC291" s="24"/>
      <c r="GD291" s="24"/>
      <c r="GE291" s="24"/>
      <c r="GF291" s="24"/>
      <c r="GG291" s="24"/>
      <c r="GH291" s="24"/>
      <c r="GI291" s="24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</row>
    <row r="292" spans="1:274" s="28" customFormat="1" ht="12.75" hidden="1" customHeight="1" outlineLevel="1" x14ac:dyDescent="0.2">
      <c r="A292" s="18" t="s">
        <v>749</v>
      </c>
      <c r="B292" s="595"/>
      <c r="C292" s="406"/>
      <c r="D292" s="406"/>
      <c r="E292" s="406"/>
      <c r="F292" s="406"/>
      <c r="G292" s="406"/>
      <c r="H292" s="406"/>
      <c r="I292" s="406"/>
      <c r="AW292" s="664">
        <f>(AW$277+AW$278)*($CA292/($CA$277+$CA$278))</f>
        <v>4969.6900055724918</v>
      </c>
      <c r="AX292" s="243"/>
      <c r="AY292" s="243"/>
      <c r="AZ292" s="243"/>
      <c r="BA292" s="243"/>
      <c r="BB292" s="243"/>
      <c r="BC292" s="664">
        <f>(BC$277+BC$278)*($CA292/($CA$277+$CA$278))</f>
        <v>4960.4655980594616</v>
      </c>
      <c r="BD292" s="243"/>
      <c r="BE292" s="243"/>
      <c r="BF292" s="243"/>
      <c r="BG292" s="243"/>
      <c r="BH292" s="243"/>
      <c r="BI292" s="664">
        <f>(BI$277+BI$278)*($CA292/($CA$277+$CA$278))</f>
        <v>4567.0527092142784</v>
      </c>
      <c r="BJ292" s="243"/>
      <c r="BK292" s="243"/>
      <c r="BL292" s="243"/>
      <c r="BM292" s="243"/>
      <c r="BN292" s="243"/>
      <c r="BO292" s="664">
        <f>(BO$277+BO$278)*($CA292/($CA$277+$CA$278))</f>
        <v>4237.4015144065297</v>
      </c>
      <c r="BP292" s="243"/>
      <c r="BQ292" s="243"/>
      <c r="BR292" s="243"/>
      <c r="BS292" s="243"/>
      <c r="BT292" s="243"/>
      <c r="BU292" s="664">
        <f>(BU$277+BU$278)*($CA292/($CA$277+$CA$278))</f>
        <v>4129.4597633330059</v>
      </c>
      <c r="BV292" s="305"/>
      <c r="BW292" s="305"/>
      <c r="BX292" s="305"/>
      <c r="BY292" s="305"/>
      <c r="BZ292" s="243">
        <f>CA292</f>
        <v>4937</v>
      </c>
      <c r="CA292" s="243">
        <v>4937</v>
      </c>
      <c r="CB292" s="305"/>
      <c r="CC292" s="305"/>
      <c r="CD292" s="243"/>
      <c r="CE292" s="243"/>
      <c r="CF292" s="243">
        <v>5500</v>
      </c>
      <c r="CG292" s="143">
        <f>CF292</f>
        <v>5500</v>
      </c>
      <c r="CH292" s="305"/>
      <c r="CI292" s="305"/>
      <c r="CJ292" s="305"/>
      <c r="CK292" s="305"/>
      <c r="CL292" s="59">
        <v>6775</v>
      </c>
      <c r="CM292" s="143">
        <f>CL292</f>
        <v>6775</v>
      </c>
      <c r="CN292" s="305"/>
      <c r="CO292" s="305"/>
      <c r="CP292" s="305"/>
      <c r="CQ292" s="305"/>
      <c r="CR292" s="59">
        <v>7642</v>
      </c>
      <c r="CS292" s="143">
        <f>CR292</f>
        <v>7642</v>
      </c>
      <c r="CT292" s="243"/>
      <c r="CU292" s="305"/>
      <c r="CV292" s="305"/>
      <c r="CW292" s="305"/>
      <c r="CX292" s="447">
        <v>8000</v>
      </c>
      <c r="CY292" s="143">
        <f>CX292</f>
        <v>8000</v>
      </c>
      <c r="CZ292" s="243"/>
      <c r="DA292" s="305"/>
      <c r="DB292" s="305"/>
      <c r="DC292" s="305"/>
      <c r="DD292" s="663">
        <v>9000</v>
      </c>
      <c r="DE292" s="143">
        <f t="shared" si="149"/>
        <v>9000</v>
      </c>
      <c r="DF292" s="243"/>
      <c r="DG292" s="305"/>
      <c r="DH292" s="305"/>
      <c r="DI292" s="305"/>
      <c r="DJ292" s="663">
        <v>9000</v>
      </c>
      <c r="DK292" s="1044">
        <f t="shared" si="150"/>
        <v>9000</v>
      </c>
      <c r="DL292" s="243"/>
      <c r="DM292" s="305"/>
      <c r="DN292" s="305"/>
      <c r="DO292" s="305"/>
      <c r="DP292" s="663">
        <f>DP$300*(DJ292/DJ$300)</f>
        <v>9559.1954181999281</v>
      </c>
      <c r="DQ292" s="1044">
        <f t="shared" si="151"/>
        <v>9559.1954181999281</v>
      </c>
      <c r="DR292" s="243"/>
      <c r="DS292" s="305"/>
      <c r="DT292" s="305"/>
      <c r="DU292" s="305"/>
      <c r="DV292" s="663">
        <v>9000</v>
      </c>
      <c r="DW292" s="1044">
        <f t="shared" si="152"/>
        <v>9000</v>
      </c>
      <c r="DX292" s="243"/>
      <c r="DY292" s="305"/>
      <c r="DZ292" s="305"/>
      <c r="EA292" s="305"/>
      <c r="EB292" s="1570">
        <v>9000</v>
      </c>
      <c r="EC292" s="1044">
        <f t="shared" si="153"/>
        <v>9000</v>
      </c>
      <c r="ED292" s="243"/>
      <c r="EE292" s="305"/>
      <c r="EF292" s="305"/>
      <c r="EG292" s="305"/>
      <c r="EH292" s="663">
        <v>11000</v>
      </c>
      <c r="EI292" s="1044">
        <f t="shared" si="154"/>
        <v>11000</v>
      </c>
      <c r="EJ292" s="243"/>
      <c r="EK292" s="305"/>
      <c r="EL292" s="305"/>
      <c r="EM292" s="305"/>
      <c r="EN292" s="447">
        <v>10000</v>
      </c>
      <c r="EO292" s="1044">
        <f t="shared" si="155"/>
        <v>10000</v>
      </c>
      <c r="EP292" s="243"/>
      <c r="EQ292" s="305"/>
      <c r="ER292" s="305"/>
      <c r="ES292" s="305"/>
      <c r="ET292" s="447">
        <v>9000</v>
      </c>
      <c r="EU292" s="1044">
        <f t="shared" si="156"/>
        <v>9000</v>
      </c>
      <c r="EV292" s="243"/>
      <c r="EW292" s="305"/>
      <c r="EX292" s="305"/>
      <c r="EY292" s="305"/>
      <c r="EZ292" s="663">
        <f>EZ$300*(ET292/ET$300)</f>
        <v>9422.1314175978241</v>
      </c>
      <c r="FA292" s="1044">
        <f>EZ292</f>
        <v>9422.1314175978241</v>
      </c>
      <c r="FB292" s="243"/>
      <c r="FC292" s="305"/>
      <c r="FD292" s="305"/>
      <c r="FE292" s="305"/>
      <c r="FF292" s="663">
        <f>FF$300*(EZ292/EZ$300)</f>
        <v>9829.1209731902254</v>
      </c>
      <c r="FG292" s="1044">
        <f>FF292</f>
        <v>9829.1209731902254</v>
      </c>
      <c r="FH292" s="243"/>
      <c r="FI292" s="305"/>
      <c r="FJ292" s="305"/>
      <c r="FK292" s="305"/>
      <c r="FL292" s="663">
        <f>FL$300*(FF292/FF$300)</f>
        <v>10257.635371745804</v>
      </c>
      <c r="FM292" s="1044">
        <f>FL292</f>
        <v>10257.635371745804</v>
      </c>
      <c r="FQ292"/>
      <c r="FR292"/>
      <c r="FS292"/>
      <c r="FT292"/>
      <c r="FU292"/>
      <c r="FV292"/>
      <c r="GB292" s="24"/>
      <c r="GC292" s="24"/>
      <c r="GD292" s="24"/>
      <c r="GE292" s="24"/>
      <c r="GF292" s="24"/>
      <c r="GG292" s="24"/>
      <c r="GH292" s="24"/>
      <c r="GI292" s="24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</row>
    <row r="293" spans="1:274" s="28" customFormat="1" ht="12.75" hidden="1" customHeight="1" outlineLevel="1" x14ac:dyDescent="0.2">
      <c r="A293" s="18" t="s">
        <v>1114</v>
      </c>
      <c r="B293" s="595"/>
      <c r="C293" s="406"/>
      <c r="D293" s="406"/>
      <c r="E293" s="406"/>
      <c r="F293" s="406"/>
      <c r="G293" s="406"/>
      <c r="H293" s="406"/>
      <c r="I293" s="406"/>
      <c r="AW293" s="664"/>
      <c r="AX293" s="243"/>
      <c r="AY293" s="243"/>
      <c r="AZ293" s="243"/>
      <c r="BA293" s="243"/>
      <c r="BB293" s="243"/>
      <c r="BC293" s="664"/>
      <c r="BD293" s="243"/>
      <c r="BE293" s="243"/>
      <c r="BF293" s="243"/>
      <c r="BG293" s="243"/>
      <c r="BH293" s="243"/>
      <c r="BI293" s="664"/>
      <c r="BJ293" s="243"/>
      <c r="BK293" s="243"/>
      <c r="BL293" s="243"/>
      <c r="BM293" s="243"/>
      <c r="BN293" s="243"/>
      <c r="BO293" s="664"/>
      <c r="BP293" s="243"/>
      <c r="BQ293" s="243"/>
      <c r="BR293" s="243"/>
      <c r="BS293" s="243"/>
      <c r="BT293" s="243"/>
      <c r="BU293" s="664"/>
      <c r="BV293" s="305"/>
      <c r="BW293" s="305"/>
      <c r="BX293" s="305"/>
      <c r="BY293" s="305"/>
      <c r="BZ293" s="243"/>
      <c r="CA293" s="243"/>
      <c r="CB293" s="305"/>
      <c r="CC293" s="305"/>
      <c r="CD293" s="243"/>
      <c r="CE293" s="243"/>
      <c r="CF293" s="243"/>
      <c r="CG293" s="143"/>
      <c r="CH293" s="305"/>
      <c r="CI293" s="305"/>
      <c r="CJ293" s="305"/>
      <c r="CK293" s="305"/>
      <c r="CL293" s="59"/>
      <c r="CM293" s="143"/>
      <c r="CN293" s="305"/>
      <c r="CO293" s="305"/>
      <c r="CP293" s="305"/>
      <c r="CQ293" s="305"/>
      <c r="CR293" s="59"/>
      <c r="CS293" s="143"/>
      <c r="CT293" s="243"/>
      <c r="CU293" s="305"/>
      <c r="CV293" s="305"/>
      <c r="CW293" s="305"/>
      <c r="CX293" s="447"/>
      <c r="CY293" s="143"/>
      <c r="CZ293" s="243"/>
      <c r="DA293" s="305"/>
      <c r="DB293" s="305"/>
      <c r="DC293" s="305"/>
      <c r="DD293" s="663"/>
      <c r="DE293" s="143"/>
      <c r="DF293" s="243"/>
      <c r="DG293" s="305"/>
      <c r="DH293" s="305"/>
      <c r="DI293" s="305"/>
      <c r="DJ293" s="663"/>
      <c r="DK293" s="1044"/>
      <c r="DL293" s="243"/>
      <c r="DM293" s="305"/>
      <c r="DN293" s="305"/>
      <c r="DO293" s="305"/>
      <c r="DP293" s="663"/>
      <c r="DQ293" s="1044"/>
      <c r="DR293" s="243"/>
      <c r="DS293" s="305"/>
      <c r="DT293" s="305"/>
      <c r="DU293" s="305"/>
      <c r="DV293" s="663"/>
      <c r="DW293" s="1044"/>
      <c r="DX293" s="243"/>
      <c r="DY293" s="305"/>
      <c r="DZ293" s="305"/>
      <c r="EA293" s="305"/>
      <c r="EB293" s="1570">
        <v>5000</v>
      </c>
      <c r="EC293" s="1044">
        <f t="shared" si="153"/>
        <v>5000</v>
      </c>
      <c r="ED293" s="243"/>
      <c r="EE293" s="305"/>
      <c r="EF293" s="305"/>
      <c r="EG293" s="305"/>
      <c r="EH293" s="663">
        <v>6000</v>
      </c>
      <c r="EI293" s="1044">
        <f t="shared" si="154"/>
        <v>6000</v>
      </c>
      <c r="EJ293" s="243"/>
      <c r="EK293" s="305"/>
      <c r="EL293" s="305"/>
      <c r="EM293" s="305"/>
      <c r="EN293" s="447">
        <v>6000</v>
      </c>
      <c r="EO293" s="1044">
        <f t="shared" si="155"/>
        <v>6000</v>
      </c>
      <c r="EP293" s="243"/>
      <c r="EQ293" s="305"/>
      <c r="ER293" s="305"/>
      <c r="ES293" s="305"/>
      <c r="ET293" s="447">
        <v>8000</v>
      </c>
      <c r="EU293" s="1044">
        <f t="shared" si="156"/>
        <v>8000</v>
      </c>
      <c r="EV293" s="243"/>
      <c r="EW293" s="305"/>
      <c r="EX293" s="305"/>
      <c r="EY293" s="305"/>
      <c r="EZ293" s="663"/>
      <c r="FA293" s="1044"/>
      <c r="FB293" s="243"/>
      <c r="FC293" s="305"/>
      <c r="FD293" s="305"/>
      <c r="FE293" s="305"/>
      <c r="FF293" s="663"/>
      <c r="FG293" s="1044"/>
      <c r="FH293" s="243"/>
      <c r="FI293" s="305"/>
      <c r="FJ293" s="305"/>
      <c r="FK293" s="305"/>
      <c r="FL293" s="663"/>
      <c r="FM293" s="1044"/>
      <c r="FQ293"/>
      <c r="FR293"/>
      <c r="FS293"/>
      <c r="FT293"/>
      <c r="FU293"/>
      <c r="FV293"/>
      <c r="GB293" s="24"/>
      <c r="GC293" s="24"/>
      <c r="GD293" s="24"/>
      <c r="GE293" s="24"/>
      <c r="GF293" s="24"/>
      <c r="GG293" s="24"/>
      <c r="GH293" s="24"/>
      <c r="GI293" s="24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</row>
    <row r="294" spans="1:274" s="28" customFormat="1" ht="12.75" hidden="1" customHeight="1" outlineLevel="1" x14ac:dyDescent="0.2">
      <c r="A294" s="18" t="s">
        <v>529</v>
      </c>
      <c r="B294" s="595"/>
      <c r="C294" s="406"/>
      <c r="D294" s="406"/>
      <c r="E294" s="406"/>
      <c r="F294" s="406"/>
      <c r="G294" s="406"/>
      <c r="H294" s="406"/>
      <c r="I294" s="406"/>
      <c r="AW294" s="664"/>
      <c r="AX294" s="243"/>
      <c r="AY294" s="243"/>
      <c r="AZ294" s="243"/>
      <c r="BA294" s="243"/>
      <c r="BB294" s="243"/>
      <c r="BC294" s="664"/>
      <c r="BD294" s="243"/>
      <c r="BE294" s="243"/>
      <c r="BF294" s="243"/>
      <c r="BG294" s="243"/>
      <c r="BH294" s="243"/>
      <c r="BI294" s="664"/>
      <c r="BJ294" s="243"/>
      <c r="BK294" s="243"/>
      <c r="BL294" s="243"/>
      <c r="BM294" s="243"/>
      <c r="BN294" s="243"/>
      <c r="BO294" s="664"/>
      <c r="BP294" s="243"/>
      <c r="BQ294" s="243"/>
      <c r="BR294" s="243"/>
      <c r="BS294" s="243"/>
      <c r="BT294" s="243"/>
      <c r="BU294" s="664"/>
      <c r="BV294" s="305"/>
      <c r="BW294" s="305"/>
      <c r="BX294" s="305"/>
      <c r="BY294" s="305"/>
      <c r="BZ294" s="243"/>
      <c r="CA294" s="243"/>
      <c r="CB294" s="305"/>
      <c r="CC294" s="305"/>
      <c r="CD294" s="243"/>
      <c r="CE294" s="243"/>
      <c r="CF294" s="243"/>
      <c r="CG294" s="143"/>
      <c r="CH294" s="305"/>
      <c r="CI294" s="305"/>
      <c r="CJ294" s="305"/>
      <c r="CK294" s="305"/>
      <c r="CL294" s="59"/>
      <c r="CM294" s="143"/>
      <c r="CN294" s="305"/>
      <c r="CO294" s="305"/>
      <c r="CP294" s="305"/>
      <c r="CQ294" s="305"/>
      <c r="CR294" s="59"/>
      <c r="CS294" s="143"/>
      <c r="CT294" s="243"/>
      <c r="CU294" s="305"/>
      <c r="CV294" s="305"/>
      <c r="CW294" s="305"/>
      <c r="CX294" s="447"/>
      <c r="CY294" s="143"/>
      <c r="CZ294" s="243"/>
      <c r="DA294" s="305"/>
      <c r="DB294" s="305"/>
      <c r="DC294" s="305"/>
      <c r="DD294" s="663">
        <v>1000</v>
      </c>
      <c r="DE294" s="143">
        <f t="shared" si="149"/>
        <v>1000</v>
      </c>
      <c r="DF294" s="243"/>
      <c r="DG294" s="305"/>
      <c r="DH294" s="305"/>
      <c r="DI294" s="305"/>
      <c r="DJ294" s="663">
        <v>1000</v>
      </c>
      <c r="DK294" s="1044">
        <f t="shared" si="150"/>
        <v>1000</v>
      </c>
      <c r="DL294" s="243"/>
      <c r="DM294" s="305"/>
      <c r="DN294" s="305"/>
      <c r="DO294" s="305"/>
      <c r="DP294" s="663">
        <v>1000</v>
      </c>
      <c r="DQ294" s="1044">
        <f t="shared" si="151"/>
        <v>1000</v>
      </c>
      <c r="DR294" s="243"/>
      <c r="DS294" s="305"/>
      <c r="DT294" s="305"/>
      <c r="DU294" s="305"/>
      <c r="DV294" s="663">
        <v>1000</v>
      </c>
      <c r="DW294" s="1044">
        <f t="shared" si="152"/>
        <v>1000</v>
      </c>
      <c r="DX294" s="243"/>
      <c r="DY294" s="305"/>
      <c r="DZ294" s="305"/>
      <c r="EA294" s="305"/>
      <c r="EB294" s="1570">
        <v>1000</v>
      </c>
      <c r="EC294" s="1044">
        <f t="shared" si="153"/>
        <v>1000</v>
      </c>
      <c r="ED294" s="243"/>
      <c r="EE294" s="305"/>
      <c r="EF294" s="305"/>
      <c r="EG294" s="305"/>
      <c r="EH294" s="663">
        <v>1000</v>
      </c>
      <c r="EI294" s="1044">
        <f t="shared" si="154"/>
        <v>1000</v>
      </c>
      <c r="EJ294" s="243"/>
      <c r="EK294" s="305"/>
      <c r="EL294" s="305"/>
      <c r="EM294" s="305"/>
      <c r="EN294" s="447">
        <v>1000</v>
      </c>
      <c r="EO294" s="1044">
        <f t="shared" si="155"/>
        <v>1000</v>
      </c>
      <c r="EP294" s="243"/>
      <c r="EQ294" s="305"/>
      <c r="ER294" s="305"/>
      <c r="ES294" s="305"/>
      <c r="ET294" s="447"/>
      <c r="EU294" s="1044"/>
      <c r="EV294" s="243"/>
      <c r="EW294" s="305"/>
      <c r="EX294" s="305"/>
      <c r="EY294" s="305"/>
      <c r="EZ294" s="663"/>
      <c r="FA294" s="1044"/>
      <c r="FB294" s="243"/>
      <c r="FC294" s="305"/>
      <c r="FD294" s="305"/>
      <c r="FE294" s="305"/>
      <c r="FF294" s="663"/>
      <c r="FG294" s="1044"/>
      <c r="FH294" s="243"/>
      <c r="FI294" s="305"/>
      <c r="FJ294" s="305"/>
      <c r="FK294" s="305"/>
      <c r="FL294" s="663"/>
      <c r="FM294" s="1044"/>
      <c r="FQ294"/>
      <c r="FR294"/>
      <c r="FS294"/>
      <c r="FT294"/>
      <c r="FU294"/>
      <c r="FV294"/>
      <c r="GB294" s="24"/>
      <c r="GC294" s="24"/>
      <c r="GD294" s="24"/>
      <c r="GE294" s="24"/>
      <c r="GF294" s="24"/>
      <c r="GG294" s="24"/>
      <c r="GH294" s="24"/>
      <c r="GI294" s="2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</row>
    <row r="295" spans="1:274" s="28" customFormat="1" ht="12.75" hidden="1" customHeight="1" outlineLevel="1" x14ac:dyDescent="0.2">
      <c r="A295" s="18" t="s">
        <v>72</v>
      </c>
      <c r="B295" s="595"/>
      <c r="C295" s="406"/>
      <c r="D295" s="406"/>
      <c r="E295" s="406"/>
      <c r="F295" s="406"/>
      <c r="G295" s="406"/>
      <c r="H295" s="406"/>
      <c r="I295" s="406"/>
      <c r="AW295" s="664"/>
      <c r="AX295" s="243"/>
      <c r="AY295" s="243"/>
      <c r="AZ295" s="243"/>
      <c r="BA295" s="243"/>
      <c r="BB295" s="243"/>
      <c r="BC295" s="664"/>
      <c r="BD295" s="243"/>
      <c r="BE295" s="243"/>
      <c r="BF295" s="243"/>
      <c r="BG295" s="243"/>
      <c r="BH295" s="243"/>
      <c r="BI295" s="664"/>
      <c r="BJ295" s="243"/>
      <c r="BK295" s="243"/>
      <c r="BL295" s="243"/>
      <c r="BM295" s="243"/>
      <c r="BN295" s="243"/>
      <c r="BO295" s="664"/>
      <c r="BP295" s="243"/>
      <c r="BQ295" s="243"/>
      <c r="BR295" s="243"/>
      <c r="BS295" s="243"/>
      <c r="BT295" s="243"/>
      <c r="BU295" s="664"/>
      <c r="BV295" s="305"/>
      <c r="BW295" s="305"/>
      <c r="BX295" s="305"/>
      <c r="BY295" s="305"/>
      <c r="BZ295" s="243"/>
      <c r="CA295" s="243"/>
      <c r="CB295" s="305"/>
      <c r="CC295" s="305"/>
      <c r="CD295" s="243"/>
      <c r="CE295" s="243"/>
      <c r="CF295" s="243"/>
      <c r="CG295" s="143"/>
      <c r="CH295" s="305"/>
      <c r="CI295" s="305"/>
      <c r="CJ295" s="305"/>
      <c r="CK295" s="305"/>
      <c r="CL295" s="59"/>
      <c r="CM295" s="143"/>
      <c r="CN295" s="305"/>
      <c r="CO295" s="305"/>
      <c r="CP295" s="305"/>
      <c r="CQ295" s="305"/>
      <c r="CR295" s="59"/>
      <c r="CS295" s="143"/>
      <c r="CT295" s="243"/>
      <c r="CU295" s="305"/>
      <c r="CV295" s="305"/>
      <c r="CW295" s="305"/>
      <c r="CX295" s="447"/>
      <c r="CY295" s="143"/>
      <c r="CZ295" s="243"/>
      <c r="DA295" s="305"/>
      <c r="DB295" s="305"/>
      <c r="DC295" s="305"/>
      <c r="DD295" s="663">
        <v>5000</v>
      </c>
      <c r="DE295" s="143">
        <f t="shared" si="149"/>
        <v>5000</v>
      </c>
      <c r="DF295" s="243"/>
      <c r="DG295" s="305"/>
      <c r="DH295" s="305"/>
      <c r="DI295" s="305"/>
      <c r="DJ295" s="663">
        <v>6000</v>
      </c>
      <c r="DK295" s="1044">
        <f t="shared" si="150"/>
        <v>6000</v>
      </c>
      <c r="DL295" s="243"/>
      <c r="DM295" s="305"/>
      <c r="DN295" s="305"/>
      <c r="DO295" s="305"/>
      <c r="DP295" s="663">
        <v>6000</v>
      </c>
      <c r="DQ295" s="1044">
        <f t="shared" si="151"/>
        <v>6000</v>
      </c>
      <c r="DR295" s="243"/>
      <c r="DS295" s="305"/>
      <c r="DT295" s="305"/>
      <c r="DU295" s="305"/>
      <c r="DV295" s="663">
        <v>6000</v>
      </c>
      <c r="DW295" s="1044">
        <f t="shared" si="152"/>
        <v>6000</v>
      </c>
      <c r="DX295" s="243"/>
      <c r="DY295" s="305"/>
      <c r="DZ295" s="305"/>
      <c r="EA295" s="305"/>
      <c r="EB295" s="1570">
        <v>6000</v>
      </c>
      <c r="EC295" s="1044">
        <f t="shared" si="153"/>
        <v>6000</v>
      </c>
      <c r="ED295" s="243"/>
      <c r="EE295" s="305"/>
      <c r="EF295" s="305"/>
      <c r="EG295" s="305"/>
      <c r="EH295" s="663">
        <v>5000</v>
      </c>
      <c r="EI295" s="1044">
        <f t="shared" si="154"/>
        <v>5000</v>
      </c>
      <c r="EJ295" s="243"/>
      <c r="EK295" s="305"/>
      <c r="EL295" s="305"/>
      <c r="EM295" s="305"/>
      <c r="EN295" s="447">
        <v>5000</v>
      </c>
      <c r="EO295" s="1044">
        <f t="shared" si="155"/>
        <v>5000</v>
      </c>
      <c r="EP295" s="243"/>
      <c r="EQ295" s="305"/>
      <c r="ER295" s="305"/>
      <c r="ES295" s="305"/>
      <c r="ET295" s="447"/>
      <c r="EU295" s="1044"/>
      <c r="EV295" s="243"/>
      <c r="EW295" s="305"/>
      <c r="EX295" s="305"/>
      <c r="EY295" s="305"/>
      <c r="EZ295" s="663"/>
      <c r="FA295" s="1044"/>
      <c r="FB295" s="243"/>
      <c r="FC295" s="305"/>
      <c r="FD295" s="305"/>
      <c r="FE295" s="305"/>
      <c r="FF295" s="663"/>
      <c r="FG295" s="1044"/>
      <c r="FH295" s="243"/>
      <c r="FI295" s="305"/>
      <c r="FJ295" s="305"/>
      <c r="FK295" s="305"/>
      <c r="FL295" s="663"/>
      <c r="FM295" s="1044"/>
      <c r="FQ295"/>
      <c r="FR295"/>
      <c r="FS295"/>
      <c r="FT295"/>
      <c r="FU295"/>
      <c r="FV295"/>
      <c r="GB295" s="24"/>
      <c r="GC295" s="24"/>
      <c r="GD295" s="24"/>
      <c r="GE295" s="24"/>
      <c r="GF295" s="24"/>
      <c r="GG295" s="24"/>
      <c r="GH295" s="24"/>
      <c r="GI295" s="24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</row>
    <row r="296" spans="1:274" s="28" customFormat="1" ht="12.75" hidden="1" customHeight="1" outlineLevel="1" x14ac:dyDescent="0.2">
      <c r="A296" s="18" t="s">
        <v>1252</v>
      </c>
      <c r="B296" s="595"/>
      <c r="C296" s="406"/>
      <c r="D296" s="406"/>
      <c r="E296" s="406"/>
      <c r="F296" s="406"/>
      <c r="G296" s="406"/>
      <c r="H296" s="406"/>
      <c r="I296" s="406"/>
      <c r="AW296" s="664"/>
      <c r="AX296" s="243"/>
      <c r="AY296" s="243"/>
      <c r="AZ296" s="243"/>
      <c r="BA296" s="243"/>
      <c r="BB296" s="243"/>
      <c r="BC296" s="664"/>
      <c r="BD296" s="243"/>
      <c r="BE296" s="243"/>
      <c r="BF296" s="243"/>
      <c r="BG296" s="243"/>
      <c r="BH296" s="243"/>
      <c r="BI296" s="664"/>
      <c r="BJ296" s="243"/>
      <c r="BK296" s="243"/>
      <c r="BL296" s="243"/>
      <c r="BM296" s="243"/>
      <c r="BN296" s="243"/>
      <c r="BO296" s="664"/>
      <c r="BP296" s="243"/>
      <c r="BQ296" s="243"/>
      <c r="BR296" s="243"/>
      <c r="BS296" s="243"/>
      <c r="BT296" s="243"/>
      <c r="BU296" s="664"/>
      <c r="BV296" s="305"/>
      <c r="BW296" s="305"/>
      <c r="BX296" s="305"/>
      <c r="BY296" s="305"/>
      <c r="BZ296" s="243"/>
      <c r="CA296" s="243"/>
      <c r="CB296" s="305"/>
      <c r="CC296" s="305"/>
      <c r="CD296" s="243"/>
      <c r="CE296" s="243"/>
      <c r="CF296" s="243"/>
      <c r="CG296" s="143"/>
      <c r="CH296" s="305"/>
      <c r="CI296" s="305"/>
      <c r="CJ296" s="305"/>
      <c r="CK296" s="305"/>
      <c r="CL296" s="59"/>
      <c r="CM296" s="143"/>
      <c r="CN296" s="305"/>
      <c r="CO296" s="305"/>
      <c r="CP296" s="305"/>
      <c r="CQ296" s="305"/>
      <c r="CR296" s="59"/>
      <c r="CS296" s="143"/>
      <c r="CT296" s="243"/>
      <c r="CU296" s="305"/>
      <c r="CV296" s="305"/>
      <c r="CW296" s="305"/>
      <c r="CX296" s="447"/>
      <c r="CY296" s="143"/>
      <c r="CZ296" s="243"/>
      <c r="DA296" s="305"/>
      <c r="DB296" s="305"/>
      <c r="DC296" s="305"/>
      <c r="DD296" s="663"/>
      <c r="DE296" s="143"/>
      <c r="DF296" s="243"/>
      <c r="DG296" s="305"/>
      <c r="DH296" s="305"/>
      <c r="DI296" s="305"/>
      <c r="DJ296" s="663"/>
      <c r="DK296" s="1044"/>
      <c r="DL296" s="243"/>
      <c r="DM296" s="305"/>
      <c r="DN296" s="305"/>
      <c r="DO296" s="305"/>
      <c r="DP296" s="663"/>
      <c r="DQ296" s="1044"/>
      <c r="DR296" s="243"/>
      <c r="DS296" s="305"/>
      <c r="DT296" s="305"/>
      <c r="DU296" s="305"/>
      <c r="DV296" s="663"/>
      <c r="DW296" s="1044">
        <f>+DW295+DW294</f>
        <v>7000</v>
      </c>
      <c r="DX296" s="243"/>
      <c r="DY296" s="305"/>
      <c r="DZ296" s="305"/>
      <c r="EA296" s="305"/>
      <c r="EB296" s="1570"/>
      <c r="EC296" s="1044">
        <f>+EC295+EC294</f>
        <v>7000</v>
      </c>
      <c r="ED296" s="243"/>
      <c r="EE296" s="305"/>
      <c r="EF296" s="305"/>
      <c r="EG296" s="305"/>
      <c r="EH296" s="663"/>
      <c r="EI296" s="1044">
        <f>+EI295+EI294</f>
        <v>6000</v>
      </c>
      <c r="EJ296" s="243"/>
      <c r="EK296" s="305"/>
      <c r="EL296" s="305"/>
      <c r="EM296" s="305"/>
      <c r="EN296" s="447">
        <f>+EN295+EN294</f>
        <v>6000</v>
      </c>
      <c r="EO296" s="1044">
        <f>+EO295+EO294</f>
        <v>6000</v>
      </c>
      <c r="EP296" s="243"/>
      <c r="EQ296" s="305"/>
      <c r="ER296" s="305"/>
      <c r="ES296" s="305"/>
      <c r="ET296" s="447">
        <v>5000</v>
      </c>
      <c r="EU296" s="1044">
        <f t="shared" si="156"/>
        <v>5000</v>
      </c>
      <c r="EV296" s="243"/>
      <c r="EW296" s="305"/>
      <c r="EX296" s="305"/>
      <c r="EY296" s="305"/>
      <c r="EZ296" s="663"/>
      <c r="FA296" s="1044"/>
      <c r="FB296" s="243"/>
      <c r="FC296" s="305"/>
      <c r="FD296" s="305"/>
      <c r="FE296" s="305"/>
      <c r="FF296" s="663"/>
      <c r="FG296" s="1044"/>
      <c r="FH296" s="243"/>
      <c r="FI296" s="305"/>
      <c r="FJ296" s="305"/>
      <c r="FK296" s="305"/>
      <c r="FL296" s="663"/>
      <c r="FM296" s="1044"/>
      <c r="FQ296"/>
      <c r="FR296"/>
      <c r="FS296"/>
      <c r="FT296"/>
      <c r="FU296"/>
      <c r="FV296"/>
      <c r="GB296" s="24"/>
      <c r="GC296" s="24"/>
      <c r="GD296" s="24"/>
      <c r="GE296" s="24"/>
      <c r="GF296" s="24"/>
      <c r="GG296" s="24"/>
      <c r="GH296" s="24"/>
      <c r="GI296" s="24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</row>
    <row r="297" spans="1:274" s="28" customFormat="1" ht="12.75" hidden="1" customHeight="1" outlineLevel="1" x14ac:dyDescent="0.2">
      <c r="A297" s="18" t="s">
        <v>47</v>
      </c>
      <c r="B297" s="595"/>
      <c r="C297" s="406"/>
      <c r="D297" s="406"/>
      <c r="E297" s="406"/>
      <c r="F297" s="406"/>
      <c r="G297" s="406"/>
      <c r="H297" s="406"/>
      <c r="I297" s="406"/>
      <c r="AW297" s="664">
        <f>(AW$277+AW$278)*($CA297/($CA$277+$CA$278))</f>
        <v>14218.527714950667</v>
      </c>
      <c r="AX297" s="243"/>
      <c r="AY297" s="243"/>
      <c r="AZ297" s="243"/>
      <c r="BA297" s="243"/>
      <c r="BB297" s="243"/>
      <c r="BC297" s="664">
        <f>(BC$277+BC$278)*($CA297/($CA$277+$CA$278))</f>
        <v>14192.136231028944</v>
      </c>
      <c r="BD297" s="243"/>
      <c r="BE297" s="243"/>
      <c r="BF297" s="243"/>
      <c r="BG297" s="243"/>
      <c r="BH297" s="243"/>
      <c r="BI297" s="664">
        <f>(BI$277+BI$278)*($CA297/($CA$277+$CA$278))</f>
        <v>13066.562592191956</v>
      </c>
      <c r="BJ297" s="243"/>
      <c r="BK297" s="243"/>
      <c r="BL297" s="243"/>
      <c r="BM297" s="243"/>
      <c r="BN297" s="243"/>
      <c r="BO297" s="664">
        <f>(BO$277+BO$278)*($CA297/($CA$277+$CA$278))</f>
        <v>12123.414298357755</v>
      </c>
      <c r="BP297" s="243"/>
      <c r="BQ297" s="243"/>
      <c r="BR297" s="243"/>
      <c r="BS297" s="243"/>
      <c r="BT297" s="243"/>
      <c r="BU297" s="664">
        <f>(BU$277+BU$278)*($CA297/($CA$277+$CA$278))</f>
        <v>11814.587635624612</v>
      </c>
      <c r="BV297" s="305"/>
      <c r="BW297" s="305"/>
      <c r="BX297" s="305"/>
      <c r="BY297" s="305"/>
      <c r="BZ297" s="243">
        <f>CA297</f>
        <v>14125</v>
      </c>
      <c r="CA297" s="243">
        <v>14125</v>
      </c>
      <c r="CB297" s="305"/>
      <c r="CC297" s="305"/>
      <c r="CD297" s="243"/>
      <c r="CE297" s="243"/>
      <c r="CF297" s="243">
        <v>16435</v>
      </c>
      <c r="CG297" s="143">
        <f>CF297</f>
        <v>16435</v>
      </c>
      <c r="CH297" s="305"/>
      <c r="CI297" s="305"/>
      <c r="CJ297" s="305"/>
      <c r="CK297" s="305"/>
      <c r="CL297" s="59">
        <v>25068</v>
      </c>
      <c r="CM297" s="143">
        <f>CL297</f>
        <v>25068</v>
      </c>
      <c r="CN297" s="305"/>
      <c r="CO297" s="305"/>
      <c r="CP297" s="305"/>
      <c r="CQ297" s="305"/>
      <c r="CR297" s="59">
        <v>28215</v>
      </c>
      <c r="CS297" s="143">
        <f>CR297</f>
        <v>28215</v>
      </c>
      <c r="CT297" s="243"/>
      <c r="CU297" s="305"/>
      <c r="CV297" s="305"/>
      <c r="CW297" s="305"/>
      <c r="CX297" s="447">
        <v>28000</v>
      </c>
      <c r="CY297" s="143">
        <f>CX297</f>
        <v>28000</v>
      </c>
      <c r="CZ297" s="243"/>
      <c r="DA297" s="305"/>
      <c r="DB297" s="305"/>
      <c r="DC297" s="305"/>
      <c r="DD297" s="663">
        <v>26000</v>
      </c>
      <c r="DE297" s="143">
        <f t="shared" si="149"/>
        <v>26000</v>
      </c>
      <c r="DF297" s="243"/>
      <c r="DG297" s="305"/>
      <c r="DH297" s="305"/>
      <c r="DI297" s="305"/>
      <c r="DJ297" s="663">
        <v>25000</v>
      </c>
      <c r="DK297" s="1044">
        <f t="shared" si="150"/>
        <v>25000</v>
      </c>
      <c r="DL297" s="243"/>
      <c r="DM297" s="305"/>
      <c r="DN297" s="305"/>
      <c r="DO297" s="305"/>
      <c r="DP297" s="663">
        <v>26000</v>
      </c>
      <c r="DQ297" s="1044">
        <f t="shared" si="151"/>
        <v>26000</v>
      </c>
      <c r="DR297" s="243"/>
      <c r="DS297" s="305"/>
      <c r="DT297" s="305"/>
      <c r="DU297" s="305"/>
      <c r="DV297" s="663">
        <v>25000</v>
      </c>
      <c r="DW297" s="1044">
        <f t="shared" si="152"/>
        <v>25000</v>
      </c>
      <c r="DX297" s="243"/>
      <c r="DY297" s="305"/>
      <c r="DZ297" s="305"/>
      <c r="EA297" s="305"/>
      <c r="EB297" s="1570">
        <v>22000</v>
      </c>
      <c r="EC297" s="1044">
        <f t="shared" si="153"/>
        <v>22000</v>
      </c>
      <c r="ED297" s="243"/>
      <c r="EE297" s="305"/>
      <c r="EF297" s="305"/>
      <c r="EG297" s="305"/>
      <c r="EH297" s="663">
        <v>23000</v>
      </c>
      <c r="EI297" s="1044">
        <f t="shared" si="154"/>
        <v>23000</v>
      </c>
      <c r="EJ297" s="243"/>
      <c r="EK297" s="305"/>
      <c r="EL297" s="305"/>
      <c r="EM297" s="305"/>
      <c r="EN297" s="447">
        <v>23000</v>
      </c>
      <c r="EO297" s="1044">
        <f t="shared" si="155"/>
        <v>23000</v>
      </c>
      <c r="EP297" s="243"/>
      <c r="EQ297" s="305"/>
      <c r="ER297" s="305"/>
      <c r="ES297" s="305"/>
      <c r="ET297" s="447">
        <v>24000</v>
      </c>
      <c r="EU297" s="1044">
        <f t="shared" ref="EU297:EU299" si="157">ET297</f>
        <v>24000</v>
      </c>
      <c r="EV297" s="243"/>
      <c r="EW297" s="305"/>
      <c r="EX297" s="305"/>
      <c r="EY297" s="305"/>
      <c r="EZ297" s="663">
        <f>EZ$300*(ET297/ET$300)</f>
        <v>25125.683780260864</v>
      </c>
      <c r="FA297" s="1044">
        <f>EZ297</f>
        <v>25125.683780260864</v>
      </c>
      <c r="FB297" s="243"/>
      <c r="FC297" s="305"/>
      <c r="FD297" s="305"/>
      <c r="FE297" s="305"/>
      <c r="FF297" s="663">
        <f>FF$300*(EZ297/EZ$300)</f>
        <v>26210.989261840601</v>
      </c>
      <c r="FG297" s="1044">
        <f>FF297</f>
        <v>26210.989261840601</v>
      </c>
      <c r="FH297" s="243"/>
      <c r="FI297" s="305"/>
      <c r="FJ297" s="305"/>
      <c r="FK297" s="305"/>
      <c r="FL297" s="663">
        <f>FL$300*(FF297/FF$300)</f>
        <v>27353.694324655477</v>
      </c>
      <c r="FM297" s="1044">
        <f>FL297</f>
        <v>27353.694324655477</v>
      </c>
      <c r="FQ297"/>
      <c r="FR297"/>
      <c r="FS297"/>
      <c r="FT297"/>
      <c r="FU297"/>
      <c r="FV297"/>
      <c r="GB297" s="24"/>
      <c r="GC297" s="24"/>
      <c r="GD297" s="24"/>
      <c r="GE297" s="24"/>
      <c r="GF297" s="24"/>
      <c r="GG297" s="24"/>
      <c r="GH297" s="24"/>
      <c r="GI297" s="24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</row>
    <row r="298" spans="1:274" s="28" customFormat="1" ht="12.75" hidden="1" customHeight="1" outlineLevel="1" x14ac:dyDescent="0.2">
      <c r="A298" s="18" t="s">
        <v>178</v>
      </c>
      <c r="B298" s="595"/>
      <c r="C298" s="406"/>
      <c r="D298" s="406"/>
      <c r="E298" s="406"/>
      <c r="F298" s="406"/>
      <c r="G298" s="406"/>
      <c r="H298" s="406"/>
      <c r="I298" s="406"/>
      <c r="AW298" s="243">
        <f>AW280</f>
        <v>6650</v>
      </c>
      <c r="AX298" s="243"/>
      <c r="AY298" s="243"/>
      <c r="AZ298" s="243"/>
      <c r="BA298" s="243"/>
      <c r="BB298" s="243"/>
      <c r="BC298" s="243">
        <f>BC280</f>
        <v>7926</v>
      </c>
      <c r="BD298" s="243"/>
      <c r="BE298" s="243"/>
      <c r="BF298" s="243"/>
      <c r="BG298" s="243"/>
      <c r="BH298" s="243"/>
      <c r="BI298" s="243">
        <f>BI280</f>
        <v>8859</v>
      </c>
      <c r="BJ298" s="243"/>
      <c r="BK298" s="243"/>
      <c r="BL298" s="243"/>
      <c r="BM298" s="243"/>
      <c r="BN298" s="243"/>
      <c r="BO298" s="243">
        <f>BO280</f>
        <v>9429</v>
      </c>
      <c r="BP298" s="243"/>
      <c r="BQ298" s="243"/>
      <c r="BR298" s="243"/>
      <c r="BS298" s="243"/>
      <c r="BT298" s="243"/>
      <c r="BU298" s="243">
        <f>BU280</f>
        <v>11436</v>
      </c>
      <c r="BV298" s="305"/>
      <c r="BW298" s="305"/>
      <c r="BX298" s="305"/>
      <c r="BY298" s="305"/>
      <c r="BZ298" s="243">
        <f>CA298</f>
        <v>13114</v>
      </c>
      <c r="CA298" s="243">
        <v>13114</v>
      </c>
      <c r="CB298" s="305"/>
      <c r="CC298" s="305"/>
      <c r="CD298" s="243"/>
      <c r="CE298" s="243"/>
      <c r="CF298" s="243">
        <v>14432</v>
      </c>
      <c r="CG298" s="143">
        <f>CF298</f>
        <v>14432</v>
      </c>
      <c r="CH298" s="305"/>
      <c r="CI298" s="305"/>
      <c r="CJ298" s="305"/>
      <c r="CK298" s="305"/>
      <c r="CL298" s="59">
        <v>18130</v>
      </c>
      <c r="CM298" s="143">
        <f>CL298</f>
        <v>18130</v>
      </c>
      <c r="CN298" s="305"/>
      <c r="CO298" s="305"/>
      <c r="CP298" s="305"/>
      <c r="CQ298" s="305"/>
      <c r="CR298" s="59">
        <v>20607</v>
      </c>
      <c r="CS298" s="143">
        <f>CR298</f>
        <v>20607</v>
      </c>
      <c r="CT298" s="243"/>
      <c r="CU298" s="305"/>
      <c r="CV298" s="305"/>
      <c r="CW298" s="305"/>
      <c r="CX298" s="447">
        <v>22000</v>
      </c>
      <c r="CY298" s="143">
        <f>CX298</f>
        <v>22000</v>
      </c>
      <c r="CZ298" s="243"/>
      <c r="DA298" s="305"/>
      <c r="DB298" s="305"/>
      <c r="DC298" s="305"/>
      <c r="DD298" s="663">
        <v>28000</v>
      </c>
      <c r="DE298" s="143">
        <f t="shared" si="149"/>
        <v>28000</v>
      </c>
      <c r="DF298" s="243"/>
      <c r="DG298" s="305"/>
      <c r="DH298" s="305"/>
      <c r="DI298" s="305"/>
      <c r="DJ298" s="663">
        <v>30000</v>
      </c>
      <c r="DK298" s="1044">
        <f t="shared" si="150"/>
        <v>30000</v>
      </c>
      <c r="DL298" s="243"/>
      <c r="DM298" s="305"/>
      <c r="DN298" s="305"/>
      <c r="DO298" s="305"/>
      <c r="DP298" s="663">
        <v>32000</v>
      </c>
      <c r="DQ298" s="1044">
        <f t="shared" si="151"/>
        <v>32000</v>
      </c>
      <c r="DR298" s="243"/>
      <c r="DS298" s="305"/>
      <c r="DT298" s="305"/>
      <c r="DU298" s="305"/>
      <c r="DV298" s="663">
        <v>35000</v>
      </c>
      <c r="DW298" s="1044">
        <f t="shared" si="152"/>
        <v>35000</v>
      </c>
      <c r="DX298" s="243"/>
      <c r="DY298" s="305"/>
      <c r="DZ298" s="305"/>
      <c r="EA298" s="305"/>
      <c r="EB298" s="1570">
        <v>36000</v>
      </c>
      <c r="EC298" s="1044">
        <f t="shared" si="153"/>
        <v>36000</v>
      </c>
      <c r="ED298" s="243"/>
      <c r="EE298" s="305"/>
      <c r="EF298" s="305"/>
      <c r="EG298" s="305"/>
      <c r="EH298" s="663">
        <v>38000</v>
      </c>
      <c r="EI298" s="1044">
        <f t="shared" si="154"/>
        <v>38000</v>
      </c>
      <c r="EJ298" s="243"/>
      <c r="EK298" s="305"/>
      <c r="EL298" s="305"/>
      <c r="EM298" s="305"/>
      <c r="EN298" s="447">
        <v>40000</v>
      </c>
      <c r="EO298" s="1044">
        <f t="shared" si="155"/>
        <v>40000</v>
      </c>
      <c r="EP298" s="243"/>
      <c r="EQ298" s="305"/>
      <c r="ER298" s="305"/>
      <c r="ES298" s="305"/>
      <c r="ET298" s="447">
        <v>40000</v>
      </c>
      <c r="EU298" s="1044">
        <f t="shared" si="157"/>
        <v>40000</v>
      </c>
      <c r="EV298" s="243"/>
      <c r="EW298" s="305"/>
      <c r="EX298" s="305"/>
      <c r="EY298" s="305"/>
      <c r="EZ298" s="663">
        <f>EZ$300*(ET298/ET$300)</f>
        <v>41876.139633768107</v>
      </c>
      <c r="FA298" s="1044">
        <f>EZ298</f>
        <v>41876.139633768107</v>
      </c>
      <c r="FB298" s="243"/>
      <c r="FC298" s="305"/>
      <c r="FD298" s="305"/>
      <c r="FE298" s="305"/>
      <c r="FF298" s="663">
        <f>FF$300*(EZ298/EZ$300)</f>
        <v>43684.982103067669</v>
      </c>
      <c r="FG298" s="1044">
        <f>FF298</f>
        <v>43684.982103067669</v>
      </c>
      <c r="FH298" s="243"/>
      <c r="FI298" s="305"/>
      <c r="FJ298" s="305"/>
      <c r="FK298" s="305"/>
      <c r="FL298" s="663">
        <f>FL$300*(FF298/FF$300)</f>
        <v>45589.490541092469</v>
      </c>
      <c r="FM298" s="1044">
        <f>FL298</f>
        <v>45589.490541092469</v>
      </c>
      <c r="FQ298"/>
      <c r="FR298"/>
      <c r="FS298"/>
      <c r="FT298"/>
      <c r="FU298"/>
      <c r="FV298"/>
      <c r="GB298" s="24"/>
      <c r="GC298" s="24"/>
      <c r="GD298" s="24"/>
      <c r="GE298" s="24"/>
      <c r="GF298" s="24"/>
      <c r="GG298" s="24"/>
      <c r="GH298" s="24"/>
      <c r="GI298" s="24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</row>
    <row r="299" spans="1:274" s="28" customFormat="1" ht="12.75" hidden="1" customHeight="1" outlineLevel="1" x14ac:dyDescent="0.2">
      <c r="A299" s="18" t="s">
        <v>179</v>
      </c>
      <c r="B299" s="595"/>
      <c r="C299" s="406"/>
      <c r="D299" s="406"/>
      <c r="E299" s="406"/>
      <c r="F299" s="406"/>
      <c r="G299" s="406"/>
      <c r="H299" s="406"/>
      <c r="I299" s="406"/>
      <c r="AW299" s="243">
        <f>AW281</f>
        <v>3961</v>
      </c>
      <c r="AX299" s="243"/>
      <c r="AY299" s="243"/>
      <c r="AZ299" s="243"/>
      <c r="BA299" s="243"/>
      <c r="BB299" s="243"/>
      <c r="BC299" s="243">
        <f>BC281</f>
        <v>4349</v>
      </c>
      <c r="BD299" s="243"/>
      <c r="BE299" s="243"/>
      <c r="BF299" s="243"/>
      <c r="BG299" s="243"/>
      <c r="BH299" s="243"/>
      <c r="BI299" s="243">
        <f>BI281</f>
        <v>4926</v>
      </c>
      <c r="BJ299" s="243"/>
      <c r="BK299" s="243"/>
      <c r="BL299" s="243"/>
      <c r="BM299" s="243"/>
      <c r="BN299" s="243"/>
      <c r="BO299" s="243">
        <f>BO281</f>
        <v>5037</v>
      </c>
      <c r="BP299" s="243"/>
      <c r="BQ299" s="243"/>
      <c r="BR299" s="243"/>
      <c r="BS299" s="243"/>
      <c r="BT299" s="243"/>
      <c r="BU299" s="243">
        <f>BU281</f>
        <v>4705</v>
      </c>
      <c r="BV299" s="305"/>
      <c r="BW299" s="305"/>
      <c r="BX299" s="305"/>
      <c r="BY299" s="305"/>
      <c r="BZ299" s="243">
        <f>CA299</f>
        <v>6251</v>
      </c>
      <c r="CA299" s="243">
        <v>6251</v>
      </c>
      <c r="CB299" s="305"/>
      <c r="CC299" s="305"/>
      <c r="CD299" s="243"/>
      <c r="CE299" s="243"/>
      <c r="CF299" s="243">
        <v>6232</v>
      </c>
      <c r="CG299" s="143">
        <f>CF299</f>
        <v>6232</v>
      </c>
      <c r="CH299" s="305"/>
      <c r="CI299" s="305"/>
      <c r="CJ299" s="305"/>
      <c r="CK299" s="305"/>
      <c r="CL299" s="243">
        <f>CL300-CL298-CL297-CL292-CL291</f>
        <v>7799</v>
      </c>
      <c r="CM299" s="143">
        <f>CL299</f>
        <v>7799</v>
      </c>
      <c r="CN299" s="305"/>
      <c r="CO299" s="305"/>
      <c r="CP299" s="305"/>
      <c r="CQ299" s="305"/>
      <c r="CR299" s="59">
        <v>8304</v>
      </c>
      <c r="CS299" s="143">
        <f>CR299</f>
        <v>8304</v>
      </c>
      <c r="CT299" s="243"/>
      <c r="CU299" s="305"/>
      <c r="CV299" s="305"/>
      <c r="CW299" s="305"/>
      <c r="CX299" s="447">
        <v>8000</v>
      </c>
      <c r="CY299" s="143">
        <f>CX299</f>
        <v>8000</v>
      </c>
      <c r="CZ299" s="243"/>
      <c r="DA299" s="305"/>
      <c r="DB299" s="305"/>
      <c r="DC299" s="305"/>
      <c r="DD299" s="663">
        <v>12000</v>
      </c>
      <c r="DE299" s="143">
        <f t="shared" si="149"/>
        <v>12000</v>
      </c>
      <c r="DF299" s="243"/>
      <c r="DG299" s="305"/>
      <c r="DH299" s="305"/>
      <c r="DI299" s="305"/>
      <c r="DJ299" s="663">
        <v>10000</v>
      </c>
      <c r="DK299" s="1044">
        <f t="shared" si="150"/>
        <v>10000</v>
      </c>
      <c r="DL299" s="243"/>
      <c r="DM299" s="305"/>
      <c r="DN299" s="305"/>
      <c r="DO299" s="305"/>
      <c r="DP299" s="663">
        <v>11000</v>
      </c>
      <c r="DQ299" s="1044">
        <f t="shared" si="151"/>
        <v>11000</v>
      </c>
      <c r="DR299" s="243"/>
      <c r="DS299" s="305"/>
      <c r="DT299" s="305"/>
      <c r="DU299" s="305"/>
      <c r="DV299" s="663">
        <v>11000</v>
      </c>
      <c r="DW299" s="1044">
        <f t="shared" si="152"/>
        <v>11000</v>
      </c>
      <c r="DX299" s="243"/>
      <c r="DY299" s="305"/>
      <c r="DZ299" s="305"/>
      <c r="EA299" s="305"/>
      <c r="EB299" s="1570">
        <v>11000</v>
      </c>
      <c r="EC299" s="1044">
        <f t="shared" si="153"/>
        <v>11000</v>
      </c>
      <c r="ED299" s="243"/>
      <c r="EE299" s="305"/>
      <c r="EF299" s="305"/>
      <c r="EG299" s="305"/>
      <c r="EH299" s="663">
        <v>13000</v>
      </c>
      <c r="EI299" s="1044">
        <f t="shared" si="154"/>
        <v>13000</v>
      </c>
      <c r="EJ299" s="243"/>
      <c r="EK299" s="305"/>
      <c r="EL299" s="305"/>
      <c r="EM299" s="305"/>
      <c r="EN299" s="447">
        <v>13000</v>
      </c>
      <c r="EO299" s="1044">
        <f t="shared" si="155"/>
        <v>13000</v>
      </c>
      <c r="EP299" s="243"/>
      <c r="EQ299" s="305"/>
      <c r="ER299" s="305"/>
      <c r="ES299" s="305"/>
      <c r="ET299" s="447">
        <v>13000</v>
      </c>
      <c r="EU299" s="1044">
        <f t="shared" si="157"/>
        <v>13000</v>
      </c>
      <c r="EV299" s="243"/>
      <c r="EW299" s="305"/>
      <c r="EX299" s="305"/>
      <c r="EY299" s="305"/>
      <c r="EZ299" s="663">
        <f>EZ$300*(ET299/ET$300)</f>
        <v>13609.745380974635</v>
      </c>
      <c r="FA299" s="1044">
        <f>EZ299</f>
        <v>13609.745380974635</v>
      </c>
      <c r="FB299" s="243"/>
      <c r="FC299" s="305"/>
      <c r="FD299" s="305"/>
      <c r="FE299" s="305"/>
      <c r="FF299" s="663">
        <f>FF$300*(EZ299/EZ$300)</f>
        <v>14197.619183496992</v>
      </c>
      <c r="FG299" s="1044">
        <f>FF299</f>
        <v>14197.619183496992</v>
      </c>
      <c r="FH299" s="243"/>
      <c r="FI299" s="305"/>
      <c r="FJ299" s="305"/>
      <c r="FK299" s="305"/>
      <c r="FL299" s="663">
        <f>FL$300*(FF299/FF$300)</f>
        <v>14816.584425855051</v>
      </c>
      <c r="FM299" s="1044">
        <f>FL299</f>
        <v>14816.584425855051</v>
      </c>
      <c r="FQ299"/>
      <c r="FR299"/>
      <c r="FS299"/>
      <c r="FT299"/>
      <c r="FU299"/>
      <c r="FV299"/>
      <c r="GB299" s="24"/>
      <c r="GC299" s="24"/>
      <c r="GD299" s="24"/>
      <c r="GE299" s="24"/>
      <c r="GF299" s="24"/>
      <c r="GG299" s="24"/>
      <c r="GH299" s="24"/>
      <c r="GI299" s="24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</row>
    <row r="300" spans="1:274" s="28" customFormat="1" ht="12.75" customHeight="1" collapsed="1" x14ac:dyDescent="0.2">
      <c r="A300" s="244" t="s">
        <v>698</v>
      </c>
      <c r="B300" s="595"/>
      <c r="C300" s="406"/>
      <c r="D300" s="406"/>
      <c r="E300" s="406"/>
      <c r="F300" s="406"/>
      <c r="G300" s="406"/>
      <c r="H300" s="406"/>
      <c r="I300" s="406"/>
      <c r="AW300" s="243">
        <f>SUM(AW291:AW299)</f>
        <v>41320</v>
      </c>
      <c r="AX300" s="305"/>
      <c r="AY300" s="305"/>
      <c r="AZ300" s="305"/>
      <c r="BA300" s="305"/>
      <c r="BB300" s="305"/>
      <c r="BC300" s="243">
        <f>SUM(BC291:BC299)</f>
        <v>42927</v>
      </c>
      <c r="BD300" s="305"/>
      <c r="BE300" s="305">
        <f>BE319+BE320</f>
        <v>42299</v>
      </c>
      <c r="BF300" s="305">
        <f>BF319+BF320</f>
        <v>42443</v>
      </c>
      <c r="BG300" s="305">
        <f>BG319+BG320</f>
        <v>41935</v>
      </c>
      <c r="BH300" s="305">
        <f>BH319+BH320</f>
        <v>42006</v>
      </c>
      <c r="BI300" s="243">
        <f>SUM(BI291:BI299)</f>
        <v>42006</v>
      </c>
      <c r="BJ300" s="305"/>
      <c r="BK300" s="305">
        <f>BK319+BK320</f>
        <v>41496</v>
      </c>
      <c r="BL300" s="305">
        <f>BL319+BL320</f>
        <v>40645</v>
      </c>
      <c r="BM300" s="305">
        <f>BM319+BM320</f>
        <v>40389</v>
      </c>
      <c r="BN300" s="305">
        <f>BN319+BN320</f>
        <v>40650</v>
      </c>
      <c r="BO300" s="243">
        <f>SUM(BO291:BO299)</f>
        <v>40650</v>
      </c>
      <c r="BP300" s="305"/>
      <c r="BQ300" s="305">
        <f>BQ319+BQ320</f>
        <v>40324</v>
      </c>
      <c r="BR300" s="305">
        <f>BR319+BR320</f>
        <v>40615</v>
      </c>
      <c r="BS300" s="305">
        <f>BS319+BS320</f>
        <v>41194</v>
      </c>
      <c r="BT300" s="305">
        <f>BT319+BT320</f>
        <v>41658</v>
      </c>
      <c r="BU300" s="243">
        <f>SUM(BU291:BU299)</f>
        <v>41658</v>
      </c>
      <c r="BV300" s="305"/>
      <c r="BW300" s="305">
        <f>BW319+BW320</f>
        <v>42068</v>
      </c>
      <c r="BX300" s="305">
        <f>BX319+BX320</f>
        <v>42580</v>
      </c>
      <c r="BY300" s="305">
        <f>BY319+BY320</f>
        <v>50881</v>
      </c>
      <c r="BZ300" s="243">
        <f>SUM(BZ291:BZ299)</f>
        <v>49872</v>
      </c>
      <c r="CA300" s="243">
        <f>SUM(CA291:CA299)</f>
        <v>49872</v>
      </c>
      <c r="CB300" s="305"/>
      <c r="CC300" s="305">
        <f>CC319+CC320</f>
        <v>49516</v>
      </c>
      <c r="CD300" s="305">
        <f>CD319+CD320</f>
        <v>51154</v>
      </c>
      <c r="CE300" s="305">
        <f>CE319+CE320</f>
        <v>55582</v>
      </c>
      <c r="CF300" s="243">
        <f>SUM(CF291:CF299)</f>
        <v>56133</v>
      </c>
      <c r="CG300" s="143">
        <f>SUM(CG291:CG299)</f>
        <v>56133</v>
      </c>
      <c r="CH300" s="305"/>
      <c r="CI300" s="305">
        <f>CI319+CI320</f>
        <v>65126</v>
      </c>
      <c r="CJ300" s="305">
        <f>CJ319+CJ320</f>
        <v>68434</v>
      </c>
      <c r="CK300" s="305">
        <f>CK319+CK320</f>
        <v>70481</v>
      </c>
      <c r="CL300" s="243">
        <v>74674</v>
      </c>
      <c r="CM300" s="143">
        <f>SUM(CM291:CM299)</f>
        <v>74674</v>
      </c>
      <c r="CN300" s="305"/>
      <c r="CO300" s="305">
        <f>CO319+CO320</f>
        <v>77652</v>
      </c>
      <c r="CP300" s="305">
        <f>CP319+CP320</f>
        <v>79649</v>
      </c>
      <c r="CQ300" s="305">
        <f>CQ319+CQ320</f>
        <v>80219</v>
      </c>
      <c r="CR300" s="305">
        <f>CR319+CR320</f>
        <v>84233</v>
      </c>
      <c r="CS300" s="143">
        <f>SUM(CS291:CS299)</f>
        <v>84233</v>
      </c>
      <c r="CT300" s="305"/>
      <c r="CU300" s="305">
        <f>CU319+CU320</f>
        <v>85188</v>
      </c>
      <c r="CV300" s="305">
        <v>86657</v>
      </c>
      <c r="CW300" s="305">
        <f>CW319+CW320</f>
        <v>86588</v>
      </c>
      <c r="CX300" s="305">
        <f>CX319+CX320</f>
        <v>85562</v>
      </c>
      <c r="CY300" s="143">
        <f>CX300</f>
        <v>85562</v>
      </c>
      <c r="CZ300" s="305"/>
      <c r="DA300" s="305">
        <v>84639</v>
      </c>
      <c r="DB300" s="305">
        <v>83366</v>
      </c>
      <c r="DC300" s="305">
        <v>106492</v>
      </c>
      <c r="DD300" s="305">
        <v>104569</v>
      </c>
      <c r="DE300" s="143">
        <f t="shared" si="149"/>
        <v>104569</v>
      </c>
      <c r="DF300" s="305"/>
      <c r="DG300" s="305">
        <v>105236</v>
      </c>
      <c r="DH300" s="305">
        <v>105730</v>
      </c>
      <c r="DI300" s="305">
        <v>107870</v>
      </c>
      <c r="DJ300" s="305">
        <f>DJ319+DJ320</f>
        <v>108429</v>
      </c>
      <c r="DK300" s="143">
        <f>SUM(DK291:DK299)</f>
        <v>108000</v>
      </c>
      <c r="DL300" s="305"/>
      <c r="DM300" s="305">
        <v>109388</v>
      </c>
      <c r="DN300" s="305">
        <v>111298</v>
      </c>
      <c r="DO300" s="305">
        <v>113644</v>
      </c>
      <c r="DP300" s="305">
        <v>115166</v>
      </c>
      <c r="DQ300" s="143">
        <f>SUM(DQ291:DQ299)</f>
        <v>115559.19541819993</v>
      </c>
      <c r="DR300" s="305"/>
      <c r="DS300" s="305">
        <v>115899</v>
      </c>
      <c r="DT300" s="305">
        <v>117229</v>
      </c>
      <c r="DU300" s="305">
        <v>118657</v>
      </c>
      <c r="DV300" s="305">
        <v>120234</v>
      </c>
      <c r="DW300" s="143">
        <f>SUM(DW291:DW299)-DW296</f>
        <v>120000</v>
      </c>
      <c r="DX300" s="305"/>
      <c r="DY300" s="305">
        <f>DY319+DY320</f>
        <v>122327</v>
      </c>
      <c r="DZ300" s="305">
        <f>DZ319+DZ320</f>
        <v>121868</v>
      </c>
      <c r="EA300" s="305">
        <f>EA319+EA320</f>
        <v>122710</v>
      </c>
      <c r="EB300" s="305">
        <f>EB319+EB320</f>
        <v>122274</v>
      </c>
      <c r="EC300" s="143">
        <f>SUM(EC291:EC299)-EC296</f>
        <v>122000</v>
      </c>
      <c r="ED300" s="305"/>
      <c r="EE300" s="305">
        <f>EE319+EE320</f>
        <v>122918</v>
      </c>
      <c r="EF300" s="305">
        <f>EF319+EF320</f>
        <v>130552</v>
      </c>
      <c r="EG300" s="305">
        <f>EG319+EG320</f>
        <v>131562</v>
      </c>
      <c r="EH300" s="305">
        <f>EH319+EH320</f>
        <v>132365</v>
      </c>
      <c r="EI300" s="143">
        <f>SUM(EI291:EI299)-EI296</f>
        <v>132000</v>
      </c>
      <c r="EJ300" s="305"/>
      <c r="EK300" s="305">
        <f>EK319+EK320</f>
        <v>135070</v>
      </c>
      <c r="EL300" s="305">
        <f>EL319+EL320</f>
        <v>136160</v>
      </c>
      <c r="EM300" s="305">
        <f>EM319+EM320</f>
        <v>136406</v>
      </c>
      <c r="EN300" s="305">
        <f>EN319+EN320</f>
        <v>136262</v>
      </c>
      <c r="EO300" s="143">
        <f>SUM(EO291:EO299)-EO296</f>
        <v>136000</v>
      </c>
      <c r="EP300" s="305"/>
      <c r="EQ300" s="305">
        <f>EQ319+EQ320</f>
        <v>137350</v>
      </c>
      <c r="ER300" s="305">
        <f>ER319+ER320</f>
        <v>141682</v>
      </c>
      <c r="ES300" s="305">
        <f>ES319+ES320</f>
        <v>140903</v>
      </c>
      <c r="ET300" s="305">
        <f>ET319+ET320</f>
        <v>138000</v>
      </c>
      <c r="EU300" s="143">
        <f>SUM(EU291:EU299)</f>
        <v>138000</v>
      </c>
      <c r="EV300" s="305"/>
      <c r="EW300" s="305">
        <f>EW319+EW320</f>
        <v>141470.5</v>
      </c>
      <c r="EX300" s="305">
        <f>EX319+EX320</f>
        <v>142961.98119999998</v>
      </c>
      <c r="EY300" s="305">
        <f>EY319+EY320</f>
        <v>144472.68173649997</v>
      </c>
      <c r="EZ300" s="305">
        <f>EZ319+EZ320</f>
        <v>144472.68173649997</v>
      </c>
      <c r="FA300" s="143">
        <f>SUM(FA291:FA299)</f>
        <v>130862.93635552534</v>
      </c>
      <c r="FB300" s="305"/>
      <c r="FC300" s="305">
        <f>FC319+FC320</f>
        <v>146002.87413513995</v>
      </c>
      <c r="FD300" s="305">
        <f>FD319+FD320</f>
        <v>147552.83493062251</v>
      </c>
      <c r="FE300" s="305">
        <f>FE319+FE320</f>
        <v>149122.84472645458</v>
      </c>
      <c r="FF300" s="305">
        <f>FF319+FF320</f>
        <v>150713.18825558346</v>
      </c>
      <c r="FG300" s="143">
        <f>SUM(FG291:FG299)</f>
        <v>136515.56907208645</v>
      </c>
      <c r="FH300" s="305"/>
      <c r="FI300" s="305">
        <f>FI319+FI320</f>
        <v>152324.15444194048</v>
      </c>
      <c r="FJ300" s="305">
        <f>FJ319+FJ320</f>
        <v>153956.03646290544</v>
      </c>
      <c r="FK300" s="305">
        <f>FK319+FK320</f>
        <v>155609.13181270656</v>
      </c>
      <c r="FL300" s="305">
        <f>FL319+FL320</f>
        <v>157283.742366769</v>
      </c>
      <c r="FM300" s="143">
        <f>SUM(FM291:FM299)</f>
        <v>142467.15794091395</v>
      </c>
      <c r="FQ300"/>
      <c r="FR300"/>
      <c r="FS300"/>
      <c r="FT300"/>
      <c r="FU300"/>
      <c r="FV300"/>
      <c r="GB300" s="24"/>
      <c r="GC300" s="24"/>
      <c r="GD300" s="24"/>
      <c r="GE300" s="24"/>
      <c r="GF300" s="24"/>
      <c r="GG300" s="24"/>
      <c r="GH300" s="24"/>
      <c r="GI300" s="24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</row>
    <row r="301" spans="1:274" s="28" customFormat="1" ht="12.75" customHeight="1" x14ac:dyDescent="0.2">
      <c r="A301" s="244" t="s">
        <v>611</v>
      </c>
      <c r="B301" s="595"/>
      <c r="C301" s="406"/>
      <c r="D301" s="406"/>
      <c r="E301" s="406"/>
      <c r="F301" s="406"/>
      <c r="G301" s="406"/>
      <c r="H301" s="406"/>
      <c r="I301" s="406"/>
      <c r="AW301" s="243"/>
      <c r="AX301" s="305"/>
      <c r="AY301" s="305"/>
      <c r="AZ301" s="305"/>
      <c r="BA301" s="305"/>
      <c r="BB301" s="305"/>
      <c r="BC301" s="243"/>
      <c r="BD301" s="305"/>
      <c r="BE301" s="305"/>
      <c r="BF301" s="305"/>
      <c r="BG301" s="305"/>
      <c r="BH301" s="305"/>
      <c r="BI301" s="243"/>
      <c r="BJ301" s="305"/>
      <c r="BK301" s="305"/>
      <c r="BL301" s="305"/>
      <c r="BM301" s="305"/>
      <c r="BN301" s="305"/>
      <c r="BO301" s="243"/>
      <c r="BP301" s="305"/>
      <c r="BQ301" s="305"/>
      <c r="BR301" s="305"/>
      <c r="BS301" s="305"/>
      <c r="BT301" s="305"/>
      <c r="BU301" s="69">
        <f>BU300/BO300-1</f>
        <v>2.4797047970479769E-2</v>
      </c>
      <c r="BV301" s="305"/>
      <c r="BW301" s="69">
        <f>BW300/BQ300-1</f>
        <v>4.3249677611348014E-2</v>
      </c>
      <c r="BX301" s="69">
        <f>BX300/BR300-1</f>
        <v>4.8381139972916376E-2</v>
      </c>
      <c r="BY301" s="69">
        <f>BY300/BS300-1</f>
        <v>0.23515560518522105</v>
      </c>
      <c r="BZ301" s="69">
        <f>BZ300/BT300-1</f>
        <v>0.19717701281866629</v>
      </c>
      <c r="CA301" s="69">
        <f>CA300/BU300-1</f>
        <v>0.19717701281866629</v>
      </c>
      <c r="CB301" s="305"/>
      <c r="CC301" s="69">
        <f>CC300/BW300-1</f>
        <v>0.17704668631739096</v>
      </c>
      <c r="CD301" s="69">
        <f>CD300/BX300-1</f>
        <v>0.20136214185063417</v>
      </c>
      <c r="CE301" s="69">
        <f>CE300/BY300-1</f>
        <v>9.2392052043002382E-2</v>
      </c>
      <c r="CF301" s="69">
        <f>CF300/BZ300-1</f>
        <v>0.125541385948027</v>
      </c>
      <c r="CG301" s="479">
        <f>CG300/CA300-1</f>
        <v>0.125541385948027</v>
      </c>
      <c r="CH301" s="305"/>
      <c r="CI301" s="69">
        <f>CI300/CC300-1</f>
        <v>0.31525163583488158</v>
      </c>
      <c r="CJ301" s="69">
        <f>CJ300/CD300-1</f>
        <v>0.33780349532783349</v>
      </c>
      <c r="CK301" s="69">
        <f>CK300/CE300-1</f>
        <v>0.26805440610269504</v>
      </c>
      <c r="CL301" s="69">
        <f>CL300/CF300-1</f>
        <v>0.33030481178629323</v>
      </c>
      <c r="CM301" s="479">
        <f>CM300/CG300-1</f>
        <v>0.33030481178629323</v>
      </c>
      <c r="CN301" s="305"/>
      <c r="CO301" s="69">
        <f>CO300/CI300-1</f>
        <v>0.19233485858182608</v>
      </c>
      <c r="CP301" s="69">
        <f>CP300/CJ300-1</f>
        <v>0.16388052722331015</v>
      </c>
      <c r="CQ301" s="69">
        <f>CQ300/CK300-1</f>
        <v>0.13816489550375288</v>
      </c>
      <c r="CR301" s="69">
        <f>CR300/CL300-1</f>
        <v>0.12800974904250473</v>
      </c>
      <c r="CS301" s="479">
        <f>CS300/CM300-1</f>
        <v>0.12800974904250473</v>
      </c>
      <c r="CT301" s="305"/>
      <c r="CU301" s="69">
        <f>CU300/CO300-1</f>
        <v>9.7048369649204158E-2</v>
      </c>
      <c r="CV301" s="69">
        <f>CV300/CP300-1</f>
        <v>8.7986038744993555E-2</v>
      </c>
      <c r="CW301" s="69">
        <f>CW300/CQ300-1</f>
        <v>7.9395155761103897E-2</v>
      </c>
      <c r="CX301" s="69">
        <f>CX300/CR300-1</f>
        <v>1.5777664335830277E-2</v>
      </c>
      <c r="CY301" s="479">
        <f>CY300/CS300-1</f>
        <v>1.5777664335830277E-2</v>
      </c>
      <c r="CZ301" s="305"/>
      <c r="DA301" s="69">
        <f>DA300/CU300-1</f>
        <v>-6.4445696576982403E-3</v>
      </c>
      <c r="DB301" s="69">
        <f>DB300/CV300-1</f>
        <v>-3.7977312854126088E-2</v>
      </c>
      <c r="DC301" s="69">
        <f>DC300/CW300-1</f>
        <v>0.22987018986464647</v>
      </c>
      <c r="DD301" s="69">
        <f>DD300/CX300-1</f>
        <v>0.22214300740983139</v>
      </c>
      <c r="DE301" s="479">
        <f>DE300/CY300-1</f>
        <v>0.22214300740983139</v>
      </c>
      <c r="DF301" s="305"/>
      <c r="DG301" s="69">
        <f>DG300/DA300-1</f>
        <v>0.24335117380876436</v>
      </c>
      <c r="DH301" s="69">
        <f>DH300/DB300-1</f>
        <v>0.26826284096634123</v>
      </c>
      <c r="DI301" s="69">
        <f>DI300/DC300-1</f>
        <v>1.2939939150358626E-2</v>
      </c>
      <c r="DJ301" s="69">
        <f>DJ300/DD300-1</f>
        <v>3.691342558502031E-2</v>
      </c>
      <c r="DK301" s="479">
        <f>DK300/DE300-1</f>
        <v>3.2810871290726684E-2</v>
      </c>
      <c r="DL301" s="305"/>
      <c r="DM301" s="69">
        <f>DM300/DG300-1</f>
        <v>3.9454179178227911E-2</v>
      </c>
      <c r="DN301" s="69">
        <f>DN300/DH300-1</f>
        <v>5.2662442069422166E-2</v>
      </c>
      <c r="DO301" s="69">
        <f>DO300/DI300-1</f>
        <v>5.3527394085473246E-2</v>
      </c>
      <c r="DP301" s="69">
        <f>DP300/DJ300-1</f>
        <v>6.2132824244436557E-2</v>
      </c>
      <c r="DQ301" s="479">
        <f>DQ300/DK300-1</f>
        <v>6.9992550168517909E-2</v>
      </c>
      <c r="DR301" s="305"/>
      <c r="DS301" s="69">
        <f>DS300/DM300-1</f>
        <v>5.9522068234175496E-2</v>
      </c>
      <c r="DT301" s="69">
        <f>DT300/DN300-1</f>
        <v>5.328936728422784E-2</v>
      </c>
      <c r="DU301" s="69">
        <f>DU300/DO300-1</f>
        <v>4.4111435711520208E-2</v>
      </c>
      <c r="DV301" s="69">
        <f>DV300/DP300-1</f>
        <v>4.4006043450323773E-2</v>
      </c>
      <c r="DW301" s="479">
        <f>DW300/DQ300-1</f>
        <v>3.8428829187752145E-2</v>
      </c>
      <c r="DX301" s="305"/>
      <c r="DY301" s="69">
        <f>DY300/DS300-1</f>
        <v>5.5462083365689141E-2</v>
      </c>
      <c r="DZ301" s="69">
        <f>DZ300/DT300-1</f>
        <v>3.9572119526738225E-2</v>
      </c>
      <c r="EA301" s="69">
        <f>EA300/DU300-1</f>
        <v>3.4157276856822572E-2</v>
      </c>
      <c r="EB301" s="69">
        <f>EB300/DV300-1</f>
        <v>1.6966914516692411E-2</v>
      </c>
      <c r="EC301" s="479">
        <f>EC300/DW300-1</f>
        <v>1.6666666666666607E-2</v>
      </c>
      <c r="ED301" s="305"/>
      <c r="EE301" s="69">
        <f>EE300/DY300-1</f>
        <v>4.8313127927603894E-3</v>
      </c>
      <c r="EF301" s="69">
        <f>EF300/DZ300-1</f>
        <v>7.1257426067548479E-2</v>
      </c>
      <c r="EG301" s="69">
        <f>EG300/EA300-1</f>
        <v>7.2137560101051212E-2</v>
      </c>
      <c r="EH301" s="69">
        <f>EH300/EB300-1</f>
        <v>8.2527765510247431E-2</v>
      </c>
      <c r="EI301" s="479">
        <f>EI300/EC300-1</f>
        <v>8.1967213114754189E-2</v>
      </c>
      <c r="EJ301" s="305"/>
      <c r="EK301" s="69">
        <f>EK300/EE300-1</f>
        <v>9.886265640508296E-2</v>
      </c>
      <c r="EL301" s="69">
        <f>EL300/EF300-1</f>
        <v>4.2956063484282048E-2</v>
      </c>
      <c r="EM301" s="69">
        <f>EM300/EG300-1</f>
        <v>3.6819142305528851E-2</v>
      </c>
      <c r="EN301" s="69">
        <f>EN300/EH300-1</f>
        <v>2.9441317568843717E-2</v>
      </c>
      <c r="EO301" s="479">
        <f>EO300/EI300-1</f>
        <v>3.0303030303030276E-2</v>
      </c>
      <c r="EP301" s="305"/>
      <c r="EQ301" s="69">
        <f>EQ300/EK300-1</f>
        <v>1.6880136225660758E-2</v>
      </c>
      <c r="ER301" s="69">
        <f>ER300/EL300-1</f>
        <v>4.0555229142185567E-2</v>
      </c>
      <c r="ES301" s="69">
        <f>ES300/EM300-1</f>
        <v>3.296775801650953E-2</v>
      </c>
      <c r="ET301" s="69">
        <f>ET300/EN300-1</f>
        <v>1.2754839940702478E-2</v>
      </c>
      <c r="EU301" s="479">
        <f>EU300/EO300-1</f>
        <v>1.4705882352941124E-2</v>
      </c>
      <c r="EV301" s="305"/>
      <c r="EW301" s="69">
        <f>EW300/EQ300-1</f>
        <v>3.0000000000000027E-2</v>
      </c>
      <c r="EX301" s="69">
        <f>EX300/ER300-1</f>
        <v>9.0341835942462367E-3</v>
      </c>
      <c r="EY301" s="69">
        <f>EY300/ES300-1</f>
        <v>2.5334320323200821E-2</v>
      </c>
      <c r="EZ301" s="69">
        <f>EZ300/ET300-1</f>
        <v>4.6903490844202755E-2</v>
      </c>
      <c r="FA301" s="479">
        <f>FA300/EU300-1</f>
        <v>-5.1717852496193206E-2</v>
      </c>
      <c r="FB301" s="305"/>
      <c r="FC301" s="69">
        <f>FC300/EW300-1</f>
        <v>3.2037591831088008E-2</v>
      </c>
      <c r="FD301" s="69">
        <f>FD300/EX300-1</f>
        <v>3.2112409831534627E-2</v>
      </c>
      <c r="FE301" s="69">
        <f>FE300/EY300-1</f>
        <v>3.2187143853506628E-2</v>
      </c>
      <c r="FF301" s="69">
        <f>FF300/EZ300-1</f>
        <v>4.3195062513378124E-2</v>
      </c>
      <c r="FG301" s="479">
        <f>FG300/FA300-1</f>
        <v>4.3195062513377902E-2</v>
      </c>
      <c r="FH301" s="305"/>
      <c r="FI301" s="69">
        <f>FI300/FC300-1</f>
        <v>4.3295588146775588E-2</v>
      </c>
      <c r="FJ301" s="69">
        <f>FJ300/FD300-1</f>
        <v>4.3395991241331533E-2</v>
      </c>
      <c r="FK301" s="69">
        <f>FK300/FE300-1</f>
        <v>4.3496267108840136E-2</v>
      </c>
      <c r="FL301" s="69">
        <f>FL300/FF300-1</f>
        <v>4.3596411085425446E-2</v>
      </c>
      <c r="FM301" s="479">
        <f>FM300/FG300-1</f>
        <v>4.3596411085425668E-2</v>
      </c>
      <c r="FQ301"/>
      <c r="FR301"/>
      <c r="FS301"/>
      <c r="FT301"/>
      <c r="FU301"/>
      <c r="FV301"/>
      <c r="GB301" s="24"/>
      <c r="GC301" s="24"/>
      <c r="GD301" s="24"/>
      <c r="GE301" s="24"/>
      <c r="GF301" s="24"/>
      <c r="GG301" s="24"/>
      <c r="GH301" s="24"/>
      <c r="GI301" s="24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</row>
    <row r="302" spans="1:274" s="28" customFormat="1" ht="5.25" customHeight="1" x14ac:dyDescent="0.2">
      <c r="A302" s="18"/>
      <c r="B302" s="595"/>
      <c r="C302" s="406"/>
      <c r="D302" s="406"/>
      <c r="E302" s="406"/>
      <c r="F302" s="406"/>
      <c r="G302" s="406"/>
      <c r="H302" s="406"/>
      <c r="I302" s="406"/>
      <c r="CG302" s="416"/>
      <c r="CM302" s="416"/>
      <c r="CS302" s="416"/>
      <c r="CY302" s="416"/>
      <c r="DE302" s="416"/>
      <c r="DK302" s="416"/>
      <c r="DQ302" s="416"/>
      <c r="DW302" s="416"/>
      <c r="EC302" s="416"/>
      <c r="EI302" s="416"/>
      <c r="EO302" s="416"/>
      <c r="EU302" s="416"/>
      <c r="FA302" s="416"/>
      <c r="FG302" s="416"/>
      <c r="FM302" s="416"/>
      <c r="FQ302"/>
      <c r="FR302"/>
      <c r="FS302"/>
      <c r="FT302"/>
      <c r="FU302"/>
      <c r="FV302"/>
      <c r="GB302" s="24"/>
      <c r="GC302" s="24"/>
      <c r="GD302" s="24"/>
      <c r="GE302" s="24"/>
      <c r="GF302" s="24"/>
      <c r="GG302" s="24"/>
      <c r="GH302" s="24"/>
      <c r="GI302" s="24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</row>
    <row r="303" spans="1:274" s="28" customFormat="1" ht="12.75" hidden="1" customHeight="1" outlineLevel="1" x14ac:dyDescent="0.2">
      <c r="A303" s="18" t="s">
        <v>612</v>
      </c>
      <c r="B303" s="595"/>
      <c r="C303" s="406"/>
      <c r="D303" s="406"/>
      <c r="E303" s="406"/>
      <c r="F303" s="406"/>
      <c r="G303" s="406"/>
      <c r="H303" s="406"/>
      <c r="I303" s="406"/>
      <c r="CG303" s="416"/>
      <c r="CM303" s="416"/>
      <c r="CO303" s="243">
        <f>CO300-CL300</f>
        <v>2978</v>
      </c>
      <c r="CP303" s="243">
        <f>CP300-CO300</f>
        <v>1997</v>
      </c>
      <c r="CQ303" s="243">
        <f>CQ300-CP300</f>
        <v>570</v>
      </c>
      <c r="CR303" s="243">
        <f>CR300-CQ300</f>
        <v>4014</v>
      </c>
      <c r="CS303" s="416"/>
      <c r="CU303" s="243">
        <f>CU300-CR300</f>
        <v>955</v>
      </c>
      <c r="CV303" s="243">
        <f>CV300-CU300</f>
        <v>1469</v>
      </c>
      <c r="CW303" s="243">
        <f>CW300-CV300</f>
        <v>-69</v>
      </c>
      <c r="CY303" s="416"/>
      <c r="DE303" s="416"/>
      <c r="DK303" s="416"/>
      <c r="DQ303" s="416"/>
      <c r="DW303" s="416"/>
      <c r="EC303" s="416"/>
      <c r="EI303" s="416"/>
      <c r="EO303" s="416"/>
      <c r="EQ303" s="305"/>
      <c r="EU303" s="416"/>
      <c r="FA303" s="416"/>
      <c r="FG303" s="416"/>
      <c r="FM303" s="416"/>
      <c r="FQ303"/>
      <c r="FR303"/>
      <c r="FS303"/>
      <c r="FT303"/>
      <c r="FU303"/>
      <c r="FV303"/>
      <c r="GB303" s="24"/>
      <c r="GC303" s="24"/>
      <c r="GD303" s="24"/>
      <c r="GE303" s="24"/>
      <c r="GF303" s="24"/>
      <c r="GG303" s="24"/>
      <c r="GH303" s="24"/>
      <c r="GI303" s="24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</row>
    <row r="304" spans="1:274" s="28" customFormat="1" ht="12" hidden="1" customHeight="1" outlineLevel="1" x14ac:dyDescent="0.2">
      <c r="A304" s="18" t="s">
        <v>177</v>
      </c>
      <c r="B304" s="595"/>
      <c r="C304" s="406"/>
      <c r="D304" s="406"/>
      <c r="E304" s="406"/>
      <c r="F304" s="406"/>
      <c r="G304" s="406"/>
      <c r="H304" s="406"/>
      <c r="I304" s="406"/>
      <c r="CA304" s="64">
        <f>CA291/CA$300</f>
        <v>0.22948748796920115</v>
      </c>
      <c r="CG304" s="360">
        <f>CG291/CG$300</f>
        <v>0.2411059448096485</v>
      </c>
      <c r="CM304" s="360">
        <f>CM291/CM$300</f>
        <v>0.22634384122987922</v>
      </c>
      <c r="CS304" s="360">
        <f>CS291/CS$300</f>
        <v>0.23108520413614617</v>
      </c>
      <c r="CU304" s="69"/>
      <c r="CV304" s="69"/>
      <c r="CY304" s="416"/>
      <c r="DE304" s="416"/>
      <c r="DK304" s="416"/>
      <c r="DQ304" s="416"/>
      <c r="DW304" s="416"/>
      <c r="EC304" s="416"/>
      <c r="EI304" s="416"/>
      <c r="EO304" s="416"/>
      <c r="EU304" s="416"/>
      <c r="FA304" s="416"/>
      <c r="FG304" s="416"/>
      <c r="FM304" s="416"/>
      <c r="FQ304"/>
      <c r="FR304"/>
      <c r="FS304"/>
      <c r="FT304"/>
      <c r="FU304"/>
      <c r="FV304"/>
      <c r="GB304" s="24"/>
      <c r="GC304" s="24"/>
      <c r="GD304" s="24"/>
      <c r="GE304" s="24"/>
      <c r="GF304" s="24"/>
      <c r="GG304" s="24"/>
      <c r="GH304" s="24"/>
      <c r="GI304" s="2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</row>
    <row r="305" spans="1:274" s="28" customFormat="1" ht="12" hidden="1" customHeight="1" outlineLevel="1" x14ac:dyDescent="0.2">
      <c r="A305" s="18" t="s">
        <v>749</v>
      </c>
      <c r="B305" s="595"/>
      <c r="C305" s="406"/>
      <c r="D305" s="406"/>
      <c r="E305" s="406"/>
      <c r="F305" s="406"/>
      <c r="G305" s="406"/>
      <c r="H305" s="406"/>
      <c r="I305" s="406"/>
      <c r="CA305" s="64">
        <f>CA292/CA$300</f>
        <v>9.8993423163298039E-2</v>
      </c>
      <c r="CG305" s="360">
        <f>CG292/CG$300</f>
        <v>9.798157946306095E-2</v>
      </c>
      <c r="CM305" s="360">
        <f>CM292/CM$300</f>
        <v>9.0727696386962001E-2</v>
      </c>
      <c r="CS305" s="360">
        <f>CS292/CS$300</f>
        <v>9.0724537888950893E-2</v>
      </c>
      <c r="CY305" s="416"/>
      <c r="DE305" s="416"/>
      <c r="DK305" s="416"/>
      <c r="DQ305" s="416"/>
      <c r="DW305" s="416"/>
      <c r="EC305" s="416"/>
      <c r="EI305" s="416"/>
      <c r="EO305" s="416"/>
      <c r="EU305" s="416"/>
      <c r="FA305" s="416"/>
      <c r="FG305" s="416"/>
      <c r="FM305" s="416"/>
      <c r="FQ305"/>
      <c r="FR305"/>
      <c r="FS305"/>
      <c r="FT305"/>
      <c r="FU305"/>
      <c r="FV305"/>
      <c r="GB305" s="24"/>
      <c r="GC305" s="24"/>
      <c r="GD305" s="24"/>
      <c r="GE305" s="24"/>
      <c r="GF305" s="24"/>
      <c r="GG305" s="24"/>
      <c r="GH305" s="24"/>
      <c r="GI305" s="24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</row>
    <row r="306" spans="1:274" s="28" customFormat="1" ht="12" hidden="1" customHeight="1" outlineLevel="1" x14ac:dyDescent="0.2">
      <c r="A306" s="18" t="s">
        <v>47</v>
      </c>
      <c r="B306" s="595"/>
      <c r="C306" s="406"/>
      <c r="D306" s="406"/>
      <c r="E306" s="406"/>
      <c r="F306" s="406"/>
      <c r="G306" s="406"/>
      <c r="H306" s="406"/>
      <c r="I306" s="406"/>
      <c r="CA306" s="64">
        <f>CA297/CA$300</f>
        <v>0.28322505614372795</v>
      </c>
      <c r="CG306" s="360">
        <f>CG297/CG$300</f>
        <v>0.29278677426825572</v>
      </c>
      <c r="CM306" s="360">
        <f>CM297/CM$300</f>
        <v>0.33569917240271047</v>
      </c>
      <c r="CS306" s="360">
        <f>CS297/CS$300</f>
        <v>0.3349637315541415</v>
      </c>
      <c r="CY306" s="416"/>
      <c r="DE306" s="416"/>
      <c r="DK306" s="416"/>
      <c r="DQ306" s="416"/>
      <c r="DW306" s="416"/>
      <c r="EC306" s="416"/>
      <c r="EI306" s="416"/>
      <c r="EO306" s="416"/>
      <c r="EU306" s="416"/>
      <c r="FA306" s="416"/>
      <c r="FG306" s="416"/>
      <c r="FM306" s="416"/>
      <c r="FQ306"/>
      <c r="FR306"/>
      <c r="FS306"/>
      <c r="FT306"/>
      <c r="FU306"/>
      <c r="FV306"/>
      <c r="GB306" s="24"/>
      <c r="GC306" s="24"/>
      <c r="GD306" s="24"/>
      <c r="GE306" s="24"/>
      <c r="GF306" s="24"/>
      <c r="GG306" s="24"/>
      <c r="GH306" s="24"/>
      <c r="GI306" s="24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</row>
    <row r="307" spans="1:274" s="28" customFormat="1" ht="12" hidden="1" customHeight="1" outlineLevel="1" x14ac:dyDescent="0.2">
      <c r="A307" s="18" t="s">
        <v>178</v>
      </c>
      <c r="B307" s="595"/>
      <c r="C307" s="406"/>
      <c r="D307" s="406"/>
      <c r="E307" s="406"/>
      <c r="F307" s="406"/>
      <c r="G307" s="406"/>
      <c r="H307" s="406"/>
      <c r="I307" s="406"/>
      <c r="CA307" s="64">
        <f>CA298/CA$300</f>
        <v>0.26295316008982994</v>
      </c>
      <c r="CG307" s="360">
        <f>CG298/CG$300</f>
        <v>0.25710366451107192</v>
      </c>
      <c r="CM307" s="360">
        <f>CM298/CM$300</f>
        <v>0.24278865468570052</v>
      </c>
      <c r="CS307" s="360">
        <f>CS298/CS$300</f>
        <v>0.24464283594315767</v>
      </c>
      <c r="CY307" s="416"/>
      <c r="DE307" s="416"/>
      <c r="DK307" s="416"/>
      <c r="DQ307" s="416"/>
      <c r="DW307" s="416"/>
      <c r="EC307" s="416"/>
      <c r="EI307" s="416"/>
      <c r="EO307" s="416"/>
      <c r="EU307" s="416"/>
      <c r="FA307" s="416"/>
      <c r="FG307" s="416"/>
      <c r="FM307" s="416"/>
      <c r="FQ307"/>
      <c r="FR307"/>
      <c r="FS307"/>
      <c r="FT307"/>
      <c r="FU307"/>
      <c r="FV307"/>
      <c r="GB307" s="24"/>
      <c r="GC307" s="24"/>
      <c r="GD307" s="24"/>
      <c r="GE307" s="24"/>
      <c r="GF307" s="24"/>
      <c r="GG307" s="24"/>
      <c r="GH307" s="24"/>
      <c r="GI307" s="24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</row>
    <row r="308" spans="1:274" s="28" customFormat="1" ht="12" hidden="1" customHeight="1" outlineLevel="1" x14ac:dyDescent="0.2">
      <c r="A308" s="18" t="s">
        <v>179</v>
      </c>
      <c r="B308" s="595"/>
      <c r="C308" s="406"/>
      <c r="D308" s="406"/>
      <c r="E308" s="406"/>
      <c r="F308" s="406"/>
      <c r="G308" s="406"/>
      <c r="H308" s="406"/>
      <c r="I308" s="406"/>
      <c r="CA308" s="64">
        <f>CA299/CA$300</f>
        <v>0.12534087263394289</v>
      </c>
      <c r="CG308" s="360">
        <f>CG299/CG$300</f>
        <v>0.11102203694796288</v>
      </c>
      <c r="CM308" s="360">
        <f>CM299/CM$300</f>
        <v>0.10444063529474784</v>
      </c>
      <c r="CS308" s="360">
        <f>CS299/CS$300</f>
        <v>9.8583690477603791E-2</v>
      </c>
      <c r="CY308" s="416"/>
      <c r="DE308" s="416"/>
      <c r="DK308" s="416"/>
      <c r="DQ308" s="416"/>
      <c r="DW308" s="416"/>
      <c r="EC308" s="416"/>
      <c r="EI308" s="416"/>
      <c r="EO308" s="416"/>
      <c r="EU308" s="416"/>
      <c r="FA308" s="416"/>
      <c r="FG308" s="416"/>
      <c r="FM308" s="416"/>
      <c r="FQ308"/>
      <c r="FR308"/>
      <c r="FS308"/>
      <c r="FT308"/>
      <c r="FU308"/>
      <c r="FV308"/>
      <c r="GB308" s="24"/>
      <c r="GC308" s="24"/>
      <c r="GD308" s="24"/>
      <c r="GE308" s="24"/>
      <c r="GF308" s="24"/>
      <c r="GG308" s="24"/>
      <c r="GH308" s="24"/>
      <c r="GI308" s="24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</row>
    <row r="309" spans="1:274" s="28" customFormat="1" ht="12" hidden="1" customHeight="1" outlineLevel="1" x14ac:dyDescent="0.2">
      <c r="A309" s="244" t="s">
        <v>698</v>
      </c>
      <c r="B309" s="595"/>
      <c r="C309" s="406"/>
      <c r="D309" s="406"/>
      <c r="E309" s="406"/>
      <c r="F309" s="406"/>
      <c r="G309" s="406"/>
      <c r="H309" s="406"/>
      <c r="I309" s="406"/>
      <c r="CA309" s="64">
        <f>CA300/CA$300</f>
        <v>1</v>
      </c>
      <c r="CG309" s="360">
        <f>CG300/CG$300</f>
        <v>1</v>
      </c>
      <c r="CM309" s="360">
        <f>CM300/CM$300</f>
        <v>1</v>
      </c>
      <c r="CS309" s="360">
        <f>CS300/CS$300</f>
        <v>1</v>
      </c>
      <c r="CY309" s="416"/>
      <c r="DE309" s="416"/>
      <c r="DK309" s="416"/>
      <c r="DQ309" s="416"/>
      <c r="DW309" s="416"/>
      <c r="EC309" s="416"/>
      <c r="EI309" s="416"/>
      <c r="EO309" s="416"/>
      <c r="EU309" s="416"/>
      <c r="FA309" s="416"/>
      <c r="FG309" s="416"/>
      <c r="FM309" s="416"/>
      <c r="FQ309"/>
      <c r="FR309"/>
      <c r="FS309"/>
      <c r="FT309"/>
      <c r="FU309"/>
      <c r="FV309"/>
      <c r="GB309" s="24"/>
      <c r="GC309" s="24"/>
      <c r="GD309" s="24"/>
      <c r="GE309" s="24"/>
      <c r="GF309" s="24"/>
      <c r="GG309" s="24"/>
      <c r="GH309" s="24"/>
      <c r="GI309" s="24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</row>
    <row r="310" spans="1:274" s="28" customFormat="1" ht="12" hidden="1" customHeight="1" outlineLevel="1" x14ac:dyDescent="0.2">
      <c r="A310" s="18"/>
      <c r="B310" s="595"/>
      <c r="C310" s="406"/>
      <c r="D310" s="406"/>
      <c r="E310" s="406"/>
      <c r="F310" s="406"/>
      <c r="G310" s="406"/>
      <c r="H310" s="406"/>
      <c r="I310" s="406"/>
      <c r="CG310" s="416"/>
      <c r="CM310" s="416"/>
      <c r="CS310" s="416"/>
      <c r="CY310" s="416"/>
      <c r="DE310" s="416"/>
      <c r="DK310" s="416"/>
      <c r="DQ310" s="416"/>
      <c r="DW310" s="416"/>
      <c r="EC310" s="416"/>
      <c r="EI310" s="416"/>
      <c r="EO310" s="416"/>
      <c r="EU310" s="416"/>
      <c r="FA310" s="416"/>
      <c r="FG310" s="416"/>
      <c r="FM310" s="416"/>
      <c r="FQ310"/>
      <c r="FR310"/>
      <c r="FS310"/>
      <c r="FT310"/>
      <c r="FU310"/>
      <c r="FV310"/>
      <c r="GB310" s="24"/>
      <c r="GC310" s="24"/>
      <c r="GD310" s="24"/>
      <c r="GE310" s="24"/>
      <c r="GF310" s="24"/>
      <c r="GG310" s="24"/>
      <c r="GH310" s="24"/>
      <c r="GI310" s="24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</row>
    <row r="311" spans="1:274" s="28" customFormat="1" ht="12" hidden="1" customHeight="1" outlineLevel="1" x14ac:dyDescent="0.2">
      <c r="A311" s="18"/>
      <c r="B311" s="595"/>
      <c r="C311" s="406"/>
      <c r="D311" s="406"/>
      <c r="E311" s="406"/>
      <c r="F311" s="406"/>
      <c r="G311" s="406"/>
      <c r="H311" s="406"/>
      <c r="I311" s="406"/>
      <c r="CG311" s="416"/>
      <c r="CM311" s="416"/>
      <c r="CS311" s="416"/>
      <c r="CY311" s="416"/>
      <c r="DE311" s="416"/>
      <c r="DK311" s="416"/>
      <c r="DQ311" s="416"/>
      <c r="DW311" s="416"/>
      <c r="EC311" s="416"/>
      <c r="EI311" s="416"/>
      <c r="EO311" s="416"/>
      <c r="EU311" s="416"/>
      <c r="FA311" s="416"/>
      <c r="FG311" s="416"/>
      <c r="FM311" s="416"/>
      <c r="FQ311"/>
      <c r="FR311"/>
      <c r="FS311"/>
      <c r="FT311"/>
      <c r="FU311"/>
      <c r="FV311"/>
      <c r="GB311" s="24"/>
      <c r="GC311" s="24"/>
      <c r="GD311" s="24"/>
      <c r="GE311" s="24"/>
      <c r="GF311" s="24"/>
      <c r="GG311" s="24"/>
      <c r="GH311" s="24"/>
      <c r="GI311" s="24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</row>
    <row r="312" spans="1:274" s="28" customFormat="1" ht="5.25" customHeight="1" collapsed="1" x14ac:dyDescent="0.2">
      <c r="A312" s="18"/>
      <c r="B312" s="595"/>
      <c r="C312" s="406"/>
      <c r="D312" s="406"/>
      <c r="E312" s="406"/>
      <c r="F312" s="406"/>
      <c r="G312" s="406"/>
      <c r="H312" s="406"/>
      <c r="I312" s="406"/>
      <c r="CG312" s="416"/>
      <c r="CM312" s="416"/>
      <c r="CS312" s="416"/>
      <c r="CY312" s="416"/>
      <c r="DE312" s="416"/>
      <c r="DK312" s="416"/>
      <c r="DQ312" s="416"/>
      <c r="DW312" s="416"/>
      <c r="EC312" s="416"/>
      <c r="EI312" s="416"/>
      <c r="EO312" s="416"/>
      <c r="EU312" s="416"/>
      <c r="FA312" s="416"/>
      <c r="FG312" s="416"/>
      <c r="FM312" s="416"/>
      <c r="FQ312"/>
      <c r="FR312"/>
      <c r="FS312"/>
      <c r="FT312"/>
      <c r="FU312"/>
      <c r="FV312"/>
      <c r="GB312" s="24"/>
      <c r="GC312" s="24"/>
      <c r="GD312" s="24"/>
      <c r="GE312" s="24"/>
      <c r="GF312" s="24"/>
      <c r="GG312" s="24"/>
      <c r="GH312" s="24"/>
      <c r="GI312" s="24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</row>
    <row r="313" spans="1:274" s="28" customFormat="1" ht="14.25" customHeight="1" x14ac:dyDescent="0.2">
      <c r="A313" s="342" t="s">
        <v>878</v>
      </c>
      <c r="B313" s="595"/>
      <c r="C313" s="406"/>
      <c r="D313" s="406"/>
      <c r="E313" s="406"/>
      <c r="F313" s="406"/>
      <c r="G313" s="406"/>
      <c r="H313" s="406"/>
      <c r="I313" s="406"/>
      <c r="AS313" s="119">
        <f>Model!AS91/Metrics!AS282*1000</f>
        <v>46.051957394472424</v>
      </c>
      <c r="AT313" s="119">
        <f>Model!AT91/Metrics!AT282*1000</f>
        <v>54.399582962372889</v>
      </c>
      <c r="AU313" s="119">
        <f>Model!AU91/Metrics!AU282*1000</f>
        <v>58.434954791611986</v>
      </c>
      <c r="AV313" s="119">
        <f>Model!AV91/Metrics!AV282*1000</f>
        <v>81.662875121006778</v>
      </c>
      <c r="AW313" s="65">
        <f>SUM(AS313:AV313)</f>
        <v>240.54937026946408</v>
      </c>
      <c r="AY313" s="119">
        <f>Model!AY91/Metrics!AY282*1000</f>
        <v>55.574253096915236</v>
      </c>
      <c r="AZ313" s="119">
        <f>Model!AZ91/Metrics!AZ282*1000</f>
        <v>63.959049569068142</v>
      </c>
      <c r="BA313" s="119">
        <f>Model!BA91/Metrics!BA282*1000</f>
        <v>62.253209568670911</v>
      </c>
      <c r="BB313" s="119">
        <f>Model!BB91/Metrics!BB282*1000</f>
        <v>76.647098562676163</v>
      </c>
      <c r="BC313" s="65">
        <f>SUM(AY313:BB313)</f>
        <v>258.43361079733046</v>
      </c>
      <c r="BE313" s="119">
        <f>Model!BE91/Metrics!BE282*1000</f>
        <v>53.548665453083999</v>
      </c>
      <c r="BF313" s="119">
        <f>Model!BF91/Metrics!BF282*1000</f>
        <v>56.085502909784886</v>
      </c>
      <c r="BG313" s="119">
        <f>Model!BG91/Metrics!BG282*1000</f>
        <v>53.733635388100623</v>
      </c>
      <c r="BH313" s="119">
        <f>Model!BH91/Metrics!BH282*1000</f>
        <v>66.037732704851692</v>
      </c>
      <c r="BI313" s="65">
        <f>SUM(BE313:BH313)</f>
        <v>229.40553645582119</v>
      </c>
      <c r="BK313" s="119">
        <f>Model!BK91/Metrics!BK282*1000</f>
        <v>48.872180451127818</v>
      </c>
      <c r="BL313" s="119">
        <f>Model!BL91/Metrics!BL282*1000</f>
        <v>56.808955591093614</v>
      </c>
      <c r="BM313" s="119">
        <f>Model!BM91/Metrics!BM282*1000</f>
        <v>57.119512738616947</v>
      </c>
      <c r="BN313" s="119">
        <f>Model!BN91/Metrics!BN282*1000</f>
        <v>69.65313653136532</v>
      </c>
      <c r="BO313" s="65">
        <f>SUM(BK313:BN313)</f>
        <v>232.45378531220371</v>
      </c>
      <c r="BQ313" s="119">
        <f>Model!BQ91/Metrics!BQ282*1000</f>
        <v>51.383791290546569</v>
      </c>
      <c r="BR313" s="119">
        <f>Model!BR91/Metrics!BR282*1000</f>
        <v>61.504370306536991</v>
      </c>
      <c r="BS313" s="119">
        <f>Model!BS91/Metrics!BS282*1000</f>
        <v>60.906928193426225</v>
      </c>
      <c r="BT313" s="119">
        <f>Model!BT91/Metrics!BT282*1000</f>
        <v>73.863363579624561</v>
      </c>
      <c r="BU313" s="65">
        <f>SUM(BQ313:BT313)</f>
        <v>247.65845337013434</v>
      </c>
      <c r="BW313" s="119">
        <f>Model!BW91/Metrics!BW282*1000</f>
        <v>52.652847770276693</v>
      </c>
      <c r="BX313" s="119">
        <f>Model!BX91/Metrics!BX282*1000</f>
        <v>64.725223109441046</v>
      </c>
      <c r="BY313" s="119">
        <f>Model!BY91/Metrics!BY282*1000</f>
        <v>60.78889958923763</v>
      </c>
      <c r="BZ313" s="119">
        <f>Model!BZ91/Metrics!BZ282*1000</f>
        <v>81.308148861084376</v>
      </c>
      <c r="CA313" s="65">
        <f>SUM(BW313:BZ313)</f>
        <v>259.47511933003972</v>
      </c>
      <c r="CC313" s="119">
        <f>Model!CC91/Metrics!CC282*1000</f>
        <v>58.708296308263996</v>
      </c>
      <c r="CD313" s="119">
        <f>Model!CD91/Metrics!CD282*1000</f>
        <v>66.34867263557102</v>
      </c>
      <c r="CE313" s="119">
        <f>Model!CE91/Metrics!CE282*1000</f>
        <v>63.588931668525781</v>
      </c>
      <c r="CF313" s="119">
        <f>Model!CF91/Metrics!CF282*1000</f>
        <v>87.951828692569421</v>
      </c>
      <c r="CG313" s="481">
        <f>SUM(CC313:CF313)</f>
        <v>276.59772930493023</v>
      </c>
      <c r="CI313" s="119">
        <f>Model!CI91/Metrics!CI282*1000</f>
        <v>56.214108036728803</v>
      </c>
      <c r="CJ313" s="119">
        <f>Model!CJ91/Metrics!CJ282*1000</f>
        <v>61.60680363561972</v>
      </c>
      <c r="CK313" s="119">
        <f>Model!CK91/Metrics!CK282*1000</f>
        <v>63.123394957506285</v>
      </c>
      <c r="CL313" s="119">
        <f>Model!CL91/Metrics!CL282*1000</f>
        <v>78.782441010257912</v>
      </c>
      <c r="CM313" s="481">
        <f>SUM(CI313:CL313)</f>
        <v>259.72674764011276</v>
      </c>
      <c r="CO313" s="119">
        <f>Model!CO91/Metrics!CO282*1000</f>
        <v>59.148508731262552</v>
      </c>
      <c r="CP313" s="119">
        <f>Model!CP91/Metrics!CP282*1000</f>
        <v>67.345478285979738</v>
      </c>
      <c r="CQ313" s="119">
        <f>Model!CQ91/Metrics!CQ282*1000</f>
        <v>66.954212842344077</v>
      </c>
      <c r="CR313" s="119">
        <f>Model!CR91/Metrics!CR282*1000</f>
        <v>86.438806643477022</v>
      </c>
      <c r="CS313" s="481">
        <f>SUM(CO313:CR313)</f>
        <v>279.88700650306339</v>
      </c>
      <c r="CU313" s="119">
        <f>Model!CU91/Metrics!CU282*1000</f>
        <v>63.647462083861569</v>
      </c>
      <c r="CV313" s="119">
        <f>Model!CV91/Metrics!CV282*1000</f>
        <v>65.626550653726753</v>
      </c>
      <c r="CW313" s="119">
        <f>Model!CW91/Metrics!CW282*1000</f>
        <v>63.565390123342723</v>
      </c>
      <c r="CX313" s="119">
        <f>Model!CX91/Metrics!CX282*1000</f>
        <v>80.421215025361732</v>
      </c>
      <c r="CY313" s="481">
        <f>SUM(CU313:CX313)</f>
        <v>273.26061788629278</v>
      </c>
      <c r="DA313" s="119">
        <f>Model!DA91/Metrics!DA282*1000</f>
        <v>59.818759673436595</v>
      </c>
      <c r="DB313" s="119">
        <f>Model!DB91/Metrics!DB282*1000</f>
        <v>70.436388935537281</v>
      </c>
      <c r="DC313" s="119">
        <f>Model!DC91/Metrics!DC282*1000</f>
        <v>60.750103294144161</v>
      </c>
      <c r="DD313" s="119">
        <f>Model!DD91/Metrics!DD282*1000</f>
        <v>92.101865753712858</v>
      </c>
      <c r="DE313" s="481">
        <f>SUM(DA313:DD313)</f>
        <v>283.10711765683089</v>
      </c>
      <c r="DG313" s="119">
        <f>Model!DG91/Metrics!DG282*1000</f>
        <v>72.104602987570786</v>
      </c>
      <c r="DH313" s="119">
        <f>Model!DH91/Metrics!DH282*1000</f>
        <v>82.228317412276553</v>
      </c>
      <c r="DI313" s="119">
        <f>Model!DI91/Metrics!DI282*1000</f>
        <v>81.644572170204881</v>
      </c>
      <c r="DJ313" s="119">
        <f>Model!DJ91/Metrics!DJ282*1000</f>
        <v>100.05555555555556</v>
      </c>
      <c r="DK313" s="481">
        <f>SUM(DG313:DJ313)</f>
        <v>336.03304812560776</v>
      </c>
      <c r="DM313" s="119">
        <f>Model!DM91/Metrics!DM282*1000</f>
        <v>76.772589315098543</v>
      </c>
      <c r="DN313" s="119">
        <f>Model!DN91/Metrics!DN282*1000</f>
        <v>79.162997969488416</v>
      </c>
      <c r="DO313" s="119">
        <f>Model!DO91/Metrics!DO282*1000</f>
        <v>79.743226215198348</v>
      </c>
      <c r="DP313" s="119">
        <f>Model!DP91/Metrics!DP282*1000</f>
        <v>94.758012639082551</v>
      </c>
      <c r="DQ313" s="481">
        <f>SUM(DM313:DP313)</f>
        <v>330.4368261388679</v>
      </c>
      <c r="DS313" s="119">
        <f>Model!DS91/Metrics!DS282*1000</f>
        <v>70.8289113797358</v>
      </c>
      <c r="DT313" s="119">
        <f>Model!DT91/Metrics!DT282*1000</f>
        <v>77.736737496694502</v>
      </c>
      <c r="DU313" s="119">
        <f>Model!DU91/Metrics!DU282*1000</f>
        <v>75.596045745299477</v>
      </c>
      <c r="DV313" s="119">
        <f>Model!DV91/Metrics!DV282*1000</f>
        <v>91.341666666666669</v>
      </c>
      <c r="DW313" s="481">
        <f>SUM(DS313:DV313)</f>
        <v>315.50336128839649</v>
      </c>
      <c r="DY313" s="119">
        <f>Model!DY91/Metrics!DY282*1000</f>
        <v>68.513083783629128</v>
      </c>
      <c r="DZ313" s="119">
        <f>Model!DZ91/Metrics!DZ282*1000</f>
        <v>76.172580168707128</v>
      </c>
      <c r="EA313" s="119">
        <f>Model!EA91/Metrics!EA282*1000</f>
        <v>75.910683725857709</v>
      </c>
      <c r="EB313" s="119">
        <f>Model!EB91/Metrics!EB282*1000</f>
        <v>92.836065573770497</v>
      </c>
      <c r="EC313" s="481">
        <f>SUM(DY313:EB313)</f>
        <v>313.43241325196448</v>
      </c>
      <c r="EE313" s="119">
        <f>Model!EE91/Metrics!EE282*1000</f>
        <v>69.957207243853631</v>
      </c>
      <c r="EF313" s="119">
        <f>Model!EF91/Metrics!EF282*1000</f>
        <v>73.595195784055392</v>
      </c>
      <c r="EG313" s="119">
        <f>Model!EG91/Metrics!EG282*1000</f>
        <v>70.947538042899922</v>
      </c>
      <c r="EH313" s="119">
        <f>Model!EH91/Metrics!EH282*1000</f>
        <v>81.151515151515156</v>
      </c>
      <c r="EI313" s="481">
        <f>SUM(EE313:EH313)</f>
        <v>295.6514562223241</v>
      </c>
      <c r="EK313" s="119">
        <f>Model!EK91/Metrics!EK282*1000</f>
        <v>62.56755756274525</v>
      </c>
      <c r="EL313" s="119">
        <f>Model!EL91/Metrics!EL282*1000</f>
        <v>66.069330199764977</v>
      </c>
      <c r="EM313" s="119">
        <f>Model!EM91/Metrics!EM282*1000</f>
        <v>66.082137149392267</v>
      </c>
      <c r="EN313" s="119">
        <f>Model!EN91/Metrics!EN282*1000</f>
        <v>74.619718309859152</v>
      </c>
      <c r="EO313" s="481">
        <f>SUM(EK313:EN313)</f>
        <v>269.33874322176166</v>
      </c>
      <c r="EQ313" s="119">
        <f>Model!EQ91/Metrics!EQ282*1000</f>
        <v>62.708409173643979</v>
      </c>
      <c r="ER313" s="119">
        <f>Model!ER91/Metrics!ER282*1000</f>
        <v>64.015047783063466</v>
      </c>
      <c r="ES313" s="119">
        <f>Model!ES91/Metrics!ES282*1000</f>
        <v>65.818328921314659</v>
      </c>
      <c r="ET313" s="119">
        <f>Model!ET91/Metrics!ET282*1000</f>
        <v>79.282608695652186</v>
      </c>
      <c r="EU313" s="481">
        <f>SUM(EQ313:ET313)</f>
        <v>271.82439457367428</v>
      </c>
      <c r="EW313" s="119">
        <f>Model!EW91/Metrics!EW282*1000</f>
        <v>65.116048928928649</v>
      </c>
      <c r="EX313" s="119">
        <f>Model!EX91/Metrics!EX282*1000</f>
        <v>67.360566209053076</v>
      </c>
      <c r="EY313" s="119">
        <f>Model!EY91/Metrics!EY282*1000</f>
        <v>67.66677189415087</v>
      </c>
      <c r="EZ313" s="119">
        <f>Model!EZ91/Metrics!EZ282*1000</f>
        <v>85.506813294314895</v>
      </c>
      <c r="FA313" s="481">
        <f>SUM(EW313:EZ313)</f>
        <v>285.65020032644748</v>
      </c>
      <c r="FC313" s="119">
        <f>Model!FC91/Metrics!FC282*1000</f>
        <v>65.405525169857071</v>
      </c>
      <c r="FD313" s="119">
        <f>Model!FD91/Metrics!FD282*1000</f>
        <v>67.649510338154698</v>
      </c>
      <c r="FE313" s="119">
        <f>Model!FE91/Metrics!FE282*1000</f>
        <v>67.674644418647702</v>
      </c>
      <c r="FF313" s="119">
        <f>Model!FF91/Metrics!FF282*1000</f>
        <v>83.532429800934779</v>
      </c>
      <c r="FG313" s="481">
        <f>SUM(FC313:FF313)</f>
        <v>284.26210972759424</v>
      </c>
      <c r="FI313" s="119">
        <f>Model!FI91/Metrics!FI282*1000</f>
        <v>65.252911258635578</v>
      </c>
      <c r="FJ313" s="119">
        <f>Model!FJ91/Metrics!FJ282*1000</f>
        <v>67.180565574996351</v>
      </c>
      <c r="FK313" s="119">
        <f>Model!FK91/Metrics!FK282*1000</f>
        <v>67.091230425483872</v>
      </c>
      <c r="FL313" s="119">
        <f>Model!FL91/Metrics!FL282*1000</f>
        <v>81.958535948695953</v>
      </c>
      <c r="FM313" s="481">
        <f>SUM(FI313:FL313)</f>
        <v>281.48324320781171</v>
      </c>
      <c r="FQ313"/>
      <c r="FR313"/>
      <c r="FS313"/>
      <c r="FT313"/>
      <c r="FU313"/>
      <c r="FV313"/>
      <c r="GB313" s="24"/>
      <c r="GC313" s="24"/>
      <c r="GD313" s="24"/>
      <c r="GE313" s="24"/>
      <c r="GF313" s="24"/>
      <c r="GG313" s="24"/>
      <c r="GH313" s="24"/>
      <c r="GI313" s="24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</row>
    <row r="314" spans="1:274" s="27" customFormat="1" x14ac:dyDescent="0.2">
      <c r="A314" s="342" t="s">
        <v>879</v>
      </c>
      <c r="B314" s="20"/>
      <c r="C314" s="406" t="s">
        <v>945</v>
      </c>
      <c r="D314" s="406" t="s">
        <v>945</v>
      </c>
      <c r="E314" s="406" t="s">
        <v>945</v>
      </c>
      <c r="F314" s="406" t="s">
        <v>945</v>
      </c>
      <c r="G314" s="406" t="s">
        <v>945</v>
      </c>
      <c r="H314" s="406" t="s">
        <v>945</v>
      </c>
      <c r="I314" s="406" t="s">
        <v>945</v>
      </c>
      <c r="J314" s="259">
        <f>ltmrev _fy91/J282*1000</f>
        <v>137.68403428877579</v>
      </c>
      <c r="K314" s="259">
        <f>ltmrev _fy92/K282*1000</f>
        <v>144.48529411764704</v>
      </c>
      <c r="L314" s="259">
        <f>ltmrev _fy93/L282*1000</f>
        <v>162.53920190331999</v>
      </c>
      <c r="M314" s="259">
        <f>ltmrev _fy94/M282*1000</f>
        <v>165.96010947089067</v>
      </c>
      <c r="N314" s="342"/>
      <c r="O314" s="406" t="s">
        <v>945</v>
      </c>
      <c r="P314" s="406" t="s">
        <v>945</v>
      </c>
      <c r="Q314" s="406" t="s">
        <v>945</v>
      </c>
      <c r="R314" s="406" t="s">
        <v>945</v>
      </c>
      <c r="S314" s="259">
        <f>ltmrev _fy95/S282*1000</f>
        <v>175.74209216917424</v>
      </c>
      <c r="T314" s="342"/>
      <c r="U314" s="406" t="s">
        <v>945</v>
      </c>
      <c r="V314" s="406" t="s">
        <v>945</v>
      </c>
      <c r="W314" s="406" t="s">
        <v>945</v>
      </c>
      <c r="X314" s="406" t="s">
        <v>945</v>
      </c>
      <c r="Y314" s="259">
        <f>ltmrev _fy96/Y282*1000</f>
        <v>182.71604724613854</v>
      </c>
      <c r="Z314" s="342"/>
      <c r="AA314" s="406" t="s">
        <v>945</v>
      </c>
      <c r="AB314" s="406" t="s">
        <v>945</v>
      </c>
      <c r="AC314" s="406" t="s">
        <v>945</v>
      </c>
      <c r="AD314" s="406" t="s">
        <v>945</v>
      </c>
      <c r="AE314" s="259">
        <f>ltmrev _fy97/AE282*1000</f>
        <v>193.14110971424685</v>
      </c>
      <c r="AF314" s="342"/>
      <c r="AG314" s="406" t="s">
        <v>945</v>
      </c>
      <c r="AH314" s="406" t="s">
        <v>945</v>
      </c>
      <c r="AI314" s="406" t="s">
        <v>945</v>
      </c>
      <c r="AJ314" s="406" t="s">
        <v>945</v>
      </c>
      <c r="AK314" s="259">
        <f>ltmrev _fy98/AK282*1000</f>
        <v>194.11621650997228</v>
      </c>
      <c r="AL314" s="342"/>
      <c r="AM314" s="406" t="s">
        <v>945</v>
      </c>
      <c r="AN314" s="406" t="s">
        <v>945</v>
      </c>
      <c r="AO314" s="406" t="s">
        <v>945</v>
      </c>
      <c r="AP314" s="406" t="s">
        <v>945</v>
      </c>
      <c r="AQ314" s="259">
        <f>ltmrev _fy99/AQ282*1000</f>
        <v>201.53543378995434</v>
      </c>
      <c r="AR314" s="342"/>
      <c r="AS314" s="406" t="s">
        <v>945</v>
      </c>
      <c r="AT314" s="406" t="s">
        <v>945</v>
      </c>
      <c r="AU314" s="406" t="s">
        <v>945</v>
      </c>
      <c r="AV314" s="406" t="s">
        <v>945</v>
      </c>
      <c r="AW314" s="119">
        <f>ltmrev _fy00/AW282*1000</f>
        <v>245.16282671829623</v>
      </c>
      <c r="AX314" s="342"/>
      <c r="AY314" s="406" t="s">
        <v>945</v>
      </c>
      <c r="AZ314" s="406" t="s">
        <v>945</v>
      </c>
      <c r="BA314" s="406" t="s">
        <v>945</v>
      </c>
      <c r="BB314" s="406" t="s">
        <v>945</v>
      </c>
      <c r="BC314" s="119">
        <f>ltmrev _fy01/BC282*1000</f>
        <v>255.33328674260952</v>
      </c>
      <c r="BD314" s="342"/>
      <c r="BE314" s="406" t="s">
        <v>945</v>
      </c>
      <c r="BF314" s="406" t="s">
        <v>945</v>
      </c>
      <c r="BG314" s="406" t="s">
        <v>945</v>
      </c>
      <c r="BH314" s="406" t="s">
        <v>945</v>
      </c>
      <c r="BI314" s="259">
        <f>ltmrev _fy02/BI282*1000</f>
        <v>230.27169928105511</v>
      </c>
      <c r="BJ314" s="342"/>
      <c r="BK314" s="406" t="s">
        <v>945</v>
      </c>
      <c r="BL314" s="406" t="s">
        <v>945</v>
      </c>
      <c r="BM314" s="406" t="s">
        <v>945</v>
      </c>
      <c r="BN314" s="406" t="s">
        <v>945</v>
      </c>
      <c r="BO314" s="119">
        <f>ltmrev _fy03/BO282*1000</f>
        <v>233.09717097170972</v>
      </c>
      <c r="BP314" s="342"/>
      <c r="BQ314" s="406" t="s">
        <v>945</v>
      </c>
      <c r="BR314" s="406" t="s">
        <v>945</v>
      </c>
      <c r="BS314" s="406" t="s">
        <v>945</v>
      </c>
      <c r="BT314" s="406" t="s">
        <v>945</v>
      </c>
      <c r="BU314" s="119">
        <f>ltmrev _fy04/BU282*1000</f>
        <v>243.7947092995343</v>
      </c>
      <c r="BV314" s="342"/>
      <c r="BW314" s="406" t="s">
        <v>945</v>
      </c>
      <c r="BX314" s="406" t="s">
        <v>945</v>
      </c>
      <c r="BY314" s="406" t="s">
        <v>945</v>
      </c>
      <c r="BZ314" s="406" t="s">
        <v>945</v>
      </c>
      <c r="CA314" s="119">
        <f>ltmrev _fy05/CA282*1000</f>
        <v>243.00208533846649</v>
      </c>
      <c r="CB314" s="342"/>
      <c r="CC314" s="406" t="s">
        <v>945</v>
      </c>
      <c r="CD314" s="406" t="s">
        <v>945</v>
      </c>
      <c r="CE314" s="406" t="s">
        <v>945</v>
      </c>
      <c r="CF314" s="406" t="s">
        <v>945</v>
      </c>
      <c r="CG314" s="665">
        <f>ltmrev _fy06/CG282*1000</f>
        <v>263.16783353820387</v>
      </c>
      <c r="CH314" s="342"/>
      <c r="CI314" s="406" t="s">
        <v>945</v>
      </c>
      <c r="CJ314" s="406" t="s">
        <v>945</v>
      </c>
      <c r="CK314" s="406" t="s">
        <v>945</v>
      </c>
      <c r="CL314" s="406" t="s">
        <v>945</v>
      </c>
      <c r="CM314" s="665">
        <f>ltmrev _fy07/CM282*1000</f>
        <v>243.84658649596915</v>
      </c>
      <c r="CN314" s="342"/>
      <c r="CO314" s="406" t="s">
        <v>945</v>
      </c>
      <c r="CP314" s="406" t="s">
        <v>945</v>
      </c>
      <c r="CQ314" s="406" t="s">
        <v>945</v>
      </c>
      <c r="CR314" s="406" t="s">
        <v>945</v>
      </c>
      <c r="CS314" s="665">
        <f>ltmrev _fy08/CS282*1000</f>
        <v>268.41024301639499</v>
      </c>
      <c r="CT314" s="475"/>
      <c r="CU314" s="406" t="s">
        <v>945</v>
      </c>
      <c r="CV314" s="406" t="s">
        <v>945</v>
      </c>
      <c r="CW314" s="406" t="s">
        <v>945</v>
      </c>
      <c r="CX314" s="406" t="s">
        <v>945</v>
      </c>
      <c r="CY314" s="665">
        <f>ltmrev _fy09/CY282*1000</f>
        <v>274.5845118159931</v>
      </c>
      <c r="CZ314" s="475"/>
      <c r="DA314" s="406" t="s">
        <v>945</v>
      </c>
      <c r="DB314" s="406" t="s">
        <v>945</v>
      </c>
      <c r="DC314" s="406" t="s">
        <v>945</v>
      </c>
      <c r="DD314" s="406" t="s">
        <v>945</v>
      </c>
      <c r="DE314" s="665">
        <f>ltmrev _fy10/DE282*1000</f>
        <v>258.54125027493808</v>
      </c>
      <c r="DF314" s="475"/>
      <c r="DG314" s="406" t="s">
        <v>945</v>
      </c>
      <c r="DH314" s="406" t="s">
        <v>945</v>
      </c>
      <c r="DI314" s="406" t="s">
        <v>945</v>
      </c>
      <c r="DJ314" s="406" t="s">
        <v>945</v>
      </c>
      <c r="DK314" s="665">
        <f>ltmrev _fy11/DK282*1000</f>
        <v>332.36111111111109</v>
      </c>
      <c r="DL314" s="475"/>
      <c r="DM314" s="406" t="s">
        <v>945</v>
      </c>
      <c r="DN314" s="406" t="s">
        <v>945</v>
      </c>
      <c r="DO314" s="406" t="s">
        <v>945</v>
      </c>
      <c r="DP314" s="406" t="s">
        <v>945</v>
      </c>
      <c r="DQ314" s="665">
        <f>ltmrev _fy12/DQ282*1000</f>
        <v>322.09897936116835</v>
      </c>
      <c r="DR314" s="475"/>
      <c r="DS314" s="406" t="s">
        <v>945</v>
      </c>
      <c r="DT314" s="406" t="s">
        <v>945</v>
      </c>
      <c r="DU314" s="406" t="s">
        <v>945</v>
      </c>
      <c r="DV314" s="406" t="s">
        <v>945</v>
      </c>
      <c r="DW314" s="665">
        <f>ltmrev _fy13/DW282*1000</f>
        <v>310.44166666666666</v>
      </c>
      <c r="DX314" s="475"/>
      <c r="DY314" s="406" t="s">
        <v>945</v>
      </c>
      <c r="DZ314" s="406" t="s">
        <v>945</v>
      </c>
      <c r="EA314" s="406" t="s">
        <v>945</v>
      </c>
      <c r="EB314" s="406" t="s">
        <v>945</v>
      </c>
      <c r="EC314" s="665">
        <f>ltmrev _fy13/EC282*1000</f>
        <v>305.35245901639348</v>
      </c>
      <c r="ED314" s="475"/>
      <c r="EE314" s="406" t="s">
        <v>945</v>
      </c>
      <c r="EF314" s="406" t="s">
        <v>945</v>
      </c>
      <c r="EG314" s="406" t="s">
        <v>945</v>
      </c>
      <c r="EH314" s="406" t="s">
        <v>945</v>
      </c>
      <c r="EI314" s="665">
        <f>ltmrev _fy13/EI282*1000</f>
        <v>282.21969696969694</v>
      </c>
      <c r="EJ314" s="475"/>
      <c r="EK314" s="406" t="s">
        <v>945</v>
      </c>
      <c r="EL314" s="406" t="s">
        <v>945</v>
      </c>
      <c r="EM314" s="406" t="s">
        <v>945</v>
      </c>
      <c r="EN314" s="406" t="s">
        <v>945</v>
      </c>
      <c r="EO314" s="665">
        <f>ltmrev _fy13/EO282*1000</f>
        <v>262.34507042253517</v>
      </c>
      <c r="EP314" s="475"/>
      <c r="EQ314" s="406" t="s">
        <v>945</v>
      </c>
      <c r="ER314" s="406" t="s">
        <v>945</v>
      </c>
      <c r="ES314" s="406" t="s">
        <v>945</v>
      </c>
      <c r="ET314" s="406" t="s">
        <v>945</v>
      </c>
      <c r="EU314" s="665">
        <f>ltmrev _fy13/EU282*1000</f>
        <v>269.94927536231882</v>
      </c>
      <c r="EV314" s="475"/>
      <c r="EW314" s="406" t="s">
        <v>945</v>
      </c>
      <c r="EX314" s="406" t="s">
        <v>945</v>
      </c>
      <c r="EY314" s="406" t="s">
        <v>945</v>
      </c>
      <c r="EZ314" s="406" t="s">
        <v>945</v>
      </c>
      <c r="FA314" s="665">
        <f>ltmrev _fy13/FA282*1000</f>
        <v>284.67189440707585</v>
      </c>
      <c r="FB314" s="475"/>
      <c r="FC314" s="406" t="s">
        <v>945</v>
      </c>
      <c r="FD314" s="406" t="s">
        <v>945</v>
      </c>
      <c r="FE314" s="406" t="s">
        <v>945</v>
      </c>
      <c r="FF314" s="406" t="s">
        <v>945</v>
      </c>
      <c r="FG314" s="665">
        <f>ltmrev _fy13/FG282*1000</f>
        <v>272.8846259310447</v>
      </c>
      <c r="FH314" s="475"/>
      <c r="FI314" s="406" t="s">
        <v>945</v>
      </c>
      <c r="FJ314" s="406" t="s">
        <v>945</v>
      </c>
      <c r="FK314" s="406" t="s">
        <v>945</v>
      </c>
      <c r="FL314" s="406" t="s">
        <v>945</v>
      </c>
      <c r="FM314" s="665">
        <f>ltmrev _fy13/FM282*1000</f>
        <v>261.48482596564537</v>
      </c>
      <c r="FQ314"/>
      <c r="FR314"/>
      <c r="FS314"/>
      <c r="FT314"/>
      <c r="FU314"/>
      <c r="FV314"/>
      <c r="GB314" s="24"/>
      <c r="GC314" s="24"/>
      <c r="GD314" s="24"/>
      <c r="GE314" s="24"/>
      <c r="GF314" s="24"/>
      <c r="GG314" s="24"/>
      <c r="GH314" s="24"/>
      <c r="GI314" s="2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</row>
    <row r="315" spans="1:274" s="27" customFormat="1" x14ac:dyDescent="0.2">
      <c r="A315" s="342" t="s">
        <v>628</v>
      </c>
      <c r="B315" s="20"/>
      <c r="C315" s="406" t="s">
        <v>945</v>
      </c>
      <c r="D315" s="406" t="s">
        <v>945</v>
      </c>
      <c r="E315" s="406" t="s">
        <v>945</v>
      </c>
      <c r="F315" s="406" t="s">
        <v>945</v>
      </c>
      <c r="G315" s="406" t="s">
        <v>945</v>
      </c>
      <c r="H315" s="406" t="s">
        <v>945</v>
      </c>
      <c r="I315" s="406" t="s">
        <v>945</v>
      </c>
      <c r="J315" s="259">
        <f>ltmrev _fy91/J277*1000</f>
        <v>205.87802924093731</v>
      </c>
      <c r="K315" s="259">
        <f>ltmrev _fy92/K277*1000</f>
        <v>215.3818048958714</v>
      </c>
      <c r="L315" s="259">
        <f>ltmrev _fy93/L277*1000</f>
        <v>245.14761050399608</v>
      </c>
      <c r="M315" s="259">
        <f>ltmrev _fy94/M277*1000</f>
        <v>242.44572328567966</v>
      </c>
      <c r="N315" s="342"/>
      <c r="O315" s="406" t="s">
        <v>945</v>
      </c>
      <c r="P315" s="406" t="s">
        <v>945</v>
      </c>
      <c r="Q315" s="406" t="s">
        <v>945</v>
      </c>
      <c r="R315" s="406" t="s">
        <v>945</v>
      </c>
      <c r="S315" s="259">
        <f>ltmrev _fy95/S277*1000</f>
        <v>251.964161358811</v>
      </c>
      <c r="T315" s="406"/>
      <c r="U315" s="406" t="s">
        <v>945</v>
      </c>
      <c r="V315" s="406" t="s">
        <v>945</v>
      </c>
      <c r="W315" s="406" t="s">
        <v>945</v>
      </c>
      <c r="X315" s="406" t="s">
        <v>945</v>
      </c>
      <c r="Y315" s="259">
        <f>ltmrev _fy96/Y277*1000</f>
        <v>251.27125602427557</v>
      </c>
      <c r="Z315" s="342"/>
      <c r="AA315" s="406" t="s">
        <v>945</v>
      </c>
      <c r="AB315" s="406" t="s">
        <v>945</v>
      </c>
      <c r="AC315" s="406" t="s">
        <v>945</v>
      </c>
      <c r="AD315" s="406" t="s">
        <v>945</v>
      </c>
      <c r="AE315" s="259">
        <f>ltmrev _fy97/AE277*1000</f>
        <v>262.9567470046722</v>
      </c>
      <c r="AF315" s="342"/>
      <c r="AG315" s="406" t="s">
        <v>945</v>
      </c>
      <c r="AH315" s="406" t="s">
        <v>945</v>
      </c>
      <c r="AI315" s="406" t="s">
        <v>945</v>
      </c>
      <c r="AJ315" s="406" t="s">
        <v>945</v>
      </c>
      <c r="AK315" s="259">
        <f>ltmrev _fy98/AK277*1000</f>
        <v>259.55982269374704</v>
      </c>
      <c r="AL315" s="342"/>
      <c r="AM315" s="406" t="s">
        <v>945</v>
      </c>
      <c r="AN315" s="406" t="s">
        <v>945</v>
      </c>
      <c r="AO315" s="406" t="s">
        <v>945</v>
      </c>
      <c r="AP315" s="406" t="s">
        <v>945</v>
      </c>
      <c r="AQ315" s="259">
        <f>ltmrev _fy99/AQ277*1000</f>
        <v>267.03932720232331</v>
      </c>
      <c r="AR315" s="342"/>
      <c r="AS315" s="406" t="s">
        <v>945</v>
      </c>
      <c r="AT315" s="406" t="s">
        <v>945</v>
      </c>
      <c r="AU315" s="406" t="s">
        <v>945</v>
      </c>
      <c r="AV315" s="406" t="s">
        <v>945</v>
      </c>
      <c r="AW315" s="119">
        <f>ltmrev _fy00/AW277*1000</f>
        <v>342.65079150317956</v>
      </c>
      <c r="AX315" s="342"/>
      <c r="AY315" s="406" t="s">
        <v>945</v>
      </c>
      <c r="AZ315" s="406" t="s">
        <v>945</v>
      </c>
      <c r="BA315" s="406" t="s">
        <v>945</v>
      </c>
      <c r="BB315" s="406" t="s">
        <v>945</v>
      </c>
      <c r="BC315" s="119">
        <f>ltmrev _fy01/BC277*1000</f>
        <v>372.53388620759978</v>
      </c>
      <c r="BD315" s="342"/>
      <c r="BE315" s="406" t="s">
        <v>945</v>
      </c>
      <c r="BF315" s="406" t="s">
        <v>945</v>
      </c>
      <c r="BG315" s="406" t="s">
        <v>945</v>
      </c>
      <c r="BH315" s="406" t="s">
        <v>945</v>
      </c>
      <c r="BI315" s="259">
        <f>ltmrev _fy02/BI277*1000</f>
        <v>357.4704534535644</v>
      </c>
      <c r="BJ315" s="406"/>
      <c r="BK315" s="406" t="s">
        <v>945</v>
      </c>
      <c r="BL315" s="406" t="s">
        <v>945</v>
      </c>
      <c r="BM315" s="406" t="s">
        <v>945</v>
      </c>
      <c r="BN315" s="406" t="s">
        <v>945</v>
      </c>
      <c r="BO315" s="259">
        <f>ltmrev _fy03/BO277*1000</f>
        <v>374.99604242520184</v>
      </c>
      <c r="BP315" s="406"/>
      <c r="BQ315" s="406" t="s">
        <v>945</v>
      </c>
      <c r="BR315" s="406" t="s">
        <v>945</v>
      </c>
      <c r="BS315" s="406" t="s">
        <v>945</v>
      </c>
      <c r="BT315" s="406" t="s">
        <v>945</v>
      </c>
      <c r="BU315" s="259">
        <f>ltmrev _fy04/BU277*1000</f>
        <v>410.17770597738291</v>
      </c>
      <c r="BV315" s="406"/>
      <c r="BW315" s="406" t="s">
        <v>945</v>
      </c>
      <c r="BX315" s="406" t="s">
        <v>945</v>
      </c>
      <c r="BY315" s="406" t="s">
        <v>945</v>
      </c>
      <c r="BZ315" s="406" t="s">
        <v>945</v>
      </c>
      <c r="CA315" s="259">
        <f>ltmrev _fy05/CA277*1000</f>
        <v>408.73524451939289</v>
      </c>
      <c r="CB315" s="406"/>
      <c r="CC315" s="406" t="s">
        <v>945</v>
      </c>
      <c r="CD315" s="406" t="s">
        <v>945</v>
      </c>
      <c r="CE315" s="406" t="s">
        <v>945</v>
      </c>
      <c r="CF315" s="406" t="s">
        <v>945</v>
      </c>
      <c r="CG315" s="458">
        <f>ltmrev _fy06/CG277*1000</f>
        <v>416.48763709154474</v>
      </c>
      <c r="CH315" s="406"/>
      <c r="CI315" s="406" t="s">
        <v>945</v>
      </c>
      <c r="CJ315" s="406" t="s">
        <v>945</v>
      </c>
      <c r="CK315" s="406" t="s">
        <v>945</v>
      </c>
      <c r="CL315" s="406" t="s">
        <v>945</v>
      </c>
      <c r="CM315" s="458">
        <f>ltmrev _fy07/CM277*1000</f>
        <v>373.5562621807365</v>
      </c>
      <c r="CN315" s="406"/>
      <c r="CO315" s="406" t="s">
        <v>945</v>
      </c>
      <c r="CP315" s="406" t="s">
        <v>945</v>
      </c>
      <c r="CQ315" s="406" t="s">
        <v>945</v>
      </c>
      <c r="CR315" s="406" t="s">
        <v>945</v>
      </c>
      <c r="CS315" s="458">
        <f>ltmrev _fy08/CS277*1000</f>
        <v>408.68009110299704</v>
      </c>
      <c r="CT315" s="120"/>
      <c r="CU315" s="406" t="s">
        <v>945</v>
      </c>
      <c r="CV315" s="406" t="s">
        <v>945</v>
      </c>
      <c r="CW315" s="406" t="s">
        <v>945</v>
      </c>
      <c r="CX315" s="406" t="s">
        <v>945</v>
      </c>
      <c r="CY315" s="458">
        <f>ltmrev _fy09/CY277*1000</f>
        <v>419.53571428571428</v>
      </c>
      <c r="CZ315" s="120"/>
      <c r="DA315" s="406" t="s">
        <v>945</v>
      </c>
      <c r="DB315" s="406" t="s">
        <v>945</v>
      </c>
      <c r="DC315" s="406" t="s">
        <v>945</v>
      </c>
      <c r="DD315" s="406" t="s">
        <v>945</v>
      </c>
      <c r="DE315" s="458">
        <f>ltmrev _fy10/DE277*1000</f>
        <v>458.22711864406784</v>
      </c>
      <c r="DF315" s="120"/>
      <c r="DG315" s="406" t="s">
        <v>945</v>
      </c>
      <c r="DH315" s="406" t="s">
        <v>945</v>
      </c>
      <c r="DI315" s="406" t="s">
        <v>945</v>
      </c>
      <c r="DJ315" s="406" t="s">
        <v>945</v>
      </c>
      <c r="DK315" s="458">
        <f>ltmrev _fy11/DK277*1000</f>
        <v>588.44262295081978</v>
      </c>
      <c r="DL315" s="120"/>
      <c r="DM315" s="406" t="s">
        <v>945</v>
      </c>
      <c r="DN315" s="406" t="s">
        <v>945</v>
      </c>
      <c r="DO315" s="406" t="s">
        <v>945</v>
      </c>
      <c r="DP315" s="406" t="s">
        <v>945</v>
      </c>
      <c r="DQ315" s="557">
        <f>ltmrev _fy12/DQ277*1000</f>
        <v>567.75405284590965</v>
      </c>
      <c r="DR315" s="120"/>
      <c r="DS315" s="406" t="s">
        <v>945</v>
      </c>
      <c r="DT315" s="406" t="s">
        <v>945</v>
      </c>
      <c r="DU315" s="406" t="s">
        <v>945</v>
      </c>
      <c r="DV315" s="406" t="s">
        <v>945</v>
      </c>
      <c r="DW315" s="557">
        <f>ltmrev _fy13/DW277*1000</f>
        <v>556.01492537313436</v>
      </c>
      <c r="DX315" s="120"/>
      <c r="DY315" s="406" t="s">
        <v>945</v>
      </c>
      <c r="DZ315" s="406" t="s">
        <v>945</v>
      </c>
      <c r="EA315" s="406" t="s">
        <v>945</v>
      </c>
      <c r="EB315" s="406" t="s">
        <v>945</v>
      </c>
      <c r="EC315" s="557">
        <f>ltmrev _fy13/EC277*1000</f>
        <v>591.31746031746036</v>
      </c>
      <c r="ED315" s="120"/>
      <c r="EE315" s="406" t="s">
        <v>945</v>
      </c>
      <c r="EF315" s="406" t="s">
        <v>945</v>
      </c>
      <c r="EG315" s="406" t="s">
        <v>945</v>
      </c>
      <c r="EH315" s="406" t="s">
        <v>945</v>
      </c>
      <c r="EI315" s="557">
        <f>ltmrev _fy13/EI277*1000</f>
        <v>539.89855072463763</v>
      </c>
      <c r="EJ315" s="120"/>
      <c r="EK315" s="406" t="s">
        <v>945</v>
      </c>
      <c r="EL315" s="406" t="s">
        <v>945</v>
      </c>
      <c r="EM315" s="406" t="s">
        <v>945</v>
      </c>
      <c r="EN315" s="406" t="s">
        <v>945</v>
      </c>
      <c r="EO315" s="557">
        <f>ltmrev _fy13/EO277*1000</f>
        <v>524.69014084507035</v>
      </c>
      <c r="EP315" s="120"/>
      <c r="EQ315" s="406" t="s">
        <v>945</v>
      </c>
      <c r="ER315" s="406" t="s">
        <v>945</v>
      </c>
      <c r="ES315" s="406" t="s">
        <v>945</v>
      </c>
      <c r="ET315" s="406" t="s">
        <v>945</v>
      </c>
      <c r="EU315" s="557">
        <f>ltmrev _fy13/EU277*1000</f>
        <v>517.40277777777771</v>
      </c>
      <c r="EV315" s="120"/>
      <c r="EW315" s="406" t="s">
        <v>945</v>
      </c>
      <c r="EX315" s="406" t="s">
        <v>945</v>
      </c>
      <c r="EY315" s="406" t="s">
        <v>945</v>
      </c>
      <c r="EZ315" s="406" t="s">
        <v>945</v>
      </c>
      <c r="FA315" s="557">
        <f>ltmrev _fy13/FA277*1000</f>
        <v>494.22203890117339</v>
      </c>
      <c r="FB315" s="120"/>
      <c r="FC315" s="406" t="s">
        <v>945</v>
      </c>
      <c r="FD315" s="406" t="s">
        <v>945</v>
      </c>
      <c r="FE315" s="406" t="s">
        <v>945</v>
      </c>
      <c r="FF315" s="406" t="s">
        <v>945</v>
      </c>
      <c r="FG315" s="557">
        <f>ltmrev _fy13/FG277*1000</f>
        <v>473.75803113028581</v>
      </c>
      <c r="FH315" s="120"/>
      <c r="FI315" s="406" t="s">
        <v>945</v>
      </c>
      <c r="FJ315" s="406" t="s">
        <v>945</v>
      </c>
      <c r="FK315" s="406" t="s">
        <v>945</v>
      </c>
      <c r="FL315" s="406" t="s">
        <v>945</v>
      </c>
      <c r="FM315" s="557">
        <f>ltmrev _fy13/FM277*1000</f>
        <v>453.96671174591216</v>
      </c>
      <c r="FQ315"/>
      <c r="FR315"/>
      <c r="FS315"/>
      <c r="FT315"/>
      <c r="FU315"/>
      <c r="FV315"/>
      <c r="GB315" s="24"/>
      <c r="GC315" s="24"/>
      <c r="GD315" s="24"/>
      <c r="GE315" s="24"/>
      <c r="GF315" s="24"/>
      <c r="GG315" s="24"/>
      <c r="GH315" s="24"/>
      <c r="GI315" s="24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</row>
    <row r="316" spans="1:274" s="27" customFormat="1" x14ac:dyDescent="0.2">
      <c r="A316" s="342" t="s">
        <v>821</v>
      </c>
      <c r="B316" s="20"/>
      <c r="C316" s="406" t="s">
        <v>945</v>
      </c>
      <c r="D316" s="406" t="s">
        <v>945</v>
      </c>
      <c r="E316" s="406" t="s">
        <v>945</v>
      </c>
      <c r="F316" s="406" t="s">
        <v>945</v>
      </c>
      <c r="G316" s="406" t="s">
        <v>945</v>
      </c>
      <c r="H316" s="406" t="s">
        <v>945</v>
      </c>
      <c r="I316" s="406" t="s">
        <v>945</v>
      </c>
      <c r="J316" s="259">
        <f>ltmrev _fy91/J281*1000</f>
        <v>1000.9240506329115</v>
      </c>
      <c r="K316" s="259">
        <f>ltmrev _fy92/K281*1000</f>
        <v>1097.7653631284916</v>
      </c>
      <c r="L316" s="259">
        <f>ltmrev _fy93/L281*1000</f>
        <v>1256.6889632107022</v>
      </c>
      <c r="M316" s="259">
        <f>ltmrev _fy94/M281*1000</f>
        <v>1397.4490223463688</v>
      </c>
      <c r="N316" s="342"/>
      <c r="O316" s="406" t="s">
        <v>945</v>
      </c>
      <c r="P316" s="406" t="s">
        <v>945</v>
      </c>
      <c r="Q316" s="406" t="s">
        <v>945</v>
      </c>
      <c r="R316" s="406" t="s">
        <v>945</v>
      </c>
      <c r="S316" s="259">
        <f>ltmrev _fy95/S281*1000</f>
        <v>1541.2353246753246</v>
      </c>
      <c r="T316" s="406"/>
      <c r="U316" s="406" t="s">
        <v>945</v>
      </c>
      <c r="V316" s="406" t="s">
        <v>945</v>
      </c>
      <c r="W316" s="406" t="s">
        <v>945</v>
      </c>
      <c r="X316" s="406" t="s">
        <v>945</v>
      </c>
      <c r="Y316" s="259">
        <f>ltmrev _fy96/Y281*1000</f>
        <v>1871.1191847585292</v>
      </c>
      <c r="Z316" s="342"/>
      <c r="AA316" s="406" t="s">
        <v>945</v>
      </c>
      <c r="AB316" s="406" t="s">
        <v>945</v>
      </c>
      <c r="AC316" s="406" t="s">
        <v>945</v>
      </c>
      <c r="AD316" s="406" t="s">
        <v>945</v>
      </c>
      <c r="AE316" s="259">
        <f>ltmrev _fy97/AE281*1000</f>
        <v>2021.4566145092458</v>
      </c>
      <c r="AF316" s="342"/>
      <c r="AG316" s="406" t="s">
        <v>945</v>
      </c>
      <c r="AH316" s="406" t="s">
        <v>945</v>
      </c>
      <c r="AI316" s="406" t="s">
        <v>945</v>
      </c>
      <c r="AJ316" s="406" t="s">
        <v>945</v>
      </c>
      <c r="AK316" s="259">
        <f>ltmrev _fy98/AK281*1000</f>
        <v>2003.3272574312955</v>
      </c>
      <c r="AL316" s="342"/>
      <c r="AM316" s="406" t="s">
        <v>945</v>
      </c>
      <c r="AN316" s="406" t="s">
        <v>945</v>
      </c>
      <c r="AO316" s="406" t="s">
        <v>945</v>
      </c>
      <c r="AP316" s="406" t="s">
        <v>945</v>
      </c>
      <c r="AQ316" s="259">
        <f>ltmrev _fy99/AQ281*1000</f>
        <v>2224.0493827160494</v>
      </c>
      <c r="AR316" s="342"/>
      <c r="AS316" s="119">
        <f>(Model!AS141+Model!AS167)/AS282*1000</f>
        <v>38.025990300048733</v>
      </c>
      <c r="AT316" s="119">
        <f>(Model!AT141+Model!AT167)/AT282*1000</f>
        <v>40.902909891757638</v>
      </c>
      <c r="AU316" s="119">
        <f>(Model!AU141+Model!AU167)/AU282*1000</f>
        <v>40.07197557077081</v>
      </c>
      <c r="AV316" s="119">
        <f>(Model!AV141+Model!AV167)/AV282*1000</f>
        <v>48.059027105517913</v>
      </c>
      <c r="AW316" s="65">
        <f>SUM(AS316:AV316)</f>
        <v>167.05990286809509</v>
      </c>
      <c r="AX316" s="342"/>
      <c r="AY316" s="119">
        <f>(Model!AY141+Model!AY167)/AY282*1000</f>
        <v>39.590745688608209</v>
      </c>
      <c r="AZ316" s="119">
        <f>(Model!AZ141+Model!AZ167)/AZ282*1000</f>
        <v>41.436288748154851</v>
      </c>
      <c r="BA316" s="119">
        <f>(Model!BA141+Model!BA167)/BA282*1000</f>
        <v>41.976978849173364</v>
      </c>
      <c r="BB316" s="119">
        <f>(Model!BB141+Model!BB167)/BB282*1000</f>
        <v>46.481328767442406</v>
      </c>
      <c r="BC316" s="65">
        <f>SUM(AY316:BB316)</f>
        <v>169.48534205337882</v>
      </c>
      <c r="BD316" s="342"/>
      <c r="BE316" s="119">
        <f>(Model!BE141+Model!BE167)/BE282*1000</f>
        <v>35.917563062956567</v>
      </c>
      <c r="BF316" s="119">
        <f>(Model!BF141+Model!BF167)/BF282*1000</f>
        <v>36.766793110760311</v>
      </c>
      <c r="BG316" s="119">
        <f>(Model!BG141+Model!BG167)/BG282*1000</f>
        <v>35.163491117205204</v>
      </c>
      <c r="BH316" s="119">
        <f>(Model!BH141+Model!BH167)/BH282*1000</f>
        <v>36.8402133028615</v>
      </c>
      <c r="BI316" s="65">
        <f>SUM(BE316:BH316)</f>
        <v>144.68806059378358</v>
      </c>
      <c r="BJ316" s="406"/>
      <c r="BK316" s="119">
        <f>(Model!BK141+Model!BK167)/BK282*1000</f>
        <v>34.894929631771738</v>
      </c>
      <c r="BL316" s="119">
        <f>(Model!BL141+Model!BL167)/BL282*1000</f>
        <v>37.273957436339032</v>
      </c>
      <c r="BM316" s="119">
        <f>(Model!BM141+Model!BM167)/BM282*1000</f>
        <v>37.411176310381535</v>
      </c>
      <c r="BN316" s="119">
        <f>(Model!BN141+Model!BN167)/BN282*1000</f>
        <v>38.400984009840101</v>
      </c>
      <c r="BO316" s="65">
        <f>SUM(BK316:BN316)</f>
        <v>147.9810473883324</v>
      </c>
      <c r="BP316" s="406"/>
      <c r="BQ316" s="119">
        <f>(Model!BQ141+Model!BQ167)/BQ282*1000</f>
        <v>36.107529014978674</v>
      </c>
      <c r="BR316" s="119">
        <f>(Model!BR141+Model!BR167)/BR282*1000</f>
        <v>38.975747876400348</v>
      </c>
      <c r="BS316" s="119">
        <f>(Model!BS141+Model!BS167)/BS282*1000</f>
        <v>38.403651017138422</v>
      </c>
      <c r="BT316" s="119">
        <f>(Model!BT141+Model!BT167)/BT282*1000</f>
        <v>40.112343367420422</v>
      </c>
      <c r="BU316" s="65">
        <f>SUM(BQ316:BT316)</f>
        <v>153.59927127593789</v>
      </c>
      <c r="BV316" s="406"/>
      <c r="BW316" s="119">
        <f>(Model!BW141+Model!BW167)/BW282*1000</f>
        <v>34.979081487116098</v>
      </c>
      <c r="BX316" s="119">
        <f>(Model!BX141+Model!BX167)/BX282*1000</f>
        <v>37.616251761390323</v>
      </c>
      <c r="BY316" s="119">
        <f>(Model!BY141+Model!BY167)/BY282*1000</f>
        <v>37.636838898606548</v>
      </c>
      <c r="BZ316" s="119">
        <f>(Model!BZ141+Model!BZ167)/BZ282*1000</f>
        <v>43.912415784408083</v>
      </c>
      <c r="CA316" s="65">
        <f>SUM(BW316:BZ316)</f>
        <v>154.14458793152107</v>
      </c>
      <c r="CB316" s="406"/>
      <c r="CC316" s="119">
        <f>(Model!CC141+Model!CC167)/CC282*1000</f>
        <v>38.068503110105823</v>
      </c>
      <c r="CD316" s="119">
        <f>(Model!CD141+Model!CD167)/CD282*1000</f>
        <v>39.742737615826719</v>
      </c>
      <c r="CE316" s="119">
        <f>(Model!CE141+Model!CE167)/CE282*1000</f>
        <v>38.699579000395815</v>
      </c>
      <c r="CF316" s="119">
        <f>(Model!CF141+Model!CF167)/CF282*1000</f>
        <v>48.744054299609843</v>
      </c>
      <c r="CG316" s="481">
        <f>SUM(CC316:CF316)</f>
        <v>165.25487402593819</v>
      </c>
      <c r="CH316" s="406"/>
      <c r="CI316" s="119">
        <f>(Model!CI141+Model!CI167)/CI282*1000</f>
        <v>35.976414949482539</v>
      </c>
      <c r="CJ316" s="119">
        <f>(Model!CJ141+Model!CJ167)/CJ282*1000</f>
        <v>37.729783440979631</v>
      </c>
      <c r="CK316" s="119">
        <f>(Model!CK141+Model!CK167)/CK282*1000</f>
        <v>38.223067209602583</v>
      </c>
      <c r="CL316" s="119">
        <f>(Model!CL141+Model!CL167)/CL282*1000</f>
        <v>42.437796287864586</v>
      </c>
      <c r="CM316" s="481">
        <f>SUM(CI316:CL316)</f>
        <v>154.36706188792934</v>
      </c>
      <c r="CN316" s="406"/>
      <c r="CO316" s="119">
        <f>(Model!CO141+Model!CO167)/CO282*1000</f>
        <v>37.487765930046876</v>
      </c>
      <c r="CP316" s="119">
        <f>(Model!CP141+Model!CP167)/CP282*1000</f>
        <v>39.548519127672662</v>
      </c>
      <c r="CQ316" s="119">
        <f>(Model!CQ141+Model!CQ167)/CQ282*1000</f>
        <v>39.292436953838866</v>
      </c>
      <c r="CR316" s="119">
        <f>(Model!CR141+Model!CR167)/CR282*1000</f>
        <v>44.36503508126269</v>
      </c>
      <c r="CS316" s="481">
        <f>SUM(CO316:CR316)</f>
        <v>160.6937570928211</v>
      </c>
      <c r="CT316" s="120"/>
      <c r="CU316" s="119">
        <f>(Model!CU141+Model!CU167)/CU282*1000</f>
        <v>38.127435789078277</v>
      </c>
      <c r="CV316" s="119">
        <f>(Model!CV141+Model!CV167)/CV282*1000</f>
        <v>35.519346388635661</v>
      </c>
      <c r="CW316" s="119">
        <f>(Model!CW141+Model!CW167)/CW282*1000</f>
        <v>34.05783711368781</v>
      </c>
      <c r="CX316" s="119">
        <f>(Model!CX141+Model!CX167)/CX282*1000</f>
        <v>39.363268740796144</v>
      </c>
      <c r="CY316" s="481">
        <f>SUM(CU316:CX316)</f>
        <v>147.06788803219789</v>
      </c>
      <c r="CZ316" s="120"/>
      <c r="DA316" s="119">
        <f>(Model!DA141+Model!DA167)/DA282*1000</f>
        <v>32.431857654272854</v>
      </c>
      <c r="DB316" s="119">
        <f>(Model!DB141+Model!DB167)/DB282*1000</f>
        <v>36.177818295228271</v>
      </c>
      <c r="DC316" s="119">
        <f>(Model!DC141+Model!DC167)/DC282*1000</f>
        <v>33.645719866281034</v>
      </c>
      <c r="DD316" s="119">
        <f>(Model!DD141+Model!DD167)/DD282*1000</f>
        <v>49.883808776979798</v>
      </c>
      <c r="DE316" s="481">
        <f>SUM(DA316:DD316)</f>
        <v>152.13920459276196</v>
      </c>
      <c r="DF316" s="120"/>
      <c r="DG316" s="119">
        <f>(Model!DG141+Model!DG167)/DG282*1000</f>
        <v>44.100878026530843</v>
      </c>
      <c r="DH316" s="119">
        <f>(Model!DH141+Model!DH167)/DH282*1000</f>
        <v>45.805353258299448</v>
      </c>
      <c r="DI316" s="119">
        <f>(Model!DI141+Model!DI167)/DI282*1000</f>
        <v>45.564104941132847</v>
      </c>
      <c r="DJ316" s="119">
        <f>(Model!DJ141+Model!DJ167)/DJ282*1000</f>
        <v>51.555555555555557</v>
      </c>
      <c r="DK316" s="481">
        <f>SUM(DG316:DJ316)</f>
        <v>187.02589178151868</v>
      </c>
      <c r="DL316" s="120"/>
      <c r="DM316" s="119">
        <f>(Model!DM141+Model!DM167)/DM282*1000</f>
        <v>44.173035433502761</v>
      </c>
      <c r="DN316" s="119">
        <f>(Model!DN141+Model!DN167)/DN282*1000</f>
        <v>43.8626439776464</v>
      </c>
      <c r="DO316" s="119">
        <f>(Model!DO141+Model!DO167)/DO282*1000</f>
        <v>42.73872795748126</v>
      </c>
      <c r="DP316" s="119">
        <f>(Model!DP141+Model!DP167)/DP282*1000</f>
        <v>47.058133109358295</v>
      </c>
      <c r="DQ316" s="481">
        <f>SUM(DM316:DP316)</f>
        <v>177.83254047798872</v>
      </c>
      <c r="DR316" s="120"/>
      <c r="DS316" s="119">
        <f>(Model!DS141+Model!DS167)/DS282*1000</f>
        <v>39.862293893821345</v>
      </c>
      <c r="DT316" s="119">
        <f>(Model!DT141+Model!DT167)/DT282*1000</f>
        <v>41.295242644738082</v>
      </c>
      <c r="DU316" s="119">
        <f>(Model!DU141+Model!DU167)/DU282*1000</f>
        <v>40.385312286675038</v>
      </c>
      <c r="DV316" s="119">
        <f>(Model!DV141+Model!DV167)/DV282*1000</f>
        <v>44.900000000000006</v>
      </c>
      <c r="DW316" s="481">
        <f>SUM(DS316:DV316)</f>
        <v>166.44284882523448</v>
      </c>
      <c r="DX316" s="120"/>
      <c r="DY316" s="119">
        <f>(Model!DY141+Model!DY167)/DY282*1000</f>
        <v>37.931119049760071</v>
      </c>
      <c r="DZ316" s="119">
        <f>(Model!DZ141+Model!DZ167)/DZ282*1000</f>
        <v>41.331604687038435</v>
      </c>
      <c r="EA316" s="119">
        <f>(Model!EA141+Model!EA167)/EA282*1000</f>
        <v>40.330861380490589</v>
      </c>
      <c r="EB316" s="119">
        <f>(Model!EB141+Model!EB167)/EB282*1000</f>
        <v>45.655737704918039</v>
      </c>
      <c r="EC316" s="481">
        <f>SUM(DY316:EB316)</f>
        <v>165.24932282220715</v>
      </c>
      <c r="ED316" s="120"/>
      <c r="EE316" s="119">
        <f>(Model!EE141+Model!EE167)/EE282*1000</f>
        <v>38.887713760393105</v>
      </c>
      <c r="EF316" s="119">
        <f>(Model!EF141+Model!EF167)/EF282*1000</f>
        <v>39.961088301979288</v>
      </c>
      <c r="EG316" s="119">
        <f>(Model!EG141+Model!EG167)/EG282*1000</f>
        <v>38.977820343260213</v>
      </c>
      <c r="EH316" s="119">
        <f>(Model!EH141+Model!EH167)/EH282*1000</f>
        <v>43.439393939393938</v>
      </c>
      <c r="EI316" s="481">
        <f>SUM(EE316:EH316)</f>
        <v>161.26601634502654</v>
      </c>
      <c r="EJ316" s="120"/>
      <c r="EK316" s="119">
        <f>(Model!EK141+Model!EK167)/EK282*1000</f>
        <v>36.854964092692676</v>
      </c>
      <c r="EL316" s="119">
        <f>(Model!EL141+Model!EL167)/EL282*1000</f>
        <v>38.726498237367807</v>
      </c>
      <c r="EM316" s="119">
        <f>(Model!EM141+Model!EM167)/EM282*1000</f>
        <v>38.055510754658883</v>
      </c>
      <c r="EN316" s="119">
        <f>(Model!EN141+Model!EN167)/EN282*1000</f>
        <v>41.056338028169016</v>
      </c>
      <c r="EO316" s="481">
        <f>SUM(EK316:EN316)</f>
        <v>154.69331111288838</v>
      </c>
      <c r="EP316" s="120"/>
      <c r="EQ316" s="119">
        <f>(Model!EQ141+Model!EQ167)/EQ282*1000</f>
        <v>37.939570440480523</v>
      </c>
      <c r="ER316" s="119">
        <f>(Model!ER141+Model!ER167)/ER282*1000</f>
        <v>37.146567665617368</v>
      </c>
      <c r="ES316" s="119">
        <f>(Model!ES141+Model!ES167)/ES282*1000</f>
        <v>37.827441573280915</v>
      </c>
      <c r="ET316" s="119">
        <f>(Model!ET141+Model!ET167)/ET282*1000</f>
        <v>42.942028985507243</v>
      </c>
      <c r="EU316" s="481">
        <f>SUM(EQ316:ET316)</f>
        <v>155.85560866488606</v>
      </c>
      <c r="EV316" s="120"/>
      <c r="EW316" s="119">
        <f>(Model!EW141+Model!EW167)/EW282*1000</f>
        <v>38.368423098808584</v>
      </c>
      <c r="EX316" s="119">
        <f>(Model!EX141+Model!EX167)/EX282*1000</f>
        <v>37.982126117877286</v>
      </c>
      <c r="EY316" s="119">
        <f>(Model!EY141+Model!EY167)/EY282*1000</f>
        <v>37.979498504828747</v>
      </c>
      <c r="EZ316" s="119">
        <f>(Model!EZ141+Model!EZ167)/EZ282*1000</f>
        <v>45.914711750703269</v>
      </c>
      <c r="FA316" s="481">
        <f>SUM(EW316:EZ316)</f>
        <v>160.24475947221788</v>
      </c>
      <c r="FB316" s="120"/>
      <c r="FC316" s="119">
        <f>(Model!FC141+Model!FC167)/FC282*1000</f>
        <v>38.284961843633553</v>
      </c>
      <c r="FD316" s="119">
        <f>(Model!FD141+Model!FD167)/FD282*1000</f>
        <v>37.966115817383809</v>
      </c>
      <c r="FE316" s="119">
        <f>(Model!FE141+Model!FE167)/FE282*1000</f>
        <v>37.743013092447839</v>
      </c>
      <c r="FF316" s="119">
        <f>(Model!FF141+Model!FF167)/FF282*1000</f>
        <v>44.71870668254985</v>
      </c>
      <c r="FG316" s="481">
        <f>SUM(FC316:FF316)</f>
        <v>158.71279743601505</v>
      </c>
      <c r="FH316" s="120"/>
      <c r="FI316" s="119">
        <f>(Model!FI141+Model!FI167)/FI282*1000</f>
        <v>37.533185407001874</v>
      </c>
      <c r="FJ316" s="119">
        <f>(Model!FJ141+Model!FJ167)/FJ282*1000</f>
        <v>37.385364678223809</v>
      </c>
      <c r="FK316" s="119">
        <f>(Model!FK141+Model!FK167)/FK282*1000</f>
        <v>37.295975369505669</v>
      </c>
      <c r="FL316" s="119">
        <f>(Model!FL141+Model!FL167)/FL282*1000</f>
        <v>44.216052887538666</v>
      </c>
      <c r="FM316" s="481">
        <f>SUM(FI316:FL316)</f>
        <v>156.43057834227002</v>
      </c>
      <c r="FQ316"/>
      <c r="FR316"/>
      <c r="FS316"/>
      <c r="FT316"/>
      <c r="FU316"/>
      <c r="FV316"/>
      <c r="GB316" s="24"/>
      <c r="GC316" s="24"/>
      <c r="GD316" s="24"/>
      <c r="GE316" s="24"/>
      <c r="GF316" s="24"/>
      <c r="GG316" s="24"/>
      <c r="GH316" s="24"/>
      <c r="GI316" s="24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</row>
    <row r="317" spans="1:274" s="27" customFormat="1" x14ac:dyDescent="0.2">
      <c r="A317" s="32" t="s">
        <v>611</v>
      </c>
      <c r="B317" s="21"/>
      <c r="C317" s="136"/>
      <c r="D317" s="136"/>
      <c r="E317" s="136"/>
      <c r="F317" s="136"/>
      <c r="G317" s="136"/>
      <c r="H317" s="136"/>
      <c r="I317" s="136"/>
      <c r="J317" s="250"/>
      <c r="K317" s="250"/>
      <c r="L317" s="250"/>
      <c r="M317" s="250"/>
      <c r="N317" s="19"/>
      <c r="O317" s="136"/>
      <c r="P317" s="136"/>
      <c r="Q317" s="136"/>
      <c r="R317" s="136"/>
      <c r="S317" s="250"/>
      <c r="T317" s="136"/>
      <c r="U317" s="136"/>
      <c r="V317" s="136"/>
      <c r="W317" s="136"/>
      <c r="X317" s="136"/>
      <c r="Y317" s="250"/>
      <c r="Z317" s="19"/>
      <c r="AA317" s="136"/>
      <c r="AB317" s="136"/>
      <c r="AC317" s="136"/>
      <c r="AD317" s="136"/>
      <c r="AE317" s="250"/>
      <c r="AF317" s="19"/>
      <c r="AG317" s="136"/>
      <c r="AH317" s="136"/>
      <c r="AI317" s="136"/>
      <c r="AJ317" s="136"/>
      <c r="AK317" s="250"/>
      <c r="AL317" s="19"/>
      <c r="AM317" s="136"/>
      <c r="AN317" s="136"/>
      <c r="AO317" s="136"/>
      <c r="AP317" s="136"/>
      <c r="AQ317" s="250"/>
      <c r="AR317" s="19"/>
      <c r="AS317" s="136"/>
      <c r="AT317" s="136"/>
      <c r="AU317" s="136"/>
      <c r="AV317" s="136"/>
      <c r="AW317" s="250"/>
      <c r="AX317" s="19"/>
      <c r="AY317" s="136"/>
      <c r="AZ317" s="136"/>
      <c r="BA317" s="136"/>
      <c r="BB317" s="136"/>
      <c r="BC317" s="250"/>
      <c r="BD317" s="19"/>
      <c r="BE317" s="478">
        <f>BE316/AY316-1</f>
        <v>-9.2778818932641616E-2</v>
      </c>
      <c r="BF317" s="478">
        <f>BF316/AZ316-1</f>
        <v>-0.11269097157265251</v>
      </c>
      <c r="BG317" s="478">
        <f>BG316/BA316-1</f>
        <v>-0.16231486683330798</v>
      </c>
      <c r="BH317" s="478">
        <f>BH316/BB316-1</f>
        <v>-0.20741910182511769</v>
      </c>
      <c r="BI317" s="478">
        <f>BI316/BC316-1</f>
        <v>-0.14630929825061467</v>
      </c>
      <c r="BJ317" s="136"/>
      <c r="BK317" s="478">
        <f>BK316/BE316-1</f>
        <v>-2.8471681928764148E-2</v>
      </c>
      <c r="BL317" s="478">
        <f>BL316/BF316-1</f>
        <v>1.3794086529409499E-2</v>
      </c>
      <c r="BM317" s="478">
        <f>BM316/BG316-1</f>
        <v>6.3920990827800894E-2</v>
      </c>
      <c r="BN317" s="478">
        <f>BN316/BH316-1</f>
        <v>4.2365951959821402E-2</v>
      </c>
      <c r="BO317" s="478">
        <f>BO316/BI316-1</f>
        <v>2.2759215798696664E-2</v>
      </c>
      <c r="BP317" s="136"/>
      <c r="BQ317" s="478">
        <f>BQ316/BK316-1</f>
        <v>3.4750016578422027E-2</v>
      </c>
      <c r="BR317" s="478">
        <f>BR316/BL316-1</f>
        <v>4.565628543649658E-2</v>
      </c>
      <c r="BS317" s="478">
        <f>BS316/BM316-1</f>
        <v>2.6528829206620808E-2</v>
      </c>
      <c r="BT317" s="478">
        <f>BT316/BN316-1</f>
        <v>4.4565507934426707E-2</v>
      </c>
      <c r="BU317" s="478">
        <f>BU316/BO316-1</f>
        <v>3.7965834049424885E-2</v>
      </c>
      <c r="BV317" s="136"/>
      <c r="BW317" s="478">
        <f>BW316/BQ316-1</f>
        <v>-3.125241628676545E-2</v>
      </c>
      <c r="BX317" s="478">
        <f>BX316/BR316-1</f>
        <v>-3.4880565199704505E-2</v>
      </c>
      <c r="BY317" s="478">
        <f>BY316/BS316-1</f>
        <v>-1.996716713704294E-2</v>
      </c>
      <c r="BZ317" s="478">
        <f>BZ316/BT316-1</f>
        <v>9.4735737131581121E-2</v>
      </c>
      <c r="CA317" s="478">
        <f>CA316/BU316-1</f>
        <v>3.5502554865871616E-3</v>
      </c>
      <c r="CB317" s="136"/>
      <c r="CC317" s="478">
        <f>CC316/BW316-1</f>
        <v>8.8321976782828271E-2</v>
      </c>
      <c r="CD317" s="478">
        <f>CD316/BX316-1</f>
        <v>5.6531040570582336E-2</v>
      </c>
      <c r="CE317" s="478">
        <f>CE316/BY316-1</f>
        <v>2.8236699278924027E-2</v>
      </c>
      <c r="CF317" s="478">
        <f>CF316/BZ316-1</f>
        <v>0.11002898448864951</v>
      </c>
      <c r="CG317" s="486">
        <f>CG316/CA316-1</f>
        <v>7.2077043012063857E-2</v>
      </c>
      <c r="CH317" s="406"/>
      <c r="CI317" s="478">
        <f>CI316/CC316-1</f>
        <v>-5.4955881889348857E-2</v>
      </c>
      <c r="CJ317" s="478">
        <f>CJ316/CD316-1</f>
        <v>-5.0649610359138175E-2</v>
      </c>
      <c r="CK317" s="478">
        <f>CK316/CE316-1</f>
        <v>-1.2313100118953701E-2</v>
      </c>
      <c r="CL317" s="478">
        <f>CL316/CF316-1</f>
        <v>-0.12937491766653753</v>
      </c>
      <c r="CM317" s="486">
        <f>CM316/CG316-1</f>
        <v>-6.5884968308407732E-2</v>
      </c>
      <c r="CN317" s="406"/>
      <c r="CO317" s="478">
        <f>CO316/CI316-1</f>
        <v>4.2009493794380237E-2</v>
      </c>
      <c r="CP317" s="478">
        <f>CP316/CJ316-1</f>
        <v>4.8204243990376039E-2</v>
      </c>
      <c r="CQ317" s="478">
        <f>CQ316/CK316-1</f>
        <v>2.7977078301231417E-2</v>
      </c>
      <c r="CR317" s="478">
        <f>CR316/CL316-1</f>
        <v>4.5413262751091921E-2</v>
      </c>
      <c r="CS317" s="486">
        <f>CS316/CM316-1</f>
        <v>4.0984748478823496E-2</v>
      </c>
      <c r="CT317" s="120"/>
      <c r="CU317" s="478">
        <f>CU316/CO316-1</f>
        <v>1.7063429712643963E-2</v>
      </c>
      <c r="CV317" s="478">
        <f>CV316/CP316-1</f>
        <v>-0.10187923158462164</v>
      </c>
      <c r="CW317" s="478">
        <f>CW316/CQ316-1</f>
        <v>-0.13322156236582405</v>
      </c>
      <c r="CX317" s="478">
        <f>CX316/CR316-1</f>
        <v>-0.11274117852729959</v>
      </c>
      <c r="CY317" s="486">
        <f>CY316/CS316-1</f>
        <v>-8.4794016314849951E-2</v>
      </c>
      <c r="CZ317" s="120"/>
      <c r="DA317" s="478">
        <f>DA316/CU316-1</f>
        <v>-0.14938266938048161</v>
      </c>
      <c r="DB317" s="478">
        <f>DB316/CV316-1</f>
        <v>1.8538401562571805E-2</v>
      </c>
      <c r="DC317" s="478">
        <f>DC316/CW316-1</f>
        <v>-1.2100511433861594E-2</v>
      </c>
      <c r="DD317" s="478">
        <f>DD316/CX316-1</f>
        <v>0.26726794732064896</v>
      </c>
      <c r="DE317" s="486">
        <f>DE316/CY316-1</f>
        <v>3.4482827137993555E-2</v>
      </c>
      <c r="DF317" s="120"/>
      <c r="DG317" s="478">
        <f>DG316/DA316-1</f>
        <v>0.35980117132515255</v>
      </c>
      <c r="DH317" s="478">
        <f>DH316/DB316-1</f>
        <v>0.26611706887645625</v>
      </c>
      <c r="DI317" s="478">
        <f>DI316/DC316-1</f>
        <v>0.35423183460539187</v>
      </c>
      <c r="DJ317" s="478">
        <f>DJ316/DD316-1</f>
        <v>3.3512813467187152E-2</v>
      </c>
      <c r="DK317" s="486">
        <f>DK316/DE316-1</f>
        <v>0.22930767439030286</v>
      </c>
      <c r="DL317" s="120"/>
      <c r="DM317" s="478">
        <f>DM316/DG316-1</f>
        <v>1.6361898039423117E-3</v>
      </c>
      <c r="DN317" s="478">
        <f>DN316/DH316-1</f>
        <v>-4.2412275912336761E-2</v>
      </c>
      <c r="DO317" s="478">
        <f>DO316/DI316-1</f>
        <v>-6.2008833209867054E-2</v>
      </c>
      <c r="DP317" s="478">
        <f>DP316/DJ316-1</f>
        <v>-8.7234487102964109E-2</v>
      </c>
      <c r="DQ317" s="486">
        <f>DQ316/DK316-1</f>
        <v>-4.9155500428087917E-2</v>
      </c>
      <c r="DR317" s="120"/>
      <c r="DS317" s="478">
        <f>DS316/DM316-1</f>
        <v>-9.758762324972492E-2</v>
      </c>
      <c r="DT317" s="478">
        <f>DT316/DN316-1</f>
        <v>-5.8532753616419853E-2</v>
      </c>
      <c r="DU317" s="478">
        <f>DU316/DO316-1</f>
        <v>-5.5065178194997344E-2</v>
      </c>
      <c r="DV317" s="478">
        <f>DV316/DP316-1</f>
        <v>-4.5861001420158476E-2</v>
      </c>
      <c r="DW317" s="486">
        <f>DW316/DQ316-1</f>
        <v>-6.4047286408552395E-2</v>
      </c>
      <c r="DX317" s="120"/>
      <c r="DY317" s="478">
        <f>DY316/DS316-1</f>
        <v>-4.8446154383518958E-2</v>
      </c>
      <c r="DZ317" s="478">
        <f>DZ316/DT316-1</f>
        <v>8.805382889542912E-4</v>
      </c>
      <c r="EA317" s="478">
        <f>EA316/DU316-1</f>
        <v>-1.3482848862955699E-3</v>
      </c>
      <c r="EB317" s="478">
        <f>EB316/DV316-1</f>
        <v>1.6831574719778031E-2</v>
      </c>
      <c r="EC317" s="486">
        <f>EC316/DW316-1</f>
        <v>-7.170785716847039E-3</v>
      </c>
      <c r="ED317" s="120"/>
      <c r="EE317" s="478">
        <f>EE316/DY316-1</f>
        <v>2.5219258872329231E-2</v>
      </c>
      <c r="EF317" s="478">
        <f>EF316/DZ316-1</f>
        <v>-3.3159041257571631E-2</v>
      </c>
      <c r="EG317" s="478">
        <f>EG316/EA316-1</f>
        <v>-3.354852812255793E-2</v>
      </c>
      <c r="EH317" s="478">
        <f>EH316/EB316-1</f>
        <v>-4.8544692889396779E-2</v>
      </c>
      <c r="EI317" s="486">
        <f>EI316/EC316-1</f>
        <v>-2.4104827839241838E-2</v>
      </c>
      <c r="EJ317" s="120"/>
      <c r="EK317" s="478">
        <f>EK316/EE316-1</f>
        <v>-5.2272285283347597E-2</v>
      </c>
      <c r="EL317" s="478">
        <f>EL316/EF316-1</f>
        <v>-3.0894805849177365E-2</v>
      </c>
      <c r="EM317" s="478">
        <f>EM316/EG316-1</f>
        <v>-2.3662420845469656E-2</v>
      </c>
      <c r="EN317" s="478">
        <f>EN316/EH316-1</f>
        <v>-5.4859326871588676E-2</v>
      </c>
      <c r="EO317" s="486">
        <f>EO316/EI316-1</f>
        <v>-4.0756914451684279E-2</v>
      </c>
      <c r="EP317" s="120"/>
      <c r="EQ317" s="478">
        <f>EQ316/EK316-1</f>
        <v>2.9429043671294508E-2</v>
      </c>
      <c r="ER317" s="478">
        <f>ER316/EL316-1</f>
        <v>-4.0797145201885043E-2</v>
      </c>
      <c r="ES317" s="478">
        <f>ES316/EM316-1</f>
        <v>-5.9930658360707323E-3</v>
      </c>
      <c r="ET317" s="478">
        <f>ET316/EN316-1</f>
        <v>4.5929350933452628E-2</v>
      </c>
      <c r="EU317" s="486">
        <f>EU316/EO316-1</f>
        <v>7.5135605000367089E-3</v>
      </c>
      <c r="EV317" s="120"/>
      <c r="EW317" s="478">
        <f>EW316/EQ316-1</f>
        <v>1.1303571794542222E-2</v>
      </c>
      <c r="EX317" s="478">
        <f>EX316/ER316-1</f>
        <v>2.2493557407009312E-2</v>
      </c>
      <c r="EY317" s="478">
        <f>EY316/ES316-1</f>
        <v>4.0197519373141866E-3</v>
      </c>
      <c r="EZ317" s="478">
        <f>EZ316/ET316-1</f>
        <v>6.922548457594524E-2</v>
      </c>
      <c r="FA317" s="486">
        <f>FA316/EU316-1</f>
        <v>2.8161648110907489E-2</v>
      </c>
      <c r="FB317" s="120"/>
      <c r="FC317" s="478">
        <f>FC316/EW316-1</f>
        <v>-2.1752589351951013E-3</v>
      </c>
      <c r="FD317" s="478">
        <f>FD316/EX316-1</f>
        <v>-4.2152196651101814E-4</v>
      </c>
      <c r="FE317" s="478">
        <f>FE316/EY316-1</f>
        <v>-6.2266596898545856E-3</v>
      </c>
      <c r="FF317" s="478">
        <f>FF316/EZ316-1</f>
        <v>-2.6048406328829876E-2</v>
      </c>
      <c r="FG317" s="486">
        <f>FG316/FA316-1</f>
        <v>-9.5601381364888161E-3</v>
      </c>
      <c r="FH317" s="120"/>
      <c r="FI317" s="478">
        <f>FI316/FC316-1</f>
        <v>-1.9636337622645272E-2</v>
      </c>
      <c r="FJ317" s="478">
        <f>FJ316/FD316-1</f>
        <v>-1.5296564493281317E-2</v>
      </c>
      <c r="FK317" s="478">
        <f>FK316/FE316-1</f>
        <v>-1.1844251063029776E-2</v>
      </c>
      <c r="FL317" s="478">
        <f>FL316/FF316-1</f>
        <v>-1.1240347324430355E-2</v>
      </c>
      <c r="FM317" s="486">
        <f>FM316/FG316-1</f>
        <v>-1.4379553070791973E-2</v>
      </c>
      <c r="FQ317"/>
      <c r="FR317"/>
      <c r="FS317"/>
      <c r="FT317"/>
      <c r="FU317"/>
      <c r="FV317"/>
      <c r="GB317" s="24"/>
      <c r="GC317" s="24"/>
      <c r="GD317" s="24"/>
      <c r="GE317" s="24"/>
      <c r="GF317" s="24"/>
      <c r="GG317" s="24"/>
      <c r="GH317" s="24"/>
      <c r="GI317" s="24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</row>
    <row r="318" spans="1:274" s="28" customFormat="1" ht="5.25" customHeight="1" x14ac:dyDescent="0.2">
      <c r="A318" s="18"/>
      <c r="B318" s="595"/>
      <c r="CG318" s="416"/>
      <c r="CM318" s="416"/>
      <c r="CS318" s="416"/>
      <c r="CY318" s="416"/>
      <c r="DE318" s="416"/>
      <c r="DK318" s="416"/>
      <c r="DQ318" s="416"/>
      <c r="DW318" s="416"/>
      <c r="EC318" s="416"/>
      <c r="EI318" s="416"/>
      <c r="EO318" s="416"/>
      <c r="EU318" s="416"/>
      <c r="FA318" s="416"/>
      <c r="FG318" s="416"/>
      <c r="FM318" s="416"/>
      <c r="FQ318"/>
      <c r="FR318"/>
      <c r="FS318"/>
      <c r="FT318"/>
      <c r="FU318"/>
      <c r="FV318"/>
      <c r="GB318" s="24"/>
      <c r="GC318" s="24"/>
      <c r="GD318" s="24"/>
      <c r="GE318" s="24"/>
      <c r="GF318" s="24"/>
      <c r="GG318" s="24"/>
      <c r="GH318" s="24"/>
      <c r="GI318" s="24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</row>
    <row r="319" spans="1:274" s="60" customFormat="1" x14ac:dyDescent="0.2">
      <c r="A319" s="244" t="s">
        <v>29</v>
      </c>
      <c r="B319" s="476"/>
      <c r="C319" s="406" t="s">
        <v>945</v>
      </c>
      <c r="D319" s="406" t="s">
        <v>945</v>
      </c>
      <c r="E319" s="406" t="s">
        <v>945</v>
      </c>
      <c r="F319" s="406" t="s">
        <v>945</v>
      </c>
      <c r="G319" s="406" t="s">
        <v>945</v>
      </c>
      <c r="H319" s="406" t="s">
        <v>945</v>
      </c>
      <c r="I319" s="406" t="s">
        <v>945</v>
      </c>
      <c r="J319" s="59">
        <v>3480</v>
      </c>
      <c r="K319" s="59">
        <v>3603</v>
      </c>
      <c r="L319" s="59">
        <v>3904</v>
      </c>
      <c r="M319" s="59">
        <v>5022</v>
      </c>
      <c r="N319" s="244"/>
      <c r="O319" s="59">
        <v>5765</v>
      </c>
      <c r="P319" s="59">
        <v>6379</v>
      </c>
      <c r="Q319" s="59">
        <v>7086</v>
      </c>
      <c r="R319" s="59">
        <v>7493</v>
      </c>
      <c r="S319" s="59">
        <f>R319</f>
        <v>7493</v>
      </c>
      <c r="T319" s="244"/>
      <c r="U319" s="59">
        <v>8392</v>
      </c>
      <c r="V319" s="59">
        <v>9222</v>
      </c>
      <c r="W319" s="59">
        <v>9935</v>
      </c>
      <c r="X319" s="59">
        <v>10911</v>
      </c>
      <c r="Y319" s="59">
        <f>X319</f>
        <v>10911</v>
      </c>
      <c r="Z319" s="244"/>
      <c r="AA319" s="59">
        <v>12078</v>
      </c>
      <c r="AB319" s="59">
        <v>13158</v>
      </c>
      <c r="AC319" s="59">
        <v>13905</v>
      </c>
      <c r="AD319" s="59">
        <v>14181</v>
      </c>
      <c r="AE319" s="59">
        <f>AD319</f>
        <v>14181</v>
      </c>
      <c r="AF319" s="59"/>
      <c r="AG319" s="59">
        <v>15508</v>
      </c>
      <c r="AH319" s="59">
        <v>16732</v>
      </c>
      <c r="AI319" s="59">
        <v>17751</v>
      </c>
      <c r="AJ319" s="59">
        <v>18339</v>
      </c>
      <c r="AK319" s="59">
        <f>AJ319</f>
        <v>18339</v>
      </c>
      <c r="AL319" s="244"/>
      <c r="AM319" s="59">
        <v>19501</v>
      </c>
      <c r="AN319" s="59">
        <v>20618</v>
      </c>
      <c r="AO319" s="59">
        <v>21882</v>
      </c>
      <c r="AP319" s="59">
        <v>22130</v>
      </c>
      <c r="AQ319" s="59">
        <f>AP319</f>
        <v>22130</v>
      </c>
      <c r="AR319" s="244"/>
      <c r="AS319" s="59">
        <v>21300</v>
      </c>
      <c r="AT319" s="59">
        <v>20699</v>
      </c>
      <c r="AU319" s="59">
        <v>20249</v>
      </c>
      <c r="AV319" s="59">
        <v>19771</v>
      </c>
      <c r="AW319" s="59">
        <f>AV319</f>
        <v>19771</v>
      </c>
      <c r="AX319" s="244"/>
      <c r="AY319" s="59">
        <v>19905</v>
      </c>
      <c r="AZ319" s="59">
        <v>20660</v>
      </c>
      <c r="BA319" s="59">
        <v>21470</v>
      </c>
      <c r="BB319" s="59">
        <v>20919</v>
      </c>
      <c r="BC319" s="59">
        <f>BB319</f>
        <v>20919</v>
      </c>
      <c r="BD319" s="244"/>
      <c r="BE319" s="435">
        <v>20128</v>
      </c>
      <c r="BF319" s="435">
        <v>20193</v>
      </c>
      <c r="BG319" s="59">
        <v>19602</v>
      </c>
      <c r="BH319" s="59">
        <v>19470</v>
      </c>
      <c r="BI319" s="59">
        <f>BH319</f>
        <v>19470</v>
      </c>
      <c r="BJ319" s="244"/>
      <c r="BK319" s="59">
        <v>18893</v>
      </c>
      <c r="BL319" s="59">
        <v>18420</v>
      </c>
      <c r="BM319" s="59">
        <v>18129</v>
      </c>
      <c r="BN319" s="59">
        <v>17968</v>
      </c>
      <c r="BO319" s="59">
        <f>BN319</f>
        <v>17968</v>
      </c>
      <c r="BP319" s="244"/>
      <c r="BQ319" s="59">
        <v>17437</v>
      </c>
      <c r="BR319" s="59">
        <v>17056</v>
      </c>
      <c r="BS319" s="59">
        <v>16908</v>
      </c>
      <c r="BT319" s="59">
        <v>16659</v>
      </c>
      <c r="BU319" s="59">
        <f>BT319</f>
        <v>16659</v>
      </c>
      <c r="BV319" s="244"/>
      <c r="BW319" s="59">
        <v>16458</v>
      </c>
      <c r="BX319" s="59">
        <v>16347</v>
      </c>
      <c r="BY319" s="59">
        <v>21774</v>
      </c>
      <c r="BZ319" s="59">
        <v>21544</v>
      </c>
      <c r="CA319" s="59">
        <f>BZ319</f>
        <v>21544</v>
      </c>
      <c r="CB319" s="244"/>
      <c r="CC319" s="59">
        <v>21198</v>
      </c>
      <c r="CD319" s="59">
        <v>21133</v>
      </c>
      <c r="CE319" s="59">
        <v>23256</v>
      </c>
      <c r="CF319" s="59">
        <v>23209</v>
      </c>
      <c r="CG319" s="168">
        <f>CF319</f>
        <v>23209</v>
      </c>
      <c r="CH319" s="244"/>
      <c r="CI319" s="59">
        <v>23503</v>
      </c>
      <c r="CJ319" s="59">
        <v>24054</v>
      </c>
      <c r="CK319" s="59">
        <v>24253</v>
      </c>
      <c r="CL319" s="59">
        <v>29830</v>
      </c>
      <c r="CM319" s="168">
        <f>CL319</f>
        <v>29830</v>
      </c>
      <c r="CN319" s="244"/>
      <c r="CO319" s="59">
        <v>30455</v>
      </c>
      <c r="CP319" s="59">
        <v>30654</v>
      </c>
      <c r="CQ319" s="59">
        <v>30624</v>
      </c>
      <c r="CR319" s="59">
        <v>32608</v>
      </c>
      <c r="CS319" s="168">
        <f>CR319</f>
        <v>32608</v>
      </c>
      <c r="CT319" s="131"/>
      <c r="CU319" s="59">
        <v>32993</v>
      </c>
      <c r="CV319" s="59">
        <v>33526</v>
      </c>
      <c r="CW319" s="59">
        <v>32919</v>
      </c>
      <c r="CX319" s="59">
        <v>32347</v>
      </c>
      <c r="CY319" s="168">
        <f>CX319</f>
        <v>32347</v>
      </c>
      <c r="CZ319" s="131"/>
      <c r="DA319" s="59">
        <v>32034</v>
      </c>
      <c r="DB319" s="59">
        <v>31849</v>
      </c>
      <c r="DC319" s="59">
        <v>44554</v>
      </c>
      <c r="DD319" s="59">
        <v>43968</v>
      </c>
      <c r="DE319" s="168">
        <f>DD319</f>
        <v>43968</v>
      </c>
      <c r="DF319" s="131"/>
      <c r="DG319" s="59">
        <v>44494</v>
      </c>
      <c r="DH319" s="59">
        <v>44815</v>
      </c>
      <c r="DI319" s="59">
        <v>45825</v>
      </c>
      <c r="DJ319" s="59">
        <v>45887</v>
      </c>
      <c r="DK319" s="168">
        <f>DJ319</f>
        <v>45887</v>
      </c>
      <c r="DL319" s="131"/>
      <c r="DM319" s="663">
        <v>46338</v>
      </c>
      <c r="DN319" s="663">
        <v>46672</v>
      </c>
      <c r="DO319" s="663">
        <v>47884</v>
      </c>
      <c r="DP319" s="663">
        <v>48901</v>
      </c>
      <c r="DQ319" s="168">
        <f>DP319</f>
        <v>48901</v>
      </c>
      <c r="DR319" s="131"/>
      <c r="DS319" s="663">
        <v>49145</v>
      </c>
      <c r="DT319" s="663">
        <v>49584</v>
      </c>
      <c r="DU319" s="663">
        <v>50402</v>
      </c>
      <c r="DV319" s="663">
        <v>51519</v>
      </c>
      <c r="DW319" s="168">
        <f>DV319</f>
        <v>51519</v>
      </c>
      <c r="DX319" s="131"/>
      <c r="DY319" s="663">
        <v>53465</v>
      </c>
      <c r="DZ319" s="663">
        <v>53073</v>
      </c>
      <c r="EA319" s="663">
        <v>53799</v>
      </c>
      <c r="EB319" s="663">
        <v>53827</v>
      </c>
      <c r="EC319" s="168">
        <f>EB319</f>
        <v>53827</v>
      </c>
      <c r="ED319" s="131"/>
      <c r="EE319" s="663">
        <v>54073</v>
      </c>
      <c r="EF319" s="663">
        <v>57243</v>
      </c>
      <c r="EG319" s="663">
        <v>58117</v>
      </c>
      <c r="EH319" s="447">
        <v>58415</v>
      </c>
      <c r="EI319" s="168">
        <f>EH319</f>
        <v>58415</v>
      </c>
      <c r="EJ319" s="131"/>
      <c r="EK319" s="663">
        <v>59901</v>
      </c>
      <c r="EL319" s="663">
        <v>59999</v>
      </c>
      <c r="EM319" s="663">
        <v>60437</v>
      </c>
      <c r="EN319" s="663">
        <v>60329</v>
      </c>
      <c r="EO319" s="168">
        <f>EN319</f>
        <v>60329</v>
      </c>
      <c r="EP319" s="131"/>
      <c r="EQ319" s="663">
        <v>61221</v>
      </c>
      <c r="ER319" s="663">
        <v>63251</v>
      </c>
      <c r="ES319" s="663">
        <v>62613</v>
      </c>
      <c r="ET319" s="663">
        <v>51000</v>
      </c>
      <c r="EU319" s="168">
        <f>ET319</f>
        <v>51000</v>
      </c>
      <c r="EV319" s="131"/>
      <c r="EW319" s="447">
        <f>EQ319*1.03</f>
        <v>63057.630000000005</v>
      </c>
      <c r="EX319" s="447">
        <f>EW319*(1.005)</f>
        <v>63372.918149999998</v>
      </c>
      <c r="EY319" s="447">
        <f>EX319*(1.005)</f>
        <v>63689.782740749994</v>
      </c>
      <c r="EZ319" s="663">
        <f>EY319</f>
        <v>63689.782740749994</v>
      </c>
      <c r="FA319" s="168">
        <f>EZ319</f>
        <v>63689.782740749994</v>
      </c>
      <c r="FB319" s="131"/>
      <c r="FC319" s="663">
        <f>EZ319*(1.005)</f>
        <v>64008.231654453739</v>
      </c>
      <c r="FD319" s="663">
        <f>FC319*(1.005)</f>
        <v>64328.272812725998</v>
      </c>
      <c r="FE319" s="663">
        <f>FD319*(1.005)</f>
        <v>64649.914176789622</v>
      </c>
      <c r="FF319" s="663">
        <f>FE319*(1.005)</f>
        <v>64973.163747673563</v>
      </c>
      <c r="FG319" s="168">
        <f>FF319</f>
        <v>64973.163747673563</v>
      </c>
      <c r="FH319" s="131"/>
      <c r="FI319" s="663">
        <f>FF319*(1.005)</f>
        <v>65298.029566411926</v>
      </c>
      <c r="FJ319" s="663">
        <f>FI319*(1.005)</f>
        <v>65624.519714243972</v>
      </c>
      <c r="FK319" s="663">
        <f>FJ319*(1.005)</f>
        <v>65952.64231281518</v>
      </c>
      <c r="FL319" s="663">
        <f>FK319*(1.005)</f>
        <v>66282.405524379254</v>
      </c>
      <c r="FM319" s="168">
        <f>FL319</f>
        <v>66282.405524379254</v>
      </c>
      <c r="FQ319"/>
      <c r="FR319"/>
      <c r="FS319"/>
      <c r="FT319"/>
      <c r="FU319"/>
      <c r="FV319"/>
      <c r="GB319" s="24"/>
      <c r="GC319" s="24"/>
      <c r="GD319" s="24"/>
      <c r="GE319" s="24"/>
      <c r="GF319" s="24"/>
      <c r="GG319" s="24"/>
      <c r="GH319" s="24"/>
      <c r="GI319" s="24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</row>
    <row r="320" spans="1:274" s="60" customFormat="1" x14ac:dyDescent="0.2">
      <c r="A320" s="244" t="s">
        <v>573</v>
      </c>
      <c r="B320" s="476"/>
      <c r="C320" s="406" t="s">
        <v>945</v>
      </c>
      <c r="D320" s="406" t="s">
        <v>945</v>
      </c>
      <c r="E320" s="406" t="s">
        <v>945</v>
      </c>
      <c r="F320" s="406" t="s">
        <v>945</v>
      </c>
      <c r="G320" s="406" t="s">
        <v>945</v>
      </c>
      <c r="H320" s="406" t="s">
        <v>945</v>
      </c>
      <c r="I320" s="406" t="s">
        <v>945</v>
      </c>
      <c r="J320" s="59">
        <v>3986</v>
      </c>
      <c r="K320" s="59">
        <v>4557</v>
      </c>
      <c r="L320" s="59">
        <v>5343</v>
      </c>
      <c r="M320" s="59">
        <v>7036</v>
      </c>
      <c r="N320" s="244"/>
      <c r="O320" s="59">
        <v>7691</v>
      </c>
      <c r="P320" s="59">
        <v>8451</v>
      </c>
      <c r="Q320" s="59">
        <v>8997</v>
      </c>
      <c r="R320" s="59">
        <v>9389</v>
      </c>
      <c r="S320" s="59">
        <f>R320</f>
        <v>9389</v>
      </c>
      <c r="T320" s="244"/>
      <c r="U320" s="59">
        <v>10107</v>
      </c>
      <c r="V320" s="59">
        <v>10723</v>
      </c>
      <c r="W320" s="59">
        <v>11441</v>
      </c>
      <c r="X320" s="59">
        <v>12202</v>
      </c>
      <c r="Y320" s="59">
        <f>X320</f>
        <v>12202</v>
      </c>
      <c r="Z320" s="244"/>
      <c r="AA320" s="59">
        <v>13146</v>
      </c>
      <c r="AB320" s="59">
        <v>14194</v>
      </c>
      <c r="AC320" s="59">
        <v>14939</v>
      </c>
      <c r="AD320" s="59">
        <v>15250</v>
      </c>
      <c r="AE320" s="59">
        <f>AD320</f>
        <v>15250</v>
      </c>
      <c r="AF320" s="59"/>
      <c r="AG320" s="59">
        <v>15893</v>
      </c>
      <c r="AH320" s="59">
        <v>17043</v>
      </c>
      <c r="AI320" s="59">
        <v>17762</v>
      </c>
      <c r="AJ320" s="59">
        <v>18463</v>
      </c>
      <c r="AK320" s="59">
        <f>AJ320</f>
        <v>18463</v>
      </c>
      <c r="AL320" s="244"/>
      <c r="AM320" s="59">
        <v>19128</v>
      </c>
      <c r="AN320" s="59">
        <v>20177</v>
      </c>
      <c r="AO320" s="59">
        <v>20901</v>
      </c>
      <c r="AP320" s="59">
        <v>21670</v>
      </c>
      <c r="AQ320" s="59">
        <f>AP320</f>
        <v>21670</v>
      </c>
      <c r="AR320" s="244"/>
      <c r="AS320" s="59">
        <v>21793</v>
      </c>
      <c r="AT320" s="59">
        <v>21983</v>
      </c>
      <c r="AU320" s="59">
        <v>21668</v>
      </c>
      <c r="AV320" s="59">
        <v>21549</v>
      </c>
      <c r="AW320" s="59">
        <f>AV320</f>
        <v>21549</v>
      </c>
      <c r="AX320" s="244"/>
      <c r="AY320" s="59">
        <v>21265</v>
      </c>
      <c r="AZ320" s="59">
        <v>21342</v>
      </c>
      <c r="BA320" s="59">
        <v>21838</v>
      </c>
      <c r="BB320" s="59">
        <v>22008</v>
      </c>
      <c r="BC320" s="59">
        <f>BB320</f>
        <v>22008</v>
      </c>
      <c r="BD320" s="244"/>
      <c r="BE320" s="435">
        <v>22171</v>
      </c>
      <c r="BF320" s="435">
        <v>22250</v>
      </c>
      <c r="BG320" s="59">
        <v>22333</v>
      </c>
      <c r="BH320" s="59">
        <v>22536</v>
      </c>
      <c r="BI320" s="59">
        <f>BH320</f>
        <v>22536</v>
      </c>
      <c r="BJ320" s="244"/>
      <c r="BK320" s="59">
        <v>22603</v>
      </c>
      <c r="BL320" s="59">
        <v>22225</v>
      </c>
      <c r="BM320" s="59">
        <v>22260</v>
      </c>
      <c r="BN320" s="59">
        <v>22682</v>
      </c>
      <c r="BO320" s="59">
        <f>BN320</f>
        <v>22682</v>
      </c>
      <c r="BP320" s="244"/>
      <c r="BQ320" s="59">
        <v>22887</v>
      </c>
      <c r="BR320" s="59">
        <v>23559</v>
      </c>
      <c r="BS320" s="59">
        <v>24286</v>
      </c>
      <c r="BT320" s="59">
        <v>24999</v>
      </c>
      <c r="BU320" s="59">
        <f>BT320</f>
        <v>24999</v>
      </c>
      <c r="BV320" s="244"/>
      <c r="BW320" s="59">
        <v>25610</v>
      </c>
      <c r="BX320" s="59">
        <v>26233</v>
      </c>
      <c r="BY320" s="59">
        <v>29107</v>
      </c>
      <c r="BZ320" s="59">
        <v>28328</v>
      </c>
      <c r="CA320" s="59">
        <f>BZ320</f>
        <v>28328</v>
      </c>
      <c r="CB320" s="244"/>
      <c r="CC320" s="59">
        <v>28318</v>
      </c>
      <c r="CD320" s="59">
        <v>30021</v>
      </c>
      <c r="CE320" s="59">
        <v>32326</v>
      </c>
      <c r="CF320" s="59">
        <v>32924</v>
      </c>
      <c r="CG320" s="168">
        <f>CF320</f>
        <v>32924</v>
      </c>
      <c r="CH320" s="244"/>
      <c r="CI320" s="59">
        <v>41623</v>
      </c>
      <c r="CJ320" s="59">
        <v>44380</v>
      </c>
      <c r="CK320" s="59">
        <v>46228</v>
      </c>
      <c r="CL320" s="59">
        <f>15680+29164</f>
        <v>44844</v>
      </c>
      <c r="CM320" s="168">
        <f>CL320</f>
        <v>44844</v>
      </c>
      <c r="CN320" s="244"/>
      <c r="CO320" s="59">
        <f>15985+31212</f>
        <v>47197</v>
      </c>
      <c r="CP320" s="59">
        <f>16140+32855</f>
        <v>48995</v>
      </c>
      <c r="CQ320" s="59">
        <f>16383+33212</f>
        <v>49595</v>
      </c>
      <c r="CR320" s="59">
        <f>CR282-CR319</f>
        <v>51625</v>
      </c>
      <c r="CS320" s="168">
        <f>CR320</f>
        <v>51625</v>
      </c>
      <c r="CT320" s="131"/>
      <c r="CU320" s="59">
        <f>17096+35099</f>
        <v>52195</v>
      </c>
      <c r="CV320" s="59">
        <f>17184+35947</f>
        <v>53131</v>
      </c>
      <c r="CW320" s="59">
        <f>17348+36321</f>
        <v>53669</v>
      </c>
      <c r="CX320" s="59">
        <f>CX282-CX319</f>
        <v>53215</v>
      </c>
      <c r="CY320" s="168">
        <f>CX320</f>
        <v>53215</v>
      </c>
      <c r="CZ320" s="131"/>
      <c r="DA320" s="59">
        <f>DA300-DA319</f>
        <v>52605</v>
      </c>
      <c r="DB320" s="59">
        <f>DB300-DB319</f>
        <v>51517</v>
      </c>
      <c r="DC320" s="59">
        <f>DC300-DC319</f>
        <v>61938</v>
      </c>
      <c r="DD320" s="59">
        <f>DD300-DD319</f>
        <v>60601</v>
      </c>
      <c r="DE320" s="168">
        <f>DD320</f>
        <v>60601</v>
      </c>
      <c r="DF320" s="131"/>
      <c r="DG320" s="59">
        <f>DG300-DG319</f>
        <v>60742</v>
      </c>
      <c r="DH320" s="59">
        <f>22690+38225</f>
        <v>60915</v>
      </c>
      <c r="DI320" s="59">
        <f>22705+39340</f>
        <v>62045</v>
      </c>
      <c r="DJ320" s="59">
        <f>22394+40148</f>
        <v>62542</v>
      </c>
      <c r="DK320" s="168">
        <f>DJ320</f>
        <v>62542</v>
      </c>
      <c r="DL320" s="131"/>
      <c r="DM320" s="663">
        <f>22210+40840</f>
        <v>63050</v>
      </c>
      <c r="DN320" s="663">
        <f>22725+41905</f>
        <v>64630</v>
      </c>
      <c r="DO320" s="663">
        <f>22852+42908</f>
        <v>65760</v>
      </c>
      <c r="DP320" s="663">
        <f>22957+43308</f>
        <v>66265</v>
      </c>
      <c r="DQ320" s="168">
        <f>DP320</f>
        <v>66265</v>
      </c>
      <c r="DR320" s="131"/>
      <c r="DS320" s="663">
        <f>22584+44170</f>
        <v>66754</v>
      </c>
      <c r="DT320" s="663">
        <f>DT300-DT319</f>
        <v>67645</v>
      </c>
      <c r="DU320" s="663">
        <f>DU300-DU319</f>
        <v>68255</v>
      </c>
      <c r="DV320" s="663">
        <f>22860+45855</f>
        <v>68715</v>
      </c>
      <c r="DW320" s="168">
        <f>DV320</f>
        <v>68715</v>
      </c>
      <c r="DX320" s="131"/>
      <c r="DY320" s="663">
        <f>23349+45513</f>
        <v>68862</v>
      </c>
      <c r="DZ320" s="663">
        <f>23178+45617</f>
        <v>68795</v>
      </c>
      <c r="EA320" s="663">
        <f>23350+45561</f>
        <v>68911</v>
      </c>
      <c r="EB320" s="663">
        <f>23339+45108</f>
        <v>68447</v>
      </c>
      <c r="EC320" s="168">
        <f>EB320</f>
        <v>68447</v>
      </c>
      <c r="ED320" s="131"/>
      <c r="EE320" s="663">
        <f>23349+45496</f>
        <v>68845</v>
      </c>
      <c r="EF320" s="663">
        <f>26997+46312</f>
        <v>73309</v>
      </c>
      <c r="EG320" s="663">
        <f>26989+46456</f>
        <v>73445</v>
      </c>
      <c r="EH320" s="447">
        <f>26988+46962</f>
        <v>73950</v>
      </c>
      <c r="EI320" s="168">
        <f>EH320</f>
        <v>73950</v>
      </c>
      <c r="EJ320" s="131"/>
      <c r="EK320" s="663">
        <f>27030+48139</f>
        <v>75169</v>
      </c>
      <c r="EL320" s="663">
        <f>27541+48620</f>
        <v>76161</v>
      </c>
      <c r="EM320" s="663">
        <f>27275+48694</f>
        <v>75969</v>
      </c>
      <c r="EN320" s="663">
        <f>27061+48872</f>
        <v>75933</v>
      </c>
      <c r="EO320" s="168">
        <f>EN320</f>
        <v>75933</v>
      </c>
      <c r="EP320" s="131"/>
      <c r="EQ320" s="663">
        <f>26895+49234</f>
        <v>76129</v>
      </c>
      <c r="ER320" s="663">
        <f>27922+50509</f>
        <v>78431</v>
      </c>
      <c r="ES320" s="663">
        <f>27809+50481</f>
        <v>78290</v>
      </c>
      <c r="ET320" s="663">
        <v>87000</v>
      </c>
      <c r="EU320" s="168">
        <f>ET320</f>
        <v>87000</v>
      </c>
      <c r="EV320" s="131"/>
      <c r="EW320" s="447">
        <f>EQ320*1.03</f>
        <v>78412.87</v>
      </c>
      <c r="EX320" s="447">
        <f>EW320*1.015</f>
        <v>79589.063049999982</v>
      </c>
      <c r="EY320" s="447">
        <f>EX320*1.015</f>
        <v>80782.898995749973</v>
      </c>
      <c r="EZ320" s="663">
        <f>EY320</f>
        <v>80782.898995749973</v>
      </c>
      <c r="FA320" s="168">
        <f>EZ320</f>
        <v>80782.898995749973</v>
      </c>
      <c r="FB320" s="131"/>
      <c r="FC320" s="663">
        <f>EZ320*1.015</f>
        <v>81994.64248068622</v>
      </c>
      <c r="FD320" s="663">
        <f>FC320*1.015</f>
        <v>83224.562117896508</v>
      </c>
      <c r="FE320" s="663">
        <f>FD320*1.015</f>
        <v>84472.930549664947</v>
      </c>
      <c r="FF320" s="663">
        <f>FE320*1.015</f>
        <v>85740.024507909911</v>
      </c>
      <c r="FG320" s="168">
        <f>FF320</f>
        <v>85740.024507909911</v>
      </c>
      <c r="FH320" s="131"/>
      <c r="FI320" s="663">
        <f>FF320*1.015</f>
        <v>87026.124875528549</v>
      </c>
      <c r="FJ320" s="663">
        <f>FI320*1.015</f>
        <v>88331.516748661466</v>
      </c>
      <c r="FK320" s="663">
        <f>FJ320*1.015</f>
        <v>89656.489499891381</v>
      </c>
      <c r="FL320" s="663">
        <f>FK320*1.015</f>
        <v>91001.336842389748</v>
      </c>
      <c r="FM320" s="168">
        <f>FL320</f>
        <v>91001.336842389748</v>
      </c>
      <c r="FQ320"/>
      <c r="FR320"/>
      <c r="FS320"/>
      <c r="FT320"/>
      <c r="FU320"/>
      <c r="FV320"/>
      <c r="GB320" s="24"/>
      <c r="GC320" s="24"/>
      <c r="GD320" s="24"/>
      <c r="GE320" s="24"/>
      <c r="GF320" s="24"/>
      <c r="GG320" s="24"/>
      <c r="GH320" s="24"/>
      <c r="GI320" s="24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</row>
    <row r="321" spans="1:274" s="28" customFormat="1" ht="5.25" customHeight="1" x14ac:dyDescent="0.2">
      <c r="A321" s="18"/>
      <c r="B321" s="595"/>
      <c r="CG321" s="416"/>
      <c r="CM321" s="416"/>
      <c r="CS321" s="416"/>
      <c r="CY321" s="416"/>
      <c r="DE321" s="416"/>
      <c r="DK321" s="416"/>
      <c r="DQ321" s="416"/>
      <c r="DW321" s="416"/>
      <c r="EC321" s="416"/>
      <c r="EI321" s="416"/>
      <c r="EO321" s="416"/>
      <c r="EU321" s="416"/>
      <c r="FA321" s="416"/>
      <c r="FG321" s="416"/>
      <c r="FM321" s="416"/>
      <c r="FQ321"/>
      <c r="FR321"/>
      <c r="FS321"/>
      <c r="FT321"/>
      <c r="FU321"/>
      <c r="FV321"/>
      <c r="GB321" s="24"/>
      <c r="GC321" s="24"/>
      <c r="GD321" s="24"/>
      <c r="GE321" s="24"/>
      <c r="GF321" s="24"/>
      <c r="GG321" s="24"/>
      <c r="GH321" s="24"/>
      <c r="GI321" s="24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</row>
    <row r="322" spans="1:274" s="27" customFormat="1" x14ac:dyDescent="0.2">
      <c r="A322" s="342" t="s">
        <v>909</v>
      </c>
      <c r="B322" s="20"/>
      <c r="C322" s="406" t="s">
        <v>945</v>
      </c>
      <c r="D322" s="406" t="s">
        <v>945</v>
      </c>
      <c r="E322" s="406" t="s">
        <v>945</v>
      </c>
      <c r="F322" s="406" t="s">
        <v>945</v>
      </c>
      <c r="G322" s="406" t="s">
        <v>945</v>
      </c>
      <c r="H322" s="406" t="s">
        <v>945</v>
      </c>
      <c r="I322" s="406" t="s">
        <v>945</v>
      </c>
      <c r="J322" s="259">
        <f>dom _fy91/J319*1000</f>
        <v>113.29741379310344</v>
      </c>
      <c r="K322" s="259">
        <f>dom _fy92/K319*1000</f>
        <v>119.07077435470443</v>
      </c>
      <c r="L322" s="259">
        <f>dom _fy93/L319*1000</f>
        <v>141.77254098360655</v>
      </c>
      <c r="M322" s="259">
        <f>dom _fy94/M319*1000</f>
        <v>187.7078853046595</v>
      </c>
      <c r="N322" s="342"/>
      <c r="O322" s="406" t="s">
        <v>945</v>
      </c>
      <c r="P322" s="406" t="s">
        <v>945</v>
      </c>
      <c r="Q322" s="406" t="s">
        <v>945</v>
      </c>
      <c r="R322" s="406" t="s">
        <v>945</v>
      </c>
      <c r="S322" s="259">
        <f>dom _fy95/S319*1000</f>
        <v>188.99826504737754</v>
      </c>
      <c r="T322" s="406"/>
      <c r="U322" s="406" t="s">
        <v>945</v>
      </c>
      <c r="V322" s="406" t="s">
        <v>945</v>
      </c>
      <c r="W322" s="406" t="s">
        <v>945</v>
      </c>
      <c r="X322" s="406" t="s">
        <v>945</v>
      </c>
      <c r="Y322" s="259">
        <f>dom _fy96/Y319*1000</f>
        <v>190.21430208046925</v>
      </c>
      <c r="Z322" s="342"/>
      <c r="AA322" s="406" t="s">
        <v>945</v>
      </c>
      <c r="AB322" s="406" t="s">
        <v>945</v>
      </c>
      <c r="AC322" s="406" t="s">
        <v>945</v>
      </c>
      <c r="AD322" s="406" t="s">
        <v>945</v>
      </c>
      <c r="AE322" s="259">
        <f>dom _fy97/AE319*1000</f>
        <v>211.09759537409209</v>
      </c>
      <c r="AF322" s="342"/>
      <c r="AG322" s="406" t="s">
        <v>945</v>
      </c>
      <c r="AH322" s="406" t="s">
        <v>945</v>
      </c>
      <c r="AI322" s="406" t="s">
        <v>945</v>
      </c>
      <c r="AJ322" s="406" t="s">
        <v>945</v>
      </c>
      <c r="AK322" s="259">
        <f>dom _fy98/AK319*1000</f>
        <v>220.76072850209934</v>
      </c>
      <c r="AL322" s="342"/>
      <c r="AM322" s="406" t="s">
        <v>945</v>
      </c>
      <c r="AN322" s="406" t="s">
        <v>945</v>
      </c>
      <c r="AO322" s="406" t="s">
        <v>945</v>
      </c>
      <c r="AP322" s="406" t="s">
        <v>945</v>
      </c>
      <c r="AQ322" s="259">
        <f>dom _fy99/AQ319*1000</f>
        <v>228.34021690013557</v>
      </c>
      <c r="AR322" s="342"/>
      <c r="AS322" s="406" t="s">
        <v>945</v>
      </c>
      <c r="AT322" s="406" t="s">
        <v>945</v>
      </c>
      <c r="AU322" s="406" t="s">
        <v>945</v>
      </c>
      <c r="AV322" s="406" t="s">
        <v>945</v>
      </c>
      <c r="AW322" s="259">
        <f>dom _fy00/AW319*1000</f>
        <v>299.09615092812709</v>
      </c>
      <c r="AX322" s="342"/>
      <c r="AY322" s="406" t="s">
        <v>945</v>
      </c>
      <c r="AZ322" s="406" t="s">
        <v>945</v>
      </c>
      <c r="BA322" s="406" t="s">
        <v>945</v>
      </c>
      <c r="BB322" s="406" t="s">
        <v>945</v>
      </c>
      <c r="BC322" s="259">
        <f>dom _fy01/BC319*1000</f>
        <v>303.5483531717577</v>
      </c>
      <c r="BD322" s="342"/>
      <c r="BE322" s="406" t="s">
        <v>945</v>
      </c>
      <c r="BF322" s="406" t="s">
        <v>945</v>
      </c>
      <c r="BG322" s="406" t="s">
        <v>945</v>
      </c>
      <c r="BH322" s="406" t="s">
        <v>945</v>
      </c>
      <c r="BI322" s="259">
        <f>dom _fy02/BI319*1000</f>
        <v>271.84622496147921</v>
      </c>
      <c r="BJ322" s="406"/>
      <c r="BK322" s="406" t="s">
        <v>945</v>
      </c>
      <c r="BL322" s="406" t="s">
        <v>945</v>
      </c>
      <c r="BM322" s="406" t="s">
        <v>945</v>
      </c>
      <c r="BN322" s="406" t="s">
        <v>945</v>
      </c>
      <c r="BO322" s="259">
        <f>dom _fy03/BO319*1000</f>
        <v>269.59038290293859</v>
      </c>
      <c r="BP322" s="406"/>
      <c r="BQ322" s="406" t="s">
        <v>945</v>
      </c>
      <c r="BR322" s="406" t="s">
        <v>945</v>
      </c>
      <c r="BS322" s="406" t="s">
        <v>945</v>
      </c>
      <c r="BT322" s="406" t="s">
        <v>945</v>
      </c>
      <c r="BU322" s="259">
        <f>dom _fy04/BU319*1000</f>
        <v>299.11759409328295</v>
      </c>
      <c r="BV322" s="406"/>
      <c r="BW322" s="406" t="s">
        <v>945</v>
      </c>
      <c r="BX322" s="406" t="s">
        <v>945</v>
      </c>
      <c r="BY322" s="406" t="s">
        <v>945</v>
      </c>
      <c r="BZ322" s="406" t="s">
        <v>945</v>
      </c>
      <c r="CA322" s="259">
        <f>dom _fy05/CA319*1000</f>
        <v>277.98945414036393</v>
      </c>
      <c r="CB322" s="406"/>
      <c r="CC322" s="406" t="s">
        <v>945</v>
      </c>
      <c r="CD322" s="406" t="s">
        <v>945</v>
      </c>
      <c r="CE322" s="406" t="s">
        <v>945</v>
      </c>
      <c r="CF322" s="406" t="s">
        <v>945</v>
      </c>
      <c r="CG322" s="458">
        <f>dom _fy06/CG319*1000</f>
        <v>339.18307553104398</v>
      </c>
      <c r="CH322" s="406"/>
      <c r="CI322" s="406" t="s">
        <v>945</v>
      </c>
      <c r="CJ322" s="406" t="s">
        <v>945</v>
      </c>
      <c r="CK322" s="406" t="s">
        <v>945</v>
      </c>
      <c r="CL322" s="406" t="s">
        <v>945</v>
      </c>
      <c r="CM322" s="458">
        <f>dom _fy07/CM319*1000</f>
        <v>320.66711364398259</v>
      </c>
      <c r="CN322" s="406"/>
      <c r="CO322" s="406" t="s">
        <v>945</v>
      </c>
      <c r="CP322" s="406" t="s">
        <v>945</v>
      </c>
      <c r="CQ322" s="406" t="s">
        <v>945</v>
      </c>
      <c r="CR322" s="406" t="s">
        <v>945</v>
      </c>
      <c r="CS322" s="458">
        <f>dom _fy08/CS319*1000</f>
        <v>350.20547105004908</v>
      </c>
      <c r="CT322" s="120"/>
      <c r="CU322" s="406" t="s">
        <v>945</v>
      </c>
      <c r="CV322" s="406" t="s">
        <v>945</v>
      </c>
      <c r="CW322" s="406" t="s">
        <v>945</v>
      </c>
      <c r="CX322" s="406" t="s">
        <v>945</v>
      </c>
      <c r="CY322" s="458">
        <f>dom _fy09/CY319*1000</f>
        <v>370.52895168021763</v>
      </c>
      <c r="CZ322" s="120"/>
      <c r="DA322" s="406" t="s">
        <v>945</v>
      </c>
      <c r="DB322" s="406" t="s">
        <v>945</v>
      </c>
      <c r="DC322" s="406" t="s">
        <v>945</v>
      </c>
      <c r="DD322" s="406" t="s">
        <v>945</v>
      </c>
      <c r="DE322" s="458">
        <f>dom _fy10/DE319*1000</f>
        <v>314.31950509461427</v>
      </c>
      <c r="DF322" s="120"/>
      <c r="DG322" s="406" t="s">
        <v>945</v>
      </c>
      <c r="DH322" s="406" t="s">
        <v>945</v>
      </c>
      <c r="DI322" s="406" t="s">
        <v>945</v>
      </c>
      <c r="DJ322" s="406" t="s">
        <v>945</v>
      </c>
      <c r="DK322" s="458">
        <f>dom _fy11/DK319*1000</f>
        <v>400.91428797447475</v>
      </c>
      <c r="DL322" s="120"/>
      <c r="DM322" s="406" t="s">
        <v>945</v>
      </c>
      <c r="DN322" s="406" t="s">
        <v>945</v>
      </c>
      <c r="DO322" s="406" t="s">
        <v>945</v>
      </c>
      <c r="DP322" s="406" t="s">
        <v>945</v>
      </c>
      <c r="DQ322" s="557">
        <f>dom _fy12/DQ319*1000</f>
        <v>393.36618883049431</v>
      </c>
      <c r="DR322" s="120"/>
      <c r="DS322" s="406" t="s">
        <v>945</v>
      </c>
      <c r="DT322" s="406" t="s">
        <v>945</v>
      </c>
      <c r="DU322" s="406" t="s">
        <v>945</v>
      </c>
      <c r="DV322" s="406" t="s">
        <v>945</v>
      </c>
      <c r="DW322" s="557">
        <f>dom _fy13/DW319*1000</f>
        <v>382.77140472447059</v>
      </c>
      <c r="DX322" s="120"/>
      <c r="DY322" s="406" t="s">
        <v>945</v>
      </c>
      <c r="DZ322" s="406" t="s">
        <v>945</v>
      </c>
      <c r="EA322" s="406" t="s">
        <v>945</v>
      </c>
      <c r="EB322" s="406" t="s">
        <v>945</v>
      </c>
      <c r="EC322" s="557">
        <f>dom _fy13/EC319*1000</f>
        <v>366.35889051962772</v>
      </c>
      <c r="ED322" s="120"/>
      <c r="EE322" s="406" t="s">
        <v>945</v>
      </c>
      <c r="EF322" s="406" t="s">
        <v>945</v>
      </c>
      <c r="EG322" s="406" t="s">
        <v>945</v>
      </c>
      <c r="EH322" s="406" t="s">
        <v>945</v>
      </c>
      <c r="EI322" s="557">
        <f>dom _fy13/EI319*1000</f>
        <v>337.58452452281091</v>
      </c>
      <c r="EJ322" s="120"/>
      <c r="EK322" s="406" t="s">
        <v>945</v>
      </c>
      <c r="EL322" s="406" t="s">
        <v>945</v>
      </c>
      <c r="EM322" s="406" t="s">
        <v>945</v>
      </c>
      <c r="EN322" s="406" t="s">
        <v>945</v>
      </c>
      <c r="EO322" s="557">
        <f>dom _fy13/EO319*1000</f>
        <v>326.87430588937326</v>
      </c>
      <c r="EP322" s="120"/>
      <c r="EQ322" s="406" t="s">
        <v>945</v>
      </c>
      <c r="ER322" s="406" t="s">
        <v>945</v>
      </c>
      <c r="ES322" s="406" t="s">
        <v>945</v>
      </c>
      <c r="ET322" s="406" t="s">
        <v>945</v>
      </c>
      <c r="EU322" s="557">
        <f>dom _fy13/EU319*1000</f>
        <v>386.66666666666669</v>
      </c>
      <c r="EV322" s="120"/>
      <c r="EW322" s="406" t="s">
        <v>945</v>
      </c>
      <c r="EX322" s="406" t="s">
        <v>945</v>
      </c>
      <c r="EY322" s="406" t="s">
        <v>945</v>
      </c>
      <c r="EZ322" s="406" t="s">
        <v>945</v>
      </c>
      <c r="FA322" s="557">
        <f>dom _fy13/FA319*1000</f>
        <v>309.62580105305886</v>
      </c>
      <c r="FB322" s="120"/>
      <c r="FC322" s="406" t="s">
        <v>945</v>
      </c>
      <c r="FD322" s="406" t="s">
        <v>945</v>
      </c>
      <c r="FE322" s="406" t="s">
        <v>945</v>
      </c>
      <c r="FF322" s="406" t="s">
        <v>945</v>
      </c>
      <c r="FG322" s="557">
        <f>dom _fy13/FG319*1000</f>
        <v>303.50992413704182</v>
      </c>
      <c r="FH322" s="120"/>
      <c r="FI322" s="406" t="s">
        <v>945</v>
      </c>
      <c r="FJ322" s="406" t="s">
        <v>945</v>
      </c>
      <c r="FK322" s="406" t="s">
        <v>945</v>
      </c>
      <c r="FL322" s="406" t="s">
        <v>945</v>
      </c>
      <c r="FM322" s="557">
        <f>dom _fy13/FM319*1000</f>
        <v>297.51485094708596</v>
      </c>
      <c r="FQ322"/>
      <c r="FR322"/>
      <c r="FS322"/>
      <c r="FT322"/>
      <c r="FU322"/>
      <c r="FV322"/>
      <c r="GB322" s="24"/>
      <c r="GC322" s="24"/>
      <c r="GD322" s="24"/>
      <c r="GE322" s="24"/>
      <c r="GF322" s="24"/>
      <c r="GG322" s="24"/>
      <c r="GH322" s="24"/>
      <c r="GI322" s="24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</row>
    <row r="323" spans="1:274" s="27" customFormat="1" x14ac:dyDescent="0.2">
      <c r="A323" s="342" t="s">
        <v>910</v>
      </c>
      <c r="B323" s="20"/>
      <c r="C323" s="406" t="s">
        <v>945</v>
      </c>
      <c r="D323" s="406" t="s">
        <v>945</v>
      </c>
      <c r="E323" s="406" t="s">
        <v>945</v>
      </c>
      <c r="F323" s="406" t="s">
        <v>945</v>
      </c>
      <c r="G323" s="406" t="s">
        <v>945</v>
      </c>
      <c r="H323" s="406" t="s">
        <v>945</v>
      </c>
      <c r="I323" s="406" t="s">
        <v>945</v>
      </c>
      <c r="J323" s="259">
        <f>intl _fy91/J320*1000</f>
        <v>158.97491219267437</v>
      </c>
      <c r="K323" s="259">
        <f>intl _fy92/K320*1000</f>
        <v>164.57932850559578</v>
      </c>
      <c r="L323" s="259">
        <f>intl _fy93/L320*1000</f>
        <v>177.71289537712894</v>
      </c>
      <c r="M323" s="259">
        <f>intl _fy94/M320*1000</f>
        <v>150.43746446844796</v>
      </c>
      <c r="N323" s="342"/>
      <c r="O323" s="406" t="s">
        <v>945</v>
      </c>
      <c r="P323" s="406" t="s">
        <v>945</v>
      </c>
      <c r="Q323" s="406" t="s">
        <v>945</v>
      </c>
      <c r="R323" s="406" t="s">
        <v>945</v>
      </c>
      <c r="S323" s="259">
        <f>intl _fy95/S320*1000</f>
        <v>165.16285014378525</v>
      </c>
      <c r="T323" s="406"/>
      <c r="U323" s="406" t="s">
        <v>945</v>
      </c>
      <c r="V323" s="406" t="s">
        <v>945</v>
      </c>
      <c r="W323" s="406" t="s">
        <v>945</v>
      </c>
      <c r="X323" s="406" t="s">
        <v>945</v>
      </c>
      <c r="Y323" s="259">
        <f>intl _fy96/Y320*1000</f>
        <v>176.01112522537289</v>
      </c>
      <c r="Z323" s="342"/>
      <c r="AA323" s="406" t="s">
        <v>945</v>
      </c>
      <c r="AB323" s="406" t="s">
        <v>945</v>
      </c>
      <c r="AC323" s="406" t="s">
        <v>945</v>
      </c>
      <c r="AD323" s="406" t="s">
        <v>945</v>
      </c>
      <c r="AE323" s="259">
        <f>intl _fy97/AE320*1000</f>
        <v>176.44334426229506</v>
      </c>
      <c r="AF323" s="342"/>
      <c r="AG323" s="406" t="s">
        <v>945</v>
      </c>
      <c r="AH323" s="406" t="s">
        <v>945</v>
      </c>
      <c r="AI323" s="406" t="s">
        <v>945</v>
      </c>
      <c r="AJ323" s="406" t="s">
        <v>945</v>
      </c>
      <c r="AK323" s="259">
        <f>intl _fy98/AK320*1000</f>
        <v>167.65065265666468</v>
      </c>
      <c r="AL323" s="342"/>
      <c r="AM323" s="406" t="s">
        <v>945</v>
      </c>
      <c r="AN323" s="406" t="s">
        <v>945</v>
      </c>
      <c r="AO323" s="406" t="s">
        <v>945</v>
      </c>
      <c r="AP323" s="406" t="s">
        <v>945</v>
      </c>
      <c r="AQ323" s="259">
        <f>intl _fy99/AQ320*1000</f>
        <v>174.16165205353025</v>
      </c>
      <c r="AR323" s="342"/>
      <c r="AS323" s="406" t="s">
        <v>945</v>
      </c>
      <c r="AT323" s="406" t="s">
        <v>945</v>
      </c>
      <c r="AU323" s="406" t="s">
        <v>945</v>
      </c>
      <c r="AV323" s="406" t="s">
        <v>945</v>
      </c>
      <c r="AW323" s="259">
        <f>intl _fy00/AW320*1000</f>
        <v>195.67952109146597</v>
      </c>
      <c r="AX323" s="342"/>
      <c r="AY323" s="406" t="s">
        <v>945</v>
      </c>
      <c r="AZ323" s="406" t="s">
        <v>945</v>
      </c>
      <c r="BA323" s="406" t="s">
        <v>945</v>
      </c>
      <c r="BB323" s="406" t="s">
        <v>945</v>
      </c>
      <c r="BC323" s="259">
        <f>intl _fy01/BC320*1000</f>
        <v>209.50399854598328</v>
      </c>
      <c r="BD323" s="342"/>
      <c r="BE323" s="406" t="s">
        <v>945</v>
      </c>
      <c r="BF323" s="406" t="s">
        <v>945</v>
      </c>
      <c r="BG323" s="406" t="s">
        <v>945</v>
      </c>
      <c r="BH323" s="406" t="s">
        <v>945</v>
      </c>
      <c r="BI323" s="259">
        <f>intl _fy02/BI320*1000</f>
        <v>194.35334575789847</v>
      </c>
      <c r="BJ323" s="406"/>
      <c r="BK323" s="406" t="s">
        <v>945</v>
      </c>
      <c r="BL323" s="406" t="s">
        <v>945</v>
      </c>
      <c r="BM323" s="406" t="s">
        <v>945</v>
      </c>
      <c r="BN323" s="406" t="s">
        <v>945</v>
      </c>
      <c r="BO323" s="259">
        <f>intl _fy03/BO320*1000</f>
        <v>204.18834317961375</v>
      </c>
      <c r="BP323" s="406"/>
      <c r="BQ323" s="406" t="s">
        <v>945</v>
      </c>
      <c r="BR323" s="406" t="s">
        <v>945</v>
      </c>
      <c r="BS323" s="406" t="s">
        <v>945</v>
      </c>
      <c r="BT323" s="406" t="s">
        <v>945</v>
      </c>
      <c r="BU323" s="259">
        <f>intl _fy04/BU320*1000</f>
        <v>206.92827713108525</v>
      </c>
      <c r="BV323" s="406"/>
      <c r="BW323" s="406" t="s">
        <v>945</v>
      </c>
      <c r="BX323" s="406" t="s">
        <v>945</v>
      </c>
      <c r="BY323" s="406" t="s">
        <v>945</v>
      </c>
      <c r="BZ323" s="406" t="s">
        <v>945</v>
      </c>
      <c r="CA323" s="259">
        <f>intl _fy05/CA320*1000</f>
        <v>216.39350465970062</v>
      </c>
      <c r="CB323" s="406"/>
      <c r="CC323" s="406" t="s">
        <v>945</v>
      </c>
      <c r="CD323" s="406" t="s">
        <v>945</v>
      </c>
      <c r="CE323" s="406" t="s">
        <v>945</v>
      </c>
      <c r="CF323" s="406" t="s">
        <v>945</v>
      </c>
      <c r="CG323" s="458">
        <f>intl _fy06/CG320*1000</f>
        <v>209.58267525209573</v>
      </c>
      <c r="CH323" s="406"/>
      <c r="CI323" s="406" t="s">
        <v>945</v>
      </c>
      <c r="CJ323" s="406" t="s">
        <v>945</v>
      </c>
      <c r="CK323" s="406" t="s">
        <v>945</v>
      </c>
      <c r="CL323" s="406" t="s">
        <v>945</v>
      </c>
      <c r="CM323" s="458">
        <f>intl _fy07/CM320*1000</f>
        <v>192.74596378556774</v>
      </c>
      <c r="CN323" s="406"/>
      <c r="CO323" s="406" t="s">
        <v>945</v>
      </c>
      <c r="CP323" s="406" t="s">
        <v>945</v>
      </c>
      <c r="CQ323" s="406" t="s">
        <v>945</v>
      </c>
      <c r="CR323" s="406" t="s">
        <v>945</v>
      </c>
      <c r="CS323" s="458">
        <f>intl _fy08/CS320*1000</f>
        <v>216.74576271186442</v>
      </c>
      <c r="CT323" s="120"/>
      <c r="CU323" s="406" t="s">
        <v>945</v>
      </c>
      <c r="CV323" s="406" t="s">
        <v>945</v>
      </c>
      <c r="CW323" s="406" t="s">
        <v>945</v>
      </c>
      <c r="CX323" s="406" t="s">
        <v>945</v>
      </c>
      <c r="CY323" s="458">
        <f>intl _fy09/CY320*1000</f>
        <v>214.93000093958469</v>
      </c>
      <c r="CZ323" s="120"/>
      <c r="DA323" s="406" t="s">
        <v>945</v>
      </c>
      <c r="DB323" s="406" t="s">
        <v>945</v>
      </c>
      <c r="DC323" s="406" t="s">
        <v>945</v>
      </c>
      <c r="DD323" s="406" t="s">
        <v>945</v>
      </c>
      <c r="DE323" s="458">
        <f>intl _fy10/DE320*1000</f>
        <v>214.68292602432305</v>
      </c>
      <c r="DF323" s="120"/>
      <c r="DG323" s="406" t="s">
        <v>945</v>
      </c>
      <c r="DH323" s="406" t="s">
        <v>945</v>
      </c>
      <c r="DI323" s="406" t="s">
        <v>945</v>
      </c>
      <c r="DJ323" s="406" t="s">
        <v>945</v>
      </c>
      <c r="DK323" s="458">
        <f>intl _fy11/DK320*1000</f>
        <v>276.80992081665556</v>
      </c>
      <c r="DL323" s="120"/>
      <c r="DM323" s="406" t="s">
        <v>945</v>
      </c>
      <c r="DN323" s="406" t="s">
        <v>945</v>
      </c>
      <c r="DO323" s="406" t="s">
        <v>945</v>
      </c>
      <c r="DP323" s="406" t="s">
        <v>945</v>
      </c>
      <c r="DQ323" s="557">
        <f>intl _fy12/DQ320*1000</f>
        <v>269.90115445559496</v>
      </c>
      <c r="DR323" s="120"/>
      <c r="DS323" s="406" t="s">
        <v>945</v>
      </c>
      <c r="DT323" s="406" t="s">
        <v>945</v>
      </c>
      <c r="DU323" s="406" t="s">
        <v>945</v>
      </c>
      <c r="DV323" s="406" t="s">
        <v>945</v>
      </c>
      <c r="DW323" s="557">
        <f>intl _fy13/DW320*1000</f>
        <v>254.09299279633268</v>
      </c>
      <c r="DX323" s="120"/>
      <c r="DY323" s="406" t="s">
        <v>945</v>
      </c>
      <c r="DZ323" s="406" t="s">
        <v>945</v>
      </c>
      <c r="EA323" s="406" t="s">
        <v>945</v>
      </c>
      <c r="EB323" s="406" t="s">
        <v>945</v>
      </c>
      <c r="EC323" s="557">
        <f>intl _fy13/EC320*1000</f>
        <v>255.08787821233946</v>
      </c>
      <c r="ED323" s="120"/>
      <c r="EE323" s="406" t="s">
        <v>945</v>
      </c>
      <c r="EF323" s="406" t="s">
        <v>945</v>
      </c>
      <c r="EG323" s="406" t="s">
        <v>945</v>
      </c>
      <c r="EH323" s="406" t="s">
        <v>945</v>
      </c>
      <c r="EI323" s="557">
        <f>intl _fy13/EI320*1000</f>
        <v>236.105476673428</v>
      </c>
      <c r="EJ323" s="120"/>
      <c r="EK323" s="406" t="s">
        <v>945</v>
      </c>
      <c r="EL323" s="406" t="s">
        <v>945</v>
      </c>
      <c r="EM323" s="406" t="s">
        <v>945</v>
      </c>
      <c r="EN323" s="406" t="s">
        <v>945</v>
      </c>
      <c r="EO323" s="557">
        <f>intl _fy13/EO320*1000</f>
        <v>229.93955197345028</v>
      </c>
      <c r="EP323" s="120"/>
      <c r="EQ323" s="406" t="s">
        <v>945</v>
      </c>
      <c r="ER323" s="406" t="s">
        <v>945</v>
      </c>
      <c r="ES323" s="406" t="s">
        <v>945</v>
      </c>
      <c r="ET323" s="406" t="s">
        <v>945</v>
      </c>
      <c r="EU323" s="557">
        <f>intl _fy13/EU320*1000</f>
        <v>200.68965517241381</v>
      </c>
      <c r="EV323" s="120"/>
      <c r="EW323" s="406" t="s">
        <v>945</v>
      </c>
      <c r="EX323" s="406" t="s">
        <v>945</v>
      </c>
      <c r="EY323" s="406" t="s">
        <v>945</v>
      </c>
      <c r="EZ323" s="406" t="s">
        <v>945</v>
      </c>
      <c r="FA323" s="557">
        <f>intl _fy13/FA320*1000</f>
        <v>216.13485300791916</v>
      </c>
      <c r="FB323" s="120"/>
      <c r="FC323" s="406" t="s">
        <v>945</v>
      </c>
      <c r="FD323" s="406" t="s">
        <v>945</v>
      </c>
      <c r="FE323" s="406" t="s">
        <v>945</v>
      </c>
      <c r="FF323" s="406" t="s">
        <v>945</v>
      </c>
      <c r="FG323" s="557">
        <f>intl _fy13/FG320*1000</f>
        <v>203.63885011940059</v>
      </c>
      <c r="FH323" s="120"/>
      <c r="FI323" s="406" t="s">
        <v>945</v>
      </c>
      <c r="FJ323" s="406" t="s">
        <v>945</v>
      </c>
      <c r="FK323" s="406" t="s">
        <v>945</v>
      </c>
      <c r="FL323" s="406" t="s">
        <v>945</v>
      </c>
      <c r="FM323" s="557">
        <f>intl _fy13/FM320*1000</f>
        <v>191.86531325622104</v>
      </c>
      <c r="FQ323"/>
      <c r="FR323"/>
      <c r="FS323"/>
      <c r="FT323"/>
      <c r="FU323"/>
      <c r="FV323"/>
      <c r="GB323" s="24"/>
      <c r="GC323" s="24"/>
      <c r="GD323" s="24"/>
      <c r="GE323" s="24"/>
      <c r="GF323" s="24"/>
      <c r="GG323" s="24"/>
      <c r="GH323" s="24"/>
      <c r="GI323" s="24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</row>
    <row r="324" spans="1:274" s="27" customFormat="1" x14ac:dyDescent="0.2">
      <c r="A324" s="342"/>
      <c r="B324" s="20"/>
      <c r="C324" s="406"/>
      <c r="D324" s="406"/>
      <c r="E324" s="406"/>
      <c r="F324" s="406"/>
      <c r="G324" s="406"/>
      <c r="H324" s="406"/>
      <c r="I324" s="406"/>
      <c r="J324" s="259"/>
      <c r="K324" s="259"/>
      <c r="L324" s="259"/>
      <c r="M324" s="259"/>
      <c r="N324" s="342"/>
      <c r="O324" s="406"/>
      <c r="P324" s="406"/>
      <c r="Q324" s="406"/>
      <c r="R324" s="406"/>
      <c r="S324" s="259"/>
      <c r="T324" s="406"/>
      <c r="U324" s="406"/>
      <c r="V324" s="406"/>
      <c r="W324" s="406"/>
      <c r="X324" s="406"/>
      <c r="Y324" s="259"/>
      <c r="Z324" s="342"/>
      <c r="AA324" s="406"/>
      <c r="AB324" s="406"/>
      <c r="AC324" s="406"/>
      <c r="AD324" s="406"/>
      <c r="AE324" s="259"/>
      <c r="AF324" s="342"/>
      <c r="AG324" s="406"/>
      <c r="AH324" s="406"/>
      <c r="AI324" s="406"/>
      <c r="AJ324" s="406"/>
      <c r="AK324" s="259"/>
      <c r="AL324" s="342"/>
      <c r="AM324" s="406"/>
      <c r="AN324" s="406"/>
      <c r="AO324" s="406"/>
      <c r="AP324" s="406"/>
      <c r="AQ324" s="259"/>
      <c r="AR324" s="342"/>
      <c r="AS324" s="406"/>
      <c r="AT324" s="406"/>
      <c r="AU324" s="406"/>
      <c r="AV324" s="406"/>
      <c r="AW324" s="259"/>
      <c r="AX324" s="342"/>
      <c r="AY324" s="406"/>
      <c r="AZ324" s="406"/>
      <c r="BA324" s="406"/>
      <c r="BB324" s="406"/>
      <c r="BC324" s="259"/>
      <c r="BD324" s="342"/>
      <c r="BE324" s="406"/>
      <c r="BF324" s="406"/>
      <c r="BG324" s="406"/>
      <c r="BH324" s="406"/>
      <c r="BI324" s="259"/>
      <c r="BJ324" s="406"/>
      <c r="BK324" s="406"/>
      <c r="BL324" s="406"/>
      <c r="BM324" s="406"/>
      <c r="BN324" s="406"/>
      <c r="BO324" s="259"/>
      <c r="BP324" s="406"/>
      <c r="BQ324" s="406"/>
      <c r="BR324" s="406"/>
      <c r="BS324" s="406"/>
      <c r="BT324" s="406"/>
      <c r="BU324" s="259"/>
      <c r="BV324" s="406"/>
      <c r="BW324" s="406"/>
      <c r="BX324" s="406"/>
      <c r="BY324" s="406"/>
      <c r="BZ324" s="406"/>
      <c r="CA324" s="259"/>
      <c r="CB324" s="406"/>
      <c r="CC324" s="406"/>
      <c r="CD324" s="406"/>
      <c r="CE324" s="406"/>
      <c r="CF324" s="406"/>
      <c r="CG324" s="458"/>
      <c r="CH324" s="406"/>
      <c r="CI324" s="406"/>
      <c r="CJ324" s="406"/>
      <c r="CK324" s="406"/>
      <c r="CL324" s="406"/>
      <c r="CM324" s="458"/>
      <c r="CN324" s="406"/>
      <c r="CO324" s="406"/>
      <c r="CP324" s="406"/>
      <c r="CQ324" s="406"/>
      <c r="CR324" s="406"/>
      <c r="CS324" s="458"/>
      <c r="CT324" s="120"/>
      <c r="CU324" s="406"/>
      <c r="CV324" s="406"/>
      <c r="CW324" s="406"/>
      <c r="CX324" s="406"/>
      <c r="CY324" s="458"/>
      <c r="CZ324" s="120"/>
      <c r="DA324" s="406"/>
      <c r="DB324" s="406"/>
      <c r="DC324" s="406"/>
      <c r="DD324" s="406"/>
      <c r="DE324" s="458"/>
      <c r="DF324" s="120"/>
      <c r="DG324" s="406"/>
      <c r="DH324" s="406"/>
      <c r="DI324" s="406"/>
      <c r="DJ324" s="406"/>
      <c r="DK324" s="458"/>
      <c r="DL324" s="120"/>
      <c r="DM324" s="406"/>
      <c r="DN324" s="406"/>
      <c r="DO324" s="406"/>
      <c r="DP324" s="406"/>
      <c r="DQ324" s="458"/>
      <c r="DR324" s="120"/>
      <c r="DS324" s="406"/>
      <c r="DT324" s="406"/>
      <c r="DU324" s="406"/>
      <c r="DV324" s="406"/>
      <c r="DW324" s="458"/>
      <c r="DX324" s="120"/>
      <c r="DY324" s="406"/>
      <c r="DZ324" s="406"/>
      <c r="EA324" s="406"/>
      <c r="EB324" s="406"/>
      <c r="EC324" s="458"/>
      <c r="ED324" s="120"/>
      <c r="EE324" s="406"/>
      <c r="EF324" s="406"/>
      <c r="EG324" s="406"/>
      <c r="EH324" s="406"/>
      <c r="EI324" s="458"/>
      <c r="EJ324" s="120"/>
      <c r="EK324" s="406"/>
      <c r="EL324" s="406"/>
      <c r="EM324" s="406"/>
      <c r="EN324" s="406"/>
      <c r="EO324" s="458"/>
      <c r="EP324" s="120"/>
      <c r="EQ324" s="406"/>
      <c r="ER324" s="406"/>
      <c r="ES324" s="406"/>
      <c r="ET324" s="406"/>
      <c r="EU324" s="458"/>
      <c r="EV324" s="120"/>
      <c r="EW324" s="406"/>
      <c r="EX324" s="406"/>
      <c r="EY324" s="406"/>
      <c r="EZ324" s="406"/>
      <c r="FA324" s="458"/>
      <c r="FB324" s="120"/>
      <c r="FC324" s="406"/>
      <c r="FD324" s="406"/>
      <c r="FE324" s="406"/>
      <c r="FF324" s="406"/>
      <c r="FG324" s="458"/>
      <c r="FH324" s="120"/>
      <c r="FI324" s="406"/>
      <c r="FJ324" s="406"/>
      <c r="FK324" s="406"/>
      <c r="FL324" s="406"/>
      <c r="FM324" s="458"/>
      <c r="FQ324"/>
      <c r="FR324"/>
      <c r="FS324"/>
      <c r="FT324"/>
      <c r="FU324"/>
      <c r="FV324"/>
      <c r="GB324" s="24"/>
      <c r="GC324" s="24"/>
      <c r="GD324" s="24"/>
      <c r="GE324" s="24"/>
      <c r="GF324" s="24"/>
      <c r="GG324" s="24"/>
      <c r="GH324" s="24"/>
      <c r="GI324" s="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</row>
    <row r="325" spans="1:274" s="27" customFormat="1" x14ac:dyDescent="0.2">
      <c r="A325" s="152" t="s">
        <v>911</v>
      </c>
      <c r="B325" s="421"/>
      <c r="C325" s="666"/>
      <c r="D325" s="666"/>
      <c r="E325" s="666"/>
      <c r="F325" s="666"/>
      <c r="G325" s="666"/>
      <c r="H325" s="666"/>
      <c r="I325" s="666"/>
      <c r="J325" s="667"/>
      <c r="K325" s="667"/>
      <c r="L325" s="667"/>
      <c r="M325" s="667"/>
      <c r="N325" s="634"/>
      <c r="O325" s="666"/>
      <c r="P325" s="666"/>
      <c r="Q325" s="666"/>
      <c r="R325" s="666"/>
      <c r="S325" s="667"/>
      <c r="T325" s="666"/>
      <c r="U325" s="666"/>
      <c r="V325" s="666"/>
      <c r="W325" s="666"/>
      <c r="X325" s="666"/>
      <c r="Y325" s="667"/>
      <c r="Z325" s="634"/>
      <c r="AA325" s="666"/>
      <c r="AB325" s="666"/>
      <c r="AC325" s="666"/>
      <c r="AD325" s="666"/>
      <c r="AE325" s="667"/>
      <c r="AF325" s="634"/>
      <c r="AG325" s="666"/>
      <c r="AH325" s="666"/>
      <c r="AI325" s="666"/>
      <c r="AJ325" s="666"/>
      <c r="AK325" s="667"/>
      <c r="AL325" s="634"/>
      <c r="AM325" s="666"/>
      <c r="AN325" s="666"/>
      <c r="AO325" s="666"/>
      <c r="AP325" s="666"/>
      <c r="AQ325" s="667"/>
      <c r="AR325" s="634"/>
      <c r="AS325" s="666"/>
      <c r="AT325" s="666"/>
      <c r="AU325" s="666"/>
      <c r="AV325" s="666"/>
      <c r="AW325" s="667"/>
      <c r="AX325" s="634"/>
      <c r="AY325" s="666"/>
      <c r="AZ325" s="666"/>
      <c r="BA325" s="666"/>
      <c r="BB325" s="666"/>
      <c r="BC325" s="667"/>
      <c r="BD325" s="634"/>
      <c r="BE325" s="666"/>
      <c r="BF325" s="666"/>
      <c r="BG325" s="666"/>
      <c r="BH325" s="666"/>
      <c r="BI325" s="667"/>
      <c r="BJ325" s="666"/>
      <c r="BK325" s="666"/>
      <c r="BL325" s="666"/>
      <c r="BM325" s="666"/>
      <c r="BN325" s="666"/>
      <c r="BO325" s="667"/>
      <c r="BP325" s="666"/>
      <c r="BQ325" s="282">
        <f>('Balance Sheet'!BQ29-'Balance Sheet'!BN29)+Model!BQ91</f>
        <v>2266</v>
      </c>
      <c r="BR325" s="282">
        <f>('Balance Sheet'!BR29-'Balance Sheet'!BQ29)+Model!BR91</f>
        <v>2244</v>
      </c>
      <c r="BS325" s="282">
        <f>('Balance Sheet'!BS29-'Balance Sheet'!BR29)+Model!BS91</f>
        <v>2515</v>
      </c>
      <c r="BT325" s="282">
        <f>('Balance Sheet'!BT29-'Balance Sheet'!BS29)+Model!BT91</f>
        <v>3219</v>
      </c>
      <c r="BU325" s="668">
        <f>SUM(BQ325:BT325)</f>
        <v>10244</v>
      </c>
      <c r="BV325" s="666"/>
      <c r="BW325" s="282">
        <f>('Balance Sheet'!BW29-'Balance Sheet'!BT29)+Model!BW91</f>
        <v>2500</v>
      </c>
      <c r="BX325" s="282">
        <f>('Balance Sheet'!BX29-'Balance Sheet'!BW29)+Model!BX91</f>
        <v>2471</v>
      </c>
      <c r="BY325" s="282">
        <f>('Balance Sheet'!BY29-'Balance Sheet'!BX29)+Model!BY91</f>
        <v>3531</v>
      </c>
      <c r="BZ325" s="282">
        <f>('Balance Sheet'!BZ29-'Balance Sheet'!BY29)+Model!BZ91</f>
        <v>4409</v>
      </c>
      <c r="CA325" s="669">
        <f>SUM(BW325:BZ325)</f>
        <v>12911</v>
      </c>
      <c r="CB325" s="666"/>
      <c r="CC325" s="282">
        <f>('Balance Sheet'!CC29-'Balance Sheet'!BZ29)+Model!CC91</f>
        <v>3248</v>
      </c>
      <c r="CD325" s="282">
        <f>('Balance Sheet'!CD29-'Balance Sheet'!CC29)+Model!CD91</f>
        <v>2947</v>
      </c>
      <c r="CE325" s="282">
        <f>('Balance Sheet'!CE29-'Balance Sheet'!CD29)+Model!CE91</f>
        <v>3818.4</v>
      </c>
      <c r="CF325" s="282">
        <f>('Balance Sheet'!CF29-'Balance Sheet'!CE29)+Model!CF91</f>
        <v>5300</v>
      </c>
      <c r="CG325" s="669">
        <f>SUM(CC325:CF325)</f>
        <v>15313.4</v>
      </c>
      <c r="CH325" s="666"/>
      <c r="CI325" s="282">
        <f>('Balance Sheet'!CI29-'Balance Sheet'!CF29)+Model!CI91</f>
        <v>4100</v>
      </c>
      <c r="CJ325" s="282">
        <f>('Balance Sheet'!CJ29-'Balance Sheet'!CI29)+Model!CJ91</f>
        <v>3717</v>
      </c>
      <c r="CK325" s="282">
        <f>('Balance Sheet'!CK29-'Balance Sheet'!CJ29)+Model!CK91</f>
        <v>4627</v>
      </c>
      <c r="CL325" s="282">
        <f>('Balance Sheet'!CL29-'Balance Sheet'!CK29)+Model!CL91</f>
        <v>6427</v>
      </c>
      <c r="CM325" s="669">
        <f>SUM(CI325:CL325)</f>
        <v>18871</v>
      </c>
      <c r="CN325" s="666"/>
      <c r="CO325" s="282">
        <f>('Balance Sheet'!CO29-'Balance Sheet'!CL29)+Model!CO91</f>
        <v>5222</v>
      </c>
      <c r="CP325" s="282">
        <f>('Balance Sheet'!CP29-'Balance Sheet'!CO29)+Model!CP91</f>
        <v>4820</v>
      </c>
      <c r="CQ325" s="282">
        <f>('Balance Sheet'!CQ29-'Balance Sheet'!CP29)+Model!CQ91</f>
        <v>5477</v>
      </c>
      <c r="CR325" s="282">
        <f>('Balance Sheet'!CR29-'Balance Sheet'!CQ29)+Model!CR91</f>
        <v>8090</v>
      </c>
      <c r="CS325" s="669">
        <f>SUM(CO325:CR325)</f>
        <v>23609</v>
      </c>
      <c r="CT325" s="666"/>
      <c r="CU325" s="282">
        <f>('Balance Sheet'!CU29-'Balance Sheet'!CR29)+Model!CU91</f>
        <v>5947</v>
      </c>
      <c r="CV325" s="282">
        <f>('Balance Sheet'!CV29-'Balance Sheet'!CU29)+Model!CV91</f>
        <v>4551</v>
      </c>
      <c r="CW325" s="282">
        <f>('Balance Sheet'!CW29-'Balance Sheet'!CV29)+Model!CW91</f>
        <v>5575</v>
      </c>
      <c r="CX325" s="282">
        <f>('Balance Sheet'!CX29-'Balance Sheet'!CW29)+Model!CX91</f>
        <v>7521</v>
      </c>
      <c r="CY325" s="669">
        <f>SUM(CU325:CX325)</f>
        <v>23594</v>
      </c>
      <c r="CZ325" s="666"/>
      <c r="DA325" s="282">
        <f>('Balance Sheet'!DA29-'Balance Sheet'!CX29)+Model!DA91</f>
        <v>5754</v>
      </c>
      <c r="DB325" s="282">
        <f>('Balance Sheet'!DB29-'Balance Sheet'!DA29)+Model!DB91</f>
        <v>4984</v>
      </c>
      <c r="DC325" s="282">
        <f>('Balance Sheet'!DC29-'Balance Sheet'!DB29)+Model!DC91</f>
        <v>7463.4</v>
      </c>
      <c r="DD325" s="282">
        <f>('Balance Sheet'!DD29-'Balance Sheet'!DC29)+Model!DD91</f>
        <v>10142</v>
      </c>
      <c r="DE325" s="669">
        <f>SUM(DA325:DD325)</f>
        <v>28343.4</v>
      </c>
      <c r="DF325" s="666"/>
      <c r="DG325" s="282">
        <f>('Balance Sheet'!DG29-'Balance Sheet'!DD29)+Model!DG91</f>
        <v>8591</v>
      </c>
      <c r="DH325" s="282">
        <f>('Balance Sheet'!DH29-'Balance Sheet'!DG29)+Model!DH91</f>
        <v>7533</v>
      </c>
      <c r="DI325" s="282">
        <f>('Balance Sheet'!DI29-'Balance Sheet'!DH29)+Model!DI91</f>
        <v>8914</v>
      </c>
      <c r="DJ325" s="282">
        <f>('Balance Sheet'!DJ29-'Balance Sheet'!DI29)+Model!DJ91</f>
        <v>11759</v>
      </c>
      <c r="DK325" s="669">
        <f>SUM(DG325:DJ325)</f>
        <v>36797</v>
      </c>
      <c r="DL325" s="666"/>
      <c r="DM325" s="282">
        <f>('Balance Sheet'!DM29-'Balance Sheet'!DJ29)+Model!DM91</f>
        <v>9521</v>
      </c>
      <c r="DN325" s="282">
        <f>('Balance Sheet'!DN29-'Balance Sheet'!DM29)+Model!DN91</f>
        <v>6977</v>
      </c>
      <c r="DO325" s="282">
        <f>('Balance Sheet'!DO29-'Balance Sheet'!DN29)+Model!DO91</f>
        <v>9256.3392000000003</v>
      </c>
      <c r="DP325" s="282">
        <f>('Balance Sheet'!DP29-'Balance Sheet'!DO29)+Model!DP91</f>
        <v>11700.1597</v>
      </c>
      <c r="DQ325" s="669">
        <f>SUM(DM325:DP325)</f>
        <v>37454.498900000006</v>
      </c>
      <c r="DR325" s="666"/>
      <c r="DS325" s="282">
        <f>('Balance Sheet'!DS29-'Balance Sheet'!DP29)+Model!DS91</f>
        <v>9490</v>
      </c>
      <c r="DT325" s="282">
        <f>('Balance Sheet'!DT29-'Balance Sheet'!DS29)+Model!DT91</f>
        <v>7301</v>
      </c>
      <c r="DU325" s="282">
        <f>('Balance Sheet'!DU29-'Balance Sheet'!DT29)+Model!DU91</f>
        <v>8744</v>
      </c>
      <c r="DV325" s="282">
        <f>('Balance Sheet'!DV29-'Balance Sheet'!DU29)+Model!DV91</f>
        <v>11801</v>
      </c>
      <c r="DW325" s="669">
        <f>SUM(DS325:DV325)</f>
        <v>37336</v>
      </c>
      <c r="DX325" s="666"/>
      <c r="DY325" s="282">
        <f>('Balance Sheet'!DY29-'Balance Sheet'!DV29)+Model!DY91</f>
        <v>9787</v>
      </c>
      <c r="DZ325" s="282">
        <f>('Balance Sheet'!DZ29-'Balance Sheet'!DY29+'Balance Sheet'!DZ157-'Balance Sheet'!DY157)+Model!DZ91</f>
        <v>7423</v>
      </c>
      <c r="EA325" s="282">
        <f>('Balance Sheet'!EA29-'Balance Sheet'!DZ29+'Balance Sheet'!EA157-'Balance Sheet'!DZ157)+Model!EA91</f>
        <v>9129</v>
      </c>
      <c r="EB325" s="282">
        <f>('Balance Sheet'!EB29-'Balance Sheet'!EA29+'Balance Sheet'!EB157-'Balance Sheet'!EA157)+Model!EB91</f>
        <v>12174</v>
      </c>
      <c r="EC325" s="669">
        <f>SUM(DY325:EB325)</f>
        <v>38513</v>
      </c>
      <c r="ED325" s="666"/>
      <c r="EE325" s="282">
        <f>('Balance Sheet'!EE29-'Balance Sheet'!ED29+'Balance Sheet'!EE157-'Balance Sheet'!ED157)+Model!EE91</f>
        <v>18002</v>
      </c>
      <c r="EF325" s="282">
        <f>('Balance Sheet'!EF29-'Balance Sheet'!EE29+'Balance Sheet'!EF157-'Balance Sheet'!EE157)+Model!EF91</f>
        <v>7429</v>
      </c>
      <c r="EG325" s="282">
        <f>('Balance Sheet'!EG29-'Balance Sheet'!EF29)+Model!EG91</f>
        <v>8961</v>
      </c>
      <c r="EH325" s="282">
        <f>('Balance Sheet'!EH29-'Balance Sheet'!EG29)+Model!EH91</f>
        <v>11514</v>
      </c>
      <c r="EI325" s="669">
        <f>SUM(EE325:EH325)</f>
        <v>45906</v>
      </c>
      <c r="EJ325" s="666"/>
      <c r="EK325" s="282">
        <f>('Balance Sheet'!EK29-'Balance Sheet'!EJ29+'Balance Sheet'!EK157-'Balance Sheet'!EJ157)+Model!EK91</f>
        <v>18054</v>
      </c>
      <c r="EL325" s="282">
        <f>('Balance Sheet'!EL29-'Balance Sheet'!EK29)+Model!EL91</f>
        <v>6916</v>
      </c>
      <c r="EM325" s="282">
        <f>('Balance Sheet'!EM29-'Balance Sheet'!EL29)+Model!EM91</f>
        <v>8928</v>
      </c>
      <c r="EN325" s="282">
        <f>('Balance Sheet'!EN29-'Balance Sheet'!EM29)+Model!EN91</f>
        <v>11339</v>
      </c>
      <c r="EO325" s="669">
        <f>SUM(EK325:EN325)</f>
        <v>45237</v>
      </c>
      <c r="EP325" s="666"/>
      <c r="EQ325" s="282">
        <f>('Balance Sheet'!EQ29-'Balance Sheet'!EP29+'Balance Sheet'!EQ157-'Balance Sheet'!EP157)+Model!EQ91</f>
        <v>18598</v>
      </c>
      <c r="ER325" s="282">
        <f>('Balance Sheet'!ER29-'Balance Sheet'!EQ29)+Model!ER91</f>
        <v>7018.7799999999988</v>
      </c>
      <c r="ES325" s="282">
        <f>('Balance Sheet'!ES29-'Balance Sheet'!ER29)+Model!ES91</f>
        <v>9251</v>
      </c>
      <c r="ET325" s="282">
        <f>('Balance Sheet'!ET29-'Balance Sheet'!ES29)+Model!ET91</f>
        <v>11786</v>
      </c>
      <c r="EU325" s="1776">
        <f>SUM(EQ325:ET325)</f>
        <v>46653.78</v>
      </c>
      <c r="EV325" s="1777"/>
      <c r="EW325" s="282">
        <f>('Balance Sheet'!EW29-'Balance Sheet'!EV29+'Balance Sheet'!EW157-'Balance Sheet'!EV157)+Model!EW91</f>
        <v>20134</v>
      </c>
      <c r="EX325" s="282">
        <f>('Balance Sheet'!EX29-'Balance Sheet'!EW29)+Model!EX91</f>
        <v>7437</v>
      </c>
      <c r="EY325" s="282">
        <f>('Balance Sheet'!EY29-'Balance Sheet'!EX29)+Model!EY91</f>
        <v>9703</v>
      </c>
      <c r="EZ325" s="282">
        <f>('Balance Sheet'!EZ29-'Balance Sheet'!EY29)+Model!EZ91</f>
        <v>12205.97525264246</v>
      </c>
      <c r="FA325" s="1776">
        <f>SUM(EW325:EZ325)</f>
        <v>49479.975252642456</v>
      </c>
      <c r="FB325" s="1777"/>
      <c r="FC325" s="282">
        <f>('Balance Sheet'!FC29-'Balance Sheet'!FB29+'Balance Sheet'!FC157-'Balance Sheet'!FB157)+Model!FC91</f>
        <v>20947.98465911737</v>
      </c>
      <c r="FD325" s="282">
        <f>('Balance Sheet'!FD29-'Balance Sheet'!FC29)+Model!FD91</f>
        <v>7547.6470320631815</v>
      </c>
      <c r="FE325" s="282">
        <f>('Balance Sheet'!FE29-'Balance Sheet'!FD29)+Model!FE91</f>
        <v>9796.6699961620852</v>
      </c>
      <c r="FF325" s="282">
        <f>('Balance Sheet'!FF29-'Balance Sheet'!FE29)+Model!FF91</f>
        <v>12795.370686564089</v>
      </c>
      <c r="FG325" s="1776">
        <f>SUM(FC325:FF325)</f>
        <v>51087.672373906724</v>
      </c>
      <c r="FH325" s="1777"/>
      <c r="FI325" s="282">
        <f>('Balance Sheet'!FI29-'Balance Sheet'!FH29+'Balance Sheet'!FI157-'Balance Sheet'!FH157)+Model!FI91</f>
        <v>22592.029432346644</v>
      </c>
      <c r="FJ325" s="282">
        <f>('Balance Sheet'!FJ29-'Balance Sheet'!FI29)+Model!FJ91</f>
        <v>7640.8583032627484</v>
      </c>
      <c r="FK325" s="282">
        <f>('Balance Sheet'!FK29-'Balance Sheet'!FJ29)+Model!FK91</f>
        <v>9880.4136216700063</v>
      </c>
      <c r="FL325" s="282">
        <f>('Balance Sheet'!FL29-'Balance Sheet'!FK29)+Model!FL91</f>
        <v>13709.982437740377</v>
      </c>
      <c r="FM325" s="1776">
        <f>SUM(FI325:FL325)</f>
        <v>53823.283795019779</v>
      </c>
      <c r="FQ325"/>
      <c r="FR325"/>
      <c r="FS325"/>
      <c r="FT325"/>
      <c r="FU325"/>
      <c r="FV325"/>
      <c r="GB325" s="24"/>
      <c r="GC325" s="24"/>
      <c r="GD325" s="24"/>
      <c r="GE325" s="24"/>
      <c r="GF325" s="24"/>
      <c r="GG325" s="24"/>
      <c r="GH325" s="24"/>
      <c r="GI325" s="24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</row>
    <row r="326" spans="1:274" s="27" customFormat="1" x14ac:dyDescent="0.2">
      <c r="A326" s="154" t="s">
        <v>611</v>
      </c>
      <c r="B326" s="576"/>
      <c r="C326" s="120"/>
      <c r="D326" s="120"/>
      <c r="E326" s="120"/>
      <c r="F326" s="120"/>
      <c r="G326" s="120"/>
      <c r="H326" s="120"/>
      <c r="I326" s="120"/>
      <c r="J326" s="51"/>
      <c r="K326" s="51"/>
      <c r="L326" s="51"/>
      <c r="M326" s="51"/>
      <c r="N326" s="475"/>
      <c r="O326" s="120"/>
      <c r="P326" s="120"/>
      <c r="Q326" s="120"/>
      <c r="R326" s="120"/>
      <c r="S326" s="51"/>
      <c r="T326" s="120"/>
      <c r="U326" s="120"/>
      <c r="V326" s="120"/>
      <c r="W326" s="120"/>
      <c r="X326" s="120"/>
      <c r="Y326" s="51"/>
      <c r="Z326" s="475"/>
      <c r="AA326" s="120"/>
      <c r="AB326" s="120"/>
      <c r="AC326" s="120"/>
      <c r="AD326" s="120"/>
      <c r="AE326" s="51"/>
      <c r="AF326" s="475"/>
      <c r="AG326" s="120"/>
      <c r="AH326" s="120"/>
      <c r="AI326" s="120"/>
      <c r="AJ326" s="120"/>
      <c r="AK326" s="51"/>
      <c r="AL326" s="475"/>
      <c r="AM326" s="120"/>
      <c r="AN326" s="120"/>
      <c r="AO326" s="120"/>
      <c r="AP326" s="120"/>
      <c r="AQ326" s="51"/>
      <c r="AR326" s="475"/>
      <c r="AS326" s="120"/>
      <c r="AT326" s="120"/>
      <c r="AU326" s="120"/>
      <c r="AV326" s="120"/>
      <c r="AW326" s="51"/>
      <c r="AX326" s="475"/>
      <c r="AY326" s="120"/>
      <c r="AZ326" s="120"/>
      <c r="BA326" s="120"/>
      <c r="BB326" s="120"/>
      <c r="BC326" s="51"/>
      <c r="BD326" s="475"/>
      <c r="BE326" s="120"/>
      <c r="BF326" s="120"/>
      <c r="BG326" s="120"/>
      <c r="BH326" s="120"/>
      <c r="BI326" s="51"/>
      <c r="BJ326" s="120"/>
      <c r="BK326" s="120"/>
      <c r="BL326" s="120"/>
      <c r="BM326" s="120"/>
      <c r="BN326" s="120"/>
      <c r="BO326" s="51"/>
      <c r="BP326" s="120"/>
      <c r="BQ326" s="120"/>
      <c r="BR326" s="120"/>
      <c r="BS326" s="120"/>
      <c r="BT326" s="120"/>
      <c r="BU326" s="458"/>
      <c r="BV326" s="120"/>
      <c r="BW326" s="670">
        <f>BW325/BQ325-1</f>
        <v>0.10326566637246248</v>
      </c>
      <c r="BX326" s="670">
        <f>BX325/BR325-1</f>
        <v>0.10115864527629226</v>
      </c>
      <c r="BY326" s="670">
        <f>BY325/BS325-1</f>
        <v>0.40397614314115304</v>
      </c>
      <c r="BZ326" s="670">
        <f>BZ325/BT325-1</f>
        <v>0.36968002485243856</v>
      </c>
      <c r="CA326" s="671">
        <f>CA325/BU325-1</f>
        <v>0.2603475204998047</v>
      </c>
      <c r="CB326" s="120"/>
      <c r="CC326" s="670">
        <f>CC325/BW325-1</f>
        <v>0.29919999999999991</v>
      </c>
      <c r="CD326" s="670">
        <f>CD325/BX325-1</f>
        <v>0.19263456090651565</v>
      </c>
      <c r="CE326" s="670">
        <f>CE325/BY325-1</f>
        <v>8.1393372982158096E-2</v>
      </c>
      <c r="CF326" s="670">
        <f>CF325/BZ325-1</f>
        <v>0.20208664096166928</v>
      </c>
      <c r="CG326" s="671">
        <f>CG325/CA325-1</f>
        <v>0.1860738904809851</v>
      </c>
      <c r="CH326" s="120"/>
      <c r="CI326" s="670">
        <f>CI325/CC325-1</f>
        <v>0.26231527093596063</v>
      </c>
      <c r="CJ326" s="670">
        <f>CJ325/CD325-1</f>
        <v>0.26128266033254155</v>
      </c>
      <c r="CK326" s="670">
        <f>CK325/CE325-1</f>
        <v>0.21176408967106641</v>
      </c>
      <c r="CL326" s="670">
        <f>CL325/CF325-1</f>
        <v>0.21264150943396221</v>
      </c>
      <c r="CM326" s="671">
        <f>CM325/CG325-1</f>
        <v>0.23231940653284044</v>
      </c>
      <c r="CN326" s="120"/>
      <c r="CO326" s="670">
        <f>CO325/CI325-1</f>
        <v>0.27365853658536587</v>
      </c>
      <c r="CP326" s="670">
        <f>CP325/CJ325-1</f>
        <v>0.29674468657519504</v>
      </c>
      <c r="CQ326" s="670">
        <f>CQ325/CK325-1</f>
        <v>0.18370434406743019</v>
      </c>
      <c r="CR326" s="670">
        <f>CR325/CL325-1</f>
        <v>0.25875213941185615</v>
      </c>
      <c r="CS326" s="671">
        <f>CS325/CM325-1</f>
        <v>0.25107307508876042</v>
      </c>
      <c r="CT326" s="120"/>
      <c r="CU326" s="670">
        <f>CU325/CO325-1</f>
        <v>0.13883569513596328</v>
      </c>
      <c r="CV326" s="670">
        <f>CV325/CP325-1</f>
        <v>-5.5809128630705418E-2</v>
      </c>
      <c r="CW326" s="670">
        <f>CW325/CQ325-1</f>
        <v>1.7893007120686422E-2</v>
      </c>
      <c r="CX326" s="670">
        <f>CX325/CR325-1</f>
        <v>-7.033374536464776E-2</v>
      </c>
      <c r="CY326" s="671">
        <f>CY325/CS325-1</f>
        <v>-6.3535092549449335E-4</v>
      </c>
      <c r="CZ326" s="120"/>
      <c r="DA326" s="670">
        <f>DA325/CU325-1</f>
        <v>-3.2453337817386907E-2</v>
      </c>
      <c r="DB326" s="670">
        <f>DB325/CV325-1</f>
        <v>9.5143924412217196E-2</v>
      </c>
      <c r="DC326" s="670">
        <f>DC325/CW325-1</f>
        <v>0.33872645739910312</v>
      </c>
      <c r="DD326" s="670">
        <f>DD325/CX325-1</f>
        <v>0.34849089216859452</v>
      </c>
      <c r="DE326" s="671">
        <f>DE325/CY325-1</f>
        <v>0.20129693989997466</v>
      </c>
      <c r="DF326" s="120"/>
      <c r="DG326" s="670">
        <f>DG325/DA325-1</f>
        <v>0.49304831421619744</v>
      </c>
      <c r="DH326" s="670">
        <f>DH325/DB325-1</f>
        <v>0.5114365971107544</v>
      </c>
      <c r="DI326" s="670">
        <f>DI325/DC325-1</f>
        <v>0.19436181901010263</v>
      </c>
      <c r="DJ326" s="670">
        <f>DJ325/DD325-1</f>
        <v>0.15943600867678964</v>
      </c>
      <c r="DK326" s="671">
        <f>DK325/DE325-1</f>
        <v>0.2982563842023187</v>
      </c>
      <c r="DL326" s="120"/>
      <c r="DM326" s="670">
        <f>DM325/DG325-1</f>
        <v>0.10825282272145276</v>
      </c>
      <c r="DN326" s="670">
        <f>DN325/DH325-1</f>
        <v>-7.3808575600690318E-2</v>
      </c>
      <c r="DO326" s="670">
        <f>DO325/DI325-1</f>
        <v>3.8404666816244104E-2</v>
      </c>
      <c r="DP326" s="670">
        <f>DP325/DJ325-1</f>
        <v>-5.0038523683986202E-3</v>
      </c>
      <c r="DQ326" s="671">
        <f>DQ325/DK325-1</f>
        <v>1.7868274587602428E-2</v>
      </c>
      <c r="DR326" s="120"/>
      <c r="DS326" s="670">
        <f>DS325/DM325-1</f>
        <v>-3.2559605083499754E-3</v>
      </c>
      <c r="DT326" s="670">
        <f>DT325/DN325-1</f>
        <v>4.6438297262433759E-2</v>
      </c>
      <c r="DU326" s="670">
        <f>DU325/DO325-1</f>
        <v>-5.5350089158357596E-2</v>
      </c>
      <c r="DV326" s="670">
        <f>DV325/DP325-1</f>
        <v>8.6187114181013325E-3</v>
      </c>
      <c r="DW326" s="671">
        <f>DW325/DQ325-1</f>
        <v>-3.1638095150168244E-3</v>
      </c>
      <c r="DX326" s="120"/>
      <c r="DY326" s="670">
        <f>DY325/DS325-1</f>
        <v>3.1296101159114853E-2</v>
      </c>
      <c r="DZ326" s="670">
        <f>DZ325/DT325-1</f>
        <v>1.6710039720586156E-2</v>
      </c>
      <c r="EA326" s="670">
        <f>EA325/DU325-1</f>
        <v>4.4030192131747414E-2</v>
      </c>
      <c r="EB326" s="670">
        <f>EB325/DV325-1</f>
        <v>3.1607490890602552E-2</v>
      </c>
      <c r="EC326" s="671">
        <f>EC325/DW325-1</f>
        <v>3.1524533961859946E-2</v>
      </c>
      <c r="ED326" s="120"/>
      <c r="EE326" s="670">
        <f>EE325/DY325-1</f>
        <v>0.83937876775314191</v>
      </c>
      <c r="EF326" s="670">
        <f>EF325/DZ325-1</f>
        <v>8.0829853159092302E-4</v>
      </c>
      <c r="EG326" s="670">
        <f>EG325/EA325-1</f>
        <v>-1.8402891883010142E-2</v>
      </c>
      <c r="EH326" s="670">
        <f>EH325/EB325-1</f>
        <v>-5.4213898472153743E-2</v>
      </c>
      <c r="EI326" s="671">
        <f>EI325/EC325-1</f>
        <v>0.19196115597330765</v>
      </c>
      <c r="EJ326" s="120"/>
      <c r="EK326" s="670">
        <f>EK325/EE325-1</f>
        <v>2.8885679368959583E-3</v>
      </c>
      <c r="EL326" s="670">
        <f>EL325/EF325-1</f>
        <v>-6.9053708439897665E-2</v>
      </c>
      <c r="EM326" s="670">
        <f>EM325/EG325-1</f>
        <v>-3.6826247070639306E-3</v>
      </c>
      <c r="EN326" s="670">
        <f>EN325/EH325-1</f>
        <v>-1.5198888309883585E-2</v>
      </c>
      <c r="EO326" s="671">
        <f>EO325/EI325-1</f>
        <v>-1.4573258397595046E-2</v>
      </c>
      <c r="EP326" s="120"/>
      <c r="EQ326" s="670">
        <f>EQ325/EK325-1</f>
        <v>3.0131826741996326E-2</v>
      </c>
      <c r="ER326" s="670">
        <f>ER325/EL325-1</f>
        <v>1.4861191440138644E-2</v>
      </c>
      <c r="ES326" s="670">
        <f>ES325/EM325-1</f>
        <v>3.6178315412186413E-2</v>
      </c>
      <c r="ET326" s="670">
        <f>ET325/EN325-1</f>
        <v>3.942146573771943E-2</v>
      </c>
      <c r="EU326" s="671">
        <f>EU325/EO325-1</f>
        <v>3.1319052987598628E-2</v>
      </c>
      <c r="EV326" s="120"/>
      <c r="EW326" s="670">
        <f>EW325/EQ325-1</f>
        <v>8.2589525755457638E-2</v>
      </c>
      <c r="EX326" s="670">
        <f>EX325/ER325-1</f>
        <v>5.9585853951826584E-2</v>
      </c>
      <c r="EY326" s="670">
        <f>EY325/ES325-1</f>
        <v>4.8859582747811103E-2</v>
      </c>
      <c r="EZ326" s="670">
        <f>EZ325/ET325-1</f>
        <v>3.5633400020571804E-2</v>
      </c>
      <c r="FA326" s="671">
        <f>FA325/EU325-1</f>
        <v>6.0578055039537171E-2</v>
      </c>
      <c r="FB326" s="120"/>
      <c r="FC326" s="670">
        <f>FC325/EW325-1</f>
        <v>4.0428362924275874E-2</v>
      </c>
      <c r="FD326" s="670">
        <f>FD325/EX325-1</f>
        <v>1.4877912069810595E-2</v>
      </c>
      <c r="FE326" s="670">
        <f>FE325/EY325-1</f>
        <v>9.6537149502302633E-3</v>
      </c>
      <c r="FF326" s="670">
        <f>FF325/EZ325-1</f>
        <v>4.8287451164054307E-2</v>
      </c>
      <c r="FG326" s="671">
        <f>FG325/FA325-1</f>
        <v>3.2491873996610465E-2</v>
      </c>
      <c r="FH326" s="120"/>
      <c r="FI326" s="670">
        <f>FI325/FC325-1</f>
        <v>7.8482240653815039E-2</v>
      </c>
      <c r="FJ326" s="670">
        <f>FJ325/FD325-1</f>
        <v>1.2349712540026925E-2</v>
      </c>
      <c r="FK326" s="670">
        <f>FK325/FE325-1</f>
        <v>8.5481725464600089E-3</v>
      </c>
      <c r="FL326" s="670">
        <f>FL325/FF325-1</f>
        <v>7.147989484483519E-2</v>
      </c>
      <c r="FM326" s="671">
        <f>FM325/FG325-1</f>
        <v>5.3547388127048068E-2</v>
      </c>
      <c r="FQ326"/>
      <c r="FR326"/>
      <c r="FS326"/>
      <c r="FT326"/>
      <c r="FU326"/>
      <c r="FV326"/>
      <c r="GB326" s="24"/>
      <c r="GC326" s="24"/>
      <c r="GD326" s="24"/>
      <c r="GE326" s="24"/>
      <c r="GF326" s="24"/>
      <c r="GG326" s="24"/>
      <c r="GH326" s="24"/>
      <c r="GI326" s="24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</row>
    <row r="327" spans="1:274" s="27" customFormat="1" x14ac:dyDescent="0.2">
      <c r="A327" s="154" t="s">
        <v>594</v>
      </c>
      <c r="B327" s="576"/>
      <c r="C327" s="120"/>
      <c r="D327" s="120"/>
      <c r="E327" s="120"/>
      <c r="F327" s="120"/>
      <c r="G327" s="120"/>
      <c r="H327" s="120"/>
      <c r="I327" s="120"/>
      <c r="J327" s="51"/>
      <c r="K327" s="51"/>
      <c r="L327" s="51"/>
      <c r="M327" s="51"/>
      <c r="N327" s="475"/>
      <c r="O327" s="120"/>
      <c r="P327" s="120"/>
      <c r="Q327" s="120"/>
      <c r="R327" s="120"/>
      <c r="S327" s="51"/>
      <c r="T327" s="120"/>
      <c r="U327" s="120"/>
      <c r="V327" s="120"/>
      <c r="W327" s="120"/>
      <c r="X327" s="120"/>
      <c r="Y327" s="51"/>
      <c r="Z327" s="475"/>
      <c r="AA327" s="120"/>
      <c r="AB327" s="120"/>
      <c r="AC327" s="120"/>
      <c r="AD327" s="120"/>
      <c r="AE327" s="51"/>
      <c r="AF327" s="475"/>
      <c r="AG327" s="120"/>
      <c r="AH327" s="120"/>
      <c r="AI327" s="120"/>
      <c r="AJ327" s="120"/>
      <c r="AK327" s="51"/>
      <c r="AL327" s="475"/>
      <c r="AM327" s="120"/>
      <c r="AN327" s="120"/>
      <c r="AO327" s="120"/>
      <c r="AP327" s="120"/>
      <c r="AQ327" s="51"/>
      <c r="AR327" s="475"/>
      <c r="AS327" s="120"/>
      <c r="AT327" s="120"/>
      <c r="AU327" s="120"/>
      <c r="AV327" s="120"/>
      <c r="AW327" s="51"/>
      <c r="AX327" s="475"/>
      <c r="AY327" s="120"/>
      <c r="AZ327" s="120"/>
      <c r="BA327" s="120"/>
      <c r="BB327" s="120"/>
      <c r="BC327" s="51"/>
      <c r="BD327" s="475"/>
      <c r="BE327" s="120"/>
      <c r="BF327" s="120"/>
      <c r="BG327" s="120"/>
      <c r="BH327" s="120"/>
      <c r="BI327" s="51"/>
      <c r="BJ327" s="120"/>
      <c r="BK327" s="120"/>
      <c r="BL327" s="120"/>
      <c r="BM327" s="120"/>
      <c r="BN327" s="120"/>
      <c r="BO327" s="51"/>
      <c r="BP327" s="120"/>
      <c r="BQ327" s="101">
        <f>Model!BQ91+'Cash Flow'!BQ74</f>
        <v>2300</v>
      </c>
      <c r="BR327" s="101">
        <f>Model!BR91+'Cash Flow'!BR74</f>
        <v>2216</v>
      </c>
      <c r="BS327" s="101">
        <f>Model!BS91+'Cash Flow'!BS74</f>
        <v>2495</v>
      </c>
      <c r="BT327" s="101">
        <f>Model!BT91+'Cash Flow'!BT74</f>
        <v>3236</v>
      </c>
      <c r="BU327" s="458">
        <f>SUM(BQ327:BT327)</f>
        <v>10247</v>
      </c>
      <c r="BV327" s="120"/>
      <c r="BW327" s="101">
        <f>Model!BW91+'Cash Flow'!BW74</f>
        <v>2493</v>
      </c>
      <c r="BX327" s="101">
        <f>Model!BX91+'Cash Flow'!BX74</f>
        <v>2429</v>
      </c>
      <c r="BY327" s="101">
        <f>Model!BY91+'Cash Flow'!BY74</f>
        <v>3166</v>
      </c>
      <c r="BZ327" s="101">
        <f>Model!BZ91+'Cash Flow'!BZ74</f>
        <v>4425</v>
      </c>
      <c r="CA327" s="168">
        <f>SUM(BW327:BZ327)</f>
        <v>12513</v>
      </c>
      <c r="CB327" s="120"/>
      <c r="CC327" s="101">
        <f>Model!CC91+'Cash Flow'!CC74</f>
        <v>3243</v>
      </c>
      <c r="CD327" s="101">
        <f>Model!CD91+'Cash Flow'!CD74</f>
        <v>2966</v>
      </c>
      <c r="CE327" s="101">
        <f>Model!CE91+'Cash Flow'!CE74</f>
        <v>3608.4</v>
      </c>
      <c r="CF327" s="101">
        <f>Model!CF91+'Cash Flow'!CF74</f>
        <v>5233</v>
      </c>
      <c r="CG327" s="168">
        <f>SUM(CC327:CF327)</f>
        <v>15050.4</v>
      </c>
      <c r="CH327" s="120"/>
      <c r="CI327" s="101">
        <f>Model!CI91+'Cash Flow'!CI74</f>
        <v>4034</v>
      </c>
      <c r="CJ327" s="101">
        <f>Model!CJ91+'Cash Flow'!CJ74</f>
        <v>3647</v>
      </c>
      <c r="CK327" s="101">
        <f>Model!CK91+'Cash Flow'!CK74</f>
        <v>4535</v>
      </c>
      <c r="CL327" s="101">
        <f>Model!CL91+'Cash Flow'!CL74</f>
        <v>6380</v>
      </c>
      <c r="CM327" s="168">
        <f>SUM(CI327:CL327)</f>
        <v>18596</v>
      </c>
      <c r="CN327" s="120"/>
      <c r="CO327" s="101">
        <f>Model!CO91+'Cash Flow'!CO74</f>
        <v>5349</v>
      </c>
      <c r="CP327" s="101">
        <f>Model!CP91+'Cash Flow'!CP74</f>
        <v>4678</v>
      </c>
      <c r="CQ327" s="101">
        <f>Model!CQ91+'Cash Flow'!CQ74</f>
        <v>5389</v>
      </c>
      <c r="CR327" s="101">
        <f>Model!CR91+'Cash Flow'!CR74</f>
        <v>7845</v>
      </c>
      <c r="CS327" s="168">
        <f>SUM(CO327:CR327)</f>
        <v>23261</v>
      </c>
      <c r="CT327" s="120"/>
      <c r="CU327" s="101">
        <f>Model!CU91+'Cash Flow'!CU74</f>
        <v>6073</v>
      </c>
      <c r="CV327" s="101">
        <f>Model!CV91+'Cash Flow'!CV74</f>
        <v>4829</v>
      </c>
      <c r="CW327" s="101">
        <f>Model!CW91+'Cash Flow'!CW74</f>
        <v>5657</v>
      </c>
      <c r="CX327" s="101">
        <f>Model!CX91+'Cash Flow'!CX74</f>
        <v>7368</v>
      </c>
      <c r="CY327" s="168">
        <f>SUM(CU327:CX327)</f>
        <v>23927</v>
      </c>
      <c r="CZ327" s="120"/>
      <c r="DA327" s="101">
        <f>Model!DA91+'Cash Flow'!DA74</f>
        <v>5645</v>
      </c>
      <c r="DB327" s="101">
        <f>Model!DB91+'Cash Flow'!DB74</f>
        <v>4842</v>
      </c>
      <c r="DC327" s="101">
        <f>Model!DC91+'Cash Flow'!DC74</f>
        <v>6781.4</v>
      </c>
      <c r="DD327" s="101">
        <f>Model!DD91+'Cash Flow'!DD74</f>
        <v>10256</v>
      </c>
      <c r="DE327" s="168">
        <f>SUM(DA327:DD327)</f>
        <v>27524.400000000001</v>
      </c>
      <c r="DF327" s="120"/>
      <c r="DG327" s="101">
        <f>Model!DG91+'Cash Flow'!DG74</f>
        <v>8322</v>
      </c>
      <c r="DH327" s="101">
        <f>Model!DH91+'Cash Flow'!DH74</f>
        <v>7414</v>
      </c>
      <c r="DI327" s="101">
        <f>Model!DI91+'Cash Flow'!DI74</f>
        <v>8789</v>
      </c>
      <c r="DJ327" s="101">
        <f>Model!DJ91+'Cash Flow'!DJ74</f>
        <v>11601</v>
      </c>
      <c r="DK327" s="168">
        <f>SUM(DG327:DJ327)</f>
        <v>36126</v>
      </c>
      <c r="DL327" s="120"/>
      <c r="DM327" s="101">
        <f>Model!DM91+'Cash Flow'!DM74</f>
        <v>9402</v>
      </c>
      <c r="DN327" s="101">
        <f>Model!DN91+'Cash Flow'!DN74</f>
        <v>7263</v>
      </c>
      <c r="DO327" s="101">
        <f>Model!DO91+'Cash Flow'!DO74</f>
        <v>9070.3392000000003</v>
      </c>
      <c r="DP327" s="101">
        <f>Model!DP91+'Cash Flow'!DP74</f>
        <v>11978.1597</v>
      </c>
      <c r="DQ327" s="168">
        <f>SUM(DM327:DP327)</f>
        <v>37713.498900000006</v>
      </c>
      <c r="DR327" s="120"/>
      <c r="DS327" s="101">
        <f>Model!DS91+'Cash Flow'!DS74</f>
        <v>9452</v>
      </c>
      <c r="DT327" s="101">
        <f>Model!DT91+'Cash Flow'!DT74</f>
        <v>7271</v>
      </c>
      <c r="DU327" s="101">
        <f>Model!DU91+'Cash Flow'!DU74</f>
        <v>8716</v>
      </c>
      <c r="DV327" s="101">
        <f>Model!DV91+'Cash Flow'!DV74</f>
        <v>11962</v>
      </c>
      <c r="DW327" s="168">
        <f>SUM(DS327:DV327)</f>
        <v>37401</v>
      </c>
      <c r="DX327" s="120"/>
      <c r="DY327" s="101">
        <f>Model!DY91+'Cash Flow'!DY74</f>
        <v>9823</v>
      </c>
      <c r="DZ327" s="101">
        <f>Model!DZ91+'Cash Flow'!DZ74</f>
        <v>7404</v>
      </c>
      <c r="EA327" s="101">
        <f>Model!EA91+'Cash Flow'!EA74</f>
        <v>9230</v>
      </c>
      <c r="EB327" s="101">
        <f>Model!EB91+'Cash Flow'!EB74</f>
        <v>12020</v>
      </c>
      <c r="EC327" s="168">
        <f>SUM(DY327:EB327)</f>
        <v>38477</v>
      </c>
      <c r="ED327" s="120"/>
      <c r="EE327" s="101">
        <f>Model!EE91+'Cash Flow'!EE74</f>
        <v>10415</v>
      </c>
      <c r="EF327" s="101">
        <f>Model!EF91+'Cash Flow'!EF74</f>
        <v>7562</v>
      </c>
      <c r="EG327" s="101">
        <f>Model!EG91+'Cash Flow'!EG74</f>
        <v>9268</v>
      </c>
      <c r="EH327" s="101">
        <f>Model!EH91+'Cash Flow'!EH74</f>
        <v>11663</v>
      </c>
      <c r="EI327" s="168">
        <f>SUM(EE327:EH327)</f>
        <v>38908</v>
      </c>
      <c r="EJ327" s="120"/>
      <c r="EK327" s="101">
        <f>Model!EK91+'Cash Flow'!EK74</f>
        <v>10522</v>
      </c>
      <c r="EL327" s="101">
        <f>Model!EL91+'Cash Flow'!EL74</f>
        <v>6938</v>
      </c>
      <c r="EM327" s="101">
        <f>Model!EM91+'Cash Flow'!EM74</f>
        <v>9025</v>
      </c>
      <c r="EN327" s="101">
        <f>Model!EN91+'Cash Flow'!EN74</f>
        <v>11248</v>
      </c>
      <c r="EO327" s="168">
        <f>SUM(EK327:EN327)</f>
        <v>37733</v>
      </c>
      <c r="EP327" s="120"/>
      <c r="EQ327" s="101">
        <f>Model!EQ91+'Cash Flow'!EQ74</f>
        <v>10374</v>
      </c>
      <c r="ER327" s="101">
        <f>Model!ER91+'Cash Flow'!ER74</f>
        <v>7100.7799999999988</v>
      </c>
      <c r="ES327" s="101">
        <f>Model!ES91+'Cash Flow'!ES74</f>
        <v>9094</v>
      </c>
      <c r="ET327" s="101">
        <f>Model!ET91+'Cash Flow'!ET74</f>
        <v>11864</v>
      </c>
      <c r="EU327" s="168">
        <f>SUM(EQ327:ET327)</f>
        <v>38432.78</v>
      </c>
      <c r="EV327" s="120"/>
      <c r="EW327" s="101">
        <f>Model!EW91+'Cash Flow'!EW74</f>
        <v>10997</v>
      </c>
      <c r="EX327" s="101">
        <f>Model!EX91+'Cash Flow'!EX74</f>
        <v>7501</v>
      </c>
      <c r="EY327" s="101">
        <f>Model!EY91+'Cash Flow'!EY74</f>
        <v>9607</v>
      </c>
      <c r="EZ327" s="101">
        <f>Model!EZ91+'Cash Flow'!EZ74</f>
        <v>12205.97525264246</v>
      </c>
      <c r="FA327" s="168">
        <f>SUM(EW327:EZ327)</f>
        <v>40310.975252642456</v>
      </c>
      <c r="FB327" s="120"/>
      <c r="FC327" s="101">
        <f>Model!FC91+'Cash Flow'!FC74</f>
        <v>11928.682072572628</v>
      </c>
      <c r="FD327" s="101">
        <f>Model!FD91+'Cash Flow'!FD74</f>
        <v>7547.6470320631815</v>
      </c>
      <c r="FE327" s="101">
        <f>Model!FE91+'Cash Flow'!FE74</f>
        <v>9796.6699961620852</v>
      </c>
      <c r="FF327" s="101">
        <f>Model!FF91+'Cash Flow'!FF74</f>
        <v>12795.370686564089</v>
      </c>
      <c r="FG327" s="168">
        <f>SUM(FC327:FF327)</f>
        <v>42068.369787361982</v>
      </c>
      <c r="FH327" s="120"/>
      <c r="FI327" s="101">
        <f>Model!FI91+'Cash Flow'!FI74</f>
        <v>12530.941431429224</v>
      </c>
      <c r="FJ327" s="101">
        <f>Model!FJ91+'Cash Flow'!FJ74</f>
        <v>7640.8583032627484</v>
      </c>
      <c r="FK327" s="101">
        <f>Model!FK91+'Cash Flow'!FK74</f>
        <v>9880.4136216700063</v>
      </c>
      <c r="FL327" s="101">
        <f>Model!FL91+'Cash Flow'!FL74</f>
        <v>13709.982437740377</v>
      </c>
      <c r="FM327" s="168">
        <f>SUM(FI327:FL327)</f>
        <v>43762.195794102357</v>
      </c>
      <c r="FQ327"/>
      <c r="FR327"/>
      <c r="FS327"/>
      <c r="FT327"/>
      <c r="FU327"/>
      <c r="FV327"/>
      <c r="GB327" s="24"/>
      <c r="GC327" s="24"/>
      <c r="GD327" s="24"/>
      <c r="GE327" s="24"/>
      <c r="GF327" s="24"/>
      <c r="GG327" s="24"/>
      <c r="GH327" s="24"/>
      <c r="GI327" s="24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</row>
    <row r="328" spans="1:274" s="27" customFormat="1" x14ac:dyDescent="0.2">
      <c r="A328" s="154" t="s">
        <v>611</v>
      </c>
      <c r="B328" s="631"/>
      <c r="C328" s="120"/>
      <c r="D328" s="120"/>
      <c r="E328" s="120"/>
      <c r="F328" s="120"/>
      <c r="G328" s="120"/>
      <c r="H328" s="120"/>
      <c r="I328" s="120"/>
      <c r="J328" s="51"/>
      <c r="K328" s="51"/>
      <c r="L328" s="51"/>
      <c r="M328" s="51"/>
      <c r="N328" s="475"/>
      <c r="O328" s="120"/>
      <c r="P328" s="120"/>
      <c r="Q328" s="120"/>
      <c r="R328" s="120"/>
      <c r="S328" s="51"/>
      <c r="T328" s="120"/>
      <c r="U328" s="120"/>
      <c r="V328" s="120"/>
      <c r="W328" s="120"/>
      <c r="X328" s="120"/>
      <c r="Y328" s="51"/>
      <c r="Z328" s="475"/>
      <c r="AA328" s="120"/>
      <c r="AB328" s="120"/>
      <c r="AC328" s="120"/>
      <c r="AD328" s="120"/>
      <c r="AE328" s="51"/>
      <c r="AF328" s="475"/>
      <c r="AG328" s="120"/>
      <c r="AH328" s="120"/>
      <c r="AI328" s="120"/>
      <c r="AJ328" s="120"/>
      <c r="AK328" s="51"/>
      <c r="AL328" s="475"/>
      <c r="AM328" s="120"/>
      <c r="AN328" s="120"/>
      <c r="AO328" s="120"/>
      <c r="AP328" s="120"/>
      <c r="AQ328" s="51"/>
      <c r="AR328" s="475"/>
      <c r="AS328" s="120"/>
      <c r="AT328" s="120"/>
      <c r="AU328" s="120"/>
      <c r="AV328" s="120"/>
      <c r="AW328" s="51"/>
      <c r="AX328" s="475"/>
      <c r="AY328" s="120"/>
      <c r="AZ328" s="120"/>
      <c r="BA328" s="120"/>
      <c r="BB328" s="120"/>
      <c r="BC328" s="51"/>
      <c r="BD328" s="475"/>
      <c r="BE328" s="120"/>
      <c r="BF328" s="120"/>
      <c r="BG328" s="120"/>
      <c r="BH328" s="120"/>
      <c r="BI328" s="51"/>
      <c r="BJ328" s="120"/>
      <c r="BK328" s="120"/>
      <c r="BL328" s="120"/>
      <c r="BM328" s="120"/>
      <c r="BN328" s="120"/>
      <c r="BO328" s="51"/>
      <c r="BP328" s="120"/>
      <c r="BQ328" s="120"/>
      <c r="BR328" s="120"/>
      <c r="BS328" s="120"/>
      <c r="BT328" s="120"/>
      <c r="BU328" s="458"/>
      <c r="BV328" s="120"/>
      <c r="BW328" s="670">
        <f>BW327/BQ327-1</f>
        <v>8.3913043478260896E-2</v>
      </c>
      <c r="BX328" s="670">
        <f>BX327/BR327-1</f>
        <v>9.6119133574007254E-2</v>
      </c>
      <c r="BY328" s="670">
        <f>BY327/BS327-1</f>
        <v>0.26893787575150307</v>
      </c>
      <c r="BZ328" s="670">
        <f>BZ327/BT327-1</f>
        <v>0.36742892459826937</v>
      </c>
      <c r="CA328" s="671">
        <f>CA327/BU327-1</f>
        <v>0.22113789401776129</v>
      </c>
      <c r="CB328" s="120"/>
      <c r="CC328" s="670">
        <f>CC327/BW327-1</f>
        <v>0.30084235860409136</v>
      </c>
      <c r="CD328" s="670">
        <f>CD327/BX327-1</f>
        <v>0.22107863318237952</v>
      </c>
      <c r="CE328" s="670">
        <f>CE327/BY327-1</f>
        <v>0.13973468098547071</v>
      </c>
      <c r="CF328" s="670">
        <f>CF327/BZ327-1</f>
        <v>0.18259887005649711</v>
      </c>
      <c r="CG328" s="671">
        <f>CG327/CA327-1</f>
        <v>0.20278110764804591</v>
      </c>
      <c r="CH328" s="120"/>
      <c r="CI328" s="670">
        <f>CI327/CC327-1</f>
        <v>0.24390995991366027</v>
      </c>
      <c r="CJ328" s="670">
        <f>CJ327/CD327-1</f>
        <v>0.22960215778826698</v>
      </c>
      <c r="CK328" s="670">
        <f>CK327/CE327-1</f>
        <v>0.25678971289214059</v>
      </c>
      <c r="CL328" s="670">
        <f>CL327/CF327-1</f>
        <v>0.21918593540989861</v>
      </c>
      <c r="CM328" s="671">
        <f>CM327/CG327-1</f>
        <v>0.23558177855738061</v>
      </c>
      <c r="CN328" s="120"/>
      <c r="CO328" s="670">
        <f>CO327/CI327-1</f>
        <v>0.32597917699553802</v>
      </c>
      <c r="CP328" s="670">
        <f>CP327/CJ327-1</f>
        <v>0.28269810803400053</v>
      </c>
      <c r="CQ328" s="670">
        <f>CQ327/CK327-1</f>
        <v>0.18831312017640567</v>
      </c>
      <c r="CR328" s="670">
        <f>CR327/CL327-1</f>
        <v>0.22962382445141061</v>
      </c>
      <c r="CS328" s="671">
        <f>CS327/CM327-1</f>
        <v>0.25086040008603994</v>
      </c>
      <c r="CT328" s="120"/>
      <c r="CU328" s="670">
        <f>CU327/CO327-1</f>
        <v>0.13535240231819023</v>
      </c>
      <c r="CV328" s="670">
        <f>CV327/CP327-1</f>
        <v>3.2278751603249223E-2</v>
      </c>
      <c r="CW328" s="670">
        <f>CW327/CQ327-1</f>
        <v>4.9730933382816866E-2</v>
      </c>
      <c r="CX328" s="670">
        <f>CX327/CR327-1</f>
        <v>-6.0803059273422555E-2</v>
      </c>
      <c r="CY328" s="671">
        <f>CY327/CS327-1</f>
        <v>2.8631615149821599E-2</v>
      </c>
      <c r="CZ328" s="120"/>
      <c r="DA328" s="670">
        <f>DA327/CU327-1</f>
        <v>-7.0475876831878836E-2</v>
      </c>
      <c r="DB328" s="670">
        <f>DB327/CV327-1</f>
        <v>2.692068751294352E-3</v>
      </c>
      <c r="DC328" s="670">
        <f>DC327/CW327-1</f>
        <v>0.19876259501502558</v>
      </c>
      <c r="DD328" s="670">
        <f>DD327/CX327-1</f>
        <v>0.39196525515743752</v>
      </c>
      <c r="DE328" s="671">
        <f>DE327/CY327-1</f>
        <v>0.15034897814184811</v>
      </c>
      <c r="DF328" s="120"/>
      <c r="DG328" s="670">
        <f>DG327/DA327-1</f>
        <v>0.47422497785651019</v>
      </c>
      <c r="DH328" s="670">
        <f>DH327/DB327-1</f>
        <v>0.53118546055349025</v>
      </c>
      <c r="DI328" s="670">
        <f>DI327/DC327-1</f>
        <v>0.2960450644409709</v>
      </c>
      <c r="DJ328" s="670">
        <f>DJ327/DD327-1</f>
        <v>0.13114274570982842</v>
      </c>
      <c r="DK328" s="671">
        <f>DK327/DE327-1</f>
        <v>0.31250817456511304</v>
      </c>
      <c r="DL328" s="120"/>
      <c r="DM328" s="670">
        <f>DM327/DG327-1</f>
        <v>0.12977649603460706</v>
      </c>
      <c r="DN328" s="670">
        <f>DN327/DH327-1</f>
        <v>-2.0366873482600467E-2</v>
      </c>
      <c r="DO328" s="670">
        <f>DO327/DI327-1</f>
        <v>3.201037660712247E-2</v>
      </c>
      <c r="DP328" s="670">
        <f>DP327/DJ327-1</f>
        <v>3.2510964572019629E-2</v>
      </c>
      <c r="DQ328" s="671">
        <f>DQ327/DK327-1</f>
        <v>4.3943389802358679E-2</v>
      </c>
      <c r="DR328" s="120"/>
      <c r="DS328" s="670">
        <f>DS327/DM327-1</f>
        <v>5.3180174430971228E-3</v>
      </c>
      <c r="DT328" s="670">
        <f>DT327/DN327-1</f>
        <v>1.101473220432414E-3</v>
      </c>
      <c r="DU328" s="670">
        <f>DU327/DO327-1</f>
        <v>-3.9065705503053327E-2</v>
      </c>
      <c r="DV328" s="670">
        <f>DV327/DP327-1</f>
        <v>-1.3490970570378957E-3</v>
      </c>
      <c r="DW328" s="671">
        <f>DW327/DQ327-1</f>
        <v>-8.2861285511752758E-3</v>
      </c>
      <c r="DX328" s="120"/>
      <c r="DY328" s="670">
        <f>DY327/DS327-1</f>
        <v>3.9250952179432863E-2</v>
      </c>
      <c r="DZ328" s="670">
        <f>DZ327/DT327-1</f>
        <v>1.8291844313024441E-2</v>
      </c>
      <c r="EA328" s="670">
        <f>EA327/DU327-1</f>
        <v>5.8972005507113456E-2</v>
      </c>
      <c r="EB328" s="670">
        <f>EB327/DV327-1</f>
        <v>4.8486875104498672E-3</v>
      </c>
      <c r="EC328" s="671">
        <f>EC327/DW327-1</f>
        <v>2.8769284243736815E-2</v>
      </c>
      <c r="ED328" s="120"/>
      <c r="EE328" s="670">
        <f>EE327/DY327-1</f>
        <v>6.0266720961009934E-2</v>
      </c>
      <c r="EF328" s="670">
        <f>EF327/DZ327-1</f>
        <v>2.1339816315505189E-2</v>
      </c>
      <c r="EG328" s="670">
        <f>EG327/EA327-1</f>
        <v>4.1170097508125281E-3</v>
      </c>
      <c r="EH328" s="670">
        <f>EH327/EB327-1</f>
        <v>-2.9700499168053285E-2</v>
      </c>
      <c r="EI328" s="671">
        <f>EI327/EC327-1</f>
        <v>1.1201496998206828E-2</v>
      </c>
      <c r="EJ328" s="120"/>
      <c r="EK328" s="670">
        <f>EK327/EE327-1</f>
        <v>1.0273643783005326E-2</v>
      </c>
      <c r="EL328" s="670">
        <f>EL327/EF327-1</f>
        <v>-8.2517852419994764E-2</v>
      </c>
      <c r="EM328" s="670">
        <f>EM327/EG327-1</f>
        <v>-2.6219249028916702E-2</v>
      </c>
      <c r="EN328" s="670">
        <f>EN327/EH327-1</f>
        <v>-3.5582611677955955E-2</v>
      </c>
      <c r="EO328" s="671">
        <f>EO327/EI327-1</f>
        <v>-3.0199444844247969E-2</v>
      </c>
      <c r="EP328" s="120"/>
      <c r="EQ328" s="670">
        <f>EQ327/EK327-1</f>
        <v>-1.4065766964455384E-2</v>
      </c>
      <c r="ER328" s="670">
        <f>ER327/EL327-1</f>
        <v>2.3462092822138736E-2</v>
      </c>
      <c r="ES328" s="670">
        <f>ES327/EM327-1</f>
        <v>7.6454293628809289E-3</v>
      </c>
      <c r="ET328" s="670">
        <f>ET327/EN327-1</f>
        <v>5.4765291607396849E-2</v>
      </c>
      <c r="EU328" s="671">
        <f>EU327/EO327-1</f>
        <v>1.8545570190549254E-2</v>
      </c>
      <c r="EV328" s="120"/>
      <c r="EW328" s="670">
        <f>EW327/EQ327-1</f>
        <v>6.0053981106612753E-2</v>
      </c>
      <c r="EX328" s="670">
        <f>EX327/ER327-1</f>
        <v>5.6362822112500544E-2</v>
      </c>
      <c r="EY328" s="670">
        <f>EY327/ES327-1</f>
        <v>5.6410820321090904E-2</v>
      </c>
      <c r="EZ328" s="670">
        <f>EZ327/ET327-1</f>
        <v>2.8824616709580253E-2</v>
      </c>
      <c r="FA328" s="671">
        <f>FA327/EU327-1</f>
        <v>4.8869617358995532E-2</v>
      </c>
      <c r="FB328" s="120"/>
      <c r="FC328" s="670">
        <f>FC327/EW327-1</f>
        <v>8.4721476090991121E-2</v>
      </c>
      <c r="FD328" s="670">
        <f>FD327/EX327-1</f>
        <v>6.2187751050768458E-3</v>
      </c>
      <c r="FE328" s="670">
        <f>FE327/EY327-1</f>
        <v>1.9742895405650662E-2</v>
      </c>
      <c r="FF328" s="670">
        <f>FF327/EZ327-1</f>
        <v>4.8287451164054307E-2</v>
      </c>
      <c r="FG328" s="671">
        <f>FG327/FA327-1</f>
        <v>4.3595931969031776E-2</v>
      </c>
      <c r="FH328" s="120"/>
      <c r="FI328" s="670">
        <f>FI327/FC327-1</f>
        <v>5.0488340220028016E-2</v>
      </c>
      <c r="FJ328" s="670">
        <f>FJ327/FD327-1</f>
        <v>1.2349712540026925E-2</v>
      </c>
      <c r="FK328" s="670">
        <f>FK327/FE327-1</f>
        <v>8.5481725464600089E-3</v>
      </c>
      <c r="FL328" s="670">
        <f>FL327/FF327-1</f>
        <v>7.147989484483519E-2</v>
      </c>
      <c r="FM328" s="671">
        <f>FM327/FG327-1</f>
        <v>4.0263647374546574E-2</v>
      </c>
      <c r="FQ328"/>
      <c r="FR328"/>
      <c r="FS328"/>
      <c r="FT328"/>
      <c r="FU328"/>
      <c r="FV328"/>
      <c r="GB328" s="24"/>
      <c r="GC328" s="24"/>
      <c r="GD328" s="24"/>
      <c r="GE328" s="24"/>
      <c r="GF328" s="24"/>
      <c r="GG328" s="24"/>
      <c r="GH328" s="24"/>
      <c r="GI328" s="24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</row>
    <row r="329" spans="1:274" s="1629" customFormat="1" x14ac:dyDescent="0.2">
      <c r="A329" s="1623"/>
      <c r="B329" s="1624"/>
      <c r="C329" s="1625"/>
      <c r="D329" s="1625"/>
      <c r="E329" s="1625"/>
      <c r="F329" s="1625"/>
      <c r="G329" s="1625"/>
      <c r="H329" s="1625"/>
      <c r="I329" s="1625"/>
      <c r="J329" s="1626"/>
      <c r="K329" s="1626"/>
      <c r="L329" s="1626"/>
      <c r="M329" s="1626"/>
      <c r="N329" s="1623"/>
      <c r="O329" s="1625"/>
      <c r="P329" s="1625"/>
      <c r="Q329" s="1625"/>
      <c r="R329" s="1625"/>
      <c r="S329" s="1626"/>
      <c r="T329" s="1625"/>
      <c r="U329" s="1625"/>
      <c r="V329" s="1625"/>
      <c r="W329" s="1625"/>
      <c r="X329" s="1625"/>
      <c r="Y329" s="1626"/>
      <c r="Z329" s="1623"/>
      <c r="AA329" s="1625"/>
      <c r="AB329" s="1625"/>
      <c r="AC329" s="1625"/>
      <c r="AD329" s="1625"/>
      <c r="AE329" s="1626"/>
      <c r="AF329" s="1623"/>
      <c r="AG329" s="1625"/>
      <c r="AH329" s="1625"/>
      <c r="AI329" s="1625"/>
      <c r="AJ329" s="1625"/>
      <c r="AK329" s="1626"/>
      <c r="AL329" s="1623"/>
      <c r="AM329" s="1625"/>
      <c r="AN329" s="1625"/>
      <c r="AO329" s="1625"/>
      <c r="AP329" s="1625"/>
      <c r="AQ329" s="1626"/>
      <c r="AR329" s="1623"/>
      <c r="AS329" s="1625"/>
      <c r="AT329" s="1625"/>
      <c r="AU329" s="1625"/>
      <c r="AV329" s="1625"/>
      <c r="AW329" s="1626"/>
      <c r="AX329" s="1623"/>
      <c r="AY329" s="1625"/>
      <c r="AZ329" s="1625"/>
      <c r="BA329" s="1625"/>
      <c r="BB329" s="1625"/>
      <c r="BC329" s="1626"/>
      <c r="BD329" s="1623"/>
      <c r="BE329" s="1625"/>
      <c r="BF329" s="1625"/>
      <c r="BG329" s="1625"/>
      <c r="BH329" s="1625"/>
      <c r="BI329" s="1626"/>
      <c r="BJ329" s="1625"/>
      <c r="BK329" s="1625"/>
      <c r="BL329" s="1625"/>
      <c r="BM329" s="1625"/>
      <c r="BN329" s="1625"/>
      <c r="BO329" s="1626"/>
      <c r="BP329" s="1625"/>
      <c r="BQ329" s="1625"/>
      <c r="BR329" s="1625"/>
      <c r="BS329" s="1625"/>
      <c r="BT329" s="1625"/>
      <c r="BU329" s="1626"/>
      <c r="BV329" s="1625"/>
      <c r="BW329" s="1627"/>
      <c r="BX329" s="1627"/>
      <c r="BY329" s="1627"/>
      <c r="BZ329" s="1627"/>
      <c r="CA329" s="1627"/>
      <c r="CB329" s="1625"/>
      <c r="CC329" s="1627"/>
      <c r="CD329" s="1627"/>
      <c r="CE329" s="1627"/>
      <c r="CF329" s="1627"/>
      <c r="CG329" s="1628"/>
      <c r="CH329" s="1625"/>
      <c r="CI329" s="1627"/>
      <c r="CJ329" s="1627"/>
      <c r="CK329" s="1627"/>
      <c r="CL329" s="1627"/>
      <c r="CM329" s="1628"/>
      <c r="CN329" s="1625"/>
      <c r="CO329" s="1627"/>
      <c r="CP329" s="1627"/>
      <c r="CQ329" s="1627"/>
      <c r="CR329" s="1627"/>
      <c r="CS329" s="1628"/>
      <c r="CT329" s="1625"/>
      <c r="CU329" s="1627"/>
      <c r="CV329" s="1627"/>
      <c r="CW329" s="1627"/>
      <c r="CX329" s="1627"/>
      <c r="CY329" s="1628"/>
      <c r="CZ329" s="1625"/>
      <c r="DA329" s="1627"/>
      <c r="DB329" s="1627"/>
      <c r="DC329" s="1627"/>
      <c r="DD329" s="1627"/>
      <c r="DE329" s="1628"/>
      <c r="DF329" s="1625"/>
      <c r="DG329" s="1627"/>
      <c r="DH329" s="1627"/>
      <c r="DI329" s="1627"/>
      <c r="DJ329" s="1627"/>
      <c r="DK329" s="1628"/>
      <c r="DL329" s="1625"/>
      <c r="DM329" s="1627"/>
      <c r="DN329" s="1627"/>
      <c r="DO329" s="1627"/>
      <c r="DP329" s="1627"/>
      <c r="DQ329" s="1628"/>
      <c r="DR329" s="1625"/>
      <c r="DS329" s="1627"/>
      <c r="DT329" s="1627"/>
      <c r="DU329" s="1627"/>
      <c r="DV329" s="1627"/>
      <c r="DW329" s="1628"/>
      <c r="DX329" s="1625"/>
      <c r="DY329" s="1627"/>
      <c r="DZ329" s="1627"/>
      <c r="EA329" s="1627"/>
      <c r="EB329" s="1627"/>
      <c r="EC329" s="1628"/>
      <c r="ED329" s="1625"/>
      <c r="EE329" s="1627"/>
      <c r="EF329" s="1627"/>
      <c r="EG329" s="1627"/>
      <c r="EH329" s="1627"/>
      <c r="EI329" s="1628"/>
      <c r="EJ329" s="1625"/>
      <c r="EK329" s="1627"/>
      <c r="EL329" s="1627"/>
      <c r="EM329" s="1627"/>
      <c r="EN329" s="1627"/>
      <c r="EO329" s="1628"/>
      <c r="EP329" s="1625"/>
      <c r="EQ329" s="1627"/>
      <c r="ER329" s="1778"/>
      <c r="ES329" s="1627"/>
      <c r="ET329" s="1778"/>
      <c r="EU329" s="1628"/>
      <c r="EV329" s="1779"/>
      <c r="EW329" s="1778"/>
      <c r="EX329" s="1778"/>
      <c r="EY329" s="1778"/>
      <c r="EZ329" s="1778"/>
      <c r="FA329" s="1628"/>
      <c r="FB329" s="1779"/>
      <c r="FC329" s="1778"/>
      <c r="FD329" s="1778"/>
      <c r="FE329" s="1778"/>
      <c r="FF329" s="1778"/>
      <c r="FG329" s="1628"/>
      <c r="FH329" s="1779"/>
      <c r="FI329" s="1778"/>
      <c r="FJ329" s="1778"/>
      <c r="FK329" s="1778"/>
      <c r="FL329" s="1778"/>
      <c r="FM329" s="1628"/>
      <c r="FQ329"/>
      <c r="FR329"/>
      <c r="FS329"/>
      <c r="FT329"/>
      <c r="FU329"/>
      <c r="FV329"/>
      <c r="GB329" s="1630"/>
      <c r="GC329" s="1630"/>
      <c r="GD329" s="1630"/>
      <c r="GE329" s="1630"/>
      <c r="GF329" s="1630"/>
      <c r="GG329" s="1630"/>
      <c r="GH329" s="1630"/>
      <c r="GI329" s="1630"/>
      <c r="GJ329" s="1631"/>
      <c r="GK329" s="1631"/>
      <c r="GL329" s="1631"/>
      <c r="GM329" s="1631"/>
      <c r="GN329" s="1631"/>
      <c r="GO329" s="1631"/>
      <c r="GP329" s="1631"/>
      <c r="GQ329" s="1631"/>
      <c r="GR329" s="1631"/>
      <c r="GS329" s="1631"/>
      <c r="GT329" s="1631"/>
      <c r="GU329" s="1631"/>
      <c r="GV329" s="1631"/>
      <c r="GW329" s="1631"/>
      <c r="GX329" s="1631"/>
      <c r="GY329" s="1631"/>
      <c r="GZ329" s="1631"/>
      <c r="HA329" s="1631"/>
      <c r="HB329" s="1631"/>
      <c r="HC329" s="1631"/>
      <c r="HD329" s="1631"/>
      <c r="HE329" s="1631"/>
      <c r="HF329" s="1631"/>
      <c r="HG329" s="1631"/>
      <c r="HH329" s="1631"/>
      <c r="HI329" s="1631"/>
      <c r="HJ329" s="1631"/>
      <c r="HK329" s="1631"/>
      <c r="HL329" s="1631"/>
      <c r="HM329" s="1631"/>
      <c r="HN329" s="1631"/>
      <c r="HO329" s="1631"/>
      <c r="HP329" s="1631"/>
      <c r="HQ329" s="1631"/>
      <c r="HR329" s="1631"/>
      <c r="HS329" s="1631"/>
      <c r="HT329" s="1631"/>
      <c r="HU329" s="1631"/>
      <c r="HV329" s="1631"/>
      <c r="HW329" s="1631"/>
      <c r="HX329" s="1631"/>
      <c r="HY329" s="1631"/>
      <c r="HZ329" s="1631"/>
      <c r="IA329" s="1631"/>
      <c r="IB329" s="1631"/>
      <c r="IC329" s="1631"/>
      <c r="ID329" s="1631"/>
      <c r="IE329" s="1631"/>
      <c r="IF329" s="1631"/>
      <c r="IG329" s="1631"/>
      <c r="IH329" s="1631"/>
      <c r="II329" s="1631"/>
      <c r="IJ329" s="1631"/>
      <c r="IK329" s="1631"/>
      <c r="IL329" s="1631"/>
      <c r="IM329" s="1631"/>
      <c r="IN329" s="1631"/>
      <c r="IO329" s="1631"/>
      <c r="IP329" s="1631"/>
      <c r="IQ329" s="1631"/>
      <c r="IR329" s="1631"/>
      <c r="IS329" s="1631"/>
      <c r="IT329" s="1631"/>
      <c r="IU329" s="1631"/>
      <c r="IV329" s="1631"/>
      <c r="IW329" s="1631"/>
      <c r="IX329" s="1631"/>
      <c r="IY329" s="1631"/>
      <c r="IZ329" s="1631"/>
      <c r="JA329" s="1631"/>
      <c r="JB329" s="1631"/>
      <c r="JC329" s="1631"/>
      <c r="JD329" s="1631"/>
      <c r="JE329" s="1631"/>
      <c r="JF329" s="1631"/>
      <c r="JG329" s="1631"/>
      <c r="JH329" s="1631"/>
      <c r="JI329" s="1631"/>
      <c r="JJ329" s="1631"/>
      <c r="JK329" s="1631"/>
      <c r="JL329" s="1631"/>
      <c r="JM329" s="1631"/>
      <c r="JN329" s="1631"/>
    </row>
    <row r="330" spans="1:274" s="27" customFormat="1" x14ac:dyDescent="0.2">
      <c r="A330" s="342" t="s">
        <v>1275</v>
      </c>
      <c r="B330" s="20"/>
      <c r="C330" s="406"/>
      <c r="D330" s="406"/>
      <c r="E330" s="406"/>
      <c r="F330" s="406"/>
      <c r="G330" s="406"/>
      <c r="H330" s="406"/>
      <c r="I330" s="406"/>
      <c r="J330" s="259"/>
      <c r="K330" s="259"/>
      <c r="L330" s="259"/>
      <c r="M330" s="259"/>
      <c r="N330" s="342"/>
      <c r="O330" s="406"/>
      <c r="P330" s="406"/>
      <c r="Q330" s="406"/>
      <c r="R330" s="406"/>
      <c r="S330" s="259"/>
      <c r="T330" s="406"/>
      <c r="U330" s="406"/>
      <c r="V330" s="406"/>
      <c r="W330" s="406"/>
      <c r="X330" s="406"/>
      <c r="Y330" s="259"/>
      <c r="Z330" s="342"/>
      <c r="AA330" s="406"/>
      <c r="AB330" s="406"/>
      <c r="AC330" s="406"/>
      <c r="AD330" s="406"/>
      <c r="AE330" s="259"/>
      <c r="AF330" s="342"/>
      <c r="AG330" s="406"/>
      <c r="AH330" s="406"/>
      <c r="AI330" s="406"/>
      <c r="AJ330" s="406"/>
      <c r="AK330" s="259"/>
      <c r="AL330" s="342"/>
      <c r="AM330" s="406"/>
      <c r="AN330" s="406"/>
      <c r="AO330" s="406"/>
      <c r="AP330" s="406"/>
      <c r="AQ330" s="259"/>
      <c r="AR330" s="342"/>
      <c r="AS330" s="406"/>
      <c r="AT330" s="406"/>
      <c r="AU330" s="406"/>
      <c r="AV330" s="406"/>
      <c r="AW330" s="259"/>
      <c r="AX330" s="342"/>
      <c r="AY330" s="406"/>
      <c r="AZ330" s="406"/>
      <c r="BA330" s="406"/>
      <c r="BB330" s="406"/>
      <c r="BC330" s="259"/>
      <c r="BD330" s="342"/>
      <c r="BE330" s="406"/>
      <c r="BF330" s="406"/>
      <c r="BG330" s="406"/>
      <c r="BH330" s="406"/>
      <c r="BI330" s="259"/>
      <c r="BJ330" s="406"/>
      <c r="BK330" s="406"/>
      <c r="BL330" s="406"/>
      <c r="BM330" s="406"/>
      <c r="BN330" s="406"/>
      <c r="BO330" s="259"/>
      <c r="BP330" s="406"/>
      <c r="BQ330" s="406"/>
      <c r="BR330" s="406"/>
      <c r="BS330" s="406"/>
      <c r="BT330" s="406"/>
      <c r="BU330" s="259"/>
      <c r="BV330" s="406"/>
      <c r="BW330" s="406"/>
      <c r="BX330" s="406"/>
      <c r="BY330" s="406"/>
      <c r="BZ330" s="406"/>
      <c r="CA330" s="259"/>
      <c r="CB330" s="406"/>
      <c r="CC330" s="406"/>
      <c r="CD330" s="406"/>
      <c r="CE330" s="406"/>
      <c r="CF330" s="406"/>
      <c r="CG330" s="458"/>
      <c r="CH330" s="406"/>
      <c r="CI330" s="406"/>
      <c r="CJ330" s="406"/>
      <c r="CK330" s="406"/>
      <c r="CL330" s="406"/>
      <c r="CM330" s="458"/>
      <c r="CN330" s="406"/>
      <c r="CO330" s="406"/>
      <c r="CP330" s="406"/>
      <c r="CQ330" s="406"/>
      <c r="CR330" s="406"/>
      <c r="CS330" s="458"/>
      <c r="CT330" s="120"/>
      <c r="CU330" s="1622">
        <f>Model!CU14+'Balance Sheet'!CU156-'Balance Sheet'!CR156</f>
        <v>1231</v>
      </c>
      <c r="CV330" s="1622">
        <f>Model!CV14+'Balance Sheet'!CV156-'Balance Sheet'!CU156</f>
        <v>1575</v>
      </c>
      <c r="CW330" s="1617">
        <f>Model!CW14+'Balance Sheet'!CW156-'Balance Sheet'!CV156</f>
        <v>1533</v>
      </c>
      <c r="CX330" s="1617">
        <f>Model!CX14+'Balance Sheet'!CX156-'Balance Sheet'!CW156</f>
        <v>2753</v>
      </c>
      <c r="CY330" s="1621">
        <f>SUM(CU330:CX330)</f>
        <v>7092</v>
      </c>
      <c r="CZ330" s="120"/>
      <c r="DA330" s="1622">
        <f>Model!DA14+'Balance Sheet'!DA156-'Balance Sheet'!CX156</f>
        <v>1035</v>
      </c>
      <c r="DB330" s="1622">
        <f>Model!DB14+'Balance Sheet'!DB156-'Balance Sheet'!DA156</f>
        <v>1650</v>
      </c>
      <c r="DC330" s="1617">
        <f>Model!DC14+'Balance Sheet'!DC156-'Balance Sheet'!DB156</f>
        <v>1877.4</v>
      </c>
      <c r="DD330" s="1617">
        <f>Model!DD14+'Balance Sheet'!DD156-'Balance Sheet'!DC156</f>
        <v>3111</v>
      </c>
      <c r="DE330" s="1621">
        <f>SUM(DA330:DD330)</f>
        <v>7673.4</v>
      </c>
      <c r="DF330" s="120"/>
      <c r="DG330" s="1622">
        <f>Model!DG14+'Balance Sheet'!DG156-'Balance Sheet'!DD156</f>
        <v>1309</v>
      </c>
      <c r="DH330" s="1622">
        <f>Model!DH14+'Balance Sheet'!DH156-'Balance Sheet'!DG156</f>
        <v>1971</v>
      </c>
      <c r="DI330" s="1617">
        <f>Model!DI14+'Balance Sheet'!DI156-'Balance Sheet'!DH156</f>
        <v>2240</v>
      </c>
      <c r="DJ330" s="1617">
        <f>Model!DJ14+'Balance Sheet'!DJ156-'Balance Sheet'!DI156</f>
        <v>3648</v>
      </c>
      <c r="DK330" s="1621">
        <f>SUM(DG330:DJ330)</f>
        <v>9168</v>
      </c>
      <c r="DL330" s="1622"/>
      <c r="DM330" s="1622">
        <f>Model!DM14+'Balance Sheet'!DM156-'Balance Sheet'!DJ156</f>
        <v>1498</v>
      </c>
      <c r="DN330" s="1622">
        <f>Model!DN14+'Balance Sheet'!DN156-'Balance Sheet'!DM156</f>
        <v>2079</v>
      </c>
      <c r="DO330" s="1617">
        <f>Model!DO14+'Balance Sheet'!DO156-'Balance Sheet'!DN156</f>
        <v>2424</v>
      </c>
      <c r="DP330" s="1617">
        <f>Model!DP14+'Balance Sheet'!DP156-'Balance Sheet'!DO156</f>
        <v>4016</v>
      </c>
      <c r="DQ330" s="1621">
        <f>SUM(DM330:DP330)</f>
        <v>10017</v>
      </c>
      <c r="DR330" s="1622"/>
      <c r="DS330" s="1622">
        <f>Model!DS14+'Balance Sheet'!DS156-'Balance Sheet'!DP156</f>
        <v>1690</v>
      </c>
      <c r="DT330" s="1622">
        <f>Model!DT14+'Balance Sheet'!DT156-'Balance Sheet'!DS156</f>
        <v>2518</v>
      </c>
      <c r="DU330" s="1617">
        <f>Model!DU14+'Balance Sheet'!DU156-'Balance Sheet'!DT156</f>
        <v>2450</v>
      </c>
      <c r="DV330" s="1617">
        <f>Model!DV14+'Balance Sheet'!DV156-'Balance Sheet'!DU156</f>
        <v>4163</v>
      </c>
      <c r="DW330" s="1621">
        <f>SUM(DS330:DV330)</f>
        <v>10821</v>
      </c>
      <c r="DX330" s="1622"/>
      <c r="DY330" s="1622">
        <f>Model!DY14+'Balance Sheet'!DY156-'Balance Sheet'!DV156</f>
        <v>1691</v>
      </c>
      <c r="DZ330" s="1622">
        <f>Model!DZ14+'Balance Sheet'!DZ156-'Balance Sheet'!DY156</f>
        <v>2506</v>
      </c>
      <c r="EA330" s="1622">
        <f>Model!EA14+'Balance Sheet'!EA156-'Balance Sheet'!DZ156</f>
        <v>2492</v>
      </c>
      <c r="EB330" s="101">
        <f>Model!EB14+'Balance Sheet'!EB156-'Balance Sheet'!EA156</f>
        <v>4301</v>
      </c>
      <c r="EC330" s="1621">
        <f>SUM(DY330:EB330)</f>
        <v>10990</v>
      </c>
      <c r="ED330" s="120"/>
      <c r="EE330" s="1622">
        <f>Model!EE14+'Balance Sheet'!EE156-'Balance Sheet'!EB156</f>
        <v>1842</v>
      </c>
      <c r="EF330" s="1622">
        <f>Model!EF14+'Balance Sheet'!EF156-'Balance Sheet'!EE156</f>
        <v>2572</v>
      </c>
      <c r="EG330" s="1622">
        <f>Model!EG14+'Balance Sheet'!EG156-'Balance Sheet'!EF156</f>
        <v>2602</v>
      </c>
      <c r="EH330" s="1622">
        <f>Model!EH14+'Balance Sheet'!EH156-'Balance Sheet'!EG156</f>
        <v>3820</v>
      </c>
      <c r="EI330" s="1621">
        <f>SUM(EE330:EH330)</f>
        <v>10836</v>
      </c>
      <c r="EJ330" s="120"/>
      <c r="EK330" s="1794">
        <f>Model!EK14+'Balance Sheet'!EK156-'Balance Sheet'!EH156</f>
        <v>1882</v>
      </c>
      <c r="EL330" s="1794">
        <f>Model!EL14+'Balance Sheet'!EL156-'Balance Sheet'!EK156</f>
        <v>2331</v>
      </c>
      <c r="EM330" s="1794">
        <f>Model!EM14+'Balance Sheet'!EM156-'Balance Sheet'!EL156</f>
        <v>2501</v>
      </c>
      <c r="EN330" s="1622">
        <f>Model!EN14+'Balance Sheet'!EN156-'Balance Sheet'!EM156</f>
        <v>3670</v>
      </c>
      <c r="EO330" s="1621">
        <f>SUM(EK330:EN330)</f>
        <v>10384</v>
      </c>
      <c r="EP330" s="120"/>
      <c r="EQ330" s="1794">
        <f>Model!EQ14+'Balance Sheet'!EQ156-'Balance Sheet'!EN156</f>
        <v>2214</v>
      </c>
      <c r="ER330" s="1794">
        <f>Model!ER14+'Balance Sheet'!ER156-'Balance Sheet'!EQ156</f>
        <v>2469</v>
      </c>
      <c r="ES330" s="1794">
        <f>Model!ES14+'Balance Sheet'!ES156-'Balance Sheet'!ER156</f>
        <v>2926</v>
      </c>
      <c r="ET330" s="1622">
        <f>Model!ET14+'Balance Sheet'!ET156-'Balance Sheet'!ES156</f>
        <v>4031</v>
      </c>
      <c r="EU330" s="1621">
        <f>SUM(EQ330:ET330)</f>
        <v>11640</v>
      </c>
      <c r="EV330" s="120"/>
      <c r="EW330" s="1794">
        <f>Model!EW14+'Balance Sheet'!EW156-'Balance Sheet'!ET156</f>
        <v>2655</v>
      </c>
      <c r="EX330" s="1885"/>
      <c r="EY330" s="406"/>
      <c r="EZ330" s="406"/>
      <c r="FA330" s="458"/>
      <c r="FB330" s="120"/>
      <c r="FC330" s="406"/>
      <c r="FD330" s="406"/>
      <c r="FE330" s="406"/>
      <c r="FF330" s="406"/>
      <c r="FG330" s="458"/>
      <c r="FH330" s="120"/>
      <c r="FI330" s="406"/>
      <c r="FJ330" s="406"/>
      <c r="FK330" s="406"/>
      <c r="FL330" s="406"/>
      <c r="FM330" s="458"/>
      <c r="FQ330"/>
      <c r="FR330"/>
      <c r="FS330"/>
      <c r="FT330"/>
      <c r="FU330"/>
      <c r="FV330"/>
      <c r="GB330" s="24"/>
      <c r="GC330" s="24"/>
      <c r="GD330" s="24"/>
      <c r="GE330" s="24"/>
      <c r="GF330" s="24"/>
      <c r="GG330" s="24"/>
      <c r="GH330" s="24"/>
      <c r="GI330" s="24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</row>
    <row r="331" spans="1:274" s="28" customFormat="1" ht="12.75" customHeight="1" x14ac:dyDescent="0.2">
      <c r="A331" s="672" t="s">
        <v>611</v>
      </c>
      <c r="B331" s="1017"/>
      <c r="C331" s="1018"/>
      <c r="D331" s="1018"/>
      <c r="E331" s="1018"/>
      <c r="F331" s="1018"/>
      <c r="G331" s="1018"/>
      <c r="H331" s="1018"/>
      <c r="I331" s="1018"/>
      <c r="J331" s="1018"/>
      <c r="K331" s="1018"/>
      <c r="L331" s="1018"/>
      <c r="M331" s="1018"/>
      <c r="N331" s="1018"/>
      <c r="O331" s="1018"/>
      <c r="P331" s="1018"/>
      <c r="Q331" s="1018"/>
      <c r="R331" s="1018"/>
      <c r="S331" s="1018"/>
      <c r="T331" s="1018"/>
      <c r="U331" s="1018"/>
      <c r="V331" s="1018"/>
      <c r="W331" s="1018"/>
      <c r="X331" s="1018"/>
      <c r="Y331" s="1018"/>
      <c r="Z331" s="1018"/>
      <c r="AA331" s="1018"/>
      <c r="AB331" s="1018"/>
      <c r="AC331" s="1018"/>
      <c r="AD331" s="1018"/>
      <c r="AE331" s="1018"/>
      <c r="AF331" s="1018"/>
      <c r="AG331" s="1018"/>
      <c r="AH331" s="1018"/>
      <c r="AI331" s="1018"/>
      <c r="AJ331" s="1018"/>
      <c r="AK331" s="1018"/>
      <c r="AL331" s="1018"/>
      <c r="AM331" s="1018"/>
      <c r="AN331" s="1018"/>
      <c r="AO331" s="1018"/>
      <c r="AP331" s="1018"/>
      <c r="AQ331" s="1018"/>
      <c r="AR331" s="1018"/>
      <c r="AS331" s="1018"/>
      <c r="AT331" s="1018"/>
      <c r="AU331" s="1018"/>
      <c r="AV331" s="1018"/>
      <c r="AW331" s="1018"/>
      <c r="AX331" s="1018"/>
      <c r="AY331" s="1018"/>
      <c r="AZ331" s="1018"/>
      <c r="BA331" s="1018"/>
      <c r="BB331" s="1018"/>
      <c r="BC331" s="1018"/>
      <c r="BD331" s="1018"/>
      <c r="BE331" s="1018"/>
      <c r="BF331" s="1018"/>
      <c r="BG331" s="1018"/>
      <c r="BH331" s="1018"/>
      <c r="BI331" s="1018"/>
      <c r="BJ331" s="1018"/>
      <c r="BK331" s="1018"/>
      <c r="BL331" s="1018"/>
      <c r="BM331" s="1018"/>
      <c r="BN331" s="1018"/>
      <c r="BO331" s="1018"/>
      <c r="BP331" s="1018"/>
      <c r="BQ331" s="1018"/>
      <c r="BR331" s="1018"/>
      <c r="BS331" s="1018"/>
      <c r="BT331" s="1018"/>
      <c r="BU331" s="1018"/>
      <c r="BV331" s="1018"/>
      <c r="BW331" s="1018"/>
      <c r="BX331" s="1018"/>
      <c r="BY331" s="1018"/>
      <c r="BZ331" s="1018"/>
      <c r="CA331" s="1018"/>
      <c r="CB331" s="1018"/>
      <c r="CC331" s="1018"/>
      <c r="CD331" s="1018"/>
      <c r="CE331" s="1018"/>
      <c r="CF331" s="1018"/>
      <c r="CG331" s="1036"/>
      <c r="CH331" s="1018"/>
      <c r="CI331" s="1018"/>
      <c r="CJ331" s="1018"/>
      <c r="CK331" s="1018"/>
      <c r="CL331" s="1018"/>
      <c r="CM331" s="1036"/>
      <c r="CN331" s="1018"/>
      <c r="CO331" s="1018"/>
      <c r="CP331" s="1018"/>
      <c r="CQ331" s="1018"/>
      <c r="CR331" s="1018"/>
      <c r="CS331" s="1036"/>
      <c r="CT331" s="1018"/>
      <c r="CU331" s="1018"/>
      <c r="CV331" s="1018"/>
      <c r="CW331" s="1018"/>
      <c r="CX331" s="1018"/>
      <c r="CY331" s="1036"/>
      <c r="CZ331" s="1018"/>
      <c r="DA331" s="1618">
        <f>DA330/CU330-1</f>
        <v>-0.15922014622258329</v>
      </c>
      <c r="DB331" s="1618">
        <f>DB330/CV330-1</f>
        <v>4.7619047619047672E-2</v>
      </c>
      <c r="DC331" s="1618">
        <f>DC330/CW330-1</f>
        <v>0.22465753424657531</v>
      </c>
      <c r="DD331" s="1618">
        <f>DD330/CX330-1</f>
        <v>0.13003995641118782</v>
      </c>
      <c r="DE331" s="1619">
        <f>DE330/CY330-1</f>
        <v>8.1979695431471988E-2</v>
      </c>
      <c r="DF331" s="1018"/>
      <c r="DG331" s="1618">
        <f>DG330/DA330-1</f>
        <v>0.26473429951690819</v>
      </c>
      <c r="DH331" s="1618">
        <f>DH330/DB330-1</f>
        <v>0.19454545454545458</v>
      </c>
      <c r="DI331" s="1618">
        <f>DI330/DC330-1</f>
        <v>0.1931394481730051</v>
      </c>
      <c r="DJ331" s="1618">
        <f>DJ330/DD330-1</f>
        <v>0.17261330761812932</v>
      </c>
      <c r="DK331" s="1619">
        <f>DK330/DE330-1</f>
        <v>0.19477676127922439</v>
      </c>
      <c r="DL331" s="1620"/>
      <c r="DM331" s="1618">
        <f>DM330/DG330-1</f>
        <v>0.14438502673796783</v>
      </c>
      <c r="DN331" s="1618">
        <f>DN330/DH330-1</f>
        <v>5.4794520547945202E-2</v>
      </c>
      <c r="DO331" s="1618">
        <f>DO330/DI330-1</f>
        <v>8.2142857142857073E-2</v>
      </c>
      <c r="DP331" s="1618">
        <f>DP330/DJ330-1</f>
        <v>0.10087719298245612</v>
      </c>
      <c r="DQ331" s="1619">
        <f>DQ330/DK330-1</f>
        <v>9.2604712041884918E-2</v>
      </c>
      <c r="DR331" s="1620"/>
      <c r="DS331" s="1618">
        <f>DS330/DM330-1</f>
        <v>0.1281708945260347</v>
      </c>
      <c r="DT331" s="1618">
        <f>DT330/DN330-1</f>
        <v>0.2111592111592111</v>
      </c>
      <c r="DU331" s="1618">
        <f>DU330/DO330-1</f>
        <v>1.0726072607260662E-2</v>
      </c>
      <c r="DV331" s="1618">
        <f>DV330/DP330-1</f>
        <v>3.6603585657370541E-2</v>
      </c>
      <c r="DW331" s="1619">
        <f>DW330/DQ330-1</f>
        <v>8.0263551961665236E-2</v>
      </c>
      <c r="DX331" s="1620"/>
      <c r="DY331" s="1618">
        <f>DY330/DS330-1</f>
        <v>5.9171597633134176E-4</v>
      </c>
      <c r="DZ331" s="1618">
        <f>DZ330/DT330-1</f>
        <v>-4.7656870532168938E-3</v>
      </c>
      <c r="EA331" s="1618">
        <f>EA330/DU330-1</f>
        <v>1.7142857142857126E-2</v>
      </c>
      <c r="EB331" s="1618">
        <f>EB330/DV330-1</f>
        <v>3.3149171270718147E-2</v>
      </c>
      <c r="EC331" s="1619">
        <f>EC330/DW330-1</f>
        <v>1.5617780242121793E-2</v>
      </c>
      <c r="ED331" s="1018"/>
      <c r="EE331" s="1618">
        <f>EE330/DY330-1</f>
        <v>8.9296274393849684E-2</v>
      </c>
      <c r="EF331" s="1618">
        <f>EF330/DZ330-1</f>
        <v>2.6336791699920203E-2</v>
      </c>
      <c r="EG331" s="1618">
        <f>EG330/EA330-1</f>
        <v>4.4141252006420606E-2</v>
      </c>
      <c r="EH331" s="1618">
        <f>EH330/EB330-1</f>
        <v>-0.11183445710299933</v>
      </c>
      <c r="EI331" s="1619">
        <f>EI330/EC330-1</f>
        <v>-1.4012738853503182E-2</v>
      </c>
      <c r="EJ331" s="1018"/>
      <c r="EK331" s="1795">
        <f>EK330/EE330-1</f>
        <v>2.1715526601520097E-2</v>
      </c>
      <c r="EL331" s="1795">
        <f>EL330/EF330-1</f>
        <v>-9.3701399688957965E-2</v>
      </c>
      <c r="EM331" s="1795">
        <f>EM330/EG330-1</f>
        <v>-3.8816295157571123E-2</v>
      </c>
      <c r="EN331" s="1618">
        <f>EN330/EH330-1</f>
        <v>-3.9267015706806241E-2</v>
      </c>
      <c r="EO331" s="1619">
        <f>EO330/EI330-1</f>
        <v>-4.1712809154669572E-2</v>
      </c>
      <c r="EP331" s="1018"/>
      <c r="EQ331" s="1795">
        <f>EQ330/EK330-1</f>
        <v>0.17640807651434653</v>
      </c>
      <c r="ER331" s="1795">
        <f>ER330/EL330-1</f>
        <v>5.9202059202059232E-2</v>
      </c>
      <c r="ES331" s="1795">
        <f>ES330/EM330-1</f>
        <v>0.16993202718912426</v>
      </c>
      <c r="ET331" s="1618">
        <f>ET330/EN330-1</f>
        <v>9.8365122615803768E-2</v>
      </c>
      <c r="EU331" s="1619">
        <f>EU330/EO330-1</f>
        <v>0.12095531587057007</v>
      </c>
      <c r="EV331" s="1018"/>
      <c r="EW331" s="1795">
        <f>EW330/EQ330-1</f>
        <v>0.19918699186991873</v>
      </c>
      <c r="EX331" s="1886"/>
      <c r="EY331" s="1018"/>
      <c r="EZ331" s="1018"/>
      <c r="FA331" s="1036"/>
      <c r="FB331" s="1018"/>
      <c r="FC331" s="1018"/>
      <c r="FD331" s="1018"/>
      <c r="FE331" s="1018"/>
      <c r="FF331" s="1018"/>
      <c r="FG331" s="1036"/>
      <c r="FH331" s="1018"/>
      <c r="FI331" s="1018"/>
      <c r="FJ331" s="1018"/>
      <c r="FK331" s="1018"/>
      <c r="FL331" s="1018"/>
      <c r="FM331" s="1036"/>
      <c r="FQ331"/>
      <c r="FR331"/>
      <c r="FS331"/>
      <c r="FT331"/>
      <c r="FU331"/>
      <c r="FV331"/>
      <c r="GB331" s="24"/>
      <c r="GC331" s="24"/>
      <c r="GD331" s="24"/>
      <c r="GE331" s="24"/>
      <c r="GF331" s="24"/>
      <c r="GG331" s="24"/>
      <c r="GH331" s="24"/>
      <c r="GI331" s="24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</row>
    <row r="332" spans="1:274" s="27" customFormat="1" x14ac:dyDescent="0.2">
      <c r="A332" s="342" t="s">
        <v>1274</v>
      </c>
      <c r="B332" s="20"/>
      <c r="C332" s="406"/>
      <c r="D332" s="406"/>
      <c r="E332" s="406"/>
      <c r="F332" s="406"/>
      <c r="G332" s="406"/>
      <c r="H332" s="406"/>
      <c r="I332" s="406"/>
      <c r="J332" s="259"/>
      <c r="K332" s="259"/>
      <c r="L332" s="259"/>
      <c r="M332" s="259"/>
      <c r="N332" s="342"/>
      <c r="O332" s="406"/>
      <c r="P332" s="406"/>
      <c r="Q332" s="406"/>
      <c r="R332" s="406"/>
      <c r="S332" s="259"/>
      <c r="T332" s="406"/>
      <c r="U332" s="406"/>
      <c r="V332" s="406"/>
      <c r="W332" s="406"/>
      <c r="X332" s="406"/>
      <c r="Y332" s="259"/>
      <c r="Z332" s="342"/>
      <c r="AA332" s="406"/>
      <c r="AB332" s="406"/>
      <c r="AC332" s="406"/>
      <c r="AD332" s="406"/>
      <c r="AE332" s="259"/>
      <c r="AF332" s="342"/>
      <c r="AG332" s="406"/>
      <c r="AH332" s="406"/>
      <c r="AI332" s="406"/>
      <c r="AJ332" s="406"/>
      <c r="AK332" s="259"/>
      <c r="AL332" s="342"/>
      <c r="AM332" s="406"/>
      <c r="AN332" s="406"/>
      <c r="AO332" s="406"/>
      <c r="AP332" s="406"/>
      <c r="AQ332" s="259"/>
      <c r="AR332" s="342"/>
      <c r="AS332" s="406"/>
      <c r="AT332" s="406"/>
      <c r="AU332" s="406"/>
      <c r="AV332" s="406"/>
      <c r="AW332" s="259"/>
      <c r="AX332" s="342"/>
      <c r="AY332" s="406"/>
      <c r="AZ332" s="406"/>
      <c r="BA332" s="406"/>
      <c r="BB332" s="406"/>
      <c r="BC332" s="259"/>
      <c r="BD332" s="342"/>
      <c r="BE332" s="406"/>
      <c r="BF332" s="406"/>
      <c r="BG332" s="406"/>
      <c r="BH332" s="406"/>
      <c r="BI332" s="259"/>
      <c r="BJ332" s="406"/>
      <c r="BK332" s="406"/>
      <c r="BL332" s="406"/>
      <c r="BM332" s="406"/>
      <c r="BN332" s="406"/>
      <c r="BO332" s="259"/>
      <c r="BP332" s="406"/>
      <c r="BQ332" s="406"/>
      <c r="BR332" s="406"/>
      <c r="BS332" s="406"/>
      <c r="BT332" s="406"/>
      <c r="BU332" s="259"/>
      <c r="BV332" s="406"/>
      <c r="BW332" s="406"/>
      <c r="BX332" s="406"/>
      <c r="BY332" s="406"/>
      <c r="BZ332" s="406"/>
      <c r="CA332" s="259"/>
      <c r="CB332" s="406"/>
      <c r="CC332" s="406"/>
      <c r="CD332" s="406"/>
      <c r="CE332" s="406"/>
      <c r="CF332" s="406"/>
      <c r="CG332" s="458"/>
      <c r="CH332" s="406"/>
      <c r="CI332" s="406"/>
      <c r="CJ332" s="406"/>
      <c r="CK332" s="406"/>
      <c r="CL332" s="406"/>
      <c r="CM332" s="458"/>
      <c r="CN332" s="406"/>
      <c r="CO332" s="406"/>
      <c r="CP332" s="406"/>
      <c r="CQ332" s="406"/>
      <c r="CR332" s="406"/>
      <c r="CS332" s="458"/>
      <c r="CT332" s="120"/>
      <c r="CU332" s="406"/>
      <c r="CV332" s="406"/>
      <c r="CW332" s="406"/>
      <c r="CX332" s="406"/>
      <c r="CY332" s="458"/>
      <c r="CZ332" s="120"/>
      <c r="DA332" s="101">
        <f>DA330-SUM(DA10,DA11)</f>
        <v>1021.7</v>
      </c>
      <c r="DB332" s="101">
        <f>DB330-SUM(DB10,DB11)</f>
        <v>1636</v>
      </c>
      <c r="DC332" s="101">
        <f>DC330-SUM(DC10,DC11)</f>
        <v>1831.4</v>
      </c>
      <c r="DD332" s="101">
        <f>DD330-SUM(DD10,DD11)</f>
        <v>2969</v>
      </c>
      <c r="DE332" s="1621">
        <f>SUM(DA332:DD332)</f>
        <v>7458.1</v>
      </c>
      <c r="DF332" s="120"/>
      <c r="DG332" s="101">
        <f>DG330-SUM(DG10,DG11)</f>
        <v>1134</v>
      </c>
      <c r="DH332" s="101">
        <f>DH330-SUM(DH10,DH11)</f>
        <v>1785</v>
      </c>
      <c r="DI332" s="101">
        <f>DI330-SUM(DI10,DI11)</f>
        <v>2070</v>
      </c>
      <c r="DJ332" s="101">
        <f>DJ330-SUM(DJ10,DJ11)</f>
        <v>3550</v>
      </c>
      <c r="DK332" s="1621">
        <f>SUM(DG332:DJ332)</f>
        <v>8539</v>
      </c>
      <c r="DL332" s="1622"/>
      <c r="DM332" s="101">
        <f>DM330-SUM(DM10,DM11)</f>
        <v>1443</v>
      </c>
      <c r="DN332" s="101">
        <f>DN330-SUM(DN10,DN11)</f>
        <v>2040.5</v>
      </c>
      <c r="DO332" s="101">
        <f>DO330-SUM(DO10,DO11)</f>
        <v>2355</v>
      </c>
      <c r="DP332" s="101">
        <f>DP330-SUM(DP10,DP11)</f>
        <v>3861.7952944799999</v>
      </c>
      <c r="DQ332" s="1621">
        <f>SUM(DM332:DP332)</f>
        <v>9700.2952944799999</v>
      </c>
      <c r="DR332" s="1622"/>
      <c r="DS332" s="101">
        <f>DS330-SUM(DS10,DS11)</f>
        <v>1541</v>
      </c>
      <c r="DT332" s="101">
        <f>DT330-SUM(DT10,DT11)</f>
        <v>2362</v>
      </c>
      <c r="DU332" s="101">
        <f>DU330-SUM(DU10,DU11)</f>
        <v>2328.25</v>
      </c>
      <c r="DV332" s="101">
        <f>DV330-SUM(DV10,DV11)</f>
        <v>4076.2355600249998</v>
      </c>
      <c r="DW332" s="1621">
        <f>SUM(DS332:DV332)</f>
        <v>10307.485560024999</v>
      </c>
      <c r="DX332" s="1622"/>
      <c r="DY332" s="101">
        <f>DY330-SUM(DY10,DY11)</f>
        <v>1610.5763380262499</v>
      </c>
      <c r="DZ332" s="101">
        <f>DZ330-SUM(DZ10,DZ11)</f>
        <v>2442.4546549275624</v>
      </c>
      <c r="EA332" s="101">
        <f>EA330-SUM(EA10,EA11)</f>
        <v>2407.8530621326859</v>
      </c>
      <c r="EB332" s="101">
        <f>EB330-SUM(EB10,EB11)</f>
        <v>4223.5943333333335</v>
      </c>
      <c r="EC332" s="1621">
        <f>SUM(DY332:EB332)</f>
        <v>10684.478388419833</v>
      </c>
      <c r="ED332" s="120"/>
      <c r="EE332" s="101">
        <f>EE330-SUM(EE10,EE11)</f>
        <v>1774.6541999999999</v>
      </c>
      <c r="EF332" s="101">
        <f>EF330-SUM(EF10,EF11)</f>
        <v>2437.2611680933333</v>
      </c>
      <c r="EG332" s="101">
        <f>EG330-SUM(EG10,EG11)</f>
        <v>2475.6099559567278</v>
      </c>
      <c r="EH332" s="101">
        <f>EH330-SUM(EH10,EH11)</f>
        <v>3708.5231743039276</v>
      </c>
      <c r="EI332" s="1621">
        <f>SUM(EE332:EH332)</f>
        <v>10396.048498353988</v>
      </c>
      <c r="EJ332" s="120"/>
      <c r="EK332" s="167">
        <f>EK330-SUM(EK10,EK11)</f>
        <v>1765.5379597821632</v>
      </c>
      <c r="EL332" s="167">
        <f>EL330-SUM(EL10,EL11)</f>
        <v>2274.36</v>
      </c>
      <c r="EM332" s="167">
        <f>EM330-SUM(EM10,EM11)</f>
        <v>2475</v>
      </c>
      <c r="EN332" s="101">
        <f>EN330-SUM(EN10,EN11)</f>
        <v>3650.5</v>
      </c>
      <c r="EO332" s="1621">
        <f>SUM(EK332:EN332)</f>
        <v>10165.397959782164</v>
      </c>
      <c r="EP332" s="120"/>
      <c r="EQ332" s="167">
        <f>EQ330-SUM(EQ10,EQ11)</f>
        <v>2134.7649999999999</v>
      </c>
      <c r="ER332" s="167">
        <f>ER330-SUM(ER10,ER11)</f>
        <v>2326.4173093842237</v>
      </c>
      <c r="ES332" s="167">
        <f>ES330-SUM(ES10,ES11)</f>
        <v>2566.6688897610397</v>
      </c>
      <c r="ET332" s="101">
        <f>ET330-SUM(ET10,ET11)</f>
        <v>3637.6904710946442</v>
      </c>
      <c r="EU332" s="1621">
        <f>SUM(EQ332:ET332)</f>
        <v>10665.541670239907</v>
      </c>
      <c r="EV332" s="120"/>
      <c r="EW332" s="167">
        <f>EW330-SUM(EW10,EW11)</f>
        <v>2307.218389765354</v>
      </c>
      <c r="EX332" s="1885"/>
      <c r="EY332" s="406"/>
      <c r="EZ332" s="406"/>
      <c r="FA332" s="458"/>
      <c r="FB332" s="120"/>
      <c r="FC332" s="406"/>
      <c r="FD332" s="406"/>
      <c r="FE332" s="406"/>
      <c r="FF332" s="406"/>
      <c r="FG332" s="458"/>
      <c r="FH332" s="120"/>
      <c r="FI332" s="406"/>
      <c r="FJ332" s="406"/>
      <c r="FK332" s="406"/>
      <c r="FL332" s="406"/>
      <c r="FM332" s="458"/>
      <c r="FQ332"/>
      <c r="FR332"/>
      <c r="FS332"/>
      <c r="FT332"/>
      <c r="FU332"/>
      <c r="FV332"/>
      <c r="GB332" s="24"/>
      <c r="GC332" s="24"/>
      <c r="GD332" s="24"/>
      <c r="GE332" s="24"/>
      <c r="GF332" s="24"/>
      <c r="GG332" s="24"/>
      <c r="GH332" s="24"/>
      <c r="GI332" s="24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</row>
    <row r="333" spans="1:274" s="28" customFormat="1" ht="12.75" customHeight="1" x14ac:dyDescent="0.2">
      <c r="A333" s="672" t="s">
        <v>611</v>
      </c>
      <c r="B333" s="1017"/>
      <c r="C333" s="1018"/>
      <c r="D333" s="1018"/>
      <c r="E333" s="1018"/>
      <c r="F333" s="1018"/>
      <c r="G333" s="1018"/>
      <c r="H333" s="1018"/>
      <c r="I333" s="1018"/>
      <c r="J333" s="1018"/>
      <c r="K333" s="1018"/>
      <c r="L333" s="1018"/>
      <c r="M333" s="1018"/>
      <c r="N333" s="1018"/>
      <c r="O333" s="1018"/>
      <c r="P333" s="1018"/>
      <c r="Q333" s="1018"/>
      <c r="R333" s="1018"/>
      <c r="S333" s="1018"/>
      <c r="T333" s="1018"/>
      <c r="U333" s="1018"/>
      <c r="V333" s="1018"/>
      <c r="W333" s="1018"/>
      <c r="X333" s="1018"/>
      <c r="Y333" s="1018"/>
      <c r="Z333" s="1018"/>
      <c r="AA333" s="1018"/>
      <c r="AB333" s="1018"/>
      <c r="AC333" s="1018"/>
      <c r="AD333" s="1018"/>
      <c r="AE333" s="1018"/>
      <c r="AF333" s="1018"/>
      <c r="AG333" s="1018"/>
      <c r="AH333" s="1018"/>
      <c r="AI333" s="1018"/>
      <c r="AJ333" s="1018"/>
      <c r="AK333" s="1018"/>
      <c r="AL333" s="1018"/>
      <c r="AM333" s="1018"/>
      <c r="AN333" s="1018"/>
      <c r="AO333" s="1018"/>
      <c r="AP333" s="1018"/>
      <c r="AQ333" s="1018"/>
      <c r="AR333" s="1018"/>
      <c r="AS333" s="1018"/>
      <c r="AT333" s="1018"/>
      <c r="AU333" s="1018"/>
      <c r="AV333" s="1018"/>
      <c r="AW333" s="1018"/>
      <c r="AX333" s="1018"/>
      <c r="AY333" s="1018"/>
      <c r="AZ333" s="1018"/>
      <c r="BA333" s="1018"/>
      <c r="BB333" s="1018"/>
      <c r="BC333" s="1018"/>
      <c r="BD333" s="1018"/>
      <c r="BE333" s="1018"/>
      <c r="BF333" s="1018"/>
      <c r="BG333" s="1018"/>
      <c r="BH333" s="1018"/>
      <c r="BI333" s="1018"/>
      <c r="BJ333" s="1018"/>
      <c r="BK333" s="1018"/>
      <c r="BL333" s="1018"/>
      <c r="BM333" s="1018"/>
      <c r="BN333" s="1018"/>
      <c r="BO333" s="1018"/>
      <c r="BP333" s="1018"/>
      <c r="BQ333" s="1018"/>
      <c r="BR333" s="1018"/>
      <c r="BS333" s="1018"/>
      <c r="BT333" s="1018"/>
      <c r="BU333" s="1018"/>
      <c r="BV333" s="1018"/>
      <c r="BW333" s="1018"/>
      <c r="BX333" s="1018"/>
      <c r="BY333" s="1018"/>
      <c r="BZ333" s="1018"/>
      <c r="CA333" s="1018"/>
      <c r="CB333" s="1018"/>
      <c r="CC333" s="1018"/>
      <c r="CD333" s="1018"/>
      <c r="CE333" s="1018"/>
      <c r="CF333" s="1018"/>
      <c r="CG333" s="1036"/>
      <c r="CH333" s="1018"/>
      <c r="CI333" s="1018"/>
      <c r="CJ333" s="1018"/>
      <c r="CK333" s="1018"/>
      <c r="CL333" s="1018"/>
      <c r="CM333" s="1036"/>
      <c r="CN333" s="1018"/>
      <c r="CO333" s="1018"/>
      <c r="CP333" s="1018"/>
      <c r="CQ333" s="1018"/>
      <c r="CR333" s="1018"/>
      <c r="CS333" s="1036"/>
      <c r="CT333" s="1018"/>
      <c r="CU333" s="1018"/>
      <c r="CV333" s="1018"/>
      <c r="CW333" s="1018"/>
      <c r="CX333" s="1018"/>
      <c r="CY333" s="1036"/>
      <c r="CZ333" s="1018"/>
      <c r="DA333" s="1618">
        <f>DA332/CU330-1</f>
        <v>-0.17002437043054419</v>
      </c>
      <c r="DB333" s="1618">
        <f>DB332/CV330-1</f>
        <v>3.8730158730158726E-2</v>
      </c>
      <c r="DC333" s="1618">
        <f>DC332/CW330-1</f>
        <v>0.19465101108936733</v>
      </c>
      <c r="DD333" s="1618">
        <f>DD332/CX330-1</f>
        <v>7.8459861968761313E-2</v>
      </c>
      <c r="DE333" s="1619">
        <f>DE332/CY330-1</f>
        <v>5.1621545403271352E-2</v>
      </c>
      <c r="DF333" s="1018"/>
      <c r="DG333" s="1618">
        <f>DG332/DA330-1</f>
        <v>9.565217391304337E-2</v>
      </c>
      <c r="DH333" s="1618">
        <f>DH332/DB330-1</f>
        <v>8.181818181818179E-2</v>
      </c>
      <c r="DI333" s="1618">
        <f>DI332/DC330-1</f>
        <v>0.10258868648130393</v>
      </c>
      <c r="DJ333" s="1618">
        <f>DJ332/DD330-1</f>
        <v>0.14111218257794911</v>
      </c>
      <c r="DK333" s="1619">
        <f>DK332/DE330-1</f>
        <v>0.11280527536685181</v>
      </c>
      <c r="DL333" s="1620"/>
      <c r="DM333" s="1618">
        <f>DM332/DG330-1</f>
        <v>0.1023682200152789</v>
      </c>
      <c r="DN333" s="1618">
        <f>DN332/DH330-1</f>
        <v>3.5261288685946246E-2</v>
      </c>
      <c r="DO333" s="1618">
        <f>DO332/DI330-1</f>
        <v>5.1339285714285809E-2</v>
      </c>
      <c r="DP333" s="1618">
        <f>DP332/DJ330-1</f>
        <v>5.8606166249999925E-2</v>
      </c>
      <c r="DQ333" s="1619">
        <f>DQ332/DK330-1</f>
        <v>5.8060132469458958E-2</v>
      </c>
      <c r="DR333" s="1620"/>
      <c r="DS333" s="1618">
        <f>DS332/DM330-1</f>
        <v>2.8704939919893091E-2</v>
      </c>
      <c r="DT333" s="1618">
        <f>DT332/DN330-1</f>
        <v>0.13612313612313609</v>
      </c>
      <c r="DU333" s="1618">
        <f>DU332/DO330-1</f>
        <v>-3.9500825082508295E-2</v>
      </c>
      <c r="DV333" s="1618">
        <f>DV332/DP330-1</f>
        <v>1.4998894428535747E-2</v>
      </c>
      <c r="DW333" s="1619">
        <f>DW332/DQ330-1</f>
        <v>2.8999257265149181E-2</v>
      </c>
      <c r="DX333" s="1620"/>
      <c r="DY333" s="1618">
        <f>DY332/DS330-1</f>
        <v>-4.6996249688609493E-2</v>
      </c>
      <c r="DZ333" s="1618">
        <f>DZ332/DT330-1</f>
        <v>-3.0002122745209525E-2</v>
      </c>
      <c r="EA333" s="1618">
        <f>EA332/DU330-1</f>
        <v>-1.7202831782577199E-2</v>
      </c>
      <c r="EB333" s="1618">
        <f>EB332/DV330-1</f>
        <v>1.4555448794939529E-2</v>
      </c>
      <c r="EC333" s="1619">
        <f>EC332/DW330-1</f>
        <v>-1.2616358153605622E-2</v>
      </c>
      <c r="ED333" s="1018"/>
      <c r="EE333" s="1618">
        <f>EE332/DY330-1</f>
        <v>4.9470254287403925E-2</v>
      </c>
      <c r="EF333" s="1618">
        <f>EF332/DZ330-1</f>
        <v>-2.742970147911683E-2</v>
      </c>
      <c r="EG333" s="1618">
        <f>EG332/EA330-1</f>
        <v>-6.5770642228218934E-3</v>
      </c>
      <c r="EH333" s="1618">
        <f>EH332/EB330-1</f>
        <v>-0.13775327265660831</v>
      </c>
      <c r="EI333" s="1619">
        <f>EI332/EC330-1</f>
        <v>-5.4044722624750796E-2</v>
      </c>
      <c r="EJ333" s="1018"/>
      <c r="EK333" s="1795">
        <f>EK332/EE330-1</f>
        <v>-4.1510336708923345E-2</v>
      </c>
      <c r="EL333" s="1795">
        <f>EL332/EF330-1</f>
        <v>-0.11572317262830478</v>
      </c>
      <c r="EM333" s="1795">
        <f>EM332/EG330-1</f>
        <v>-4.880860876249038E-2</v>
      </c>
      <c r="EN333" s="1618">
        <f>EN332/EH330-1</f>
        <v>-4.4371727748691137E-2</v>
      </c>
      <c r="EO333" s="1619">
        <f>EO332/EI330-1</f>
        <v>-6.1886493191014802E-2</v>
      </c>
      <c r="EP333" s="1018"/>
      <c r="EQ333" s="1795">
        <f>EQ332/EK330-1</f>
        <v>0.13430658873538781</v>
      </c>
      <c r="ER333" s="1795">
        <f>ER332/EL330-1</f>
        <v>-1.9659762401442737E-3</v>
      </c>
      <c r="ES333" s="1795">
        <f>ES332/EM330-1</f>
        <v>2.6257053083182713E-2</v>
      </c>
      <c r="ET333" s="1618">
        <f>ET332/EN330-1</f>
        <v>-8.8036863502332086E-3</v>
      </c>
      <c r="EU333" s="1619">
        <f>EU332/EO330-1</f>
        <v>2.7113026795060335E-2</v>
      </c>
      <c r="EV333" s="1018"/>
      <c r="EW333" s="1795">
        <f>EW332/EQ330-1</f>
        <v>4.2104060417955669E-2</v>
      </c>
      <c r="EX333" s="1886"/>
      <c r="EY333" s="1018"/>
      <c r="EZ333" s="1018"/>
      <c r="FA333" s="1036"/>
      <c r="FB333" s="1018"/>
      <c r="FC333" s="1018"/>
      <c r="FD333" s="1018"/>
      <c r="FE333" s="1018"/>
      <c r="FF333" s="1018"/>
      <c r="FG333" s="1036"/>
      <c r="FH333" s="1018"/>
      <c r="FI333" s="1018"/>
      <c r="FJ333" s="1018"/>
      <c r="FK333" s="1018"/>
      <c r="FL333" s="1018"/>
      <c r="FM333" s="1036"/>
      <c r="FQ333"/>
      <c r="FR333"/>
      <c r="FS333"/>
      <c r="FT333"/>
      <c r="FU333"/>
      <c r="FV333"/>
      <c r="GB333" s="24"/>
      <c r="GC333" s="24"/>
      <c r="GD333" s="24"/>
      <c r="GE333" s="24"/>
      <c r="GF333" s="24"/>
      <c r="GG333" s="24"/>
      <c r="GH333" s="24"/>
      <c r="GI333" s="24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</row>
    <row r="334" spans="1:274" s="27" customFormat="1" x14ac:dyDescent="0.2">
      <c r="A334" s="342" t="s">
        <v>1132</v>
      </c>
      <c r="B334" s="20"/>
      <c r="C334" s="406"/>
      <c r="D334" s="406"/>
      <c r="E334" s="406"/>
      <c r="F334" s="406"/>
      <c r="G334" s="406"/>
      <c r="H334" s="406"/>
      <c r="I334" s="406"/>
      <c r="J334" s="259"/>
      <c r="K334" s="259"/>
      <c r="L334" s="259"/>
      <c r="M334" s="259"/>
      <c r="N334" s="342"/>
      <c r="O334" s="406"/>
      <c r="P334" s="406"/>
      <c r="Q334" s="406"/>
      <c r="R334" s="406"/>
      <c r="S334" s="259"/>
      <c r="T334" s="406"/>
      <c r="U334" s="406"/>
      <c r="V334" s="406"/>
      <c r="W334" s="406"/>
      <c r="X334" s="406"/>
      <c r="Y334" s="259"/>
      <c r="Z334" s="342"/>
      <c r="AA334" s="406"/>
      <c r="AB334" s="406"/>
      <c r="AC334" s="406"/>
      <c r="AD334" s="406"/>
      <c r="AE334" s="259"/>
      <c r="AF334" s="342"/>
      <c r="AG334" s="406"/>
      <c r="AH334" s="406"/>
      <c r="AI334" s="406"/>
      <c r="AJ334" s="406"/>
      <c r="AK334" s="259"/>
      <c r="AL334" s="342"/>
      <c r="AM334" s="406"/>
      <c r="AN334" s="406"/>
      <c r="AO334" s="406"/>
      <c r="AP334" s="406"/>
      <c r="AQ334" s="259"/>
      <c r="AR334" s="342"/>
      <c r="AS334" s="406"/>
      <c r="AT334" s="406"/>
      <c r="AU334" s="406"/>
      <c r="AV334" s="406"/>
      <c r="AW334" s="259"/>
      <c r="AX334" s="342"/>
      <c r="AY334" s="406"/>
      <c r="AZ334" s="406"/>
      <c r="BA334" s="406"/>
      <c r="BB334" s="406"/>
      <c r="BC334" s="259"/>
      <c r="BD334" s="342"/>
      <c r="BE334" s="406"/>
      <c r="BF334" s="406"/>
      <c r="BG334" s="406"/>
      <c r="BH334" s="406"/>
      <c r="BI334" s="259"/>
      <c r="BJ334" s="406"/>
      <c r="BK334" s="406"/>
      <c r="BL334" s="406"/>
      <c r="BM334" s="406"/>
      <c r="BN334" s="406"/>
      <c r="BO334" s="259"/>
      <c r="BP334" s="406"/>
      <c r="BQ334" s="406"/>
      <c r="BR334" s="406"/>
      <c r="BS334" s="406"/>
      <c r="BT334" s="406"/>
      <c r="BU334" s="259"/>
      <c r="BV334" s="406"/>
      <c r="BW334" s="406"/>
      <c r="BX334" s="406"/>
      <c r="BY334" s="406"/>
      <c r="BZ334" s="406"/>
      <c r="CA334" s="259"/>
      <c r="CB334" s="406"/>
      <c r="CC334" s="406"/>
      <c r="CD334" s="406"/>
      <c r="CE334" s="406"/>
      <c r="CF334" s="406"/>
      <c r="CG334" s="458"/>
      <c r="CH334" s="406"/>
      <c r="CI334" s="406"/>
      <c r="CJ334" s="406"/>
      <c r="CK334" s="406"/>
      <c r="CL334" s="406"/>
      <c r="CM334" s="458"/>
      <c r="CN334" s="406"/>
      <c r="CO334" s="406"/>
      <c r="CP334" s="406"/>
      <c r="CQ334" s="406"/>
      <c r="CR334" s="406"/>
      <c r="CS334" s="458"/>
      <c r="CT334" s="120"/>
      <c r="CU334" s="406"/>
      <c r="CV334" s="406"/>
      <c r="CW334" s="406"/>
      <c r="CX334" s="406"/>
      <c r="CY334" s="458"/>
      <c r="CZ334" s="120"/>
      <c r="DA334" s="1622"/>
      <c r="DB334" s="1622"/>
      <c r="DC334" s="1617"/>
      <c r="DD334" s="1617"/>
      <c r="DE334" s="1621"/>
      <c r="DF334" s="120"/>
      <c r="DG334" s="101"/>
      <c r="DH334" s="101"/>
      <c r="DI334" s="101"/>
      <c r="DJ334" s="101"/>
      <c r="DK334" s="1621"/>
      <c r="DL334" s="1622"/>
      <c r="DM334" s="101"/>
      <c r="DN334" s="101"/>
      <c r="DO334" s="101"/>
      <c r="DP334" s="101"/>
      <c r="DQ334" s="1621"/>
      <c r="DR334" s="1622"/>
      <c r="DS334" s="101"/>
      <c r="DT334" s="101"/>
      <c r="DU334" s="101"/>
      <c r="DV334" s="101"/>
      <c r="DW334" s="458"/>
      <c r="DX334" s="1622"/>
      <c r="DY334" s="101"/>
      <c r="DZ334" s="101"/>
      <c r="EA334" s="101"/>
      <c r="EB334" s="101">
        <f>'Balance Sheet'!EB154-'Balance Sheet'!EA154+EB23</f>
        <v>485</v>
      </c>
      <c r="EC334" s="458">
        <f>'Balance Sheet'!EB154-'Balance Sheet'!DV154+EC23</f>
        <v>1618</v>
      </c>
      <c r="ED334" s="120"/>
      <c r="EE334" s="167">
        <f>'Balance Sheet'!EE154-'Balance Sheet'!EB154+EE23</f>
        <v>478</v>
      </c>
      <c r="EF334" s="167">
        <f>'Balance Sheet'!EF154-'Balance Sheet'!EE154+EF23</f>
        <v>512</v>
      </c>
      <c r="EG334" s="167">
        <f>'Balance Sheet'!EG154-'Balance Sheet'!EF154+EG23</f>
        <v>609</v>
      </c>
      <c r="EH334" s="167">
        <f>'Balance Sheet'!EH154-'Balance Sheet'!EG154+EH23</f>
        <v>662</v>
      </c>
      <c r="EI334" s="557">
        <f>'Balance Sheet'!EH154-'Balance Sheet'!EB154+EI23</f>
        <v>2261</v>
      </c>
      <c r="EJ334" s="943"/>
      <c r="EK334" s="167">
        <f>'Balance Sheet'!EK154-'Balance Sheet'!EH154+EK23</f>
        <v>720</v>
      </c>
      <c r="EL334" s="167">
        <f>'Balance Sheet'!EL154-'Balance Sheet'!EK154+EL23</f>
        <v>702</v>
      </c>
      <c r="EM334" s="167">
        <f>'Balance Sheet'!EM154-'Balance Sheet'!EL154+EM23</f>
        <v>817</v>
      </c>
      <c r="EN334" s="167">
        <f>'Balance Sheet'!EN154-'Balance Sheet'!EM154+EN23</f>
        <v>923</v>
      </c>
      <c r="EO334" s="557">
        <f>'Balance Sheet'!EN154-'Balance Sheet'!EH154+EO23</f>
        <v>3162</v>
      </c>
      <c r="EP334" s="120"/>
      <c r="EQ334" s="167">
        <f>'Balance Sheet'!EQ154-'Balance Sheet'!EN154+EQ23</f>
        <v>1190</v>
      </c>
      <c r="ER334" s="167">
        <f>'Balance Sheet'!ER154-'Balance Sheet'!EQ154+ER23-235</f>
        <v>897</v>
      </c>
      <c r="ES334" s="167">
        <f>'Balance Sheet'!ES154-'Balance Sheet'!ER154+ES23</f>
        <v>1473</v>
      </c>
      <c r="ET334" s="167">
        <f>'Balance Sheet'!ET154-'Balance Sheet'!ES154+ET23</f>
        <v>1433</v>
      </c>
      <c r="EU334" s="557">
        <f>'Balance Sheet'!ET154-'Balance Sheet'!EN154+EU23</f>
        <v>5228</v>
      </c>
      <c r="EV334" s="120"/>
      <c r="EW334" s="167">
        <f>'Balance Sheet'!EW154-'Balance Sheet'!ET154+EW23</f>
        <v>1697</v>
      </c>
      <c r="EX334" s="167">
        <f>'Balance Sheet'!EX154-'Balance Sheet'!EW154+EX23</f>
        <v>1403</v>
      </c>
      <c r="EY334" s="167">
        <f>'Balance Sheet'!EY154-'Balance Sheet'!EX154+EY23</f>
        <v>299</v>
      </c>
      <c r="EZ334" s="406"/>
      <c r="FA334" s="458"/>
      <c r="FB334" s="120"/>
      <c r="FC334" s="406"/>
      <c r="FD334" s="406"/>
      <c r="FE334" s="406"/>
      <c r="FF334" s="406"/>
      <c r="FG334" s="458"/>
      <c r="FH334" s="120"/>
      <c r="FI334" s="406"/>
      <c r="FJ334" s="406"/>
      <c r="FK334" s="406"/>
      <c r="FL334" s="406"/>
      <c r="FM334" s="458"/>
      <c r="FQ334"/>
      <c r="FR334"/>
      <c r="FS334"/>
      <c r="FT334"/>
      <c r="FU334"/>
      <c r="FV334"/>
      <c r="GB334" s="24"/>
      <c r="GC334" s="24"/>
      <c r="GD334" s="24"/>
      <c r="GE334" s="24"/>
      <c r="GF334" s="24"/>
      <c r="GG334" s="24"/>
      <c r="GH334" s="24"/>
      <c r="GI334" s="2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</row>
    <row r="335" spans="1:274" s="27" customFormat="1" x14ac:dyDescent="0.2">
      <c r="A335" s="1701" t="s">
        <v>1131</v>
      </c>
      <c r="B335" s="20"/>
      <c r="C335" s="406"/>
      <c r="D335" s="406"/>
      <c r="E335" s="406"/>
      <c r="F335" s="406"/>
      <c r="G335" s="406"/>
      <c r="H335" s="406"/>
      <c r="I335" s="406"/>
      <c r="J335" s="259"/>
      <c r="K335" s="259"/>
      <c r="L335" s="259"/>
      <c r="M335" s="259"/>
      <c r="N335" s="342"/>
      <c r="O335" s="406"/>
      <c r="P335" s="406"/>
      <c r="Q335" s="406"/>
      <c r="R335" s="406"/>
      <c r="S335" s="259"/>
      <c r="T335" s="406"/>
      <c r="U335" s="406"/>
      <c r="V335" s="406"/>
      <c r="W335" s="406"/>
      <c r="X335" s="406"/>
      <c r="Y335" s="259"/>
      <c r="Z335" s="342"/>
      <c r="AA335" s="406"/>
      <c r="AB335" s="406"/>
      <c r="AC335" s="406"/>
      <c r="AD335" s="406"/>
      <c r="AE335" s="259"/>
      <c r="AF335" s="342"/>
      <c r="AG335" s="406"/>
      <c r="AH335" s="406"/>
      <c r="AI335" s="406"/>
      <c r="AJ335" s="406"/>
      <c r="AK335" s="259"/>
      <c r="AL335" s="342"/>
      <c r="AM335" s="406"/>
      <c r="AN335" s="406"/>
      <c r="AO335" s="406"/>
      <c r="AP335" s="406"/>
      <c r="AQ335" s="259"/>
      <c r="AR335" s="342"/>
      <c r="AS335" s="406"/>
      <c r="AT335" s="406"/>
      <c r="AU335" s="406"/>
      <c r="AV335" s="406"/>
      <c r="AW335" s="259"/>
      <c r="AX335" s="342"/>
      <c r="AY335" s="406"/>
      <c r="AZ335" s="406"/>
      <c r="BA335" s="406"/>
      <c r="BB335" s="406"/>
      <c r="BC335" s="259"/>
      <c r="BD335" s="342"/>
      <c r="BE335" s="406"/>
      <c r="BF335" s="406"/>
      <c r="BG335" s="406"/>
      <c r="BH335" s="406"/>
      <c r="BI335" s="259"/>
      <c r="BJ335" s="406"/>
      <c r="BK335" s="406"/>
      <c r="BL335" s="406"/>
      <c r="BM335" s="406"/>
      <c r="BN335" s="406"/>
      <c r="BO335" s="259"/>
      <c r="BP335" s="406"/>
      <c r="BQ335" s="406"/>
      <c r="BR335" s="406"/>
      <c r="BS335" s="406"/>
      <c r="BT335" s="406"/>
      <c r="BU335" s="259"/>
      <c r="BV335" s="406"/>
      <c r="BW335" s="406"/>
      <c r="BX335" s="406"/>
      <c r="BY335" s="406"/>
      <c r="BZ335" s="406"/>
      <c r="CA335" s="259"/>
      <c r="CB335" s="406"/>
      <c r="CC335" s="406"/>
      <c r="CD335" s="406"/>
      <c r="CE335" s="406"/>
      <c r="CF335" s="406"/>
      <c r="CG335" s="458"/>
      <c r="CH335" s="406"/>
      <c r="CI335" s="406"/>
      <c r="CJ335" s="406"/>
      <c r="CK335" s="406"/>
      <c r="CL335" s="406"/>
      <c r="CM335" s="458"/>
      <c r="CN335" s="406"/>
      <c r="CO335" s="406"/>
      <c r="CP335" s="406"/>
      <c r="CQ335" s="406"/>
      <c r="CR335" s="406"/>
      <c r="CS335" s="458"/>
      <c r="CT335" s="120"/>
      <c r="CU335" s="406"/>
      <c r="CV335" s="406"/>
      <c r="CW335" s="406"/>
      <c r="CX335" s="406"/>
      <c r="CY335" s="458"/>
      <c r="CZ335" s="120"/>
      <c r="DA335" s="1622"/>
      <c r="DB335" s="1622"/>
      <c r="DC335" s="1617"/>
      <c r="DD335" s="1617"/>
      <c r="DE335" s="1621"/>
      <c r="DF335" s="120"/>
      <c r="DG335" s="101"/>
      <c r="DH335" s="101"/>
      <c r="DI335" s="101"/>
      <c r="DJ335" s="101"/>
      <c r="DK335" s="1621"/>
      <c r="DL335" s="1622"/>
      <c r="DM335" s="101"/>
      <c r="DN335" s="101"/>
      <c r="DO335" s="101"/>
      <c r="DP335" s="101"/>
      <c r="DQ335" s="1621"/>
      <c r="DR335" s="1622"/>
      <c r="DS335" s="101"/>
      <c r="DT335" s="101"/>
      <c r="DU335" s="101"/>
      <c r="DV335" s="101"/>
      <c r="DW335" s="458"/>
      <c r="DX335" s="1622"/>
      <c r="DY335" s="101"/>
      <c r="DZ335" s="101"/>
      <c r="EA335" s="101"/>
      <c r="EB335" s="101"/>
      <c r="EC335" s="458"/>
      <c r="ED335" s="120"/>
      <c r="EE335" s="167"/>
      <c r="EF335" s="1798">
        <f>EF334/EE334-1</f>
        <v>7.1129707112970619E-2</v>
      </c>
      <c r="EG335" s="1798">
        <f>EG334/EF334-1</f>
        <v>0.189453125</v>
      </c>
      <c r="EH335" s="1798">
        <f>EH334/EG334-1</f>
        <v>8.7027914614121515E-2</v>
      </c>
      <c r="EI335" s="557"/>
      <c r="EJ335" s="943"/>
      <c r="EK335" s="1453">
        <f>EK334/EH334-1</f>
        <v>8.7613293051359564E-2</v>
      </c>
      <c r="EL335" s="1453">
        <f>EL334/EK334-1</f>
        <v>-2.5000000000000022E-2</v>
      </c>
      <c r="EM335" s="1453">
        <f>EM334/EL334-1</f>
        <v>0.16381766381766383</v>
      </c>
      <c r="EN335" s="1798">
        <f>EN334/EM334-1</f>
        <v>0.12974296205630353</v>
      </c>
      <c r="EO335" s="557"/>
      <c r="EP335" s="120"/>
      <c r="EQ335" s="1453">
        <f>EQ334/EN334-1</f>
        <v>0.28927410617551463</v>
      </c>
      <c r="ER335" s="1453">
        <f>ER334/EQ334-1</f>
        <v>-0.246218487394958</v>
      </c>
      <c r="ES335" s="1453">
        <f>ES334/ER334-1</f>
        <v>0.64214046822742477</v>
      </c>
      <c r="ET335" s="1798">
        <f>ET334/ES334-1</f>
        <v>-2.7155465037338788E-2</v>
      </c>
      <c r="EU335" s="557"/>
      <c r="EV335" s="120"/>
      <c r="EW335" s="1453">
        <f>EW334/ET334-1</f>
        <v>0.18422889043963719</v>
      </c>
      <c r="EX335" s="1453">
        <f>EX334/EW334-1</f>
        <v>-0.17324690630524453</v>
      </c>
      <c r="EY335" s="1453">
        <f>EY334/EX334-1</f>
        <v>-0.78688524590163933</v>
      </c>
      <c r="EZ335" s="406"/>
      <c r="FA335" s="458"/>
      <c r="FB335" s="120"/>
      <c r="FC335" s="406"/>
      <c r="FD335" s="406"/>
      <c r="FE335" s="406"/>
      <c r="FF335" s="406"/>
      <c r="FG335" s="458"/>
      <c r="FH335" s="120"/>
      <c r="FI335" s="406"/>
      <c r="FJ335" s="406"/>
      <c r="FK335" s="406"/>
      <c r="FL335" s="406"/>
      <c r="FM335" s="458"/>
      <c r="FQ335"/>
      <c r="FR335"/>
      <c r="FS335"/>
      <c r="FT335"/>
      <c r="FU335"/>
      <c r="FV335"/>
      <c r="GB335" s="24"/>
      <c r="GC335" s="24"/>
      <c r="GD335" s="24"/>
      <c r="GE335" s="24"/>
      <c r="GF335" s="24"/>
      <c r="GG335" s="24"/>
      <c r="GH335" s="24"/>
      <c r="GI335" s="24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</row>
    <row r="336" spans="1:274" s="28" customFormat="1" ht="12.75" customHeight="1" x14ac:dyDescent="0.2">
      <c r="A336" s="672" t="s">
        <v>611</v>
      </c>
      <c r="B336" s="1017"/>
      <c r="C336" s="1018"/>
      <c r="D336" s="1018"/>
      <c r="E336" s="1018"/>
      <c r="F336" s="1018"/>
      <c r="G336" s="1018"/>
      <c r="H336" s="1018"/>
      <c r="I336" s="1018"/>
      <c r="J336" s="1018"/>
      <c r="K336" s="1018"/>
      <c r="L336" s="1018"/>
      <c r="M336" s="1018"/>
      <c r="N336" s="1018"/>
      <c r="O336" s="1018"/>
      <c r="P336" s="1018"/>
      <c r="Q336" s="1018"/>
      <c r="R336" s="1018"/>
      <c r="S336" s="1018"/>
      <c r="T336" s="1018"/>
      <c r="U336" s="1018"/>
      <c r="V336" s="1018"/>
      <c r="W336" s="1018"/>
      <c r="X336" s="1018"/>
      <c r="Y336" s="1018"/>
      <c r="Z336" s="1018"/>
      <c r="AA336" s="1018"/>
      <c r="AB336" s="1018"/>
      <c r="AC336" s="1018"/>
      <c r="AD336" s="1018"/>
      <c r="AE336" s="1018"/>
      <c r="AF336" s="1018"/>
      <c r="AG336" s="1018"/>
      <c r="AH336" s="1018"/>
      <c r="AI336" s="1018"/>
      <c r="AJ336" s="1018"/>
      <c r="AK336" s="1018"/>
      <c r="AL336" s="1018"/>
      <c r="AM336" s="1018"/>
      <c r="AN336" s="1018"/>
      <c r="AO336" s="1018"/>
      <c r="AP336" s="1018"/>
      <c r="AQ336" s="1018"/>
      <c r="AR336" s="1018"/>
      <c r="AS336" s="1018"/>
      <c r="AT336" s="1018"/>
      <c r="AU336" s="1018"/>
      <c r="AV336" s="1018"/>
      <c r="AW336" s="1018"/>
      <c r="AX336" s="1018"/>
      <c r="AY336" s="1018"/>
      <c r="AZ336" s="1018"/>
      <c r="BA336" s="1018"/>
      <c r="BB336" s="1018"/>
      <c r="BC336" s="1018"/>
      <c r="BD336" s="1018"/>
      <c r="BE336" s="1018"/>
      <c r="BF336" s="1018"/>
      <c r="BG336" s="1018"/>
      <c r="BH336" s="1018"/>
      <c r="BI336" s="1018"/>
      <c r="BJ336" s="1018"/>
      <c r="BK336" s="1018"/>
      <c r="BL336" s="1018"/>
      <c r="BM336" s="1018"/>
      <c r="BN336" s="1018"/>
      <c r="BO336" s="1018"/>
      <c r="BP336" s="1018"/>
      <c r="BQ336" s="1018"/>
      <c r="BR336" s="1018"/>
      <c r="BS336" s="1018"/>
      <c r="BT336" s="1018"/>
      <c r="BU336" s="1018"/>
      <c r="BV336" s="1018"/>
      <c r="BW336" s="1018"/>
      <c r="BX336" s="1018"/>
      <c r="BY336" s="1018"/>
      <c r="BZ336" s="1018"/>
      <c r="CA336" s="1018"/>
      <c r="CB336" s="1018"/>
      <c r="CC336" s="1018"/>
      <c r="CD336" s="1018"/>
      <c r="CE336" s="1018"/>
      <c r="CF336" s="1018"/>
      <c r="CG336" s="1036"/>
      <c r="CH336" s="1018"/>
      <c r="CI336" s="1018"/>
      <c r="CJ336" s="1018"/>
      <c r="CK336" s="1018"/>
      <c r="CL336" s="1018"/>
      <c r="CM336" s="1036"/>
      <c r="CN336" s="1018"/>
      <c r="CO336" s="1018"/>
      <c r="CP336" s="1018"/>
      <c r="CQ336" s="1018"/>
      <c r="CR336" s="1018"/>
      <c r="CS336" s="1036"/>
      <c r="CT336" s="1018"/>
      <c r="CU336" s="1018"/>
      <c r="CV336" s="1018"/>
      <c r="CW336" s="1018"/>
      <c r="CX336" s="1018"/>
      <c r="CY336" s="1036"/>
      <c r="CZ336" s="1018"/>
      <c r="DA336" s="1618"/>
      <c r="DB336" s="1618"/>
      <c r="DC336" s="1618"/>
      <c r="DD336" s="1618"/>
      <c r="DE336" s="1619"/>
      <c r="DF336" s="1018"/>
      <c r="DG336" s="1618"/>
      <c r="DH336" s="1618"/>
      <c r="DI336" s="1618"/>
      <c r="DJ336" s="1618"/>
      <c r="DK336" s="1619"/>
      <c r="DL336" s="1620"/>
      <c r="DM336" s="1618"/>
      <c r="DN336" s="1618"/>
      <c r="DO336" s="1618"/>
      <c r="DP336" s="1618"/>
      <c r="DQ336" s="1619"/>
      <c r="DR336" s="1620"/>
      <c r="DS336" s="1618"/>
      <c r="DT336" s="1618"/>
      <c r="DU336" s="1618"/>
      <c r="DV336" s="1618"/>
      <c r="DW336" s="1619"/>
      <c r="DX336" s="1620"/>
      <c r="DY336" s="1618"/>
      <c r="DZ336" s="1618"/>
      <c r="EA336" s="1618"/>
      <c r="EB336" s="1618"/>
      <c r="EC336" s="1036"/>
      <c r="ED336" s="1018"/>
      <c r="EE336" s="1018"/>
      <c r="EF336" s="1018"/>
      <c r="EG336" s="1018"/>
      <c r="EH336" s="1855">
        <f>EH334/EB334-1</f>
        <v>0.36494845360824746</v>
      </c>
      <c r="EI336" s="1856"/>
      <c r="EJ336" s="1857"/>
      <c r="EK336" s="1857">
        <f>EK334/EE334-1</f>
        <v>0.506276150627615</v>
      </c>
      <c r="EL336" s="1857">
        <f>EL334/EF334-1</f>
        <v>0.37109375</v>
      </c>
      <c r="EM336" s="1857">
        <f>EM334/EG334-1</f>
        <v>0.34154351395730709</v>
      </c>
      <c r="EN336" s="1855">
        <f>EN334/EH334-1</f>
        <v>0.39425981873111793</v>
      </c>
      <c r="EO336" s="1856"/>
      <c r="EP336" s="1857"/>
      <c r="EQ336" s="1857">
        <f>EQ334/EK334-1</f>
        <v>0.65277777777777768</v>
      </c>
      <c r="ER336" s="1857">
        <f>ER334/EL334-1</f>
        <v>0.27777777777777768</v>
      </c>
      <c r="ES336" s="1857">
        <f>ES334/EM334-1</f>
        <v>0.80293757649938802</v>
      </c>
      <c r="ET336" s="1855">
        <f>ET334/EN334-1</f>
        <v>0.55254604550379205</v>
      </c>
      <c r="EU336" s="1856">
        <f>EU334/EO334-1</f>
        <v>0.65338393421884877</v>
      </c>
      <c r="EV336" s="1018"/>
      <c r="EW336" s="1857">
        <f>EW334/EQ334-1</f>
        <v>0.42605042016806727</v>
      </c>
      <c r="EX336" s="1857">
        <f>EX334/ER334-1</f>
        <v>0.5641025641025641</v>
      </c>
      <c r="EY336" s="1857">
        <f>EY334/ES334-1</f>
        <v>-0.79701289884589277</v>
      </c>
      <c r="EZ336" s="1018"/>
      <c r="FA336" s="1036"/>
      <c r="FB336" s="1018"/>
      <c r="FC336" s="1018"/>
      <c r="FD336" s="1018"/>
      <c r="FE336" s="1018"/>
      <c r="FF336" s="1018"/>
      <c r="FG336" s="1036"/>
      <c r="FH336" s="1018"/>
      <c r="FI336" s="1018"/>
      <c r="FJ336" s="1018"/>
      <c r="FK336" s="1018"/>
      <c r="FL336" s="1018"/>
      <c r="FM336" s="1036"/>
      <c r="FQ336"/>
      <c r="FR336"/>
      <c r="FS336"/>
      <c r="FT336"/>
      <c r="FU336"/>
      <c r="FV336"/>
      <c r="GB336" s="24"/>
      <c r="GC336" s="24"/>
      <c r="GD336" s="24"/>
      <c r="GE336" s="24"/>
      <c r="GF336" s="24"/>
      <c r="GG336" s="24"/>
      <c r="GH336" s="24"/>
      <c r="GI336" s="24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</row>
    <row r="337" spans="1:274" s="27" customFormat="1" x14ac:dyDescent="0.2">
      <c r="A337" s="342" t="s">
        <v>1283</v>
      </c>
      <c r="B337" s="20"/>
      <c r="C337" s="406"/>
      <c r="D337" s="406"/>
      <c r="E337" s="406"/>
      <c r="F337" s="406"/>
      <c r="G337" s="406"/>
      <c r="H337" s="406"/>
      <c r="I337" s="406"/>
      <c r="J337" s="259"/>
      <c r="K337" s="259"/>
      <c r="L337" s="259"/>
      <c r="M337" s="259"/>
      <c r="N337" s="342"/>
      <c r="O337" s="406"/>
      <c r="P337" s="406"/>
      <c r="Q337" s="406"/>
      <c r="R337" s="406"/>
      <c r="S337" s="259"/>
      <c r="T337" s="406"/>
      <c r="U337" s="406"/>
      <c r="V337" s="406"/>
      <c r="W337" s="406"/>
      <c r="X337" s="406"/>
      <c r="Y337" s="259"/>
      <c r="Z337" s="342"/>
      <c r="AA337" s="406"/>
      <c r="AB337" s="406"/>
      <c r="AC337" s="406"/>
      <c r="AD337" s="406"/>
      <c r="AE337" s="259"/>
      <c r="AF337" s="342"/>
      <c r="AG337" s="406"/>
      <c r="AH337" s="406"/>
      <c r="AI337" s="406"/>
      <c r="AJ337" s="406"/>
      <c r="AK337" s="259"/>
      <c r="AL337" s="342"/>
      <c r="AM337" s="406"/>
      <c r="AN337" s="406"/>
      <c r="AO337" s="406"/>
      <c r="AP337" s="406"/>
      <c r="AQ337" s="259"/>
      <c r="AR337" s="342"/>
      <c r="AS337" s="406"/>
      <c r="AT337" s="406"/>
      <c r="AU337" s="406"/>
      <c r="AV337" s="406"/>
      <c r="AW337" s="259"/>
      <c r="AX337" s="342"/>
      <c r="AY337" s="406"/>
      <c r="AZ337" s="406"/>
      <c r="BA337" s="406"/>
      <c r="BB337" s="406"/>
      <c r="BC337" s="259"/>
      <c r="BD337" s="342"/>
      <c r="BE337" s="406"/>
      <c r="BF337" s="406"/>
      <c r="BG337" s="406"/>
      <c r="BH337" s="406"/>
      <c r="BI337" s="259"/>
      <c r="BJ337" s="406"/>
      <c r="BK337" s="406"/>
      <c r="BL337" s="406"/>
      <c r="BM337" s="406"/>
      <c r="BN337" s="406"/>
      <c r="BO337" s="259"/>
      <c r="BP337" s="406"/>
      <c r="BQ337" s="406"/>
      <c r="BR337" s="406"/>
      <c r="BS337" s="406"/>
      <c r="BT337" s="406"/>
      <c r="BU337" s="259"/>
      <c r="BV337" s="406"/>
      <c r="BW337" s="406"/>
      <c r="BX337" s="406"/>
      <c r="BY337" s="406"/>
      <c r="BZ337" s="406"/>
      <c r="CA337" s="259"/>
      <c r="CB337" s="406"/>
      <c r="CC337" s="406"/>
      <c r="CD337" s="406"/>
      <c r="CE337" s="406"/>
      <c r="CF337" s="406"/>
      <c r="CG337" s="458"/>
      <c r="CH337" s="406"/>
      <c r="CI337" s="406"/>
      <c r="CJ337" s="406"/>
      <c r="CK337" s="406"/>
      <c r="CL337" s="406"/>
      <c r="CM337" s="458"/>
      <c r="CN337" s="406"/>
      <c r="CO337" s="406"/>
      <c r="CP337" s="406"/>
      <c r="CQ337" s="406"/>
      <c r="CR337" s="406"/>
      <c r="CS337" s="458"/>
      <c r="CT337" s="120"/>
      <c r="CU337" s="406"/>
      <c r="CV337" s="406"/>
      <c r="CW337" s="406"/>
      <c r="CX337" s="406"/>
      <c r="CY337" s="458"/>
      <c r="CZ337" s="120"/>
      <c r="DA337" s="1622"/>
      <c r="DB337" s="1622"/>
      <c r="DC337" s="1617"/>
      <c r="DD337" s="1617"/>
      <c r="DE337" s="1621"/>
      <c r="DF337" s="120"/>
      <c r="DG337" s="101"/>
      <c r="DH337" s="101"/>
      <c r="DI337" s="101"/>
      <c r="DJ337" s="101"/>
      <c r="DK337" s="1621"/>
      <c r="DL337" s="1622"/>
      <c r="DM337" s="101"/>
      <c r="DN337" s="101"/>
      <c r="DO337" s="101"/>
      <c r="DP337" s="101"/>
      <c r="DQ337" s="1621"/>
      <c r="DR337" s="1622"/>
      <c r="DS337" s="101"/>
      <c r="DT337" s="101"/>
      <c r="DU337" s="101"/>
      <c r="DV337" s="101"/>
      <c r="DW337" s="458"/>
      <c r="DX337" s="1622"/>
      <c r="DY337" s="101"/>
      <c r="DZ337" s="101"/>
      <c r="EA337" s="101"/>
      <c r="EB337" s="101">
        <f>'Balance Sheet'!EB154-'Balance Sheet'!EA154+EB33</f>
        <v>437.33333333333331</v>
      </c>
      <c r="EC337" s="458">
        <f>'Balance Sheet'!EB154-'Balance Sheet'!DV154+EC33</f>
        <v>1476.9698884198319</v>
      </c>
      <c r="ED337" s="120"/>
      <c r="EE337" s="101">
        <f>'Balance Sheet'!EE154-'Balance Sheet'!EB154+EE33</f>
        <v>418.9042</v>
      </c>
      <c r="EF337" s="101">
        <f>'Balance Sheet'!EF154-'Balance Sheet'!EE154+EF33</f>
        <v>419.78283476000001</v>
      </c>
      <c r="EG337" s="101">
        <f>'Balance Sheet'!EG154-'Balance Sheet'!EF154+EG33</f>
        <v>523.19995595672799</v>
      </c>
      <c r="EH337" s="101">
        <f>'Balance Sheet'!EH154-'Balance Sheet'!EG154+EH33</f>
        <v>592.39650763726081</v>
      </c>
      <c r="EI337" s="458">
        <f>'Balance Sheet'!EH154-'Balance Sheet'!EB154+EI33</f>
        <v>1954.2834983539888</v>
      </c>
      <c r="EJ337" s="120"/>
      <c r="EK337" s="101">
        <f>'Balance Sheet'!EK154-'Balance Sheet'!EH154+EK33</f>
        <v>644.38462644882986</v>
      </c>
      <c r="EL337" s="101">
        <f>'Balance Sheet'!EL154-'Balance Sheet'!EK154+EL33</f>
        <v>652.06999999999994</v>
      </c>
      <c r="EM337" s="101">
        <f>'Balance Sheet'!EM154-'Balance Sheet'!EL154+EM33</f>
        <v>808</v>
      </c>
      <c r="EN337" s="101">
        <f>'Balance Sheet'!EN154-'Balance Sheet'!EM154+EN33</f>
        <v>903.5</v>
      </c>
      <c r="EO337" s="458">
        <f>'Balance Sheet'!EN154-'Balance Sheet'!EH154+EO33</f>
        <v>3007.9546264488299</v>
      </c>
      <c r="EP337" s="120"/>
      <c r="EQ337" s="101">
        <f>'Balance Sheet'!EQ154-'Balance Sheet'!EN154+EQ33</f>
        <v>1115.44425</v>
      </c>
      <c r="ER337" s="101">
        <f>'Balance Sheet'!ER154-'Balance Sheet'!EQ154+ER33</f>
        <v>1015.9281165689567</v>
      </c>
      <c r="ES337" s="101">
        <f>'Balance Sheet'!ES154-'Balance Sheet'!ER154+ES33</f>
        <v>1202.8312228327277</v>
      </c>
      <c r="ET337" s="101">
        <f>'Balance Sheet'!ET154-'Balance Sheet'!ES154+ET33</f>
        <v>1131.9843297662508</v>
      </c>
      <c r="EU337" s="458">
        <f>'Balance Sheet'!ET154-'Balance Sheet'!EN154+EU33</f>
        <v>4466.1879191679354</v>
      </c>
      <c r="EV337" s="120"/>
      <c r="EW337" s="167">
        <f>'Balance Sheet'!EW154-'Balance Sheet'!ET154+EW33</f>
        <v>1441.5579728357479</v>
      </c>
      <c r="EX337" s="101">
        <f>'Balance Sheet'!EX154-'Balance Sheet'!EW154+EX33</f>
        <v>1198.0858665973005</v>
      </c>
      <c r="EY337" s="101">
        <f>'Balance Sheet'!EY154-'Balance Sheet'!EX154+EY33</f>
        <v>299</v>
      </c>
      <c r="EZ337" s="406"/>
      <c r="FA337" s="458"/>
      <c r="FB337" s="120"/>
      <c r="FC337" s="406"/>
      <c r="FD337" s="406"/>
      <c r="FE337" s="406"/>
      <c r="FF337" s="406"/>
      <c r="FG337" s="458"/>
      <c r="FH337" s="120"/>
      <c r="FI337" s="406"/>
      <c r="FJ337" s="406"/>
      <c r="FK337" s="406"/>
      <c r="FL337" s="406"/>
      <c r="FM337" s="458"/>
      <c r="FQ337"/>
      <c r="FR337"/>
      <c r="FS337"/>
      <c r="FT337"/>
      <c r="FU337"/>
      <c r="FV337"/>
      <c r="GB337" s="24"/>
      <c r="GC337" s="24"/>
      <c r="GD337" s="24"/>
      <c r="GE337" s="24"/>
      <c r="GF337" s="24"/>
      <c r="GG337" s="24"/>
      <c r="GH337" s="24"/>
      <c r="GI337" s="24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</row>
    <row r="338" spans="1:274" s="27" customFormat="1" x14ac:dyDescent="0.2">
      <c r="A338" s="1701" t="s">
        <v>1131</v>
      </c>
      <c r="B338" s="20"/>
      <c r="C338" s="406"/>
      <c r="D338" s="406"/>
      <c r="E338" s="406"/>
      <c r="F338" s="406"/>
      <c r="G338" s="406"/>
      <c r="H338" s="406"/>
      <c r="I338" s="406"/>
      <c r="J338" s="259"/>
      <c r="K338" s="259"/>
      <c r="L338" s="259"/>
      <c r="M338" s="259"/>
      <c r="N338" s="342"/>
      <c r="O338" s="406"/>
      <c r="P338" s="406"/>
      <c r="Q338" s="406"/>
      <c r="R338" s="406"/>
      <c r="S338" s="259"/>
      <c r="T338" s="406"/>
      <c r="U338" s="406"/>
      <c r="V338" s="406"/>
      <c r="W338" s="406"/>
      <c r="X338" s="406"/>
      <c r="Y338" s="259"/>
      <c r="Z338" s="342"/>
      <c r="AA338" s="406"/>
      <c r="AB338" s="406"/>
      <c r="AC338" s="406"/>
      <c r="AD338" s="406"/>
      <c r="AE338" s="259"/>
      <c r="AF338" s="342"/>
      <c r="AG338" s="406"/>
      <c r="AH338" s="406"/>
      <c r="AI338" s="406"/>
      <c r="AJ338" s="406"/>
      <c r="AK338" s="259"/>
      <c r="AL338" s="342"/>
      <c r="AM338" s="406"/>
      <c r="AN338" s="406"/>
      <c r="AO338" s="406"/>
      <c r="AP338" s="406"/>
      <c r="AQ338" s="259"/>
      <c r="AR338" s="342"/>
      <c r="AS338" s="406"/>
      <c r="AT338" s="406"/>
      <c r="AU338" s="406"/>
      <c r="AV338" s="406"/>
      <c r="AW338" s="259"/>
      <c r="AX338" s="342"/>
      <c r="AY338" s="406"/>
      <c r="AZ338" s="406"/>
      <c r="BA338" s="406"/>
      <c r="BB338" s="406"/>
      <c r="BC338" s="259"/>
      <c r="BD338" s="342"/>
      <c r="BE338" s="406"/>
      <c r="BF338" s="406"/>
      <c r="BG338" s="406"/>
      <c r="BH338" s="406"/>
      <c r="BI338" s="259"/>
      <c r="BJ338" s="406"/>
      <c r="BK338" s="406"/>
      <c r="BL338" s="406"/>
      <c r="BM338" s="406"/>
      <c r="BN338" s="406"/>
      <c r="BO338" s="259"/>
      <c r="BP338" s="406"/>
      <c r="BQ338" s="406"/>
      <c r="BR338" s="406"/>
      <c r="BS338" s="406"/>
      <c r="BT338" s="406"/>
      <c r="BU338" s="259"/>
      <c r="BV338" s="406"/>
      <c r="BW338" s="406"/>
      <c r="BX338" s="406"/>
      <c r="BY338" s="406"/>
      <c r="BZ338" s="406"/>
      <c r="CA338" s="259"/>
      <c r="CB338" s="406"/>
      <c r="CC338" s="406"/>
      <c r="CD338" s="406"/>
      <c r="CE338" s="406"/>
      <c r="CF338" s="406"/>
      <c r="CG338" s="458"/>
      <c r="CH338" s="406"/>
      <c r="CI338" s="406"/>
      <c r="CJ338" s="406"/>
      <c r="CK338" s="406"/>
      <c r="CL338" s="406"/>
      <c r="CM338" s="458"/>
      <c r="CN338" s="406"/>
      <c r="CO338" s="406"/>
      <c r="CP338" s="406"/>
      <c r="CQ338" s="406"/>
      <c r="CR338" s="406"/>
      <c r="CS338" s="458"/>
      <c r="CT338" s="120"/>
      <c r="CU338" s="406"/>
      <c r="CV338" s="406"/>
      <c r="CW338" s="406"/>
      <c r="CX338" s="406"/>
      <c r="CY338" s="458"/>
      <c r="CZ338" s="120"/>
      <c r="DA338" s="1622"/>
      <c r="DB338" s="1622"/>
      <c r="DC338" s="1617"/>
      <c r="DD338" s="1617"/>
      <c r="DE338" s="1621"/>
      <c r="DF338" s="120"/>
      <c r="DG338" s="101"/>
      <c r="DH338" s="101"/>
      <c r="DI338" s="101"/>
      <c r="DJ338" s="101"/>
      <c r="DK338" s="1621"/>
      <c r="DL338" s="1622"/>
      <c r="DM338" s="101"/>
      <c r="DN338" s="101"/>
      <c r="DO338" s="101"/>
      <c r="DP338" s="101"/>
      <c r="DQ338" s="1621"/>
      <c r="DR338" s="1622"/>
      <c r="DS338" s="101"/>
      <c r="DT338" s="101"/>
      <c r="DU338" s="101"/>
      <c r="DV338" s="101"/>
      <c r="DW338" s="458"/>
      <c r="DX338" s="1622"/>
      <c r="DY338" s="101"/>
      <c r="DZ338" s="101"/>
      <c r="EA338" s="101"/>
      <c r="EB338" s="101"/>
      <c r="EC338" s="458"/>
      <c r="ED338" s="120"/>
      <c r="EE338" s="101"/>
      <c r="EF338" s="1702">
        <f>EF337/EE337-1</f>
        <v>2.0974598965586289E-3</v>
      </c>
      <c r="EG338" s="1702">
        <f>EG337/EF337-1</f>
        <v>0.24635862315774304</v>
      </c>
      <c r="EH338" s="1702">
        <f>EH337/EG337-1</f>
        <v>0.13225641725064641</v>
      </c>
      <c r="EI338" s="458"/>
      <c r="EJ338" s="120"/>
      <c r="EK338" s="1453">
        <f>EK337/EH337-1</f>
        <v>8.7758989361569117E-2</v>
      </c>
      <c r="EL338" s="1453">
        <f>EL337/EK337-1</f>
        <v>1.1926686695683308E-2</v>
      </c>
      <c r="EM338" s="1453">
        <f>EM337/EL337-1</f>
        <v>0.23913076816906176</v>
      </c>
      <c r="EN338" s="1702">
        <f>EN337/EM337-1</f>
        <v>0.11819306930693063</v>
      </c>
      <c r="EO338" s="458"/>
      <c r="EP338" s="120"/>
      <c r="EQ338" s="1453">
        <f>EQ337/EN337-1</f>
        <v>0.23458135030437188</v>
      </c>
      <c r="ER338" s="1453">
        <f>ER337/EQ337-1</f>
        <v>-8.9216590995958134E-2</v>
      </c>
      <c r="ES338" s="1453">
        <f>ES337/ER337-1</f>
        <v>0.18397276659198036</v>
      </c>
      <c r="ET338" s="1702">
        <f>ET337/ES337-1</f>
        <v>-5.890011143843521E-2</v>
      </c>
      <c r="EU338" s="458"/>
      <c r="EV338" s="120"/>
      <c r="EW338" s="1453">
        <f>EW337/ET337-1</f>
        <v>0.27347873546396406</v>
      </c>
      <c r="EX338" s="1453">
        <f>EX337/EW337-1</f>
        <v>-0.16889511960417614</v>
      </c>
      <c r="EY338" s="1453">
        <f>EY337/EX337-1</f>
        <v>-0.75043524981294218</v>
      </c>
      <c r="EZ338" s="406"/>
      <c r="FA338" s="458"/>
      <c r="FB338" s="120"/>
      <c r="FC338" s="406"/>
      <c r="FD338" s="406"/>
      <c r="FE338" s="406"/>
      <c r="FF338" s="406"/>
      <c r="FG338" s="458"/>
      <c r="FH338" s="120"/>
      <c r="FI338" s="406"/>
      <c r="FJ338" s="406"/>
      <c r="FK338" s="406"/>
      <c r="FL338" s="406"/>
      <c r="FM338" s="458"/>
      <c r="FQ338"/>
      <c r="FR338"/>
      <c r="FS338"/>
      <c r="FT338"/>
      <c r="FU338"/>
      <c r="FV338"/>
      <c r="GB338" s="24"/>
      <c r="GC338" s="24"/>
      <c r="GD338" s="24"/>
      <c r="GE338" s="24"/>
      <c r="GF338" s="24"/>
      <c r="GG338" s="24"/>
      <c r="GH338" s="24"/>
      <c r="GI338" s="24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</row>
    <row r="339" spans="1:274" s="28" customFormat="1" ht="12.75" customHeight="1" x14ac:dyDescent="0.2">
      <c r="A339" s="672" t="s">
        <v>611</v>
      </c>
      <c r="B339" s="1017"/>
      <c r="C339" s="1018"/>
      <c r="D339" s="1018"/>
      <c r="E339" s="1018"/>
      <c r="F339" s="1018"/>
      <c r="G339" s="1018"/>
      <c r="H339" s="1018"/>
      <c r="I339" s="1018"/>
      <c r="J339" s="1018"/>
      <c r="K339" s="1018"/>
      <c r="L339" s="1018"/>
      <c r="M339" s="1018"/>
      <c r="N339" s="1018"/>
      <c r="O339" s="1018"/>
      <c r="P339" s="1018"/>
      <c r="Q339" s="1018"/>
      <c r="R339" s="1018"/>
      <c r="S339" s="1018"/>
      <c r="T339" s="1018"/>
      <c r="U339" s="1018"/>
      <c r="V339" s="1018"/>
      <c r="W339" s="1018"/>
      <c r="X339" s="1018"/>
      <c r="Y339" s="1018"/>
      <c r="Z339" s="1018"/>
      <c r="AA339" s="1018"/>
      <c r="AB339" s="1018"/>
      <c r="AC339" s="1018"/>
      <c r="AD339" s="1018"/>
      <c r="AE339" s="1018"/>
      <c r="AF339" s="1018"/>
      <c r="AG339" s="1018"/>
      <c r="AH339" s="1018"/>
      <c r="AI339" s="1018"/>
      <c r="AJ339" s="1018"/>
      <c r="AK339" s="1018"/>
      <c r="AL339" s="1018"/>
      <c r="AM339" s="1018"/>
      <c r="AN339" s="1018"/>
      <c r="AO339" s="1018"/>
      <c r="AP339" s="1018"/>
      <c r="AQ339" s="1018"/>
      <c r="AR339" s="1018"/>
      <c r="AS339" s="1018"/>
      <c r="AT339" s="1018"/>
      <c r="AU339" s="1018"/>
      <c r="AV339" s="1018"/>
      <c r="AW339" s="1018"/>
      <c r="AX339" s="1018"/>
      <c r="AY339" s="1018"/>
      <c r="AZ339" s="1018"/>
      <c r="BA339" s="1018"/>
      <c r="BB339" s="1018"/>
      <c r="BC339" s="1018"/>
      <c r="BD339" s="1018"/>
      <c r="BE339" s="1018"/>
      <c r="BF339" s="1018"/>
      <c r="BG339" s="1018"/>
      <c r="BH339" s="1018"/>
      <c r="BI339" s="1018"/>
      <c r="BJ339" s="1018"/>
      <c r="BK339" s="1018"/>
      <c r="BL339" s="1018"/>
      <c r="BM339" s="1018"/>
      <c r="BN339" s="1018"/>
      <c r="BO339" s="1018"/>
      <c r="BP339" s="1018"/>
      <c r="BQ339" s="1018"/>
      <c r="BR339" s="1018"/>
      <c r="BS339" s="1018"/>
      <c r="BT339" s="1018"/>
      <c r="BU339" s="1018"/>
      <c r="BV339" s="1018"/>
      <c r="BW339" s="1018"/>
      <c r="BX339" s="1018"/>
      <c r="BY339" s="1018"/>
      <c r="BZ339" s="1018"/>
      <c r="CA339" s="1018"/>
      <c r="CB339" s="1018"/>
      <c r="CC339" s="1018"/>
      <c r="CD339" s="1018"/>
      <c r="CE339" s="1018"/>
      <c r="CF339" s="1018"/>
      <c r="CG339" s="1036"/>
      <c r="CH339" s="1018"/>
      <c r="CI339" s="1018"/>
      <c r="CJ339" s="1018"/>
      <c r="CK339" s="1018"/>
      <c r="CL339" s="1018"/>
      <c r="CM339" s="1036"/>
      <c r="CN339" s="1018"/>
      <c r="CO339" s="1018"/>
      <c r="CP339" s="1018"/>
      <c r="CQ339" s="1018"/>
      <c r="CR339" s="1018"/>
      <c r="CS339" s="1036"/>
      <c r="CT339" s="1018"/>
      <c r="CU339" s="1018"/>
      <c r="CV339" s="1018"/>
      <c r="CW339" s="1018"/>
      <c r="CX339" s="1018"/>
      <c r="CY339" s="1036"/>
      <c r="CZ339" s="1018"/>
      <c r="DA339" s="1618"/>
      <c r="DB339" s="1618"/>
      <c r="DC339" s="1618"/>
      <c r="DD339" s="1618"/>
      <c r="DE339" s="1619"/>
      <c r="DF339" s="1018"/>
      <c r="DG339" s="1618"/>
      <c r="DH339" s="1618"/>
      <c r="DI339" s="1618"/>
      <c r="DJ339" s="1618"/>
      <c r="DK339" s="1619"/>
      <c r="DL339" s="1620"/>
      <c r="DM339" s="1618"/>
      <c r="DN339" s="1618"/>
      <c r="DO339" s="1618"/>
      <c r="DP339" s="1618"/>
      <c r="DQ339" s="1619"/>
      <c r="DR339" s="1620"/>
      <c r="DS339" s="1618"/>
      <c r="DT339" s="1618"/>
      <c r="DU339" s="1618"/>
      <c r="DV339" s="1618"/>
      <c r="DW339" s="1619"/>
      <c r="DX339" s="1620"/>
      <c r="DY339" s="1618"/>
      <c r="DZ339" s="1618"/>
      <c r="EA339" s="1618"/>
      <c r="EB339" s="1618"/>
      <c r="EC339" s="1036"/>
      <c r="ED339" s="1018"/>
      <c r="EE339" s="1018"/>
      <c r="EF339" s="1018"/>
      <c r="EG339" s="1018"/>
      <c r="EH339" s="1855">
        <f>EH337/EB334-1</f>
        <v>0.22143609822115629</v>
      </c>
      <c r="EI339" s="1856">
        <f t="shared" ref="EI339:EY339" si="158">EI337/EC334-1</f>
        <v>0.20783899774659376</v>
      </c>
      <c r="EJ339" s="1857"/>
      <c r="EK339" s="1857">
        <f t="shared" si="158"/>
        <v>0.34808499257077385</v>
      </c>
      <c r="EL339" s="1857">
        <f t="shared" si="158"/>
        <v>0.27357421874999988</v>
      </c>
      <c r="EM339" s="1857">
        <f t="shared" si="158"/>
        <v>0.32676518883415429</v>
      </c>
      <c r="EN339" s="1855">
        <f t="shared" si="158"/>
        <v>0.36480362537764344</v>
      </c>
      <c r="EO339" s="1856">
        <f t="shared" si="158"/>
        <v>0.33036471758019892</v>
      </c>
      <c r="EP339" s="1857"/>
      <c r="EQ339" s="1857">
        <f t="shared" si="158"/>
        <v>0.54922812499999996</v>
      </c>
      <c r="ER339" s="1857">
        <f t="shared" si="158"/>
        <v>0.44719104924352804</v>
      </c>
      <c r="ES339" s="1857">
        <f t="shared" si="158"/>
        <v>0.47225363871814885</v>
      </c>
      <c r="ET339" s="1855">
        <f t="shared" si="158"/>
        <v>0.22641855879333783</v>
      </c>
      <c r="EU339" s="1856">
        <f t="shared" si="158"/>
        <v>0.41245664742818966</v>
      </c>
      <c r="EV339" s="1018"/>
      <c r="EW339" s="1857">
        <f t="shared" si="158"/>
        <v>0.21139325448382174</v>
      </c>
      <c r="EX339" s="1857">
        <f>EX337/ER334-1</f>
        <v>0.33565871415529602</v>
      </c>
      <c r="EY339" s="1857">
        <f t="shared" si="158"/>
        <v>-0.79701289884589277</v>
      </c>
      <c r="EZ339" s="1018"/>
      <c r="FA339" s="1036"/>
      <c r="FB339" s="1018"/>
      <c r="FC339" s="1018"/>
      <c r="FD339" s="1018"/>
      <c r="FE339" s="1018"/>
      <c r="FF339" s="1018"/>
      <c r="FG339" s="1036"/>
      <c r="FH339" s="1018"/>
      <c r="FI339" s="1018"/>
      <c r="FJ339" s="1018"/>
      <c r="FK339" s="1018"/>
      <c r="FL339" s="1018"/>
      <c r="FM339" s="1036"/>
      <c r="FQ339"/>
      <c r="FR339"/>
      <c r="FS339"/>
      <c r="FT339"/>
      <c r="FU339"/>
      <c r="FV339"/>
      <c r="GB339" s="24"/>
      <c r="GC339" s="24"/>
      <c r="GD339" s="24"/>
      <c r="GE339" s="24"/>
      <c r="GF339" s="24"/>
      <c r="GG339" s="24"/>
      <c r="GH339" s="24"/>
      <c r="GI339" s="24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</row>
    <row r="340" spans="1:274" s="28" customFormat="1" ht="12.75" customHeight="1" x14ac:dyDescent="0.2">
      <c r="A340" s="18"/>
      <c r="B340" s="595"/>
      <c r="CG340" s="416"/>
      <c r="CM340" s="416"/>
      <c r="CS340" s="416"/>
      <c r="CY340" s="416"/>
      <c r="DA340" s="1632"/>
      <c r="DB340" s="1632"/>
      <c r="DC340" s="1632"/>
      <c r="DD340" s="1632"/>
      <c r="DE340" s="1633"/>
      <c r="DG340" s="1632"/>
      <c r="DH340" s="1632"/>
      <c r="DI340" s="1632"/>
      <c r="DJ340" s="1632"/>
      <c r="DK340" s="1633"/>
      <c r="DL340" s="1634"/>
      <c r="DM340" s="1632"/>
      <c r="DN340" s="1632"/>
      <c r="DO340" s="1632"/>
      <c r="DP340" s="1632"/>
      <c r="DQ340" s="1633"/>
      <c r="DR340" s="1634"/>
      <c r="DS340" s="1632"/>
      <c r="DT340" s="1632"/>
      <c r="DU340" s="1632"/>
      <c r="DV340" s="1632"/>
      <c r="DW340" s="1633"/>
      <c r="DX340" s="1634"/>
      <c r="DY340" s="1632"/>
      <c r="DZ340" s="1632"/>
      <c r="EA340" s="1632"/>
      <c r="EB340" s="1632"/>
      <c r="EC340" s="416"/>
      <c r="EI340" s="416"/>
      <c r="EO340" s="416"/>
      <c r="EU340" s="416"/>
      <c r="FA340" s="416"/>
      <c r="FG340" s="416"/>
      <c r="FM340" s="416"/>
      <c r="FQ340"/>
      <c r="FR340"/>
      <c r="FS340"/>
      <c r="FT340"/>
      <c r="FU340"/>
      <c r="FV340"/>
      <c r="GB340" s="24"/>
      <c r="GC340" s="24"/>
      <c r="GD340" s="24"/>
      <c r="GE340" s="24"/>
      <c r="GF340" s="24"/>
      <c r="GG340" s="24"/>
      <c r="GH340" s="24"/>
      <c r="GI340" s="24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</row>
    <row r="341" spans="1:274" s="27" customFormat="1" x14ac:dyDescent="0.2">
      <c r="A341" s="152" t="s">
        <v>1157</v>
      </c>
      <c r="B341" s="421"/>
      <c r="C341" s="666"/>
      <c r="D341" s="666"/>
      <c r="E341" s="666"/>
      <c r="F341" s="666"/>
      <c r="G341" s="666"/>
      <c r="H341" s="666"/>
      <c r="I341" s="666"/>
      <c r="J341" s="667"/>
      <c r="K341" s="667"/>
      <c r="L341" s="667"/>
      <c r="M341" s="667"/>
      <c r="N341" s="634"/>
      <c r="O341" s="666"/>
      <c r="P341" s="666"/>
      <c r="Q341" s="666"/>
      <c r="R341" s="666"/>
      <c r="S341" s="667"/>
      <c r="T341" s="666"/>
      <c r="U341" s="666"/>
      <c r="V341" s="666"/>
      <c r="W341" s="666"/>
      <c r="X341" s="666"/>
      <c r="Y341" s="667"/>
      <c r="Z341" s="634"/>
      <c r="AA341" s="666"/>
      <c r="AB341" s="666"/>
      <c r="AC341" s="666"/>
      <c r="AD341" s="666"/>
      <c r="AE341" s="667"/>
      <c r="AF341" s="634"/>
      <c r="AG341" s="666"/>
      <c r="AH341" s="666"/>
      <c r="AI341" s="666"/>
      <c r="AJ341" s="666"/>
      <c r="AK341" s="667"/>
      <c r="AL341" s="634"/>
      <c r="AM341" s="666"/>
      <c r="AN341" s="666"/>
      <c r="AO341" s="666"/>
      <c r="AP341" s="666"/>
      <c r="AQ341" s="667"/>
      <c r="AR341" s="634"/>
      <c r="AS341" s="666"/>
      <c r="AT341" s="666"/>
      <c r="AU341" s="666"/>
      <c r="AV341" s="666"/>
      <c r="AW341" s="667"/>
      <c r="AX341" s="634"/>
      <c r="AY341" s="666"/>
      <c r="AZ341" s="666"/>
      <c r="BA341" s="666"/>
      <c r="BB341" s="666"/>
      <c r="BC341" s="667"/>
      <c r="BD341" s="634"/>
      <c r="BE341" s="666"/>
      <c r="BF341" s="666"/>
      <c r="BG341" s="666"/>
      <c r="BH341" s="666"/>
      <c r="BI341" s="667"/>
      <c r="BJ341" s="666"/>
      <c r="BK341" s="666"/>
      <c r="BL341" s="666"/>
      <c r="BM341" s="666"/>
      <c r="BN341" s="666"/>
      <c r="BO341" s="667"/>
      <c r="BP341" s="666"/>
      <c r="BQ341" s="282"/>
      <c r="BR341" s="282"/>
      <c r="BS341" s="282"/>
      <c r="BT341" s="282"/>
      <c r="BU341" s="668"/>
      <c r="BV341" s="666"/>
      <c r="BW341" s="282"/>
      <c r="BX341" s="282"/>
      <c r="BY341" s="282"/>
      <c r="BZ341" s="282"/>
      <c r="CA341" s="669"/>
      <c r="CB341" s="666"/>
      <c r="CC341" s="282"/>
      <c r="CD341" s="282"/>
      <c r="CE341" s="282"/>
      <c r="CF341" s="282"/>
      <c r="CG341" s="669"/>
      <c r="CH341" s="666"/>
      <c r="CI341" s="282"/>
      <c r="CJ341" s="282"/>
      <c r="CK341" s="282"/>
      <c r="CL341" s="282"/>
      <c r="CM341" s="669"/>
      <c r="CN341" s="666"/>
      <c r="CO341" s="282"/>
      <c r="CP341" s="282"/>
      <c r="CQ341" s="282"/>
      <c r="CR341" s="282"/>
      <c r="CS341" s="669"/>
      <c r="CT341" s="666"/>
      <c r="CU341" s="282"/>
      <c r="CV341" s="282"/>
      <c r="CW341" s="282"/>
      <c r="CX341" s="282"/>
      <c r="CY341" s="669"/>
      <c r="CZ341" s="666"/>
      <c r="DA341" s="282"/>
      <c r="DB341" s="282"/>
      <c r="DC341" s="282"/>
      <c r="DD341" s="282"/>
      <c r="DE341" s="669"/>
      <c r="DF341" s="666"/>
      <c r="DG341" s="282"/>
      <c r="DH341" s="282"/>
      <c r="DI341" s="282"/>
      <c r="DJ341" s="282"/>
      <c r="DK341" s="669"/>
      <c r="DL341" s="666"/>
      <c r="DM341" s="282"/>
      <c r="DN341" s="282"/>
      <c r="DO341" s="282"/>
      <c r="DP341" s="282"/>
      <c r="DQ341" s="669"/>
      <c r="DR341" s="666"/>
      <c r="DS341" s="282"/>
      <c r="DT341" s="282"/>
      <c r="DU341" s="282"/>
      <c r="DV341" s="282"/>
      <c r="DW341" s="669"/>
      <c r="DX341" s="666"/>
      <c r="DY341" s="282"/>
      <c r="DZ341" s="282"/>
      <c r="EA341" s="282">
        <v>221</v>
      </c>
      <c r="EB341" s="282">
        <v>209</v>
      </c>
      <c r="EC341" s="669"/>
      <c r="ED341" s="666"/>
      <c r="EE341" s="282"/>
      <c r="EF341" s="282"/>
      <c r="EG341" s="282">
        <v>268</v>
      </c>
      <c r="EH341" s="282">
        <v>444</v>
      </c>
      <c r="EI341" s="669"/>
      <c r="EJ341" s="666"/>
      <c r="EK341" s="1793"/>
      <c r="EL341" s="282"/>
      <c r="EM341" s="282"/>
      <c r="EN341" s="282"/>
      <c r="EO341" s="669"/>
      <c r="EP341" s="666"/>
      <c r="EQ341" s="1775"/>
      <c r="ER341" s="1775"/>
      <c r="ES341" s="282"/>
      <c r="ET341" s="282"/>
      <c r="EU341" s="1776"/>
      <c r="EV341" s="1777"/>
      <c r="EW341" s="1775"/>
      <c r="EX341" s="1775"/>
      <c r="EY341" s="1775"/>
      <c r="EZ341" s="1775"/>
      <c r="FA341" s="1776"/>
      <c r="FB341" s="1777"/>
      <c r="FC341" s="1775"/>
      <c r="FD341" s="1775"/>
      <c r="FE341" s="1775"/>
      <c r="FF341" s="1775"/>
      <c r="FG341" s="1776"/>
      <c r="FH341" s="1777"/>
      <c r="FI341" s="1775"/>
      <c r="FJ341" s="1775"/>
      <c r="FK341" s="1775"/>
      <c r="FL341" s="1775"/>
      <c r="FM341" s="1776"/>
      <c r="FQ341"/>
      <c r="FR341"/>
      <c r="FS341"/>
      <c r="FT341"/>
      <c r="FU341"/>
      <c r="FV341"/>
      <c r="GB341" s="24"/>
      <c r="GC341" s="24"/>
      <c r="GD341" s="24"/>
      <c r="GE341" s="24"/>
      <c r="GF341" s="24"/>
      <c r="GG341" s="24"/>
      <c r="GH341" s="24"/>
      <c r="GI341" s="24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</row>
    <row r="342" spans="1:274" s="28" customFormat="1" ht="12.75" customHeight="1" x14ac:dyDescent="0.2">
      <c r="A342" s="1744" t="s">
        <v>1158</v>
      </c>
      <c r="B342" s="595"/>
      <c r="CG342" s="416"/>
      <c r="CM342" s="416"/>
      <c r="CS342" s="416"/>
      <c r="CY342" s="416"/>
      <c r="DA342" s="1632"/>
      <c r="DB342" s="1632"/>
      <c r="DC342" s="1632"/>
      <c r="DD342" s="1632"/>
      <c r="DE342" s="1633"/>
      <c r="DG342" s="1632"/>
      <c r="DH342" s="1632"/>
      <c r="DI342" s="1632"/>
      <c r="DJ342" s="1632"/>
      <c r="DK342" s="1633"/>
      <c r="DL342" s="1634"/>
      <c r="DM342" s="1632"/>
      <c r="DN342" s="1632"/>
      <c r="DO342" s="1632"/>
      <c r="DP342" s="1632"/>
      <c r="DQ342" s="1633"/>
      <c r="DR342" s="1634"/>
      <c r="DS342" s="1632"/>
      <c r="DT342" s="1632"/>
      <c r="DU342" s="1632"/>
      <c r="DV342" s="1632"/>
      <c r="DW342" s="1633"/>
      <c r="DX342" s="1634"/>
      <c r="DY342" s="1632"/>
      <c r="DZ342" s="1632"/>
      <c r="EA342" s="1746">
        <f>EA341+'Balance Sheet'!EA154</f>
        <v>439</v>
      </c>
      <c r="EB342" s="1746">
        <f>EB341+'Balance Sheet'!EB154</f>
        <v>457</v>
      </c>
      <c r="EC342" s="1745"/>
      <c r="ED342" s="18"/>
      <c r="EE342" s="18"/>
      <c r="EF342" s="18"/>
      <c r="EG342" s="1746">
        <f>EG341+'Balance Sheet'!EG154</f>
        <v>589</v>
      </c>
      <c r="EH342" s="1746">
        <f>EH341+'Balance Sheet'!EH154</f>
        <v>848</v>
      </c>
      <c r="EI342" s="1745"/>
      <c r="EJ342" s="18"/>
      <c r="EK342" s="18"/>
      <c r="EL342" s="18"/>
      <c r="EM342" s="18"/>
      <c r="EN342" s="18"/>
      <c r="EO342" s="1745"/>
      <c r="ES342" s="18"/>
      <c r="ET342" s="18"/>
      <c r="EU342" s="416"/>
      <c r="FA342" s="416"/>
      <c r="FG342" s="416"/>
      <c r="FM342" s="416"/>
      <c r="FQ342"/>
      <c r="FR342"/>
      <c r="FS342"/>
      <c r="FT342"/>
      <c r="FU342"/>
      <c r="FV342"/>
      <c r="GB342" s="24"/>
      <c r="GC342" s="24"/>
      <c r="GD342" s="24"/>
      <c r="GE342" s="24"/>
      <c r="GF342" s="24"/>
      <c r="GG342" s="24"/>
      <c r="GH342" s="24"/>
      <c r="GI342" s="24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</row>
    <row r="343" spans="1:274" s="28" customFormat="1" ht="12.75" customHeight="1" x14ac:dyDescent="0.2">
      <c r="A343" s="1744" t="s">
        <v>1159</v>
      </c>
      <c r="B343" s="595"/>
      <c r="CG343" s="416"/>
      <c r="CM343" s="416"/>
      <c r="CS343" s="416"/>
      <c r="CY343" s="416"/>
      <c r="DA343" s="1632"/>
      <c r="DB343" s="1632"/>
      <c r="DC343" s="1632"/>
      <c r="DD343" s="1632"/>
      <c r="DE343" s="1633"/>
      <c r="DG343" s="1632"/>
      <c r="DH343" s="1632"/>
      <c r="DI343" s="1632"/>
      <c r="DJ343" s="1632"/>
      <c r="DK343" s="1633"/>
      <c r="DL343" s="1634"/>
      <c r="DM343" s="1632"/>
      <c r="DN343" s="1632"/>
      <c r="DO343" s="1632"/>
      <c r="DP343" s="1632"/>
      <c r="DQ343" s="1633"/>
      <c r="DR343" s="1634"/>
      <c r="DS343" s="1632"/>
      <c r="DT343" s="1632"/>
      <c r="DU343" s="1632"/>
      <c r="DV343" s="1632"/>
      <c r="DW343" s="1633"/>
      <c r="DX343" s="1634"/>
      <c r="DY343" s="1632"/>
      <c r="DZ343" s="1632"/>
      <c r="EA343" s="1746"/>
      <c r="EB343" s="1746">
        <f>EB342-EA342+Model!EB35+Model!EB29</f>
        <v>473</v>
      </c>
      <c r="EC343" s="1745"/>
      <c r="ED343" s="18"/>
      <c r="EE343" s="18"/>
      <c r="EF343" s="18"/>
      <c r="EG343" s="1746"/>
      <c r="EH343" s="1746">
        <f>EH342-EG342+Model!EH35+Model!EH29</f>
        <v>838</v>
      </c>
      <c r="EI343" s="1745"/>
      <c r="EJ343" s="18"/>
      <c r="EK343" s="18"/>
      <c r="EL343" s="18"/>
      <c r="EM343" s="18"/>
      <c r="EN343" s="18"/>
      <c r="EO343" s="1745"/>
      <c r="ES343" s="18"/>
      <c r="ET343" s="18"/>
      <c r="EU343" s="416"/>
      <c r="FA343" s="416"/>
      <c r="FG343" s="416"/>
      <c r="FM343" s="416"/>
      <c r="FQ343"/>
      <c r="FR343"/>
      <c r="FS343"/>
      <c r="FT343"/>
      <c r="FU343"/>
      <c r="FV343"/>
      <c r="GB343" s="24"/>
      <c r="GC343" s="24"/>
      <c r="GD343" s="24"/>
      <c r="GE343" s="24"/>
      <c r="GF343" s="24"/>
      <c r="GG343" s="24"/>
      <c r="GH343" s="24"/>
      <c r="GI343" s="24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</row>
    <row r="344" spans="1:274" s="426" customFormat="1" ht="12.75" customHeight="1" x14ac:dyDescent="0.2">
      <c r="A344" s="1752" t="s">
        <v>611</v>
      </c>
      <c r="B344" s="1747"/>
      <c r="CG344" s="1748"/>
      <c r="CM344" s="1748"/>
      <c r="CS344" s="1748"/>
      <c r="CY344" s="1748"/>
      <c r="DA344" s="1618"/>
      <c r="DB344" s="1618"/>
      <c r="DC344" s="1618"/>
      <c r="DD344" s="1618"/>
      <c r="DE344" s="1749"/>
      <c r="DG344" s="1618"/>
      <c r="DH344" s="1618"/>
      <c r="DI344" s="1618"/>
      <c r="DJ344" s="1618"/>
      <c r="DK344" s="1749"/>
      <c r="DL344" s="1750"/>
      <c r="DM344" s="1618"/>
      <c r="DN344" s="1618"/>
      <c r="DO344" s="1618"/>
      <c r="DP344" s="1618"/>
      <c r="DQ344" s="1749"/>
      <c r="DR344" s="1750"/>
      <c r="DS344" s="1618"/>
      <c r="DT344" s="1618"/>
      <c r="DU344" s="1618"/>
      <c r="DV344" s="1618"/>
      <c r="DW344" s="1749"/>
      <c r="DX344" s="1750"/>
      <c r="DY344" s="1618"/>
      <c r="DZ344" s="1618"/>
      <c r="EA344" s="1618"/>
      <c r="EB344" s="1618"/>
      <c r="EC344" s="1748"/>
      <c r="EH344" s="1751">
        <f>EH343/EB343-1</f>
        <v>0.77167019027484152</v>
      </c>
      <c r="EI344" s="1748"/>
      <c r="EO344" s="1748"/>
      <c r="EU344" s="1748"/>
      <c r="FA344" s="1748"/>
      <c r="FG344" s="1748"/>
      <c r="FM344" s="1748"/>
      <c r="FQ344"/>
      <c r="FR344"/>
      <c r="FS344"/>
      <c r="FT344"/>
      <c r="FU344"/>
      <c r="FV344"/>
      <c r="GB344" s="847"/>
      <c r="GC344" s="847"/>
      <c r="GD344" s="847"/>
      <c r="GE344" s="847"/>
      <c r="GF344" s="847"/>
      <c r="GG344" s="847"/>
      <c r="GH344" s="847"/>
      <c r="GI344" s="847"/>
      <c r="GJ344" s="946"/>
      <c r="GK344" s="946"/>
      <c r="GL344" s="946"/>
      <c r="GM344" s="946"/>
      <c r="GN344" s="946"/>
      <c r="GO344" s="946"/>
      <c r="GP344" s="946"/>
      <c r="GQ344" s="946"/>
      <c r="GR344" s="946"/>
      <c r="GS344" s="946"/>
      <c r="GT344" s="946"/>
      <c r="GU344" s="946"/>
      <c r="GV344" s="946"/>
      <c r="GW344" s="946"/>
      <c r="GX344" s="946"/>
      <c r="GY344" s="946"/>
      <c r="GZ344" s="946"/>
      <c r="HA344" s="946"/>
      <c r="HB344" s="946"/>
      <c r="HC344" s="946"/>
      <c r="HD344" s="946"/>
      <c r="HE344" s="946"/>
      <c r="HF344" s="946"/>
      <c r="HG344" s="946"/>
      <c r="HH344" s="946"/>
      <c r="HI344" s="946"/>
      <c r="HJ344" s="946"/>
      <c r="HK344" s="946"/>
      <c r="HL344" s="946"/>
      <c r="HM344" s="946"/>
      <c r="HN344" s="946"/>
      <c r="HO344" s="946"/>
      <c r="HP344" s="946"/>
      <c r="HQ344" s="946"/>
      <c r="HR344" s="946"/>
      <c r="HS344" s="946"/>
      <c r="HT344" s="946"/>
      <c r="HU344" s="946"/>
      <c r="HV344" s="946"/>
      <c r="HW344" s="946"/>
      <c r="HX344" s="946"/>
      <c r="HY344" s="946"/>
      <c r="HZ344" s="946"/>
      <c r="IA344" s="946"/>
      <c r="IB344" s="946"/>
      <c r="IC344" s="946"/>
      <c r="ID344" s="946"/>
      <c r="IE344" s="946"/>
      <c r="IF344" s="946"/>
      <c r="IG344" s="946"/>
      <c r="IH344" s="946"/>
      <c r="II344" s="946"/>
      <c r="IJ344" s="946"/>
      <c r="IK344" s="946"/>
      <c r="IL344" s="946"/>
      <c r="IM344" s="946"/>
      <c r="IN344" s="946"/>
      <c r="IO344" s="946"/>
      <c r="IP344" s="946"/>
      <c r="IQ344" s="946"/>
      <c r="IR344" s="946"/>
      <c r="IS344" s="946"/>
      <c r="IT344" s="946"/>
      <c r="IU344" s="946"/>
      <c r="IV344" s="946"/>
      <c r="IW344" s="946"/>
      <c r="IX344" s="946"/>
      <c r="IY344" s="946"/>
      <c r="IZ344" s="946"/>
      <c r="JA344" s="946"/>
      <c r="JB344" s="946"/>
      <c r="JC344" s="946"/>
      <c r="JD344" s="946"/>
      <c r="JE344" s="946"/>
      <c r="JF344" s="946"/>
      <c r="JG344" s="946"/>
      <c r="JH344" s="946"/>
      <c r="JI344" s="946"/>
      <c r="JJ344" s="946"/>
      <c r="JK344" s="946"/>
      <c r="JL344" s="946"/>
      <c r="JM344" s="946"/>
      <c r="JN344" s="946"/>
    </row>
    <row r="345" spans="1:274" s="28" customFormat="1" ht="12.75" customHeight="1" x14ac:dyDescent="0.2">
      <c r="A345" s="152" t="s">
        <v>1175</v>
      </c>
      <c r="B345" s="421"/>
      <c r="C345" s="666"/>
      <c r="D345" s="666"/>
      <c r="E345" s="666"/>
      <c r="F345" s="666"/>
      <c r="G345" s="666"/>
      <c r="H345" s="666"/>
      <c r="I345" s="666"/>
      <c r="J345" s="667"/>
      <c r="K345" s="667"/>
      <c r="L345" s="667"/>
      <c r="M345" s="667"/>
      <c r="N345" s="634"/>
      <c r="O345" s="666"/>
      <c r="P345" s="666"/>
      <c r="Q345" s="666"/>
      <c r="R345" s="666"/>
      <c r="S345" s="667"/>
      <c r="T345" s="666"/>
      <c r="U345" s="666"/>
      <c r="V345" s="666"/>
      <c r="W345" s="666"/>
      <c r="X345" s="666"/>
      <c r="Y345" s="667"/>
      <c r="Z345" s="634"/>
      <c r="AA345" s="666"/>
      <c r="AB345" s="666"/>
      <c r="AC345" s="666"/>
      <c r="AD345" s="666"/>
      <c r="AE345" s="667"/>
      <c r="AF345" s="634"/>
      <c r="AG345" s="666"/>
      <c r="AH345" s="666"/>
      <c r="AI345" s="666"/>
      <c r="AJ345" s="666"/>
      <c r="AK345" s="667"/>
      <c r="AL345" s="634"/>
      <c r="AM345" s="666"/>
      <c r="AN345" s="666"/>
      <c r="AO345" s="666"/>
      <c r="AP345" s="666"/>
      <c r="AQ345" s="667"/>
      <c r="AR345" s="634"/>
      <c r="AS345" s="666"/>
      <c r="AT345" s="666"/>
      <c r="AU345" s="666"/>
      <c r="AV345" s="666"/>
      <c r="AW345" s="667"/>
      <c r="AX345" s="634"/>
      <c r="AY345" s="666"/>
      <c r="AZ345" s="666"/>
      <c r="BA345" s="666"/>
      <c r="BB345" s="666"/>
      <c r="BC345" s="667"/>
      <c r="BD345" s="634"/>
      <c r="BE345" s="666"/>
      <c r="BF345" s="666"/>
      <c r="BG345" s="666"/>
      <c r="BH345" s="666"/>
      <c r="BI345" s="667"/>
      <c r="BJ345" s="666"/>
      <c r="BK345" s="666"/>
      <c r="BL345" s="666"/>
      <c r="BM345" s="666"/>
      <c r="BN345" s="666"/>
      <c r="BO345" s="667"/>
      <c r="BP345" s="666"/>
      <c r="BQ345" s="282"/>
      <c r="BR345" s="282"/>
      <c r="BS345" s="282"/>
      <c r="BT345" s="282"/>
      <c r="BU345" s="668"/>
      <c r="BV345" s="666"/>
      <c r="BW345" s="282"/>
      <c r="BX345" s="282"/>
      <c r="BY345" s="282"/>
      <c r="BZ345" s="282"/>
      <c r="CA345" s="669"/>
      <c r="CB345" s="666"/>
      <c r="CC345" s="282"/>
      <c r="CD345" s="282"/>
      <c r="CE345" s="282"/>
      <c r="CF345" s="282"/>
      <c r="CG345" s="669"/>
      <c r="CH345" s="666"/>
      <c r="CI345" s="282"/>
      <c r="CJ345" s="282"/>
      <c r="CK345" s="282"/>
      <c r="CL345" s="282"/>
      <c r="CM345" s="669"/>
      <c r="CN345" s="666"/>
      <c r="CO345" s="282"/>
      <c r="CP345" s="282"/>
      <c r="CQ345" s="282"/>
      <c r="CR345" s="282"/>
      <c r="CS345" s="669"/>
      <c r="CT345" s="666"/>
      <c r="CU345" s="282"/>
      <c r="CV345" s="282"/>
      <c r="CW345" s="282"/>
      <c r="CX345" s="282"/>
      <c r="CY345" s="669"/>
      <c r="CZ345" s="666"/>
      <c r="DA345" s="282"/>
      <c r="DB345" s="282"/>
      <c r="DC345" s="282"/>
      <c r="DD345" s="282"/>
      <c r="DE345" s="669"/>
      <c r="DF345" s="666"/>
      <c r="DG345" s="282"/>
      <c r="DH345" s="282"/>
      <c r="DI345" s="282"/>
      <c r="DJ345" s="282"/>
      <c r="DK345" s="669"/>
      <c r="DL345" s="666"/>
      <c r="DM345" s="282"/>
      <c r="DN345" s="282"/>
      <c r="DO345" s="282"/>
      <c r="DP345" s="282"/>
      <c r="DQ345" s="669"/>
      <c r="DR345" s="666"/>
      <c r="DS345" s="282"/>
      <c r="DT345" s="282"/>
      <c r="DU345" s="282"/>
      <c r="DV345" s="282"/>
      <c r="DW345" s="669"/>
      <c r="DX345" s="666"/>
      <c r="DY345" s="282"/>
      <c r="DZ345" s="282"/>
      <c r="EA345" s="282">
        <v>221</v>
      </c>
      <c r="EB345" s="282">
        <v>209</v>
      </c>
      <c r="EC345" s="669"/>
      <c r="ED345" s="666"/>
      <c r="EE345" s="282"/>
      <c r="EF345" s="282"/>
      <c r="EG345" s="282"/>
      <c r="EH345" s="282"/>
      <c r="EI345" s="669"/>
      <c r="EJ345" s="666"/>
      <c r="EK345" s="1793"/>
      <c r="EL345" s="282"/>
      <c r="EM345" s="282"/>
      <c r="EN345" s="282"/>
      <c r="EO345" s="669"/>
      <c r="EP345" s="666"/>
      <c r="EQ345" s="1817"/>
      <c r="ER345" s="1775"/>
      <c r="ES345" s="282"/>
      <c r="ET345" s="282"/>
      <c r="EU345" s="1776"/>
      <c r="EV345" s="1777"/>
      <c r="EW345" s="1775"/>
      <c r="EX345" s="1775"/>
      <c r="EY345" s="1775"/>
      <c r="EZ345" s="1775"/>
      <c r="FA345" s="1776"/>
      <c r="FB345" s="1777"/>
      <c r="FC345" s="1775"/>
      <c r="FD345" s="1775"/>
      <c r="FE345" s="1775"/>
      <c r="FF345" s="1775"/>
      <c r="FG345" s="1776"/>
      <c r="FH345" s="1777"/>
      <c r="FI345" s="1775"/>
      <c r="FJ345" s="1775"/>
      <c r="FK345" s="1775"/>
      <c r="FL345" s="1775"/>
      <c r="FM345" s="1776"/>
      <c r="FQ345"/>
      <c r="FR345"/>
      <c r="FS345"/>
      <c r="FT345"/>
      <c r="FU345"/>
      <c r="FV345"/>
      <c r="GB345" s="621"/>
      <c r="GC345" s="621"/>
      <c r="GD345" s="621"/>
      <c r="GE345" s="621"/>
      <c r="GF345" s="621"/>
      <c r="GG345" s="621"/>
      <c r="GH345" s="621"/>
      <c r="GI345" s="621"/>
      <c r="GJ345" s="945"/>
      <c r="GK345" s="945"/>
      <c r="GL345" s="945"/>
      <c r="GM345" s="945"/>
      <c r="GN345" s="945"/>
      <c r="GO345" s="945"/>
      <c r="GP345" s="945"/>
      <c r="GQ345" s="945"/>
      <c r="GR345" s="945"/>
      <c r="GS345" s="945"/>
      <c r="GT345" s="945"/>
      <c r="GU345" s="945"/>
      <c r="GV345" s="945"/>
      <c r="GW345" s="945"/>
      <c r="GX345" s="945"/>
      <c r="GY345" s="945"/>
      <c r="GZ345" s="945"/>
      <c r="HA345" s="945"/>
      <c r="HB345" s="945"/>
      <c r="HC345" s="945"/>
      <c r="HD345" s="945"/>
      <c r="HE345" s="945"/>
      <c r="HF345" s="945"/>
      <c r="HG345" s="945"/>
      <c r="HH345" s="945"/>
      <c r="HI345" s="945"/>
      <c r="HJ345" s="945"/>
      <c r="HK345" s="945"/>
      <c r="HL345" s="945"/>
      <c r="HM345" s="945"/>
      <c r="HN345" s="945"/>
      <c r="HO345" s="945"/>
      <c r="HP345" s="945"/>
      <c r="HQ345" s="945"/>
      <c r="HR345" s="945"/>
      <c r="HS345" s="945"/>
      <c r="HT345" s="945"/>
      <c r="HU345" s="945"/>
      <c r="HV345" s="945"/>
      <c r="HW345" s="945"/>
      <c r="HX345" s="945"/>
      <c r="HY345" s="945"/>
      <c r="HZ345" s="945"/>
      <c r="IA345" s="945"/>
      <c r="IB345" s="945"/>
      <c r="IC345" s="945"/>
      <c r="ID345" s="945"/>
      <c r="IE345" s="945"/>
      <c r="IF345" s="945"/>
      <c r="IG345" s="945"/>
      <c r="IH345" s="945"/>
      <c r="II345" s="945"/>
      <c r="IJ345" s="945"/>
      <c r="IK345" s="945"/>
      <c r="IL345" s="945"/>
      <c r="IM345" s="945"/>
      <c r="IN345" s="945"/>
      <c r="IO345" s="945"/>
      <c r="IP345" s="945"/>
      <c r="IQ345" s="945"/>
      <c r="IR345" s="945"/>
      <c r="IS345" s="945"/>
      <c r="IT345" s="945"/>
      <c r="IU345" s="945"/>
      <c r="IV345" s="945"/>
      <c r="IW345" s="945"/>
      <c r="IX345" s="945"/>
      <c r="IY345" s="945"/>
      <c r="IZ345" s="945"/>
      <c r="JA345" s="945"/>
      <c r="JB345" s="945"/>
      <c r="JC345" s="945"/>
      <c r="JD345" s="945"/>
      <c r="JE345" s="945"/>
      <c r="JF345" s="945"/>
      <c r="JG345" s="945"/>
      <c r="JH345" s="945"/>
      <c r="JI345" s="945"/>
      <c r="JJ345" s="945"/>
      <c r="JK345" s="945"/>
      <c r="JL345" s="945"/>
      <c r="JM345" s="945"/>
      <c r="JN345" s="945"/>
    </row>
    <row r="346" spans="1:274" s="28" customFormat="1" ht="12.75" customHeight="1" x14ac:dyDescent="0.2">
      <c r="A346" s="1744" t="s">
        <v>1176</v>
      </c>
      <c r="B346" s="595"/>
      <c r="CG346" s="416"/>
      <c r="CM346" s="416"/>
      <c r="CS346" s="416"/>
      <c r="CY346" s="416"/>
      <c r="DA346" s="1632"/>
      <c r="DB346" s="1632"/>
      <c r="DC346" s="1632"/>
      <c r="DD346" s="1632"/>
      <c r="DE346" s="1633"/>
      <c r="DG346" s="1632"/>
      <c r="DH346" s="1632"/>
      <c r="DI346" s="1632"/>
      <c r="DJ346" s="1632"/>
      <c r="DK346" s="1633"/>
      <c r="DL346" s="1634"/>
      <c r="DM346" s="1632"/>
      <c r="DN346" s="1632"/>
      <c r="DO346" s="1632"/>
      <c r="DP346" s="1632"/>
      <c r="DQ346" s="1633"/>
      <c r="DR346" s="1634"/>
      <c r="DS346" s="1632"/>
      <c r="DT346" s="1632"/>
      <c r="DU346" s="1632"/>
      <c r="DV346" s="1632"/>
      <c r="DW346" s="1633"/>
      <c r="DX346" s="1634"/>
      <c r="DY346" s="1632"/>
      <c r="DZ346" s="1632"/>
      <c r="EA346" s="1746">
        <f>EA345+'Balance Sheet'!EA158</f>
        <v>221</v>
      </c>
      <c r="EB346" s="1746">
        <f>EB345+'Balance Sheet'!EB158</f>
        <v>209</v>
      </c>
      <c r="EC346" s="1745"/>
      <c r="ED346" s="18"/>
      <c r="EE346" s="33">
        <v>271</v>
      </c>
      <c r="EF346" s="33">
        <v>262</v>
      </c>
      <c r="EG346" s="1799">
        <v>322</v>
      </c>
      <c r="EH346" s="1799">
        <v>402</v>
      </c>
      <c r="EI346" s="226">
        <f>SUM(EE346:EH346)</f>
        <v>1257</v>
      </c>
      <c r="EJ346" s="33"/>
      <c r="EK346" s="33">
        <v>586</v>
      </c>
      <c r="EL346" s="33">
        <v>622</v>
      </c>
      <c r="EM346" s="33">
        <v>691</v>
      </c>
      <c r="EN346" s="1799">
        <v>718</v>
      </c>
      <c r="EO346" s="226">
        <f>SUM(EK346:EN346)</f>
        <v>2617</v>
      </c>
      <c r="EQ346" s="33">
        <v>905</v>
      </c>
      <c r="ER346" s="33">
        <v>976</v>
      </c>
      <c r="ES346" s="33">
        <v>1203</v>
      </c>
      <c r="ET346" s="1799"/>
      <c r="EU346" s="416"/>
      <c r="FA346" s="416"/>
      <c r="FG346" s="416"/>
      <c r="FM346" s="416"/>
      <c r="FQ346"/>
      <c r="FR346"/>
      <c r="FS346"/>
      <c r="FT346"/>
      <c r="FU346"/>
      <c r="FV346"/>
      <c r="GB346" s="621"/>
      <c r="GC346" s="621"/>
      <c r="GD346" s="621"/>
      <c r="GE346" s="621"/>
      <c r="GF346" s="621"/>
      <c r="GG346" s="621"/>
      <c r="GH346" s="621"/>
      <c r="GI346" s="621"/>
      <c r="GJ346" s="945"/>
      <c r="GK346" s="945"/>
      <c r="GL346" s="945"/>
      <c r="GM346" s="945"/>
      <c r="GN346" s="945"/>
      <c r="GO346" s="945"/>
      <c r="GP346" s="945"/>
      <c r="GQ346" s="945"/>
      <c r="GR346" s="945"/>
      <c r="GS346" s="945"/>
      <c r="GT346" s="945"/>
      <c r="GU346" s="945"/>
      <c r="GV346" s="945"/>
      <c r="GW346" s="945"/>
      <c r="GX346" s="945"/>
      <c r="GY346" s="945"/>
      <c r="GZ346" s="945"/>
      <c r="HA346" s="945"/>
      <c r="HB346" s="945"/>
      <c r="HC346" s="945"/>
      <c r="HD346" s="945"/>
      <c r="HE346" s="945"/>
      <c r="HF346" s="945"/>
      <c r="HG346" s="945"/>
      <c r="HH346" s="945"/>
      <c r="HI346" s="945"/>
      <c r="HJ346" s="945"/>
      <c r="HK346" s="945"/>
      <c r="HL346" s="945"/>
      <c r="HM346" s="945"/>
      <c r="HN346" s="945"/>
      <c r="HO346" s="945"/>
      <c r="HP346" s="945"/>
      <c r="HQ346" s="945"/>
      <c r="HR346" s="945"/>
      <c r="HS346" s="945"/>
      <c r="HT346" s="945"/>
      <c r="HU346" s="945"/>
      <c r="HV346" s="945"/>
      <c r="HW346" s="945"/>
      <c r="HX346" s="945"/>
      <c r="HY346" s="945"/>
      <c r="HZ346" s="945"/>
      <c r="IA346" s="945"/>
      <c r="IB346" s="945"/>
      <c r="IC346" s="945"/>
      <c r="ID346" s="945"/>
      <c r="IE346" s="945"/>
      <c r="IF346" s="945"/>
      <c r="IG346" s="945"/>
      <c r="IH346" s="945"/>
      <c r="II346" s="945"/>
      <c r="IJ346" s="945"/>
      <c r="IK346" s="945"/>
      <c r="IL346" s="945"/>
      <c r="IM346" s="945"/>
      <c r="IN346" s="945"/>
      <c r="IO346" s="945"/>
      <c r="IP346" s="945"/>
      <c r="IQ346" s="945"/>
      <c r="IR346" s="945"/>
      <c r="IS346" s="945"/>
      <c r="IT346" s="945"/>
      <c r="IU346" s="945"/>
      <c r="IV346" s="945"/>
      <c r="IW346" s="945"/>
      <c r="IX346" s="945"/>
      <c r="IY346" s="945"/>
      <c r="IZ346" s="945"/>
      <c r="JA346" s="945"/>
      <c r="JB346" s="945"/>
      <c r="JC346" s="945"/>
      <c r="JD346" s="945"/>
      <c r="JE346" s="945"/>
      <c r="JF346" s="945"/>
      <c r="JG346" s="945"/>
      <c r="JH346" s="945"/>
      <c r="JI346" s="945"/>
      <c r="JJ346" s="945"/>
      <c r="JK346" s="945"/>
      <c r="JL346" s="945"/>
      <c r="JM346" s="945"/>
      <c r="JN346" s="945"/>
    </row>
    <row r="347" spans="1:274" s="28" customFormat="1" ht="12.75" customHeight="1" x14ac:dyDescent="0.2">
      <c r="A347" s="1744" t="s">
        <v>1177</v>
      </c>
      <c r="B347" s="595"/>
      <c r="CG347" s="416"/>
      <c r="CM347" s="416"/>
      <c r="CS347" s="416"/>
      <c r="CY347" s="416"/>
      <c r="DA347" s="1632"/>
      <c r="DB347" s="1632"/>
      <c r="DC347" s="1632"/>
      <c r="DD347" s="1632"/>
      <c r="DE347" s="1633"/>
      <c r="DG347" s="1632"/>
      <c r="DH347" s="1632"/>
      <c r="DI347" s="1632"/>
      <c r="DJ347" s="1632"/>
      <c r="DK347" s="1633"/>
      <c r="DL347" s="1634"/>
      <c r="DM347" s="1632"/>
      <c r="DN347" s="1632"/>
      <c r="DO347" s="1632"/>
      <c r="DP347" s="1632"/>
      <c r="DQ347" s="1633"/>
      <c r="DR347" s="1634"/>
      <c r="DS347" s="1632"/>
      <c r="DT347" s="1632"/>
      <c r="DU347" s="1632"/>
      <c r="DV347" s="1632"/>
      <c r="DW347" s="1633"/>
      <c r="DX347" s="1634"/>
      <c r="DY347" s="1632"/>
      <c r="DZ347" s="1632"/>
      <c r="EA347" s="1746"/>
      <c r="EB347" s="1746">
        <f>EB346-EA346+Model!EB30+Model!EB39</f>
        <v>3014.4833633628323</v>
      </c>
      <c r="EC347" s="1745"/>
      <c r="ED347" s="18"/>
      <c r="EE347" s="33">
        <v>204</v>
      </c>
      <c r="EF347" s="33">
        <v>192</v>
      </c>
      <c r="EG347" s="1799">
        <v>267</v>
      </c>
      <c r="EH347" s="1799">
        <v>437</v>
      </c>
      <c r="EI347" s="226">
        <f>SUM(EE347:EH347)</f>
        <v>1100</v>
      </c>
      <c r="EJ347" s="33"/>
      <c r="EK347" s="33">
        <v>395</v>
      </c>
      <c r="EL347" s="33">
        <v>445</v>
      </c>
      <c r="EM347" s="33">
        <v>461</v>
      </c>
      <c r="EN347" s="1799">
        <v>663</v>
      </c>
      <c r="EO347" s="226">
        <f>SUM(EK347:EN347)</f>
        <v>1964</v>
      </c>
      <c r="EQ347" s="33">
        <v>561</v>
      </c>
      <c r="ER347" s="33">
        <v>639</v>
      </c>
      <c r="ES347" s="33">
        <v>811</v>
      </c>
      <c r="ET347" s="1799"/>
      <c r="EU347" s="416"/>
      <c r="FA347" s="416"/>
      <c r="FG347" s="416"/>
      <c r="FM347" s="416"/>
      <c r="FQ347"/>
      <c r="FR347"/>
      <c r="FS347"/>
      <c r="FT347"/>
      <c r="FU347"/>
      <c r="FV347"/>
      <c r="GB347" s="621"/>
      <c r="GC347" s="621"/>
      <c r="GD347" s="621"/>
      <c r="GE347" s="621"/>
      <c r="GF347" s="621"/>
      <c r="GG347" s="621"/>
      <c r="GH347" s="621"/>
      <c r="GI347" s="621"/>
      <c r="GJ347" s="945"/>
      <c r="GK347" s="945"/>
      <c r="GL347" s="945"/>
      <c r="GM347" s="945"/>
      <c r="GN347" s="945"/>
      <c r="GO347" s="945"/>
      <c r="GP347" s="945"/>
      <c r="GQ347" s="945"/>
      <c r="GR347" s="945"/>
      <c r="GS347" s="945"/>
      <c r="GT347" s="945"/>
      <c r="GU347" s="945"/>
      <c r="GV347" s="945"/>
      <c r="GW347" s="945"/>
      <c r="GX347" s="945"/>
      <c r="GY347" s="945"/>
      <c r="GZ347" s="945"/>
      <c r="HA347" s="945"/>
      <c r="HB347" s="945"/>
      <c r="HC347" s="945"/>
      <c r="HD347" s="945"/>
      <c r="HE347" s="945"/>
      <c r="HF347" s="945"/>
      <c r="HG347" s="945"/>
      <c r="HH347" s="945"/>
      <c r="HI347" s="945"/>
      <c r="HJ347" s="945"/>
      <c r="HK347" s="945"/>
      <c r="HL347" s="945"/>
      <c r="HM347" s="945"/>
      <c r="HN347" s="945"/>
      <c r="HO347" s="945"/>
      <c r="HP347" s="945"/>
      <c r="HQ347" s="945"/>
      <c r="HR347" s="945"/>
      <c r="HS347" s="945"/>
      <c r="HT347" s="945"/>
      <c r="HU347" s="945"/>
      <c r="HV347" s="945"/>
      <c r="HW347" s="945"/>
      <c r="HX347" s="945"/>
      <c r="HY347" s="945"/>
      <c r="HZ347" s="945"/>
      <c r="IA347" s="945"/>
      <c r="IB347" s="945"/>
      <c r="IC347" s="945"/>
      <c r="ID347" s="945"/>
      <c r="IE347" s="945"/>
      <c r="IF347" s="945"/>
      <c r="IG347" s="945"/>
      <c r="IH347" s="945"/>
      <c r="II347" s="945"/>
      <c r="IJ347" s="945"/>
      <c r="IK347" s="945"/>
      <c r="IL347" s="945"/>
      <c r="IM347" s="945"/>
      <c r="IN347" s="945"/>
      <c r="IO347" s="945"/>
      <c r="IP347" s="945"/>
      <c r="IQ347" s="945"/>
      <c r="IR347" s="945"/>
      <c r="IS347" s="945"/>
      <c r="IT347" s="945"/>
      <c r="IU347" s="945"/>
      <c r="IV347" s="945"/>
      <c r="IW347" s="945"/>
      <c r="IX347" s="945"/>
      <c r="IY347" s="945"/>
      <c r="IZ347" s="945"/>
      <c r="JA347" s="945"/>
      <c r="JB347" s="945"/>
      <c r="JC347" s="945"/>
      <c r="JD347" s="945"/>
      <c r="JE347" s="945"/>
      <c r="JF347" s="945"/>
      <c r="JG347" s="945"/>
      <c r="JH347" s="945"/>
      <c r="JI347" s="945"/>
      <c r="JJ347" s="945"/>
      <c r="JK347" s="945"/>
      <c r="JL347" s="945"/>
      <c r="JM347" s="945"/>
      <c r="JN347" s="945"/>
    </row>
    <row r="348" spans="1:274" s="28" customFormat="1" ht="12.75" customHeight="1" x14ac:dyDescent="0.2">
      <c r="A348" s="1752" t="s">
        <v>1178</v>
      </c>
      <c r="B348" s="1747"/>
      <c r="C348" s="426"/>
      <c r="D348" s="426"/>
      <c r="E348" s="426"/>
      <c r="F348" s="426"/>
      <c r="G348" s="426"/>
      <c r="H348" s="426"/>
      <c r="I348" s="426"/>
      <c r="J348" s="426"/>
      <c r="K348" s="426"/>
      <c r="L348" s="426"/>
      <c r="M348" s="426"/>
      <c r="N348" s="426"/>
      <c r="O348" s="426"/>
      <c r="P348" s="426"/>
      <c r="Q348" s="426"/>
      <c r="R348" s="426"/>
      <c r="S348" s="426"/>
      <c r="T348" s="426"/>
      <c r="U348" s="426"/>
      <c r="V348" s="426"/>
      <c r="W348" s="426"/>
      <c r="X348" s="426"/>
      <c r="Y348" s="426"/>
      <c r="Z348" s="426"/>
      <c r="AA348" s="426"/>
      <c r="AB348" s="426"/>
      <c r="AC348" s="426"/>
      <c r="AD348" s="426"/>
      <c r="AE348" s="426"/>
      <c r="AF348" s="426"/>
      <c r="AG348" s="426"/>
      <c r="AH348" s="426"/>
      <c r="AI348" s="426"/>
      <c r="AJ348" s="426"/>
      <c r="AK348" s="426"/>
      <c r="AL348" s="426"/>
      <c r="AM348" s="426"/>
      <c r="AN348" s="426"/>
      <c r="AO348" s="426"/>
      <c r="AP348" s="426"/>
      <c r="AQ348" s="426"/>
      <c r="AR348" s="426"/>
      <c r="AS348" s="426"/>
      <c r="AT348" s="426"/>
      <c r="AU348" s="426"/>
      <c r="AV348" s="426"/>
      <c r="AW348" s="426"/>
      <c r="AX348" s="426"/>
      <c r="AY348" s="426"/>
      <c r="AZ348" s="426"/>
      <c r="BA348" s="426"/>
      <c r="BB348" s="426"/>
      <c r="BC348" s="426"/>
      <c r="BD348" s="426"/>
      <c r="BE348" s="426"/>
      <c r="BF348" s="426"/>
      <c r="BG348" s="426"/>
      <c r="BH348" s="426"/>
      <c r="BI348" s="426"/>
      <c r="BJ348" s="426"/>
      <c r="BK348" s="426"/>
      <c r="BL348" s="426"/>
      <c r="BM348" s="426"/>
      <c r="BN348" s="426"/>
      <c r="BO348" s="426"/>
      <c r="BP348" s="426"/>
      <c r="BQ348" s="426"/>
      <c r="BR348" s="426"/>
      <c r="BS348" s="426"/>
      <c r="BT348" s="426"/>
      <c r="BU348" s="426"/>
      <c r="BV348" s="426"/>
      <c r="BW348" s="426"/>
      <c r="BX348" s="426"/>
      <c r="BY348" s="426"/>
      <c r="BZ348" s="426"/>
      <c r="CA348" s="426"/>
      <c r="CB348" s="426"/>
      <c r="CC348" s="426"/>
      <c r="CD348" s="426"/>
      <c r="CE348" s="426"/>
      <c r="CF348" s="426"/>
      <c r="CG348" s="1748"/>
      <c r="CH348" s="426"/>
      <c r="CI348" s="426"/>
      <c r="CJ348" s="426"/>
      <c r="CK348" s="426"/>
      <c r="CL348" s="426"/>
      <c r="CM348" s="1748"/>
      <c r="CN348" s="426"/>
      <c r="CO348" s="426"/>
      <c r="CP348" s="426"/>
      <c r="CQ348" s="426"/>
      <c r="CR348" s="426"/>
      <c r="CS348" s="1748"/>
      <c r="CT348" s="426"/>
      <c r="CU348" s="426"/>
      <c r="CV348" s="426"/>
      <c r="CW348" s="426"/>
      <c r="CX348" s="426"/>
      <c r="CY348" s="1748"/>
      <c r="CZ348" s="426"/>
      <c r="DA348" s="1618"/>
      <c r="DB348" s="1618"/>
      <c r="DC348" s="1618"/>
      <c r="DD348" s="1618"/>
      <c r="DE348" s="1749"/>
      <c r="DF348" s="426"/>
      <c r="DG348" s="1618"/>
      <c r="DH348" s="1618"/>
      <c r="DI348" s="1618"/>
      <c r="DJ348" s="1618"/>
      <c r="DK348" s="1749"/>
      <c r="DL348" s="1750"/>
      <c r="DM348" s="1618"/>
      <c r="DN348" s="1618"/>
      <c r="DO348" s="1618"/>
      <c r="DP348" s="1618"/>
      <c r="DQ348" s="1749"/>
      <c r="DR348" s="1750"/>
      <c r="DS348" s="1618"/>
      <c r="DT348" s="1618"/>
      <c r="DU348" s="1618"/>
      <c r="DV348" s="1618"/>
      <c r="DW348" s="1749"/>
      <c r="DX348" s="1750"/>
      <c r="DY348" s="1618"/>
      <c r="DZ348" s="1618"/>
      <c r="EA348" s="1618"/>
      <c r="EB348" s="1618"/>
      <c r="EC348" s="1748"/>
      <c r="ED348" s="426"/>
      <c r="EE348" s="230">
        <f>SUM(EE346:EE347)</f>
        <v>475</v>
      </c>
      <c r="EF348" s="230">
        <f t="shared" ref="EF348:EM348" si="159">SUM(EF346:EF347)</f>
        <v>454</v>
      </c>
      <c r="EG348" s="1800">
        <f t="shared" si="159"/>
        <v>589</v>
      </c>
      <c r="EH348" s="1800">
        <f t="shared" si="159"/>
        <v>839</v>
      </c>
      <c r="EI348" s="420">
        <f t="shared" si="159"/>
        <v>2357</v>
      </c>
      <c r="EJ348" s="230"/>
      <c r="EK348" s="230">
        <f t="shared" si="159"/>
        <v>981</v>
      </c>
      <c r="EL348" s="230">
        <f t="shared" si="159"/>
        <v>1067</v>
      </c>
      <c r="EM348" s="230">
        <f t="shared" si="159"/>
        <v>1152</v>
      </c>
      <c r="EN348" s="1800">
        <f>SUM(EN346:EN347)</f>
        <v>1381</v>
      </c>
      <c r="EO348" s="420">
        <f>SUM(EO346:EO347)</f>
        <v>4581</v>
      </c>
      <c r="EP348" s="426"/>
      <c r="EQ348" s="230">
        <f>SUM(EQ346:EQ347)</f>
        <v>1466</v>
      </c>
      <c r="ER348" s="230">
        <f t="shared" ref="ER348:ES348" si="160">SUM(ER346:ER347)</f>
        <v>1615</v>
      </c>
      <c r="ES348" s="230">
        <f t="shared" si="160"/>
        <v>2014</v>
      </c>
      <c r="ET348" s="1800"/>
      <c r="EU348" s="1748"/>
      <c r="EV348" s="426"/>
      <c r="EW348" s="426"/>
      <c r="EX348" s="426"/>
      <c r="EY348" s="426"/>
      <c r="EZ348" s="426"/>
      <c r="FA348" s="1748"/>
      <c r="FB348" s="426"/>
      <c r="FC348" s="426"/>
      <c r="FD348" s="426"/>
      <c r="FE348" s="426"/>
      <c r="FF348" s="426"/>
      <c r="FG348" s="1748"/>
      <c r="FH348" s="426"/>
      <c r="FI348" s="426"/>
      <c r="FJ348" s="426"/>
      <c r="FK348" s="426"/>
      <c r="FL348" s="426"/>
      <c r="FM348" s="1748"/>
      <c r="FQ348"/>
      <c r="FR348"/>
      <c r="FS348"/>
      <c r="FT348"/>
      <c r="FU348"/>
      <c r="FV348"/>
      <c r="GB348" s="621"/>
      <c r="GC348" s="621"/>
      <c r="GD348" s="621"/>
      <c r="GE348" s="621"/>
      <c r="GF348" s="621"/>
      <c r="GG348" s="621"/>
      <c r="GH348" s="621"/>
      <c r="GI348" s="621"/>
      <c r="GJ348" s="945"/>
      <c r="GK348" s="945"/>
      <c r="GL348" s="945"/>
      <c r="GM348" s="945"/>
      <c r="GN348" s="945"/>
      <c r="GO348" s="945"/>
      <c r="GP348" s="945"/>
      <c r="GQ348" s="945"/>
      <c r="GR348" s="945"/>
      <c r="GS348" s="945"/>
      <c r="GT348" s="945"/>
      <c r="GU348" s="945"/>
      <c r="GV348" s="945"/>
      <c r="GW348" s="945"/>
      <c r="GX348" s="945"/>
      <c r="GY348" s="945"/>
      <c r="GZ348" s="945"/>
      <c r="HA348" s="945"/>
      <c r="HB348" s="945"/>
      <c r="HC348" s="945"/>
      <c r="HD348" s="945"/>
      <c r="HE348" s="945"/>
      <c r="HF348" s="945"/>
      <c r="HG348" s="945"/>
      <c r="HH348" s="945"/>
      <c r="HI348" s="945"/>
      <c r="HJ348" s="945"/>
      <c r="HK348" s="945"/>
      <c r="HL348" s="945"/>
      <c r="HM348" s="945"/>
      <c r="HN348" s="945"/>
      <c r="HO348" s="945"/>
      <c r="HP348" s="945"/>
      <c r="HQ348" s="945"/>
      <c r="HR348" s="945"/>
      <c r="HS348" s="945"/>
      <c r="HT348" s="945"/>
      <c r="HU348" s="945"/>
      <c r="HV348" s="945"/>
      <c r="HW348" s="945"/>
      <c r="HX348" s="945"/>
      <c r="HY348" s="945"/>
      <c r="HZ348" s="945"/>
      <c r="IA348" s="945"/>
      <c r="IB348" s="945"/>
      <c r="IC348" s="945"/>
      <c r="ID348" s="945"/>
      <c r="IE348" s="945"/>
      <c r="IF348" s="945"/>
      <c r="IG348" s="945"/>
      <c r="IH348" s="945"/>
      <c r="II348" s="945"/>
      <c r="IJ348" s="945"/>
      <c r="IK348" s="945"/>
      <c r="IL348" s="945"/>
      <c r="IM348" s="945"/>
      <c r="IN348" s="945"/>
      <c r="IO348" s="945"/>
      <c r="IP348" s="945"/>
      <c r="IQ348" s="945"/>
      <c r="IR348" s="945"/>
      <c r="IS348" s="945"/>
      <c r="IT348" s="945"/>
      <c r="IU348" s="945"/>
      <c r="IV348" s="945"/>
      <c r="IW348" s="945"/>
      <c r="IX348" s="945"/>
      <c r="IY348" s="945"/>
      <c r="IZ348" s="945"/>
      <c r="JA348" s="945"/>
      <c r="JB348" s="945"/>
      <c r="JC348" s="945"/>
      <c r="JD348" s="945"/>
      <c r="JE348" s="945"/>
      <c r="JF348" s="945"/>
      <c r="JG348" s="945"/>
      <c r="JH348" s="945"/>
      <c r="JI348" s="945"/>
      <c r="JJ348" s="945"/>
      <c r="JK348" s="945"/>
      <c r="JL348" s="945"/>
      <c r="JM348" s="945"/>
      <c r="JN348" s="945"/>
    </row>
    <row r="349" spans="1:274" s="28" customFormat="1" ht="12.75" customHeight="1" x14ac:dyDescent="0.2">
      <c r="A349" s="152" t="s">
        <v>1179</v>
      </c>
      <c r="B349" s="421"/>
      <c r="C349" s="666"/>
      <c r="D349" s="666"/>
      <c r="E349" s="666"/>
      <c r="F349" s="666"/>
      <c r="G349" s="666"/>
      <c r="H349" s="666"/>
      <c r="I349" s="666"/>
      <c r="J349" s="667"/>
      <c r="K349" s="667"/>
      <c r="L349" s="667"/>
      <c r="M349" s="667"/>
      <c r="N349" s="634"/>
      <c r="O349" s="666"/>
      <c r="P349" s="666"/>
      <c r="Q349" s="666"/>
      <c r="R349" s="666"/>
      <c r="S349" s="667"/>
      <c r="T349" s="666"/>
      <c r="U349" s="666"/>
      <c r="V349" s="666"/>
      <c r="W349" s="666"/>
      <c r="X349" s="666"/>
      <c r="Y349" s="667"/>
      <c r="Z349" s="634"/>
      <c r="AA349" s="666"/>
      <c r="AB349" s="666"/>
      <c r="AC349" s="666"/>
      <c r="AD349" s="666"/>
      <c r="AE349" s="667"/>
      <c r="AF349" s="634"/>
      <c r="AG349" s="666"/>
      <c r="AH349" s="666"/>
      <c r="AI349" s="666"/>
      <c r="AJ349" s="666"/>
      <c r="AK349" s="667"/>
      <c r="AL349" s="634"/>
      <c r="AM349" s="666"/>
      <c r="AN349" s="666"/>
      <c r="AO349" s="666"/>
      <c r="AP349" s="666"/>
      <c r="AQ349" s="667"/>
      <c r="AR349" s="634"/>
      <c r="AS349" s="666"/>
      <c r="AT349" s="666"/>
      <c r="AU349" s="666"/>
      <c r="AV349" s="666"/>
      <c r="AW349" s="667"/>
      <c r="AX349" s="634"/>
      <c r="AY349" s="666"/>
      <c r="AZ349" s="666"/>
      <c r="BA349" s="666"/>
      <c r="BB349" s="666"/>
      <c r="BC349" s="667"/>
      <c r="BD349" s="634"/>
      <c r="BE349" s="666"/>
      <c r="BF349" s="666"/>
      <c r="BG349" s="666"/>
      <c r="BH349" s="666"/>
      <c r="BI349" s="667"/>
      <c r="BJ349" s="666"/>
      <c r="BK349" s="666"/>
      <c r="BL349" s="666"/>
      <c r="BM349" s="666"/>
      <c r="BN349" s="666"/>
      <c r="BO349" s="667"/>
      <c r="BP349" s="666"/>
      <c r="BQ349" s="282"/>
      <c r="BR349" s="282"/>
      <c r="BS349" s="282"/>
      <c r="BT349" s="282"/>
      <c r="BU349" s="668"/>
      <c r="BV349" s="666"/>
      <c r="BW349" s="282"/>
      <c r="BX349" s="282"/>
      <c r="BY349" s="282"/>
      <c r="BZ349" s="282"/>
      <c r="CA349" s="669"/>
      <c r="CB349" s="666"/>
      <c r="CC349" s="282"/>
      <c r="CD349" s="282"/>
      <c r="CE349" s="282"/>
      <c r="CF349" s="282"/>
      <c r="CG349" s="669"/>
      <c r="CH349" s="666"/>
      <c r="CI349" s="282"/>
      <c r="CJ349" s="282"/>
      <c r="CK349" s="282"/>
      <c r="CL349" s="282"/>
      <c r="CM349" s="669"/>
      <c r="CN349" s="666"/>
      <c r="CO349" s="282"/>
      <c r="CP349" s="282"/>
      <c r="CQ349" s="282"/>
      <c r="CR349" s="282"/>
      <c r="CS349" s="669"/>
      <c r="CT349" s="666"/>
      <c r="CU349" s="282"/>
      <c r="CV349" s="282"/>
      <c r="CW349" s="282"/>
      <c r="CX349" s="282"/>
      <c r="CY349" s="669"/>
      <c r="CZ349" s="666"/>
      <c r="DA349" s="282"/>
      <c r="DB349" s="282"/>
      <c r="DC349" s="282"/>
      <c r="DD349" s="282"/>
      <c r="DE349" s="669"/>
      <c r="DF349" s="666"/>
      <c r="DG349" s="282"/>
      <c r="DH349" s="282"/>
      <c r="DI349" s="282"/>
      <c r="DJ349" s="282"/>
      <c r="DK349" s="669"/>
      <c r="DL349" s="666"/>
      <c r="DM349" s="282"/>
      <c r="DN349" s="282"/>
      <c r="DO349" s="282"/>
      <c r="DP349" s="282"/>
      <c r="DQ349" s="669"/>
      <c r="DR349" s="666"/>
      <c r="DS349" s="282"/>
      <c r="DT349" s="282"/>
      <c r="DU349" s="282"/>
      <c r="DV349" s="282"/>
      <c r="DW349" s="669"/>
      <c r="DX349" s="666"/>
      <c r="DY349" s="282"/>
      <c r="DZ349" s="282"/>
      <c r="EA349" s="282">
        <v>221</v>
      </c>
      <c r="EB349" s="282">
        <v>209</v>
      </c>
      <c r="EC349" s="669"/>
      <c r="ED349" s="666"/>
      <c r="EE349" s="282"/>
      <c r="EF349" s="282"/>
      <c r="EG349" s="282"/>
      <c r="EH349" s="282"/>
      <c r="EI349" s="669"/>
      <c r="EJ349" s="666"/>
      <c r="EK349" s="1793"/>
      <c r="EL349" s="282"/>
      <c r="EM349" s="282"/>
      <c r="EN349" s="282"/>
      <c r="EO349" s="669"/>
      <c r="EP349" s="666"/>
      <c r="EQ349" s="1793"/>
      <c r="ER349" s="1793"/>
      <c r="ES349" s="1846"/>
      <c r="ET349" s="282"/>
      <c r="EU349" s="1776"/>
      <c r="EV349" s="1777"/>
      <c r="EW349" s="1775"/>
      <c r="EX349" s="1775"/>
      <c r="EY349" s="1775"/>
      <c r="EZ349" s="1775"/>
      <c r="FA349" s="1776"/>
      <c r="FB349" s="1777"/>
      <c r="FC349" s="1775"/>
      <c r="FD349" s="1775"/>
      <c r="FE349" s="1775"/>
      <c r="FF349" s="1775"/>
      <c r="FG349" s="1776"/>
      <c r="FH349" s="1777"/>
      <c r="FI349" s="1775"/>
      <c r="FJ349" s="1775"/>
      <c r="FK349" s="1775"/>
      <c r="FL349" s="1775"/>
      <c r="FM349" s="1776"/>
      <c r="FQ349"/>
      <c r="FR349"/>
      <c r="FS349"/>
      <c r="FT349"/>
      <c r="FU349"/>
      <c r="FV349"/>
      <c r="GB349" s="621"/>
      <c r="GC349" s="621"/>
      <c r="GD349" s="621"/>
      <c r="GE349" s="621"/>
      <c r="GF349" s="621"/>
      <c r="GG349" s="621"/>
      <c r="GH349" s="621"/>
      <c r="GI349" s="621"/>
      <c r="GJ349" s="945"/>
      <c r="GK349" s="945"/>
      <c r="GL349" s="945"/>
      <c r="GM349" s="945"/>
      <c r="GN349" s="945"/>
      <c r="GO349" s="945"/>
      <c r="GP349" s="945"/>
      <c r="GQ349" s="945"/>
      <c r="GR349" s="945"/>
      <c r="GS349" s="945"/>
      <c r="GT349" s="945"/>
      <c r="GU349" s="945"/>
      <c r="GV349" s="945"/>
      <c r="GW349" s="945"/>
      <c r="GX349" s="945"/>
      <c r="GY349" s="945"/>
      <c r="GZ349" s="945"/>
      <c r="HA349" s="945"/>
      <c r="HB349" s="945"/>
      <c r="HC349" s="945"/>
      <c r="HD349" s="945"/>
      <c r="HE349" s="945"/>
      <c r="HF349" s="945"/>
      <c r="HG349" s="945"/>
      <c r="HH349" s="945"/>
      <c r="HI349" s="945"/>
      <c r="HJ349" s="945"/>
      <c r="HK349" s="945"/>
      <c r="HL349" s="945"/>
      <c r="HM349" s="945"/>
      <c r="HN349" s="945"/>
      <c r="HO349" s="945"/>
      <c r="HP349" s="945"/>
      <c r="HQ349" s="945"/>
      <c r="HR349" s="945"/>
      <c r="HS349" s="945"/>
      <c r="HT349" s="945"/>
      <c r="HU349" s="945"/>
      <c r="HV349" s="945"/>
      <c r="HW349" s="945"/>
      <c r="HX349" s="945"/>
      <c r="HY349" s="945"/>
      <c r="HZ349" s="945"/>
      <c r="IA349" s="945"/>
      <c r="IB349" s="945"/>
      <c r="IC349" s="945"/>
      <c r="ID349" s="945"/>
      <c r="IE349" s="945"/>
      <c r="IF349" s="945"/>
      <c r="IG349" s="945"/>
      <c r="IH349" s="945"/>
      <c r="II349" s="945"/>
      <c r="IJ349" s="945"/>
      <c r="IK349" s="945"/>
      <c r="IL349" s="945"/>
      <c r="IM349" s="945"/>
      <c r="IN349" s="945"/>
      <c r="IO349" s="945"/>
      <c r="IP349" s="945"/>
      <c r="IQ349" s="945"/>
      <c r="IR349" s="945"/>
      <c r="IS349" s="945"/>
      <c r="IT349" s="945"/>
      <c r="IU349" s="945"/>
      <c r="IV349" s="945"/>
      <c r="IW349" s="945"/>
      <c r="IX349" s="945"/>
      <c r="IY349" s="945"/>
      <c r="IZ349" s="945"/>
      <c r="JA349" s="945"/>
      <c r="JB349" s="945"/>
      <c r="JC349" s="945"/>
      <c r="JD349" s="945"/>
      <c r="JE349" s="945"/>
      <c r="JF349" s="945"/>
      <c r="JG349" s="945"/>
      <c r="JH349" s="945"/>
      <c r="JI349" s="945"/>
      <c r="JJ349" s="945"/>
      <c r="JK349" s="945"/>
      <c r="JL349" s="945"/>
      <c r="JM349" s="945"/>
      <c r="JN349" s="945"/>
    </row>
    <row r="350" spans="1:274" s="28" customFormat="1" ht="12.75" customHeight="1" x14ac:dyDescent="0.2">
      <c r="A350" s="1744" t="s">
        <v>1180</v>
      </c>
      <c r="B350" s="595"/>
      <c r="CG350" s="416"/>
      <c r="CM350" s="416"/>
      <c r="CS350" s="416"/>
      <c r="CY350" s="416"/>
      <c r="DA350" s="1632"/>
      <c r="DB350" s="1632"/>
      <c r="DC350" s="1632"/>
      <c r="DD350" s="1632"/>
      <c r="DE350" s="1633"/>
      <c r="DG350" s="1632"/>
      <c r="DH350" s="1632"/>
      <c r="DI350" s="1632"/>
      <c r="DJ350" s="1632"/>
      <c r="DK350" s="1633"/>
      <c r="DL350" s="1634"/>
      <c r="DM350" s="1632"/>
      <c r="DN350" s="1632"/>
      <c r="DO350" s="1632"/>
      <c r="DP350" s="1632"/>
      <c r="DQ350" s="1633"/>
      <c r="DR350" s="1634"/>
      <c r="DS350" s="1632"/>
      <c r="DT350" s="1632"/>
      <c r="DU350" s="1632"/>
      <c r="DV350" s="1632"/>
      <c r="DW350" s="1633"/>
      <c r="DX350" s="1634"/>
      <c r="DY350" s="1632"/>
      <c r="DZ350" s="1632"/>
      <c r="EA350" s="1746">
        <f>EA349+'Balance Sheet'!EA162</f>
        <v>221.06036931818181</v>
      </c>
      <c r="EB350" s="1746">
        <f>EB349+'Balance Sheet'!EB162</f>
        <v>209.1797509474824</v>
      </c>
      <c r="EC350" s="1745"/>
      <c r="ED350" s="18"/>
      <c r="EE350" s="33">
        <v>337</v>
      </c>
      <c r="EF350" s="33">
        <v>361</v>
      </c>
      <c r="EG350" s="1799">
        <v>372</v>
      </c>
      <c r="EH350" s="1799">
        <v>416</v>
      </c>
      <c r="EI350" s="226">
        <f>SUM(EE350:EH350)</f>
        <v>1486</v>
      </c>
      <c r="EJ350" s="33"/>
      <c r="EK350" s="33">
        <v>451</v>
      </c>
      <c r="EL350" s="33">
        <v>484</v>
      </c>
      <c r="EM350" s="33">
        <v>583</v>
      </c>
      <c r="EN350" s="1799">
        <v>690</v>
      </c>
      <c r="EO350" s="226">
        <f>SUM(EK350:EN350)</f>
        <v>2208</v>
      </c>
      <c r="EQ350" s="33">
        <v>798</v>
      </c>
      <c r="ER350" s="33">
        <v>878</v>
      </c>
      <c r="ES350" s="33">
        <v>1011</v>
      </c>
      <c r="ET350" s="1799"/>
      <c r="EU350" s="416"/>
      <c r="FA350" s="416"/>
      <c r="FG350" s="416"/>
      <c r="FM350" s="416"/>
      <c r="FQ350"/>
      <c r="FR350"/>
      <c r="FS350"/>
      <c r="FT350"/>
      <c r="FU350"/>
      <c r="FV350"/>
      <c r="GB350" s="621"/>
      <c r="GC350" s="621"/>
      <c r="GD350" s="621"/>
      <c r="GE350" s="621"/>
      <c r="GF350" s="621"/>
      <c r="GG350" s="621"/>
      <c r="GH350" s="621"/>
      <c r="GI350" s="621"/>
      <c r="GJ350" s="945"/>
      <c r="GK350" s="945"/>
      <c r="GL350" s="945"/>
      <c r="GM350" s="945"/>
      <c r="GN350" s="945"/>
      <c r="GO350" s="945"/>
      <c r="GP350" s="945"/>
      <c r="GQ350" s="945"/>
      <c r="GR350" s="945"/>
      <c r="GS350" s="945"/>
      <c r="GT350" s="945"/>
      <c r="GU350" s="945"/>
      <c r="GV350" s="945"/>
      <c r="GW350" s="945"/>
      <c r="GX350" s="945"/>
      <c r="GY350" s="945"/>
      <c r="GZ350" s="945"/>
      <c r="HA350" s="945"/>
      <c r="HB350" s="945"/>
      <c r="HC350" s="945"/>
      <c r="HD350" s="945"/>
      <c r="HE350" s="945"/>
      <c r="HF350" s="945"/>
      <c r="HG350" s="945"/>
      <c r="HH350" s="945"/>
      <c r="HI350" s="945"/>
      <c r="HJ350" s="945"/>
      <c r="HK350" s="945"/>
      <c r="HL350" s="945"/>
      <c r="HM350" s="945"/>
      <c r="HN350" s="945"/>
      <c r="HO350" s="945"/>
      <c r="HP350" s="945"/>
      <c r="HQ350" s="945"/>
      <c r="HR350" s="945"/>
      <c r="HS350" s="945"/>
      <c r="HT350" s="945"/>
      <c r="HU350" s="945"/>
      <c r="HV350" s="945"/>
      <c r="HW350" s="945"/>
      <c r="HX350" s="945"/>
      <c r="HY350" s="945"/>
      <c r="HZ350" s="945"/>
      <c r="IA350" s="945"/>
      <c r="IB350" s="945"/>
      <c r="IC350" s="945"/>
      <c r="ID350" s="945"/>
      <c r="IE350" s="945"/>
      <c r="IF350" s="945"/>
      <c r="IG350" s="945"/>
      <c r="IH350" s="945"/>
      <c r="II350" s="945"/>
      <c r="IJ350" s="945"/>
      <c r="IK350" s="945"/>
      <c r="IL350" s="945"/>
      <c r="IM350" s="945"/>
      <c r="IN350" s="945"/>
      <c r="IO350" s="945"/>
      <c r="IP350" s="945"/>
      <c r="IQ350" s="945"/>
      <c r="IR350" s="945"/>
      <c r="IS350" s="945"/>
      <c r="IT350" s="945"/>
      <c r="IU350" s="945"/>
      <c r="IV350" s="945"/>
      <c r="IW350" s="945"/>
      <c r="IX350" s="945"/>
      <c r="IY350" s="945"/>
      <c r="IZ350" s="945"/>
      <c r="JA350" s="945"/>
      <c r="JB350" s="945"/>
      <c r="JC350" s="945"/>
      <c r="JD350" s="945"/>
      <c r="JE350" s="945"/>
      <c r="JF350" s="945"/>
      <c r="JG350" s="945"/>
      <c r="JH350" s="945"/>
      <c r="JI350" s="945"/>
      <c r="JJ350" s="945"/>
      <c r="JK350" s="945"/>
      <c r="JL350" s="945"/>
      <c r="JM350" s="945"/>
      <c r="JN350" s="945"/>
    </row>
    <row r="351" spans="1:274" s="28" customFormat="1" ht="12.75" customHeight="1" x14ac:dyDescent="0.2">
      <c r="A351" s="1744" t="s">
        <v>1181</v>
      </c>
      <c r="B351" s="595"/>
      <c r="CG351" s="416"/>
      <c r="CM351" s="416"/>
      <c r="CS351" s="416"/>
      <c r="CY351" s="416"/>
      <c r="DA351" s="1632"/>
      <c r="DB351" s="1632"/>
      <c r="DC351" s="1632"/>
      <c r="DD351" s="1632"/>
      <c r="DE351" s="1633"/>
      <c r="DG351" s="1632"/>
      <c r="DH351" s="1632"/>
      <c r="DI351" s="1632"/>
      <c r="DJ351" s="1632"/>
      <c r="DK351" s="1633"/>
      <c r="DL351" s="1634"/>
      <c r="DM351" s="1632"/>
      <c r="DN351" s="1632"/>
      <c r="DO351" s="1632"/>
      <c r="DP351" s="1632"/>
      <c r="DQ351" s="1633"/>
      <c r="DR351" s="1634"/>
      <c r="DS351" s="1632"/>
      <c r="DT351" s="1632"/>
      <c r="DU351" s="1632"/>
      <c r="DV351" s="1632"/>
      <c r="DW351" s="1633"/>
      <c r="DX351" s="1634"/>
      <c r="DY351" s="1632"/>
      <c r="DZ351" s="1632"/>
      <c r="EA351" s="1746"/>
      <c r="EB351" s="1746">
        <f>EB350-EA350+Model!EB40+Model!EB43</f>
        <v>-11.815637976802241</v>
      </c>
      <c r="EC351" s="1745"/>
      <c r="ED351" s="18"/>
      <c r="EE351" s="33">
        <v>11</v>
      </c>
      <c r="EF351" s="33">
        <v>-21</v>
      </c>
      <c r="EG351" s="33">
        <v>135</v>
      </c>
      <c r="EH351" s="33">
        <v>250</v>
      </c>
      <c r="EI351" s="226">
        <f>SUM(EE351:EH351)</f>
        <v>375</v>
      </c>
      <c r="EJ351" s="33"/>
      <c r="EK351" s="33">
        <v>142</v>
      </c>
      <c r="EL351" s="33">
        <v>86</v>
      </c>
      <c r="EM351" s="33">
        <v>86</v>
      </c>
      <c r="EN351" s="33">
        <v>229</v>
      </c>
      <c r="EO351" s="226">
        <f>SUM(EK351:EN351)</f>
        <v>543</v>
      </c>
      <c r="EQ351" s="33">
        <v>85</v>
      </c>
      <c r="ER351" s="33">
        <v>-86</v>
      </c>
      <c r="ES351" s="33">
        <v>399</v>
      </c>
      <c r="ET351" s="33"/>
      <c r="EU351" s="416"/>
      <c r="FA351" s="416"/>
      <c r="FG351" s="416"/>
      <c r="FM351" s="416"/>
      <c r="FQ351"/>
      <c r="FR351"/>
      <c r="FS351"/>
      <c r="FT351"/>
      <c r="FU351"/>
      <c r="FV351"/>
      <c r="GB351" s="621"/>
      <c r="GC351" s="621"/>
      <c r="GD351" s="621"/>
      <c r="GE351" s="621"/>
      <c r="GF351" s="621"/>
      <c r="GG351" s="621"/>
      <c r="GH351" s="621"/>
      <c r="GI351" s="621"/>
      <c r="GJ351" s="945"/>
      <c r="GK351" s="945"/>
      <c r="GL351" s="945"/>
      <c r="GM351" s="945"/>
      <c r="GN351" s="945"/>
      <c r="GO351" s="945"/>
      <c r="GP351" s="945"/>
      <c r="GQ351" s="945"/>
      <c r="GR351" s="945"/>
      <c r="GS351" s="945"/>
      <c r="GT351" s="945"/>
      <c r="GU351" s="945"/>
      <c r="GV351" s="945"/>
      <c r="GW351" s="945"/>
      <c r="GX351" s="945"/>
      <c r="GY351" s="945"/>
      <c r="GZ351" s="945"/>
      <c r="HA351" s="945"/>
      <c r="HB351" s="945"/>
      <c r="HC351" s="945"/>
      <c r="HD351" s="945"/>
      <c r="HE351" s="945"/>
      <c r="HF351" s="945"/>
      <c r="HG351" s="945"/>
      <c r="HH351" s="945"/>
      <c r="HI351" s="945"/>
      <c r="HJ351" s="945"/>
      <c r="HK351" s="945"/>
      <c r="HL351" s="945"/>
      <c r="HM351" s="945"/>
      <c r="HN351" s="945"/>
      <c r="HO351" s="945"/>
      <c r="HP351" s="945"/>
      <c r="HQ351" s="945"/>
      <c r="HR351" s="945"/>
      <c r="HS351" s="945"/>
      <c r="HT351" s="945"/>
      <c r="HU351" s="945"/>
      <c r="HV351" s="945"/>
      <c r="HW351" s="945"/>
      <c r="HX351" s="945"/>
      <c r="HY351" s="945"/>
      <c r="HZ351" s="945"/>
      <c r="IA351" s="945"/>
      <c r="IB351" s="945"/>
      <c r="IC351" s="945"/>
      <c r="ID351" s="945"/>
      <c r="IE351" s="945"/>
      <c r="IF351" s="945"/>
      <c r="IG351" s="945"/>
      <c r="IH351" s="945"/>
      <c r="II351" s="945"/>
      <c r="IJ351" s="945"/>
      <c r="IK351" s="945"/>
      <c r="IL351" s="945"/>
      <c r="IM351" s="945"/>
      <c r="IN351" s="945"/>
      <c r="IO351" s="945"/>
      <c r="IP351" s="945"/>
      <c r="IQ351" s="945"/>
      <c r="IR351" s="945"/>
      <c r="IS351" s="945"/>
      <c r="IT351" s="945"/>
      <c r="IU351" s="945"/>
      <c r="IV351" s="945"/>
      <c r="IW351" s="945"/>
      <c r="IX351" s="945"/>
      <c r="IY351" s="945"/>
      <c r="IZ351" s="945"/>
      <c r="JA351" s="945"/>
      <c r="JB351" s="945"/>
      <c r="JC351" s="945"/>
      <c r="JD351" s="945"/>
      <c r="JE351" s="945"/>
      <c r="JF351" s="945"/>
      <c r="JG351" s="945"/>
      <c r="JH351" s="945"/>
      <c r="JI351" s="945"/>
      <c r="JJ351" s="945"/>
      <c r="JK351" s="945"/>
      <c r="JL351" s="945"/>
      <c r="JM351" s="945"/>
      <c r="JN351" s="945"/>
    </row>
    <row r="352" spans="1:274" s="28" customFormat="1" ht="12.75" customHeight="1" x14ac:dyDescent="0.2">
      <c r="A352" s="1801" t="s">
        <v>1187</v>
      </c>
      <c r="B352" s="595"/>
      <c r="CG352" s="416"/>
      <c r="CM352" s="416"/>
      <c r="CS352" s="416"/>
      <c r="CY352" s="416"/>
      <c r="DA352" s="1632"/>
      <c r="DB352" s="1632"/>
      <c r="DC352" s="1632"/>
      <c r="DD352" s="1632"/>
      <c r="DE352" s="1633"/>
      <c r="DG352" s="1632"/>
      <c r="DH352" s="1632"/>
      <c r="DI352" s="1632"/>
      <c r="DJ352" s="1632"/>
      <c r="DK352" s="1633"/>
      <c r="DL352" s="1634"/>
      <c r="DM352" s="1632"/>
      <c r="DN352" s="1632"/>
      <c r="DO352" s="1632"/>
      <c r="DP352" s="1632"/>
      <c r="DQ352" s="1633"/>
      <c r="DR352" s="1634"/>
      <c r="DS352" s="1632"/>
      <c r="DT352" s="1632"/>
      <c r="DU352" s="1632"/>
      <c r="DV352" s="1632"/>
      <c r="DW352" s="1633"/>
      <c r="DX352" s="1634"/>
      <c r="DY352" s="1632"/>
      <c r="DZ352" s="1632"/>
      <c r="EA352" s="1632"/>
      <c r="EB352" s="1632"/>
      <c r="EC352" s="416"/>
      <c r="EE352" s="31">
        <f>SUM(EE350:EE351)</f>
        <v>348</v>
      </c>
      <c r="EF352" s="31">
        <f>SUM(EF350:EF351)</f>
        <v>340</v>
      </c>
      <c r="EG352" s="1806">
        <f>SUM(EG350:EG351)</f>
        <v>507</v>
      </c>
      <c r="EH352" s="1806">
        <f>SUM(EH350:EH351)</f>
        <v>666</v>
      </c>
      <c r="EI352" s="296">
        <f>SUM(EI350:EI351)</f>
        <v>1861</v>
      </c>
      <c r="EJ352" s="31"/>
      <c r="EK352" s="31">
        <f>SUM(EK350:EK351)</f>
        <v>593</v>
      </c>
      <c r="EL352" s="31">
        <f>SUM(EL350:EL351)</f>
        <v>570</v>
      </c>
      <c r="EM352" s="31">
        <f>SUM(EM350:EM351)</f>
        <v>669</v>
      </c>
      <c r="EN352" s="1806">
        <f>SUM(EN350:EN351)</f>
        <v>919</v>
      </c>
      <c r="EO352" s="296">
        <f>SUM(EO350:EO351)</f>
        <v>2751</v>
      </c>
      <c r="EQ352" s="31">
        <f>SUM(EQ350:EQ351)</f>
        <v>883</v>
      </c>
      <c r="ER352" s="31">
        <f>SUM(ER350:ER351)</f>
        <v>792</v>
      </c>
      <c r="ES352" s="31">
        <f>SUM(ES350:ES351)</f>
        <v>1410</v>
      </c>
      <c r="ET352" s="1806"/>
      <c r="EU352" s="416"/>
      <c r="FA352" s="416"/>
      <c r="FG352" s="416"/>
      <c r="FM352" s="416"/>
      <c r="FQ352"/>
      <c r="FR352"/>
      <c r="FS352"/>
      <c r="FT352"/>
      <c r="FU352"/>
      <c r="FV352"/>
      <c r="GB352" s="24"/>
      <c r="GC352" s="24"/>
      <c r="GD352" s="24"/>
      <c r="GE352" s="24"/>
      <c r="GF352" s="24"/>
      <c r="GG352" s="24"/>
      <c r="GH352" s="24"/>
      <c r="GI352" s="24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</row>
    <row r="353" spans="1:274" s="28" customFormat="1" ht="12.75" customHeight="1" x14ac:dyDescent="0.2">
      <c r="A353" s="1802" t="s">
        <v>611</v>
      </c>
      <c r="B353" s="1747"/>
      <c r="C353" s="426"/>
      <c r="D353" s="426"/>
      <c r="E353" s="426"/>
      <c r="F353" s="426"/>
      <c r="G353" s="426"/>
      <c r="H353" s="426"/>
      <c r="I353" s="426"/>
      <c r="J353" s="426"/>
      <c r="K353" s="426"/>
      <c r="L353" s="426"/>
      <c r="M353" s="426"/>
      <c r="N353" s="426"/>
      <c r="O353" s="426"/>
      <c r="P353" s="426"/>
      <c r="Q353" s="426"/>
      <c r="R353" s="426"/>
      <c r="S353" s="426"/>
      <c r="T353" s="426"/>
      <c r="U353" s="426"/>
      <c r="V353" s="426"/>
      <c r="W353" s="426"/>
      <c r="X353" s="426"/>
      <c r="Y353" s="426"/>
      <c r="Z353" s="426"/>
      <c r="AA353" s="426"/>
      <c r="AB353" s="426"/>
      <c r="AC353" s="426"/>
      <c r="AD353" s="426"/>
      <c r="AE353" s="426"/>
      <c r="AF353" s="426"/>
      <c r="AG353" s="426"/>
      <c r="AH353" s="426"/>
      <c r="AI353" s="426"/>
      <c r="AJ353" s="426"/>
      <c r="AK353" s="426"/>
      <c r="AL353" s="426"/>
      <c r="AM353" s="426"/>
      <c r="AN353" s="426"/>
      <c r="AO353" s="426"/>
      <c r="AP353" s="426"/>
      <c r="AQ353" s="426"/>
      <c r="AR353" s="426"/>
      <c r="AS353" s="426"/>
      <c r="AT353" s="426"/>
      <c r="AU353" s="426"/>
      <c r="AV353" s="426"/>
      <c r="AW353" s="426"/>
      <c r="AX353" s="426"/>
      <c r="AY353" s="426"/>
      <c r="AZ353" s="426"/>
      <c r="BA353" s="426"/>
      <c r="BB353" s="426"/>
      <c r="BC353" s="426"/>
      <c r="BD353" s="426"/>
      <c r="BE353" s="426"/>
      <c r="BF353" s="426"/>
      <c r="BG353" s="426"/>
      <c r="BH353" s="426"/>
      <c r="BI353" s="426"/>
      <c r="BJ353" s="426"/>
      <c r="BK353" s="426"/>
      <c r="BL353" s="426"/>
      <c r="BM353" s="426"/>
      <c r="BN353" s="426"/>
      <c r="BO353" s="426"/>
      <c r="BP353" s="426"/>
      <c r="BQ353" s="426"/>
      <c r="BR353" s="426"/>
      <c r="BS353" s="426"/>
      <c r="BT353" s="426"/>
      <c r="BU353" s="426"/>
      <c r="BV353" s="426"/>
      <c r="BW353" s="426"/>
      <c r="BX353" s="426"/>
      <c r="BY353" s="426"/>
      <c r="BZ353" s="426"/>
      <c r="CA353" s="426"/>
      <c r="CB353" s="426"/>
      <c r="CC353" s="426"/>
      <c r="CD353" s="426"/>
      <c r="CE353" s="426"/>
      <c r="CF353" s="426"/>
      <c r="CG353" s="1748"/>
      <c r="CH353" s="426"/>
      <c r="CI353" s="426"/>
      <c r="CJ353" s="426"/>
      <c r="CK353" s="426"/>
      <c r="CL353" s="426"/>
      <c r="CM353" s="1748"/>
      <c r="CN353" s="426"/>
      <c r="CO353" s="426"/>
      <c r="CP353" s="426"/>
      <c r="CQ353" s="426"/>
      <c r="CR353" s="426"/>
      <c r="CS353" s="1748"/>
      <c r="CT353" s="426"/>
      <c r="CU353" s="426"/>
      <c r="CV353" s="426"/>
      <c r="CW353" s="426"/>
      <c r="CX353" s="426"/>
      <c r="CY353" s="1748"/>
      <c r="CZ353" s="426"/>
      <c r="DA353" s="1618"/>
      <c r="DB353" s="1618"/>
      <c r="DC353" s="1618"/>
      <c r="DD353" s="1618"/>
      <c r="DE353" s="1749"/>
      <c r="DF353" s="426"/>
      <c r="DG353" s="1618"/>
      <c r="DH353" s="1618"/>
      <c r="DI353" s="1618"/>
      <c r="DJ353" s="1618"/>
      <c r="DK353" s="1749"/>
      <c r="DL353" s="1750"/>
      <c r="DM353" s="1618"/>
      <c r="DN353" s="1618"/>
      <c r="DO353" s="1618"/>
      <c r="DP353" s="1618"/>
      <c r="DQ353" s="1749"/>
      <c r="DR353" s="1750"/>
      <c r="DS353" s="1618"/>
      <c r="DT353" s="1618"/>
      <c r="DU353" s="1618"/>
      <c r="DV353" s="1618"/>
      <c r="DW353" s="1749"/>
      <c r="DX353" s="1750"/>
      <c r="DY353" s="1618"/>
      <c r="DZ353" s="1618"/>
      <c r="EA353" s="1618"/>
      <c r="EB353" s="1618"/>
      <c r="EC353" s="1748"/>
      <c r="ED353" s="426"/>
      <c r="EE353" s="1070">
        <v>0.34</v>
      </c>
      <c r="EF353" s="1070">
        <v>0.28000000000000003</v>
      </c>
      <c r="EG353" s="1805">
        <v>0.48</v>
      </c>
      <c r="EH353" s="1804">
        <v>1</v>
      </c>
      <c r="EI353" s="1748"/>
      <c r="EJ353" s="426"/>
      <c r="EK353" s="1803">
        <f>EK352/EE352-1</f>
        <v>0.70402298850574718</v>
      </c>
      <c r="EL353" s="1803">
        <f>EL352/EF352-1</f>
        <v>0.67647058823529416</v>
      </c>
      <c r="EM353" s="1803">
        <f>EM352/EG352-1</f>
        <v>0.31952662721893499</v>
      </c>
      <c r="EN353" s="1803">
        <f>EN352/EH352-1</f>
        <v>0.37987987987987992</v>
      </c>
      <c r="EO353" s="1748"/>
      <c r="EP353" s="426"/>
      <c r="EQ353" s="1803">
        <f>EQ352/EK352-1</f>
        <v>0.4890387858347387</v>
      </c>
      <c r="ER353" s="1803">
        <f>ER352/EL352-1</f>
        <v>0.38947368421052642</v>
      </c>
      <c r="ES353" s="1803">
        <f>ES352/EM352-1</f>
        <v>1.1076233183856501</v>
      </c>
      <c r="ET353" s="1803"/>
      <c r="EU353" s="1748"/>
      <c r="EV353" s="426"/>
      <c r="EW353" s="426"/>
      <c r="EX353" s="426"/>
      <c r="EY353" s="426"/>
      <c r="EZ353" s="426"/>
      <c r="FA353" s="1748"/>
      <c r="FB353" s="426"/>
      <c r="FC353" s="426"/>
      <c r="FD353" s="426"/>
      <c r="FE353" s="426"/>
      <c r="FF353" s="426"/>
      <c r="FG353" s="1748"/>
      <c r="FH353" s="426"/>
      <c r="FI353" s="426"/>
      <c r="FJ353" s="426"/>
      <c r="FK353" s="426"/>
      <c r="FL353" s="426"/>
      <c r="FM353" s="1748"/>
      <c r="FQ353"/>
      <c r="FR353"/>
      <c r="FS353"/>
      <c r="FT353"/>
      <c r="FU353"/>
      <c r="FV353"/>
      <c r="GB353" s="24"/>
      <c r="GC353" s="24"/>
      <c r="GD353" s="24"/>
      <c r="GE353" s="24"/>
      <c r="GF353" s="24"/>
      <c r="GG353" s="24"/>
      <c r="GH353" s="24"/>
      <c r="GI353" s="24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</row>
    <row r="354" spans="1:274" s="28" customFormat="1" ht="12.75" customHeight="1" x14ac:dyDescent="0.2">
      <c r="A354" s="1744" t="s">
        <v>1255</v>
      </c>
      <c r="B354" s="595"/>
      <c r="CG354" s="416"/>
      <c r="CM354" s="416"/>
      <c r="CS354" s="416"/>
      <c r="CY354" s="416"/>
      <c r="DA354" s="1632"/>
      <c r="DB354" s="1632"/>
      <c r="DC354" s="1632"/>
      <c r="DD354" s="1632"/>
      <c r="DE354" s="1633"/>
      <c r="DG354" s="1632"/>
      <c r="DH354" s="1632"/>
      <c r="DI354" s="1632"/>
      <c r="DJ354" s="1632"/>
      <c r="DK354" s="1633"/>
      <c r="DL354" s="1634"/>
      <c r="DM354" s="1632"/>
      <c r="DN354" s="1632"/>
      <c r="DO354" s="1632"/>
      <c r="DP354" s="1632"/>
      <c r="DQ354" s="1633"/>
      <c r="DR354" s="1634"/>
      <c r="DS354" s="1632"/>
      <c r="DT354" s="1632"/>
      <c r="DU354" s="1632"/>
      <c r="DV354" s="1632"/>
      <c r="DW354" s="1633"/>
      <c r="DX354" s="1634"/>
      <c r="DY354" s="1632"/>
      <c r="DZ354" s="1632"/>
      <c r="EA354" s="1632"/>
      <c r="EB354" s="1632"/>
      <c r="EC354" s="416"/>
      <c r="EE354" s="64"/>
      <c r="EF354" s="64"/>
      <c r="EG354" s="1847"/>
      <c r="EH354" s="1848"/>
      <c r="EI354" s="416"/>
      <c r="EK354" s="879"/>
      <c r="EL354" s="879"/>
      <c r="EM354" s="879"/>
      <c r="EN354" s="879"/>
      <c r="EO354" s="416"/>
      <c r="EQ354" s="879"/>
      <c r="ER354" s="879"/>
      <c r="ES354" s="879"/>
      <c r="ET354" s="879"/>
      <c r="EU354" s="416"/>
      <c r="FA354" s="416"/>
      <c r="FG354" s="416"/>
      <c r="FM354" s="416"/>
      <c r="FQ354"/>
      <c r="FR354"/>
      <c r="FS354"/>
      <c r="FT354"/>
      <c r="FU354"/>
      <c r="FV354"/>
      <c r="GB354" s="24"/>
      <c r="GC354" s="24"/>
      <c r="GD354" s="24"/>
      <c r="GE354" s="24"/>
      <c r="GF354" s="24"/>
      <c r="GG354" s="24"/>
      <c r="GH354" s="24"/>
      <c r="GI354" s="2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</row>
    <row r="355" spans="1:274" s="28" customFormat="1" ht="12.75" customHeight="1" x14ac:dyDescent="0.2">
      <c r="A355" s="1744" t="s">
        <v>1256</v>
      </c>
      <c r="B355" s="595"/>
      <c r="CG355" s="416"/>
      <c r="CM355" s="416"/>
      <c r="CS355" s="416"/>
      <c r="CY355" s="416"/>
      <c r="DA355" s="1632"/>
      <c r="DB355" s="1632"/>
      <c r="DC355" s="1632"/>
      <c r="DD355" s="1632"/>
      <c r="DE355" s="1633"/>
      <c r="DG355" s="1632"/>
      <c r="DH355" s="1632"/>
      <c r="DI355" s="1632"/>
      <c r="DJ355" s="1632"/>
      <c r="DK355" s="1633"/>
      <c r="DL355" s="1634"/>
      <c r="DM355" s="1632"/>
      <c r="DN355" s="1632"/>
      <c r="DO355" s="1632"/>
      <c r="DP355" s="1632"/>
      <c r="DQ355" s="1633"/>
      <c r="DR355" s="1634"/>
      <c r="DS355" s="1632"/>
      <c r="DT355" s="1632"/>
      <c r="DU355" s="1632"/>
      <c r="DV355" s="1632"/>
      <c r="DW355" s="1633"/>
      <c r="DX355" s="1634"/>
      <c r="DY355" s="1632"/>
      <c r="DZ355" s="1632"/>
      <c r="EA355" s="1746"/>
      <c r="EB355" s="1746">
        <v>450</v>
      </c>
      <c r="EC355" s="1745"/>
      <c r="ED355" s="18"/>
      <c r="EE355" s="33">
        <v>474</v>
      </c>
      <c r="EF355" s="33">
        <v>516</v>
      </c>
      <c r="EG355" s="1799">
        <v>527</v>
      </c>
      <c r="EH355" s="1799">
        <v>576</v>
      </c>
      <c r="EI355" s="226">
        <f>SUM(EE355:EH355)</f>
        <v>2093</v>
      </c>
      <c r="EJ355" s="33"/>
      <c r="EK355" s="33">
        <v>610</v>
      </c>
      <c r="EL355" s="33">
        <v>649</v>
      </c>
      <c r="EM355" s="33">
        <v>735</v>
      </c>
      <c r="EN355" s="1799">
        <v>859</v>
      </c>
      <c r="EO355" s="226">
        <f>SUM(EK355:EN355)</f>
        <v>2853</v>
      </c>
      <c r="EQ355" s="33">
        <v>969</v>
      </c>
      <c r="ER355" s="33">
        <v>1053</v>
      </c>
      <c r="ES355" s="33">
        <v>1189</v>
      </c>
      <c r="ET355" s="1799">
        <v>1361</v>
      </c>
      <c r="EU355" s="226">
        <f>SUM(EQ355:ET355)</f>
        <v>4572</v>
      </c>
      <c r="FA355" s="416"/>
      <c r="FG355" s="416"/>
      <c r="FM355" s="416"/>
      <c r="FQ355"/>
      <c r="FR355"/>
      <c r="FS355"/>
      <c r="FT355"/>
      <c r="FU355"/>
      <c r="FV355"/>
      <c r="GB355" s="24"/>
      <c r="GC355" s="24"/>
      <c r="GD355" s="24"/>
      <c r="GE355" s="24"/>
      <c r="GF355" s="24"/>
      <c r="GG355" s="24"/>
      <c r="GH355" s="24"/>
      <c r="GI355" s="24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  <c r="HB355"/>
      <c r="HC355"/>
      <c r="HD355"/>
      <c r="HE355"/>
      <c r="HF355"/>
      <c r="HG355"/>
      <c r="HH355"/>
      <c r="HI355"/>
      <c r="HJ355"/>
      <c r="HK355"/>
      <c r="HL355"/>
      <c r="HM355"/>
      <c r="HN355"/>
      <c r="HO355"/>
      <c r="HP355"/>
      <c r="HQ355"/>
      <c r="HR355"/>
      <c r="HS355"/>
      <c r="HT355"/>
      <c r="HU355"/>
      <c r="HV355"/>
      <c r="HW355"/>
      <c r="HX355"/>
      <c r="HY355"/>
      <c r="HZ355"/>
      <c r="IA355"/>
      <c r="IB355"/>
      <c r="IC355"/>
      <c r="ID355"/>
      <c r="IE355"/>
      <c r="IF355"/>
      <c r="IG355"/>
      <c r="IH355"/>
      <c r="II355"/>
      <c r="IJ355"/>
      <c r="IK355"/>
      <c r="IL355"/>
      <c r="IM355"/>
      <c r="IN355"/>
      <c r="IO355"/>
      <c r="IP355"/>
      <c r="IQ355"/>
      <c r="IR355"/>
      <c r="IS355"/>
      <c r="IT355"/>
      <c r="IU355"/>
      <c r="IV355"/>
      <c r="IW355"/>
      <c r="IX355"/>
      <c r="IY355"/>
      <c r="IZ355"/>
      <c r="JA355"/>
      <c r="JB355"/>
      <c r="JC355"/>
      <c r="JD355"/>
      <c r="JE355"/>
      <c r="JF355"/>
      <c r="JG355"/>
      <c r="JH355"/>
      <c r="JI355"/>
      <c r="JJ355"/>
      <c r="JK355"/>
      <c r="JL355"/>
      <c r="JM355"/>
      <c r="JN355"/>
    </row>
    <row r="356" spans="1:274" s="28" customFormat="1" ht="12.75" customHeight="1" x14ac:dyDescent="0.2">
      <c r="A356" s="1744" t="s">
        <v>1181</v>
      </c>
      <c r="B356" s="595"/>
      <c r="CG356" s="416"/>
      <c r="CM356" s="416"/>
      <c r="CS356" s="416"/>
      <c r="CY356" s="416"/>
      <c r="DA356" s="1632"/>
      <c r="DB356" s="1632"/>
      <c r="DC356" s="1632"/>
      <c r="DD356" s="1632"/>
      <c r="DE356" s="1633"/>
      <c r="DG356" s="1632"/>
      <c r="DH356" s="1632"/>
      <c r="DI356" s="1632"/>
      <c r="DJ356" s="1632"/>
      <c r="DK356" s="1633"/>
      <c r="DL356" s="1634"/>
      <c r="DM356" s="1632"/>
      <c r="DN356" s="1632"/>
      <c r="DO356" s="1632"/>
      <c r="DP356" s="1632"/>
      <c r="DQ356" s="1633"/>
      <c r="DR356" s="1634"/>
      <c r="DS356" s="1632"/>
      <c r="DT356" s="1632"/>
      <c r="DU356" s="1632"/>
      <c r="DV356" s="1632"/>
      <c r="DW356" s="1633"/>
      <c r="DX356" s="1634"/>
      <c r="DY356" s="1632"/>
      <c r="DZ356" s="1632"/>
      <c r="EA356" s="1746"/>
      <c r="EB356" s="1746">
        <v>16</v>
      </c>
      <c r="EC356" s="1745"/>
      <c r="ED356" s="18"/>
      <c r="EE356" s="33">
        <v>12</v>
      </c>
      <c r="EF356" s="33">
        <v>-25</v>
      </c>
      <c r="EG356" s="33">
        <v>146</v>
      </c>
      <c r="EH356" s="33">
        <v>244</v>
      </c>
      <c r="EI356" s="226">
        <f>SUM(EE356:EH356)</f>
        <v>377</v>
      </c>
      <c r="EJ356" s="33"/>
      <c r="EK356" s="33">
        <v>152</v>
      </c>
      <c r="EL356" s="33">
        <v>92</v>
      </c>
      <c r="EM356" s="33">
        <v>93</v>
      </c>
      <c r="EN356" s="33">
        <v>263</v>
      </c>
      <c r="EO356" s="226">
        <f>SUM(EK356:EN356)</f>
        <v>600</v>
      </c>
      <c r="EQ356" s="33">
        <v>104</v>
      </c>
      <c r="ER356" s="33">
        <v>161</v>
      </c>
      <c r="ES356" s="33">
        <v>439</v>
      </c>
      <c r="ET356" s="33">
        <v>235</v>
      </c>
      <c r="EU356" s="226">
        <f>SUM(EQ356:ET356)</f>
        <v>939</v>
      </c>
      <c r="FA356" s="416"/>
      <c r="FG356" s="416"/>
      <c r="FM356" s="416"/>
      <c r="FQ356"/>
      <c r="FR356"/>
      <c r="FS356"/>
      <c r="FT356"/>
      <c r="FU356"/>
      <c r="FV356"/>
      <c r="GB356" s="24"/>
      <c r="GC356" s="24"/>
      <c r="GD356" s="24"/>
      <c r="GE356" s="24"/>
      <c r="GF356" s="24"/>
      <c r="GG356" s="24"/>
      <c r="GH356" s="24"/>
      <c r="GI356" s="24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  <c r="HB356"/>
      <c r="HC356"/>
      <c r="HD356"/>
      <c r="HE356"/>
      <c r="HF356"/>
      <c r="HG356"/>
      <c r="HH356"/>
      <c r="HI356"/>
      <c r="HJ356"/>
      <c r="HK356"/>
      <c r="HL356"/>
      <c r="HM356"/>
      <c r="HN356"/>
      <c r="HO356"/>
      <c r="HP356"/>
      <c r="HQ356"/>
      <c r="HR356"/>
      <c r="HS356"/>
      <c r="HT356"/>
      <c r="HU356"/>
      <c r="HV356"/>
      <c r="HW356"/>
      <c r="HX356"/>
      <c r="HY356"/>
      <c r="HZ356"/>
      <c r="IA356"/>
      <c r="IB356"/>
      <c r="IC356"/>
      <c r="ID356"/>
      <c r="IE356"/>
      <c r="IF356"/>
      <c r="IG356"/>
      <c r="IH356"/>
      <c r="II356"/>
      <c r="IJ356"/>
      <c r="IK356"/>
      <c r="IL356"/>
      <c r="IM356"/>
      <c r="IN356"/>
      <c r="IO356"/>
      <c r="IP356"/>
      <c r="IQ356"/>
      <c r="IR356"/>
      <c r="IS356"/>
      <c r="IT356"/>
      <c r="IU356"/>
      <c r="IV356"/>
      <c r="IW356"/>
      <c r="IX356"/>
      <c r="IY356"/>
      <c r="IZ356"/>
      <c r="JA356"/>
      <c r="JB356"/>
      <c r="JC356"/>
      <c r="JD356"/>
      <c r="JE356"/>
      <c r="JF356"/>
      <c r="JG356"/>
      <c r="JH356"/>
      <c r="JI356"/>
      <c r="JJ356"/>
      <c r="JK356"/>
      <c r="JL356"/>
      <c r="JM356"/>
      <c r="JN356"/>
    </row>
    <row r="357" spans="1:274" s="28" customFormat="1" ht="12.75" customHeight="1" x14ac:dyDescent="0.2">
      <c r="A357" s="1801" t="s">
        <v>1257</v>
      </c>
      <c r="B357" s="595"/>
      <c r="CG357" s="416"/>
      <c r="CM357" s="416"/>
      <c r="CS357" s="416"/>
      <c r="CY357" s="416"/>
      <c r="DA357" s="1632"/>
      <c r="DB357" s="1632"/>
      <c r="DC357" s="1632"/>
      <c r="DD357" s="1632"/>
      <c r="DE357" s="1633"/>
      <c r="DG357" s="1632"/>
      <c r="DH357" s="1632"/>
      <c r="DI357" s="1632"/>
      <c r="DJ357" s="1632"/>
      <c r="DK357" s="1633"/>
      <c r="DL357" s="1634"/>
      <c r="DM357" s="1632"/>
      <c r="DN357" s="1632"/>
      <c r="DO357" s="1632"/>
      <c r="DP357" s="1632"/>
      <c r="DQ357" s="1633"/>
      <c r="DR357" s="1634"/>
      <c r="DS357" s="1632"/>
      <c r="DT357" s="1632"/>
      <c r="DU357" s="1632"/>
      <c r="DV357" s="1632"/>
      <c r="DW357" s="1633"/>
      <c r="DX357" s="1634"/>
      <c r="DY357" s="1632"/>
      <c r="DZ357" s="1632"/>
      <c r="EA357" s="1632"/>
      <c r="EB357" s="1632"/>
      <c r="EC357" s="416"/>
      <c r="EE357" s="31">
        <f>SUM(EE355:EE356)</f>
        <v>486</v>
      </c>
      <c r="EF357" s="31">
        <f>SUM(EF355:EF356)</f>
        <v>491</v>
      </c>
      <c r="EG357" s="1806">
        <f>SUM(EG355:EG356)</f>
        <v>673</v>
      </c>
      <c r="EH357" s="1806">
        <f>SUM(EH355:EH356)</f>
        <v>820</v>
      </c>
      <c r="EI357" s="296">
        <f>SUM(EI355:EI356)</f>
        <v>2470</v>
      </c>
      <c r="EJ357" s="31"/>
      <c r="EK357" s="31">
        <f>SUM(EK355:EK356)</f>
        <v>762</v>
      </c>
      <c r="EL357" s="31">
        <f>SUM(EL355:EL356)</f>
        <v>741</v>
      </c>
      <c r="EM357" s="31">
        <f>SUM(EM355:EM356)</f>
        <v>828</v>
      </c>
      <c r="EN357" s="1806">
        <f>SUM(EN355:EN356)</f>
        <v>1122</v>
      </c>
      <c r="EO357" s="296">
        <f>SUM(EO355:EO356)</f>
        <v>3453</v>
      </c>
      <c r="EQ357" s="31">
        <f>SUM(EQ355:EQ356)</f>
        <v>1073</v>
      </c>
      <c r="ER357" s="31">
        <f>SUM(ER355:ER356)</f>
        <v>1214</v>
      </c>
      <c r="ES357" s="31">
        <f>SUM(ES355:ES356)</f>
        <v>1628</v>
      </c>
      <c r="ET357" s="1806">
        <f>SUM(ET355:ET356)</f>
        <v>1596</v>
      </c>
      <c r="EU357" s="296">
        <f>SUM(EU355:EU356)</f>
        <v>5511</v>
      </c>
      <c r="FA357" s="416"/>
      <c r="FG357" s="416"/>
      <c r="FM357" s="416"/>
      <c r="FQ357"/>
      <c r="FR357"/>
      <c r="FS357"/>
      <c r="FT357"/>
      <c r="FU357"/>
      <c r="FV357"/>
      <c r="GB357" s="24"/>
      <c r="GC357" s="24"/>
      <c r="GD357" s="24"/>
      <c r="GE357" s="24"/>
      <c r="GF357" s="24"/>
      <c r="GG357" s="24"/>
      <c r="GH357" s="24"/>
      <c r="GI357" s="24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  <c r="HB357"/>
      <c r="HC357"/>
      <c r="HD357"/>
      <c r="HE357"/>
      <c r="HF357"/>
      <c r="HG357"/>
      <c r="HH357"/>
      <c r="HI357"/>
      <c r="HJ357"/>
      <c r="HK357"/>
      <c r="HL357"/>
      <c r="HM357"/>
      <c r="HN357"/>
      <c r="HO357"/>
      <c r="HP357"/>
      <c r="HQ357"/>
      <c r="HR357"/>
      <c r="HS357"/>
      <c r="HT357"/>
      <c r="HU357"/>
      <c r="HV357"/>
      <c r="HW357"/>
      <c r="HX357"/>
      <c r="HY357"/>
      <c r="HZ357"/>
      <c r="IA357"/>
      <c r="IB357"/>
      <c r="IC357"/>
      <c r="ID357"/>
      <c r="IE357"/>
      <c r="IF357"/>
      <c r="IG357"/>
      <c r="IH357"/>
      <c r="II357"/>
      <c r="IJ357"/>
      <c r="IK357"/>
      <c r="IL357"/>
      <c r="IM357"/>
      <c r="IN357"/>
      <c r="IO357"/>
      <c r="IP357"/>
      <c r="IQ357"/>
      <c r="IR357"/>
      <c r="IS357"/>
      <c r="IT357"/>
      <c r="IU357"/>
      <c r="IV357"/>
      <c r="IW357"/>
      <c r="IX357"/>
      <c r="IY357"/>
      <c r="IZ357"/>
      <c r="JA357"/>
      <c r="JB357"/>
      <c r="JC357"/>
      <c r="JD357"/>
      <c r="JE357"/>
      <c r="JF357"/>
      <c r="JG357"/>
      <c r="JH357"/>
      <c r="JI357"/>
      <c r="JJ357"/>
      <c r="JK357"/>
      <c r="JL357"/>
      <c r="JM357"/>
      <c r="JN357"/>
    </row>
    <row r="358" spans="1:274" s="28" customFormat="1" ht="12.75" customHeight="1" x14ac:dyDescent="0.2">
      <c r="A358" s="1802" t="s">
        <v>611</v>
      </c>
      <c r="B358" s="1747"/>
      <c r="C358" s="426"/>
      <c r="D358" s="426"/>
      <c r="E358" s="426"/>
      <c r="F358" s="426"/>
      <c r="G358" s="426"/>
      <c r="H358" s="426"/>
      <c r="I358" s="426"/>
      <c r="J358" s="426"/>
      <c r="K358" s="426"/>
      <c r="L358" s="426"/>
      <c r="M358" s="426"/>
      <c r="N358" s="426"/>
      <c r="O358" s="426"/>
      <c r="P358" s="426"/>
      <c r="Q358" s="426"/>
      <c r="R358" s="426"/>
      <c r="S358" s="426"/>
      <c r="T358" s="426"/>
      <c r="U358" s="426"/>
      <c r="V358" s="426"/>
      <c r="W358" s="426"/>
      <c r="X358" s="426"/>
      <c r="Y358" s="426"/>
      <c r="Z358" s="426"/>
      <c r="AA358" s="426"/>
      <c r="AB358" s="426"/>
      <c r="AC358" s="426"/>
      <c r="AD358" s="426"/>
      <c r="AE358" s="426"/>
      <c r="AF358" s="426"/>
      <c r="AG358" s="426"/>
      <c r="AH358" s="426"/>
      <c r="AI358" s="426"/>
      <c r="AJ358" s="426"/>
      <c r="AK358" s="426"/>
      <c r="AL358" s="426"/>
      <c r="AM358" s="426"/>
      <c r="AN358" s="426"/>
      <c r="AO358" s="426"/>
      <c r="AP358" s="426"/>
      <c r="AQ358" s="426"/>
      <c r="AR358" s="426"/>
      <c r="AS358" s="426"/>
      <c r="AT358" s="426"/>
      <c r="AU358" s="426"/>
      <c r="AV358" s="426"/>
      <c r="AW358" s="426"/>
      <c r="AX358" s="426"/>
      <c r="AY358" s="426"/>
      <c r="AZ358" s="426"/>
      <c r="BA358" s="426"/>
      <c r="BB358" s="426"/>
      <c r="BC358" s="426"/>
      <c r="BD358" s="426"/>
      <c r="BE358" s="426"/>
      <c r="BF358" s="426"/>
      <c r="BG358" s="426"/>
      <c r="BH358" s="426"/>
      <c r="BI358" s="426"/>
      <c r="BJ358" s="426"/>
      <c r="BK358" s="426"/>
      <c r="BL358" s="426"/>
      <c r="BM358" s="426"/>
      <c r="BN358" s="426"/>
      <c r="BO358" s="426"/>
      <c r="BP358" s="426"/>
      <c r="BQ358" s="426"/>
      <c r="BR358" s="426"/>
      <c r="BS358" s="426"/>
      <c r="BT358" s="426"/>
      <c r="BU358" s="426"/>
      <c r="BV358" s="426"/>
      <c r="BW358" s="426"/>
      <c r="BX358" s="426"/>
      <c r="BY358" s="426"/>
      <c r="BZ358" s="426"/>
      <c r="CA358" s="426"/>
      <c r="CB358" s="426"/>
      <c r="CC358" s="426"/>
      <c r="CD358" s="426"/>
      <c r="CE358" s="426"/>
      <c r="CF358" s="426"/>
      <c r="CG358" s="1748"/>
      <c r="CH358" s="426"/>
      <c r="CI358" s="426"/>
      <c r="CJ358" s="426"/>
      <c r="CK358" s="426"/>
      <c r="CL358" s="426"/>
      <c r="CM358" s="1748"/>
      <c r="CN358" s="426"/>
      <c r="CO358" s="426"/>
      <c r="CP358" s="426"/>
      <c r="CQ358" s="426"/>
      <c r="CR358" s="426"/>
      <c r="CS358" s="1748"/>
      <c r="CT358" s="426"/>
      <c r="CU358" s="426"/>
      <c r="CV358" s="426"/>
      <c r="CW358" s="426"/>
      <c r="CX358" s="426"/>
      <c r="CY358" s="1748"/>
      <c r="CZ358" s="426"/>
      <c r="DA358" s="1618"/>
      <c r="DB358" s="1618"/>
      <c r="DC358" s="1618"/>
      <c r="DD358" s="1618"/>
      <c r="DE358" s="1749"/>
      <c r="DF358" s="426"/>
      <c r="DG358" s="1618"/>
      <c r="DH358" s="1618"/>
      <c r="DI358" s="1618"/>
      <c r="DJ358" s="1618"/>
      <c r="DK358" s="1749"/>
      <c r="DL358" s="1750"/>
      <c r="DM358" s="1618"/>
      <c r="DN358" s="1618"/>
      <c r="DO358" s="1618"/>
      <c r="DP358" s="1618"/>
      <c r="DQ358" s="1749"/>
      <c r="DR358" s="1750"/>
      <c r="DS358" s="1618"/>
      <c r="DT358" s="1618"/>
      <c r="DU358" s="1618"/>
      <c r="DV358" s="1618"/>
      <c r="DW358" s="1749"/>
      <c r="DX358" s="1750"/>
      <c r="DY358" s="1618"/>
      <c r="DZ358" s="1618"/>
      <c r="EA358" s="1618"/>
      <c r="EB358" s="1618"/>
      <c r="EC358" s="1748"/>
      <c r="ED358" s="426"/>
      <c r="EE358" s="1803">
        <v>0.28999999999999998</v>
      </c>
      <c r="EF358" s="1803">
        <v>0.41</v>
      </c>
      <c r="EG358" s="1803">
        <v>0.4</v>
      </c>
      <c r="EH358" s="1803">
        <v>0.76</v>
      </c>
      <c r="EI358" s="1748"/>
      <c r="EJ358" s="426"/>
      <c r="EK358" s="1803">
        <f>EK357/EE357-1</f>
        <v>0.56790123456790131</v>
      </c>
      <c r="EL358" s="1803">
        <f>EL357/EF357-1</f>
        <v>0.50916496945010192</v>
      </c>
      <c r="EM358" s="1803">
        <f>EM357/EG357-1</f>
        <v>0.23031203566121849</v>
      </c>
      <c r="EN358" s="1803">
        <f>EN357/EH357-1</f>
        <v>0.36829268292682937</v>
      </c>
      <c r="EO358" s="1619">
        <f>EO357/EI357-1</f>
        <v>0.39797570850202435</v>
      </c>
      <c r="EP358" s="426"/>
      <c r="EQ358" s="1803">
        <f>EQ357/EK357-1</f>
        <v>0.40813648293963256</v>
      </c>
      <c r="ER358" s="1803">
        <f>ER357/EL357-1</f>
        <v>0.63832658569500667</v>
      </c>
      <c r="ES358" s="1803">
        <f>ES357/EM357-1</f>
        <v>0.96618357487922713</v>
      </c>
      <c r="ET358" s="1803">
        <f>ET357/EN357-1</f>
        <v>0.42245989304812825</v>
      </c>
      <c r="EU358" s="1619">
        <f>EU357/EO357-1</f>
        <v>0.59600347523892272</v>
      </c>
      <c r="EV358" s="426"/>
      <c r="EW358" s="426"/>
      <c r="FA358" s="416"/>
      <c r="FG358" s="416"/>
      <c r="FM358" s="416"/>
      <c r="FQ358"/>
      <c r="FR358"/>
      <c r="FS358"/>
      <c r="FT358"/>
      <c r="FU358"/>
      <c r="FV358"/>
      <c r="GB358" s="24"/>
      <c r="GC358" s="24"/>
      <c r="GD358" s="24"/>
      <c r="GE358" s="24"/>
      <c r="GF358" s="24"/>
      <c r="GG358" s="24"/>
      <c r="GH358" s="24"/>
      <c r="GI358" s="24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  <c r="HB358"/>
      <c r="HC358"/>
      <c r="HD358"/>
      <c r="HE358"/>
      <c r="HF358"/>
      <c r="HG358"/>
      <c r="HH358"/>
      <c r="HI358"/>
      <c r="HJ358"/>
      <c r="HK358"/>
      <c r="HL358"/>
      <c r="HM358"/>
      <c r="HN358"/>
      <c r="HO358"/>
      <c r="HP358"/>
      <c r="HQ358"/>
      <c r="HR358"/>
      <c r="HS358"/>
      <c r="HT358"/>
      <c r="HU358"/>
      <c r="HV358"/>
      <c r="HW358"/>
      <c r="HX358"/>
      <c r="HY358"/>
      <c r="HZ358"/>
      <c r="IA358"/>
      <c r="IB358"/>
      <c r="IC358"/>
      <c r="ID358"/>
      <c r="IE358"/>
      <c r="IF358"/>
      <c r="IG358"/>
      <c r="IH358"/>
      <c r="II358"/>
      <c r="IJ358"/>
      <c r="IK358"/>
      <c r="IL358"/>
      <c r="IM358"/>
      <c r="IN358"/>
      <c r="IO358"/>
      <c r="IP358"/>
      <c r="IQ358"/>
      <c r="IR358"/>
      <c r="IS358"/>
      <c r="IT358"/>
      <c r="IU358"/>
      <c r="IV358"/>
      <c r="IW358"/>
      <c r="IX358"/>
      <c r="IY358"/>
      <c r="IZ358"/>
      <c r="JA358"/>
      <c r="JB358"/>
      <c r="JC358"/>
      <c r="JD358"/>
      <c r="JE358"/>
      <c r="JF358"/>
      <c r="JG358"/>
      <c r="JH358"/>
      <c r="JI358"/>
      <c r="JJ358"/>
      <c r="JK358"/>
      <c r="JL358"/>
      <c r="JM358"/>
      <c r="JN358"/>
    </row>
    <row r="359" spans="1:274" s="28" customFormat="1" ht="12.75" customHeight="1" x14ac:dyDescent="0.2">
      <c r="A359" s="1744" t="s">
        <v>1258</v>
      </c>
      <c r="B359" s="595"/>
      <c r="CG359" s="416"/>
      <c r="CM359" s="416"/>
      <c r="CS359" s="416"/>
      <c r="CY359" s="416"/>
      <c r="DA359" s="1632"/>
      <c r="DB359" s="1632"/>
      <c r="DC359" s="1632"/>
      <c r="DD359" s="1632"/>
      <c r="DE359" s="1633"/>
      <c r="DG359" s="1632"/>
      <c r="DH359" s="1632"/>
      <c r="DI359" s="1632"/>
      <c r="DJ359" s="1632"/>
      <c r="DK359" s="1633"/>
      <c r="DL359" s="1634"/>
      <c r="DM359" s="1632"/>
      <c r="DN359" s="1632"/>
      <c r="DO359" s="1632"/>
      <c r="DP359" s="1632"/>
      <c r="DQ359" s="1633"/>
      <c r="DR359" s="1634"/>
      <c r="DS359" s="1632"/>
      <c r="DT359" s="1632"/>
      <c r="DU359" s="1632"/>
      <c r="DV359" s="1632"/>
      <c r="DW359" s="1633"/>
      <c r="DX359" s="1634"/>
      <c r="DY359" s="1632"/>
      <c r="DZ359" s="1632"/>
      <c r="EA359" s="1632"/>
      <c r="EB359" s="1632"/>
      <c r="EC359" s="416"/>
      <c r="EE359" s="64"/>
      <c r="EF359" s="64"/>
      <c r="EG359" s="1847"/>
      <c r="EH359" s="1848"/>
      <c r="EI359" s="416"/>
      <c r="EK359" s="879"/>
      <c r="EL359" s="879"/>
      <c r="EM359" s="879"/>
      <c r="EN359" s="879"/>
      <c r="EO359" s="416"/>
      <c r="EQ359" s="879"/>
      <c r="ER359" s="879"/>
      <c r="ES359" s="879"/>
      <c r="ET359" s="879"/>
      <c r="EU359" s="416"/>
      <c r="FA359" s="416"/>
      <c r="FG359" s="416"/>
      <c r="FM359" s="416"/>
      <c r="FQ359"/>
      <c r="FR359"/>
      <c r="FS359"/>
      <c r="FT359"/>
      <c r="FU359"/>
      <c r="FV359"/>
      <c r="GB359" s="24"/>
      <c r="GC359" s="24"/>
      <c r="GD359" s="24"/>
      <c r="GE359" s="24"/>
      <c r="GF359" s="24"/>
      <c r="GG359" s="24"/>
      <c r="GH359" s="24"/>
      <c r="GI359" s="24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  <c r="HB359"/>
      <c r="HC359"/>
      <c r="HD359"/>
      <c r="HE359"/>
      <c r="HF359"/>
      <c r="HG359"/>
      <c r="HH359"/>
      <c r="HI359"/>
      <c r="HJ359"/>
      <c r="HK359"/>
      <c r="HL359"/>
      <c r="HM359"/>
      <c r="HN359"/>
      <c r="HO359"/>
      <c r="HP359"/>
      <c r="HQ359"/>
      <c r="HR359"/>
      <c r="HS359"/>
      <c r="HT359"/>
      <c r="HU359"/>
      <c r="HV359"/>
      <c r="HW359"/>
      <c r="HX359"/>
      <c r="HY359"/>
      <c r="HZ359"/>
      <c r="IA359"/>
      <c r="IB359"/>
      <c r="IC359"/>
      <c r="ID359"/>
      <c r="IE359"/>
      <c r="IF359"/>
      <c r="IG359"/>
      <c r="IH359"/>
      <c r="II359"/>
      <c r="IJ359"/>
      <c r="IK359"/>
      <c r="IL359"/>
      <c r="IM359"/>
      <c r="IN359"/>
      <c r="IO359"/>
      <c r="IP359"/>
      <c r="IQ359"/>
      <c r="IR359"/>
      <c r="IS359"/>
      <c r="IT359"/>
      <c r="IU359"/>
      <c r="IV359"/>
      <c r="IW359"/>
      <c r="IX359"/>
      <c r="IY359"/>
      <c r="IZ359"/>
      <c r="JA359"/>
      <c r="JB359"/>
      <c r="JC359"/>
      <c r="JD359"/>
      <c r="JE359"/>
      <c r="JF359"/>
      <c r="JG359"/>
      <c r="JH359"/>
      <c r="JI359"/>
      <c r="JJ359"/>
      <c r="JK359"/>
      <c r="JL359"/>
      <c r="JM359"/>
      <c r="JN359"/>
    </row>
    <row r="360" spans="1:274" s="28" customFormat="1" ht="12.75" customHeight="1" x14ac:dyDescent="0.2">
      <c r="A360" s="1744" t="s">
        <v>1282</v>
      </c>
      <c r="B360" s="595"/>
      <c r="CG360" s="416"/>
      <c r="CM360" s="416"/>
      <c r="CS360" s="416"/>
      <c r="CY360" s="416"/>
      <c r="DA360" s="1632"/>
      <c r="DB360" s="1632"/>
      <c r="DC360" s="1632"/>
      <c r="DD360" s="1632"/>
      <c r="DE360" s="1633"/>
      <c r="DG360" s="1632"/>
      <c r="DH360" s="1632"/>
      <c r="DI360" s="1632"/>
      <c r="DJ360" s="1632"/>
      <c r="DK360" s="1633"/>
      <c r="DL360" s="1634"/>
      <c r="DM360" s="1632"/>
      <c r="DN360" s="1632"/>
      <c r="DO360" s="1632"/>
      <c r="DP360" s="1632"/>
      <c r="DQ360" s="1633"/>
      <c r="DR360" s="1634"/>
      <c r="DS360" s="1632"/>
      <c r="DT360" s="1632"/>
      <c r="DU360" s="1632"/>
      <c r="DV360" s="1632"/>
      <c r="DW360" s="1633"/>
      <c r="DX360" s="1634"/>
      <c r="DY360" s="1632"/>
      <c r="DZ360" s="1632"/>
      <c r="EA360" s="1746"/>
      <c r="EB360" s="1746">
        <v>450</v>
      </c>
      <c r="EC360" s="1745"/>
      <c r="ED360" s="18"/>
      <c r="EE360" s="33">
        <v>477</v>
      </c>
      <c r="EF360" s="33">
        <v>519</v>
      </c>
      <c r="EG360" s="1799">
        <v>530</v>
      </c>
      <c r="EH360" s="1799">
        <v>579</v>
      </c>
      <c r="EI360" s="226">
        <f>SUM(EE360:EH360)</f>
        <v>2105</v>
      </c>
      <c r="EJ360" s="33"/>
      <c r="EK360" s="33">
        <v>612</v>
      </c>
      <c r="EL360" s="33">
        <v>652</v>
      </c>
      <c r="EM360" s="33">
        <v>737</v>
      </c>
      <c r="EN360" s="1799">
        <v>860</v>
      </c>
      <c r="EO360" s="226">
        <f>SUM(EK360:EN360)</f>
        <v>2861</v>
      </c>
      <c r="EQ360" s="33">
        <v>985</v>
      </c>
      <c r="ER360" s="33">
        <v>1087</v>
      </c>
      <c r="ES360" s="33">
        <v>1258</v>
      </c>
      <c r="ET360" s="1799">
        <v>1410</v>
      </c>
      <c r="EU360" s="226">
        <f>SUM(EQ360:ET360)</f>
        <v>4740</v>
      </c>
      <c r="EW360" s="33">
        <v>1492</v>
      </c>
      <c r="EX360" s="33">
        <v>1528</v>
      </c>
      <c r="EY360" s="33">
        <v>1258</v>
      </c>
      <c r="FA360" s="416"/>
      <c r="FG360" s="416"/>
      <c r="FM360" s="416"/>
      <c r="FQ360"/>
      <c r="FR360"/>
      <c r="FS360"/>
      <c r="FT360"/>
      <c r="FU360"/>
      <c r="FV360"/>
      <c r="GB360" s="24"/>
      <c r="GC360" s="24"/>
      <c r="GD360" s="24"/>
      <c r="GE360" s="24"/>
      <c r="GF360" s="24"/>
      <c r="GG360" s="24"/>
      <c r="GH360" s="24"/>
      <c r="GI360" s="24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  <c r="HB360"/>
      <c r="HC360"/>
      <c r="HD360"/>
      <c r="HE360"/>
      <c r="HF360"/>
      <c r="HG360"/>
      <c r="HH360"/>
      <c r="HI360"/>
      <c r="HJ360"/>
      <c r="HK360"/>
      <c r="HL360"/>
      <c r="HM360"/>
      <c r="HN360"/>
      <c r="HO360"/>
      <c r="HP360"/>
      <c r="HQ360"/>
      <c r="HR360"/>
      <c r="HS360"/>
      <c r="HT360"/>
      <c r="HU360"/>
      <c r="HV360"/>
      <c r="HW360"/>
      <c r="HX360"/>
      <c r="HY360"/>
      <c r="HZ360"/>
      <c r="IA360"/>
      <c r="IB360"/>
      <c r="IC360"/>
      <c r="ID360"/>
      <c r="IE360"/>
      <c r="IF360"/>
      <c r="IG360"/>
      <c r="IH360"/>
      <c r="II360"/>
      <c r="IJ360"/>
      <c r="IK360"/>
      <c r="IL360"/>
      <c r="IM360"/>
      <c r="IN360"/>
      <c r="IO360"/>
      <c r="IP360"/>
      <c r="IQ360"/>
      <c r="IR360"/>
      <c r="IS360"/>
      <c r="IT360"/>
      <c r="IU360"/>
      <c r="IV360"/>
      <c r="IW360"/>
      <c r="IX360"/>
      <c r="IY360"/>
      <c r="IZ360"/>
      <c r="JA360"/>
      <c r="JB360"/>
      <c r="JC360"/>
      <c r="JD360"/>
      <c r="JE360"/>
      <c r="JF360"/>
      <c r="JG360"/>
      <c r="JH360"/>
      <c r="JI360"/>
      <c r="JJ360"/>
      <c r="JK360"/>
      <c r="JL360"/>
      <c r="JM360"/>
      <c r="JN360"/>
    </row>
    <row r="361" spans="1:274" s="28" customFormat="1" ht="12.75" customHeight="1" x14ac:dyDescent="0.2">
      <c r="A361" s="1744" t="s">
        <v>1259</v>
      </c>
      <c r="B361" s="595"/>
      <c r="CG361" s="416"/>
      <c r="CM361" s="416"/>
      <c r="CS361" s="416"/>
      <c r="CY361" s="416"/>
      <c r="DA361" s="1632"/>
      <c r="DB361" s="1632"/>
      <c r="DC361" s="1632"/>
      <c r="DD361" s="1632"/>
      <c r="DE361" s="1633"/>
      <c r="DG361" s="1632"/>
      <c r="DH361" s="1632"/>
      <c r="DI361" s="1632"/>
      <c r="DJ361" s="1632"/>
      <c r="DK361" s="1633"/>
      <c r="DL361" s="1634"/>
      <c r="DM361" s="1632"/>
      <c r="DN361" s="1632"/>
      <c r="DO361" s="1632"/>
      <c r="DP361" s="1632"/>
      <c r="DQ361" s="1633"/>
      <c r="DR361" s="1634"/>
      <c r="DS361" s="1632"/>
      <c r="DT361" s="1632"/>
      <c r="DU361" s="1632"/>
      <c r="DV361" s="1632"/>
      <c r="DW361" s="1633"/>
      <c r="DX361" s="1634"/>
      <c r="DY361" s="1632"/>
      <c r="DZ361" s="1632"/>
      <c r="EA361" s="1746"/>
      <c r="EB361" s="1746">
        <v>30</v>
      </c>
      <c r="EC361" s="1745"/>
      <c r="ED361" s="18"/>
      <c r="EE361" s="33">
        <v>1</v>
      </c>
      <c r="EF361" s="33">
        <v>-7</v>
      </c>
      <c r="EG361" s="33">
        <v>79</v>
      </c>
      <c r="EH361" s="33">
        <v>79</v>
      </c>
      <c r="EI361" s="226">
        <f>SUM(EE361:EH361)</f>
        <v>152</v>
      </c>
      <c r="EJ361" s="33"/>
      <c r="EK361" s="33">
        <v>108</v>
      </c>
      <c r="EL361" s="33">
        <v>50</v>
      </c>
      <c r="EM361" s="33">
        <v>80</v>
      </c>
      <c r="EN361" s="33">
        <v>63</v>
      </c>
      <c r="EO361" s="226">
        <f>SUM(EK361:EN361)</f>
        <v>301</v>
      </c>
      <c r="EQ361" s="33">
        <v>205</v>
      </c>
      <c r="ER361" s="33">
        <v>-190</v>
      </c>
      <c r="ES361" s="33">
        <v>216</v>
      </c>
      <c r="ET361" s="33">
        <v>22</v>
      </c>
      <c r="EU361" s="226">
        <f>SUM(EQ361:ET361)</f>
        <v>253</v>
      </c>
      <c r="EW361" s="33">
        <v>206</v>
      </c>
      <c r="EX361" s="33">
        <v>-125</v>
      </c>
      <c r="EY361" s="33">
        <v>216</v>
      </c>
      <c r="FA361" s="416"/>
      <c r="FG361" s="416"/>
      <c r="FM361" s="416"/>
      <c r="FQ361"/>
      <c r="FR361"/>
      <c r="FS361"/>
      <c r="FT361"/>
      <c r="FU361"/>
      <c r="FV361"/>
      <c r="GB361" s="24"/>
      <c r="GC361" s="24"/>
      <c r="GD361" s="24"/>
      <c r="GE361" s="24"/>
      <c r="GF361" s="24"/>
      <c r="GG361" s="24"/>
      <c r="GH361" s="24"/>
      <c r="GI361" s="24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  <c r="HB361"/>
      <c r="HC361"/>
      <c r="HD361"/>
      <c r="HE361"/>
      <c r="HF361"/>
      <c r="HG361"/>
      <c r="HH361"/>
      <c r="HI361"/>
      <c r="HJ361"/>
      <c r="HK361"/>
      <c r="HL361"/>
      <c r="HM361"/>
      <c r="HN361"/>
      <c r="HO361"/>
      <c r="HP361"/>
      <c r="HQ361"/>
      <c r="HR361"/>
      <c r="HS361"/>
      <c r="HT361"/>
      <c r="HU361"/>
      <c r="HV361"/>
      <c r="HW361"/>
      <c r="HX361"/>
      <c r="HY361"/>
      <c r="HZ361"/>
      <c r="IA361"/>
      <c r="IB361"/>
      <c r="IC361"/>
      <c r="ID361"/>
      <c r="IE361"/>
      <c r="IF361"/>
      <c r="IG361"/>
      <c r="IH361"/>
      <c r="II361"/>
      <c r="IJ361"/>
      <c r="IK361"/>
      <c r="IL361"/>
      <c r="IM361"/>
      <c r="IN361"/>
      <c r="IO361"/>
      <c r="IP361"/>
      <c r="IQ361"/>
      <c r="IR361"/>
      <c r="IS361"/>
      <c r="IT361"/>
      <c r="IU361"/>
      <c r="IV361"/>
      <c r="IW361"/>
      <c r="IX361"/>
      <c r="IY361"/>
      <c r="IZ361"/>
      <c r="JA361"/>
      <c r="JB361"/>
      <c r="JC361"/>
      <c r="JD361"/>
      <c r="JE361"/>
      <c r="JF361"/>
      <c r="JG361"/>
      <c r="JH361"/>
      <c r="JI361"/>
      <c r="JJ361"/>
      <c r="JK361"/>
      <c r="JL361"/>
      <c r="JM361"/>
      <c r="JN361"/>
    </row>
    <row r="362" spans="1:274" s="28" customFormat="1" ht="12.75" customHeight="1" x14ac:dyDescent="0.2">
      <c r="A362" s="1801" t="s">
        <v>1260</v>
      </c>
      <c r="B362" s="595"/>
      <c r="CG362" s="416"/>
      <c r="CM362" s="416"/>
      <c r="CS362" s="416"/>
      <c r="CY362" s="416"/>
      <c r="DA362" s="1632"/>
      <c r="DB362" s="1632"/>
      <c r="DC362" s="1632"/>
      <c r="DD362" s="1632"/>
      <c r="DE362" s="1633"/>
      <c r="DG362" s="1632"/>
      <c r="DH362" s="1632"/>
      <c r="DI362" s="1632"/>
      <c r="DJ362" s="1632"/>
      <c r="DK362" s="1633"/>
      <c r="DL362" s="1634"/>
      <c r="DM362" s="1632"/>
      <c r="DN362" s="1632"/>
      <c r="DO362" s="1632"/>
      <c r="DP362" s="1632"/>
      <c r="DQ362" s="1633"/>
      <c r="DR362" s="1634"/>
      <c r="DS362" s="1632"/>
      <c r="DT362" s="1632"/>
      <c r="DU362" s="1632"/>
      <c r="DV362" s="1632"/>
      <c r="DW362" s="1633"/>
      <c r="DX362" s="1634"/>
      <c r="DY362" s="1632"/>
      <c r="DZ362" s="1632"/>
      <c r="EA362" s="1632"/>
      <c r="EB362" s="1632"/>
      <c r="EC362" s="416"/>
      <c r="EE362" s="31">
        <f>SUM(EE360:EE361)</f>
        <v>478</v>
      </c>
      <c r="EF362" s="31">
        <f>SUM(EF360:EF361)</f>
        <v>512</v>
      </c>
      <c r="EG362" s="1806">
        <f>SUM(EG360:EG361)</f>
        <v>609</v>
      </c>
      <c r="EH362" s="1806">
        <f>SUM(EH360:EH361)</f>
        <v>658</v>
      </c>
      <c r="EI362" s="296">
        <f>SUM(EI360:EI361)</f>
        <v>2257</v>
      </c>
      <c r="EJ362" s="31"/>
      <c r="EK362" s="31">
        <f>SUM(EK360:EK361)</f>
        <v>720</v>
      </c>
      <c r="EL362" s="31">
        <f>SUM(EL360:EL361)</f>
        <v>702</v>
      </c>
      <c r="EM362" s="31">
        <f>SUM(EM360:EM361)</f>
        <v>817</v>
      </c>
      <c r="EN362" s="1806">
        <f>SUM(EN360:EN361)</f>
        <v>923</v>
      </c>
      <c r="EO362" s="296">
        <f>SUM(EO360:EO361)</f>
        <v>3162</v>
      </c>
      <c r="EQ362" s="31">
        <f>SUM(EQ360:EQ361)</f>
        <v>1190</v>
      </c>
      <c r="ER362" s="31">
        <f>SUM(ER360:ER361)</f>
        <v>897</v>
      </c>
      <c r="ES362" s="31">
        <f>SUM(ES360:ES361)</f>
        <v>1474</v>
      </c>
      <c r="ET362" s="1806">
        <f>SUM(ET360:ET361)</f>
        <v>1432</v>
      </c>
      <c r="EU362" s="296">
        <f>SUM(EU360:EU361)</f>
        <v>4993</v>
      </c>
      <c r="EW362" s="31">
        <f>SUM(EW360:EW361)</f>
        <v>1698</v>
      </c>
      <c r="EX362" s="31">
        <f>SUM(EX360:EX361)</f>
        <v>1403</v>
      </c>
      <c r="EY362" s="31">
        <f>SUM(EY360:EY361)</f>
        <v>1474</v>
      </c>
      <c r="FA362" s="416"/>
      <c r="FG362" s="416"/>
      <c r="FM362" s="416"/>
      <c r="FQ362"/>
      <c r="FR362"/>
      <c r="FS362"/>
      <c r="FT362"/>
      <c r="FU362"/>
      <c r="FV362"/>
      <c r="GB362" s="24"/>
      <c r="GC362" s="24"/>
      <c r="GD362" s="24"/>
      <c r="GE362" s="24"/>
      <c r="GF362" s="24"/>
      <c r="GG362" s="24"/>
      <c r="GH362" s="24"/>
      <c r="GI362" s="24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  <c r="HB362"/>
      <c r="HC362"/>
      <c r="HD362"/>
      <c r="HE362"/>
      <c r="HF362"/>
      <c r="HG362"/>
      <c r="HH362"/>
      <c r="HI362"/>
      <c r="HJ362"/>
      <c r="HK362"/>
      <c r="HL362"/>
      <c r="HM362"/>
      <c r="HN362"/>
      <c r="HO362"/>
      <c r="HP362"/>
      <c r="HQ362"/>
      <c r="HR362"/>
      <c r="HS362"/>
      <c r="HT362"/>
      <c r="HU362"/>
      <c r="HV362"/>
      <c r="HW362"/>
      <c r="HX362"/>
      <c r="HY362"/>
      <c r="HZ362"/>
      <c r="IA362"/>
      <c r="IB362"/>
      <c r="IC362"/>
      <c r="ID362"/>
      <c r="IE362"/>
      <c r="IF362"/>
      <c r="IG362"/>
      <c r="IH362"/>
      <c r="II362"/>
      <c r="IJ362"/>
      <c r="IK362"/>
      <c r="IL362"/>
      <c r="IM362"/>
      <c r="IN362"/>
      <c r="IO362"/>
      <c r="IP362"/>
      <c r="IQ362"/>
      <c r="IR362"/>
      <c r="IS362"/>
      <c r="IT362"/>
      <c r="IU362"/>
      <c r="IV362"/>
      <c r="IW362"/>
      <c r="IX362"/>
      <c r="IY362"/>
      <c r="IZ362"/>
      <c r="JA362"/>
      <c r="JB362"/>
      <c r="JC362"/>
      <c r="JD362"/>
      <c r="JE362"/>
      <c r="JF362"/>
      <c r="JG362"/>
      <c r="JH362"/>
      <c r="JI362"/>
      <c r="JJ362"/>
      <c r="JK362"/>
      <c r="JL362"/>
      <c r="JM362"/>
      <c r="JN362"/>
    </row>
    <row r="363" spans="1:274" s="28" customFormat="1" ht="12.75" customHeight="1" x14ac:dyDescent="0.2">
      <c r="A363" s="1802" t="s">
        <v>611</v>
      </c>
      <c r="B363" s="1747"/>
      <c r="C363" s="426"/>
      <c r="D363" s="426"/>
      <c r="E363" s="426"/>
      <c r="F363" s="426"/>
      <c r="G363" s="426"/>
      <c r="H363" s="426"/>
      <c r="I363" s="426"/>
      <c r="J363" s="426"/>
      <c r="K363" s="426"/>
      <c r="L363" s="426"/>
      <c r="M363" s="426"/>
      <c r="N363" s="426"/>
      <c r="O363" s="426"/>
      <c r="P363" s="426"/>
      <c r="Q363" s="426"/>
      <c r="R363" s="426"/>
      <c r="S363" s="426"/>
      <c r="T363" s="426"/>
      <c r="U363" s="426"/>
      <c r="V363" s="426"/>
      <c r="W363" s="426"/>
      <c r="X363" s="426"/>
      <c r="Y363" s="426"/>
      <c r="Z363" s="426"/>
      <c r="AA363" s="426"/>
      <c r="AB363" s="426"/>
      <c r="AC363" s="426"/>
      <c r="AD363" s="426"/>
      <c r="AE363" s="426"/>
      <c r="AF363" s="426"/>
      <c r="AG363" s="426"/>
      <c r="AH363" s="426"/>
      <c r="AI363" s="426"/>
      <c r="AJ363" s="426"/>
      <c r="AK363" s="426"/>
      <c r="AL363" s="426"/>
      <c r="AM363" s="426"/>
      <c r="AN363" s="426"/>
      <c r="AO363" s="426"/>
      <c r="AP363" s="426"/>
      <c r="AQ363" s="426"/>
      <c r="AR363" s="426"/>
      <c r="AS363" s="426"/>
      <c r="AT363" s="426"/>
      <c r="AU363" s="426"/>
      <c r="AV363" s="426"/>
      <c r="AW363" s="426"/>
      <c r="AX363" s="426"/>
      <c r="AY363" s="426"/>
      <c r="AZ363" s="426"/>
      <c r="BA363" s="426"/>
      <c r="BB363" s="426"/>
      <c r="BC363" s="426"/>
      <c r="BD363" s="426"/>
      <c r="BE363" s="426"/>
      <c r="BF363" s="426"/>
      <c r="BG363" s="426"/>
      <c r="BH363" s="426"/>
      <c r="BI363" s="426"/>
      <c r="BJ363" s="426"/>
      <c r="BK363" s="426"/>
      <c r="BL363" s="426"/>
      <c r="BM363" s="426"/>
      <c r="BN363" s="426"/>
      <c r="BO363" s="426"/>
      <c r="BP363" s="426"/>
      <c r="BQ363" s="426"/>
      <c r="BR363" s="426"/>
      <c r="BS363" s="426"/>
      <c r="BT363" s="426"/>
      <c r="BU363" s="426"/>
      <c r="BV363" s="426"/>
      <c r="BW363" s="426"/>
      <c r="BX363" s="426"/>
      <c r="BY363" s="426"/>
      <c r="BZ363" s="426"/>
      <c r="CA363" s="426"/>
      <c r="CB363" s="426"/>
      <c r="CC363" s="426"/>
      <c r="CD363" s="426"/>
      <c r="CE363" s="426"/>
      <c r="CF363" s="426"/>
      <c r="CG363" s="1748"/>
      <c r="CH363" s="426"/>
      <c r="CI363" s="426"/>
      <c r="CJ363" s="426"/>
      <c r="CK363" s="426"/>
      <c r="CL363" s="426"/>
      <c r="CM363" s="1748"/>
      <c r="CN363" s="426"/>
      <c r="CO363" s="426"/>
      <c r="CP363" s="426"/>
      <c r="CQ363" s="426"/>
      <c r="CR363" s="426"/>
      <c r="CS363" s="1748"/>
      <c r="CT363" s="426"/>
      <c r="CU363" s="426"/>
      <c r="CV363" s="426"/>
      <c r="CW363" s="426"/>
      <c r="CX363" s="426"/>
      <c r="CY363" s="1748"/>
      <c r="CZ363" s="426"/>
      <c r="DA363" s="1618"/>
      <c r="DB363" s="1618"/>
      <c r="DC363" s="1618"/>
      <c r="DD363" s="1618"/>
      <c r="DE363" s="1749"/>
      <c r="DF363" s="426"/>
      <c r="DG363" s="1618"/>
      <c r="DH363" s="1618"/>
      <c r="DI363" s="1618"/>
      <c r="DJ363" s="1618"/>
      <c r="DK363" s="1749"/>
      <c r="DL363" s="1750"/>
      <c r="DM363" s="1618"/>
      <c r="DN363" s="1618"/>
      <c r="DO363" s="1618"/>
      <c r="DP363" s="1618"/>
      <c r="DQ363" s="1749"/>
      <c r="DR363" s="1750"/>
      <c r="DS363" s="1618"/>
      <c r="DT363" s="1618"/>
      <c r="DU363" s="1618"/>
      <c r="DV363" s="1618"/>
      <c r="DW363" s="1749"/>
      <c r="DX363" s="1750"/>
      <c r="DY363" s="1618"/>
      <c r="DZ363" s="1618"/>
      <c r="EA363" s="1618"/>
      <c r="EB363" s="1618"/>
      <c r="EC363" s="1748"/>
      <c r="ED363" s="426"/>
      <c r="EE363" s="1803">
        <v>0.28999999999999998</v>
      </c>
      <c r="EF363" s="1803">
        <v>0.36</v>
      </c>
      <c r="EG363" s="1803">
        <v>0.54</v>
      </c>
      <c r="EH363" s="1803">
        <v>0.36</v>
      </c>
      <c r="EI363" s="1748"/>
      <c r="EJ363" s="426"/>
      <c r="EK363" s="1803">
        <f>EK362/EE362-1</f>
        <v>0.506276150627615</v>
      </c>
      <c r="EL363" s="1803">
        <f>EL362/EF362-1</f>
        <v>0.37109375</v>
      </c>
      <c r="EM363" s="1803">
        <f>EM362/EG362-1</f>
        <v>0.34154351395730709</v>
      </c>
      <c r="EN363" s="1803">
        <f>EN362/EH362-1</f>
        <v>0.40273556231003038</v>
      </c>
      <c r="EO363" s="1619">
        <f>EO362/EI362-1</f>
        <v>0.40097474523704024</v>
      </c>
      <c r="EP363" s="426"/>
      <c r="EQ363" s="1803">
        <f>EQ362/EK362-1</f>
        <v>0.65277777777777768</v>
      </c>
      <c r="ER363" s="1803">
        <f>ER362/EL362-1</f>
        <v>0.27777777777777768</v>
      </c>
      <c r="ES363" s="1803">
        <f>ES362/EM362-1</f>
        <v>0.80416156670746641</v>
      </c>
      <c r="ET363" s="1803">
        <f>ET362/EN362-1</f>
        <v>0.55146262188515704</v>
      </c>
      <c r="EU363" s="1619">
        <f>EU362/EO362-1</f>
        <v>0.57906388361796335</v>
      </c>
      <c r="EW363" s="1803">
        <f>EW362/EQ362-1</f>
        <v>0.42689075630252105</v>
      </c>
      <c r="EX363" s="1803">
        <f>EX362/ER362-1</f>
        <v>0.5641025641025641</v>
      </c>
      <c r="EY363" s="1803">
        <f>EY362/ES362-1</f>
        <v>0</v>
      </c>
      <c r="FA363" s="416"/>
      <c r="FG363" s="416"/>
      <c r="FM363" s="416"/>
      <c r="FQ363"/>
      <c r="FR363"/>
      <c r="FS363"/>
      <c r="FT363"/>
      <c r="FU363"/>
      <c r="FV363"/>
      <c r="GB363" s="24"/>
      <c r="GC363" s="24"/>
      <c r="GD363" s="24"/>
      <c r="GE363" s="24"/>
      <c r="GF363" s="24"/>
      <c r="GG363" s="24"/>
      <c r="GH363" s="24"/>
      <c r="GI363" s="24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  <c r="HB363"/>
      <c r="HC363"/>
      <c r="HD363"/>
      <c r="HE363"/>
      <c r="HF363"/>
      <c r="HG363"/>
      <c r="HH363"/>
      <c r="HI363"/>
      <c r="HJ363"/>
      <c r="HK363"/>
      <c r="HL363"/>
      <c r="HM363"/>
      <c r="HN363"/>
      <c r="HO363"/>
      <c r="HP363"/>
      <c r="HQ363"/>
      <c r="HR363"/>
      <c r="HS363"/>
      <c r="HT363"/>
      <c r="HU363"/>
      <c r="HV363"/>
      <c r="HW363"/>
      <c r="HX363"/>
      <c r="HY363"/>
      <c r="HZ363"/>
      <c r="IA363"/>
      <c r="IB363"/>
      <c r="IC363"/>
      <c r="ID363"/>
      <c r="IE363"/>
      <c r="IF363"/>
      <c r="IG363"/>
      <c r="IH363"/>
      <c r="II363"/>
      <c r="IJ363"/>
      <c r="IK363"/>
      <c r="IL363"/>
      <c r="IM363"/>
      <c r="IN363"/>
      <c r="IO363"/>
      <c r="IP363"/>
      <c r="IQ363"/>
      <c r="IR363"/>
      <c r="IS363"/>
      <c r="IT363"/>
      <c r="IU363"/>
      <c r="IV363"/>
      <c r="IW363"/>
      <c r="IX363"/>
      <c r="IY363"/>
      <c r="IZ363"/>
      <c r="JA363"/>
      <c r="JB363"/>
      <c r="JC363"/>
      <c r="JD363"/>
      <c r="JE363"/>
      <c r="JF363"/>
      <c r="JG363"/>
      <c r="JH363"/>
      <c r="JI363"/>
      <c r="JJ363"/>
      <c r="JK363"/>
      <c r="JL363"/>
      <c r="JM363"/>
      <c r="JN363"/>
    </row>
    <row r="364" spans="1:274" s="28" customFormat="1" ht="12.75" customHeight="1" x14ac:dyDescent="0.2">
      <c r="A364" s="152" t="s">
        <v>1182</v>
      </c>
      <c r="B364" s="421"/>
      <c r="C364" s="666"/>
      <c r="D364" s="666"/>
      <c r="E364" s="666"/>
      <c r="F364" s="666"/>
      <c r="G364" s="666"/>
      <c r="H364" s="666"/>
      <c r="I364" s="666"/>
      <c r="J364" s="667"/>
      <c r="K364" s="667"/>
      <c r="L364" s="667"/>
      <c r="M364" s="667"/>
      <c r="N364" s="634"/>
      <c r="O364" s="666"/>
      <c r="P364" s="666"/>
      <c r="Q364" s="666"/>
      <c r="R364" s="666"/>
      <c r="S364" s="667"/>
      <c r="T364" s="666"/>
      <c r="U364" s="666"/>
      <c r="V364" s="666"/>
      <c r="W364" s="666"/>
      <c r="X364" s="666"/>
      <c r="Y364" s="667"/>
      <c r="Z364" s="634"/>
      <c r="AA364" s="666"/>
      <c r="AB364" s="666"/>
      <c r="AC364" s="666"/>
      <c r="AD364" s="666"/>
      <c r="AE364" s="667"/>
      <c r="AF364" s="634"/>
      <c r="AG364" s="666"/>
      <c r="AH364" s="666"/>
      <c r="AI364" s="666"/>
      <c r="AJ364" s="666"/>
      <c r="AK364" s="667"/>
      <c r="AL364" s="634"/>
      <c r="AM364" s="666"/>
      <c r="AN364" s="666"/>
      <c r="AO364" s="666"/>
      <c r="AP364" s="666"/>
      <c r="AQ364" s="667"/>
      <c r="AR364" s="634"/>
      <c r="AS364" s="666"/>
      <c r="AT364" s="666"/>
      <c r="AU364" s="666"/>
      <c r="AV364" s="666"/>
      <c r="AW364" s="667"/>
      <c r="AX364" s="634"/>
      <c r="AY364" s="666"/>
      <c r="AZ364" s="666"/>
      <c r="BA364" s="666"/>
      <c r="BB364" s="666"/>
      <c r="BC364" s="667"/>
      <c r="BD364" s="634"/>
      <c r="BE364" s="666"/>
      <c r="BF364" s="666"/>
      <c r="BG364" s="666"/>
      <c r="BH364" s="666"/>
      <c r="BI364" s="667"/>
      <c r="BJ364" s="666"/>
      <c r="BK364" s="666"/>
      <c r="BL364" s="666"/>
      <c r="BM364" s="666"/>
      <c r="BN364" s="666"/>
      <c r="BO364" s="667"/>
      <c r="BP364" s="666"/>
      <c r="BQ364" s="282"/>
      <c r="BR364" s="282"/>
      <c r="BS364" s="282"/>
      <c r="BT364" s="282"/>
      <c r="BU364" s="668"/>
      <c r="BV364" s="666"/>
      <c r="BW364" s="282"/>
      <c r="BX364" s="282"/>
      <c r="BY364" s="282"/>
      <c r="BZ364" s="282"/>
      <c r="CA364" s="669"/>
      <c r="CB364" s="666"/>
      <c r="CC364" s="282"/>
      <c r="CD364" s="282"/>
      <c r="CE364" s="282"/>
      <c r="CF364" s="282"/>
      <c r="CG364" s="669"/>
      <c r="CH364" s="666"/>
      <c r="CI364" s="282"/>
      <c r="CJ364" s="282"/>
      <c r="CK364" s="282"/>
      <c r="CL364" s="282"/>
      <c r="CM364" s="669"/>
      <c r="CN364" s="666"/>
      <c r="CO364" s="282"/>
      <c r="CP364" s="282"/>
      <c r="CQ364" s="282"/>
      <c r="CR364" s="282"/>
      <c r="CS364" s="669"/>
      <c r="CT364" s="666"/>
      <c r="CU364" s="282"/>
      <c r="CV364" s="282"/>
      <c r="CW364" s="282"/>
      <c r="CX364" s="282"/>
      <c r="CY364" s="669"/>
      <c r="CZ364" s="666"/>
      <c r="DA364" s="282"/>
      <c r="DB364" s="282"/>
      <c r="DC364" s="282"/>
      <c r="DD364" s="282"/>
      <c r="DE364" s="669"/>
      <c r="DF364" s="666"/>
      <c r="DG364" s="282"/>
      <c r="DH364" s="282"/>
      <c r="DI364" s="282"/>
      <c r="DJ364" s="282"/>
      <c r="DK364" s="669"/>
      <c r="DL364" s="666"/>
      <c r="DM364" s="282"/>
      <c r="DN364" s="282"/>
      <c r="DO364" s="282"/>
      <c r="DP364" s="282"/>
      <c r="DQ364" s="669"/>
      <c r="DR364" s="666"/>
      <c r="DS364" s="282"/>
      <c r="DT364" s="282"/>
      <c r="DU364" s="282"/>
      <c r="DV364" s="282"/>
      <c r="DW364" s="669"/>
      <c r="DX364" s="666"/>
      <c r="DY364" s="282"/>
      <c r="DZ364" s="282"/>
      <c r="EA364" s="282">
        <v>221</v>
      </c>
      <c r="EB364" s="282">
        <v>209</v>
      </c>
      <c r="EC364" s="669"/>
      <c r="ED364" s="666"/>
      <c r="EE364" s="282"/>
      <c r="EF364" s="282"/>
      <c r="EG364" s="282"/>
      <c r="EH364" s="282"/>
      <c r="EI364" s="669"/>
      <c r="EJ364" s="666"/>
      <c r="EK364" s="1793"/>
      <c r="EL364" s="282"/>
      <c r="EM364" s="282"/>
      <c r="EN364" s="282"/>
      <c r="EO364" s="669"/>
      <c r="EP364" s="666"/>
      <c r="EQ364" s="1793"/>
      <c r="ER364" s="282"/>
      <c r="ES364" s="282"/>
      <c r="ET364" s="282"/>
      <c r="EU364" s="1776"/>
      <c r="EV364" s="1777"/>
      <c r="EW364" s="1775"/>
      <c r="EX364" s="1775"/>
      <c r="EY364" s="1775"/>
      <c r="EZ364" s="1775"/>
      <c r="FA364" s="1776"/>
      <c r="FB364" s="1777"/>
      <c r="FC364" s="1775"/>
      <c r="FD364" s="1775"/>
      <c r="FE364" s="1775"/>
      <c r="FF364" s="1775"/>
      <c r="FG364" s="1776"/>
      <c r="FH364" s="1777"/>
      <c r="FI364" s="1775"/>
      <c r="FJ364" s="1775"/>
      <c r="FK364" s="1775"/>
      <c r="FL364" s="1775"/>
      <c r="FM364" s="1776"/>
      <c r="FQ364"/>
      <c r="FR364"/>
      <c r="FS364"/>
      <c r="FT364"/>
      <c r="FU364"/>
      <c r="FV364"/>
      <c r="GB364" s="24"/>
      <c r="GC364" s="24"/>
      <c r="GD364" s="24"/>
      <c r="GE364" s="24"/>
      <c r="GF364" s="24"/>
      <c r="GG364" s="24"/>
      <c r="GH364" s="24"/>
      <c r="GI364" s="2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  <c r="HB364"/>
      <c r="HC364"/>
      <c r="HD364"/>
      <c r="HE364"/>
      <c r="HF364"/>
      <c r="HG364"/>
      <c r="HH364"/>
      <c r="HI364"/>
      <c r="HJ364"/>
      <c r="HK364"/>
      <c r="HL364"/>
      <c r="HM364"/>
      <c r="HN364"/>
      <c r="HO364"/>
      <c r="HP364"/>
      <c r="HQ364"/>
      <c r="HR364"/>
      <c r="HS364"/>
      <c r="HT364"/>
      <c r="HU364"/>
      <c r="HV364"/>
      <c r="HW364"/>
      <c r="HX364"/>
      <c r="HY364"/>
      <c r="HZ364"/>
      <c r="IA364"/>
      <c r="IB364"/>
      <c r="IC364"/>
      <c r="ID364"/>
      <c r="IE364"/>
      <c r="IF364"/>
      <c r="IG364"/>
      <c r="IH364"/>
      <c r="II364"/>
      <c r="IJ364"/>
      <c r="IK364"/>
      <c r="IL364"/>
      <c r="IM364"/>
      <c r="IN364"/>
      <c r="IO364"/>
      <c r="IP364"/>
      <c r="IQ364"/>
      <c r="IR364"/>
      <c r="IS364"/>
      <c r="IT364"/>
      <c r="IU364"/>
      <c r="IV364"/>
      <c r="IW364"/>
      <c r="IX364"/>
      <c r="IY364"/>
      <c r="IZ364"/>
      <c r="JA364"/>
      <c r="JB364"/>
      <c r="JC364"/>
      <c r="JD364"/>
      <c r="JE364"/>
      <c r="JF364"/>
      <c r="JG364"/>
      <c r="JH364"/>
      <c r="JI364"/>
      <c r="JJ364"/>
      <c r="JK364"/>
      <c r="JL364"/>
      <c r="JM364"/>
      <c r="JN364"/>
    </row>
    <row r="365" spans="1:274" s="28" customFormat="1" ht="12.75" customHeight="1" x14ac:dyDescent="0.2">
      <c r="A365" s="1744" t="s">
        <v>1183</v>
      </c>
      <c r="B365" s="595"/>
      <c r="CG365" s="416"/>
      <c r="CM365" s="416"/>
      <c r="CS365" s="416"/>
      <c r="CY365" s="416"/>
      <c r="DA365" s="1632"/>
      <c r="DB365" s="1632"/>
      <c r="DC365" s="1632"/>
      <c r="DD365" s="1632"/>
      <c r="DE365" s="1633"/>
      <c r="DG365" s="1632"/>
      <c r="DH365" s="1632"/>
      <c r="DI365" s="1632"/>
      <c r="DJ365" s="1632"/>
      <c r="DK365" s="1633"/>
      <c r="DL365" s="1634"/>
      <c r="DM365" s="1632"/>
      <c r="DN365" s="1632"/>
      <c r="DO365" s="1632"/>
      <c r="DP365" s="1632"/>
      <c r="DQ365" s="1633"/>
      <c r="DR365" s="1634"/>
      <c r="DS365" s="1632"/>
      <c r="DT365" s="1632"/>
      <c r="DU365" s="1632"/>
      <c r="DV365" s="1632"/>
      <c r="DW365" s="1633"/>
      <c r="DX365" s="1634"/>
      <c r="DY365" s="1632"/>
      <c r="DZ365" s="1632"/>
      <c r="EA365" s="1746">
        <f>EA364+'Balance Sheet'!EA167</f>
        <v>221.05481767688963</v>
      </c>
      <c r="EB365" s="1746">
        <f>EB364+'Balance Sheet'!EB167</f>
        <v>209.0503120124805</v>
      </c>
      <c r="EC365" s="1745"/>
      <c r="ED365" s="18"/>
      <c r="EE365" s="33">
        <v>94</v>
      </c>
      <c r="EF365" s="33">
        <v>250</v>
      </c>
      <c r="EG365" s="1799">
        <v>164</v>
      </c>
      <c r="EH365" s="1799">
        <v>380</v>
      </c>
      <c r="EI365" s="226">
        <f>SUM(EE365:EH365)</f>
        <v>888</v>
      </c>
      <c r="EJ365" s="33"/>
      <c r="EK365" s="33">
        <v>200</v>
      </c>
      <c r="EL365" s="33">
        <v>311</v>
      </c>
      <c r="EM365" s="33">
        <v>334</v>
      </c>
      <c r="EN365" s="1799">
        <v>808</v>
      </c>
      <c r="EO365" s="226">
        <f>SUM(EK365:EN365)</f>
        <v>1653</v>
      </c>
      <c r="EQ365" s="33">
        <v>344</v>
      </c>
      <c r="ER365" s="33">
        <v>532</v>
      </c>
      <c r="ES365" s="33">
        <v>564</v>
      </c>
      <c r="ET365" s="1799">
        <v>868</v>
      </c>
      <c r="EU365" s="226">
        <f>SUM(EQ365:ET365)</f>
        <v>2308</v>
      </c>
      <c r="FA365" s="416"/>
      <c r="FG365" s="416"/>
      <c r="FM365" s="416"/>
      <c r="FQ365"/>
      <c r="FR365"/>
      <c r="FS365"/>
      <c r="FT365"/>
      <c r="FU365"/>
      <c r="FV365"/>
      <c r="GB365" s="24"/>
      <c r="GC365" s="24"/>
      <c r="GD365" s="24"/>
      <c r="GE365" s="24"/>
      <c r="GF365" s="24"/>
      <c r="GG365" s="24"/>
      <c r="GH365" s="24"/>
      <c r="GI365" s="24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  <c r="HB365"/>
      <c r="HC365"/>
      <c r="HD365"/>
      <c r="HE365"/>
      <c r="HF365"/>
      <c r="HG365"/>
      <c r="HH365"/>
      <c r="HI365"/>
      <c r="HJ365"/>
      <c r="HK365"/>
      <c r="HL365"/>
      <c r="HM365"/>
      <c r="HN365"/>
      <c r="HO365"/>
      <c r="HP365"/>
      <c r="HQ365"/>
      <c r="HR365"/>
      <c r="HS365"/>
      <c r="HT365"/>
      <c r="HU365"/>
      <c r="HV365"/>
      <c r="HW365"/>
      <c r="HX365"/>
      <c r="HY365"/>
      <c r="HZ365"/>
      <c r="IA365"/>
      <c r="IB365"/>
      <c r="IC365"/>
      <c r="ID365"/>
      <c r="IE365"/>
      <c r="IF365"/>
      <c r="IG365"/>
      <c r="IH365"/>
      <c r="II365"/>
      <c r="IJ365"/>
      <c r="IK365"/>
      <c r="IL365"/>
      <c r="IM365"/>
      <c r="IN365"/>
      <c r="IO365"/>
      <c r="IP365"/>
      <c r="IQ365"/>
      <c r="IR365"/>
      <c r="IS365"/>
      <c r="IT365"/>
      <c r="IU365"/>
      <c r="IV365"/>
      <c r="IW365"/>
      <c r="IX365"/>
      <c r="IY365"/>
      <c r="IZ365"/>
      <c r="JA365"/>
      <c r="JB365"/>
      <c r="JC365"/>
      <c r="JD365"/>
      <c r="JE365"/>
      <c r="JF365"/>
      <c r="JG365"/>
      <c r="JH365"/>
      <c r="JI365"/>
      <c r="JJ365"/>
      <c r="JK365"/>
      <c r="JL365"/>
      <c r="JM365"/>
      <c r="JN365"/>
    </row>
    <row r="366" spans="1:274" s="28" customFormat="1" ht="12.75" customHeight="1" x14ac:dyDescent="0.2">
      <c r="A366" s="1744" t="s">
        <v>1184</v>
      </c>
      <c r="B366" s="595"/>
      <c r="CG366" s="416"/>
      <c r="CM366" s="416"/>
      <c r="CS366" s="416"/>
      <c r="CY366" s="416"/>
      <c r="DA366" s="1632"/>
      <c r="DB366" s="1632"/>
      <c r="DC366" s="1632"/>
      <c r="DD366" s="1632"/>
      <c r="DE366" s="1633"/>
      <c r="DG366" s="1632"/>
      <c r="DH366" s="1632"/>
      <c r="DI366" s="1632"/>
      <c r="DJ366" s="1632"/>
      <c r="DK366" s="1633"/>
      <c r="DL366" s="1634"/>
      <c r="DM366" s="1632"/>
      <c r="DN366" s="1632"/>
      <c r="DO366" s="1632"/>
      <c r="DP366" s="1632"/>
      <c r="DQ366" s="1633"/>
      <c r="DR366" s="1634"/>
      <c r="DS366" s="1632"/>
      <c r="DT366" s="1632"/>
      <c r="DU366" s="1632"/>
      <c r="DV366" s="1632"/>
      <c r="DW366" s="1633"/>
      <c r="DX366" s="1634"/>
      <c r="DY366" s="1632"/>
      <c r="DZ366" s="1632"/>
      <c r="EA366" s="1746"/>
      <c r="EB366" s="1746">
        <f>EB365-EA365+Model!EB45+Model!EB48</f>
        <v>-11.976028117859288</v>
      </c>
      <c r="EC366" s="1745"/>
      <c r="ED366" s="18"/>
      <c r="EE366" s="33">
        <v>171</v>
      </c>
      <c r="EF366" s="33">
        <v>230</v>
      </c>
      <c r="EG366" s="33">
        <v>220</v>
      </c>
      <c r="EH366" s="33">
        <v>312</v>
      </c>
      <c r="EI366" s="226">
        <f>SUM(EE366:EH366)</f>
        <v>933</v>
      </c>
      <c r="EJ366" s="33"/>
      <c r="EK366" s="33">
        <v>166</v>
      </c>
      <c r="EL366" s="33">
        <v>211</v>
      </c>
      <c r="EM366" s="33">
        <v>213</v>
      </c>
      <c r="EN366" s="33">
        <v>318</v>
      </c>
      <c r="EO366" s="226">
        <f>SUM(EK366:EN366)</f>
        <v>908</v>
      </c>
      <c r="EQ366" s="33">
        <v>173</v>
      </c>
      <c r="ER366" s="33">
        <v>224</v>
      </c>
      <c r="ES366" s="33">
        <v>206</v>
      </c>
      <c r="ET366" s="33">
        <v>326</v>
      </c>
      <c r="EU366" s="226">
        <f>SUM(EQ366:ET366)</f>
        <v>929</v>
      </c>
      <c r="FA366" s="416"/>
      <c r="FG366" s="416"/>
      <c r="FM366" s="416"/>
      <c r="FQ366"/>
      <c r="FR366"/>
      <c r="FS366"/>
      <c r="FT366"/>
      <c r="FU366"/>
      <c r="FV366"/>
      <c r="GB366" s="24"/>
      <c r="GC366" s="24"/>
      <c r="GD366" s="24"/>
      <c r="GE366" s="24"/>
      <c r="GF366" s="24"/>
      <c r="GG366" s="24"/>
      <c r="GH366" s="24"/>
      <c r="GI366" s="24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  <c r="HB366"/>
      <c r="HC366"/>
      <c r="HD366"/>
      <c r="HE366"/>
      <c r="HF366"/>
      <c r="HG366"/>
      <c r="HH366"/>
      <c r="HI366"/>
      <c r="HJ366"/>
      <c r="HK366"/>
      <c r="HL366"/>
      <c r="HM366"/>
      <c r="HN366"/>
      <c r="HO366"/>
      <c r="HP366"/>
      <c r="HQ366"/>
      <c r="HR366"/>
      <c r="HS366"/>
      <c r="HT366"/>
      <c r="HU366"/>
      <c r="HV366"/>
      <c r="HW366"/>
      <c r="HX366"/>
      <c r="HY366"/>
      <c r="HZ366"/>
      <c r="IA366"/>
      <c r="IB366"/>
      <c r="IC366"/>
      <c r="ID366"/>
      <c r="IE366"/>
      <c r="IF366"/>
      <c r="IG366"/>
      <c r="IH366"/>
      <c r="II366"/>
      <c r="IJ366"/>
      <c r="IK366"/>
      <c r="IL366"/>
      <c r="IM366"/>
      <c r="IN366"/>
      <c r="IO366"/>
      <c r="IP366"/>
      <c r="IQ366"/>
      <c r="IR366"/>
      <c r="IS366"/>
      <c r="IT366"/>
      <c r="IU366"/>
      <c r="IV366"/>
      <c r="IW366"/>
      <c r="IX366"/>
      <c r="IY366"/>
      <c r="IZ366"/>
      <c r="JA366"/>
      <c r="JB366"/>
      <c r="JC366"/>
      <c r="JD366"/>
      <c r="JE366"/>
      <c r="JF366"/>
      <c r="JG366"/>
      <c r="JH366"/>
      <c r="JI366"/>
      <c r="JJ366"/>
      <c r="JK366"/>
      <c r="JL366"/>
      <c r="JM366"/>
      <c r="JN366"/>
    </row>
    <row r="367" spans="1:274" s="28" customFormat="1" ht="12.75" customHeight="1" x14ac:dyDescent="0.2">
      <c r="A367" s="1744" t="s">
        <v>1185</v>
      </c>
      <c r="B367" s="595"/>
      <c r="CG367" s="416"/>
      <c r="CM367" s="416"/>
      <c r="CS367" s="416"/>
      <c r="CY367" s="416"/>
      <c r="DA367" s="1632"/>
      <c r="DB367" s="1632"/>
      <c r="DC367" s="1632"/>
      <c r="DD367" s="1632"/>
      <c r="DE367" s="1633"/>
      <c r="DG367" s="1632"/>
      <c r="DH367" s="1632"/>
      <c r="DI367" s="1632"/>
      <c r="DJ367" s="1632"/>
      <c r="DK367" s="1633"/>
      <c r="DL367" s="1634"/>
      <c r="DM367" s="1632"/>
      <c r="DN367" s="1632"/>
      <c r="DO367" s="1632"/>
      <c r="DP367" s="1632"/>
      <c r="DQ367" s="1633"/>
      <c r="DR367" s="1634"/>
      <c r="DS367" s="1632"/>
      <c r="DT367" s="1632"/>
      <c r="DU367" s="1632"/>
      <c r="DV367" s="1632"/>
      <c r="DW367" s="1633"/>
      <c r="DX367" s="1634"/>
      <c r="DY367" s="1632"/>
      <c r="DZ367" s="1632"/>
      <c r="EA367" s="1746"/>
      <c r="EB367" s="1746"/>
      <c r="EC367" s="1745"/>
      <c r="ED367" s="18"/>
      <c r="EE367" s="33">
        <v>287</v>
      </c>
      <c r="EF367" s="33">
        <v>461</v>
      </c>
      <c r="EG367" s="33">
        <v>473</v>
      </c>
      <c r="EH367" s="33">
        <v>657</v>
      </c>
      <c r="EI367" s="226">
        <f>SUM(EE367:EH367)</f>
        <v>1878</v>
      </c>
      <c r="EJ367" s="33"/>
      <c r="EK367" s="33">
        <v>280</v>
      </c>
      <c r="EL367" s="33">
        <v>409</v>
      </c>
      <c r="EM367" s="33">
        <v>465</v>
      </c>
      <c r="EN367" s="33">
        <v>691</v>
      </c>
      <c r="EO367" s="226">
        <f>SUM(EK367:EN367)</f>
        <v>1845</v>
      </c>
      <c r="EQ367" s="33">
        <v>346</v>
      </c>
      <c r="ER367" s="33">
        <v>443</v>
      </c>
      <c r="ES367" s="33">
        <v>480</v>
      </c>
      <c r="ET367" s="33">
        <v>608</v>
      </c>
      <c r="EU367" s="226">
        <f>SUM(EQ367:ET367)</f>
        <v>1877</v>
      </c>
      <c r="FA367" s="416"/>
      <c r="FG367" s="416"/>
      <c r="FM367" s="416"/>
      <c r="FQ367"/>
      <c r="FR367"/>
      <c r="FS367"/>
      <c r="FT367"/>
      <c r="FU367"/>
      <c r="FV367"/>
      <c r="GB367" s="24"/>
      <c r="GC367" s="24"/>
      <c r="GD367" s="24"/>
      <c r="GE367" s="24"/>
      <c r="GF367" s="24"/>
      <c r="GG367" s="24"/>
      <c r="GH367" s="24"/>
      <c r="GI367" s="24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  <c r="HB367"/>
      <c r="HC367"/>
      <c r="HD367"/>
      <c r="HE367"/>
      <c r="HF367"/>
      <c r="HG367"/>
      <c r="HH367"/>
      <c r="HI367"/>
      <c r="HJ367"/>
      <c r="HK367"/>
      <c r="HL367"/>
      <c r="HM367"/>
      <c r="HN367"/>
      <c r="HO367"/>
      <c r="HP367"/>
      <c r="HQ367"/>
      <c r="HR367"/>
      <c r="HS367"/>
      <c r="HT367"/>
      <c r="HU367"/>
      <c r="HV367"/>
      <c r="HW367"/>
      <c r="HX367"/>
      <c r="HY367"/>
      <c r="HZ367"/>
      <c r="IA367"/>
      <c r="IB367"/>
      <c r="IC367"/>
      <c r="ID367"/>
      <c r="IE367"/>
      <c r="IF367"/>
      <c r="IG367"/>
      <c r="IH367"/>
      <c r="II367"/>
      <c r="IJ367"/>
      <c r="IK367"/>
      <c r="IL367"/>
      <c r="IM367"/>
      <c r="IN367"/>
      <c r="IO367"/>
      <c r="IP367"/>
      <c r="IQ367"/>
      <c r="IR367"/>
      <c r="IS367"/>
      <c r="IT367"/>
      <c r="IU367"/>
      <c r="IV367"/>
      <c r="IW367"/>
      <c r="IX367"/>
      <c r="IY367"/>
      <c r="IZ367"/>
      <c r="JA367"/>
      <c r="JB367"/>
      <c r="JC367"/>
      <c r="JD367"/>
      <c r="JE367"/>
      <c r="JF367"/>
      <c r="JG367"/>
      <c r="JH367"/>
      <c r="JI367"/>
      <c r="JJ367"/>
      <c r="JK367"/>
      <c r="JL367"/>
      <c r="JM367"/>
      <c r="JN367"/>
    </row>
    <row r="368" spans="1:274" s="28" customFormat="1" ht="12.75" customHeight="1" x14ac:dyDescent="0.2">
      <c r="A368" s="1801" t="s">
        <v>1186</v>
      </c>
      <c r="B368" s="595"/>
      <c r="CG368" s="416"/>
      <c r="CM368" s="416"/>
      <c r="CS368" s="416"/>
      <c r="CY368" s="416"/>
      <c r="DA368" s="1632"/>
      <c r="DB368" s="1632"/>
      <c r="DC368" s="1632"/>
      <c r="DD368" s="1632"/>
      <c r="DE368" s="1633"/>
      <c r="DG368" s="1632"/>
      <c r="DH368" s="1632"/>
      <c r="DI368" s="1632"/>
      <c r="DJ368" s="1632"/>
      <c r="DK368" s="1633"/>
      <c r="DL368" s="1634"/>
      <c r="DM368" s="1632"/>
      <c r="DN368" s="1632"/>
      <c r="DO368" s="1632"/>
      <c r="DP368" s="1632"/>
      <c r="DQ368" s="1633"/>
      <c r="DR368" s="1634"/>
      <c r="DS368" s="1632"/>
      <c r="DT368" s="1632"/>
      <c r="DU368" s="1632"/>
      <c r="DV368" s="1632"/>
      <c r="DW368" s="1633"/>
      <c r="DX368" s="1634"/>
      <c r="DY368" s="1632"/>
      <c r="DZ368" s="1632"/>
      <c r="EA368" s="1632"/>
      <c r="EB368" s="1632"/>
      <c r="EC368" s="416"/>
      <c r="EE368" s="31">
        <v>497</v>
      </c>
      <c r="EF368" s="31">
        <v>862</v>
      </c>
      <c r="EG368" s="1806">
        <v>789</v>
      </c>
      <c r="EH368" s="1806">
        <v>1217</v>
      </c>
      <c r="EI368" s="296">
        <f>SUM(EE368:EH368)</f>
        <v>3365</v>
      </c>
      <c r="EJ368" s="31"/>
      <c r="EK368" s="31">
        <v>612</v>
      </c>
      <c r="EL368" s="31">
        <v>857</v>
      </c>
      <c r="EM368" s="31">
        <v>942</v>
      </c>
      <c r="EN368" s="1806">
        <v>1640</v>
      </c>
      <c r="EO368" s="296">
        <f>SUM(EK368:EN368)</f>
        <v>4051</v>
      </c>
      <c r="EQ368" s="31">
        <v>776</v>
      </c>
      <c r="ER368" s="31">
        <v>1082</v>
      </c>
      <c r="ES368" s="31">
        <v>1125</v>
      </c>
      <c r="ET368" s="1806">
        <v>1576</v>
      </c>
      <c r="EU368" s="296">
        <f>SUM(EQ368:ET368)</f>
        <v>4559</v>
      </c>
      <c r="FA368" s="416"/>
      <c r="FG368" s="416"/>
      <c r="FM368" s="416"/>
      <c r="FQ368"/>
      <c r="FR368"/>
      <c r="FS368"/>
      <c r="FT368"/>
      <c r="FU368"/>
      <c r="FV368"/>
      <c r="GB368" s="24"/>
      <c r="GC368" s="24"/>
      <c r="GD368" s="24"/>
      <c r="GE368" s="24"/>
      <c r="GF368" s="24"/>
      <c r="GG368" s="24"/>
      <c r="GH368" s="24"/>
      <c r="GI368" s="24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  <c r="HB368"/>
      <c r="HC368"/>
      <c r="HD368"/>
      <c r="HE368"/>
      <c r="HF368"/>
      <c r="HG368"/>
      <c r="HH368"/>
      <c r="HI368"/>
      <c r="HJ368"/>
      <c r="HK368"/>
      <c r="HL368"/>
      <c r="HM368"/>
      <c r="HN368"/>
      <c r="HO368"/>
      <c r="HP368"/>
      <c r="HQ368"/>
      <c r="HR368"/>
      <c r="HS368"/>
      <c r="HT368"/>
      <c r="HU368"/>
      <c r="HV368"/>
      <c r="HW368"/>
      <c r="HX368"/>
      <c r="HY368"/>
      <c r="HZ368"/>
      <c r="IA368"/>
      <c r="IB368"/>
      <c r="IC368"/>
      <c r="ID368"/>
      <c r="IE368"/>
      <c r="IF368"/>
      <c r="IG368"/>
      <c r="IH368"/>
      <c r="II368"/>
      <c r="IJ368"/>
      <c r="IK368"/>
      <c r="IL368"/>
      <c r="IM368"/>
      <c r="IN368"/>
      <c r="IO368"/>
      <c r="IP368"/>
      <c r="IQ368"/>
      <c r="IR368"/>
      <c r="IS368"/>
      <c r="IT368"/>
      <c r="IU368"/>
      <c r="IV368"/>
      <c r="IW368"/>
      <c r="IX368"/>
      <c r="IY368"/>
      <c r="IZ368"/>
      <c r="JA368"/>
      <c r="JB368"/>
      <c r="JC368"/>
      <c r="JD368"/>
      <c r="JE368"/>
      <c r="JF368"/>
      <c r="JG368"/>
      <c r="JH368"/>
      <c r="JI368"/>
      <c r="JJ368"/>
      <c r="JK368"/>
      <c r="JL368"/>
      <c r="JM368"/>
      <c r="JN368"/>
    </row>
    <row r="369" spans="1:274" s="28" customFormat="1" ht="12.75" customHeight="1" x14ac:dyDescent="0.2">
      <c r="A369" s="1744"/>
      <c r="B369" s="595"/>
      <c r="CG369" s="416"/>
      <c r="CM369" s="416"/>
      <c r="CS369" s="416"/>
      <c r="CY369" s="416"/>
      <c r="DA369" s="1632"/>
      <c r="DB369" s="1632"/>
      <c r="DC369" s="1632"/>
      <c r="DD369" s="1632"/>
      <c r="DE369" s="1633"/>
      <c r="DG369" s="1632"/>
      <c r="DH369" s="1632"/>
      <c r="DI369" s="1632"/>
      <c r="DJ369" s="1632"/>
      <c r="DK369" s="1633"/>
      <c r="DL369" s="1634"/>
      <c r="DM369" s="1632"/>
      <c r="DN369" s="1632"/>
      <c r="DO369" s="1632"/>
      <c r="DP369" s="1632"/>
      <c r="DQ369" s="1633"/>
      <c r="DR369" s="1634"/>
      <c r="DS369" s="1632"/>
      <c r="DT369" s="1632"/>
      <c r="DU369" s="1632"/>
      <c r="DV369" s="1632"/>
      <c r="DW369" s="1633"/>
      <c r="DX369" s="1634"/>
      <c r="DY369" s="1632"/>
      <c r="DZ369" s="1632"/>
      <c r="EA369" s="1632"/>
      <c r="EB369" s="1632"/>
      <c r="EC369" s="416"/>
      <c r="EG369" s="1632"/>
      <c r="EH369" s="1753"/>
      <c r="EI369" s="416"/>
      <c r="EN369" s="1753"/>
      <c r="EO369" s="416"/>
      <c r="ET369" s="1753"/>
      <c r="EU369" s="416"/>
      <c r="FA369" s="416"/>
      <c r="FG369" s="416"/>
      <c r="FM369" s="416"/>
      <c r="FQ369"/>
      <c r="FR369"/>
      <c r="FS369"/>
      <c r="FT369"/>
      <c r="FU369"/>
      <c r="FV369"/>
      <c r="GB369" s="24"/>
      <c r="GC369" s="24"/>
      <c r="GD369" s="24"/>
      <c r="GE369" s="24"/>
      <c r="GF369" s="24"/>
      <c r="GG369" s="24"/>
      <c r="GH369" s="24"/>
      <c r="GI369" s="24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  <c r="HB369"/>
      <c r="HC369"/>
      <c r="HD369"/>
      <c r="HE369"/>
      <c r="HF369"/>
      <c r="HG369"/>
      <c r="HH369"/>
      <c r="HI369"/>
      <c r="HJ369"/>
      <c r="HK369"/>
      <c r="HL369"/>
      <c r="HM369"/>
      <c r="HN369"/>
      <c r="HO369"/>
      <c r="HP369"/>
      <c r="HQ369"/>
      <c r="HR369"/>
      <c r="HS369"/>
      <c r="HT369"/>
      <c r="HU369"/>
      <c r="HV369"/>
      <c r="HW369"/>
      <c r="HX369"/>
      <c r="HY369"/>
      <c r="HZ369"/>
      <c r="IA369"/>
      <c r="IB369"/>
      <c r="IC369"/>
      <c r="ID369"/>
      <c r="IE369"/>
      <c r="IF369"/>
      <c r="IG369"/>
      <c r="IH369"/>
      <c r="II369"/>
      <c r="IJ369"/>
      <c r="IK369"/>
      <c r="IL369"/>
      <c r="IM369"/>
      <c r="IN369"/>
      <c r="IO369"/>
      <c r="IP369"/>
      <c r="IQ369"/>
      <c r="IR369"/>
      <c r="IS369"/>
      <c r="IT369"/>
      <c r="IU369"/>
      <c r="IV369"/>
      <c r="IW369"/>
      <c r="IX369"/>
      <c r="IY369"/>
      <c r="IZ369"/>
      <c r="JA369"/>
      <c r="JB369"/>
      <c r="JC369"/>
      <c r="JD369"/>
      <c r="JE369"/>
      <c r="JF369"/>
      <c r="JG369"/>
      <c r="JH369"/>
      <c r="JI369"/>
      <c r="JJ369"/>
      <c r="JK369"/>
      <c r="JL369"/>
      <c r="JM369"/>
      <c r="JN369"/>
    </row>
    <row r="370" spans="1:274" s="28" customFormat="1" ht="12.75" customHeight="1" x14ac:dyDescent="0.2">
      <c r="A370" s="1801" t="s">
        <v>1188</v>
      </c>
      <c r="B370" s="595"/>
      <c r="CG370" s="416"/>
      <c r="CM370" s="416"/>
      <c r="CS370" s="416"/>
      <c r="CY370" s="416"/>
      <c r="DA370" s="1632"/>
      <c r="DB370" s="1632"/>
      <c r="DC370" s="1632"/>
      <c r="DD370" s="1632"/>
      <c r="DE370" s="1633"/>
      <c r="DG370" s="1632"/>
      <c r="DH370" s="1632"/>
      <c r="DI370" s="1632"/>
      <c r="DJ370" s="1632"/>
      <c r="DK370" s="1633"/>
      <c r="DL370" s="1634"/>
      <c r="DM370" s="1632"/>
      <c r="DN370" s="1632"/>
      <c r="DO370" s="1632"/>
      <c r="DP370" s="1632"/>
      <c r="DQ370" s="1633"/>
      <c r="DR370" s="1634"/>
      <c r="DS370" s="1632"/>
      <c r="DT370" s="1632"/>
      <c r="DU370" s="1632"/>
      <c r="DV370" s="1632"/>
      <c r="DW370" s="1633"/>
      <c r="DX370" s="1634"/>
      <c r="DY370" s="1632"/>
      <c r="DZ370" s="1632"/>
      <c r="EA370" s="1632"/>
      <c r="EB370" s="1632"/>
      <c r="EC370" s="416"/>
      <c r="EE370" s="31"/>
      <c r="EF370" s="31">
        <v>161</v>
      </c>
      <c r="EG370" s="1806">
        <v>537</v>
      </c>
      <c r="EH370" s="1806">
        <v>1412</v>
      </c>
      <c r="EI370" s="296"/>
      <c r="EJ370" s="31"/>
      <c r="EK370" s="31">
        <v>809</v>
      </c>
      <c r="EL370" s="31">
        <v>1343</v>
      </c>
      <c r="EM370" s="31">
        <v>1163</v>
      </c>
      <c r="EN370" s="1806">
        <v>2005</v>
      </c>
      <c r="EO370" s="416"/>
      <c r="EQ370" s="31">
        <v>2032</v>
      </c>
      <c r="ER370" s="31">
        <v>2225</v>
      </c>
      <c r="ES370" s="31">
        <v>2380</v>
      </c>
      <c r="ET370" s="1806">
        <v>3740</v>
      </c>
      <c r="EU370" s="416"/>
      <c r="FA370" s="416"/>
      <c r="FG370" s="416"/>
      <c r="FM370" s="416"/>
      <c r="FQ370"/>
      <c r="FR370"/>
      <c r="FS370"/>
      <c r="FT370"/>
      <c r="FU370"/>
      <c r="FV370"/>
      <c r="GB370" s="24"/>
      <c r="GC370" s="24"/>
      <c r="GD370" s="24"/>
      <c r="GE370" s="24"/>
      <c r="GF370" s="24"/>
      <c r="GG370" s="24"/>
      <c r="GH370" s="24"/>
      <c r="GI370" s="24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  <c r="HB370"/>
      <c r="HC370"/>
      <c r="HD370"/>
      <c r="HE370"/>
      <c r="HF370"/>
      <c r="HG370"/>
      <c r="HH370"/>
      <c r="HI370"/>
      <c r="HJ370"/>
      <c r="HK370"/>
      <c r="HL370"/>
      <c r="HM370"/>
      <c r="HN370"/>
      <c r="HO370"/>
      <c r="HP370"/>
      <c r="HQ370"/>
      <c r="HR370"/>
      <c r="HS370"/>
      <c r="HT370"/>
      <c r="HU370"/>
      <c r="HV370"/>
      <c r="HW370"/>
      <c r="HX370"/>
      <c r="HY370"/>
      <c r="HZ370"/>
      <c r="IA370"/>
      <c r="IB370"/>
      <c r="IC370"/>
      <c r="ID370"/>
      <c r="IE370"/>
      <c r="IF370"/>
      <c r="IG370"/>
      <c r="IH370"/>
      <c r="II370"/>
      <c r="IJ370"/>
      <c r="IK370"/>
      <c r="IL370"/>
      <c r="IM370"/>
      <c r="IN370"/>
      <c r="IO370"/>
      <c r="IP370"/>
      <c r="IQ370"/>
      <c r="IR370"/>
      <c r="IS370"/>
      <c r="IT370"/>
      <c r="IU370"/>
      <c r="IV370"/>
      <c r="IW370"/>
      <c r="IX370"/>
      <c r="IY370"/>
      <c r="IZ370"/>
      <c r="JA370"/>
      <c r="JB370"/>
      <c r="JC370"/>
      <c r="JD370"/>
      <c r="JE370"/>
      <c r="JF370"/>
      <c r="JG370"/>
      <c r="JH370"/>
      <c r="JI370"/>
      <c r="JJ370"/>
      <c r="JK370"/>
      <c r="JL370"/>
      <c r="JM370"/>
      <c r="JN370"/>
    </row>
    <row r="371" spans="1:274" s="28" customFormat="1" ht="12.75" customHeight="1" x14ac:dyDescent="0.2">
      <c r="A371" s="1744"/>
      <c r="B371" s="595"/>
      <c r="CG371" s="416"/>
      <c r="CM371" s="416"/>
      <c r="CS371" s="416"/>
      <c r="CY371" s="416"/>
      <c r="DA371" s="1632"/>
      <c r="DB371" s="1632"/>
      <c r="DC371" s="1632"/>
      <c r="DD371" s="1632"/>
      <c r="DE371" s="1633"/>
      <c r="DG371" s="1632"/>
      <c r="DH371" s="1632"/>
      <c r="DI371" s="1632"/>
      <c r="DJ371" s="1632"/>
      <c r="DK371" s="1633"/>
      <c r="DL371" s="1634"/>
      <c r="DM371" s="1632"/>
      <c r="DN371" s="1632"/>
      <c r="DO371" s="1632"/>
      <c r="DP371" s="1632"/>
      <c r="DQ371" s="1633"/>
      <c r="DR371" s="1634"/>
      <c r="DS371" s="1632"/>
      <c r="DT371" s="1632"/>
      <c r="DU371" s="1632"/>
      <c r="DV371" s="1632"/>
      <c r="DW371" s="1633"/>
      <c r="DX371" s="1634"/>
      <c r="DY371" s="1632"/>
      <c r="DZ371" s="1632"/>
      <c r="EA371" s="1632"/>
      <c r="EB371" s="1632"/>
      <c r="EC371" s="416"/>
      <c r="EG371" s="1632"/>
      <c r="EH371" s="1753"/>
      <c r="EI371" s="416"/>
      <c r="EO371" s="416"/>
      <c r="EU371" s="416"/>
      <c r="EZ371" s="1883"/>
      <c r="FA371" s="416"/>
      <c r="FG371" s="416"/>
      <c r="FM371" s="416"/>
      <c r="FQ371"/>
      <c r="FR371"/>
      <c r="FS371"/>
      <c r="FT371"/>
      <c r="FU371"/>
      <c r="FV371"/>
      <c r="GB371" s="24"/>
      <c r="GC371" s="24"/>
      <c r="GD371" s="24"/>
      <c r="GE371" s="24"/>
      <c r="GF371" s="24"/>
      <c r="GG371" s="24"/>
      <c r="GH371" s="24"/>
      <c r="GI371" s="24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  <c r="HB371"/>
      <c r="HC371"/>
      <c r="HD371"/>
      <c r="HE371"/>
      <c r="HF371"/>
      <c r="HG371"/>
      <c r="HH371"/>
      <c r="HI371"/>
      <c r="HJ371"/>
      <c r="HK371"/>
      <c r="HL371"/>
      <c r="HM371"/>
      <c r="HN371"/>
      <c r="HO371"/>
      <c r="HP371"/>
      <c r="HQ371"/>
      <c r="HR371"/>
      <c r="HS371"/>
      <c r="HT371"/>
      <c r="HU371"/>
      <c r="HV371"/>
      <c r="HW371"/>
      <c r="HX371"/>
      <c r="HY371"/>
      <c r="HZ371"/>
      <c r="IA371"/>
      <c r="IB371"/>
      <c r="IC371"/>
      <c r="ID371"/>
      <c r="IE371"/>
      <c r="IF371"/>
      <c r="IG371"/>
      <c r="IH371"/>
      <c r="II371"/>
      <c r="IJ371"/>
      <c r="IK371"/>
      <c r="IL371"/>
      <c r="IM371"/>
      <c r="IN371"/>
      <c r="IO371"/>
      <c r="IP371"/>
      <c r="IQ371"/>
      <c r="IR371"/>
      <c r="IS371"/>
      <c r="IT371"/>
      <c r="IU371"/>
      <c r="IV371"/>
      <c r="IW371"/>
      <c r="IX371"/>
      <c r="IY371"/>
      <c r="IZ371"/>
      <c r="JA371"/>
      <c r="JB371"/>
      <c r="JC371"/>
      <c r="JD371"/>
      <c r="JE371"/>
      <c r="JF371"/>
      <c r="JG371"/>
      <c r="JH371"/>
      <c r="JI371"/>
      <c r="JJ371"/>
      <c r="JK371"/>
      <c r="JL371"/>
      <c r="JM371"/>
      <c r="JN371"/>
    </row>
    <row r="372" spans="1:274" s="28" customFormat="1" ht="12.75" customHeight="1" x14ac:dyDescent="0.2">
      <c r="A372" s="18" t="s">
        <v>1119</v>
      </c>
      <c r="B372" s="595"/>
      <c r="CG372" s="416"/>
      <c r="CM372" s="416"/>
      <c r="CS372" s="416"/>
      <c r="CY372" s="416"/>
      <c r="DA372" s="1632"/>
      <c r="DB372" s="1632"/>
      <c r="DC372" s="1632"/>
      <c r="DD372" s="1632"/>
      <c r="DE372" s="1633"/>
      <c r="DG372" s="1632"/>
      <c r="DH372" s="1632"/>
      <c r="DI372" s="1632"/>
      <c r="DJ372" s="1632"/>
      <c r="DK372" s="1633"/>
      <c r="DL372" s="1634"/>
      <c r="DM372" s="1632"/>
      <c r="DN372" s="1632"/>
      <c r="DO372" s="1632"/>
      <c r="DP372" s="1632"/>
      <c r="DQ372" s="1633"/>
      <c r="DR372" s="1634"/>
      <c r="DS372" s="1632"/>
      <c r="DT372" s="1632"/>
      <c r="DU372" s="1632"/>
      <c r="DV372" s="1632"/>
      <c r="DW372" s="1633"/>
      <c r="DX372" s="1634"/>
      <c r="DY372" s="1632"/>
      <c r="DZ372" s="1632"/>
      <c r="EA372" s="1632"/>
      <c r="EB372" s="1632"/>
      <c r="EC372" s="416"/>
      <c r="EI372" s="416"/>
      <c r="EO372" s="416"/>
      <c r="EU372" s="416"/>
      <c r="FA372" s="416"/>
      <c r="FG372" s="416"/>
      <c r="FM372" s="416"/>
      <c r="FQ372"/>
      <c r="FR372"/>
      <c r="FS372"/>
      <c r="FT372"/>
      <c r="FU372"/>
      <c r="FV372"/>
      <c r="GB372" s="24"/>
      <c r="GC372" s="24"/>
      <c r="GD372" s="24"/>
      <c r="GE372" s="24"/>
      <c r="GF372" s="24"/>
      <c r="GG372" s="24"/>
      <c r="GH372" s="24"/>
      <c r="GI372" s="24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  <c r="HB372"/>
      <c r="HC372"/>
      <c r="HD372"/>
      <c r="HE372"/>
      <c r="HF372"/>
      <c r="HG372"/>
      <c r="HH372"/>
      <c r="HI372"/>
      <c r="HJ372"/>
      <c r="HK372"/>
      <c r="HL372"/>
      <c r="HM372"/>
      <c r="HN372"/>
      <c r="HO372"/>
      <c r="HP372"/>
      <c r="HQ372"/>
      <c r="HR372"/>
      <c r="HS372"/>
      <c r="HT372"/>
      <c r="HU372"/>
      <c r="HV372"/>
      <c r="HW372"/>
      <c r="HX372"/>
      <c r="HY372"/>
      <c r="HZ372"/>
      <c r="IA372"/>
      <c r="IB372"/>
      <c r="IC372"/>
      <c r="ID372"/>
      <c r="IE372"/>
      <c r="IF372"/>
      <c r="IG372"/>
      <c r="IH372"/>
      <c r="II372"/>
      <c r="IJ372"/>
      <c r="IK372"/>
      <c r="IL372"/>
      <c r="IM372"/>
      <c r="IN372"/>
      <c r="IO372"/>
      <c r="IP372"/>
      <c r="IQ372"/>
      <c r="IR372"/>
      <c r="IS372"/>
      <c r="IT372"/>
      <c r="IU372"/>
      <c r="IV372"/>
      <c r="IW372"/>
      <c r="IX372"/>
      <c r="IY372"/>
      <c r="IZ372"/>
      <c r="JA372"/>
      <c r="JB372"/>
      <c r="JC372"/>
      <c r="JD372"/>
      <c r="JE372"/>
      <c r="JF372"/>
      <c r="JG372"/>
      <c r="JH372"/>
      <c r="JI372"/>
      <c r="JJ372"/>
      <c r="JK372"/>
      <c r="JL372"/>
      <c r="JM372"/>
      <c r="JN372"/>
    </row>
    <row r="373" spans="1:274" s="28" customFormat="1" ht="12.75" customHeight="1" x14ac:dyDescent="0.2">
      <c r="A373" s="1665"/>
      <c r="B373" s="595"/>
      <c r="CG373" s="416"/>
      <c r="CM373" s="416"/>
      <c r="CS373" s="416"/>
      <c r="CY373" s="416"/>
      <c r="DA373" s="1632"/>
      <c r="DB373" s="1632"/>
      <c r="DC373" s="1632"/>
      <c r="DD373" s="1632"/>
      <c r="DE373" s="1633"/>
      <c r="DG373" s="1632"/>
      <c r="DH373" s="1632"/>
      <c r="DI373" s="1632"/>
      <c r="DJ373" s="1632"/>
      <c r="DK373" s="1633"/>
      <c r="DL373" s="1634"/>
      <c r="DM373" s="1632"/>
      <c r="DN373" s="1632"/>
      <c r="DO373" s="1632"/>
      <c r="DP373" s="1632"/>
      <c r="DQ373" s="1633">
        <f>37617/36501-1</f>
        <v>3.0574504808087433E-2</v>
      </c>
      <c r="DR373" s="1634"/>
      <c r="DS373" s="1632"/>
      <c r="DT373" s="1632"/>
      <c r="DU373" s="1632"/>
      <c r="DV373" s="1632"/>
      <c r="DW373" s="1633">
        <f>37477/38032-1</f>
        <v>-1.4592974337400033E-2</v>
      </c>
      <c r="DX373" s="1634"/>
      <c r="DY373" s="1632"/>
      <c r="DZ373" s="1632"/>
      <c r="EA373" s="1632"/>
      <c r="EB373" s="1632"/>
      <c r="EC373" s="1633">
        <f>38486/38258-1</f>
        <v>5.9595378744314864E-3</v>
      </c>
      <c r="EI373" s="1633"/>
      <c r="EO373" s="416"/>
      <c r="EU373" s="416"/>
      <c r="FA373" s="416"/>
      <c r="FG373" s="416"/>
      <c r="FM373" s="416"/>
      <c r="FQ373"/>
      <c r="FR373"/>
      <c r="FS373"/>
      <c r="FT373"/>
      <c r="FU373"/>
      <c r="FV373"/>
      <c r="GB373" s="24"/>
      <c r="GC373" s="24"/>
      <c r="GD373" s="24"/>
      <c r="GE373" s="24"/>
      <c r="GF373" s="24"/>
      <c r="GG373" s="24"/>
      <c r="GH373" s="24"/>
      <c r="GI373" s="24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  <c r="HB373"/>
      <c r="HC373"/>
      <c r="HD373"/>
      <c r="HE373"/>
      <c r="HF373"/>
      <c r="HG373"/>
      <c r="HH373"/>
      <c r="HI373"/>
      <c r="HJ373"/>
      <c r="HK373"/>
      <c r="HL373"/>
      <c r="HM373"/>
      <c r="HN373"/>
      <c r="HO373"/>
      <c r="HP373"/>
      <c r="HQ373"/>
      <c r="HR373"/>
      <c r="HS373"/>
      <c r="HT373"/>
      <c r="HU373"/>
      <c r="HV373"/>
      <c r="HW373"/>
      <c r="HX373"/>
      <c r="HY373"/>
      <c r="HZ373"/>
      <c r="IA373"/>
      <c r="IB373"/>
      <c r="IC373"/>
      <c r="ID373"/>
      <c r="IE373"/>
      <c r="IF373"/>
      <c r="IG373"/>
      <c r="IH373"/>
      <c r="II373"/>
      <c r="IJ373"/>
      <c r="IK373"/>
      <c r="IL373"/>
      <c r="IM373"/>
      <c r="IN373"/>
      <c r="IO373"/>
      <c r="IP373"/>
      <c r="IQ373"/>
      <c r="IR373"/>
      <c r="IS373"/>
      <c r="IT373"/>
      <c r="IU373"/>
      <c r="IV373"/>
      <c r="IW373"/>
      <c r="IX373"/>
      <c r="IY373"/>
      <c r="IZ373"/>
      <c r="JA373"/>
      <c r="JB373"/>
      <c r="JC373"/>
      <c r="JD373"/>
      <c r="JE373"/>
      <c r="JF373"/>
      <c r="JG373"/>
      <c r="JH373"/>
      <c r="JI373"/>
      <c r="JJ373"/>
      <c r="JK373"/>
      <c r="JL373"/>
      <c r="JM373"/>
      <c r="JN373"/>
    </row>
    <row r="374" spans="1:274" s="28" customFormat="1" ht="12.75" customHeight="1" x14ac:dyDescent="0.2">
      <c r="A374" s="1665" t="s">
        <v>45</v>
      </c>
      <c r="B374" s="595"/>
      <c r="CG374" s="416"/>
      <c r="CM374" s="416"/>
      <c r="CS374" s="416"/>
      <c r="CY374" s="416"/>
      <c r="DA374" s="1632"/>
      <c r="DB374" s="1632"/>
      <c r="DC374" s="1632"/>
      <c r="DD374" s="1632"/>
      <c r="DE374" s="1633"/>
      <c r="DG374" s="1632"/>
      <c r="DH374" s="1632"/>
      <c r="DI374" s="1632"/>
      <c r="DJ374" s="1632"/>
      <c r="DK374" s="1633"/>
      <c r="DL374" s="1634"/>
      <c r="DM374" s="1632"/>
      <c r="DN374" s="1632"/>
      <c r="DO374" s="1632"/>
      <c r="DP374" s="1632"/>
      <c r="DQ374" s="1633">
        <f>9763/8154-1</f>
        <v>0.19732646553838618</v>
      </c>
      <c r="DR374" s="1634"/>
      <c r="DS374" s="1632"/>
      <c r="DT374" s="1632"/>
      <c r="DU374" s="1632"/>
      <c r="DV374" s="1632"/>
      <c r="DW374" s="1633">
        <f>10838/9630-1</f>
        <v>0.12544132917964701</v>
      </c>
      <c r="DX374" s="1634"/>
      <c r="DY374" s="1632"/>
      <c r="DZ374" s="1632"/>
      <c r="EA374" s="1632"/>
      <c r="EB374" s="1632"/>
      <c r="EC374" s="1633">
        <f>10826/10676-1</f>
        <v>1.4050206069688986E-2</v>
      </c>
      <c r="EI374" s="1633"/>
      <c r="EO374" s="416"/>
      <c r="EU374" s="416"/>
      <c r="FA374" s="416"/>
      <c r="FG374" s="416"/>
      <c r="FM374" s="416"/>
      <c r="FQ374"/>
      <c r="FR374"/>
      <c r="FS374"/>
      <c r="FT374"/>
      <c r="FU374"/>
      <c r="FV374"/>
      <c r="GB374" s="24"/>
      <c r="GC374" s="24"/>
      <c r="GD374" s="24"/>
      <c r="GE374" s="24"/>
      <c r="GF374" s="24"/>
      <c r="GG374" s="24"/>
      <c r="GH374" s="24"/>
      <c r="GI374" s="2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  <c r="HB374"/>
      <c r="HC374"/>
      <c r="HD374"/>
      <c r="HE374"/>
      <c r="HF374"/>
      <c r="HG374"/>
      <c r="HH374"/>
      <c r="HI374"/>
      <c r="HJ374"/>
      <c r="HK374"/>
      <c r="HL374"/>
      <c r="HM374"/>
      <c r="HN374"/>
      <c r="HO374"/>
      <c r="HP374"/>
      <c r="HQ374"/>
      <c r="HR374"/>
      <c r="HS374"/>
      <c r="HT374"/>
      <c r="HU374"/>
      <c r="HV374"/>
      <c r="HW374"/>
      <c r="HX374"/>
      <c r="HY374"/>
      <c r="HZ374"/>
      <c r="IA374"/>
      <c r="IB374"/>
      <c r="IC374"/>
      <c r="ID374"/>
      <c r="IE374"/>
      <c r="IF374"/>
      <c r="IG374"/>
      <c r="IH374"/>
      <c r="II374"/>
      <c r="IJ374"/>
      <c r="IK374"/>
      <c r="IL374"/>
      <c r="IM374"/>
      <c r="IN374"/>
      <c r="IO374"/>
      <c r="IP374"/>
      <c r="IQ374"/>
      <c r="IR374"/>
      <c r="IS374"/>
      <c r="IT374"/>
      <c r="IU374"/>
      <c r="IV374"/>
      <c r="IW374"/>
      <c r="IX374"/>
      <c r="IY374"/>
      <c r="IZ374"/>
      <c r="JA374"/>
      <c r="JB374"/>
      <c r="JC374"/>
      <c r="JD374"/>
      <c r="JE374"/>
      <c r="JF374"/>
      <c r="JG374"/>
      <c r="JH374"/>
      <c r="JI374"/>
      <c r="JJ374"/>
      <c r="JK374"/>
      <c r="JL374"/>
      <c r="JM374"/>
      <c r="JN374"/>
    </row>
    <row r="375" spans="1:274" s="28" customFormat="1" ht="12.75" customHeight="1" x14ac:dyDescent="0.2">
      <c r="A375" s="1665" t="s">
        <v>180</v>
      </c>
      <c r="B375" s="595"/>
      <c r="CG375" s="416"/>
      <c r="CM375" s="416"/>
      <c r="CS375" s="416"/>
      <c r="CY375" s="416"/>
      <c r="DA375" s="1632"/>
      <c r="DB375" s="1632"/>
      <c r="DC375" s="1632"/>
      <c r="DD375" s="1632"/>
      <c r="DE375" s="1633"/>
      <c r="DG375" s="1632"/>
      <c r="DH375" s="1632"/>
      <c r="DI375" s="1632"/>
      <c r="DJ375" s="1632"/>
      <c r="DK375" s="1633"/>
      <c r="DL375" s="1634"/>
      <c r="DM375" s="1632"/>
      <c r="DN375" s="1632"/>
      <c r="DO375" s="1632"/>
      <c r="DP375" s="1632"/>
      <c r="DQ375" s="1633">
        <f>1.92/1.59-1</f>
        <v>0.20754716981132071</v>
      </c>
      <c r="DR375" s="1634"/>
      <c r="DS375" s="1632"/>
      <c r="DT375" s="1632"/>
      <c r="DU375" s="1632"/>
      <c r="DV375" s="1632"/>
      <c r="DW375" s="1633">
        <f>2.24/1.89-1</f>
        <v>0.18518518518518534</v>
      </c>
      <c r="DX375" s="1634"/>
      <c r="DY375" s="1632"/>
      <c r="DZ375" s="1632"/>
      <c r="EA375" s="1632"/>
      <c r="EB375" s="1632"/>
      <c r="EC375" s="1633">
        <f>2.35/2.2-1</f>
        <v>6.8181818181818121E-2</v>
      </c>
      <c r="EI375" s="1633"/>
      <c r="EO375" s="416"/>
      <c r="EU375" s="416"/>
      <c r="FA375" s="416"/>
      <c r="FG375" s="416"/>
      <c r="FM375" s="416"/>
      <c r="FQ375"/>
      <c r="FR375"/>
      <c r="FS375"/>
      <c r="FT375"/>
      <c r="FU375"/>
      <c r="FV375"/>
      <c r="GB375" s="24"/>
      <c r="GC375" s="24"/>
      <c r="GD375" s="24"/>
      <c r="GE375" s="24"/>
      <c r="GF375" s="24"/>
      <c r="GG375" s="24"/>
      <c r="GH375" s="24"/>
      <c r="GI375" s="24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  <c r="HB375"/>
      <c r="HC375"/>
      <c r="HD375"/>
      <c r="HE375"/>
      <c r="HF375"/>
      <c r="HG375"/>
      <c r="HH375"/>
      <c r="HI375"/>
      <c r="HJ375"/>
      <c r="HK375"/>
      <c r="HL375"/>
      <c r="HM375"/>
      <c r="HN375"/>
      <c r="HO375"/>
      <c r="HP375"/>
      <c r="HQ375"/>
      <c r="HR375"/>
      <c r="HS375"/>
      <c r="HT375"/>
      <c r="HU375"/>
      <c r="HV375"/>
      <c r="HW375"/>
      <c r="HX375"/>
      <c r="HY375"/>
      <c r="HZ375"/>
      <c r="IA375"/>
      <c r="IB375"/>
      <c r="IC375"/>
      <c r="ID375"/>
      <c r="IE375"/>
      <c r="IF375"/>
      <c r="IG375"/>
      <c r="IH375"/>
      <c r="II375"/>
      <c r="IJ375"/>
      <c r="IK375"/>
      <c r="IL375"/>
      <c r="IM375"/>
      <c r="IN375"/>
      <c r="IO375"/>
      <c r="IP375"/>
      <c r="IQ375"/>
      <c r="IR375"/>
      <c r="IS375"/>
      <c r="IT375"/>
      <c r="IU375"/>
      <c r="IV375"/>
      <c r="IW375"/>
      <c r="IX375"/>
      <c r="IY375"/>
      <c r="IZ375"/>
      <c r="JA375"/>
      <c r="JB375"/>
      <c r="JC375"/>
      <c r="JD375"/>
      <c r="JE375"/>
      <c r="JF375"/>
      <c r="JG375"/>
      <c r="JH375"/>
      <c r="JI375"/>
      <c r="JJ375"/>
      <c r="JK375"/>
      <c r="JL375"/>
      <c r="JM375"/>
      <c r="JN375"/>
    </row>
    <row r="376" spans="1:274" s="28" customFormat="1" ht="12.75" customHeight="1" x14ac:dyDescent="0.2">
      <c r="A376" s="18"/>
      <c r="B376" s="595"/>
      <c r="CG376" s="416"/>
      <c r="CM376" s="416"/>
      <c r="CS376" s="416"/>
      <c r="CY376" s="416"/>
      <c r="DA376" s="1632"/>
      <c r="DB376" s="1632"/>
      <c r="DC376" s="1632"/>
      <c r="DD376" s="1632"/>
      <c r="DE376" s="1633"/>
      <c r="DG376" s="1632"/>
      <c r="DH376" s="1632"/>
      <c r="DI376" s="1632"/>
      <c r="DJ376" s="1632"/>
      <c r="DK376" s="1633"/>
      <c r="DL376" s="1634"/>
      <c r="DM376" s="1632"/>
      <c r="DN376" s="1632"/>
      <c r="DO376" s="1632"/>
      <c r="DP376" s="1632"/>
      <c r="DQ376" s="1633"/>
      <c r="DR376" s="1634"/>
      <c r="DS376" s="1632"/>
      <c r="DT376" s="1632"/>
      <c r="DU376" s="1632"/>
      <c r="DV376" s="1632"/>
      <c r="DW376" s="1633"/>
      <c r="DX376" s="1634"/>
      <c r="DY376" s="1632"/>
      <c r="DZ376" s="1632"/>
      <c r="EA376" s="1632"/>
      <c r="EB376" s="1632"/>
      <c r="EC376" s="416"/>
      <c r="EI376" s="416"/>
      <c r="EO376" s="416"/>
      <c r="EU376" s="416"/>
      <c r="FA376" s="416"/>
      <c r="FG376" s="416"/>
      <c r="FM376" s="416"/>
      <c r="FQ376"/>
      <c r="FR376"/>
      <c r="FS376"/>
      <c r="FT376"/>
      <c r="FU376"/>
      <c r="FV376"/>
      <c r="GB376" s="24"/>
      <c r="GC376" s="24"/>
      <c r="GD376" s="24"/>
      <c r="GE376" s="24"/>
      <c r="GF376" s="24"/>
      <c r="GG376" s="24"/>
      <c r="GH376" s="24"/>
      <c r="GI376" s="24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  <c r="HB376"/>
      <c r="HC376"/>
      <c r="HD376"/>
      <c r="HE376"/>
      <c r="HF376"/>
      <c r="HG376"/>
      <c r="HH376"/>
      <c r="HI376"/>
      <c r="HJ376"/>
      <c r="HK376"/>
      <c r="HL376"/>
      <c r="HM376"/>
      <c r="HN376"/>
      <c r="HO376"/>
      <c r="HP376"/>
      <c r="HQ376"/>
      <c r="HR376"/>
      <c r="HS376"/>
      <c r="HT376"/>
      <c r="HU376"/>
      <c r="HV376"/>
      <c r="HW376"/>
      <c r="HX376"/>
      <c r="HY376"/>
      <c r="HZ376"/>
      <c r="IA376"/>
      <c r="IB376"/>
      <c r="IC376"/>
      <c r="ID376"/>
      <c r="IE376"/>
      <c r="IF376"/>
      <c r="IG376"/>
      <c r="IH376"/>
      <c r="II376"/>
      <c r="IJ376"/>
      <c r="IK376"/>
      <c r="IL376"/>
      <c r="IM376"/>
      <c r="IN376"/>
      <c r="IO376"/>
      <c r="IP376"/>
      <c r="IQ376"/>
      <c r="IR376"/>
      <c r="IS376"/>
      <c r="IT376"/>
      <c r="IU376"/>
      <c r="IV376"/>
      <c r="IW376"/>
      <c r="IX376"/>
      <c r="IY376"/>
      <c r="IZ376"/>
      <c r="JA376"/>
      <c r="JB376"/>
      <c r="JC376"/>
      <c r="JD376"/>
      <c r="JE376"/>
      <c r="JF376"/>
      <c r="JG376"/>
      <c r="JH376"/>
      <c r="JI376"/>
      <c r="JJ376"/>
      <c r="JK376"/>
      <c r="JL376"/>
      <c r="JM376"/>
      <c r="JN376"/>
    </row>
    <row r="377" spans="1:274" s="28" customFormat="1" ht="12.75" customHeight="1" x14ac:dyDescent="0.2">
      <c r="A377" s="18"/>
      <c r="B377" s="595"/>
      <c r="CG377" s="416"/>
      <c r="CM377" s="416"/>
      <c r="CS377" s="416"/>
      <c r="CY377" s="416"/>
      <c r="DA377" s="1632"/>
      <c r="DB377" s="1632"/>
      <c r="DC377" s="1632"/>
      <c r="DD377" s="1632"/>
      <c r="DE377" s="1633"/>
      <c r="DG377" s="1632"/>
      <c r="DH377" s="1632"/>
      <c r="DI377" s="1632"/>
      <c r="DJ377" s="1632"/>
      <c r="DK377" s="1633"/>
      <c r="DL377" s="1634"/>
      <c r="DM377" s="1632"/>
      <c r="DN377" s="1632"/>
      <c r="DO377" s="1632"/>
      <c r="DP377" s="1632"/>
      <c r="DQ377" s="1633"/>
      <c r="DR377" s="1634"/>
      <c r="DS377" s="1632"/>
      <c r="DT377" s="1632"/>
      <c r="DU377" s="1632"/>
      <c r="DV377" s="1632"/>
      <c r="DW377" s="1633"/>
      <c r="DX377" s="1634"/>
      <c r="DY377" s="1632"/>
      <c r="DZ377" s="1632"/>
      <c r="EA377" s="1632"/>
      <c r="EB377" s="1632"/>
      <c r="EC377" s="416"/>
      <c r="EI377" s="416"/>
      <c r="EO377" s="416"/>
      <c r="EU377" s="416"/>
      <c r="FA377" s="416"/>
      <c r="FG377" s="416"/>
      <c r="FM377" s="416"/>
      <c r="FQ377"/>
      <c r="FR377"/>
      <c r="FS377"/>
      <c r="FT377"/>
      <c r="FU377"/>
      <c r="FV377"/>
      <c r="GB377" s="24"/>
      <c r="GC377" s="24"/>
      <c r="GD377" s="24"/>
      <c r="GE377" s="24"/>
      <c r="GF377" s="24"/>
      <c r="GG377" s="24"/>
      <c r="GH377" s="24"/>
      <c r="GI377" s="24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  <c r="HB377"/>
      <c r="HC377"/>
      <c r="HD377"/>
      <c r="HE377"/>
      <c r="HF377"/>
      <c r="HG377"/>
      <c r="HH377"/>
      <c r="HI377"/>
      <c r="HJ377"/>
      <c r="HK377"/>
      <c r="HL377"/>
      <c r="HM377"/>
      <c r="HN377"/>
      <c r="HO377"/>
      <c r="HP377"/>
      <c r="HQ377"/>
      <c r="HR377"/>
      <c r="HS377"/>
      <c r="HT377"/>
      <c r="HU377"/>
      <c r="HV377"/>
      <c r="HW377"/>
      <c r="HX377"/>
      <c r="HY377"/>
      <c r="HZ377"/>
      <c r="IA377"/>
      <c r="IB377"/>
      <c r="IC377"/>
      <c r="ID377"/>
      <c r="IE377"/>
      <c r="IF377"/>
      <c r="IG377"/>
      <c r="IH377"/>
      <c r="II377"/>
      <c r="IJ377"/>
      <c r="IK377"/>
      <c r="IL377"/>
      <c r="IM377"/>
      <c r="IN377"/>
      <c r="IO377"/>
      <c r="IP377"/>
      <c r="IQ377"/>
      <c r="IR377"/>
      <c r="IS377"/>
      <c r="IT377"/>
      <c r="IU377"/>
      <c r="IV377"/>
      <c r="IW377"/>
      <c r="IX377"/>
      <c r="IY377"/>
      <c r="IZ377"/>
      <c r="JA377"/>
      <c r="JB377"/>
      <c r="JC377"/>
      <c r="JD377"/>
      <c r="JE377"/>
      <c r="JF377"/>
      <c r="JG377"/>
      <c r="JH377"/>
      <c r="JI377"/>
      <c r="JJ377"/>
      <c r="JK377"/>
      <c r="JL377"/>
      <c r="JM377"/>
      <c r="JN377"/>
    </row>
    <row r="378" spans="1:274" s="28" customFormat="1" ht="12.75" customHeight="1" x14ac:dyDescent="0.2">
      <c r="A378" s="18"/>
      <c r="B378" s="595"/>
      <c r="CG378" s="416"/>
      <c r="CM378" s="416"/>
      <c r="CS378" s="416"/>
      <c r="CY378" s="416"/>
      <c r="DA378" s="1632"/>
      <c r="DB378" s="1632"/>
      <c r="DC378" s="1632"/>
      <c r="DD378" s="1632"/>
      <c r="DE378" s="1633"/>
      <c r="DG378" s="1632"/>
      <c r="DH378" s="1632"/>
      <c r="DI378" s="1632"/>
      <c r="DJ378" s="1632"/>
      <c r="DK378" s="1633"/>
      <c r="DL378" s="1634"/>
      <c r="DM378" s="1632"/>
      <c r="DN378" s="1632"/>
      <c r="DO378" s="1632"/>
      <c r="DP378" s="1632"/>
      <c r="DQ378" s="1633"/>
      <c r="DR378" s="1634"/>
      <c r="DS378" s="1632"/>
      <c r="DT378" s="1632"/>
      <c r="DU378" s="1632"/>
      <c r="DV378" s="1632"/>
      <c r="DW378" s="1633"/>
      <c r="DX378" s="1634"/>
      <c r="DY378" s="1632"/>
      <c r="DZ378" s="1632"/>
      <c r="EA378" s="1632"/>
      <c r="EB378" s="1636"/>
      <c r="EC378" s="416"/>
      <c r="EI378" s="416"/>
      <c r="EO378" s="416"/>
      <c r="EU378" s="416"/>
      <c r="FA378" s="416"/>
      <c r="FG378" s="416"/>
      <c r="FM378" s="416"/>
      <c r="FQ378"/>
      <c r="FR378"/>
      <c r="FS378"/>
      <c r="FT378"/>
      <c r="FU378"/>
      <c r="FV378"/>
      <c r="GB378" s="24"/>
      <c r="GC378" s="24"/>
      <c r="GD378" s="24"/>
      <c r="GE378" s="24"/>
      <c r="GF378" s="24"/>
      <c r="GG378" s="24"/>
      <c r="GH378" s="24"/>
      <c r="GI378" s="24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  <c r="HB378"/>
      <c r="HC378"/>
      <c r="HD378"/>
      <c r="HE378"/>
      <c r="HF378"/>
      <c r="HG378"/>
      <c r="HH378"/>
      <c r="HI378"/>
      <c r="HJ378"/>
      <c r="HK378"/>
      <c r="HL378"/>
      <c r="HM378"/>
      <c r="HN378"/>
      <c r="HO378"/>
      <c r="HP378"/>
      <c r="HQ378"/>
      <c r="HR378"/>
      <c r="HS378"/>
      <c r="HT378"/>
      <c r="HU378"/>
      <c r="HV378"/>
      <c r="HW378"/>
      <c r="HX378"/>
      <c r="HY378"/>
      <c r="HZ378"/>
      <c r="IA378"/>
      <c r="IB378"/>
      <c r="IC378"/>
      <c r="ID378"/>
      <c r="IE378"/>
      <c r="IF378"/>
      <c r="IG378"/>
      <c r="IH378"/>
      <c r="II378"/>
      <c r="IJ378"/>
      <c r="IK378"/>
      <c r="IL378"/>
      <c r="IM378"/>
      <c r="IN378"/>
      <c r="IO378"/>
      <c r="IP378"/>
      <c r="IQ378"/>
      <c r="IR378"/>
      <c r="IS378"/>
      <c r="IT378"/>
      <c r="IU378"/>
      <c r="IV378"/>
      <c r="IW378"/>
      <c r="IX378"/>
      <c r="IY378"/>
      <c r="IZ378"/>
      <c r="JA378"/>
      <c r="JB378"/>
      <c r="JC378"/>
      <c r="JD378"/>
      <c r="JE378"/>
      <c r="JF378"/>
      <c r="JG378"/>
      <c r="JH378"/>
      <c r="JI378"/>
      <c r="JJ378"/>
      <c r="JK378"/>
      <c r="JL378"/>
      <c r="JM378"/>
      <c r="JN378"/>
    </row>
    <row r="379" spans="1:274" s="12" customFormat="1" ht="20.100000000000001" customHeight="1" x14ac:dyDescent="0.2">
      <c r="A379" s="392" t="str">
        <f>Model!A1</f>
        <v>Oracle</v>
      </c>
      <c r="B379" s="628"/>
      <c r="CG379" s="678"/>
      <c r="CM379" s="678"/>
      <c r="CS379" s="678"/>
      <c r="CY379" s="678"/>
      <c r="DE379" s="678"/>
      <c r="DK379" s="678"/>
      <c r="DQ379" s="678"/>
      <c r="DW379" s="678"/>
      <c r="EC379" s="678"/>
      <c r="EI379" s="678"/>
      <c r="EO379" s="678"/>
      <c r="EQ379" s="1742"/>
      <c r="ER379" s="1742"/>
      <c r="ES379" s="1742"/>
      <c r="ET379" s="1742"/>
      <c r="EU379" s="1780"/>
      <c r="EV379" s="1742"/>
      <c r="EW379" s="1742"/>
      <c r="EX379" s="1742"/>
      <c r="EY379" s="1742"/>
      <c r="EZ379" s="1742"/>
      <c r="FA379" s="1780"/>
      <c r="FB379" s="1742"/>
      <c r="FC379" s="1742"/>
      <c r="FD379" s="1742"/>
      <c r="FE379" s="1742"/>
      <c r="FF379" s="1742"/>
      <c r="FG379" s="1780"/>
      <c r="FH379" s="1742"/>
      <c r="FI379" s="1742"/>
      <c r="FJ379" s="1742"/>
      <c r="FK379" s="1742"/>
      <c r="FL379" s="1742"/>
      <c r="FM379" s="1780"/>
      <c r="FQ379"/>
      <c r="FR379"/>
      <c r="FS379"/>
      <c r="FT379"/>
      <c r="FU379"/>
      <c r="FV379"/>
      <c r="GB379" s="24"/>
      <c r="GC379" s="24"/>
      <c r="GD379" s="24"/>
      <c r="GE379" s="24"/>
      <c r="GF379" s="24"/>
      <c r="GG379" s="24"/>
      <c r="GH379" s="24"/>
      <c r="GI379" s="24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  <c r="HB379"/>
      <c r="HC379"/>
      <c r="HD379"/>
      <c r="HE379"/>
      <c r="HF379"/>
      <c r="HG379"/>
      <c r="HH379"/>
      <c r="HI379"/>
      <c r="HJ379"/>
      <c r="HK379"/>
      <c r="HL379"/>
      <c r="HM379"/>
      <c r="HN379"/>
      <c r="HO379"/>
      <c r="HP379"/>
      <c r="HQ379"/>
      <c r="HR379"/>
      <c r="HS379"/>
      <c r="HT379"/>
      <c r="HU379"/>
      <c r="HV379"/>
      <c r="HW379"/>
      <c r="HX379"/>
      <c r="HY379"/>
      <c r="HZ379"/>
      <c r="IA379"/>
      <c r="IB379"/>
      <c r="IC379"/>
      <c r="ID379"/>
      <c r="IE379"/>
      <c r="IF379"/>
      <c r="IG379"/>
      <c r="IH379"/>
      <c r="II379"/>
      <c r="IJ379"/>
      <c r="IK379"/>
      <c r="IL379"/>
      <c r="IM379"/>
      <c r="IN379"/>
      <c r="IO379"/>
      <c r="IP379"/>
      <c r="IQ379"/>
      <c r="IR379"/>
      <c r="IS379"/>
      <c r="IT379"/>
      <c r="IU379"/>
      <c r="IV379"/>
      <c r="IW379"/>
      <c r="IX379"/>
      <c r="IY379"/>
      <c r="IZ379"/>
      <c r="JA379"/>
      <c r="JB379"/>
      <c r="JC379"/>
      <c r="JD379"/>
      <c r="JE379"/>
      <c r="JF379"/>
      <c r="JG379"/>
      <c r="JH379"/>
      <c r="JI379"/>
      <c r="JJ379"/>
      <c r="JK379"/>
      <c r="JL379"/>
      <c r="JM379"/>
      <c r="JN379"/>
    </row>
    <row r="380" spans="1:274" s="12" customFormat="1" ht="20.100000000000001" customHeight="1" x14ac:dyDescent="0.2">
      <c r="A380" s="5" t="s">
        <v>864</v>
      </c>
      <c r="B380" s="1023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  <c r="AA380" s="8"/>
      <c r="AB380" s="8"/>
      <c r="AC380" s="8"/>
      <c r="AD380" s="8"/>
      <c r="AE380" s="8"/>
      <c r="AF380" s="8"/>
      <c r="AG380" s="8"/>
      <c r="AH380" s="8"/>
      <c r="AI380" s="8"/>
      <c r="AJ380" s="8"/>
      <c r="AK380" s="8"/>
      <c r="AL380" s="8"/>
      <c r="AM380" s="8"/>
      <c r="AN380" s="8"/>
      <c r="AO380" s="8"/>
      <c r="AP380" s="8"/>
      <c r="AQ380" s="8"/>
      <c r="AR380" s="8"/>
      <c r="AS380" s="8"/>
      <c r="AT380" s="8"/>
      <c r="AU380" s="8"/>
      <c r="AV380" s="8"/>
      <c r="AW380" s="8"/>
      <c r="AX380" s="8"/>
      <c r="AY380" s="8"/>
      <c r="AZ380" s="8"/>
      <c r="BA380" s="8"/>
      <c r="BB380" s="8"/>
      <c r="BC380" s="8"/>
      <c r="BD380" s="8"/>
      <c r="BE380" s="8"/>
      <c r="BF380" s="8"/>
      <c r="BG380" s="8"/>
      <c r="BH380" s="8"/>
      <c r="BI380" s="8"/>
      <c r="BJ380" s="8"/>
      <c r="BK380" s="8"/>
      <c r="BL380" s="8"/>
      <c r="BM380" s="8"/>
      <c r="BN380" s="8"/>
      <c r="BO380" s="8"/>
      <c r="BP380" s="8"/>
      <c r="BQ380" s="8"/>
      <c r="BR380" s="8"/>
      <c r="BS380" s="8"/>
      <c r="BT380" s="8"/>
      <c r="BU380" s="8"/>
      <c r="BV380" s="8"/>
      <c r="BW380" s="8"/>
      <c r="BX380" s="8"/>
      <c r="BY380" s="8"/>
      <c r="BZ380" s="8"/>
      <c r="CA380" s="8"/>
      <c r="CB380" s="8"/>
      <c r="CC380" s="8"/>
      <c r="CD380" s="8"/>
      <c r="CE380" s="8"/>
      <c r="CF380" s="8"/>
      <c r="CG380" s="684"/>
      <c r="CH380" s="8"/>
      <c r="CI380" s="8"/>
      <c r="CJ380" s="8"/>
      <c r="CK380" s="8"/>
      <c r="CL380" s="8"/>
      <c r="CM380" s="684"/>
      <c r="CN380" s="8"/>
      <c r="CO380" s="8"/>
      <c r="CP380" s="8"/>
      <c r="CQ380" s="8"/>
      <c r="CR380" s="8"/>
      <c r="CS380" s="684"/>
      <c r="CT380" s="8"/>
      <c r="CU380" s="8"/>
      <c r="CV380" s="8"/>
      <c r="CW380" s="8"/>
      <c r="CX380" s="8"/>
      <c r="CY380" s="684"/>
      <c r="CZ380" s="8"/>
      <c r="DA380" s="8"/>
      <c r="DB380" s="8"/>
      <c r="DC380" s="8"/>
      <c r="DD380" s="8"/>
      <c r="DE380" s="684"/>
      <c r="DF380" s="8"/>
      <c r="DG380" s="8"/>
      <c r="DH380" s="8"/>
      <c r="DI380" s="8"/>
      <c r="DJ380" s="8"/>
      <c r="DK380" s="684"/>
      <c r="DL380" s="8"/>
      <c r="DM380" s="8"/>
      <c r="DN380" s="8"/>
      <c r="DO380" s="8"/>
      <c r="DP380" s="8"/>
      <c r="DQ380" s="684"/>
      <c r="DR380" s="8"/>
      <c r="DS380" s="8"/>
      <c r="DT380" s="1025"/>
      <c r="DU380" s="8"/>
      <c r="DV380" s="8"/>
      <c r="DW380" s="684"/>
      <c r="DX380" s="8"/>
      <c r="DY380" s="8"/>
      <c r="DZ380" s="1025"/>
      <c r="EA380" s="8"/>
      <c r="EB380" s="8"/>
      <c r="EC380" s="684"/>
      <c r="ED380" s="8"/>
      <c r="EE380" s="8"/>
      <c r="EF380" s="8"/>
      <c r="EG380" s="8"/>
      <c r="EH380" s="8"/>
      <c r="EI380" s="684"/>
      <c r="EJ380" s="8"/>
      <c r="EK380" s="8"/>
      <c r="EL380" s="8"/>
      <c r="EM380" s="8"/>
      <c r="EN380" s="8"/>
      <c r="EO380" s="684"/>
      <c r="EP380" s="8"/>
      <c r="EQ380" s="1781"/>
      <c r="ER380" s="1781"/>
      <c r="ES380" s="1781"/>
      <c r="ET380" s="1781"/>
      <c r="EU380" s="1782"/>
      <c r="EV380" s="1781"/>
      <c r="EW380" s="1781"/>
      <c r="EX380" s="1781"/>
      <c r="EY380" s="1781"/>
      <c r="EZ380" s="1781"/>
      <c r="FA380" s="1782"/>
      <c r="FB380" s="1781"/>
      <c r="FC380" s="1781"/>
      <c r="FD380" s="1781"/>
      <c r="FE380" s="1781"/>
      <c r="FF380" s="1781"/>
      <c r="FG380" s="1782"/>
      <c r="FH380" s="1781"/>
      <c r="FI380" s="1781"/>
      <c r="FJ380" s="1781"/>
      <c r="FK380" s="1781"/>
      <c r="FL380" s="1781"/>
      <c r="FM380" s="1782"/>
      <c r="FQ380"/>
      <c r="FR380"/>
      <c r="FS380"/>
      <c r="FT380"/>
      <c r="FU380"/>
      <c r="FV380"/>
      <c r="GB380" s="24"/>
      <c r="GC380" s="24"/>
      <c r="GD380" s="24"/>
      <c r="GE380" s="24"/>
      <c r="GF380" s="24"/>
      <c r="GG380" s="24"/>
      <c r="GH380" s="24"/>
      <c r="GI380" s="24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  <c r="HB380"/>
      <c r="HC380"/>
      <c r="HD380"/>
      <c r="HE380"/>
      <c r="HF380"/>
      <c r="HG380"/>
      <c r="HH380"/>
      <c r="HI380"/>
      <c r="HJ380"/>
      <c r="HK380"/>
      <c r="HL380"/>
      <c r="HM380"/>
      <c r="HN380"/>
      <c r="HO380"/>
      <c r="HP380"/>
      <c r="HQ380"/>
      <c r="HR380"/>
      <c r="HS380"/>
      <c r="HT380"/>
      <c r="HU380"/>
      <c r="HV380"/>
      <c r="HW380"/>
      <c r="HX380"/>
      <c r="HY380"/>
      <c r="HZ380"/>
      <c r="IA380"/>
      <c r="IB380"/>
      <c r="IC380"/>
      <c r="ID380"/>
      <c r="IE380"/>
      <c r="IF380"/>
      <c r="IG380"/>
      <c r="IH380"/>
      <c r="II380"/>
      <c r="IJ380"/>
      <c r="IK380"/>
      <c r="IL380"/>
      <c r="IM380"/>
      <c r="IN380"/>
      <c r="IO380"/>
      <c r="IP380"/>
      <c r="IQ380"/>
      <c r="IR380"/>
      <c r="IS380"/>
      <c r="IT380"/>
      <c r="IU380"/>
      <c r="IV380"/>
      <c r="IW380"/>
      <c r="IX380"/>
      <c r="IY380"/>
      <c r="IZ380"/>
      <c r="JA380"/>
      <c r="JB380"/>
      <c r="JC380"/>
      <c r="JD380"/>
      <c r="JE380"/>
      <c r="JF380"/>
      <c r="JG380"/>
      <c r="JH380"/>
      <c r="JI380"/>
      <c r="JJ380"/>
      <c r="JK380"/>
      <c r="JL380"/>
      <c r="JM380"/>
      <c r="JN380"/>
    </row>
    <row r="381" spans="1:274" s="630" customFormat="1" ht="11.25" customHeight="1" x14ac:dyDescent="0.2">
      <c r="A381" s="629"/>
      <c r="B381" s="628"/>
      <c r="C381" s="15" t="str">
        <f>C5</f>
        <v>Full Year History Only</v>
      </c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215"/>
      <c r="O381" s="15" t="str">
        <f>O5</f>
        <v>F1995</v>
      </c>
      <c r="P381" s="15"/>
      <c r="Q381" s="15"/>
      <c r="R381" s="15"/>
      <c r="S381" s="15"/>
      <c r="T381" s="215"/>
      <c r="U381" s="15" t="str">
        <f>U5</f>
        <v>F1996</v>
      </c>
      <c r="V381" s="15"/>
      <c r="W381" s="15"/>
      <c r="X381" s="15"/>
      <c r="Y381" s="15"/>
      <c r="Z381" s="215"/>
      <c r="AA381" s="15" t="str">
        <f>AA5</f>
        <v>F1997</v>
      </c>
      <c r="AB381" s="15"/>
      <c r="AC381" s="15"/>
      <c r="AD381" s="15"/>
      <c r="AE381" s="15"/>
      <c r="AF381" s="215"/>
      <c r="AG381" s="15" t="str">
        <f>AG5</f>
        <v>F1998</v>
      </c>
      <c r="AH381" s="15"/>
      <c r="AI381" s="15"/>
      <c r="AJ381" s="15"/>
      <c r="AK381" s="15"/>
      <c r="AL381" s="215"/>
      <c r="AM381" s="15" t="str">
        <f>AM5</f>
        <v>F1999</v>
      </c>
      <c r="AN381" s="15"/>
      <c r="AO381" s="15"/>
      <c r="AP381" s="15"/>
      <c r="AQ381" s="15"/>
      <c r="AR381" s="215"/>
      <c r="AS381" s="15" t="str">
        <f>AS5</f>
        <v>F2000</v>
      </c>
      <c r="AT381" s="15"/>
      <c r="AU381" s="15"/>
      <c r="AV381" s="15"/>
      <c r="AW381" s="15"/>
      <c r="AX381" s="215"/>
      <c r="AY381" s="15" t="str">
        <f>AY5</f>
        <v>F2001</v>
      </c>
      <c r="AZ381" s="15"/>
      <c r="BA381" s="15"/>
      <c r="BB381" s="15"/>
      <c r="BC381" s="15"/>
      <c r="BD381" s="215"/>
      <c r="BE381" s="15" t="str">
        <f>BE5</f>
        <v>F2002</v>
      </c>
      <c r="BF381" s="15"/>
      <c r="BG381" s="15"/>
      <c r="BH381" s="15"/>
      <c r="BI381" s="15"/>
      <c r="BJ381" s="215"/>
      <c r="BK381" s="15" t="str">
        <f>BK5</f>
        <v>F2003</v>
      </c>
      <c r="BL381" s="15"/>
      <c r="BM381" s="15"/>
      <c r="BN381" s="15"/>
      <c r="BO381" s="15"/>
      <c r="BP381" s="215"/>
      <c r="BQ381" s="15" t="str">
        <f>BQ5</f>
        <v>F2004</v>
      </c>
      <c r="BR381" s="15"/>
      <c r="BS381" s="15"/>
      <c r="BT381" s="15"/>
      <c r="BU381" s="15"/>
      <c r="BV381" s="215"/>
      <c r="BW381" s="15" t="str">
        <f>BW5</f>
        <v>F2005</v>
      </c>
      <c r="BX381" s="15"/>
      <c r="BY381" s="15"/>
      <c r="BZ381" s="15"/>
      <c r="CA381" s="15"/>
      <c r="CB381" s="215"/>
      <c r="CC381" s="15" t="str">
        <f>CC5</f>
        <v>F2006</v>
      </c>
      <c r="CD381" s="15"/>
      <c r="CE381" s="15"/>
      <c r="CF381" s="15"/>
      <c r="CG381" s="673"/>
      <c r="CH381" s="215"/>
      <c r="CI381" s="15" t="str">
        <f>CI5</f>
        <v>F2007</v>
      </c>
      <c r="CJ381" s="15"/>
      <c r="CK381" s="15"/>
      <c r="CL381" s="15"/>
      <c r="CM381" s="673"/>
      <c r="CN381" s="215"/>
      <c r="CO381" s="15" t="str">
        <f>CO5</f>
        <v>F2008</v>
      </c>
      <c r="CP381" s="15"/>
      <c r="CQ381" s="15"/>
      <c r="CR381" s="15"/>
      <c r="CS381" s="673"/>
      <c r="CT381" s="215"/>
      <c r="CU381" s="15" t="str">
        <f>CU5</f>
        <v>F2009</v>
      </c>
      <c r="CV381" s="15"/>
      <c r="CW381" s="15"/>
      <c r="CX381" s="15"/>
      <c r="CY381" s="673"/>
      <c r="CZ381" s="215"/>
      <c r="DA381" s="15" t="str">
        <f>DA5</f>
        <v>F2010</v>
      </c>
      <c r="DB381" s="15"/>
      <c r="DC381" s="15"/>
      <c r="DD381" s="15"/>
      <c r="DE381" s="673"/>
      <c r="DF381" s="215"/>
      <c r="DG381" s="15" t="str">
        <f>DG5</f>
        <v>F2011</v>
      </c>
      <c r="DH381" s="15"/>
      <c r="DI381" s="15"/>
      <c r="DJ381" s="15"/>
      <c r="DK381" s="673"/>
      <c r="DL381" s="215"/>
      <c r="DM381" s="15" t="str">
        <f>DM5</f>
        <v>F2012</v>
      </c>
      <c r="DN381" s="15"/>
      <c r="DO381" s="15"/>
      <c r="DP381" s="15"/>
      <c r="DQ381" s="673"/>
      <c r="DR381" s="215"/>
      <c r="DS381" s="15" t="str">
        <f>DS5</f>
        <v>F2013</v>
      </c>
      <c r="DT381" s="15"/>
      <c r="DU381" s="15"/>
      <c r="DV381" s="15"/>
      <c r="DW381" s="673"/>
      <c r="DX381" s="215"/>
      <c r="DY381" s="15" t="str">
        <f>DY5</f>
        <v>F2014</v>
      </c>
      <c r="DZ381" s="15"/>
      <c r="EA381" s="15"/>
      <c r="EB381" s="15"/>
      <c r="EC381" s="673"/>
      <c r="ED381" s="215"/>
      <c r="EE381" s="15" t="str">
        <f>EE5</f>
        <v>F2015</v>
      </c>
      <c r="EF381" s="15"/>
      <c r="EG381" s="15"/>
      <c r="EH381" s="15"/>
      <c r="EI381" s="673"/>
      <c r="EJ381" s="215"/>
      <c r="EK381" s="15" t="str">
        <f>EK5</f>
        <v>F2016</v>
      </c>
      <c r="EL381" s="15"/>
      <c r="EM381" s="15"/>
      <c r="EN381" s="15"/>
      <c r="EO381" s="673"/>
      <c r="EP381" s="215"/>
      <c r="EQ381" s="15" t="str">
        <f>EQ5</f>
        <v>F2017</v>
      </c>
      <c r="ER381" s="15"/>
      <c r="ES381" s="15"/>
      <c r="ET381" s="15"/>
      <c r="EU381" s="673"/>
      <c r="EV381" s="215"/>
      <c r="EW381" s="15" t="str">
        <f>EW5</f>
        <v>F2018E</v>
      </c>
      <c r="EX381" s="15"/>
      <c r="EY381" s="15"/>
      <c r="EZ381" s="15"/>
      <c r="FA381" s="673"/>
      <c r="FB381" s="215"/>
      <c r="FC381" s="15" t="str">
        <f>FC5</f>
        <v>F2019E</v>
      </c>
      <c r="FD381" s="15"/>
      <c r="FE381" s="15"/>
      <c r="FF381" s="15"/>
      <c r="FG381" s="673"/>
      <c r="FH381" s="215"/>
      <c r="FI381" s="15" t="str">
        <f>FI5</f>
        <v>F2020E</v>
      </c>
      <c r="FJ381" s="15"/>
      <c r="FK381" s="15"/>
      <c r="FL381" s="15"/>
      <c r="FM381" s="673"/>
      <c r="FQ381"/>
      <c r="FR381"/>
      <c r="FS381"/>
      <c r="FT381"/>
      <c r="FU381"/>
      <c r="FV381"/>
      <c r="GB381" s="24"/>
      <c r="GC381" s="24"/>
      <c r="GD381" s="24"/>
      <c r="GE381" s="24"/>
      <c r="GF381" s="24"/>
      <c r="GG381" s="24"/>
      <c r="GH381" s="24"/>
      <c r="GI381" s="24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  <c r="HB381"/>
      <c r="HC381"/>
      <c r="HD381"/>
      <c r="HE381"/>
      <c r="HF381"/>
      <c r="HG381"/>
      <c r="HH381"/>
      <c r="HI381"/>
      <c r="HJ381"/>
      <c r="HK381"/>
      <c r="HL381"/>
      <c r="HM381"/>
      <c r="HN381"/>
      <c r="HO381"/>
      <c r="HP381"/>
      <c r="HQ381"/>
      <c r="HR381"/>
      <c r="HS381"/>
      <c r="HT381"/>
      <c r="HU381"/>
      <c r="HV381"/>
      <c r="HW381"/>
      <c r="HX381"/>
      <c r="HY381"/>
      <c r="HZ381"/>
      <c r="IA381"/>
      <c r="IB381"/>
      <c r="IC381"/>
      <c r="ID381"/>
      <c r="IE381"/>
      <c r="IF381"/>
      <c r="IG381"/>
      <c r="IH381"/>
      <c r="II381"/>
      <c r="IJ381"/>
      <c r="IK381"/>
      <c r="IL381"/>
      <c r="IM381"/>
      <c r="IN381"/>
      <c r="IO381"/>
      <c r="IP381"/>
      <c r="IQ381"/>
      <c r="IR381"/>
      <c r="IS381"/>
      <c r="IT381"/>
      <c r="IU381"/>
      <c r="IV381"/>
      <c r="IW381"/>
      <c r="IX381"/>
      <c r="IY381"/>
      <c r="IZ381"/>
      <c r="JA381"/>
      <c r="JB381"/>
      <c r="JC381"/>
      <c r="JD381"/>
      <c r="JE381"/>
      <c r="JF381"/>
      <c r="JG381"/>
      <c r="JH381"/>
      <c r="JI381"/>
      <c r="JJ381"/>
      <c r="JK381"/>
      <c r="JL381"/>
      <c r="JM381"/>
      <c r="JN381"/>
    </row>
    <row r="382" spans="1:274" s="17" customFormat="1" x14ac:dyDescent="0.2">
      <c r="A382" s="192"/>
      <c r="B382" s="628"/>
      <c r="C382" s="16" t="str">
        <f>C6</f>
        <v>FY84</v>
      </c>
      <c r="D382" s="16" t="str">
        <f t="shared" ref="D382:M382" si="161">D6</f>
        <v>FY85</v>
      </c>
      <c r="E382" s="16" t="str">
        <f t="shared" si="161"/>
        <v>FY86</v>
      </c>
      <c r="F382" s="16" t="str">
        <f t="shared" si="161"/>
        <v>FY87</v>
      </c>
      <c r="G382" s="16" t="str">
        <f t="shared" si="161"/>
        <v>FY88</v>
      </c>
      <c r="H382" s="16" t="str">
        <f t="shared" si="161"/>
        <v>FY89</v>
      </c>
      <c r="I382" s="16" t="str">
        <f t="shared" si="161"/>
        <v>FY90</v>
      </c>
      <c r="J382" s="16" t="str">
        <f t="shared" si="161"/>
        <v>FY91</v>
      </c>
      <c r="K382" s="16" t="str">
        <f t="shared" si="161"/>
        <v>FY92</v>
      </c>
      <c r="L382" s="16" t="str">
        <f t="shared" si="161"/>
        <v>FY93</v>
      </c>
      <c r="M382" s="16" t="str">
        <f t="shared" si="161"/>
        <v>FY94</v>
      </c>
      <c r="N382" s="16"/>
      <c r="O382" s="16" t="str">
        <f>O6</f>
        <v xml:space="preserve"> 8/94</v>
      </c>
      <c r="P382" s="16" t="str">
        <f>P6</f>
        <v xml:space="preserve"> 11/94</v>
      </c>
      <c r="Q382" s="16" t="str">
        <f>Q6</f>
        <v xml:space="preserve"> 2/95</v>
      </c>
      <c r="R382" s="16" t="str">
        <f>R6</f>
        <v>5/95</v>
      </c>
      <c r="S382" s="16" t="str">
        <f>S6</f>
        <v>FY95</v>
      </c>
      <c r="T382" s="16"/>
      <c r="U382" s="16" t="str">
        <f>U6</f>
        <v xml:space="preserve"> 8/95</v>
      </c>
      <c r="V382" s="16" t="str">
        <f>V6</f>
        <v xml:space="preserve"> 11/95</v>
      </c>
      <c r="W382" s="16" t="str">
        <f>W6</f>
        <v xml:space="preserve"> 2/96</v>
      </c>
      <c r="X382" s="16" t="str">
        <f>X6</f>
        <v>5/96</v>
      </c>
      <c r="Y382" s="16" t="str">
        <f>Y6</f>
        <v>FY96</v>
      </c>
      <c r="Z382" s="16"/>
      <c r="AA382" s="16" t="str">
        <f>AA6</f>
        <v xml:space="preserve"> 8/96</v>
      </c>
      <c r="AB382" s="16" t="str">
        <f>AB6</f>
        <v xml:space="preserve"> 11/96</v>
      </c>
      <c r="AC382" s="16" t="str">
        <f>AC6</f>
        <v xml:space="preserve"> 2/97</v>
      </c>
      <c r="AD382" s="16" t="str">
        <f>AD6</f>
        <v>5/97</v>
      </c>
      <c r="AE382" s="16" t="str">
        <f>AE6</f>
        <v>FY97</v>
      </c>
      <c r="AF382" s="16"/>
      <c r="AG382" s="16" t="str">
        <f>AG6</f>
        <v xml:space="preserve"> 8/97</v>
      </c>
      <c r="AH382" s="16" t="str">
        <f>AH6</f>
        <v xml:space="preserve"> 11/97</v>
      </c>
      <c r="AI382" s="16" t="str">
        <f>AI6</f>
        <v xml:space="preserve"> 2/98</v>
      </c>
      <c r="AJ382" s="16" t="str">
        <f>AJ6</f>
        <v>5/98</v>
      </c>
      <c r="AK382" s="16" t="str">
        <f>AK6</f>
        <v>FY98</v>
      </c>
      <c r="AL382" s="16"/>
      <c r="AM382" s="16" t="str">
        <f>AM6</f>
        <v xml:space="preserve"> 8/98</v>
      </c>
      <c r="AN382" s="16" t="str">
        <f>AN6</f>
        <v xml:space="preserve"> 11/98</v>
      </c>
      <c r="AO382" s="16" t="str">
        <f>AO6</f>
        <v xml:space="preserve"> 2/99</v>
      </c>
      <c r="AP382" s="16" t="str">
        <f>AP6</f>
        <v>5/99</v>
      </c>
      <c r="AQ382" s="16" t="str">
        <f>AQ6</f>
        <v>FY99</v>
      </c>
      <c r="AR382" s="16"/>
      <c r="AS382" s="16" t="str">
        <f>AS6</f>
        <v xml:space="preserve"> 8/99</v>
      </c>
      <c r="AT382" s="16" t="str">
        <f>AT6</f>
        <v xml:space="preserve"> 11/99</v>
      </c>
      <c r="AU382" s="16" t="str">
        <f>AU6</f>
        <v xml:space="preserve"> 2/00</v>
      </c>
      <c r="AV382" s="16" t="str">
        <f>AV6</f>
        <v>5/00</v>
      </c>
      <c r="AW382" s="16" t="str">
        <f>AW6</f>
        <v>FY00</v>
      </c>
      <c r="AX382" s="16"/>
      <c r="AY382" s="16" t="str">
        <f>AY6</f>
        <v xml:space="preserve"> 8/00</v>
      </c>
      <c r="AZ382" s="16" t="str">
        <f>AZ6</f>
        <v xml:space="preserve"> 11/00</v>
      </c>
      <c r="BA382" s="16" t="str">
        <f>BA6</f>
        <v xml:space="preserve"> 2/01</v>
      </c>
      <c r="BB382" s="16" t="str">
        <f>BB6</f>
        <v>5/01</v>
      </c>
      <c r="BC382" s="16" t="str">
        <f>BC6</f>
        <v>FY01</v>
      </c>
      <c r="BD382" s="16"/>
      <c r="BE382" s="16" t="str">
        <f>BE6</f>
        <v xml:space="preserve"> 8/01</v>
      </c>
      <c r="BF382" s="16" t="str">
        <f>BF6</f>
        <v xml:space="preserve"> 11/01</v>
      </c>
      <c r="BG382" s="16" t="str">
        <f>BG6</f>
        <v xml:space="preserve"> 2/02</v>
      </c>
      <c r="BH382" s="16" t="str">
        <f>BH6</f>
        <v>5/02</v>
      </c>
      <c r="BI382" s="16" t="str">
        <f>BI6</f>
        <v>FY02</v>
      </c>
      <c r="BJ382" s="16"/>
      <c r="BK382" s="16" t="str">
        <f>BK6</f>
        <v xml:space="preserve"> 8/02</v>
      </c>
      <c r="BL382" s="16" t="str">
        <f>BL6</f>
        <v xml:space="preserve"> 11/02</v>
      </c>
      <c r="BM382" s="16" t="str">
        <f>BM6</f>
        <v xml:space="preserve"> 2/03</v>
      </c>
      <c r="BN382" s="16" t="str">
        <f>BN6</f>
        <v>5/03</v>
      </c>
      <c r="BO382" s="16" t="str">
        <f>BO6</f>
        <v>FY03</v>
      </c>
      <c r="BP382" s="16"/>
      <c r="BQ382" s="16" t="str">
        <f>BQ6</f>
        <v xml:space="preserve"> 8/03</v>
      </c>
      <c r="BR382" s="16" t="str">
        <f>BR6</f>
        <v xml:space="preserve"> 11/03</v>
      </c>
      <c r="BS382" s="16" t="str">
        <f>BS6</f>
        <v xml:space="preserve"> 2/04</v>
      </c>
      <c r="BT382" s="16" t="str">
        <f>BT6</f>
        <v>5/04</v>
      </c>
      <c r="BU382" s="16" t="str">
        <f>BU6</f>
        <v>FY04</v>
      </c>
      <c r="BV382" s="16"/>
      <c r="BW382" s="16" t="str">
        <f>BW6</f>
        <v xml:space="preserve"> 8/04</v>
      </c>
      <c r="BX382" s="16" t="str">
        <f>BX6</f>
        <v xml:space="preserve"> 11/04</v>
      </c>
      <c r="BY382" s="16" t="str">
        <f>BY6</f>
        <v xml:space="preserve"> 2/05</v>
      </c>
      <c r="BZ382" s="16" t="str">
        <f>BZ6</f>
        <v>5/05</v>
      </c>
      <c r="CA382" s="16" t="str">
        <f>CA6</f>
        <v>FY05</v>
      </c>
      <c r="CB382" s="16"/>
      <c r="CC382" s="16" t="str">
        <f>CC6</f>
        <v xml:space="preserve"> 8/05</v>
      </c>
      <c r="CD382" s="16" t="str">
        <f>CD6</f>
        <v xml:space="preserve"> 11/05</v>
      </c>
      <c r="CE382" s="16" t="str">
        <f>CE6</f>
        <v xml:space="preserve"> 2/06</v>
      </c>
      <c r="CF382" s="16" t="str">
        <f>CF6</f>
        <v>5/06</v>
      </c>
      <c r="CG382" s="393" t="str">
        <f>CG6</f>
        <v>FY06</v>
      </c>
      <c r="CH382" s="16"/>
      <c r="CI382" s="16" t="str">
        <f>CI6</f>
        <v xml:space="preserve"> 8/06</v>
      </c>
      <c r="CJ382" s="16" t="str">
        <f>CJ6</f>
        <v xml:space="preserve"> 11/06</v>
      </c>
      <c r="CK382" s="16" t="str">
        <f>CK6</f>
        <v xml:space="preserve"> 2/07</v>
      </c>
      <c r="CL382" s="16" t="str">
        <f>CL6</f>
        <v>5/07</v>
      </c>
      <c r="CM382" s="393" t="str">
        <f>CM6</f>
        <v>FY07</v>
      </c>
      <c r="CN382" s="16"/>
      <c r="CO382" s="16" t="str">
        <f>CO6</f>
        <v xml:space="preserve"> 8/07</v>
      </c>
      <c r="CP382" s="16" t="str">
        <f>CP6</f>
        <v xml:space="preserve"> 11/07</v>
      </c>
      <c r="CQ382" s="16" t="str">
        <f>CQ6</f>
        <v xml:space="preserve"> 2/08</v>
      </c>
      <c r="CR382" s="16" t="str">
        <f>CR6</f>
        <v>5/08</v>
      </c>
      <c r="CS382" s="393" t="str">
        <f>CS6</f>
        <v>FY08</v>
      </c>
      <c r="CT382" s="16"/>
      <c r="CU382" s="16" t="str">
        <f>CU6</f>
        <v xml:space="preserve"> 8/08</v>
      </c>
      <c r="CV382" s="16" t="str">
        <f>CV6</f>
        <v xml:space="preserve"> 11/08</v>
      </c>
      <c r="CW382" s="16" t="str">
        <f>CW6</f>
        <v xml:space="preserve"> 2/09</v>
      </c>
      <c r="CX382" s="16" t="str">
        <f>CX6</f>
        <v>5/09</v>
      </c>
      <c r="CY382" s="393" t="str">
        <f>CY6</f>
        <v>FY09</v>
      </c>
      <c r="CZ382" s="16"/>
      <c r="DA382" s="16" t="str">
        <f>DA6</f>
        <v>8/09</v>
      </c>
      <c r="DB382" s="16" t="str">
        <f>DB6</f>
        <v>11/09</v>
      </c>
      <c r="DC382" s="16" t="str">
        <f>DC6</f>
        <v>2/10</v>
      </c>
      <c r="DD382" s="16" t="str">
        <f>DD6</f>
        <v>5/10</v>
      </c>
      <c r="DE382" s="393" t="str">
        <f>DE6</f>
        <v>FY10</v>
      </c>
      <c r="DF382" s="16"/>
      <c r="DG382" s="16" t="str">
        <f>DG6</f>
        <v>8/10</v>
      </c>
      <c r="DH382" s="16" t="str">
        <f>DH6</f>
        <v>11/10</v>
      </c>
      <c r="DI382" s="16" t="str">
        <f>DI6</f>
        <v>2/11</v>
      </c>
      <c r="DJ382" s="16" t="str">
        <f>DJ6</f>
        <v>5/11</v>
      </c>
      <c r="DK382" s="393" t="str">
        <f>DK6</f>
        <v>FY11</v>
      </c>
      <c r="DL382" s="16"/>
      <c r="DM382" s="16" t="str">
        <f>DM6</f>
        <v>8/11</v>
      </c>
      <c r="DN382" s="16" t="str">
        <f>DN6</f>
        <v>11/11</v>
      </c>
      <c r="DO382" s="16" t="str">
        <f>DO6</f>
        <v xml:space="preserve"> 2/12</v>
      </c>
      <c r="DP382" s="16" t="str">
        <f>DP6</f>
        <v>5/12</v>
      </c>
      <c r="DQ382" s="393" t="str">
        <f>DQ6</f>
        <v>FY12</v>
      </c>
      <c r="DR382" s="16"/>
      <c r="DS382" s="16" t="str">
        <f>DS6</f>
        <v>8/12</v>
      </c>
      <c r="DT382" s="16" t="str">
        <f>DT6</f>
        <v>11/12</v>
      </c>
      <c r="DU382" s="16" t="str">
        <f>DU6</f>
        <v xml:space="preserve"> 2/13</v>
      </c>
      <c r="DV382" s="16" t="str">
        <f>DV6</f>
        <v>5/13</v>
      </c>
      <c r="DW382" s="393" t="str">
        <f>DW6</f>
        <v>FY13</v>
      </c>
      <c r="DX382" s="16"/>
      <c r="DY382" s="16" t="str">
        <f>DY6</f>
        <v>8/13</v>
      </c>
      <c r="DZ382" s="16" t="str">
        <f>DZ6</f>
        <v>11/13</v>
      </c>
      <c r="EA382" s="16" t="str">
        <f>EA6</f>
        <v>2/14</v>
      </c>
      <c r="EB382" s="16" t="str">
        <f>EB6</f>
        <v>5/14</v>
      </c>
      <c r="EC382" s="393" t="str">
        <f>EC6</f>
        <v>FY14</v>
      </c>
      <c r="ED382" s="16"/>
      <c r="EE382" s="16" t="str">
        <f>EE6</f>
        <v>8/14</v>
      </c>
      <c r="EF382" s="16" t="str">
        <f>EF6</f>
        <v>11/14</v>
      </c>
      <c r="EG382" s="16" t="str">
        <f>EG6</f>
        <v>2/15</v>
      </c>
      <c r="EH382" s="16" t="str">
        <f>EH6</f>
        <v>5/15</v>
      </c>
      <c r="EI382" s="393" t="str">
        <f>EI6</f>
        <v>FY15</v>
      </c>
      <c r="EJ382" s="16"/>
      <c r="EK382" s="16" t="str">
        <f>EK6</f>
        <v xml:space="preserve"> 8/15</v>
      </c>
      <c r="EL382" s="16" t="str">
        <f>EL6</f>
        <v xml:space="preserve"> 11/15</v>
      </c>
      <c r="EM382" s="16" t="str">
        <f>EM6</f>
        <v>2/16</v>
      </c>
      <c r="EN382" s="16" t="str">
        <f>EN6</f>
        <v>5/16</v>
      </c>
      <c r="EO382" s="393" t="str">
        <f>EO6</f>
        <v>FY16</v>
      </c>
      <c r="EP382" s="16"/>
      <c r="EQ382" s="16" t="str">
        <f>EQ6</f>
        <v xml:space="preserve"> 8/16</v>
      </c>
      <c r="ER382" s="16" t="str">
        <f>ER6</f>
        <v xml:space="preserve"> 11/16</v>
      </c>
      <c r="ES382" s="16" t="str">
        <f>ES6</f>
        <v xml:space="preserve"> 2/17</v>
      </c>
      <c r="ET382" s="16" t="str">
        <f>ET6</f>
        <v>5/17</v>
      </c>
      <c r="EU382" s="393" t="str">
        <f>EU6</f>
        <v>FY17</v>
      </c>
      <c r="EV382" s="16"/>
      <c r="EW382" s="16" t="str">
        <f>EW6</f>
        <v xml:space="preserve"> 8/17</v>
      </c>
      <c r="EX382" s="16" t="str">
        <f>EX6</f>
        <v xml:space="preserve"> 11/17</v>
      </c>
      <c r="EY382" s="16" t="str">
        <f>EY6</f>
        <v xml:space="preserve"> 2/18</v>
      </c>
      <c r="EZ382" s="16" t="str">
        <f>EZ6</f>
        <v>5/18E</v>
      </c>
      <c r="FA382" s="393" t="str">
        <f>FA6</f>
        <v>FY18E</v>
      </c>
      <c r="FB382" s="16"/>
      <c r="FC382" s="16" t="str">
        <f>FC6</f>
        <v xml:space="preserve"> 8/18E</v>
      </c>
      <c r="FD382" s="16" t="str">
        <f>FD6</f>
        <v xml:space="preserve"> 11/18E</v>
      </c>
      <c r="FE382" s="16" t="str">
        <f>FE6</f>
        <v xml:space="preserve"> 2/19E</v>
      </c>
      <c r="FF382" s="16" t="str">
        <f>FF6</f>
        <v>5/19E</v>
      </c>
      <c r="FG382" s="393" t="str">
        <f>FG6</f>
        <v>FY19E</v>
      </c>
      <c r="FH382" s="16"/>
      <c r="FI382" s="16" t="str">
        <f>FI6</f>
        <v xml:space="preserve"> 8/19E</v>
      </c>
      <c r="FJ382" s="16" t="str">
        <f>FJ6</f>
        <v xml:space="preserve"> 11/19E</v>
      </c>
      <c r="FK382" s="16" t="str">
        <f>FK6</f>
        <v xml:space="preserve"> 2/20E</v>
      </c>
      <c r="FL382" s="16" t="str">
        <f>FL6</f>
        <v>5/20E</v>
      </c>
      <c r="FM382" s="393" t="str">
        <f>FM6</f>
        <v>FY20E</v>
      </c>
      <c r="FQ382"/>
      <c r="FR382"/>
      <c r="FS382"/>
      <c r="FT382"/>
      <c r="FU382"/>
      <c r="FV382"/>
      <c r="GB382" s="24"/>
      <c r="GC382" s="24"/>
      <c r="GD382" s="24"/>
      <c r="GE382" s="24"/>
      <c r="GF382" s="24"/>
      <c r="GG382" s="24"/>
      <c r="GH382" s="24"/>
      <c r="GI382" s="24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  <c r="HB382"/>
      <c r="HC382"/>
      <c r="HD382"/>
      <c r="HE382"/>
      <c r="HF382"/>
      <c r="HG382"/>
      <c r="HH382"/>
      <c r="HI382"/>
      <c r="HJ382"/>
      <c r="HK382"/>
      <c r="HL382"/>
      <c r="HM382"/>
      <c r="HN382"/>
      <c r="HO382"/>
      <c r="HP382"/>
      <c r="HQ382"/>
      <c r="HR382"/>
      <c r="HS382"/>
      <c r="HT382"/>
      <c r="HU382"/>
      <c r="HV382"/>
      <c r="HW382"/>
      <c r="HX382"/>
      <c r="HY382"/>
      <c r="HZ382"/>
      <c r="IA382"/>
      <c r="IB382"/>
      <c r="IC382"/>
      <c r="ID382"/>
      <c r="IE382"/>
      <c r="IF382"/>
      <c r="IG382"/>
      <c r="IH382"/>
      <c r="II382"/>
      <c r="IJ382"/>
      <c r="IK382"/>
      <c r="IL382"/>
      <c r="IM382"/>
      <c r="IN382"/>
      <c r="IO382"/>
      <c r="IP382"/>
      <c r="IQ382"/>
      <c r="IR382"/>
      <c r="IS382"/>
      <c r="IT382"/>
      <c r="IU382"/>
      <c r="IV382"/>
      <c r="IW382"/>
      <c r="IX382"/>
      <c r="IY382"/>
      <c r="IZ382"/>
      <c r="JA382"/>
      <c r="JB382"/>
      <c r="JC382"/>
      <c r="JD382"/>
      <c r="JE382"/>
      <c r="JF382"/>
      <c r="JG382"/>
      <c r="JH382"/>
      <c r="JI382"/>
      <c r="JJ382"/>
      <c r="JK382"/>
      <c r="JL382"/>
      <c r="JM382"/>
      <c r="JN382"/>
    </row>
    <row r="383" spans="1:274" s="28" customFormat="1" ht="5.25" customHeight="1" x14ac:dyDescent="0.2">
      <c r="A383" s="18"/>
      <c r="B383" s="595"/>
      <c r="CG383" s="416"/>
      <c r="CM383" s="416"/>
      <c r="CS383" s="416"/>
      <c r="CY383" s="416"/>
      <c r="DE383" s="416"/>
      <c r="DK383" s="416"/>
      <c r="DQ383" s="416"/>
      <c r="DW383" s="416"/>
      <c r="EC383" s="416"/>
      <c r="EI383" s="416"/>
      <c r="EO383" s="416"/>
      <c r="EU383" s="416"/>
      <c r="FA383" s="416"/>
      <c r="FG383" s="416"/>
      <c r="FM383" s="416"/>
      <c r="FQ383"/>
      <c r="FR383"/>
      <c r="FS383"/>
      <c r="FT383"/>
      <c r="FU383"/>
      <c r="FV383"/>
      <c r="GB383" s="24"/>
      <c r="GC383" s="24"/>
      <c r="GD383" s="24"/>
      <c r="GE383" s="24"/>
      <c r="GF383" s="24"/>
      <c r="GG383" s="24"/>
      <c r="GH383" s="24"/>
      <c r="GI383" s="24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  <c r="HB383"/>
      <c r="HC383"/>
      <c r="HD383"/>
      <c r="HE383"/>
      <c r="HF383"/>
      <c r="HG383"/>
      <c r="HH383"/>
      <c r="HI383"/>
      <c r="HJ383"/>
      <c r="HK383"/>
      <c r="HL383"/>
      <c r="HM383"/>
      <c r="HN383"/>
      <c r="HO383"/>
      <c r="HP383"/>
      <c r="HQ383"/>
      <c r="HR383"/>
      <c r="HS383"/>
      <c r="HT383"/>
      <c r="HU383"/>
      <c r="HV383"/>
      <c r="HW383"/>
      <c r="HX383"/>
      <c r="HY383"/>
      <c r="HZ383"/>
      <c r="IA383"/>
      <c r="IB383"/>
      <c r="IC383"/>
      <c r="ID383"/>
      <c r="IE383"/>
      <c r="IF383"/>
      <c r="IG383"/>
      <c r="IH383"/>
      <c r="II383"/>
      <c r="IJ383"/>
      <c r="IK383"/>
      <c r="IL383"/>
      <c r="IM383"/>
      <c r="IN383"/>
      <c r="IO383"/>
      <c r="IP383"/>
      <c r="IQ383"/>
      <c r="IR383"/>
      <c r="IS383"/>
      <c r="IT383"/>
      <c r="IU383"/>
      <c r="IV383"/>
      <c r="IW383"/>
      <c r="IX383"/>
      <c r="IY383"/>
      <c r="IZ383"/>
      <c r="JA383"/>
      <c r="JB383"/>
      <c r="JC383"/>
      <c r="JD383"/>
      <c r="JE383"/>
      <c r="JF383"/>
      <c r="JG383"/>
      <c r="JH383"/>
      <c r="JI383"/>
      <c r="JJ383"/>
      <c r="JK383"/>
      <c r="JL383"/>
      <c r="JM383"/>
      <c r="JN383"/>
    </row>
    <row r="384" spans="1:274" s="32" customFormat="1" x14ac:dyDescent="0.2">
      <c r="A384" s="1221" t="s">
        <v>865</v>
      </c>
      <c r="B384" s="1221"/>
      <c r="C384" s="1221"/>
      <c r="D384" s="1221"/>
      <c r="E384" s="1221"/>
      <c r="F384" s="1221"/>
      <c r="G384" s="1221"/>
      <c r="H384" s="1221"/>
      <c r="I384" s="1221"/>
      <c r="J384" s="1221"/>
      <c r="K384" s="1221"/>
      <c r="L384" s="1221"/>
      <c r="M384" s="1221"/>
      <c r="N384" s="1221"/>
      <c r="O384" s="1221"/>
      <c r="P384" s="1221"/>
      <c r="Q384" s="1221"/>
      <c r="R384" s="1221"/>
      <c r="S384" s="1221"/>
      <c r="T384" s="1221"/>
      <c r="U384" s="1221"/>
      <c r="V384" s="1221"/>
      <c r="W384" s="1221"/>
      <c r="X384" s="1221"/>
      <c r="Y384" s="1221"/>
      <c r="Z384" s="1221"/>
      <c r="AA384" s="1221"/>
      <c r="AB384" s="1221"/>
      <c r="AC384" s="1221"/>
      <c r="AD384" s="1221"/>
      <c r="AE384" s="1221"/>
      <c r="AF384" s="1221"/>
      <c r="AG384" s="1221"/>
      <c r="AH384" s="1221"/>
      <c r="AI384" s="1221"/>
      <c r="AJ384" s="1221"/>
      <c r="AK384" s="1221"/>
      <c r="AL384" s="1221"/>
      <c r="AM384" s="1221"/>
      <c r="AN384" s="1221"/>
      <c r="AO384" s="1221"/>
      <c r="AP384" s="1221"/>
      <c r="AQ384" s="1221"/>
      <c r="AR384" s="1221"/>
      <c r="AS384" s="1221"/>
      <c r="AT384" s="1221"/>
      <c r="AU384" s="1221"/>
      <c r="AV384" s="1221"/>
      <c r="AW384" s="1221"/>
      <c r="AX384" s="1221"/>
      <c r="AY384" s="1221"/>
      <c r="AZ384" s="1221"/>
      <c r="BA384" s="1221"/>
      <c r="BB384" s="1221"/>
      <c r="BC384" s="1221"/>
      <c r="BD384" s="1221"/>
      <c r="BE384" s="1221"/>
      <c r="BF384" s="1221"/>
      <c r="BG384" s="1221"/>
      <c r="BH384" s="1221"/>
      <c r="BI384" s="1221"/>
      <c r="BJ384" s="1221"/>
      <c r="BK384" s="1221"/>
      <c r="BL384" s="1221"/>
      <c r="BM384" s="1221"/>
      <c r="BN384" s="1221"/>
      <c r="BO384" s="1221"/>
      <c r="BP384" s="1221"/>
      <c r="BQ384" s="1221"/>
      <c r="BR384" s="1221"/>
      <c r="BS384" s="1221"/>
      <c r="BT384" s="1221"/>
      <c r="BU384" s="1221"/>
      <c r="BV384" s="1221"/>
      <c r="BW384" s="1221"/>
      <c r="BX384" s="1221"/>
      <c r="BY384" s="1221"/>
      <c r="BZ384" s="1221"/>
      <c r="CA384" s="1221"/>
      <c r="CB384" s="1221"/>
      <c r="CC384" s="1221"/>
      <c r="CD384" s="1221"/>
      <c r="CE384" s="1221"/>
      <c r="CF384" s="1221"/>
      <c r="CG384" s="1374"/>
      <c r="CH384" s="1221"/>
      <c r="CI384" s="1221"/>
      <c r="CJ384" s="1221"/>
      <c r="CK384" s="1221"/>
      <c r="CL384" s="1221"/>
      <c r="CM384" s="1374"/>
      <c r="CN384" s="1221"/>
      <c r="CO384" s="1221"/>
      <c r="CP384" s="1221"/>
      <c r="CQ384" s="1221"/>
      <c r="CR384" s="1221"/>
      <c r="CS384" s="1374"/>
      <c r="CT384" s="1428"/>
      <c r="CU384" s="1221"/>
      <c r="CV384" s="1221"/>
      <c r="CW384" s="1221"/>
      <c r="CX384" s="1221"/>
      <c r="CY384" s="1374"/>
      <c r="CZ384" s="1428"/>
      <c r="DA384" s="1221"/>
      <c r="DB384" s="1221"/>
      <c r="DC384" s="1221"/>
      <c r="DD384" s="1221"/>
      <c r="DE384" s="1374"/>
      <c r="DF384" s="1428"/>
      <c r="DG384" s="1221"/>
      <c r="DH384" s="1221"/>
      <c r="DI384" s="1221"/>
      <c r="DJ384" s="1221"/>
      <c r="DK384" s="1374"/>
      <c r="DL384" s="1428"/>
      <c r="DM384" s="1221"/>
      <c r="DN384" s="1221"/>
      <c r="DO384" s="1221"/>
      <c r="DP384" s="1221"/>
      <c r="DQ384" s="1374"/>
      <c r="DR384" s="1428"/>
      <c r="DS384" s="1221"/>
      <c r="DT384" s="1221"/>
      <c r="DU384" s="1221"/>
      <c r="DV384" s="1221"/>
      <c r="DW384" s="1374"/>
      <c r="DX384" s="1428"/>
      <c r="DY384" s="1221"/>
      <c r="DZ384" s="1221"/>
      <c r="EA384" s="1221"/>
      <c r="EB384" s="1221"/>
      <c r="EC384" s="1374"/>
      <c r="ED384" s="1428"/>
      <c r="EE384" s="1221"/>
      <c r="EF384" s="1221"/>
      <c r="EG384" s="1221"/>
      <c r="EH384" s="1221"/>
      <c r="EI384" s="1374"/>
      <c r="EJ384" s="1428"/>
      <c r="EK384" s="1221"/>
      <c r="EL384" s="1221"/>
      <c r="EM384" s="1221"/>
      <c r="EN384" s="1221"/>
      <c r="EO384" s="1374"/>
      <c r="EP384" s="1428"/>
      <c r="EQ384" s="1221"/>
      <c r="ER384" s="1221"/>
      <c r="ES384" s="1221"/>
      <c r="ET384" s="1221"/>
      <c r="EU384" s="1374"/>
      <c r="EV384" s="1428"/>
      <c r="EW384" s="1221"/>
      <c r="EX384" s="1221"/>
      <c r="EY384" s="1221"/>
      <c r="EZ384" s="1221"/>
      <c r="FA384" s="1374"/>
      <c r="FB384" s="1428"/>
      <c r="FC384" s="1221"/>
      <c r="FD384" s="1221"/>
      <c r="FE384" s="1221"/>
      <c r="FF384" s="1221"/>
      <c r="FG384" s="1374"/>
      <c r="FH384" s="1428"/>
      <c r="FI384" s="1221"/>
      <c r="FJ384" s="1221"/>
      <c r="FK384" s="1221"/>
      <c r="FL384" s="1221"/>
      <c r="FM384" s="1374"/>
      <c r="FQ384"/>
      <c r="FR384"/>
      <c r="FS384"/>
      <c r="FT384"/>
      <c r="FU384"/>
      <c r="FV384"/>
      <c r="GB384" s="24"/>
      <c r="GC384" s="24"/>
      <c r="GD384" s="24"/>
      <c r="GE384" s="24"/>
      <c r="GF384" s="24"/>
      <c r="GG384" s="24"/>
      <c r="GH384" s="24"/>
      <c r="GI384" s="2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  <c r="HB384"/>
      <c r="HC384"/>
      <c r="HD384"/>
      <c r="HE384"/>
      <c r="HF384"/>
      <c r="HG384"/>
      <c r="HH384"/>
      <c r="HI384"/>
      <c r="HJ384"/>
      <c r="HK384"/>
      <c r="HL384"/>
      <c r="HM384"/>
      <c r="HN384"/>
      <c r="HO384"/>
      <c r="HP384"/>
      <c r="HQ384"/>
      <c r="HR384"/>
      <c r="HS384"/>
      <c r="HT384"/>
      <c r="HU384"/>
      <c r="HV384"/>
      <c r="HW384"/>
      <c r="HX384"/>
      <c r="HY384"/>
      <c r="HZ384"/>
      <c r="IA384"/>
      <c r="IB384"/>
      <c r="IC384"/>
      <c r="ID384"/>
      <c r="IE384"/>
      <c r="IF384"/>
      <c r="IG384"/>
      <c r="IH384"/>
      <c r="II384"/>
      <c r="IJ384"/>
      <c r="IK384"/>
      <c r="IL384"/>
      <c r="IM384"/>
      <c r="IN384"/>
      <c r="IO384"/>
      <c r="IP384"/>
      <c r="IQ384"/>
      <c r="IR384"/>
      <c r="IS384"/>
      <c r="IT384"/>
      <c r="IU384"/>
      <c r="IV384"/>
      <c r="IW384"/>
      <c r="IX384"/>
      <c r="IY384"/>
      <c r="IZ384"/>
      <c r="JA384"/>
      <c r="JB384"/>
      <c r="JC384"/>
      <c r="JD384"/>
      <c r="JE384"/>
      <c r="JF384"/>
      <c r="JG384"/>
      <c r="JH384"/>
      <c r="JI384"/>
      <c r="JJ384"/>
      <c r="JK384"/>
      <c r="JL384"/>
      <c r="JM384"/>
      <c r="JN384"/>
    </row>
    <row r="385" spans="1:274" s="27" customFormat="1" x14ac:dyDescent="0.2">
      <c r="A385" s="244" t="s">
        <v>319</v>
      </c>
      <c r="B385" s="476"/>
      <c r="C385" s="59" t="s">
        <v>945</v>
      </c>
      <c r="D385" s="59">
        <f>fcf _fy85</f>
        <v>0</v>
      </c>
      <c r="E385" s="59">
        <f>fcf _fy86</f>
        <v>0</v>
      </c>
      <c r="F385" s="59">
        <f>fcf _fy87</f>
        <v>0</v>
      </c>
      <c r="G385" s="59">
        <f>fcf _fy88</f>
        <v>0</v>
      </c>
      <c r="H385" s="59">
        <f>fcf _fy89</f>
        <v>0</v>
      </c>
      <c r="I385" s="59">
        <f>fcf _fy90</f>
        <v>0</v>
      </c>
      <c r="J385" s="59">
        <f>fcf _fy91</f>
        <v>0</v>
      </c>
      <c r="K385" s="59">
        <f>fcf _fy92</f>
        <v>0</v>
      </c>
      <c r="L385" s="59">
        <f>fcf _fy93</f>
        <v>0</v>
      </c>
      <c r="M385" s="59">
        <f>fcf _fy94</f>
        <v>0</v>
      </c>
      <c r="N385" s="244"/>
      <c r="O385" s="59" t="s">
        <v>945</v>
      </c>
      <c r="P385" s="59" t="s">
        <v>945</v>
      </c>
      <c r="Q385" s="59" t="s">
        <v>945</v>
      </c>
      <c r="R385" s="59" t="s">
        <v>945</v>
      </c>
      <c r="S385" s="59">
        <f>fcf _fy95</f>
        <v>0</v>
      </c>
      <c r="T385" s="244"/>
      <c r="U385" s="59" t="s">
        <v>945</v>
      </c>
      <c r="V385" s="59" t="s">
        <v>945</v>
      </c>
      <c r="W385" s="59" t="s">
        <v>945</v>
      </c>
      <c r="X385" s="59" t="s">
        <v>945</v>
      </c>
      <c r="Y385" s="59">
        <f>fcf _fy96</f>
        <v>0</v>
      </c>
      <c r="Z385" s="244"/>
      <c r="AA385" s="59" t="s">
        <v>945</v>
      </c>
      <c r="AB385" s="59" t="s">
        <v>945</v>
      </c>
      <c r="AC385" s="59" t="s">
        <v>945</v>
      </c>
      <c r="AD385" s="59" t="s">
        <v>945</v>
      </c>
      <c r="AE385" s="59">
        <f>fcf _fy97</f>
        <v>639.76299999999992</v>
      </c>
      <c r="AF385" s="244"/>
      <c r="AG385" s="59" t="s">
        <v>945</v>
      </c>
      <c r="AH385" s="59" t="s">
        <v>945</v>
      </c>
      <c r="AI385" s="59" t="s">
        <v>945</v>
      </c>
      <c r="AJ385" s="59" t="s">
        <v>945</v>
      </c>
      <c r="AK385" s="59">
        <f>fcf _fy98</f>
        <v>1286.2209999999998</v>
      </c>
      <c r="AL385" s="244"/>
      <c r="AM385" s="59" t="s">
        <v>945</v>
      </c>
      <c r="AN385" s="59" t="s">
        <v>945</v>
      </c>
      <c r="AO385" s="59" t="s">
        <v>945</v>
      </c>
      <c r="AP385" s="59" t="s">
        <v>945</v>
      </c>
      <c r="AQ385" s="59">
        <f>fcf _fy99</f>
        <v>1460.5070000000001</v>
      </c>
      <c r="AR385" s="244"/>
      <c r="AS385" s="59" t="s">
        <v>945</v>
      </c>
      <c r="AT385" s="59" t="s">
        <v>945</v>
      </c>
      <c r="AU385" s="59" t="s">
        <v>945</v>
      </c>
      <c r="AV385" s="59" t="s">
        <v>945</v>
      </c>
      <c r="AW385" s="59">
        <f>fcf _fy00</f>
        <v>2660.121000000001</v>
      </c>
      <c r="AX385" s="244"/>
      <c r="AY385" s="59" t="s">
        <v>945</v>
      </c>
      <c r="AZ385" s="59" t="s">
        <v>945</v>
      </c>
      <c r="BA385" s="59" t="s">
        <v>945</v>
      </c>
      <c r="BB385" s="59" t="s">
        <v>945</v>
      </c>
      <c r="BC385" s="59">
        <f>fcf _fy01</f>
        <v>1866</v>
      </c>
      <c r="BD385" s="244"/>
      <c r="BE385" s="59" t="s">
        <v>945</v>
      </c>
      <c r="BF385" s="59" t="s">
        <v>945</v>
      </c>
      <c r="BG385" s="59" t="s">
        <v>945</v>
      </c>
      <c r="BH385" s="59" t="s">
        <v>945</v>
      </c>
      <c r="BI385" s="59">
        <f>fcf _fy02</f>
        <v>2857</v>
      </c>
      <c r="BJ385" s="244"/>
      <c r="BK385" s="59" t="s">
        <v>945</v>
      </c>
      <c r="BL385" s="59" t="s">
        <v>945</v>
      </c>
      <c r="BM385" s="59" t="s">
        <v>945</v>
      </c>
      <c r="BN385" s="59" t="s">
        <v>945</v>
      </c>
      <c r="BO385" s="59">
        <f>fcf _fy03</f>
        <v>2732</v>
      </c>
      <c r="BP385" s="244"/>
      <c r="BQ385" s="59" t="s">
        <v>945</v>
      </c>
      <c r="BR385" s="59" t="s">
        <v>945</v>
      </c>
      <c r="BS385" s="59" t="s">
        <v>945</v>
      </c>
      <c r="BT385" s="59" t="s">
        <v>945</v>
      </c>
      <c r="BU385" s="59">
        <f>fcf _fy04</f>
        <v>3006</v>
      </c>
      <c r="BV385" s="244"/>
      <c r="BW385" s="59" t="s">
        <v>945</v>
      </c>
      <c r="BX385" s="59" t="s">
        <v>945</v>
      </c>
      <c r="BY385" s="59" t="s">
        <v>945</v>
      </c>
      <c r="BZ385" s="59" t="s">
        <v>945</v>
      </c>
      <c r="CA385" s="59">
        <f>fcf _fy05</f>
        <v>3363.9225000000001</v>
      </c>
      <c r="CB385" s="244"/>
      <c r="CC385" s="59" t="s">
        <v>945</v>
      </c>
      <c r="CD385" s="59" t="s">
        <v>945</v>
      </c>
      <c r="CE385" s="59" t="s">
        <v>945</v>
      </c>
      <c r="CF385" s="59" t="s">
        <v>945</v>
      </c>
      <c r="CG385" s="168">
        <f>fcf _fy06</f>
        <v>4305</v>
      </c>
      <c r="CH385" s="244"/>
      <c r="CI385" s="59" t="s">
        <v>945</v>
      </c>
      <c r="CJ385" s="59" t="s">
        <v>945</v>
      </c>
      <c r="CK385" s="59" t="s">
        <v>945</v>
      </c>
      <c r="CL385" s="59" t="s">
        <v>945</v>
      </c>
      <c r="CM385" s="168">
        <f>fcf _fy07</f>
        <v>5201</v>
      </c>
      <c r="CN385" s="244"/>
      <c r="CO385" s="59" t="s">
        <v>945</v>
      </c>
      <c r="CP385" s="59" t="s">
        <v>945</v>
      </c>
      <c r="CQ385" s="59" t="s">
        <v>945</v>
      </c>
      <c r="CR385" s="59" t="s">
        <v>945</v>
      </c>
      <c r="CS385" s="168">
        <f>fcf _fy08</f>
        <v>7159</v>
      </c>
      <c r="CT385" s="131"/>
      <c r="CU385" s="59" t="s">
        <v>945</v>
      </c>
      <c r="CV385" s="59" t="s">
        <v>945</v>
      </c>
      <c r="CW385" s="59" t="s">
        <v>945</v>
      </c>
      <c r="CX385" s="59" t="s">
        <v>945</v>
      </c>
      <c r="CY385" s="168">
        <f>fcf _fy09</f>
        <v>7726</v>
      </c>
      <c r="CZ385" s="131"/>
      <c r="DA385" s="59" t="s">
        <v>945</v>
      </c>
      <c r="DB385" s="59" t="s">
        <v>945</v>
      </c>
      <c r="DC385" s="59" t="s">
        <v>945</v>
      </c>
      <c r="DD385" s="59" t="s">
        <v>945</v>
      </c>
      <c r="DE385" s="168">
        <f>fcf _fy10</f>
        <v>8451</v>
      </c>
      <c r="DF385" s="131"/>
      <c r="DG385" s="59" t="s">
        <v>945</v>
      </c>
      <c r="DH385" s="59" t="s">
        <v>945</v>
      </c>
      <c r="DI385" s="59" t="s">
        <v>945</v>
      </c>
      <c r="DJ385" s="59" t="s">
        <v>945</v>
      </c>
      <c r="DK385" s="168">
        <f>fcf _fy11</f>
        <v>10764</v>
      </c>
      <c r="DL385" s="131"/>
      <c r="DM385" s="59" t="s">
        <v>945</v>
      </c>
      <c r="DN385" s="59" t="s">
        <v>945</v>
      </c>
      <c r="DO385" s="59" t="s">
        <v>945</v>
      </c>
      <c r="DP385" s="59" t="s">
        <v>945</v>
      </c>
      <c r="DQ385" s="168">
        <f>fcf _fy12</f>
        <v>13095</v>
      </c>
      <c r="DR385" s="131"/>
      <c r="DS385" s="59" t="s">
        <v>945</v>
      </c>
      <c r="DT385" s="59" t="s">
        <v>945</v>
      </c>
      <c r="DU385" s="59" t="s">
        <v>945</v>
      </c>
      <c r="DV385" s="59" t="s">
        <v>945</v>
      </c>
      <c r="DW385" s="168">
        <f>fcf _fy13</f>
        <v>13574</v>
      </c>
      <c r="DX385" s="131"/>
      <c r="DY385" s="59" t="s">
        <v>945</v>
      </c>
      <c r="DZ385" s="59" t="s">
        <v>945</v>
      </c>
      <c r="EA385" s="59" t="s">
        <v>945</v>
      </c>
      <c r="EB385" s="59" t="s">
        <v>945</v>
      </c>
      <c r="EC385" s="168">
        <f>fcf _fy14</f>
        <v>14341</v>
      </c>
      <c r="ED385" s="131"/>
      <c r="EE385" s="59" t="s">
        <v>945</v>
      </c>
      <c r="EF385" s="59" t="s">
        <v>945</v>
      </c>
      <c r="EG385" s="59" t="s">
        <v>945</v>
      </c>
      <c r="EH385" s="59" t="s">
        <v>945</v>
      </c>
      <c r="EI385" s="168">
        <f>fcf _fy14</f>
        <v>14341</v>
      </c>
      <c r="EJ385" s="131"/>
      <c r="EK385" s="59" t="s">
        <v>945</v>
      </c>
      <c r="EL385" s="59" t="s">
        <v>945</v>
      </c>
      <c r="EM385" s="59" t="s">
        <v>945</v>
      </c>
      <c r="EN385" s="59" t="s">
        <v>945</v>
      </c>
      <c r="EO385" s="168">
        <f>fcf _fy16</f>
        <v>12372</v>
      </c>
      <c r="EP385" s="131"/>
      <c r="EQ385" s="59" t="s">
        <v>945</v>
      </c>
      <c r="ER385" s="59" t="s">
        <v>945</v>
      </c>
      <c r="ES385" s="59" t="s">
        <v>945</v>
      </c>
      <c r="ET385" s="59" t="s">
        <v>945</v>
      </c>
      <c r="EU385" s="168">
        <f>fcf _fy17</f>
        <v>12105</v>
      </c>
      <c r="EV385" s="131"/>
      <c r="EW385" s="59" t="s">
        <v>945</v>
      </c>
      <c r="EX385" s="59" t="s">
        <v>945</v>
      </c>
      <c r="EY385" s="59" t="s">
        <v>945</v>
      </c>
      <c r="EZ385" s="59" t="s">
        <v>945</v>
      </c>
      <c r="FA385" s="168">
        <f>fcf _fy18</f>
        <v>13266.010028526041</v>
      </c>
      <c r="FB385" s="131"/>
      <c r="FC385" s="59" t="s">
        <v>945</v>
      </c>
      <c r="FD385" s="59" t="s">
        <v>945</v>
      </c>
      <c r="FE385" s="59" t="s">
        <v>945</v>
      </c>
      <c r="FF385" s="59" t="s">
        <v>945</v>
      </c>
      <c r="FG385" s="168">
        <f>fcf _fy18</f>
        <v>13266.010028526041</v>
      </c>
      <c r="FH385" s="131"/>
      <c r="FI385" s="59" t="s">
        <v>945</v>
      </c>
      <c r="FJ385" s="59" t="s">
        <v>945</v>
      </c>
      <c r="FK385" s="59" t="s">
        <v>945</v>
      </c>
      <c r="FL385" s="59" t="s">
        <v>945</v>
      </c>
      <c r="FM385" s="168">
        <f>fcf _fy18</f>
        <v>13266.010028526041</v>
      </c>
      <c r="FQ385"/>
      <c r="FR385"/>
      <c r="FS385"/>
      <c r="FT385"/>
      <c r="FU385"/>
      <c r="FV385"/>
      <c r="GB385" s="24"/>
      <c r="GC385" s="24"/>
      <c r="GD385" s="24"/>
      <c r="GE385" s="24"/>
      <c r="GF385" s="24"/>
      <c r="GG385" s="24"/>
      <c r="GH385" s="24"/>
      <c r="GI385" s="24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  <c r="HB385"/>
      <c r="HC385"/>
      <c r="HD385"/>
      <c r="HE385"/>
      <c r="HF385"/>
      <c r="HG385"/>
      <c r="HH385"/>
      <c r="HI385"/>
      <c r="HJ385"/>
      <c r="HK385"/>
      <c r="HL385"/>
      <c r="HM385"/>
      <c r="HN385"/>
      <c r="HO385"/>
      <c r="HP385"/>
      <c r="HQ385"/>
      <c r="HR385"/>
      <c r="HS385"/>
      <c r="HT385"/>
      <c r="HU385"/>
      <c r="HV385"/>
      <c r="HW385"/>
      <c r="HX385"/>
      <c r="HY385"/>
      <c r="HZ385"/>
      <c r="IA385"/>
      <c r="IB385"/>
      <c r="IC385"/>
      <c r="ID385"/>
      <c r="IE385"/>
      <c r="IF385"/>
      <c r="IG385"/>
      <c r="IH385"/>
      <c r="II385"/>
      <c r="IJ385"/>
      <c r="IK385"/>
      <c r="IL385"/>
      <c r="IM385"/>
      <c r="IN385"/>
      <c r="IO385"/>
      <c r="IP385"/>
      <c r="IQ385"/>
      <c r="IR385"/>
      <c r="IS385"/>
      <c r="IT385"/>
      <c r="IU385"/>
      <c r="IV385"/>
      <c r="IW385"/>
      <c r="IX385"/>
      <c r="IY385"/>
      <c r="IZ385"/>
      <c r="JA385"/>
      <c r="JB385"/>
      <c r="JC385"/>
      <c r="JD385"/>
      <c r="JE385"/>
      <c r="JF385"/>
      <c r="JG385"/>
      <c r="JH385"/>
      <c r="JI385"/>
      <c r="JJ385"/>
      <c r="JK385"/>
      <c r="JL385"/>
      <c r="JM385"/>
      <c r="JN385"/>
    </row>
    <row r="386" spans="1:274" s="27" customFormat="1" x14ac:dyDescent="0.2">
      <c r="A386" s="342" t="s">
        <v>866</v>
      </c>
      <c r="B386" s="20"/>
      <c r="C386" s="259" t="s">
        <v>945</v>
      </c>
      <c r="D386" s="259" t="s">
        <v>945</v>
      </c>
      <c r="E386" s="259" t="s">
        <v>945</v>
      </c>
      <c r="F386" s="43">
        <f>F385/ni _fy87</f>
        <v>0</v>
      </c>
      <c r="G386" s="43">
        <f>G385/ni _fy88</f>
        <v>0</v>
      </c>
      <c r="H386" s="43">
        <f>H385/ni _fy89</f>
        <v>0</v>
      </c>
      <c r="I386" s="43">
        <f>I385/ni _fy90</f>
        <v>0</v>
      </c>
      <c r="J386" s="43">
        <f>J385/ni _fy91</f>
        <v>0</v>
      </c>
      <c r="K386" s="43">
        <f>K385/ni _fy92</f>
        <v>0</v>
      </c>
      <c r="L386" s="43">
        <f>L385/ni _fy93</f>
        <v>0</v>
      </c>
      <c r="M386" s="43">
        <f>M385/ni _fy94</f>
        <v>0</v>
      </c>
      <c r="N386" s="43"/>
      <c r="O386" s="259" t="s">
        <v>945</v>
      </c>
      <c r="P386" s="259" t="s">
        <v>945</v>
      </c>
      <c r="Q386" s="259" t="s">
        <v>945</v>
      </c>
      <c r="R386" s="259" t="s">
        <v>945</v>
      </c>
      <c r="S386" s="43">
        <f>S385/ni _fy95</f>
        <v>0</v>
      </c>
      <c r="T386" s="43"/>
      <c r="U386" s="259" t="s">
        <v>945</v>
      </c>
      <c r="V386" s="259" t="s">
        <v>945</v>
      </c>
      <c r="W386" s="259" t="s">
        <v>945</v>
      </c>
      <c r="X386" s="259" t="s">
        <v>945</v>
      </c>
      <c r="Y386" s="43">
        <f>Y385/ni _fy96</f>
        <v>0</v>
      </c>
      <c r="Z386" s="342"/>
      <c r="AA386" s="259" t="s">
        <v>945</v>
      </c>
      <c r="AB386" s="259" t="s">
        <v>945</v>
      </c>
      <c r="AC386" s="259" t="s">
        <v>945</v>
      </c>
      <c r="AD386" s="259" t="s">
        <v>945</v>
      </c>
      <c r="AE386" s="43">
        <f>AE385/ni _fy97</f>
        <v>0.75710780274405254</v>
      </c>
      <c r="AF386" s="342"/>
      <c r="AG386" s="259" t="s">
        <v>945</v>
      </c>
      <c r="AH386" s="259" t="s">
        <v>945</v>
      </c>
      <c r="AI386" s="259" t="s">
        <v>945</v>
      </c>
      <c r="AJ386" s="259" t="s">
        <v>945</v>
      </c>
      <c r="AK386" s="43">
        <f>AK385/ni _fy98</f>
        <v>1.3272805293581367</v>
      </c>
      <c r="AL386" s="342"/>
      <c r="AM386" s="259" t="s">
        <v>945</v>
      </c>
      <c r="AN386" s="259" t="s">
        <v>945</v>
      </c>
      <c r="AO386" s="259" t="s">
        <v>945</v>
      </c>
      <c r="AP386" s="259" t="s">
        <v>945</v>
      </c>
      <c r="AQ386" s="43">
        <f>AQ385/ni _fy99</f>
        <v>1.1323884015450958</v>
      </c>
      <c r="AR386" s="342"/>
      <c r="AS386" s="259" t="s">
        <v>945</v>
      </c>
      <c r="AT386" s="259" t="s">
        <v>945</v>
      </c>
      <c r="AU386" s="259" t="s">
        <v>945</v>
      </c>
      <c r="AV386" s="259" t="s">
        <v>945</v>
      </c>
      <c r="AW386" s="43">
        <f>AW385/ni _fy00</f>
        <v>0.42245572426679778</v>
      </c>
      <c r="AX386" s="342"/>
      <c r="AY386" s="259" t="s">
        <v>945</v>
      </c>
      <c r="AZ386" s="259" t="s">
        <v>945</v>
      </c>
      <c r="BA386" s="259" t="s">
        <v>945</v>
      </c>
      <c r="BB386" s="259" t="s">
        <v>945</v>
      </c>
      <c r="BC386" s="43">
        <f>BC385/ni _fy01</f>
        <v>0.72849551796646217</v>
      </c>
      <c r="BD386" s="342"/>
      <c r="BE386" s="259" t="s">
        <v>945</v>
      </c>
      <c r="BF386" s="259" t="s">
        <v>945</v>
      </c>
      <c r="BG386" s="259" t="s">
        <v>945</v>
      </c>
      <c r="BH386" s="259" t="s">
        <v>945</v>
      </c>
      <c r="BI386" s="43">
        <f>BI385/ni _fy02</f>
        <v>1.2845038725184086</v>
      </c>
      <c r="BJ386" s="342"/>
      <c r="BK386" s="259" t="s">
        <v>945</v>
      </c>
      <c r="BL386" s="259" t="s">
        <v>945</v>
      </c>
      <c r="BM386" s="259" t="s">
        <v>945</v>
      </c>
      <c r="BN386" s="259" t="s">
        <v>945</v>
      </c>
      <c r="BO386" s="43">
        <f>BO385/ni _fy03</f>
        <v>1.1840166421080003</v>
      </c>
      <c r="BP386" s="342"/>
      <c r="BQ386" s="259" t="s">
        <v>945</v>
      </c>
      <c r="BR386" s="259" t="s">
        <v>945</v>
      </c>
      <c r="BS386" s="259" t="s">
        <v>945</v>
      </c>
      <c r="BT386" s="259" t="s">
        <v>945</v>
      </c>
      <c r="BU386" s="43">
        <f>BU385/ni _fy04</f>
        <v>1.1212234240954868</v>
      </c>
      <c r="BV386" s="342"/>
      <c r="BW386" s="259" t="s">
        <v>945</v>
      </c>
      <c r="BX386" s="259" t="s">
        <v>945</v>
      </c>
      <c r="BY386" s="259" t="s">
        <v>945</v>
      </c>
      <c r="BZ386" s="259" t="s">
        <v>945</v>
      </c>
      <c r="CA386" s="43">
        <f>CA385/ni _fy05</f>
        <v>0.9499622201013177</v>
      </c>
      <c r="CB386" s="342"/>
      <c r="CC386" s="259" t="s">
        <v>945</v>
      </c>
      <c r="CD386" s="259" t="s">
        <v>945</v>
      </c>
      <c r="CE386" s="259" t="s">
        <v>945</v>
      </c>
      <c r="CF386" s="259" t="s">
        <v>945</v>
      </c>
      <c r="CG386" s="395">
        <f>CG385/ni _fy06</f>
        <v>1.0136354057863914</v>
      </c>
      <c r="CH386" s="342"/>
      <c r="CI386" s="259" t="s">
        <v>945</v>
      </c>
      <c r="CJ386" s="259" t="s">
        <v>945</v>
      </c>
      <c r="CK386" s="259" t="s">
        <v>945</v>
      </c>
      <c r="CL386" s="259" t="s">
        <v>945</v>
      </c>
      <c r="CM386" s="395">
        <f>CM385/ni _fy07</f>
        <v>0.98002638025249666</v>
      </c>
      <c r="CN386" s="342"/>
      <c r="CO386" s="259" t="s">
        <v>945</v>
      </c>
      <c r="CP386" s="259" t="s">
        <v>945</v>
      </c>
      <c r="CQ386" s="259" t="s">
        <v>945</v>
      </c>
      <c r="CR386" s="259" t="s">
        <v>945</v>
      </c>
      <c r="CS386" s="395">
        <f>CS385/ni _fy08</f>
        <v>1.053103854074728</v>
      </c>
      <c r="CT386" s="475"/>
      <c r="CU386" s="259" t="s">
        <v>945</v>
      </c>
      <c r="CV386" s="259" t="s">
        <v>945</v>
      </c>
      <c r="CW386" s="259" t="s">
        <v>945</v>
      </c>
      <c r="CX386" s="259" t="s">
        <v>945</v>
      </c>
      <c r="CY386" s="395">
        <f>CY385/ni _fy09</f>
        <v>1.0450426078723116</v>
      </c>
      <c r="CZ386" s="475"/>
      <c r="DA386" s="259" t="s">
        <v>945</v>
      </c>
      <c r="DB386" s="259" t="s">
        <v>945</v>
      </c>
      <c r="DC386" s="259" t="s">
        <v>945</v>
      </c>
      <c r="DD386" s="259" t="s">
        <v>945</v>
      </c>
      <c r="DE386" s="395">
        <f>DE385/ni _fy10</f>
        <v>0.99492588973522811</v>
      </c>
      <c r="DF386" s="475"/>
      <c r="DG386" s="259" t="s">
        <v>945</v>
      </c>
      <c r="DH386" s="259" t="s">
        <v>945</v>
      </c>
      <c r="DI386" s="259" t="s">
        <v>945</v>
      </c>
      <c r="DJ386" s="259" t="s">
        <v>945</v>
      </c>
      <c r="DK386" s="395">
        <f>DK385/ni _fy11</f>
        <v>0.94082685079975525</v>
      </c>
      <c r="DL386" s="475"/>
      <c r="DM386" s="259" t="s">
        <v>945</v>
      </c>
      <c r="DN386" s="259" t="s">
        <v>945</v>
      </c>
      <c r="DO386" s="259" t="s">
        <v>945</v>
      </c>
      <c r="DP386" s="259" t="s">
        <v>945</v>
      </c>
      <c r="DQ386" s="395">
        <f>DQ385/ni _fy12</f>
        <v>1.045884840898792</v>
      </c>
      <c r="DR386" s="475"/>
      <c r="DS386" s="259" t="s">
        <v>945</v>
      </c>
      <c r="DT386" s="259" t="s">
        <v>945</v>
      </c>
      <c r="DU386" s="259" t="s">
        <v>945</v>
      </c>
      <c r="DV386" s="259" t="s">
        <v>945</v>
      </c>
      <c r="DW386" s="395">
        <f>DW385/ni _fy13</f>
        <v>1.0475382003395586</v>
      </c>
      <c r="DX386" s="475"/>
      <c r="DY386" s="259" t="s">
        <v>945</v>
      </c>
      <c r="DZ386" s="259" t="s">
        <v>945</v>
      </c>
      <c r="EA386" s="259" t="s">
        <v>945</v>
      </c>
      <c r="EB386" s="259" t="s">
        <v>945</v>
      </c>
      <c r="EC386" s="395">
        <f>EC385/ni _fy14</f>
        <v>1.0852883305584986</v>
      </c>
      <c r="ED386" s="475"/>
      <c r="EE386" s="259" t="s">
        <v>945</v>
      </c>
      <c r="EF386" s="259" t="s">
        <v>945</v>
      </c>
      <c r="EG386" s="259" t="s">
        <v>945</v>
      </c>
      <c r="EH386" s="259" t="s">
        <v>945</v>
      </c>
      <c r="EI386" s="395">
        <f>EI385/ni _fy14</f>
        <v>1.0852883305584986</v>
      </c>
      <c r="EJ386" s="475"/>
      <c r="EK386" s="259" t="s">
        <v>945</v>
      </c>
      <c r="EL386" s="259" t="s">
        <v>945</v>
      </c>
      <c r="EM386" s="259" t="s">
        <v>945</v>
      </c>
      <c r="EN386" s="259" t="s">
        <v>945</v>
      </c>
      <c r="EO386" s="395">
        <f>EO385/ni _fy16</f>
        <v>1.1010056064785976</v>
      </c>
      <c r="EP386" s="475"/>
      <c r="EQ386" s="259" t="s">
        <v>945</v>
      </c>
      <c r="ER386" s="259" t="s">
        <v>945</v>
      </c>
      <c r="ES386" s="259" t="s">
        <v>945</v>
      </c>
      <c r="ET386" s="259" t="s">
        <v>945</v>
      </c>
      <c r="EU386" s="395">
        <f>EU385/ni _fy17</f>
        <v>1.0473464627290017</v>
      </c>
      <c r="EV386" s="475"/>
      <c r="EW386" s="259" t="s">
        <v>945</v>
      </c>
      <c r="EX386" s="259" t="s">
        <v>945</v>
      </c>
      <c r="EY386" s="259" t="s">
        <v>945</v>
      </c>
      <c r="EZ386" s="259" t="s">
        <v>945</v>
      </c>
      <c r="FA386" s="395">
        <f>FA385/ni _fy18</f>
        <v>1.0161226118852347</v>
      </c>
      <c r="FB386" s="475"/>
      <c r="FC386" s="259" t="s">
        <v>945</v>
      </c>
      <c r="FD386" s="259" t="s">
        <v>945</v>
      </c>
      <c r="FE386" s="259" t="s">
        <v>945</v>
      </c>
      <c r="FF386" s="259" t="s">
        <v>945</v>
      </c>
      <c r="FG386" s="395">
        <f>FG385/ni _fy18</f>
        <v>1.0161226118852347</v>
      </c>
      <c r="FH386" s="475"/>
      <c r="FI386" s="259" t="s">
        <v>945</v>
      </c>
      <c r="FJ386" s="259" t="s">
        <v>945</v>
      </c>
      <c r="FK386" s="259" t="s">
        <v>945</v>
      </c>
      <c r="FL386" s="259" t="s">
        <v>945</v>
      </c>
      <c r="FM386" s="395">
        <f>FM385/ni _fy18</f>
        <v>1.0161226118852347</v>
      </c>
      <c r="FQ386"/>
      <c r="FR386"/>
      <c r="FS386"/>
      <c r="FT386"/>
      <c r="FU386"/>
      <c r="FV386"/>
      <c r="GB386" s="24"/>
      <c r="GC386" s="24"/>
      <c r="GD386" s="24"/>
      <c r="GE386" s="24"/>
      <c r="GF386" s="24"/>
      <c r="GG386" s="24"/>
      <c r="GH386" s="24"/>
      <c r="GI386" s="24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  <c r="HB386"/>
      <c r="HC386"/>
      <c r="HD386"/>
      <c r="HE386"/>
      <c r="HF386"/>
      <c r="HG386"/>
      <c r="HH386"/>
      <c r="HI386"/>
      <c r="HJ386"/>
      <c r="HK386"/>
      <c r="HL386"/>
      <c r="HM386"/>
      <c r="HN386"/>
      <c r="HO386"/>
      <c r="HP386"/>
      <c r="HQ386"/>
      <c r="HR386"/>
      <c r="HS386"/>
      <c r="HT386"/>
      <c r="HU386"/>
      <c r="HV386"/>
      <c r="HW386"/>
      <c r="HX386"/>
      <c r="HY386"/>
      <c r="HZ386"/>
      <c r="IA386"/>
      <c r="IB386"/>
      <c r="IC386"/>
      <c r="ID386"/>
      <c r="IE386"/>
      <c r="IF386"/>
      <c r="IG386"/>
      <c r="IH386"/>
      <c r="II386"/>
      <c r="IJ386"/>
      <c r="IK386"/>
      <c r="IL386"/>
      <c r="IM386"/>
      <c r="IN386"/>
      <c r="IO386"/>
      <c r="IP386"/>
      <c r="IQ386"/>
      <c r="IR386"/>
      <c r="IS386"/>
      <c r="IT386"/>
      <c r="IU386"/>
      <c r="IV386"/>
      <c r="IW386"/>
      <c r="IX386"/>
      <c r="IY386"/>
      <c r="IZ386"/>
      <c r="JA386"/>
      <c r="JB386"/>
      <c r="JC386"/>
      <c r="JD386"/>
      <c r="JE386"/>
      <c r="JF386"/>
      <c r="JG386"/>
      <c r="JH386"/>
      <c r="JI386"/>
      <c r="JJ386"/>
      <c r="JK386"/>
      <c r="JL386"/>
      <c r="JM386"/>
      <c r="JN386"/>
    </row>
    <row r="387" spans="1:274" s="28" customFormat="1" ht="5.25" customHeight="1" x14ac:dyDescent="0.2">
      <c r="A387" s="18"/>
      <c r="B387" s="595"/>
      <c r="CG387" s="416"/>
      <c r="CM387" s="416"/>
      <c r="CS387" s="416"/>
      <c r="CY387" s="416"/>
      <c r="DE387" s="416"/>
      <c r="DK387" s="416"/>
      <c r="DQ387" s="416"/>
      <c r="DW387" s="416"/>
      <c r="EC387" s="416"/>
      <c r="EI387" s="416"/>
      <c r="EO387" s="416"/>
      <c r="EU387" s="416"/>
      <c r="FA387" s="416"/>
      <c r="FG387" s="416"/>
      <c r="FM387" s="416"/>
      <c r="FQ387"/>
      <c r="FR387"/>
      <c r="FS387"/>
      <c r="FT387"/>
      <c r="FU387"/>
      <c r="FV387"/>
      <c r="GB387" s="24"/>
      <c r="GC387" s="24"/>
      <c r="GD387" s="24"/>
      <c r="GE387" s="24"/>
      <c r="GF387" s="24"/>
      <c r="GG387" s="24"/>
      <c r="GH387" s="24"/>
      <c r="GI387" s="24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  <c r="HB387"/>
      <c r="HC387"/>
      <c r="HD387"/>
      <c r="HE387"/>
      <c r="HF387"/>
      <c r="HG387"/>
      <c r="HH387"/>
      <c r="HI387"/>
      <c r="HJ387"/>
      <c r="HK387"/>
      <c r="HL387"/>
      <c r="HM387"/>
      <c r="HN387"/>
      <c r="HO387"/>
      <c r="HP387"/>
      <c r="HQ387"/>
      <c r="HR387"/>
      <c r="HS387"/>
      <c r="HT387"/>
      <c r="HU387"/>
      <c r="HV387"/>
      <c r="HW387"/>
      <c r="HX387"/>
      <c r="HY387"/>
      <c r="HZ387"/>
      <c r="IA387"/>
      <c r="IB387"/>
      <c r="IC387"/>
      <c r="ID387"/>
      <c r="IE387"/>
      <c r="IF387"/>
      <c r="IG387"/>
      <c r="IH387"/>
      <c r="II387"/>
      <c r="IJ387"/>
      <c r="IK387"/>
      <c r="IL387"/>
      <c r="IM387"/>
      <c r="IN387"/>
      <c r="IO387"/>
      <c r="IP387"/>
      <c r="IQ387"/>
      <c r="IR387"/>
      <c r="IS387"/>
      <c r="IT387"/>
      <c r="IU387"/>
      <c r="IV387"/>
      <c r="IW387"/>
      <c r="IX387"/>
      <c r="IY387"/>
      <c r="IZ387"/>
      <c r="JA387"/>
      <c r="JB387"/>
      <c r="JC387"/>
      <c r="JD387"/>
      <c r="JE387"/>
      <c r="JF387"/>
      <c r="JG387"/>
      <c r="JH387"/>
      <c r="JI387"/>
      <c r="JJ387"/>
      <c r="JK387"/>
      <c r="JL387"/>
      <c r="JM387"/>
      <c r="JN387"/>
    </row>
    <row r="388" spans="1:274" s="32" customFormat="1" x14ac:dyDescent="0.2">
      <c r="A388" s="19" t="s">
        <v>625</v>
      </c>
      <c r="B388" s="21"/>
      <c r="C388" s="94" t="s">
        <v>945</v>
      </c>
      <c r="D388" s="94" t="str">
        <f>grmgn _fy85</f>
        <v>-</v>
      </c>
      <c r="E388" s="94" t="str">
        <f>grmgn _fy86</f>
        <v>-</v>
      </c>
      <c r="F388" s="94" t="str">
        <f>grmgn _fy87</f>
        <v>-</v>
      </c>
      <c r="G388" s="94">
        <f>grmgn _fy88</f>
        <v>0.8183671082155024</v>
      </c>
      <c r="H388" s="94">
        <f>grmgn _fy89</f>
        <v>0.82701781431997268</v>
      </c>
      <c r="I388" s="94">
        <f>grmgn _fy90</f>
        <v>0.82493479850282081</v>
      </c>
      <c r="J388" s="94">
        <f>grmgn _fy91</f>
        <v>0.74081398979910473</v>
      </c>
      <c r="K388" s="94">
        <f>grmgn _fy92</f>
        <v>0.76118575063613225</v>
      </c>
      <c r="L388" s="94">
        <f>grmgn _fy93</f>
        <v>0.76937258815701925</v>
      </c>
      <c r="M388" s="94">
        <f>grmgn _fy94</f>
        <v>0.75053656727866569</v>
      </c>
      <c r="N388" s="43"/>
      <c r="O388" s="94" t="s">
        <v>945</v>
      </c>
      <c r="P388" s="94" t="s">
        <v>945</v>
      </c>
      <c r="Q388" s="94" t="s">
        <v>945</v>
      </c>
      <c r="R388" s="94" t="s">
        <v>945</v>
      </c>
      <c r="S388" s="94">
        <f>grmgn _fy95</f>
        <v>0.73743038979021047</v>
      </c>
      <c r="T388" s="43"/>
      <c r="U388" s="94" t="s">
        <v>945</v>
      </c>
      <c r="V388" s="94" t="s">
        <v>945</v>
      </c>
      <c r="W388" s="94" t="s">
        <v>945</v>
      </c>
      <c r="X388" s="94" t="s">
        <v>945</v>
      </c>
      <c r="Y388" s="94">
        <f>grmgn _fy96</f>
        <v>0.74047291147105587</v>
      </c>
      <c r="Z388" s="43"/>
      <c r="AA388" s="94" t="s">
        <v>945</v>
      </c>
      <c r="AB388" s="94" t="s">
        <v>945</v>
      </c>
      <c r="AC388" s="94" t="s">
        <v>945</v>
      </c>
      <c r="AD388" s="94" t="s">
        <v>945</v>
      </c>
      <c r="AE388" s="94">
        <f>grmgn _fy97</f>
        <v>0.72723885428306845</v>
      </c>
      <c r="AF388" s="43"/>
      <c r="AG388" s="94" t="s">
        <v>945</v>
      </c>
      <c r="AH388" s="94" t="s">
        <v>945</v>
      </c>
      <c r="AI388" s="94" t="s">
        <v>945</v>
      </c>
      <c r="AJ388" s="94" t="s">
        <v>945</v>
      </c>
      <c r="AK388" s="94">
        <f>grmgn _fy98</f>
        <v>0.68173978651612255</v>
      </c>
      <c r="AL388" s="43"/>
      <c r="AM388" s="94" t="s">
        <v>945</v>
      </c>
      <c r="AN388" s="94" t="s">
        <v>945</v>
      </c>
      <c r="AO388" s="94" t="s">
        <v>945</v>
      </c>
      <c r="AP388" s="94" t="s">
        <v>945</v>
      </c>
      <c r="AQ388" s="94">
        <f>grmgn _fy99</f>
        <v>0.65287634249027893</v>
      </c>
      <c r="AR388" s="43"/>
      <c r="AS388" s="94" t="s">
        <v>945</v>
      </c>
      <c r="AT388" s="94" t="s">
        <v>945</v>
      </c>
      <c r="AU388" s="94" t="s">
        <v>945</v>
      </c>
      <c r="AV388" s="94" t="s">
        <v>945</v>
      </c>
      <c r="AW388" s="94">
        <f>grmgn _fy00</f>
        <v>0.70951216016224061</v>
      </c>
      <c r="AX388" s="43"/>
      <c r="AY388" s="94" t="s">
        <v>945</v>
      </c>
      <c r="AZ388" s="94" t="s">
        <v>945</v>
      </c>
      <c r="BA388" s="94" t="s">
        <v>945</v>
      </c>
      <c r="BB388" s="94" t="s">
        <v>945</v>
      </c>
      <c r="BC388" s="94">
        <f>grmgn _fy01</f>
        <v>0.73568639644285239</v>
      </c>
      <c r="BD388" s="43"/>
      <c r="BE388" s="94" t="s">
        <v>945</v>
      </c>
      <c r="BF388" s="94" t="s">
        <v>945</v>
      </c>
      <c r="BG388" s="94" t="s">
        <v>945</v>
      </c>
      <c r="BH388" s="94" t="s">
        <v>945</v>
      </c>
      <c r="BI388" s="94">
        <f>grmgn _fy02</f>
        <v>0.75131164287295304</v>
      </c>
      <c r="BJ388" s="43"/>
      <c r="BK388" s="94" t="s">
        <v>945</v>
      </c>
      <c r="BL388" s="94" t="s">
        <v>945</v>
      </c>
      <c r="BM388" s="94" t="s">
        <v>945</v>
      </c>
      <c r="BN388" s="94" t="s">
        <v>945</v>
      </c>
      <c r="BO388" s="94">
        <f>grmgn _fy03</f>
        <v>0.75283365346053988</v>
      </c>
      <c r="BP388" s="43"/>
      <c r="BQ388" s="94" t="s">
        <v>945</v>
      </c>
      <c r="BR388" s="94" t="s">
        <v>945</v>
      </c>
      <c r="BS388" s="94" t="s">
        <v>945</v>
      </c>
      <c r="BT388" s="94" t="s">
        <v>945</v>
      </c>
      <c r="BU388" s="94">
        <f>grmgn _fy04</f>
        <v>0.77185899960614412</v>
      </c>
      <c r="BV388" s="43"/>
      <c r="BW388" s="94" t="s">
        <v>945</v>
      </c>
      <c r="BX388" s="94" t="s">
        <v>945</v>
      </c>
      <c r="BY388" s="94" t="s">
        <v>945</v>
      </c>
      <c r="BZ388" s="94" t="s">
        <v>945</v>
      </c>
      <c r="CA388" s="94">
        <f>grmgn _fy05</f>
        <v>0.78199521412657813</v>
      </c>
      <c r="CB388" s="43"/>
      <c r="CC388" s="94" t="s">
        <v>945</v>
      </c>
      <c r="CD388" s="94" t="s">
        <v>945</v>
      </c>
      <c r="CE388" s="94" t="s">
        <v>945</v>
      </c>
      <c r="CF388" s="94" t="s">
        <v>945</v>
      </c>
      <c r="CG388" s="149">
        <f>grmgn _fy06</f>
        <v>0.7818228588448729</v>
      </c>
      <c r="CH388" s="43"/>
      <c r="CI388" s="94" t="s">
        <v>945</v>
      </c>
      <c r="CJ388" s="94" t="s">
        <v>945</v>
      </c>
      <c r="CK388" s="94" t="s">
        <v>945</v>
      </c>
      <c r="CL388" s="94" t="s">
        <v>945</v>
      </c>
      <c r="CM388" s="149">
        <f>grmgn _fy07</f>
        <v>0.77115712010544235</v>
      </c>
      <c r="CN388" s="43"/>
      <c r="CO388" s="94" t="s">
        <v>945</v>
      </c>
      <c r="CP388" s="94" t="s">
        <v>945</v>
      </c>
      <c r="CQ388" s="94" t="s">
        <v>945</v>
      </c>
      <c r="CR388" s="94" t="s">
        <v>945</v>
      </c>
      <c r="CS388" s="149">
        <f>grmgn _fy08</f>
        <v>0.78070679817771682</v>
      </c>
      <c r="CT388" s="156"/>
      <c r="CU388" s="94" t="s">
        <v>945</v>
      </c>
      <c r="CV388" s="94" t="s">
        <v>945</v>
      </c>
      <c r="CW388" s="94" t="s">
        <v>945</v>
      </c>
      <c r="CX388" s="94" t="s">
        <v>945</v>
      </c>
      <c r="CY388" s="149">
        <f>grmgn _fy09</f>
        <v>0.79701200306461228</v>
      </c>
      <c r="CZ388" s="156"/>
      <c r="DA388" s="94" t="s">
        <v>945</v>
      </c>
      <c r="DB388" s="94" t="s">
        <v>945</v>
      </c>
      <c r="DC388" s="94" t="s">
        <v>945</v>
      </c>
      <c r="DD388" s="94" t="s">
        <v>945</v>
      </c>
      <c r="DE388" s="149">
        <f>grmgn _fy10</f>
        <v>0.78919120856358704</v>
      </c>
      <c r="DF388" s="156"/>
      <c r="DG388" s="94" t="s">
        <v>945</v>
      </c>
      <c r="DH388" s="94" t="s">
        <v>945</v>
      </c>
      <c r="DI388" s="94" t="s">
        <v>945</v>
      </c>
      <c r="DJ388" s="94" t="s">
        <v>945</v>
      </c>
      <c r="DK388" s="149">
        <f>grmgn _fy11</f>
        <v>0.76701490458281096</v>
      </c>
      <c r="DL388" s="156"/>
      <c r="DM388" s="94" t="s">
        <v>945</v>
      </c>
      <c r="DN388" s="94" t="s">
        <v>945</v>
      </c>
      <c r="DO388" s="94" t="s">
        <v>945</v>
      </c>
      <c r="DP388" s="94" t="s">
        <v>945</v>
      </c>
      <c r="DQ388" s="149">
        <f>grmgn _fy12</f>
        <v>0.79017502704599574</v>
      </c>
      <c r="DR388" s="156"/>
      <c r="DS388" s="94" t="s">
        <v>945</v>
      </c>
      <c r="DT388" s="94" t="s">
        <v>945</v>
      </c>
      <c r="DU388" s="94" t="s">
        <v>945</v>
      </c>
      <c r="DV388" s="94" t="s">
        <v>945</v>
      </c>
      <c r="DW388" s="149">
        <f>grmgn _fy13</f>
        <v>0.80847180092878423</v>
      </c>
      <c r="DX388" s="156"/>
      <c r="DY388" s="94" t="s">
        <v>945</v>
      </c>
      <c r="DZ388" s="94" t="s">
        <v>945</v>
      </c>
      <c r="EA388" s="94" t="s">
        <v>945</v>
      </c>
      <c r="EB388" s="94" t="s">
        <v>945</v>
      </c>
      <c r="EC388" s="149">
        <f>grmgn _fy14</f>
        <v>0.8131575512335204</v>
      </c>
      <c r="ED388" s="156"/>
      <c r="EE388" s="94" t="s">
        <v>945</v>
      </c>
      <c r="EF388" s="94" t="s">
        <v>945</v>
      </c>
      <c r="EG388" s="94" t="s">
        <v>945</v>
      </c>
      <c r="EH388" s="94" t="s">
        <v>945</v>
      </c>
      <c r="EI388" s="149">
        <f>grmgn _fy14</f>
        <v>0.8131575512335204</v>
      </c>
      <c r="EJ388" s="156"/>
      <c r="EK388" s="94" t="s">
        <v>945</v>
      </c>
      <c r="EL388" s="94" t="s">
        <v>945</v>
      </c>
      <c r="EM388" s="94" t="s">
        <v>945</v>
      </c>
      <c r="EN388" s="94" t="s">
        <v>945</v>
      </c>
      <c r="EO388" s="149">
        <f>grmgn _fy16</f>
        <v>0.80046954691421324</v>
      </c>
      <c r="EP388" s="156"/>
      <c r="EQ388" s="94" t="s">
        <v>945</v>
      </c>
      <c r="ER388" s="94" t="s">
        <v>945</v>
      </c>
      <c r="ES388" s="94" t="s">
        <v>945</v>
      </c>
      <c r="ET388" s="94" t="s">
        <v>945</v>
      </c>
      <c r="EU388" s="149">
        <f>grmgn _fy17</f>
        <v>0.80581976041868419</v>
      </c>
      <c r="EV388" s="156"/>
      <c r="EW388" s="94" t="s">
        <v>945</v>
      </c>
      <c r="EX388" s="94" t="s">
        <v>945</v>
      </c>
      <c r="EY388" s="94" t="s">
        <v>945</v>
      </c>
      <c r="EZ388" s="94" t="s">
        <v>945</v>
      </c>
      <c r="FA388" s="149">
        <f>grmgn _fy18</f>
        <v>0.80180344952613281</v>
      </c>
      <c r="FB388" s="156"/>
      <c r="FC388" s="94" t="s">
        <v>945</v>
      </c>
      <c r="FD388" s="94" t="s">
        <v>945</v>
      </c>
      <c r="FE388" s="94" t="s">
        <v>945</v>
      </c>
      <c r="FF388" s="94" t="s">
        <v>945</v>
      </c>
      <c r="FG388" s="149">
        <f>grmgn _fy18</f>
        <v>0.80180344952613281</v>
      </c>
      <c r="FH388" s="156"/>
      <c r="FI388" s="94" t="s">
        <v>945</v>
      </c>
      <c r="FJ388" s="94" t="s">
        <v>945</v>
      </c>
      <c r="FK388" s="94" t="s">
        <v>945</v>
      </c>
      <c r="FL388" s="94" t="s">
        <v>945</v>
      </c>
      <c r="FM388" s="149">
        <f>grmgn _fy18</f>
        <v>0.80180344952613281</v>
      </c>
      <c r="FN388" s="315"/>
      <c r="FO388" s="315"/>
      <c r="FP388" s="315"/>
      <c r="FQ388"/>
      <c r="FR388"/>
      <c r="FS388"/>
      <c r="FT388"/>
      <c r="FU388"/>
      <c r="FV388"/>
      <c r="GB388" s="24"/>
      <c r="GC388" s="24"/>
      <c r="GD388" s="24"/>
      <c r="GE388" s="24"/>
      <c r="GF388" s="24"/>
      <c r="GG388" s="24"/>
      <c r="GH388" s="24"/>
      <c r="GI388" s="24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  <c r="HB388"/>
      <c r="HC388"/>
      <c r="HD388"/>
      <c r="HE388"/>
      <c r="HF388"/>
      <c r="HG388"/>
      <c r="HH388"/>
      <c r="HI388"/>
      <c r="HJ388"/>
      <c r="HK388"/>
      <c r="HL388"/>
      <c r="HM388"/>
      <c r="HN388"/>
      <c r="HO388"/>
      <c r="HP388"/>
      <c r="HQ388"/>
      <c r="HR388"/>
      <c r="HS388"/>
      <c r="HT388"/>
      <c r="HU388"/>
      <c r="HV388"/>
      <c r="HW388"/>
      <c r="HX388"/>
      <c r="HY388"/>
      <c r="HZ388"/>
      <c r="IA388"/>
      <c r="IB388"/>
      <c r="IC388"/>
      <c r="ID388"/>
      <c r="IE388"/>
      <c r="IF388"/>
      <c r="IG388"/>
      <c r="IH388"/>
      <c r="II388"/>
      <c r="IJ388"/>
      <c r="IK388"/>
      <c r="IL388"/>
      <c r="IM388"/>
      <c r="IN388"/>
      <c r="IO388"/>
      <c r="IP388"/>
      <c r="IQ388"/>
      <c r="IR388"/>
      <c r="IS388"/>
      <c r="IT388"/>
      <c r="IU388"/>
      <c r="IV388"/>
      <c r="IW388"/>
      <c r="IX388"/>
      <c r="IY388"/>
      <c r="IZ388"/>
      <c r="JA388"/>
      <c r="JB388"/>
      <c r="JC388"/>
      <c r="JD388"/>
      <c r="JE388"/>
      <c r="JF388"/>
      <c r="JG388"/>
      <c r="JH388"/>
      <c r="JI388"/>
      <c r="JJ388"/>
      <c r="JK388"/>
      <c r="JL388"/>
      <c r="JM388"/>
      <c r="JN388"/>
    </row>
    <row r="389" spans="1:274" s="32" customFormat="1" x14ac:dyDescent="0.2">
      <c r="A389" s="19" t="s">
        <v>320</v>
      </c>
      <c r="B389" s="21"/>
      <c r="C389" s="94" t="s">
        <v>945</v>
      </c>
      <c r="D389" s="94">
        <f>opmgn _fy85</f>
        <v>0.11800000000000004</v>
      </c>
      <c r="E389" s="94">
        <f>opmgn _fy86</f>
        <v>0.19600000000000012</v>
      </c>
      <c r="F389" s="94">
        <f>opmgn _fy87</f>
        <v>0.21626831442525282</v>
      </c>
      <c r="G389" s="94">
        <f>opmgn _fy88</f>
        <v>0.22648016929386453</v>
      </c>
      <c r="H389" s="94">
        <f>opmgn _fy89</f>
        <v>0.21083761562178829</v>
      </c>
      <c r="I389" s="94">
        <f>opmgn _fy90</f>
        <v>0.14768712011261576</v>
      </c>
      <c r="J389" s="94">
        <f>opmgn _fy91</f>
        <v>2.6050903303568556E-2</v>
      </c>
      <c r="K389" s="94">
        <f>opmgn _fy92</f>
        <v>9.6833757421543709E-2</v>
      </c>
      <c r="L389" s="94">
        <f>opmgn _fy93</f>
        <v>0.16043978709248174</v>
      </c>
      <c r="M389" s="94">
        <f>opmgn _fy94</f>
        <v>0.20985614749940909</v>
      </c>
      <c r="N389" s="43"/>
      <c r="O389" s="94" t="s">
        <v>945</v>
      </c>
      <c r="P389" s="94" t="s">
        <v>945</v>
      </c>
      <c r="Q389" s="94" t="s">
        <v>945</v>
      </c>
      <c r="R389" s="94" t="s">
        <v>945</v>
      </c>
      <c r="S389" s="94">
        <f>opmgn _fy95</f>
        <v>0.21882295126392126</v>
      </c>
      <c r="T389" s="43"/>
      <c r="U389" s="94" t="s">
        <v>945</v>
      </c>
      <c r="V389" s="94" t="s">
        <v>945</v>
      </c>
      <c r="W389" s="94" t="s">
        <v>945</v>
      </c>
      <c r="X389" s="94" t="s">
        <v>945</v>
      </c>
      <c r="Y389" s="94">
        <f>opmgn _fy96</f>
        <v>0.22628741431682195</v>
      </c>
      <c r="Z389" s="43"/>
      <c r="AA389" s="94" t="s">
        <v>945</v>
      </c>
      <c r="AB389" s="94" t="s">
        <v>945</v>
      </c>
      <c r="AC389" s="94" t="s">
        <v>945</v>
      </c>
      <c r="AD389" s="94" t="s">
        <v>945</v>
      </c>
      <c r="AE389" s="94">
        <f>opmgn _fy97</f>
        <v>0.22866083215348287</v>
      </c>
      <c r="AF389" s="43"/>
      <c r="AG389" s="94" t="s">
        <v>945</v>
      </c>
      <c r="AH389" s="94" t="s">
        <v>945</v>
      </c>
      <c r="AI389" s="94" t="s">
        <v>945</v>
      </c>
      <c r="AJ389" s="94" t="s">
        <v>945</v>
      </c>
      <c r="AK389" s="94">
        <f>opmgn _fy98</f>
        <v>0.19754740606100474</v>
      </c>
      <c r="AL389" s="43"/>
      <c r="AM389" s="94" t="s">
        <v>945</v>
      </c>
      <c r="AN389" s="94" t="s">
        <v>945</v>
      </c>
      <c r="AO389" s="94" t="s">
        <v>945</v>
      </c>
      <c r="AP389" s="94" t="s">
        <v>945</v>
      </c>
      <c r="AQ389" s="94">
        <f>opmgn _fy99</f>
        <v>0.21217033341746674</v>
      </c>
      <c r="AR389" s="43"/>
      <c r="AS389" s="94" t="s">
        <v>945</v>
      </c>
      <c r="AT389" s="94" t="s">
        <v>945</v>
      </c>
      <c r="AU389" s="94" t="s">
        <v>945</v>
      </c>
      <c r="AV389" s="94" t="s">
        <v>945</v>
      </c>
      <c r="AW389" s="94">
        <f>opmgn _fy00</f>
        <v>0.30405933666386048</v>
      </c>
      <c r="AX389" s="43"/>
      <c r="AY389" s="94" t="s">
        <v>945</v>
      </c>
      <c r="AZ389" s="94" t="s">
        <v>945</v>
      </c>
      <c r="BA389" s="94" t="s">
        <v>945</v>
      </c>
      <c r="BB389" s="94" t="s">
        <v>945</v>
      </c>
      <c r="BC389" s="94">
        <f>opmgn _fy01</f>
        <v>0.34460333343916605</v>
      </c>
      <c r="BD389" s="43"/>
      <c r="BE389" s="94" t="s">
        <v>945</v>
      </c>
      <c r="BF389" s="94" t="s">
        <v>945</v>
      </c>
      <c r="BG389" s="94" t="s">
        <v>945</v>
      </c>
      <c r="BH389" s="94" t="s">
        <v>945</v>
      </c>
      <c r="BI389" s="94">
        <f>opmgn _fy02</f>
        <v>0.36917279218112076</v>
      </c>
      <c r="BJ389" s="43"/>
      <c r="BK389" s="94" t="s">
        <v>945</v>
      </c>
      <c r="BL389" s="94" t="s">
        <v>945</v>
      </c>
      <c r="BM389" s="94" t="s">
        <v>945</v>
      </c>
      <c r="BN389" s="94" t="s">
        <v>945</v>
      </c>
      <c r="BO389" s="94">
        <f>opmgn _fy03</f>
        <v>0.36308757413935033</v>
      </c>
      <c r="BP389" s="43"/>
      <c r="BQ389" s="94" t="s">
        <v>945</v>
      </c>
      <c r="BR389" s="94" t="s">
        <v>945</v>
      </c>
      <c r="BS389" s="94" t="s">
        <v>945</v>
      </c>
      <c r="BT389" s="94" t="s">
        <v>945</v>
      </c>
      <c r="BU389" s="94">
        <f>opmgn _fy04</f>
        <v>0.38046474990153606</v>
      </c>
      <c r="BV389" s="43"/>
      <c r="BW389" s="94" t="s">
        <v>945</v>
      </c>
      <c r="BX389" s="94" t="s">
        <v>945</v>
      </c>
      <c r="BY389" s="94" t="s">
        <v>945</v>
      </c>
      <c r="BZ389" s="94" t="s">
        <v>945</v>
      </c>
      <c r="CA389" s="94">
        <f>opmgn _fy05</f>
        <v>0.4076904034986385</v>
      </c>
      <c r="CB389" s="43"/>
      <c r="CC389" s="94" t="s">
        <v>945</v>
      </c>
      <c r="CD389" s="94" t="s">
        <v>945</v>
      </c>
      <c r="CE389" s="94" t="s">
        <v>945</v>
      </c>
      <c r="CF389" s="94" t="s">
        <v>945</v>
      </c>
      <c r="CG389" s="149">
        <f>opmgn _fy06</f>
        <v>0.40394587203162657</v>
      </c>
      <c r="CH389" s="43"/>
      <c r="CI389" s="94" t="s">
        <v>945</v>
      </c>
      <c r="CJ389" s="94" t="s">
        <v>945</v>
      </c>
      <c r="CK389" s="94" t="s">
        <v>945</v>
      </c>
      <c r="CL389" s="94" t="s">
        <v>945</v>
      </c>
      <c r="CM389" s="149">
        <f>opmgn _fy07</f>
        <v>0.40754571914987092</v>
      </c>
      <c r="CN389" s="43"/>
      <c r="CO389" s="94" t="s">
        <v>945</v>
      </c>
      <c r="CP389" s="94" t="s">
        <v>945</v>
      </c>
      <c r="CQ389" s="94" t="s">
        <v>945</v>
      </c>
      <c r="CR389" s="94" t="s">
        <v>945</v>
      </c>
      <c r="CS389" s="149">
        <f>opmgn _fy08</f>
        <v>0.42721924897164848</v>
      </c>
      <c r="CT389" s="156"/>
      <c r="CU389" s="94" t="s">
        <v>945</v>
      </c>
      <c r="CV389" s="94" t="s">
        <v>945</v>
      </c>
      <c r="CW389" s="94" t="s">
        <v>945</v>
      </c>
      <c r="CX389" s="94" t="s">
        <v>945</v>
      </c>
      <c r="CY389" s="149">
        <f>opmgn _fy09</f>
        <v>0.46186260321784284</v>
      </c>
      <c r="CZ389" s="156"/>
      <c r="DA389" s="94" t="s">
        <v>945</v>
      </c>
      <c r="DB389" s="94" t="s">
        <v>945</v>
      </c>
      <c r="DC389" s="94" t="s">
        <v>945</v>
      </c>
      <c r="DD389" s="94" t="s">
        <v>945</v>
      </c>
      <c r="DE389" s="149">
        <f>opmgn _fy10</f>
        <v>0.46143574720551567</v>
      </c>
      <c r="DF389" s="156"/>
      <c r="DG389" s="94" t="s">
        <v>945</v>
      </c>
      <c r="DH389" s="94" t="s">
        <v>945</v>
      </c>
      <c r="DI389" s="94" t="s">
        <v>945</v>
      </c>
      <c r="DJ389" s="94" t="s">
        <v>945</v>
      </c>
      <c r="DK389" s="149">
        <f>opmgn _fy11</f>
        <v>0.44373868226772534</v>
      </c>
      <c r="DL389" s="156"/>
      <c r="DM389" s="94" t="s">
        <v>945</v>
      </c>
      <c r="DN389" s="94" t="s">
        <v>945</v>
      </c>
      <c r="DO389" s="94" t="s">
        <v>945</v>
      </c>
      <c r="DP389" s="94" t="s">
        <v>945</v>
      </c>
      <c r="DQ389" s="149">
        <f>opmgn _fy12</f>
        <v>0.46243432985445937</v>
      </c>
      <c r="DR389" s="156"/>
      <c r="DS389" s="94" t="s">
        <v>945</v>
      </c>
      <c r="DT389" s="94" t="s">
        <v>945</v>
      </c>
      <c r="DU389" s="94" t="s">
        <v>945</v>
      </c>
      <c r="DV389" s="94" t="s">
        <v>945</v>
      </c>
      <c r="DW389" s="149">
        <f>opmgn _fy13</f>
        <v>0.47276729390921535</v>
      </c>
      <c r="DX389" s="156"/>
      <c r="DY389" s="94" t="s">
        <v>945</v>
      </c>
      <c r="DZ389" s="94" t="s">
        <v>945</v>
      </c>
      <c r="EA389" s="94" t="s">
        <v>945</v>
      </c>
      <c r="EB389" s="94" t="s">
        <v>945</v>
      </c>
      <c r="EC389" s="149">
        <f>opmgn _fy14</f>
        <v>0.47275812557107427</v>
      </c>
      <c r="ED389" s="156"/>
      <c r="EE389" s="94" t="s">
        <v>945</v>
      </c>
      <c r="EF389" s="94" t="s">
        <v>945</v>
      </c>
      <c r="EG389" s="94" t="s">
        <v>945</v>
      </c>
      <c r="EH389" s="94" t="s">
        <v>945</v>
      </c>
      <c r="EI389" s="149">
        <f>opmgn _fy14</f>
        <v>0.47275812557107427</v>
      </c>
      <c r="EJ389" s="156"/>
      <c r="EK389" s="94" t="s">
        <v>945</v>
      </c>
      <c r="EL389" s="94" t="s">
        <v>945</v>
      </c>
      <c r="EM389" s="94" t="s">
        <v>945</v>
      </c>
      <c r="EN389" s="94" t="s">
        <v>945</v>
      </c>
      <c r="EO389" s="149">
        <f>opmgn _fy16</f>
        <v>0.42596540464689531</v>
      </c>
      <c r="EP389" s="156"/>
      <c r="EQ389" s="94" t="s">
        <v>945</v>
      </c>
      <c r="ER389" s="94" t="s">
        <v>945</v>
      </c>
      <c r="ES389" s="94" t="s">
        <v>945</v>
      </c>
      <c r="ET389" s="94" t="s">
        <v>945</v>
      </c>
      <c r="EU389" s="149">
        <f>opmgn _fy17</f>
        <v>0.4266154904060343</v>
      </c>
      <c r="EV389" s="156"/>
      <c r="EW389" s="94" t="s">
        <v>945</v>
      </c>
      <c r="EX389" s="94" t="s">
        <v>945</v>
      </c>
      <c r="EY389" s="94" t="s">
        <v>945</v>
      </c>
      <c r="EZ389" s="94" t="s">
        <v>945</v>
      </c>
      <c r="FA389" s="149">
        <f>opmgn _fy18</f>
        <v>0.43846167071575615</v>
      </c>
      <c r="FB389" s="156"/>
      <c r="FC389" s="94" t="s">
        <v>945</v>
      </c>
      <c r="FD389" s="94" t="s">
        <v>945</v>
      </c>
      <c r="FE389" s="94" t="s">
        <v>945</v>
      </c>
      <c r="FF389" s="94" t="s">
        <v>945</v>
      </c>
      <c r="FG389" s="149">
        <f>opmgn _fy18</f>
        <v>0.43846167071575615</v>
      </c>
      <c r="FH389" s="156"/>
      <c r="FI389" s="94" t="s">
        <v>945</v>
      </c>
      <c r="FJ389" s="94" t="s">
        <v>945</v>
      </c>
      <c r="FK389" s="94" t="s">
        <v>945</v>
      </c>
      <c r="FL389" s="94" t="s">
        <v>945</v>
      </c>
      <c r="FM389" s="149">
        <f>opmgn _fy18</f>
        <v>0.43846167071575615</v>
      </c>
      <c r="FN389" s="315"/>
      <c r="FO389" s="315"/>
      <c r="FQ389"/>
      <c r="FR389"/>
      <c r="FS389"/>
      <c r="FT389"/>
      <c r="FU389"/>
      <c r="FV389"/>
      <c r="GB389" s="24"/>
      <c r="GC389" s="24"/>
      <c r="GD389" s="24"/>
      <c r="GE389" s="24"/>
      <c r="GF389" s="24"/>
      <c r="GG389" s="24"/>
      <c r="GH389" s="24"/>
      <c r="GI389" s="24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  <c r="HB389"/>
      <c r="HC389"/>
      <c r="HD389"/>
      <c r="HE389"/>
      <c r="HF389"/>
      <c r="HG389"/>
      <c r="HH389"/>
      <c r="HI389"/>
      <c r="HJ389"/>
      <c r="HK389"/>
      <c r="HL389"/>
      <c r="HM389"/>
      <c r="HN389"/>
      <c r="HO389"/>
      <c r="HP389"/>
      <c r="HQ389"/>
      <c r="HR389"/>
      <c r="HS389"/>
      <c r="HT389"/>
      <c r="HU389"/>
      <c r="HV389"/>
      <c r="HW389"/>
      <c r="HX389"/>
      <c r="HY389"/>
      <c r="HZ389"/>
      <c r="IA389"/>
      <c r="IB389"/>
      <c r="IC389"/>
      <c r="ID389"/>
      <c r="IE389"/>
      <c r="IF389"/>
      <c r="IG389"/>
      <c r="IH389"/>
      <c r="II389"/>
      <c r="IJ389"/>
      <c r="IK389"/>
      <c r="IL389"/>
      <c r="IM389"/>
      <c r="IN389"/>
      <c r="IO389"/>
      <c r="IP389"/>
      <c r="IQ389"/>
      <c r="IR389"/>
      <c r="IS389"/>
      <c r="IT389"/>
      <c r="IU389"/>
      <c r="IV389"/>
      <c r="IW389"/>
      <c r="IX389"/>
      <c r="IY389"/>
      <c r="IZ389"/>
      <c r="JA389"/>
      <c r="JB389"/>
      <c r="JC389"/>
      <c r="JD389"/>
      <c r="JE389"/>
      <c r="JF389"/>
      <c r="JG389"/>
      <c r="JH389"/>
      <c r="JI389"/>
      <c r="JJ389"/>
      <c r="JK389"/>
      <c r="JL389"/>
      <c r="JM389"/>
      <c r="JN389"/>
    </row>
    <row r="390" spans="1:274" s="28" customFormat="1" ht="5.25" customHeight="1" x14ac:dyDescent="0.2">
      <c r="A390" s="18"/>
      <c r="B390" s="595"/>
      <c r="CG390" s="416"/>
      <c r="CM390" s="416"/>
      <c r="CS390" s="416"/>
      <c r="CY390" s="416"/>
      <c r="DE390" s="416"/>
      <c r="DK390" s="416"/>
      <c r="DQ390" s="416"/>
      <c r="DW390" s="416"/>
      <c r="EC390" s="416"/>
      <c r="EI390" s="416"/>
      <c r="EO390" s="416"/>
      <c r="EU390" s="416"/>
      <c r="FA390" s="416"/>
      <c r="FG390" s="416"/>
      <c r="FM390" s="416"/>
      <c r="FQ390"/>
      <c r="FR390"/>
      <c r="FS390"/>
      <c r="FT390"/>
      <c r="FU390"/>
      <c r="FV390"/>
      <c r="GB390" s="24"/>
      <c r="GC390" s="24"/>
      <c r="GD390" s="24"/>
      <c r="GE390" s="24"/>
      <c r="GF390" s="24"/>
      <c r="GG390" s="24"/>
      <c r="GH390" s="24"/>
      <c r="GI390" s="24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  <c r="HB390"/>
      <c r="HC390"/>
      <c r="HD390"/>
      <c r="HE390"/>
      <c r="HF390"/>
      <c r="HG390"/>
      <c r="HH390"/>
      <c r="HI390"/>
      <c r="HJ390"/>
      <c r="HK390"/>
      <c r="HL390"/>
      <c r="HM390"/>
      <c r="HN390"/>
      <c r="HO390"/>
      <c r="HP390"/>
      <c r="HQ390"/>
      <c r="HR390"/>
      <c r="HS390"/>
      <c r="HT390"/>
      <c r="HU390"/>
      <c r="HV390"/>
      <c r="HW390"/>
      <c r="HX390"/>
      <c r="HY390"/>
      <c r="HZ390"/>
      <c r="IA390"/>
      <c r="IB390"/>
      <c r="IC390"/>
      <c r="ID390"/>
      <c r="IE390"/>
      <c r="IF390"/>
      <c r="IG390"/>
      <c r="IH390"/>
      <c r="II390"/>
      <c r="IJ390"/>
      <c r="IK390"/>
      <c r="IL390"/>
      <c r="IM390"/>
      <c r="IN390"/>
      <c r="IO390"/>
      <c r="IP390"/>
      <c r="IQ390"/>
      <c r="IR390"/>
      <c r="IS390"/>
      <c r="IT390"/>
      <c r="IU390"/>
      <c r="IV390"/>
      <c r="IW390"/>
      <c r="IX390"/>
      <c r="IY390"/>
      <c r="IZ390"/>
      <c r="JA390"/>
      <c r="JB390"/>
      <c r="JC390"/>
      <c r="JD390"/>
      <c r="JE390"/>
      <c r="JF390"/>
      <c r="JG390"/>
      <c r="JH390"/>
      <c r="JI390"/>
      <c r="JJ390"/>
      <c r="JK390"/>
      <c r="JL390"/>
      <c r="JM390"/>
      <c r="JN390"/>
    </row>
    <row r="391" spans="1:274" s="242" customFormat="1" x14ac:dyDescent="0.2">
      <c r="A391" s="34" t="s">
        <v>867</v>
      </c>
      <c r="B391" s="610"/>
      <c r="C391" s="259" t="s">
        <v>945</v>
      </c>
      <c r="D391" s="259" t="str">
        <f>dso _fy85</f>
        <v>-</v>
      </c>
      <c r="E391" s="259" t="str">
        <f>dso _fy86</f>
        <v>-</v>
      </c>
      <c r="F391" s="259" t="str">
        <f>dso _fy87</f>
        <v>-</v>
      </c>
      <c r="G391" s="259" t="str">
        <f>dso _fy88</f>
        <v>-</v>
      </c>
      <c r="H391" s="259" t="str">
        <f>dso _fy89</f>
        <v>-</v>
      </c>
      <c r="I391" s="259" t="str">
        <f>dso _fy90</f>
        <v>-</v>
      </c>
      <c r="J391" s="259" t="str">
        <f>dso _fy91</f>
        <v>-</v>
      </c>
      <c r="K391" s="259" t="str">
        <f>dso _fy92</f>
        <v>-</v>
      </c>
      <c r="L391" s="259" t="str">
        <f>dso _fy93</f>
        <v>-</v>
      </c>
      <c r="M391" s="259" t="str">
        <f>dso _fy94</f>
        <v>-</v>
      </c>
      <c r="N391" s="34"/>
      <c r="O391" s="259" t="s">
        <v>945</v>
      </c>
      <c r="P391" s="259" t="s">
        <v>945</v>
      </c>
      <c r="Q391" s="259" t="s">
        <v>945</v>
      </c>
      <c r="R391" s="259" t="s">
        <v>945</v>
      </c>
      <c r="S391" s="259">
        <f>dso _fy95</f>
        <v>67.617133274190735</v>
      </c>
      <c r="T391" s="34"/>
      <c r="U391" s="259" t="s">
        <v>945</v>
      </c>
      <c r="V391" s="259" t="s">
        <v>945</v>
      </c>
      <c r="W391" s="259" t="s">
        <v>945</v>
      </c>
      <c r="X391" s="259" t="s">
        <v>945</v>
      </c>
      <c r="Y391" s="259">
        <f>dso _fy96</f>
        <v>66.688719286047018</v>
      </c>
      <c r="Z391" s="34"/>
      <c r="AA391" s="259" t="s">
        <v>945</v>
      </c>
      <c r="AB391" s="259" t="s">
        <v>945</v>
      </c>
      <c r="AC391" s="259" t="s">
        <v>945</v>
      </c>
      <c r="AD391" s="259" t="s">
        <v>945</v>
      </c>
      <c r="AE391" s="259">
        <f>dso _fy97</f>
        <v>71.170479319887619</v>
      </c>
      <c r="AF391" s="34"/>
      <c r="AG391" s="259" t="s">
        <v>945</v>
      </c>
      <c r="AH391" s="259" t="s">
        <v>945</v>
      </c>
      <c r="AI391" s="259" t="s">
        <v>945</v>
      </c>
      <c r="AJ391" s="259" t="s">
        <v>945</v>
      </c>
      <c r="AK391" s="259">
        <f>dso _fy98</f>
        <v>69.293068380259427</v>
      </c>
      <c r="AL391" s="34"/>
      <c r="AM391" s="259" t="s">
        <v>945</v>
      </c>
      <c r="AN391" s="259" t="s">
        <v>945</v>
      </c>
      <c r="AO391" s="259" t="s">
        <v>945</v>
      </c>
      <c r="AP391" s="259" t="s">
        <v>945</v>
      </c>
      <c r="AQ391" s="259">
        <f>dso _fy99</f>
        <v>68.440140550773677</v>
      </c>
      <c r="AR391" s="34"/>
      <c r="AS391" s="259" t="s">
        <v>945</v>
      </c>
      <c r="AT391" s="259" t="s">
        <v>945</v>
      </c>
      <c r="AU391" s="259" t="s">
        <v>945</v>
      </c>
      <c r="AV391" s="259" t="s">
        <v>945</v>
      </c>
      <c r="AW391" s="259">
        <f>dso _fy00</f>
        <v>67.586190954595153</v>
      </c>
      <c r="AX391" s="34"/>
      <c r="AY391" s="259" t="s">
        <v>945</v>
      </c>
      <c r="AZ391" s="259" t="s">
        <v>945</v>
      </c>
      <c r="BA391" s="259" t="s">
        <v>945</v>
      </c>
      <c r="BB391" s="259" t="s">
        <v>945</v>
      </c>
      <c r="BC391" s="259">
        <f>dso _fy01</f>
        <v>66.524224750245423</v>
      </c>
      <c r="BD391" s="34"/>
      <c r="BE391" s="259" t="s">
        <v>945</v>
      </c>
      <c r="BF391" s="259" t="s">
        <v>945</v>
      </c>
      <c r="BG391" s="259" t="s">
        <v>945</v>
      </c>
      <c r="BH391" s="259" t="s">
        <v>945</v>
      </c>
      <c r="BI391" s="259">
        <f>dso _fy02</f>
        <v>66.056688924689823</v>
      </c>
      <c r="BJ391" s="34"/>
      <c r="BK391" s="259" t="s">
        <v>945</v>
      </c>
      <c r="BL391" s="259" t="s">
        <v>945</v>
      </c>
      <c r="BM391" s="259" t="s">
        <v>945</v>
      </c>
      <c r="BN391" s="259" t="s">
        <v>945</v>
      </c>
      <c r="BO391" s="259">
        <f>dso _fy03</f>
        <v>61.029879211697391</v>
      </c>
      <c r="BP391" s="34"/>
      <c r="BQ391" s="259" t="s">
        <v>945</v>
      </c>
      <c r="BR391" s="259" t="s">
        <v>945</v>
      </c>
      <c r="BS391" s="259" t="s">
        <v>945</v>
      </c>
      <c r="BT391" s="259" t="s">
        <v>945</v>
      </c>
      <c r="BU391" s="259">
        <f>dso _fy04</f>
        <v>58.849528761780952</v>
      </c>
      <c r="BV391" s="34"/>
      <c r="BW391" s="259" t="s">
        <v>945</v>
      </c>
      <c r="BX391" s="259" t="s">
        <v>945</v>
      </c>
      <c r="BY391" s="259" t="s">
        <v>945</v>
      </c>
      <c r="BZ391" s="259" t="s">
        <v>945</v>
      </c>
      <c r="CA391" s="259">
        <f>dso _fy05</f>
        <v>57.040690505548703</v>
      </c>
      <c r="CB391" s="34"/>
      <c r="CC391" s="259" t="s">
        <v>945</v>
      </c>
      <c r="CD391" s="259" t="s">
        <v>945</v>
      </c>
      <c r="CE391" s="259" t="s">
        <v>945</v>
      </c>
      <c r="CF391" s="259" t="s">
        <v>945</v>
      </c>
      <c r="CG391" s="458">
        <f>dso _fy06</f>
        <v>55.090135709945308</v>
      </c>
      <c r="CH391" s="34"/>
      <c r="CI391" s="259" t="s">
        <v>945</v>
      </c>
      <c r="CJ391" s="259" t="s">
        <v>945</v>
      </c>
      <c r="CK391" s="259" t="s">
        <v>945</v>
      </c>
      <c r="CL391" s="259" t="s">
        <v>945</v>
      </c>
      <c r="CM391" s="458">
        <f>dso _fy07</f>
        <v>62.325344212136663</v>
      </c>
      <c r="CN391" s="34"/>
      <c r="CO391" s="259" t="s">
        <v>945</v>
      </c>
      <c r="CP391" s="259" t="s">
        <v>945</v>
      </c>
      <c r="CQ391" s="259" t="s">
        <v>945</v>
      </c>
      <c r="CR391" s="259" t="s">
        <v>945</v>
      </c>
      <c r="CS391" s="458">
        <f>dso _fy08</f>
        <v>63.374536464771325</v>
      </c>
      <c r="CT391" s="91"/>
      <c r="CU391" s="259" t="s">
        <v>945</v>
      </c>
      <c r="CV391" s="259" t="s">
        <v>945</v>
      </c>
      <c r="CW391" s="259" t="s">
        <v>945</v>
      </c>
      <c r="CX391" s="259" t="s">
        <v>945</v>
      </c>
      <c r="CY391" s="458">
        <f>dso _fy09</f>
        <v>57.942159569829968</v>
      </c>
      <c r="CZ391" s="91"/>
      <c r="DA391" s="259" t="s">
        <v>945</v>
      </c>
      <c r="DB391" s="259" t="s">
        <v>945</v>
      </c>
      <c r="DC391" s="259" t="s">
        <v>945</v>
      </c>
      <c r="DD391" s="259" t="s">
        <v>945</v>
      </c>
      <c r="DE391" s="458">
        <f>dso _fy10</f>
        <v>52.190842072474304</v>
      </c>
      <c r="DF391" s="91"/>
      <c r="DG391" s="259" t="s">
        <v>945</v>
      </c>
      <c r="DH391" s="259" t="s">
        <v>945</v>
      </c>
      <c r="DI391" s="259" t="s">
        <v>945</v>
      </c>
      <c r="DJ391" s="259" t="s">
        <v>945</v>
      </c>
      <c r="DK391" s="458">
        <f>dso _fy11</f>
        <v>55.202665186007771</v>
      </c>
      <c r="DL391" s="91"/>
      <c r="DM391" s="259" t="s">
        <v>945</v>
      </c>
      <c r="DN391" s="259" t="s">
        <v>945</v>
      </c>
      <c r="DO391" s="259" t="s">
        <v>945</v>
      </c>
      <c r="DP391" s="259" t="s">
        <v>945</v>
      </c>
      <c r="DQ391" s="458">
        <f>dso _fy12</f>
        <v>52.412934215014232</v>
      </c>
      <c r="DR391" s="91"/>
      <c r="DS391" s="259" t="s">
        <v>945</v>
      </c>
      <c r="DT391" s="259" t="s">
        <v>945</v>
      </c>
      <c r="DU391" s="259" t="s">
        <v>945</v>
      </c>
      <c r="DV391" s="259" t="s">
        <v>945</v>
      </c>
      <c r="DW391" s="458">
        <f>dso _fy13</f>
        <v>49.667913511540917</v>
      </c>
      <c r="DX391" s="91"/>
      <c r="DY391" s="259" t="s">
        <v>945</v>
      </c>
      <c r="DZ391" s="259" t="s">
        <v>945</v>
      </c>
      <c r="EA391" s="259" t="s">
        <v>945</v>
      </c>
      <c r="EB391" s="259" t="s">
        <v>945</v>
      </c>
      <c r="EC391" s="458">
        <f>dso _fy14</f>
        <v>48.369238919300727</v>
      </c>
      <c r="ED391" s="91"/>
      <c r="EE391" s="259" t="s">
        <v>945</v>
      </c>
      <c r="EF391" s="259" t="s">
        <v>945</v>
      </c>
      <c r="EG391" s="259" t="s">
        <v>945</v>
      </c>
      <c r="EH391" s="259" t="s">
        <v>945</v>
      </c>
      <c r="EI391" s="458">
        <f>dso _fy14</f>
        <v>48.369238919300727</v>
      </c>
      <c r="EJ391" s="91"/>
      <c r="EK391" s="259" t="s">
        <v>945</v>
      </c>
      <c r="EL391" s="259" t="s">
        <v>945</v>
      </c>
      <c r="EM391" s="259" t="s">
        <v>945</v>
      </c>
      <c r="EN391" s="259" t="s">
        <v>945</v>
      </c>
      <c r="EO391" s="458">
        <f>dso _fy16</f>
        <v>45.738958097395241</v>
      </c>
      <c r="EP391" s="91"/>
      <c r="EQ391" s="259" t="s">
        <v>945</v>
      </c>
      <c r="ER391" s="259" t="s">
        <v>945</v>
      </c>
      <c r="ES391" s="259" t="s">
        <v>945</v>
      </c>
      <c r="ET391" s="259" t="s">
        <v>945</v>
      </c>
      <c r="EU391" s="458">
        <f>dso _fy17</f>
        <v>43.597477378667399</v>
      </c>
      <c r="EV391" s="91"/>
      <c r="EW391" s="259" t="s">
        <v>945</v>
      </c>
      <c r="EX391" s="259" t="s">
        <v>945</v>
      </c>
      <c r="EY391" s="259" t="s">
        <v>945</v>
      </c>
      <c r="EZ391" s="259" t="s">
        <v>945</v>
      </c>
      <c r="FA391" s="458">
        <f>dso _fy18</f>
        <v>44.597477378667399</v>
      </c>
      <c r="FB391" s="91"/>
      <c r="FC391" s="259" t="s">
        <v>945</v>
      </c>
      <c r="FD391" s="259" t="s">
        <v>945</v>
      </c>
      <c r="FE391" s="259" t="s">
        <v>945</v>
      </c>
      <c r="FF391" s="259" t="s">
        <v>945</v>
      </c>
      <c r="FG391" s="458">
        <f>dso _fy18</f>
        <v>44.597477378667399</v>
      </c>
      <c r="FH391" s="91"/>
      <c r="FI391" s="259" t="s">
        <v>945</v>
      </c>
      <c r="FJ391" s="259" t="s">
        <v>945</v>
      </c>
      <c r="FK391" s="259" t="s">
        <v>945</v>
      </c>
      <c r="FL391" s="259" t="s">
        <v>945</v>
      </c>
      <c r="FM391" s="458">
        <f>dso _fy18</f>
        <v>44.597477378667399</v>
      </c>
      <c r="FN391" s="261"/>
      <c r="FO391" s="261"/>
      <c r="FQ391"/>
      <c r="FR391"/>
      <c r="FS391"/>
      <c r="FT391"/>
      <c r="FU391"/>
      <c r="FV391"/>
      <c r="GB391" s="24"/>
      <c r="GC391" s="24"/>
      <c r="GD391" s="24"/>
      <c r="GE391" s="24"/>
      <c r="GF391" s="24"/>
      <c r="GG391" s="24"/>
      <c r="GH391" s="24"/>
      <c r="GI391" s="24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  <c r="HB391"/>
      <c r="HC391"/>
      <c r="HD391"/>
      <c r="HE391"/>
      <c r="HF391"/>
      <c r="HG391"/>
      <c r="HH391"/>
      <c r="HI391"/>
      <c r="HJ391"/>
      <c r="HK391"/>
      <c r="HL391"/>
      <c r="HM391"/>
      <c r="HN391"/>
      <c r="HO391"/>
      <c r="HP391"/>
      <c r="HQ391"/>
      <c r="HR391"/>
      <c r="HS391"/>
      <c r="HT391"/>
      <c r="HU391"/>
      <c r="HV391"/>
      <c r="HW391"/>
      <c r="HX391"/>
      <c r="HY391"/>
      <c r="HZ391"/>
      <c r="IA391"/>
      <c r="IB391"/>
      <c r="IC391"/>
      <c r="ID391"/>
      <c r="IE391"/>
      <c r="IF391"/>
      <c r="IG391"/>
      <c r="IH391"/>
      <c r="II391"/>
      <c r="IJ391"/>
      <c r="IK391"/>
      <c r="IL391"/>
      <c r="IM391"/>
      <c r="IN391"/>
      <c r="IO391"/>
      <c r="IP391"/>
      <c r="IQ391"/>
      <c r="IR391"/>
      <c r="IS391"/>
      <c r="IT391"/>
      <c r="IU391"/>
      <c r="IV391"/>
      <c r="IW391"/>
      <c r="IX391"/>
      <c r="IY391"/>
      <c r="IZ391"/>
      <c r="JA391"/>
      <c r="JB391"/>
      <c r="JC391"/>
      <c r="JD391"/>
      <c r="JE391"/>
      <c r="JF391"/>
      <c r="JG391"/>
      <c r="JH391"/>
      <c r="JI391"/>
      <c r="JJ391"/>
      <c r="JK391"/>
      <c r="JL391"/>
      <c r="JM391"/>
      <c r="JN391"/>
    </row>
    <row r="392" spans="1:274" s="28" customFormat="1" ht="5.25" customHeight="1" x14ac:dyDescent="0.2">
      <c r="A392" s="18"/>
      <c r="B392" s="595"/>
      <c r="CG392" s="416"/>
      <c r="CM392" s="416"/>
      <c r="CS392" s="416"/>
      <c r="CY392" s="416"/>
      <c r="DE392" s="416"/>
      <c r="DK392" s="416"/>
      <c r="DQ392" s="416"/>
      <c r="DW392" s="416"/>
      <c r="EC392" s="416"/>
      <c r="EI392" s="416"/>
      <c r="EO392" s="416"/>
      <c r="EU392" s="416"/>
      <c r="FA392" s="416"/>
      <c r="FG392" s="416"/>
      <c r="FM392" s="416"/>
      <c r="FQ392"/>
      <c r="FR392"/>
      <c r="FS392"/>
      <c r="FT392"/>
      <c r="FU392"/>
      <c r="FV392"/>
      <c r="GB392" s="24"/>
      <c r="GC392" s="24"/>
      <c r="GD392" s="24"/>
      <c r="GE392" s="24"/>
      <c r="GF392" s="24"/>
      <c r="GG392" s="24"/>
      <c r="GH392" s="24"/>
      <c r="GI392" s="24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  <c r="HB392"/>
      <c r="HC392"/>
      <c r="HD392"/>
      <c r="HE392"/>
      <c r="HF392"/>
      <c r="HG392"/>
      <c r="HH392"/>
      <c r="HI392"/>
      <c r="HJ392"/>
      <c r="HK392"/>
      <c r="HL392"/>
      <c r="HM392"/>
      <c r="HN392"/>
      <c r="HO392"/>
      <c r="HP392"/>
      <c r="HQ392"/>
      <c r="HR392"/>
      <c r="HS392"/>
      <c r="HT392"/>
      <c r="HU392"/>
      <c r="HV392"/>
      <c r="HW392"/>
      <c r="HX392"/>
      <c r="HY392"/>
      <c r="HZ392"/>
      <c r="IA392"/>
      <c r="IB392"/>
      <c r="IC392"/>
      <c r="ID392"/>
      <c r="IE392"/>
      <c r="IF392"/>
      <c r="IG392"/>
      <c r="IH392"/>
      <c r="II392"/>
      <c r="IJ392"/>
      <c r="IK392"/>
      <c r="IL392"/>
      <c r="IM392"/>
      <c r="IN392"/>
      <c r="IO392"/>
      <c r="IP392"/>
      <c r="IQ392"/>
      <c r="IR392"/>
      <c r="IS392"/>
      <c r="IT392"/>
      <c r="IU392"/>
      <c r="IV392"/>
      <c r="IW392"/>
      <c r="IX392"/>
      <c r="IY392"/>
      <c r="IZ392"/>
      <c r="JA392"/>
      <c r="JB392"/>
      <c r="JC392"/>
      <c r="JD392"/>
      <c r="JE392"/>
      <c r="JF392"/>
      <c r="JG392"/>
      <c r="JH392"/>
      <c r="JI392"/>
      <c r="JJ392"/>
      <c r="JK392"/>
      <c r="JL392"/>
      <c r="JM392"/>
      <c r="JN392"/>
    </row>
    <row r="393" spans="1:274" s="32" customFormat="1" x14ac:dyDescent="0.2">
      <c r="A393" s="19" t="s">
        <v>868</v>
      </c>
      <c r="B393" s="21"/>
      <c r="C393" s="259" t="s">
        <v>945</v>
      </c>
      <c r="D393" s="42"/>
      <c r="E393" s="42"/>
      <c r="F393" s="42"/>
      <c r="G393" s="42"/>
      <c r="H393" s="42"/>
      <c r="I393" s="42"/>
      <c r="J393" s="42"/>
      <c r="K393" s="42"/>
      <c r="L393" s="42"/>
      <c r="M393" s="42"/>
      <c r="N393" s="19"/>
      <c r="O393" s="250"/>
      <c r="P393" s="250"/>
      <c r="Q393" s="250"/>
      <c r="R393" s="42"/>
      <c r="S393" s="42"/>
      <c r="T393" s="19"/>
      <c r="U393" s="250"/>
      <c r="V393" s="250"/>
      <c r="W393" s="250"/>
      <c r="X393" s="42"/>
      <c r="Y393" s="42"/>
      <c r="Z393" s="19"/>
      <c r="AA393" s="250"/>
      <c r="AB393" s="250"/>
      <c r="AC393" s="250"/>
      <c r="AD393" s="42"/>
      <c r="AE393" s="42"/>
      <c r="AF393" s="19"/>
      <c r="AG393" s="250"/>
      <c r="AH393" s="250"/>
      <c r="AI393" s="250"/>
      <c r="AJ393" s="42"/>
      <c r="AK393" s="42"/>
      <c r="AL393" s="19"/>
      <c r="AM393" s="250"/>
      <c r="AN393" s="250"/>
      <c r="AO393" s="250"/>
      <c r="AP393" s="42"/>
      <c r="AQ393" s="42"/>
      <c r="AR393" s="19"/>
      <c r="AS393" s="250"/>
      <c r="AT393" s="250"/>
      <c r="AU393" s="250"/>
      <c r="AV393" s="42"/>
      <c r="AW393" s="42"/>
      <c r="AX393" s="19"/>
      <c r="AY393" s="250"/>
      <c r="AZ393" s="250"/>
      <c r="BA393" s="250"/>
      <c r="BB393" s="42"/>
      <c r="BC393" s="42"/>
      <c r="BD393" s="19"/>
      <c r="BE393" s="250"/>
      <c r="BF393" s="250"/>
      <c r="BG393" s="250"/>
      <c r="BH393" s="42"/>
      <c r="BI393" s="42"/>
      <c r="BJ393" s="19"/>
      <c r="BK393" s="250"/>
      <c r="BL393" s="250"/>
      <c r="BM393" s="250"/>
      <c r="BN393" s="42"/>
      <c r="BO393" s="42"/>
      <c r="BP393" s="19"/>
      <c r="BQ393" s="250"/>
      <c r="BR393" s="250"/>
      <c r="BS393" s="250"/>
      <c r="BT393" s="42"/>
      <c r="BU393" s="42"/>
      <c r="BV393" s="19"/>
      <c r="BW393" s="250"/>
      <c r="BX393" s="250"/>
      <c r="BY393" s="250"/>
      <c r="BZ393" s="42"/>
      <c r="CA393" s="42"/>
      <c r="CB393" s="19"/>
      <c r="CC393" s="250"/>
      <c r="CD393" s="250"/>
      <c r="CE393" s="250"/>
      <c r="CF393" s="42"/>
      <c r="CG393" s="467"/>
      <c r="CH393" s="19"/>
      <c r="CI393" s="250"/>
      <c r="CJ393" s="250"/>
      <c r="CK393" s="250"/>
      <c r="CL393" s="42"/>
      <c r="CM393" s="467"/>
      <c r="CN393" s="19"/>
      <c r="CO393" s="250"/>
      <c r="CP393" s="250"/>
      <c r="CQ393" s="250"/>
      <c r="CR393" s="42"/>
      <c r="CS393" s="467"/>
      <c r="CT393" s="104"/>
      <c r="CU393" s="250"/>
      <c r="CV393" s="250"/>
      <c r="CW393" s="250"/>
      <c r="CX393" s="42"/>
      <c r="CY393" s="467"/>
      <c r="CZ393" s="104"/>
      <c r="DA393" s="250"/>
      <c r="DB393" s="250"/>
      <c r="DC393" s="250"/>
      <c r="DD393" s="42"/>
      <c r="DE393" s="467"/>
      <c r="DF393" s="104"/>
      <c r="DG393" s="250"/>
      <c r="DH393" s="250"/>
      <c r="DI393" s="250"/>
      <c r="DJ393" s="42"/>
      <c r="DK393" s="467"/>
      <c r="DL393" s="104"/>
      <c r="DM393" s="250"/>
      <c r="DN393" s="250"/>
      <c r="DO393" s="250"/>
      <c r="DP393" s="42"/>
      <c r="DQ393" s="467"/>
      <c r="DR393" s="104"/>
      <c r="DS393" s="250"/>
      <c r="DT393" s="250"/>
      <c r="DU393" s="250"/>
      <c r="DV393" s="42"/>
      <c r="DW393" s="467"/>
      <c r="DX393" s="104"/>
      <c r="DY393" s="250"/>
      <c r="DZ393" s="250"/>
      <c r="EA393" s="250"/>
      <c r="EB393" s="42"/>
      <c r="EC393" s="467"/>
      <c r="ED393" s="104"/>
      <c r="EE393" s="250"/>
      <c r="EF393" s="250"/>
      <c r="EG393" s="250"/>
      <c r="EH393" s="42"/>
      <c r="EI393" s="467"/>
      <c r="EJ393" s="104"/>
      <c r="EK393" s="250"/>
      <c r="EL393" s="250"/>
      <c r="EM393" s="250"/>
      <c r="EN393" s="42"/>
      <c r="EO393" s="467"/>
      <c r="EP393" s="104"/>
      <c r="EQ393" s="250"/>
      <c r="ER393" s="250"/>
      <c r="ES393" s="250"/>
      <c r="ET393" s="42"/>
      <c r="EU393" s="467"/>
      <c r="EV393" s="104"/>
      <c r="EW393" s="250"/>
      <c r="EX393" s="250"/>
      <c r="EY393" s="250"/>
      <c r="EZ393" s="42"/>
      <c r="FA393" s="467"/>
      <c r="FB393" s="104"/>
      <c r="FC393" s="250"/>
      <c r="FD393" s="250"/>
      <c r="FE393" s="250"/>
      <c r="FF393" s="42"/>
      <c r="FG393" s="467"/>
      <c r="FH393" s="104"/>
      <c r="FI393" s="250"/>
      <c r="FJ393" s="250"/>
      <c r="FK393" s="250"/>
      <c r="FL393" s="42"/>
      <c r="FM393" s="467"/>
      <c r="FQ393"/>
      <c r="FR393"/>
      <c r="FS393"/>
      <c r="FT393"/>
      <c r="FU393"/>
      <c r="FV393"/>
      <c r="GB393" s="24"/>
      <c r="GC393" s="24"/>
      <c r="GD393" s="24"/>
      <c r="GE393" s="24"/>
      <c r="GF393" s="24"/>
      <c r="GG393" s="24"/>
      <c r="GH393" s="24"/>
      <c r="GI393" s="24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  <c r="HB393"/>
      <c r="HC393"/>
      <c r="HD393"/>
      <c r="HE393"/>
      <c r="HF393"/>
      <c r="HG393"/>
      <c r="HH393"/>
      <c r="HI393"/>
      <c r="HJ393"/>
      <c r="HK393"/>
      <c r="HL393"/>
      <c r="HM393"/>
      <c r="HN393"/>
      <c r="HO393"/>
      <c r="HP393"/>
      <c r="HQ393"/>
      <c r="HR393"/>
      <c r="HS393"/>
      <c r="HT393"/>
      <c r="HU393"/>
      <c r="HV393"/>
      <c r="HW393"/>
      <c r="HX393"/>
      <c r="HY393"/>
      <c r="HZ393"/>
      <c r="IA393"/>
      <c r="IB393"/>
      <c r="IC393"/>
      <c r="ID393"/>
      <c r="IE393"/>
      <c r="IF393"/>
      <c r="IG393"/>
      <c r="IH393"/>
      <c r="II393"/>
      <c r="IJ393"/>
      <c r="IK393"/>
      <c r="IL393"/>
      <c r="IM393"/>
      <c r="IN393"/>
      <c r="IO393"/>
      <c r="IP393"/>
      <c r="IQ393"/>
      <c r="IR393"/>
      <c r="IS393"/>
      <c r="IT393"/>
      <c r="IU393"/>
      <c r="IV393"/>
      <c r="IW393"/>
      <c r="IX393"/>
      <c r="IY393"/>
      <c r="IZ393"/>
      <c r="JA393"/>
      <c r="JB393"/>
      <c r="JC393"/>
      <c r="JD393"/>
      <c r="JE393"/>
      <c r="JF393"/>
      <c r="JG393"/>
      <c r="JH393"/>
      <c r="JI393"/>
      <c r="JJ393"/>
      <c r="JK393"/>
      <c r="JL393"/>
      <c r="JM393"/>
      <c r="JN393"/>
    </row>
    <row r="394" spans="1:274" s="32" customFormat="1" x14ac:dyDescent="0.2">
      <c r="A394" s="19" t="s">
        <v>310</v>
      </c>
      <c r="B394" s="21"/>
      <c r="C394" s="259" t="s">
        <v>945</v>
      </c>
      <c r="D394" s="22">
        <f>'Balance Sheet'!D112+'Balance Sheet'!D113</f>
        <v>5.6239471297136197E-2</v>
      </c>
      <c r="E394" s="22">
        <f>'Balance Sheet'!E112+'Balance Sheet'!E113</f>
        <v>5.5271478905050145E-2</v>
      </c>
      <c r="F394" s="22">
        <f>'Balance Sheet'!F112+'Balance Sheet'!F113</f>
        <v>4.0396498259034352E-2</v>
      </c>
      <c r="G394" s="22">
        <f>'Balance Sheet'!G112+'Balance Sheet'!G113</f>
        <v>2.5192032979692532E-2</v>
      </c>
      <c r="H394" s="22">
        <f>'Balance Sheet'!H112+'Balance Sheet'!H113</f>
        <v>4.1546762589928059E-2</v>
      </c>
      <c r="I394" s="22">
        <f>'Balance Sheet'!I112+'Balance Sheet'!I113</f>
        <v>3.8311199380176561E-2</v>
      </c>
      <c r="J394" s="22">
        <f>'Balance Sheet'!J112+'Balance Sheet'!J113</f>
        <v>3.7760628202371901E-2</v>
      </c>
      <c r="K394" s="22">
        <f>'Balance Sheet'!K112+'Balance Sheet'!K113</f>
        <v>3.48863443596268E-2</v>
      </c>
      <c r="L394" s="22">
        <f>'Balance Sheet'!L112+'Balance Sheet'!L113</f>
        <v>3.2870924817032604E-2</v>
      </c>
      <c r="M394" s="22">
        <f>'Balance Sheet'!M112+'Balance Sheet'!M113</f>
        <v>4.0966505708975906E-2</v>
      </c>
      <c r="N394" s="342"/>
      <c r="O394" s="259" t="s">
        <v>945</v>
      </c>
      <c r="P394" s="259" t="s">
        <v>945</v>
      </c>
      <c r="Q394" s="259" t="s">
        <v>945</v>
      </c>
      <c r="R394" s="22">
        <f>'Balance Sheet'!R112+'Balance Sheet'!R113</f>
        <v>0.10378755041494797</v>
      </c>
      <c r="S394" s="22">
        <f>'Balance Sheet'!S112+'Balance Sheet'!S113</f>
        <v>0.10378755041494797</v>
      </c>
      <c r="T394" s="342"/>
      <c r="U394" s="22">
        <f>'Balance Sheet'!U112+'Balance Sheet'!U113</f>
        <v>0.11674224838296188</v>
      </c>
      <c r="V394" s="22">
        <f>'Balance Sheet'!V112+'Balance Sheet'!V113</f>
        <v>0.10364977477250889</v>
      </c>
      <c r="W394" s="22">
        <f>'Balance Sheet'!W112+'Balance Sheet'!W113</f>
        <v>0.10012679640373734</v>
      </c>
      <c r="X394" s="22">
        <f>'Balance Sheet'!X112+'Balance Sheet'!X113</f>
        <v>9.8872254515386268E-2</v>
      </c>
      <c r="Y394" s="22">
        <f>'Balance Sheet'!Y112+'Balance Sheet'!Y113</f>
        <v>9.8872254515386268E-2</v>
      </c>
      <c r="Z394" s="342"/>
      <c r="AA394" s="22">
        <f>'Balance Sheet'!AA112+'Balance Sheet'!AA113</f>
        <v>9.3108628768958035E-2</v>
      </c>
      <c r="AB394" s="22">
        <f>'Balance Sheet'!AB112+'Balance Sheet'!AB113</f>
        <v>5.8643091333445418E-2</v>
      </c>
      <c r="AC394" s="22">
        <f>'Balance Sheet'!AC112+'Balance Sheet'!AC113</f>
        <v>9.0544939128475055E-2</v>
      </c>
      <c r="AD394" s="22">
        <f>'Balance Sheet'!AD112+'Balance Sheet'!AD113</f>
        <v>9.0076132023159783E-2</v>
      </c>
      <c r="AE394" s="22">
        <f>'Balance Sheet'!AE112+'Balance Sheet'!AE113</f>
        <v>9.0076132023159783E-2</v>
      </c>
      <c r="AF394" s="19"/>
      <c r="AG394" s="22">
        <f>'Balance Sheet'!AG112+'Balance Sheet'!AG113</f>
        <v>8.296331599966339E-2</v>
      </c>
      <c r="AH394" s="22">
        <f>'Balance Sheet'!AH112+'Balance Sheet'!AH113</f>
        <v>8.2989447104557551E-2</v>
      </c>
      <c r="AI394" s="22">
        <f>'Balance Sheet'!AI112+'Balance Sheet'!AI113</f>
        <v>8.1924524612675242E-2</v>
      </c>
      <c r="AJ394" s="22">
        <f>'Balance Sheet'!AJ112+'Balance Sheet'!AJ113</f>
        <v>4.9593742322958233E-2</v>
      </c>
      <c r="AK394" s="22">
        <f>'Balance Sheet'!AK112+'Balance Sheet'!AK113</f>
        <v>4.9593742322958233E-2</v>
      </c>
      <c r="AL394" s="19"/>
      <c r="AM394" s="22">
        <f>'Balance Sheet'!AM112+'Balance Sheet'!AM113</f>
        <v>7.1093773154618053E-2</v>
      </c>
      <c r="AN394" s="22">
        <f>'Balance Sheet'!AN112+'Balance Sheet'!AN113</f>
        <v>7.4272528847539487E-2</v>
      </c>
      <c r="AO394" s="22">
        <f>'Balance Sheet'!AO112+'Balance Sheet'!AO113</f>
        <v>3.2671502183986144E-2</v>
      </c>
      <c r="AP394" s="22">
        <f>'Balance Sheet'!AP112+'Balance Sheet'!AP113</f>
        <v>1.1990594581416729E-2</v>
      </c>
      <c r="AQ394" s="22">
        <f>'Balance Sheet'!AQ112+'Balance Sheet'!AQ113</f>
        <v>1.1990594581416729E-2</v>
      </c>
      <c r="AR394" s="19"/>
      <c r="AS394" s="22">
        <f>'Balance Sheet'!AS112+'Balance Sheet'!AS113</f>
        <v>1.0434134176294177E-2</v>
      </c>
      <c r="AT394" s="22">
        <f>'Balance Sheet'!AT112+'Balance Sheet'!AT113</f>
        <v>1.0359112912787108E-2</v>
      </c>
      <c r="AU394" s="22">
        <f>'Balance Sheet'!AU112+'Balance Sheet'!AU113</f>
        <v>1.0763889748075493E-2</v>
      </c>
      <c r="AV394" s="22">
        <f>'Balance Sheet'!AV112+'Balance Sheet'!AV113</f>
        <v>1.1681984669887685E-2</v>
      </c>
      <c r="AW394" s="22">
        <f>'Balance Sheet'!AW112+'Balance Sheet'!AW113</f>
        <v>1.1681984669887685E-2</v>
      </c>
      <c r="AX394" s="19"/>
      <c r="AY394" s="22">
        <f>'Balance Sheet'!AY112+'Balance Sheet'!AY113</f>
        <v>1.1796116835191064E-2</v>
      </c>
      <c r="AZ394" s="22">
        <f>'Balance Sheet'!AZ112+'Balance Sheet'!AZ113</f>
        <v>7.6046144294640711E-2</v>
      </c>
      <c r="BA394" s="22">
        <f>'Balance Sheet'!BA112+'Balance Sheet'!BA113</f>
        <v>7.0894265630834202E-2</v>
      </c>
      <c r="BB394" s="22">
        <f>'Balance Sheet'!BB112+'Balance Sheet'!BB113</f>
        <v>4.2424328682897035E-2</v>
      </c>
      <c r="BC394" s="22">
        <f>'Balance Sheet'!BC112+'Balance Sheet'!BC113</f>
        <v>4.2424328682897035E-2</v>
      </c>
      <c r="BD394" s="19"/>
      <c r="BE394" s="22">
        <f>'Balance Sheet'!BE112+'Balance Sheet'!BE113</f>
        <v>4.6450665607338987E-2</v>
      </c>
      <c r="BF394" s="22">
        <f>'Balance Sheet'!BF112+'Balance Sheet'!BF113</f>
        <v>5.1590777239266708E-2</v>
      </c>
      <c r="BG394" s="22">
        <f>'Balance Sheet'!BG112+'Balance Sheet'!BG113</f>
        <v>5.0853554239937371E-2</v>
      </c>
      <c r="BH394" s="22">
        <f>'Balance Sheet'!BH112+'Balance Sheet'!BH113</f>
        <v>3.5046754334554661E-2</v>
      </c>
      <c r="BI394" s="22">
        <f>'Balance Sheet'!BI112+'Balance Sheet'!BI113</f>
        <v>3.5046754334554661E-2</v>
      </c>
      <c r="BJ394" s="19"/>
      <c r="BK394" s="22">
        <f>'Balance Sheet'!BK112+'Balance Sheet'!BK113</f>
        <v>3.9318599138721322E-2</v>
      </c>
      <c r="BL394" s="22">
        <f>'Balance Sheet'!BL112+'Balance Sheet'!BL113</f>
        <v>3.8123507563458288E-2</v>
      </c>
      <c r="BM394" s="22">
        <f>'Balance Sheet'!BM112+'Balance Sheet'!BM113</f>
        <v>3.4826997421209496E-2</v>
      </c>
      <c r="BN394" s="22">
        <f>'Balance Sheet'!BN112+'Balance Sheet'!BN113</f>
        <v>3.1977541845199145E-2</v>
      </c>
      <c r="BO394" s="22">
        <f>'Balance Sheet'!BO112+'Balance Sheet'!BO113</f>
        <v>3.1977541845199145E-2</v>
      </c>
      <c r="BP394" s="19"/>
      <c r="BQ394" s="22">
        <f>'Balance Sheet'!BQ112+'Balance Sheet'!BQ113</f>
        <v>3.2039834443347272E-2</v>
      </c>
      <c r="BR394" s="22">
        <f>'Balance Sheet'!BR112+'Balance Sheet'!BR113</f>
        <v>2.8634996497878124E-2</v>
      </c>
      <c r="BS394" s="22">
        <f>'Balance Sheet'!BS112+'Balance Sheet'!BS113</f>
        <v>2.8051340006457863E-2</v>
      </c>
      <c r="BT394" s="22">
        <f>'Balance Sheet'!BT112+'Balance Sheet'!BT113</f>
        <v>2.0283576211106734E-2</v>
      </c>
      <c r="BU394" s="22">
        <f>'Balance Sheet'!BU112+'Balance Sheet'!BU113</f>
        <v>2.0283576211106734E-2</v>
      </c>
      <c r="BV394" s="19"/>
      <c r="BW394" s="22">
        <f>'Balance Sheet'!BW112+'Balance Sheet'!BW113</f>
        <v>1.6409360132051656E-2</v>
      </c>
      <c r="BX394" s="22">
        <f>'Balance Sheet'!BX112+'Balance Sheet'!BX113</f>
        <v>1.6671402860661173E-2</v>
      </c>
      <c r="BY394" s="22">
        <f>'Balance Sheet'!BY112+'Balance Sheet'!BY113</f>
        <v>6.965263441342788E-2</v>
      </c>
      <c r="BZ394" s="22">
        <f>'Balance Sheet'!BZ112+'Balance Sheet'!BZ113</f>
        <v>5.8750722006766232E-2</v>
      </c>
      <c r="CA394" s="22">
        <f>'Balance Sheet'!CA112+'Balance Sheet'!CA113</f>
        <v>5.8750722006766232E-2</v>
      </c>
      <c r="CB394" s="19"/>
      <c r="CC394" s="22">
        <f>'Balance Sheet'!CC112+'Balance Sheet'!CC113</f>
        <v>5.3235500741550229E-2</v>
      </c>
      <c r="CD394" s="22">
        <f>'Balance Sheet'!CD112+'Balance Sheet'!CD113</f>
        <v>9.4133392817309841E-2</v>
      </c>
      <c r="CE394" s="22">
        <f>'Balance Sheet'!CE112+'Balance Sheet'!CE113</f>
        <v>9.6757472786960785E-2</v>
      </c>
      <c r="CF394" s="22">
        <f>'Balance Sheet'!CF112+'Balance Sheet'!CF113</f>
        <v>0.10573772711272372</v>
      </c>
      <c r="CG394" s="234">
        <f>'Balance Sheet'!CG112+'Balance Sheet'!CG113</f>
        <v>0.10573772711272372</v>
      </c>
      <c r="CH394" s="19"/>
      <c r="CI394" s="22">
        <f>'Balance Sheet'!CI112+'Balance Sheet'!CI113</f>
        <v>5.616240725474031E-2</v>
      </c>
      <c r="CJ394" s="22">
        <f>'Balance Sheet'!CJ112+'Balance Sheet'!CJ113</f>
        <v>5.3399721073621884E-2</v>
      </c>
      <c r="CK394" s="22">
        <f>'Balance Sheet'!CK112+'Balance Sheet'!CK113</f>
        <v>5.0860221282511733E-2</v>
      </c>
      <c r="CL394" s="22">
        <f>'Balance Sheet'!CL112+'Balance Sheet'!CL113</f>
        <v>5.2117084957987808E-2</v>
      </c>
      <c r="CM394" s="234">
        <f>'Balance Sheet'!CM112+'Balance Sheet'!CM113</f>
        <v>5.2117084957987808E-2</v>
      </c>
      <c r="CN394" s="19"/>
      <c r="CO394" s="22">
        <f>'Balance Sheet'!CO112+'Balance Sheet'!CO113</f>
        <v>9.1113316963586016E-2</v>
      </c>
      <c r="CP394" s="22">
        <f>'Balance Sheet'!CP112+'Balance Sheet'!CP113</f>
        <v>9.79348415397506E-2</v>
      </c>
      <c r="CQ394" s="22">
        <f>'Balance Sheet'!CQ112+'Balance Sheet'!CQ113</f>
        <v>9.2310593559945309E-2</v>
      </c>
      <c r="CR394" s="22">
        <f>'Balance Sheet'!CR112+'Balance Sheet'!CR113</f>
        <v>9.6023707373169981E-2</v>
      </c>
      <c r="CS394" s="234">
        <f>'Balance Sheet'!CS112+'Balance Sheet'!CS113</f>
        <v>9.6023707373169981E-2</v>
      </c>
      <c r="CT394" s="104"/>
      <c r="CU394" s="22">
        <f>'Balance Sheet'!CU112+'Balance Sheet'!CU113</f>
        <v>7.5433057428108199E-2</v>
      </c>
      <c r="CV394" s="22">
        <f>'Balance Sheet'!CV112+'Balance Sheet'!CV113</f>
        <v>7.0451580320693569E-2</v>
      </c>
      <c r="CW394" s="22">
        <f>'Balance Sheet'!CW112+'Balance Sheet'!CW113</f>
        <v>7.2612371306604168E-2</v>
      </c>
      <c r="CX394" s="22">
        <f>'Balance Sheet'!CX112+'Balance Sheet'!CX113</f>
        <v>7.0996850259640754E-2</v>
      </c>
      <c r="CY394" s="234">
        <f>'Balance Sheet'!CY112+'Balance Sheet'!CY113</f>
        <v>7.0996850259640754E-2</v>
      </c>
      <c r="CZ394" s="104"/>
      <c r="DA394" s="22">
        <f>'Balance Sheet'!DA112+'Balance Sheet'!DA113</f>
        <v>6.3194294359196018E-2</v>
      </c>
      <c r="DB394" s="22">
        <f>'Balance Sheet'!DB112+'Balance Sheet'!DB113</f>
        <v>6.9554030874785594E-2</v>
      </c>
      <c r="DC394" s="22">
        <f>'Balance Sheet'!DC112+'Balance Sheet'!DC113</f>
        <v>0.14634307032208652</v>
      </c>
      <c r="DD394" s="22">
        <f>'Balance Sheet'!DD112+'Balance Sheet'!DD113</f>
        <v>0.13304778179719923</v>
      </c>
      <c r="DE394" s="234">
        <f>'Balance Sheet'!DE112+'Balance Sheet'!DE113</f>
        <v>0.13304778179719923</v>
      </c>
      <c r="DF394" s="104"/>
      <c r="DG394" s="22">
        <f>'Balance Sheet'!DG112+'Balance Sheet'!DG113</f>
        <v>0.12381429209347641</v>
      </c>
      <c r="DH394" s="22">
        <f>'Balance Sheet'!DH112+'Balance Sheet'!DH113</f>
        <v>0.13130589456000791</v>
      </c>
      <c r="DI394" s="22">
        <f>'Balance Sheet'!DI112+'Balance Sheet'!DI113</f>
        <v>0.13548387096774195</v>
      </c>
      <c r="DJ394" s="22">
        <f>'Balance Sheet'!DJ112+'Balance Sheet'!DJ113</f>
        <v>0.11971026605376793</v>
      </c>
      <c r="DK394" s="234">
        <f>'Balance Sheet'!DK112+'Balance Sheet'!DK113</f>
        <v>0.11971026605376793</v>
      </c>
      <c r="DL394" s="104"/>
      <c r="DM394" s="22">
        <f>'Balance Sheet'!DM112+'Balance Sheet'!DM113</f>
        <v>0.11063887753712029</v>
      </c>
      <c r="DN394" s="22">
        <f>'Balance Sheet'!DN112+'Balance Sheet'!DN113</f>
        <v>0.10757156048014774</v>
      </c>
      <c r="DO394" s="22">
        <f>'Balance Sheet'!DO112+'Balance Sheet'!DO113</f>
        <v>0.1157310662680994</v>
      </c>
      <c r="DP394" s="22">
        <f>'Balance Sheet'!DP112+'Balance Sheet'!DP113</f>
        <v>0.11283801362443252</v>
      </c>
      <c r="DQ394" s="234">
        <f>'Balance Sheet'!DQ112+'Balance Sheet'!DQ113</f>
        <v>0.11283801362443252</v>
      </c>
      <c r="DR394" s="104"/>
      <c r="DS394" s="22">
        <f>'Balance Sheet'!DS112+'Balance Sheet'!DS113</f>
        <v>0.12025609589974118</v>
      </c>
      <c r="DT394" s="22">
        <f>'Balance Sheet'!DT112+'Balance Sheet'!DT113</f>
        <v>0.13796100157514529</v>
      </c>
      <c r="DU394" s="22">
        <f>'Balance Sheet'!DU112+'Balance Sheet'!DU113</f>
        <v>0.13522309233854662</v>
      </c>
      <c r="DV394" s="22">
        <f>'Balance Sheet'!DV112+'Balance Sheet'!DV113</f>
        <v>0.14218989074705393</v>
      </c>
      <c r="DW394" s="234">
        <f>'Balance Sheet'!DW112+'Balance Sheet'!DW113</f>
        <v>0.14218989074705393</v>
      </c>
      <c r="DX394" s="104"/>
      <c r="DY394" s="22">
        <f>'Balance Sheet'!DY112+'Balance Sheet'!DY113</f>
        <v>0.12668002672010686</v>
      </c>
      <c r="DZ394" s="22">
        <f>'Balance Sheet'!DZ112+'Balance Sheet'!DZ113</f>
        <v>0.13421997606064637</v>
      </c>
      <c r="EA394" s="22">
        <f>'Balance Sheet'!EA112+'Balance Sheet'!EA113</f>
        <v>0.13429098576700052</v>
      </c>
      <c r="EB394" s="22">
        <f>'Balance Sheet'!EB112+'Balance Sheet'!EB113</f>
        <v>0.1431927946743245</v>
      </c>
      <c r="EC394" s="234">
        <f>'Balance Sheet'!EC112+'Balance Sheet'!EC113</f>
        <v>0.1431927946743245</v>
      </c>
      <c r="ED394" s="104"/>
      <c r="EE394" s="22">
        <f>'Balance Sheet'!EE112+'Balance Sheet'!EE113</f>
        <v>0.1336604106637593</v>
      </c>
      <c r="EF394" s="22">
        <f>'Balance Sheet'!EF112+'Balance Sheet'!EF113</f>
        <v>0.11357084019769356</v>
      </c>
      <c r="EG394" s="22">
        <f>'Balance Sheet'!EG112+'Balance Sheet'!EG113</f>
        <v>0.13224586410065092</v>
      </c>
      <c r="EH394" s="22">
        <f>'Balance Sheet'!EH112+'Balance Sheet'!EH113</f>
        <v>0.15060256711891878</v>
      </c>
      <c r="EI394" s="234">
        <f>'Balance Sheet'!EI112+'Balance Sheet'!EI113</f>
        <v>0.15060256711891878</v>
      </c>
      <c r="EJ394" s="104"/>
      <c r="EK394" s="22">
        <f>'Balance Sheet'!EK112+'Balance Sheet'!EK113</f>
        <v>0.14158246949219264</v>
      </c>
      <c r="EL394" s="22">
        <f>'Balance Sheet'!EL112+'Balance Sheet'!EL113</f>
        <v>0.15090816952497799</v>
      </c>
      <c r="EM394" s="22">
        <f>'Balance Sheet'!EM112+'Balance Sheet'!EM113</f>
        <v>0.15753369381002341</v>
      </c>
      <c r="EN394" s="22">
        <f>'Balance Sheet'!EN112+'Balance Sheet'!EN113</f>
        <v>0.16876703456836767</v>
      </c>
      <c r="EO394" s="234">
        <f>'Balance Sheet'!EO112+'Balance Sheet'!EO113</f>
        <v>0.16876703456836767</v>
      </c>
      <c r="EP394" s="104"/>
      <c r="EQ394" s="22">
        <f>'Balance Sheet'!EQ112+'Balance Sheet'!EQ113</f>
        <v>0.15889733738144496</v>
      </c>
      <c r="ER394" s="22">
        <f>'Balance Sheet'!ER112+'Balance Sheet'!ER113</f>
        <v>0.17279484125345443</v>
      </c>
      <c r="ES394" s="22">
        <f>'Balance Sheet'!ES112+'Balance Sheet'!ES113</f>
        <v>0.17458094979918931</v>
      </c>
      <c r="ET394" s="22">
        <f>'Balance Sheet'!ET112+'Balance Sheet'!ET113</f>
        <v>0.19193736414111856</v>
      </c>
      <c r="EU394" s="234">
        <f>'Balance Sheet'!EU112+'Balance Sheet'!EU113</f>
        <v>0.19193736414111856</v>
      </c>
      <c r="EV394" s="104"/>
      <c r="EW394" s="22">
        <f>'Balance Sheet'!EW112+'Balance Sheet'!EW113</f>
        <v>0.18196327069432822</v>
      </c>
      <c r="EX394" s="22">
        <f>'Balance Sheet'!EX112+'Balance Sheet'!EX113</f>
        <v>0.18746959571907726</v>
      </c>
      <c r="EY394" s="22">
        <f>'Balance Sheet'!EY112+'Balance Sheet'!EY113</f>
        <v>0.20422659824565836</v>
      </c>
      <c r="EZ394" s="22">
        <f>'Balance Sheet'!EZ112+'Balance Sheet'!EZ113</f>
        <v>0.2034054542870119</v>
      </c>
      <c r="FA394" s="234">
        <f>'Balance Sheet'!FA112+'Balance Sheet'!FA113</f>
        <v>0.2034054542870119</v>
      </c>
      <c r="FB394" s="104"/>
      <c r="FC394" s="22">
        <f>'Balance Sheet'!FC112+'Balance Sheet'!FC113</f>
        <v>0.20230760539214998</v>
      </c>
      <c r="FD394" s="22">
        <f>'Balance Sheet'!FD112+'Balance Sheet'!FD113</f>
        <v>0.20118212011576192</v>
      </c>
      <c r="FE394" s="22">
        <f>'Balance Sheet'!FE112+'Balance Sheet'!FE113</f>
        <v>0.20018844172971167</v>
      </c>
      <c r="FF394" s="22">
        <f>'Balance Sheet'!FF112+'Balance Sheet'!FF113</f>
        <v>0.19952445607577396</v>
      </c>
      <c r="FG394" s="234">
        <f>'Balance Sheet'!FG112+'Balance Sheet'!FG113</f>
        <v>0.19952445607577396</v>
      </c>
      <c r="FH394" s="104"/>
      <c r="FI394" s="22">
        <f>'Balance Sheet'!FI112+'Balance Sheet'!FI113</f>
        <v>0.19833033399169375</v>
      </c>
      <c r="FJ394" s="22">
        <f>'Balance Sheet'!FJ112+'Balance Sheet'!FJ113</f>
        <v>0.19724550614609232</v>
      </c>
      <c r="FK394" s="22">
        <f>'Balance Sheet'!FK112+'Balance Sheet'!FK113</f>
        <v>0.19621677172425217</v>
      </c>
      <c r="FL394" s="22">
        <f>'Balance Sheet'!FL112+'Balance Sheet'!FL113</f>
        <v>0.19542218921351426</v>
      </c>
      <c r="FM394" s="234">
        <f>'Balance Sheet'!FM112+'Balance Sheet'!FM113</f>
        <v>0.19542218921351426</v>
      </c>
      <c r="FQ394"/>
      <c r="FR394"/>
      <c r="FS394"/>
      <c r="FT394"/>
      <c r="FU394"/>
      <c r="FV394"/>
      <c r="GB394" s="24"/>
      <c r="GC394" s="24"/>
      <c r="GD394" s="24"/>
      <c r="GE394" s="24"/>
      <c r="GF394" s="24"/>
      <c r="GG394" s="24"/>
      <c r="GH394" s="24"/>
      <c r="GI394" s="2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  <c r="HB394"/>
      <c r="HC394"/>
      <c r="HD394"/>
      <c r="HE394"/>
      <c r="HF394"/>
      <c r="HG394"/>
      <c r="HH394"/>
      <c r="HI394"/>
      <c r="HJ394"/>
      <c r="HK394"/>
      <c r="HL394"/>
      <c r="HM394"/>
      <c r="HN394"/>
      <c r="HO394"/>
      <c r="HP394"/>
      <c r="HQ394"/>
      <c r="HR394"/>
      <c r="HS394"/>
      <c r="HT394"/>
      <c r="HU394"/>
      <c r="HV394"/>
      <c r="HW394"/>
      <c r="HX394"/>
      <c r="HY394"/>
      <c r="HZ394"/>
      <c r="IA394"/>
      <c r="IB394"/>
      <c r="IC394"/>
      <c r="ID394"/>
      <c r="IE394"/>
      <c r="IF394"/>
      <c r="IG394"/>
      <c r="IH394"/>
      <c r="II394"/>
      <c r="IJ394"/>
      <c r="IK394"/>
      <c r="IL394"/>
      <c r="IM394"/>
      <c r="IN394"/>
      <c r="IO394"/>
      <c r="IP394"/>
      <c r="IQ394"/>
      <c r="IR394"/>
      <c r="IS394"/>
      <c r="IT394"/>
      <c r="IU394"/>
      <c r="IV394"/>
      <c r="IW394"/>
      <c r="IX394"/>
      <c r="IY394"/>
      <c r="IZ394"/>
      <c r="JA394"/>
      <c r="JB394"/>
      <c r="JC394"/>
      <c r="JD394"/>
      <c r="JE394"/>
      <c r="JF394"/>
      <c r="JG394"/>
      <c r="JH394"/>
      <c r="JI394"/>
      <c r="JJ394"/>
      <c r="JK394"/>
      <c r="JL394"/>
      <c r="JM394"/>
      <c r="JN394"/>
    </row>
    <row r="395" spans="1:274" s="32" customFormat="1" x14ac:dyDescent="0.2">
      <c r="A395" s="19" t="s">
        <v>308</v>
      </c>
      <c r="B395" s="21"/>
      <c r="C395" s="259" t="s">
        <v>945</v>
      </c>
      <c r="D395" s="22">
        <f>'Balance Sheet'!D118+'Balance Sheet'!D119</f>
        <v>2.6996674009762002E-2</v>
      </c>
      <c r="E395" s="22">
        <f>'Balance Sheet'!E118+'Balance Sheet'!E119</f>
        <v>5.3573041828530128E-2</v>
      </c>
      <c r="F395" s="22">
        <f>'Balance Sheet'!F118+'Balance Sheet'!F119</f>
        <v>4.3672713696866268E-2</v>
      </c>
      <c r="G395" s="22">
        <f>'Balance Sheet'!G118+'Balance Sheet'!G119</f>
        <v>6.0192192490243275E-2</v>
      </c>
      <c r="H395" s="22">
        <f>'Balance Sheet'!H118+'Balance Sheet'!H119</f>
        <v>4.9849263446385746E-2</v>
      </c>
      <c r="I395" s="22">
        <f>'Balance Sheet'!I118+'Balance Sheet'!I119</f>
        <v>4.0761029692598136E-2</v>
      </c>
      <c r="J395" s="22">
        <f>'Balance Sheet'!J118+'Balance Sheet'!J119</f>
        <v>5.7493124658908171E-2</v>
      </c>
      <c r="K395" s="22">
        <f>'Balance Sheet'!K118+'Balance Sheet'!K119</f>
        <v>5.6932145886344362E-2</v>
      </c>
      <c r="L395" s="22">
        <f>'Balance Sheet'!L118+'Balance Sheet'!L119</f>
        <v>6.5727212242182309E-2</v>
      </c>
      <c r="M395" s="22">
        <f>'Balance Sheet'!M118+'Balance Sheet'!M119</f>
        <v>9.2832760411903775E-2</v>
      </c>
      <c r="N395" s="342"/>
      <c r="O395" s="259" t="s">
        <v>945</v>
      </c>
      <c r="P395" s="259" t="s">
        <v>945</v>
      </c>
      <c r="Q395" s="259" t="s">
        <v>945</v>
      </c>
      <c r="R395" s="22">
        <f>'Balance Sheet'!R118+'Balance Sheet'!R119</f>
        <v>0.15603989224285003</v>
      </c>
      <c r="S395" s="22">
        <f>'Balance Sheet'!S118+'Balance Sheet'!S119</f>
        <v>0.15603989224285003</v>
      </c>
      <c r="T395" s="342"/>
      <c r="U395" s="22">
        <f>'Balance Sheet'!U118+'Balance Sheet'!U119</f>
        <v>0.15329939095009226</v>
      </c>
      <c r="V395" s="22">
        <f>'Balance Sheet'!V118+'Balance Sheet'!V119</f>
        <v>0.12742122277051252</v>
      </c>
      <c r="W395" s="22">
        <f>'Balance Sheet'!W118+'Balance Sheet'!W119</f>
        <v>0.12446506532266687</v>
      </c>
      <c r="X395" s="22">
        <f>'Balance Sheet'!X118+'Balance Sheet'!X119</f>
        <v>0.13367979681919809</v>
      </c>
      <c r="Y395" s="22">
        <f>'Balance Sheet'!Y118+'Balance Sheet'!Y119</f>
        <v>0.13367979681919809</v>
      </c>
      <c r="Z395" s="342"/>
      <c r="AA395" s="22">
        <f>'Balance Sheet'!AA118+'Balance Sheet'!AA119</f>
        <v>0.14484828516372633</v>
      </c>
      <c r="AB395" s="22">
        <f>'Balance Sheet'!AB118+'Balance Sheet'!AB119</f>
        <v>0.13944237868269588</v>
      </c>
      <c r="AC395" s="22">
        <f>'Balance Sheet'!AC118+'Balance Sheet'!AC119</f>
        <v>0.15470163429274969</v>
      </c>
      <c r="AD395" s="22">
        <f>'Balance Sheet'!AD118+'Balance Sheet'!AD119</f>
        <v>0.15379743373963733</v>
      </c>
      <c r="AE395" s="22">
        <f>'Balance Sheet'!AE118+'Balance Sheet'!AE119</f>
        <v>0.15379743373963733</v>
      </c>
      <c r="AF395" s="19"/>
      <c r="AG395" s="22">
        <f>'Balance Sheet'!AG118+'Balance Sheet'!AG119</f>
        <v>0.18624685709901026</v>
      </c>
      <c r="AH395" s="22">
        <f>'Balance Sheet'!AH118+'Balance Sheet'!AH119</f>
        <v>0.1536997784374802</v>
      </c>
      <c r="AI395" s="22">
        <f>'Balance Sheet'!AI118+'Balance Sheet'!AI119</f>
        <v>0.15852885031464825</v>
      </c>
      <c r="AJ395" s="22">
        <f>'Balance Sheet'!AJ118+'Balance Sheet'!AJ119</f>
        <v>0.16730042309855001</v>
      </c>
      <c r="AK395" s="22">
        <f>'Balance Sheet'!AK118+'Balance Sheet'!AK119</f>
        <v>0.16730042309855001</v>
      </c>
      <c r="AL395" s="19"/>
      <c r="AM395" s="22">
        <f>'Balance Sheet'!AM118+'Balance Sheet'!AM119</f>
        <v>0.1703674085348158</v>
      </c>
      <c r="AN395" s="22">
        <f>'Balance Sheet'!AN118+'Balance Sheet'!AN119</f>
        <v>0.16697061433240495</v>
      </c>
      <c r="AO395" s="22">
        <f>'Balance Sheet'!AO118+'Balance Sheet'!AO119</f>
        <v>0.17114787403781739</v>
      </c>
      <c r="AP395" s="22">
        <f>'Balance Sheet'!AP118+'Balance Sheet'!AP119</f>
        <v>0.18756713946732617</v>
      </c>
      <c r="AQ395" s="22">
        <f>'Balance Sheet'!AQ118+'Balance Sheet'!AQ119</f>
        <v>0.18756713946732617</v>
      </c>
      <c r="AR395" s="19"/>
      <c r="AS395" s="22">
        <f>'Balance Sheet'!AS118+'Balance Sheet'!AS119</f>
        <v>0.17779310944355517</v>
      </c>
      <c r="AT395" s="22">
        <f>'Balance Sheet'!AT118+'Balance Sheet'!AT119</f>
        <v>0.16966430974119587</v>
      </c>
      <c r="AU395" s="22">
        <f>'Balance Sheet'!AU118+'Balance Sheet'!AU119</f>
        <v>0.1865859310248266</v>
      </c>
      <c r="AV395" s="22">
        <f>'Balance Sheet'!AV118+'Balance Sheet'!AV119</f>
        <v>0.22248446603099997</v>
      </c>
      <c r="AW395" s="22">
        <f>'Balance Sheet'!AW118+'Balance Sheet'!AW119</f>
        <v>0.22248446603099997</v>
      </c>
      <c r="AX395" s="19"/>
      <c r="AY395" s="22">
        <f>'Balance Sheet'!AY118+'Balance Sheet'!AY119</f>
        <v>0.23011589181248901</v>
      </c>
      <c r="AZ395" s="22">
        <f>'Balance Sheet'!AZ118+'Balance Sheet'!AZ119</f>
        <v>0.20891003625718685</v>
      </c>
      <c r="BA395" s="22">
        <f>'Balance Sheet'!BA118+'Balance Sheet'!BA119</f>
        <v>0.22510784525027039</v>
      </c>
      <c r="BB395" s="22">
        <f>'Balance Sheet'!BB118+'Balance Sheet'!BB119</f>
        <v>0.22628968205366518</v>
      </c>
      <c r="BC395" s="22">
        <f>'Balance Sheet'!BC118+'Balance Sheet'!BC119</f>
        <v>0.22628968205366518</v>
      </c>
      <c r="BD395" s="19"/>
      <c r="BE395" s="22">
        <f>'Balance Sheet'!BE118+'Balance Sheet'!BE119</f>
        <v>0.2400011312803737</v>
      </c>
      <c r="BF395" s="22">
        <f>'Balance Sheet'!BF118+'Balance Sheet'!BF119</f>
        <v>0.24316369158366413</v>
      </c>
      <c r="BG395" s="22">
        <f>'Balance Sheet'!BG118+'Balance Sheet'!BG119</f>
        <v>0.26710022351651874</v>
      </c>
      <c r="BH395" s="22">
        <f>'Balance Sheet'!BH118+'Balance Sheet'!BH119</f>
        <v>0.27270144872644636</v>
      </c>
      <c r="BI395" s="22">
        <f>'Balance Sheet'!BI118+'Balance Sheet'!BI119</f>
        <v>0.27270144872644636</v>
      </c>
      <c r="BJ395" s="19"/>
      <c r="BK395" s="22">
        <f>'Balance Sheet'!BK118+'Balance Sheet'!BK119</f>
        <v>0.26383534276108589</v>
      </c>
      <c r="BL395" s="22">
        <f>'Balance Sheet'!BL118+'Balance Sheet'!BL119</f>
        <v>0.27970666617815976</v>
      </c>
      <c r="BM395" s="22">
        <f>'Balance Sheet'!BM118+'Balance Sheet'!BM119</f>
        <v>0.27714068831669136</v>
      </c>
      <c r="BN395" s="22">
        <f>'Balance Sheet'!BN118+'Balance Sheet'!BN119</f>
        <v>0.3379366368805849</v>
      </c>
      <c r="BO395" s="22">
        <f>'Balance Sheet'!BO118+'Balance Sheet'!BO119</f>
        <v>0.3379366368805849</v>
      </c>
      <c r="BP395" s="19"/>
      <c r="BQ395" s="22">
        <f>'Balance Sheet'!BQ118+'Balance Sheet'!BQ119</f>
        <v>0.28977730077810571</v>
      </c>
      <c r="BR395" s="22">
        <f>'Balance Sheet'!BR118+'Balance Sheet'!BR119</f>
        <v>0.29557428872497366</v>
      </c>
      <c r="BS395" s="22">
        <f>'Balance Sheet'!BS118+'Balance Sheet'!BS119</f>
        <v>0.33298782067893234</v>
      </c>
      <c r="BT395" s="22">
        <f>'Balance Sheet'!BT118+'Balance Sheet'!BT119</f>
        <v>0.3378616352201258</v>
      </c>
      <c r="BU395" s="22">
        <f>'Balance Sheet'!BU118+'Balance Sheet'!BU119</f>
        <v>0.3378616352201258</v>
      </c>
      <c r="BV395" s="19"/>
      <c r="BW395" s="22">
        <f>'Balance Sheet'!BW118+'Balance Sheet'!BW119</f>
        <v>0.28140692759784919</v>
      </c>
      <c r="BX395" s="22">
        <f>'Balance Sheet'!BX118+'Balance Sheet'!BX119</f>
        <v>0.29414687468945644</v>
      </c>
      <c r="BY395" s="22">
        <f>'Balance Sheet'!BY118+'Balance Sheet'!BY119</f>
        <v>0.48874491629622624</v>
      </c>
      <c r="BZ395" s="22">
        <f>'Balance Sheet'!BZ118+'Balance Sheet'!BZ119</f>
        <v>0.36197698514174859</v>
      </c>
      <c r="CA395" s="22">
        <f>'Balance Sheet'!CA118+'Balance Sheet'!CA119</f>
        <v>0.36197698514174859</v>
      </c>
      <c r="CB395" s="19"/>
      <c r="CC395" s="22">
        <f>'Balance Sheet'!CC118+'Balance Sheet'!CC119</f>
        <v>0.29552532029176337</v>
      </c>
      <c r="CD395" s="22">
        <f>'Balance Sheet'!CD118+'Balance Sheet'!CD119</f>
        <v>0.28291427440110872</v>
      </c>
      <c r="CE395" s="22">
        <f>'Balance Sheet'!CE118+'Balance Sheet'!CE119</f>
        <v>0.44214162348877373</v>
      </c>
      <c r="CF395" s="22">
        <f>'Balance Sheet'!CF118+'Balance Sheet'!CF119</f>
        <v>0.44409412144066357</v>
      </c>
      <c r="CG395" s="234">
        <f>'Balance Sheet'!CG118+'Balance Sheet'!CG119</f>
        <v>0.44409412144066357</v>
      </c>
      <c r="CH395" s="19"/>
      <c r="CI395" s="22">
        <f>'Balance Sheet'!CI118+'Balance Sheet'!CI119</f>
        <v>0.39439005210718703</v>
      </c>
      <c r="CJ395" s="22">
        <f>'Balance Sheet'!CJ118+'Balance Sheet'!CJ119</f>
        <v>0.38526473567610753</v>
      </c>
      <c r="CK395" s="22">
        <f>'Balance Sheet'!CK118+'Balance Sheet'!CK119</f>
        <v>0.34309997412637305</v>
      </c>
      <c r="CL395" s="22">
        <f>'Balance Sheet'!CL118+'Balance Sheet'!CL119</f>
        <v>0.38453405829935056</v>
      </c>
      <c r="CM395" s="234">
        <f>'Balance Sheet'!CM118+'Balance Sheet'!CM119</f>
        <v>0.38453405829935056</v>
      </c>
      <c r="CN395" s="19"/>
      <c r="CO395" s="22">
        <f>'Balance Sheet'!CO118+'Balance Sheet'!CO119</f>
        <v>0.52224757558471191</v>
      </c>
      <c r="CP395" s="22">
        <f>'Balance Sheet'!CP118+'Balance Sheet'!CP119</f>
        <v>0.53766797882448758</v>
      </c>
      <c r="CQ395" s="22">
        <f>'Balance Sheet'!CQ118+'Balance Sheet'!CQ119</f>
        <v>0.54711525824681306</v>
      </c>
      <c r="CR395" s="22">
        <f>'Balance Sheet'!CR118+'Balance Sheet'!CR119</f>
        <v>0.5948448448448449</v>
      </c>
      <c r="CS395" s="234">
        <f>'Balance Sheet'!CS118+'Balance Sheet'!CS119</f>
        <v>0.5948448448448449</v>
      </c>
      <c r="CT395" s="104"/>
      <c r="CU395" s="22">
        <f>'Balance Sheet'!CU118+'Balance Sheet'!CU119</f>
        <v>0.54157495720224991</v>
      </c>
      <c r="CV395" s="22">
        <f>'Balance Sheet'!CV118+'Balance Sheet'!CV119</f>
        <v>0.53902798232695137</v>
      </c>
      <c r="CW395" s="22">
        <f>'Balance Sheet'!CW118+'Balance Sheet'!CW119</f>
        <v>0.54393564356435642</v>
      </c>
      <c r="CX395" s="22">
        <f>'Balance Sheet'!CX118+'Balance Sheet'!CX119</f>
        <v>0.67767335534671069</v>
      </c>
      <c r="CY395" s="234">
        <f>'Balance Sheet'!CY118+'Balance Sheet'!CY119</f>
        <v>0.67767335534671069</v>
      </c>
      <c r="CZ395" s="104"/>
      <c r="DA395" s="22">
        <f>'Balance Sheet'!DA118+'Balance Sheet'!DA119</f>
        <v>0.61861313868613133</v>
      </c>
      <c r="DB395" s="22">
        <f>'Balance Sheet'!DB118+'Balance Sheet'!DB119</f>
        <v>0.65309298404876148</v>
      </c>
      <c r="DC395" s="22">
        <f>'Balance Sheet'!DC118+'Balance Sheet'!DC119</f>
        <v>0.8704438383337465</v>
      </c>
      <c r="DD395" s="22">
        <f>'Balance Sheet'!DD118+'Balance Sheet'!DD119</f>
        <v>0.75950795621261713</v>
      </c>
      <c r="DE395" s="234">
        <f>'Balance Sheet'!DE118+'Balance Sheet'!DE119</f>
        <v>0.75950795621261713</v>
      </c>
      <c r="DF395" s="104"/>
      <c r="DG395" s="22">
        <f>'Balance Sheet'!DG118+'Balance Sheet'!DG119</f>
        <v>0.64994333985783448</v>
      </c>
      <c r="DH395" s="22">
        <f>'Balance Sheet'!DH118+'Balance Sheet'!DH119</f>
        <v>0.65508353221957039</v>
      </c>
      <c r="DI395" s="22">
        <f>'Balance Sheet'!DI118+'Balance Sheet'!DI119</f>
        <v>0.63547810545129579</v>
      </c>
      <c r="DJ395" s="22">
        <f>'Balance Sheet'!DJ118+'Balance Sheet'!DJ119</f>
        <v>0.64512237159600139</v>
      </c>
      <c r="DK395" s="234">
        <f>'Balance Sheet'!DK118+'Balance Sheet'!DK119</f>
        <v>0.64512237159600139</v>
      </c>
      <c r="DL395" s="104"/>
      <c r="DM395" s="22">
        <f>'Balance Sheet'!DM118+'Balance Sheet'!DM119</f>
        <v>0.65208965284799469</v>
      </c>
      <c r="DN395" s="22">
        <f>'Balance Sheet'!DN118+'Balance Sheet'!DN119</f>
        <v>0.6396136063408191</v>
      </c>
      <c r="DO395" s="22">
        <f>'Balance Sheet'!DO118+'Balance Sheet'!DO119</f>
        <v>0.65186281766592646</v>
      </c>
      <c r="DP395" s="22">
        <f>'Balance Sheet'!DP118+'Balance Sheet'!DP119</f>
        <v>0.67964587261250919</v>
      </c>
      <c r="DQ395" s="234">
        <f>'Balance Sheet'!DQ118+'Balance Sheet'!DQ119</f>
        <v>0.67964587261250919</v>
      </c>
      <c r="DR395" s="104"/>
      <c r="DS395" s="22">
        <f>'Balance Sheet'!DS118+'Balance Sheet'!DS119</f>
        <v>0.66354903943377153</v>
      </c>
      <c r="DT395" s="22">
        <f>'Balance Sheet'!DT118+'Balance Sheet'!DT119</f>
        <v>0.66611624834874505</v>
      </c>
      <c r="DU395" s="22">
        <f>'Balance Sheet'!DU118+'Balance Sheet'!DU119</f>
        <v>0.61908966845950064</v>
      </c>
      <c r="DV395" s="22">
        <f>'Balance Sheet'!DV118+'Balance Sheet'!DV119</f>
        <v>0.70246281784743325</v>
      </c>
      <c r="DW395" s="234">
        <f>'Balance Sheet'!DW118+'Balance Sheet'!DW119</f>
        <v>0.70246281784743325</v>
      </c>
      <c r="DX395" s="104"/>
      <c r="DY395" s="22">
        <f>'Balance Sheet'!DY118+'Balance Sheet'!DY119</f>
        <v>0.63535955502582442</v>
      </c>
      <c r="DZ395" s="22">
        <f>'Balance Sheet'!DZ118+'Balance Sheet'!DZ119</f>
        <v>0.65510220064218028</v>
      </c>
      <c r="EA395" s="22">
        <f>'Balance Sheet'!EA118+'Balance Sheet'!EA119</f>
        <v>0.6745920745920746</v>
      </c>
      <c r="EB395" s="22">
        <f>'Balance Sheet'!EB118+'Balance Sheet'!EB119</f>
        <v>0.69345808727663161</v>
      </c>
      <c r="EC395" s="234">
        <f>'Balance Sheet'!EC118+'Balance Sheet'!EC119</f>
        <v>0.69345808727663161</v>
      </c>
      <c r="ED395" s="104"/>
      <c r="EE395" s="22">
        <f>'Balance Sheet'!EE118+'Balance Sheet'!EE119</f>
        <v>0.6337495270525918</v>
      </c>
      <c r="EF395" s="22">
        <f>'Balance Sheet'!EF118+'Balance Sheet'!EF119</f>
        <v>0.67896595776658897</v>
      </c>
      <c r="EG395" s="22">
        <f>'Balance Sheet'!EG118+'Balance Sheet'!EG119</f>
        <v>0.70288065843621395</v>
      </c>
      <c r="EH395" s="22">
        <f>'Balance Sheet'!EH118+'Balance Sheet'!EH119</f>
        <v>0.74278254382693021</v>
      </c>
      <c r="EI395" s="234">
        <f>'Balance Sheet'!EI118+'Balance Sheet'!EI119</f>
        <v>0.74278254382693021</v>
      </c>
      <c r="EJ395" s="104"/>
      <c r="EK395" s="22">
        <f>'Balance Sheet'!EK118+'Balance Sheet'!EK119</f>
        <v>0.68705357142857137</v>
      </c>
      <c r="EL395" s="22">
        <f>'Balance Sheet'!EL118+'Balance Sheet'!EL119</f>
        <v>0.67939156759949793</v>
      </c>
      <c r="EM395" s="22">
        <f>'Balance Sheet'!EM118+'Balance Sheet'!EM119</f>
        <v>0.7020342455729548</v>
      </c>
      <c r="EN395" s="22">
        <f>'Balance Sheet'!EN118+'Balance Sheet'!EN119</f>
        <v>0.75010808473843493</v>
      </c>
      <c r="EO395" s="234">
        <f>'Balance Sheet'!EO118+'Balance Sheet'!EO119</f>
        <v>0.75010808473843493</v>
      </c>
      <c r="EP395" s="104"/>
      <c r="EQ395" s="22">
        <f>'Balance Sheet'!EQ118+'Balance Sheet'!EQ119</f>
        <v>0.69808261666431692</v>
      </c>
      <c r="ER395" s="22">
        <f>'Balance Sheet'!ER118+'Balance Sheet'!ER119</f>
        <v>0.7667884237145266</v>
      </c>
      <c r="ES395" s="22">
        <f>'Balance Sheet'!ES118+'Balance Sheet'!ES119</f>
        <v>0.76800167457437896</v>
      </c>
      <c r="ET395" s="22">
        <f>'Balance Sheet'!ET118+'Balance Sheet'!ET119</f>
        <v>0.83765917472688056</v>
      </c>
      <c r="EU395" s="234">
        <f>'Balance Sheet'!EU118+'Balance Sheet'!EU119</f>
        <v>0.83765917472688056</v>
      </c>
      <c r="EV395" s="104"/>
      <c r="EW395" s="22">
        <f>'Balance Sheet'!EW118+'Balance Sheet'!EW119</f>
        <v>0.80045696877380046</v>
      </c>
      <c r="EX395" s="22">
        <f>'Balance Sheet'!EX118+'Balance Sheet'!EX119</f>
        <v>0.80690466306904662</v>
      </c>
      <c r="EY395" s="22">
        <f>'Balance Sheet'!EY118+'Balance Sheet'!EY119</f>
        <v>1.3172950989177639</v>
      </c>
      <c r="EZ395" s="22">
        <f>'Balance Sheet'!EZ118+'Balance Sheet'!EZ119</f>
        <v>1.3141082050628554</v>
      </c>
      <c r="FA395" s="234">
        <f>'Balance Sheet'!FA118+'Balance Sheet'!FA119</f>
        <v>1.3141082050628554</v>
      </c>
      <c r="FB395" s="104"/>
      <c r="FC395" s="22">
        <f>'Balance Sheet'!FC118+'Balance Sheet'!FC119</f>
        <v>1.252044842075609</v>
      </c>
      <c r="FD395" s="22">
        <f>'Balance Sheet'!FD118+'Balance Sheet'!FD119</f>
        <v>1.243001681700562</v>
      </c>
      <c r="FE395" s="22">
        <f>'Balance Sheet'!FE118+'Balance Sheet'!FE119</f>
        <v>1.2672950989177638</v>
      </c>
      <c r="FF395" s="22">
        <f>'Balance Sheet'!FF118+'Balance Sheet'!FF119</f>
        <v>1.2641082050628554</v>
      </c>
      <c r="FG395" s="234">
        <f>'Balance Sheet'!FG118+'Balance Sheet'!FG119</f>
        <v>1.2641082050628554</v>
      </c>
      <c r="FH395" s="104"/>
      <c r="FI395" s="22">
        <f>'Balance Sheet'!FI118+'Balance Sheet'!FI119</f>
        <v>1.2020448420756089</v>
      </c>
      <c r="FJ395" s="22">
        <f>'Balance Sheet'!FJ118+'Balance Sheet'!FJ119</f>
        <v>1.193001681700562</v>
      </c>
      <c r="FK395" s="22">
        <f>'Balance Sheet'!FK118+'Balance Sheet'!FK119</f>
        <v>1.2172950989177638</v>
      </c>
      <c r="FL395" s="22">
        <f>'Balance Sheet'!FL118+'Balance Sheet'!FL119</f>
        <v>1.2141082050628553</v>
      </c>
      <c r="FM395" s="234">
        <f>'Balance Sheet'!FM118+'Balance Sheet'!FM119</f>
        <v>1.2141082050628553</v>
      </c>
      <c r="FQ395"/>
      <c r="FR395"/>
      <c r="FS395"/>
      <c r="FT395"/>
      <c r="FU395"/>
      <c r="FV395"/>
      <c r="GB395" s="24"/>
      <c r="GC395" s="24"/>
      <c r="GD395" s="24"/>
      <c r="GE395" s="24"/>
      <c r="GF395" s="24"/>
      <c r="GG395" s="24"/>
      <c r="GH395" s="24"/>
      <c r="GI395" s="24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  <c r="HB395"/>
      <c r="HC395"/>
      <c r="HD395"/>
      <c r="HE395"/>
      <c r="HF395"/>
      <c r="HG395"/>
      <c r="HH395"/>
      <c r="HI395"/>
      <c r="HJ395"/>
      <c r="HK395"/>
      <c r="HL395"/>
      <c r="HM395"/>
      <c r="HN395"/>
      <c r="HO395"/>
      <c r="HP395"/>
      <c r="HQ395"/>
      <c r="HR395"/>
      <c r="HS395"/>
      <c r="HT395"/>
      <c r="HU395"/>
      <c r="HV395"/>
      <c r="HW395"/>
      <c r="HX395"/>
      <c r="HY395"/>
      <c r="HZ395"/>
      <c r="IA395"/>
      <c r="IB395"/>
      <c r="IC395"/>
      <c r="ID395"/>
      <c r="IE395"/>
      <c r="IF395"/>
      <c r="IG395"/>
      <c r="IH395"/>
      <c r="II395"/>
      <c r="IJ395"/>
      <c r="IK395"/>
      <c r="IL395"/>
      <c r="IM395"/>
      <c r="IN395"/>
      <c r="IO395"/>
      <c r="IP395"/>
      <c r="IQ395"/>
      <c r="IR395"/>
      <c r="IS395"/>
      <c r="IT395"/>
      <c r="IU395"/>
      <c r="IV395"/>
      <c r="IW395"/>
      <c r="IX395"/>
      <c r="IY395"/>
      <c r="IZ395"/>
      <c r="JA395"/>
      <c r="JB395"/>
      <c r="JC395"/>
      <c r="JD395"/>
      <c r="JE395"/>
      <c r="JF395"/>
      <c r="JG395"/>
      <c r="JH395"/>
      <c r="JI395"/>
      <c r="JJ395"/>
      <c r="JK395"/>
      <c r="JL395"/>
      <c r="JM395"/>
      <c r="JN395"/>
    </row>
    <row r="396" spans="1:274" s="28" customFormat="1" ht="5.25" customHeight="1" x14ac:dyDescent="0.2">
      <c r="A396" s="18"/>
      <c r="B396" s="595"/>
      <c r="CG396" s="416"/>
      <c r="CM396" s="416"/>
      <c r="CS396" s="416"/>
      <c r="CY396" s="416"/>
      <c r="DE396" s="416"/>
      <c r="DK396" s="416"/>
      <c r="DQ396" s="416"/>
      <c r="DW396" s="416"/>
      <c r="EC396" s="416"/>
      <c r="EI396" s="416"/>
      <c r="EO396" s="416"/>
      <c r="EU396" s="416"/>
      <c r="FA396" s="416"/>
      <c r="FG396" s="416"/>
      <c r="FM396" s="416"/>
      <c r="FQ396"/>
      <c r="FR396"/>
      <c r="FS396"/>
      <c r="FT396"/>
      <c r="FU396"/>
      <c r="FV396"/>
      <c r="GB396" s="24"/>
      <c r="GC396" s="24"/>
      <c r="GD396" s="24"/>
      <c r="GE396" s="24"/>
      <c r="GF396" s="24"/>
      <c r="GG396" s="24"/>
      <c r="GH396" s="24"/>
      <c r="GI396" s="24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  <c r="HB396"/>
      <c r="HC396"/>
      <c r="HD396"/>
      <c r="HE396"/>
      <c r="HF396"/>
      <c r="HG396"/>
      <c r="HH396"/>
      <c r="HI396"/>
      <c r="HJ396"/>
      <c r="HK396"/>
      <c r="HL396"/>
      <c r="HM396"/>
      <c r="HN396"/>
      <c r="HO396"/>
      <c r="HP396"/>
      <c r="HQ396"/>
      <c r="HR396"/>
      <c r="HS396"/>
      <c r="HT396"/>
      <c r="HU396"/>
      <c r="HV396"/>
      <c r="HW396"/>
      <c r="HX396"/>
      <c r="HY396"/>
      <c r="HZ396"/>
      <c r="IA396"/>
      <c r="IB396"/>
      <c r="IC396"/>
      <c r="ID396"/>
      <c r="IE396"/>
      <c r="IF396"/>
      <c r="IG396"/>
      <c r="IH396"/>
      <c r="II396"/>
      <c r="IJ396"/>
      <c r="IK396"/>
      <c r="IL396"/>
      <c r="IM396"/>
      <c r="IN396"/>
      <c r="IO396"/>
      <c r="IP396"/>
      <c r="IQ396"/>
      <c r="IR396"/>
      <c r="IS396"/>
      <c r="IT396"/>
      <c r="IU396"/>
      <c r="IV396"/>
      <c r="IW396"/>
      <c r="IX396"/>
      <c r="IY396"/>
      <c r="IZ396"/>
      <c r="JA396"/>
      <c r="JB396"/>
      <c r="JC396"/>
      <c r="JD396"/>
      <c r="JE396"/>
      <c r="JF396"/>
      <c r="JG396"/>
      <c r="JH396"/>
      <c r="JI396"/>
      <c r="JJ396"/>
      <c r="JK396"/>
      <c r="JL396"/>
      <c r="JM396"/>
      <c r="JN396"/>
    </row>
    <row r="397" spans="1:274" s="32" customFormat="1" x14ac:dyDescent="0.2">
      <c r="A397" s="19" t="s">
        <v>309</v>
      </c>
      <c r="B397" s="21"/>
      <c r="C397" s="259" t="s">
        <v>945</v>
      </c>
      <c r="D397" s="259" t="s">
        <v>945</v>
      </c>
      <c r="E397" s="94">
        <f>'Balance Sheet'!E27/'Balance Sheet'!D27-1</f>
        <v>1.5572441742654508</v>
      </c>
      <c r="F397" s="94">
        <f>'Balance Sheet'!F27/'Balance Sheet'!E27-1</f>
        <v>2.6687797147385104</v>
      </c>
      <c r="G397" s="94">
        <f>'Balance Sheet'!G27/'Balance Sheet'!F27-1</f>
        <v>1.103887688984881</v>
      </c>
      <c r="H397" s="94">
        <f>'Balance Sheet'!H27/'Balance Sheet'!G27-1</f>
        <v>1.0050816137973517</v>
      </c>
      <c r="I397" s="94">
        <f>'Balance Sheet'!I27/'Balance Sheet'!H27-1</f>
        <v>0.56577835803701704</v>
      </c>
      <c r="J397" s="94">
        <f>'Balance Sheet'!J27/'Balance Sheet'!I27-1</f>
        <v>-0.18922895821071217</v>
      </c>
      <c r="K397" s="94">
        <f>'Balance Sheet'!K27/'Balance Sheet'!J27-1</f>
        <v>0.61506352087114324</v>
      </c>
      <c r="L397" s="94">
        <f>'Balance Sheet'!L27/'Balance Sheet'!K27-1</f>
        <v>0.28727322670462363</v>
      </c>
      <c r="M397" s="94">
        <f>'Balance Sheet'!M27/'Balance Sheet'!L27-1</f>
        <v>0.32385377161757134</v>
      </c>
      <c r="N397" s="342"/>
      <c r="O397" s="259" t="s">
        <v>945</v>
      </c>
      <c r="P397" s="259" t="s">
        <v>945</v>
      </c>
      <c r="Q397" s="259" t="s">
        <v>945</v>
      </c>
      <c r="R397" s="259" t="s">
        <v>945</v>
      </c>
      <c r="S397" s="22">
        <f>'Balance Sheet'!S27/'Balance Sheet'!M27-1</f>
        <v>0.55063448801359827</v>
      </c>
      <c r="T397" s="342"/>
      <c r="U397" s="22">
        <f>'Balance Sheet'!U27/'Balance Sheet'!O27-1</f>
        <v>0.25071733790227713</v>
      </c>
      <c r="V397" s="22">
        <f>'Balance Sheet'!V27/'Balance Sheet'!P27-1</f>
        <v>0.27988036976617736</v>
      </c>
      <c r="W397" s="22">
        <f>'Balance Sheet'!W27/'Balance Sheet'!Q27-1</f>
        <v>0.37070651111255959</v>
      </c>
      <c r="X397" s="22">
        <f>'Balance Sheet'!X27/'Balance Sheet'!R27-1</f>
        <v>0.39408343295077097</v>
      </c>
      <c r="Y397" s="22">
        <f>'Balance Sheet'!Y27/'Balance Sheet'!S27-1</f>
        <v>0.39408343295077097</v>
      </c>
      <c r="Z397" s="342"/>
      <c r="AA397" s="22">
        <f>'Balance Sheet'!AA27/'Balance Sheet'!U27-1</f>
        <v>0.51630259867796702</v>
      </c>
      <c r="AB397" s="22">
        <f>'Balance Sheet'!AB27/'Balance Sheet'!V27-1</f>
        <v>0.40196286697540051</v>
      </c>
      <c r="AC397" s="22">
        <f>'Balance Sheet'!AC27/'Balance Sheet'!W27-1</f>
        <v>0.34077481782627816</v>
      </c>
      <c r="AD397" s="22">
        <f>'Balance Sheet'!AD27/'Balance Sheet'!X27-1</f>
        <v>0.33589449852227449</v>
      </c>
      <c r="AE397" s="22">
        <f>'Balance Sheet'!AE27/'Balance Sheet'!Y27-1</f>
        <v>0.33589449852227449</v>
      </c>
      <c r="AF397" s="19"/>
      <c r="AG397" s="22">
        <f>'Balance Sheet'!AG27/'Balance Sheet'!AA27-1</f>
        <v>0.21598881033628836</v>
      </c>
      <c r="AH397" s="22">
        <f>'Balance Sheet'!AH27/'Balance Sheet'!AB27-1</f>
        <v>0.22469760072039002</v>
      </c>
      <c r="AI397" s="22">
        <f>'Balance Sheet'!AI27/'Balance Sheet'!AC27-1</f>
        <v>0.32294529656884463</v>
      </c>
      <c r="AJ397" s="22">
        <f>'Balance Sheet'!AJ27/'Balance Sheet'!AD27-1</f>
        <v>0.37461594862908543</v>
      </c>
      <c r="AK397" s="22">
        <f>'Balance Sheet'!AK27/'Balance Sheet'!AE27-1</f>
        <v>0.37461594862908543</v>
      </c>
      <c r="AL397" s="19"/>
      <c r="AM397" s="22">
        <f>'Balance Sheet'!AM27/'Balance Sheet'!AG27-1</f>
        <v>0.48847722074771616</v>
      </c>
      <c r="AN397" s="22">
        <f>'Balance Sheet'!AN27/'Balance Sheet'!AH27-1</f>
        <v>0.54108693193065815</v>
      </c>
      <c r="AO397" s="22">
        <f>'Balance Sheet'!AO27/'Balance Sheet'!AI27-1</f>
        <v>0.48183493616593509</v>
      </c>
      <c r="AP397" s="22">
        <f>'Balance Sheet'!AP27/'Balance Sheet'!AJ27-1</f>
        <v>0.2800174969408038</v>
      </c>
      <c r="AQ397" s="22">
        <f>'Balance Sheet'!AQ27/'Balance Sheet'!AK27-1</f>
        <v>0.2800174969408038</v>
      </c>
      <c r="AR397" s="19"/>
      <c r="AS397" s="22">
        <f>'Balance Sheet'!AS27/'Balance Sheet'!AM27-1</f>
        <v>0.16126122333611992</v>
      </c>
      <c r="AT397" s="22">
        <f>'Balance Sheet'!AT27/'Balance Sheet'!AN27-1</f>
        <v>0.17558004839949071</v>
      </c>
      <c r="AU397" s="22">
        <f>'Balance Sheet'!AU27/'Balance Sheet'!AO27-1</f>
        <v>0.13309996743731678</v>
      </c>
      <c r="AV397" s="22">
        <f>'Balance Sheet'!AV27/'Balance Sheet'!AP27-1</f>
        <v>4.6624130348581483E-2</v>
      </c>
      <c r="AW397" s="22">
        <f>'Balance Sheet'!AW27/'Balance Sheet'!AQ27-1</f>
        <v>4.6624130348581483E-2</v>
      </c>
      <c r="AX397" s="19"/>
      <c r="AY397" s="22">
        <f>'Balance Sheet'!AY27/'Balance Sheet'!AS27-1</f>
        <v>4.0127292877191856E-2</v>
      </c>
      <c r="AZ397" s="22">
        <f>'Balance Sheet'!AZ27/'Balance Sheet'!AT27-1</f>
        <v>1.1996097560975638E-2</v>
      </c>
      <c r="BA397" s="22">
        <f>'Balance Sheet'!BA27/'Balance Sheet'!AU27-1</f>
        <v>6.8361791635733749E-2</v>
      </c>
      <c r="BB397" s="22">
        <f>'Balance Sheet'!BB27/'Balance Sheet'!AV27-1</f>
        <v>1.2591959882070958E-2</v>
      </c>
      <c r="BC397" s="22">
        <f>'Balance Sheet'!BC27/'Balance Sheet'!AW27-1</f>
        <v>1.2591959882070958E-2</v>
      </c>
      <c r="BD397" s="19"/>
      <c r="BE397" s="22">
        <f>'Balance Sheet'!BE27/'Balance Sheet'!AY27-1</f>
        <v>0.23223207773100363</v>
      </c>
      <c r="BF397" s="22">
        <f>'Balance Sheet'!BF27/'Balance Sheet'!AZ27-1</f>
        <v>-4.3588329657108571E-2</v>
      </c>
      <c r="BG397" s="22">
        <f>'Balance Sheet'!BG27/'Balance Sheet'!BA27-1</f>
        <v>-0.23374161045617825</v>
      </c>
      <c r="BH397" s="22">
        <f>'Balance Sheet'!BH27/'Balance Sheet'!BB27-1</f>
        <v>-0.37687074829931977</v>
      </c>
      <c r="BI397" s="22">
        <f>'Balance Sheet'!BI27/'Balance Sheet'!BC27-1</f>
        <v>-0.37687074829931977</v>
      </c>
      <c r="BJ397" s="19"/>
      <c r="BK397" s="22">
        <f>'Balance Sheet'!BK27/'Balance Sheet'!BE27-1</f>
        <v>-0.30098044563506732</v>
      </c>
      <c r="BL397" s="22">
        <f>'Balance Sheet'!BL27/'Balance Sheet'!BF27-1</f>
        <v>-0.24199814128267627</v>
      </c>
      <c r="BM397" s="22">
        <f>'Balance Sheet'!BM27/'Balance Sheet'!BG27-1</f>
        <v>-8.8267415555035589E-2</v>
      </c>
      <c r="BN397" s="22">
        <f>'Balance Sheet'!BN27/'Balance Sheet'!BH27-1</f>
        <v>-8.733624454148492E-3</v>
      </c>
      <c r="BO397" s="22">
        <f>'Balance Sheet'!BO27/'Balance Sheet'!BI27-1</f>
        <v>-8.733624454148492E-3</v>
      </c>
      <c r="BP397" s="19"/>
      <c r="BQ397" s="22">
        <f>'Balance Sheet'!BQ27/'Balance Sheet'!BK27-1</f>
        <v>8.6705202312138407E-3</v>
      </c>
      <c r="BR397" s="22">
        <f>'Balance Sheet'!BR27/'Balance Sheet'!BL27-1</f>
        <v>0.23670212765957444</v>
      </c>
      <c r="BS397" s="22">
        <f>'Balance Sheet'!BS27/'Balance Sheet'!BM27-1</f>
        <v>0.18983957219251346</v>
      </c>
      <c r="BT397" s="22">
        <f>'Balance Sheet'!BT27/'Balance Sheet'!BN27-1</f>
        <v>0.22466960352422904</v>
      </c>
      <c r="BU397" s="22">
        <f>'Balance Sheet'!BU27/'Balance Sheet'!BO27-1</f>
        <v>0.22466960352422904</v>
      </c>
      <c r="BV397" s="19"/>
      <c r="BW397" s="22">
        <f>'Balance Sheet'!BW27/'Balance Sheet'!BQ27-1</f>
        <v>0.15472779369627498</v>
      </c>
      <c r="BX397" s="22">
        <f>'Balance Sheet'!BX27/'Balance Sheet'!BR27-1</f>
        <v>8.602150537634401E-2</v>
      </c>
      <c r="BY397" s="22">
        <f>'Balance Sheet'!BY27/'Balance Sheet'!BS27-1</f>
        <v>0.14831460674157304</v>
      </c>
      <c r="BZ397" s="22">
        <f>'Balance Sheet'!BZ27/'Balance Sheet'!BT27-1</f>
        <v>0.66007194244604306</v>
      </c>
      <c r="CA397" s="22">
        <f>'Balance Sheet'!CA27/'Balance Sheet'!BU27-1</f>
        <v>0.66007194244604306</v>
      </c>
      <c r="CB397" s="19"/>
      <c r="CC397" s="22">
        <f>'Balance Sheet'!CC27/'Balance Sheet'!BW27-1</f>
        <v>0.56327543424317628</v>
      </c>
      <c r="CD397" s="22">
        <f>'Balance Sheet'!CD27/'Balance Sheet'!BX27-1</f>
        <v>0.38415841584158406</v>
      </c>
      <c r="CE397" s="22">
        <f>'Balance Sheet'!CE27/'Balance Sheet'!BY27-1</f>
        <v>0.67906066536203524</v>
      </c>
      <c r="CF397" s="22">
        <f>'Balance Sheet'!CF27/'Balance Sheet'!BZ27-1</f>
        <v>0.26977248104008678</v>
      </c>
      <c r="CG397" s="234">
        <f>'Balance Sheet'!CG27/'Balance Sheet'!CA27-1</f>
        <v>0.26977248104008678</v>
      </c>
      <c r="CH397" s="19"/>
      <c r="CI397" s="22">
        <f>'Balance Sheet'!CI27/'Balance Sheet'!CC27-1</f>
        <v>0.33333333333333326</v>
      </c>
      <c r="CJ397" s="22">
        <f>'Balance Sheet'!CJ27/'Balance Sheet'!CD27-1</f>
        <v>0.3004291845493563</v>
      </c>
      <c r="CK397" s="22">
        <f>'Balance Sheet'!CK27/'Balance Sheet'!CE27-1</f>
        <v>0.17832167832167833</v>
      </c>
      <c r="CL397" s="22">
        <f>'Balance Sheet'!CL27/'Balance Sheet'!CF27-1</f>
        <v>0.15102389078498302</v>
      </c>
      <c r="CM397" s="234">
        <f>'Balance Sheet'!CM27/'Balance Sheet'!CG27-1</f>
        <v>0.15102389078498302</v>
      </c>
      <c r="CN397" s="19"/>
      <c r="CO397" s="22">
        <f>'Balance Sheet'!CO27/'Balance Sheet'!CI27-1</f>
        <v>0.29761904761904767</v>
      </c>
      <c r="CP397" s="22">
        <f>'Balance Sheet'!CP27/'Balance Sheet'!CJ27-1</f>
        <v>0.31023102310231021</v>
      </c>
      <c r="CQ397" s="22">
        <f>'Balance Sheet'!CQ27/'Balance Sheet'!CK27-1</f>
        <v>0.27794263105835815</v>
      </c>
      <c r="CR397" s="22">
        <f>'Balance Sheet'!CR27/'Balance Sheet'!CL27-1</f>
        <v>0.31208302446256497</v>
      </c>
      <c r="CS397" s="234">
        <f>'Balance Sheet'!CS27/'Balance Sheet'!CM27-1</f>
        <v>0.31208302446256497</v>
      </c>
      <c r="CT397" s="104"/>
      <c r="CU397" s="22">
        <f>'Balance Sheet'!CU27/'Balance Sheet'!CO27-1</f>
        <v>4.4036697247706424E-2</v>
      </c>
      <c r="CV397" s="22">
        <f>'Balance Sheet'!CV27/'Balance Sheet'!CP27-1</f>
        <v>-0.10831234256926947</v>
      </c>
      <c r="CW397" s="22">
        <f>'Balance Sheet'!CW27/'Balance Sheet'!CQ27-1</f>
        <v>-0.16950464396284826</v>
      </c>
      <c r="CX397" s="22">
        <f>'Balance Sheet'!CX27/'Balance Sheet'!CR27-1</f>
        <v>-0.20395480225988705</v>
      </c>
      <c r="CY397" s="234">
        <f>'Balance Sheet'!CY27/'Balance Sheet'!CS27-1</f>
        <v>-0.20395480225988705</v>
      </c>
      <c r="CZ397" s="104"/>
      <c r="DA397" s="22">
        <f>'Balance Sheet'!DA27/'Balance Sheet'!CU27-1</f>
        <v>-9.2267135325131755E-2</v>
      </c>
      <c r="DB397" s="22">
        <f>'Balance Sheet'!DB27/'Balance Sheet'!CV27-1</f>
        <v>6.3088512241054717E-2</v>
      </c>
      <c r="DC397" s="22">
        <f>'Balance Sheet'!DC27/'Balance Sheet'!CW27-1</f>
        <v>0.35321528424976711</v>
      </c>
      <c r="DD397" s="22">
        <f>'Balance Sheet'!DD27/'Balance Sheet'!CX27-1</f>
        <v>0.34492547906316529</v>
      </c>
      <c r="DE397" s="234">
        <f>'Balance Sheet'!DE27/'Balance Sheet'!CY27-1</f>
        <v>0.34492547906316529</v>
      </c>
      <c r="DF397" s="104"/>
      <c r="DG397" s="22">
        <f>'Balance Sheet'!DG27/'Balance Sheet'!DA27-1</f>
        <v>0.3920619554695064</v>
      </c>
      <c r="DH397" s="22">
        <f>'Balance Sheet'!DH27/'Balance Sheet'!DB27-1</f>
        <v>0.45438441098317095</v>
      </c>
      <c r="DI397" s="22">
        <f>'Balance Sheet'!DI27/'Balance Sheet'!DC27-1</f>
        <v>0.28925619834710736</v>
      </c>
      <c r="DJ397" s="22">
        <f>'Balance Sheet'!DJ27/'Balance Sheet'!DD27-1</f>
        <v>0.22427440633245377</v>
      </c>
      <c r="DK397" s="234">
        <f>'Balance Sheet'!DK27/'Balance Sheet'!DE27-1</f>
        <v>0.22427440633245377</v>
      </c>
      <c r="DL397" s="104"/>
      <c r="DM397" s="22">
        <f>'Balance Sheet'!DM27/'Balance Sheet'!DG27-1</f>
        <v>7.9972183588317147E-2</v>
      </c>
      <c r="DN397" s="22">
        <f>'Balance Sheet'!DN27/'Balance Sheet'!DH27-1</f>
        <v>-3.654080389768577E-2</v>
      </c>
      <c r="DO397" s="22">
        <f>'Balance Sheet'!DO27/'Balance Sheet'!DI27-1</f>
        <v>-0.11057692307692313</v>
      </c>
      <c r="DP397" s="22">
        <f>'Balance Sheet'!DP27/'Balance Sheet'!DJ27-1</f>
        <v>-0.13706896551724135</v>
      </c>
      <c r="DQ397" s="234">
        <f>'Balance Sheet'!DQ27/'Balance Sheet'!DK27-1</f>
        <v>-0.13706896551724135</v>
      </c>
      <c r="DR397" s="104"/>
      <c r="DS397" s="22">
        <f>'Balance Sheet'!DS27/'Balance Sheet'!DM27-1</f>
        <v>-5.2157115260785591E-2</v>
      </c>
      <c r="DT397" s="22">
        <f>'Balance Sheet'!DT27/'Balance Sheet'!DN27-1</f>
        <v>-2.2756005056890016E-2</v>
      </c>
      <c r="DU397" s="22">
        <f>'Balance Sheet'!DU27/'Balance Sheet'!DO27-1</f>
        <v>-6.4864864864864868E-2</v>
      </c>
      <c r="DV397" s="22">
        <f>'Balance Sheet'!DV27/'Balance Sheet'!DP27-1</f>
        <v>-7.542457542457548E-2</v>
      </c>
      <c r="DW397" s="234">
        <f>'Balance Sheet'!DW27/'Balance Sheet'!DQ27-1</f>
        <v>-7.542457542457548E-2</v>
      </c>
      <c r="DX397" s="104"/>
      <c r="DY397" s="22">
        <f>'Balance Sheet'!DY27/'Balance Sheet'!DS27-1</f>
        <v>-3.1929347826086918E-2</v>
      </c>
      <c r="DZ397" s="22">
        <f>'Balance Sheet'!DZ27/'Balance Sheet'!DT27-1</f>
        <v>1.2936610608020649E-2</v>
      </c>
      <c r="EA397" s="22">
        <f>'Balance Sheet'!EA27/'Balance Sheet'!DU27-1</f>
        <v>1.6698779704560129E-2</v>
      </c>
      <c r="EB397" s="22">
        <f>'Balance Sheet'!EB27/'Balance Sheet'!DV27-1</f>
        <v>4.8082117774176147E-2</v>
      </c>
      <c r="EC397" s="234">
        <f>'Balance Sheet'!EC27/'Balance Sheet'!DW27-1</f>
        <v>4.8082117774176147E-2</v>
      </c>
      <c r="ED397" s="104"/>
      <c r="EE397" s="22">
        <f>'Balance Sheet'!EE27/'Balance Sheet'!DY27-1</f>
        <v>4.631578947368431E-2</v>
      </c>
      <c r="EF397" s="22">
        <f>'Balance Sheet'!EF27/'Balance Sheet'!DZ27-1</f>
        <v>-1.2771392081736943E-2</v>
      </c>
      <c r="EG397" s="22">
        <f>'Balance Sheet'!EG27/'Balance Sheet'!EA27-1</f>
        <v>-1.2002526847757378E-2</v>
      </c>
      <c r="EH397" s="22">
        <f>'Balance Sheet'!EH27/'Balance Sheet'!EB27-1</f>
        <v>-5.206185567010313E-2</v>
      </c>
      <c r="EI397" s="234">
        <f>'Balance Sheet'!EI27/'Balance Sheet'!EC27-1</f>
        <v>-5.206185567010313E-2</v>
      </c>
      <c r="EJ397" s="104"/>
      <c r="EK397" s="22">
        <f>'Balance Sheet'!EK27/'Balance Sheet'!EE27-1</f>
        <v>-7.1763916834339359E-2</v>
      </c>
      <c r="EL397" s="22">
        <f>'Balance Sheet'!EL27/'Balance Sheet'!EF27-1</f>
        <v>3.2988357050452777E-2</v>
      </c>
      <c r="EM397" s="22">
        <f>'Balance Sheet'!EM27/'Balance Sheet'!EG27-1</f>
        <v>-1.7902813299232712E-2</v>
      </c>
      <c r="EN397" s="22">
        <f>'Balance Sheet'!EN27/'Balance Sheet'!EH27-1</f>
        <v>6.9059271343121287E-2</v>
      </c>
      <c r="EO397" s="234">
        <f>'Balance Sheet'!EO27/'Balance Sheet'!EI27-1</f>
        <v>6.9059271343121287E-2</v>
      </c>
      <c r="EP397" s="104"/>
      <c r="EQ397" s="22">
        <f>'Balance Sheet'!EQ27/'Balance Sheet'!EK27-1</f>
        <v>2.5289017341040498E-2</v>
      </c>
      <c r="ER397" s="22">
        <f>'Balance Sheet'!ER27/'Balance Sheet'!EL27-1</f>
        <v>-6.9505322479649356E-2</v>
      </c>
      <c r="ES397" s="22">
        <f>'Balance Sheet'!ES27/'Balance Sheet'!EM27-1</f>
        <v>-1.302083333333337E-2</v>
      </c>
      <c r="ET397" s="22">
        <f>'Balance Sheet'!ET27/'Balance Sheet'!EN27-1</f>
        <v>0</v>
      </c>
      <c r="EU397" s="234">
        <f>'Balance Sheet'!EU27/'Balance Sheet'!EO27-1</f>
        <v>0</v>
      </c>
      <c r="EV397" s="104"/>
      <c r="EW397" s="22">
        <f>'Balance Sheet'!EW27/'Balance Sheet'!EQ27-1</f>
        <v>6.9062720225510965E-2</v>
      </c>
      <c r="EX397" s="22">
        <f>'Balance Sheet'!EX27/'Balance Sheet'!ER27-1</f>
        <v>9.421265141319024E-3</v>
      </c>
      <c r="EY397" s="22">
        <f>'Balance Sheet'!EY27/'Balance Sheet'!ES27-1</f>
        <v>-1.187335092348285E-2</v>
      </c>
      <c r="EZ397" s="22">
        <f>'Balance Sheet'!EZ27/'Balance Sheet'!ET27-1</f>
        <v>8.002643152142408E-2</v>
      </c>
      <c r="FA397" s="234">
        <f>'Balance Sheet'!FA27/'Balance Sheet'!EU27-1</f>
        <v>8.002643152142408E-2</v>
      </c>
      <c r="FB397" s="104"/>
      <c r="FC397" s="22">
        <f>'Balance Sheet'!FC27/'Balance Sheet'!EW27-1</f>
        <v>-8.8016801459645522E-2</v>
      </c>
      <c r="FD397" s="22">
        <f>'Balance Sheet'!FD27/'Balance Sheet'!EX27-1</f>
        <v>-8.2904469331469666E-2</v>
      </c>
      <c r="FE397" s="22">
        <f>'Balance Sheet'!FE27/'Balance Sheet'!EY27-1</f>
        <v>-7.9389344316145194E-2</v>
      </c>
      <c r="FF397" s="22">
        <f>'Balance Sheet'!FF27/'Balance Sheet'!EZ27-1</f>
        <v>-4.135598489599146E-2</v>
      </c>
      <c r="FG397" s="234">
        <f>'Balance Sheet'!FG27/'Balance Sheet'!FA27-1</f>
        <v>-4.135598489599146E-2</v>
      </c>
      <c r="FH397" s="104"/>
      <c r="FI397" s="22">
        <f>'Balance Sheet'!FI27/'Balance Sheet'!FC27-1</f>
        <v>-8.0036422102502391E-2</v>
      </c>
      <c r="FJ397" s="22">
        <f>'Balance Sheet'!FJ27/'Balance Sheet'!FD27-1</f>
        <v>-8.1450046600839321E-2</v>
      </c>
      <c r="FK397" s="22">
        <f>'Balance Sheet'!FK27/'Balance Sheet'!FE27-1</f>
        <v>-8.086454991934533E-2</v>
      </c>
      <c r="FL397" s="22">
        <f>'Balance Sheet'!FL27/'Balance Sheet'!FF27-1</f>
        <v>-4.1649153205391309E-2</v>
      </c>
      <c r="FM397" s="234">
        <f>'Balance Sheet'!FM27/'Balance Sheet'!FG27-1</f>
        <v>-4.1649153205391309E-2</v>
      </c>
      <c r="FQ397"/>
      <c r="FR397"/>
      <c r="FS397"/>
      <c r="FT397"/>
      <c r="FU397"/>
      <c r="FV397"/>
      <c r="GB397" s="24"/>
      <c r="GC397" s="24"/>
      <c r="GD397" s="24"/>
      <c r="GE397" s="24"/>
      <c r="GF397" s="24"/>
      <c r="GG397" s="24"/>
      <c r="GH397" s="24"/>
      <c r="GI397" s="24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  <c r="HB397"/>
      <c r="HC397"/>
      <c r="HD397"/>
      <c r="HE397"/>
      <c r="HF397"/>
      <c r="HG397"/>
      <c r="HH397"/>
      <c r="HI397"/>
      <c r="HJ397"/>
      <c r="HK397"/>
      <c r="HL397"/>
      <c r="HM397"/>
      <c r="HN397"/>
      <c r="HO397"/>
      <c r="HP397"/>
      <c r="HQ397"/>
      <c r="HR397"/>
      <c r="HS397"/>
      <c r="HT397"/>
      <c r="HU397"/>
      <c r="HV397"/>
      <c r="HW397"/>
      <c r="HX397"/>
      <c r="HY397"/>
      <c r="HZ397"/>
      <c r="IA397"/>
      <c r="IB397"/>
      <c r="IC397"/>
      <c r="ID397"/>
      <c r="IE397"/>
      <c r="IF397"/>
      <c r="IG397"/>
      <c r="IH397"/>
      <c r="II397"/>
      <c r="IJ397"/>
      <c r="IK397"/>
      <c r="IL397"/>
      <c r="IM397"/>
      <c r="IN397"/>
      <c r="IO397"/>
      <c r="IP397"/>
      <c r="IQ397"/>
      <c r="IR397"/>
      <c r="IS397"/>
      <c r="IT397"/>
      <c r="IU397"/>
      <c r="IV397"/>
      <c r="IW397"/>
      <c r="IX397"/>
      <c r="IY397"/>
      <c r="IZ397"/>
      <c r="JA397"/>
      <c r="JB397"/>
      <c r="JC397"/>
      <c r="JD397"/>
      <c r="JE397"/>
      <c r="JF397"/>
      <c r="JG397"/>
      <c r="JH397"/>
      <c r="JI397"/>
      <c r="JJ397"/>
      <c r="JK397"/>
      <c r="JL397"/>
      <c r="JM397"/>
      <c r="JN397"/>
    </row>
    <row r="398" spans="1:274" s="32" customFormat="1" x14ac:dyDescent="0.2">
      <c r="A398" s="19" t="s">
        <v>752</v>
      </c>
      <c r="B398" s="21"/>
      <c r="C398" s="259" t="s">
        <v>945</v>
      </c>
      <c r="D398" s="259" t="s">
        <v>945</v>
      </c>
      <c r="E398" s="94">
        <f>'Balance Sheet'!E29/'Balance Sheet'!D29-1</f>
        <v>2.3366778149386844</v>
      </c>
      <c r="F398" s="94">
        <f>'Balance Sheet'!F29/'Balance Sheet'!E29-1</f>
        <v>0.28533244236551969</v>
      </c>
      <c r="G398" s="94">
        <f>'Balance Sheet'!G29/'Balance Sheet'!F29-1</f>
        <v>1.4816740317130233</v>
      </c>
      <c r="H398" s="94">
        <f>'Balance Sheet'!H29/'Balance Sheet'!G29-1</f>
        <v>0.61338640410600176</v>
      </c>
      <c r="I398" s="94">
        <f>'Balance Sheet'!I29/'Balance Sheet'!H29-1</f>
        <v>1.7345971563981042</v>
      </c>
      <c r="J398" s="94">
        <f>'Balance Sheet'!J29/'Balance Sheet'!I29-1</f>
        <v>1.4792383846537356</v>
      </c>
      <c r="K398" s="94">
        <f>'Balance Sheet'!K29/'Balance Sheet'!J29-1</f>
        <v>0.14396522005592383</v>
      </c>
      <c r="L398" s="94">
        <f>'Balance Sheet'!L29/'Balance Sheet'!K29-1</f>
        <v>0.61734275334415978</v>
      </c>
      <c r="M398" s="94">
        <f>'Balance Sheet'!M29/'Balance Sheet'!L29-1</f>
        <v>0.17549207860836069</v>
      </c>
      <c r="N398" s="342"/>
      <c r="O398" s="259" t="s">
        <v>945</v>
      </c>
      <c r="P398" s="259" t="s">
        <v>945</v>
      </c>
      <c r="Q398" s="259" t="s">
        <v>945</v>
      </c>
      <c r="R398" s="259" t="s">
        <v>945</v>
      </c>
      <c r="S398" s="22">
        <f>'Balance Sheet'!S29/'Balance Sheet'!M29-1</f>
        <v>0.39254924752771703</v>
      </c>
      <c r="T398" s="342"/>
      <c r="U398" s="22">
        <f>'Balance Sheet'!U29/'Balance Sheet'!O29-1</f>
        <v>0.34040597597954925</v>
      </c>
      <c r="V398" s="22">
        <f>'Balance Sheet'!V29/'Balance Sheet'!P29-1</f>
        <v>0.27212749622455257</v>
      </c>
      <c r="W398" s="22">
        <f>'Balance Sheet'!W29/'Balance Sheet'!Q29-1</f>
        <v>0.33599984740978117</v>
      </c>
      <c r="X398" s="22">
        <f>'Balance Sheet'!X29/'Balance Sheet'!R29-1</f>
        <v>0.37360761114606666</v>
      </c>
      <c r="Y398" s="22">
        <f>'Balance Sheet'!Y29/'Balance Sheet'!S29-1</f>
        <v>0.37360761114606666</v>
      </c>
      <c r="Z398" s="342"/>
      <c r="AA398" s="22">
        <f>'Balance Sheet'!AA29/'Balance Sheet'!U29-1</f>
        <v>0.45295084626946558</v>
      </c>
      <c r="AB398" s="22">
        <f>'Balance Sheet'!AB29/'Balance Sheet'!V29-1</f>
        <v>0.47113752122241093</v>
      </c>
      <c r="AC398" s="22">
        <f>'Balance Sheet'!AC29/'Balance Sheet'!W29-1</f>
        <v>0.35791604681642064</v>
      </c>
      <c r="AD398" s="22">
        <f>'Balance Sheet'!AD29/'Balance Sheet'!X29-1</f>
        <v>0.38769205980181143</v>
      </c>
      <c r="AE398" s="22">
        <f>'Balance Sheet'!AE29/'Balance Sheet'!Y29-1</f>
        <v>0.38769205980181143</v>
      </c>
      <c r="AF398" s="19"/>
      <c r="AG398" s="22">
        <f>'Balance Sheet'!AG29/'Balance Sheet'!AA29-1</f>
        <v>0.46243842624000808</v>
      </c>
      <c r="AH398" s="22">
        <f>'Balance Sheet'!AH29/'Balance Sheet'!AB29-1</f>
        <v>0.38792916907097497</v>
      </c>
      <c r="AI398" s="22">
        <f>'Balance Sheet'!AI29/'Balance Sheet'!AC29-1</f>
        <v>0.39584244524442358</v>
      </c>
      <c r="AJ398" s="22">
        <f>'Balance Sheet'!AJ29/'Balance Sheet'!AD29-1</f>
        <v>0.45487192757214756</v>
      </c>
      <c r="AK398" s="22">
        <f>'Balance Sheet'!AK29/'Balance Sheet'!AE29-1</f>
        <v>0.45487192757214756</v>
      </c>
      <c r="AL398" s="19"/>
      <c r="AM398" s="22">
        <f>'Balance Sheet'!AM29/'Balance Sheet'!AG29-1</f>
        <v>0.37781056095245358</v>
      </c>
      <c r="AN398" s="22">
        <f>'Balance Sheet'!AN29/'Balance Sheet'!AH29-1</f>
        <v>0.29957190557237356</v>
      </c>
      <c r="AO398" s="22">
        <f>'Balance Sheet'!AO29/'Balance Sheet'!AI29-1</f>
        <v>0.23210729446926726</v>
      </c>
      <c r="AP398" s="22">
        <f>'Balance Sheet'!AP29/'Balance Sheet'!AJ29-1</f>
        <v>0.14828859622819635</v>
      </c>
      <c r="AQ398" s="22">
        <f>'Balance Sheet'!AQ29/'Balance Sheet'!AK29-1</f>
        <v>0.14828859622819635</v>
      </c>
      <c r="AR398" s="19"/>
      <c r="AS398" s="22">
        <f>'Balance Sheet'!AS29/'Balance Sheet'!AM29-1</f>
        <v>0.13939584052197374</v>
      </c>
      <c r="AT398" s="22">
        <f>'Balance Sheet'!AT29/'Balance Sheet'!AN29-1</f>
        <v>0.15611698870552115</v>
      </c>
      <c r="AU398" s="22">
        <f>'Balance Sheet'!AU29/'Balance Sheet'!AO29-1</f>
        <v>0.24656098887999089</v>
      </c>
      <c r="AV398" s="22">
        <f>'Balance Sheet'!AV29/'Balance Sheet'!AP29-1</f>
        <v>0.12543625620439469</v>
      </c>
      <c r="AW398" s="22">
        <f>'Balance Sheet'!AW29/'Balance Sheet'!AQ29-1</f>
        <v>0.12543625620439469</v>
      </c>
      <c r="AX398" s="19"/>
      <c r="AY398" s="22">
        <f>'Balance Sheet'!AY29/'Balance Sheet'!AS29-1</f>
        <v>0.16509465129340262</v>
      </c>
      <c r="AZ398" s="22">
        <f>'Balance Sheet'!AZ29/'Balance Sheet'!AT29-1</f>
        <v>0.13907934033839164</v>
      </c>
      <c r="BA398" s="22">
        <f>'Balance Sheet'!BA29/'Balance Sheet'!AU29-1</f>
        <v>2.075020891446866E-2</v>
      </c>
      <c r="BB398" s="22">
        <f>'Balance Sheet'!BB29/'Balance Sheet'!AV29-1</f>
        <v>7.1035975869047752E-2</v>
      </c>
      <c r="BC398" s="22">
        <f>'Balance Sheet'!BC29/'Balance Sheet'!AW29-1</f>
        <v>7.1035975869047752E-2</v>
      </c>
      <c r="BD398" s="19"/>
      <c r="BE398" s="22">
        <f>'Balance Sheet'!BE29/'Balance Sheet'!AY29-1</f>
        <v>7.691883568252611E-2</v>
      </c>
      <c r="BF398" s="22">
        <f>'Balance Sheet'!BF29/'Balance Sheet'!AZ29-1</f>
        <v>2.9327895282731387E-2</v>
      </c>
      <c r="BG398" s="22">
        <f>'Balance Sheet'!BG29/'Balance Sheet'!BA29-1</f>
        <v>-2.5880358831261607E-2</v>
      </c>
      <c r="BH398" s="22">
        <f>'Balance Sheet'!BH29/'Balance Sheet'!BB29-1</f>
        <v>2.224052718286651E-2</v>
      </c>
      <c r="BI398" s="22">
        <f>'Balance Sheet'!BI29/'Balance Sheet'!BC29-1</f>
        <v>2.224052718286651E-2</v>
      </c>
      <c r="BJ398" s="19"/>
      <c r="BK398" s="22">
        <f>'Balance Sheet'!BK29/'Balance Sheet'!BE29-1</f>
        <v>0.10734033527398257</v>
      </c>
      <c r="BL398" s="22">
        <f>'Balance Sheet'!BL29/'Balance Sheet'!BF29-1</f>
        <v>0.15053262838625825</v>
      </c>
      <c r="BM398" s="22">
        <f>'Balance Sheet'!BM29/'Balance Sheet'!BG29-1</f>
        <v>0.20835133530220618</v>
      </c>
      <c r="BN398" s="22">
        <f>'Balance Sheet'!BN29/'Balance Sheet'!BH29-1</f>
        <v>0.13537469782433531</v>
      </c>
      <c r="BO398" s="22">
        <f>'Balance Sheet'!BO29/'Balance Sheet'!BI29-1</f>
        <v>0.13537469782433531</v>
      </c>
      <c r="BP398" s="19"/>
      <c r="BQ398" s="22">
        <f>'Balance Sheet'!BQ29/'Balance Sheet'!BK29-1</f>
        <v>5.8784676354028953E-2</v>
      </c>
      <c r="BR398" s="22">
        <f>'Balance Sheet'!BR29/'Balance Sheet'!BL29-1</f>
        <v>8.0929487179487225E-2</v>
      </c>
      <c r="BS398" s="22">
        <f>'Balance Sheet'!BS29/'Balance Sheet'!BM29-1</f>
        <v>0.10612244897959178</v>
      </c>
      <c r="BT398" s="22">
        <f>'Balance Sheet'!BT29/'Balance Sheet'!BN29-1</f>
        <v>6.2455642299503289E-2</v>
      </c>
      <c r="BU398" s="22">
        <f>'Balance Sheet'!BU29/'Balance Sheet'!BO29-1</f>
        <v>6.2455642299503289E-2</v>
      </c>
      <c r="BV398" s="19"/>
      <c r="BW398" s="22">
        <f>'Balance Sheet'!BW29/'Balance Sheet'!BQ29-1</f>
        <v>0.1116656269494698</v>
      </c>
      <c r="BX398" s="22">
        <f>'Balance Sheet'!BX29/'Balance Sheet'!BR29-1</f>
        <v>0.10971089696071168</v>
      </c>
      <c r="BY398" s="22">
        <f>'Balance Sheet'!BY29/'Balance Sheet'!BS29-1</f>
        <v>0.4280442804428044</v>
      </c>
      <c r="BZ398" s="22">
        <f>'Balance Sheet'!BZ29/'Balance Sheet'!BT29-1</f>
        <v>0.52905811623246501</v>
      </c>
      <c r="CA398" s="22">
        <f>'Balance Sheet'!CA29/'Balance Sheet'!BU29-1</f>
        <v>0.52905811623246501</v>
      </c>
      <c r="CB398" s="19"/>
      <c r="CC398" s="22">
        <f>'Balance Sheet'!CC29/'Balance Sheet'!BW29-1</f>
        <v>0.47586980920314259</v>
      </c>
      <c r="CD398" s="22">
        <f>'Balance Sheet'!CD29/'Balance Sheet'!BX29-1</f>
        <v>0.45824983299933209</v>
      </c>
      <c r="CE398" s="22">
        <f>'Balance Sheet'!CE29/'Balance Sheet'!BY29-1</f>
        <v>0.27493540051679588</v>
      </c>
      <c r="CF398" s="22">
        <f>'Balance Sheet'!CF29/'Balance Sheet'!BZ29-1</f>
        <v>0.23634775010921794</v>
      </c>
      <c r="CG398" s="234">
        <f>'Balance Sheet'!CG29/'Balance Sheet'!CA29-1</f>
        <v>0.23634775010921794</v>
      </c>
      <c r="CH398" s="19"/>
      <c r="CI398" s="22">
        <f>'Balance Sheet'!CI29/'Balance Sheet'!CC29-1</f>
        <v>0.2429657794676805</v>
      </c>
      <c r="CJ398" s="22">
        <f>'Balance Sheet'!CJ29/'Balance Sheet'!CD29-1</f>
        <v>0.26889601465872648</v>
      </c>
      <c r="CK398" s="22">
        <f>'Balance Sheet'!CK29/'Balance Sheet'!CE29-1</f>
        <v>0.19497365220916096</v>
      </c>
      <c r="CL398" s="22">
        <f>'Balance Sheet'!CL29/'Balance Sheet'!CF29-1</f>
        <v>0.233922261484099</v>
      </c>
      <c r="CM398" s="234">
        <f>'Balance Sheet'!CM29/'Balance Sheet'!CG29-1</f>
        <v>0.233922261484099</v>
      </c>
      <c r="CN398" s="19"/>
      <c r="CO398" s="22">
        <f>'Balance Sheet'!CO29/'Balance Sheet'!CI29-1</f>
        <v>0.2606301621290914</v>
      </c>
      <c r="CP398" s="22">
        <f>'Balance Sheet'!CP29/'Balance Sheet'!CJ29-1</f>
        <v>0.29133574007220209</v>
      </c>
      <c r="CQ398" s="22">
        <f>'Balance Sheet'!CQ29/'Balance Sheet'!CK29-1</f>
        <v>0.24932157394843957</v>
      </c>
      <c r="CR398" s="22">
        <f>'Balance Sheet'!CR29/'Balance Sheet'!CL29-1</f>
        <v>0.28636884306987409</v>
      </c>
      <c r="CS398" s="234">
        <f>'Balance Sheet'!CS29/'Balance Sheet'!CM29-1</f>
        <v>0.28636884306987409</v>
      </c>
      <c r="CT398" s="104"/>
      <c r="CU398" s="22">
        <f>'Balance Sheet'!CU29/'Balance Sheet'!CO29-1</f>
        <v>0.21742295559330249</v>
      </c>
      <c r="CV398" s="22">
        <f>'Balance Sheet'!CV29/'Balance Sheet'!CP29-1</f>
        <v>8.4987419625384364E-2</v>
      </c>
      <c r="CW398" s="22">
        <f>'Balance Sheet'!CW29/'Balance Sheet'!CQ29-1</f>
        <v>7.3038284007602483E-2</v>
      </c>
      <c r="CX398" s="22">
        <f>'Balance Sheet'!CX29/'Balance Sheet'!CR29-1</f>
        <v>2.2261798753339335E-2</v>
      </c>
      <c r="CY398" s="234">
        <f>'Balance Sheet'!CY29/'Balance Sheet'!CS29-1</f>
        <v>2.2261798753339335E-2</v>
      </c>
      <c r="CZ398" s="104"/>
      <c r="DA398" s="22">
        <f>'Balance Sheet'!DA29/'Balance Sheet'!CU29-1</f>
        <v>5.3019732908112349E-2</v>
      </c>
      <c r="DB398" s="22">
        <f>'Balance Sheet'!DB29/'Balance Sheet'!CV29-1</f>
        <v>0.13244009275959812</v>
      </c>
      <c r="DC398" s="22">
        <f>'Balance Sheet'!DC29/'Balance Sheet'!CW29-1</f>
        <v>0.36361336032388669</v>
      </c>
      <c r="DD398" s="22">
        <f>'Balance Sheet'!DD29/'Balance Sheet'!CX29-1</f>
        <v>0.28484320557491283</v>
      </c>
      <c r="DE398" s="234">
        <f>'Balance Sheet'!DE29/'Balance Sheet'!CY29-1</f>
        <v>0.28484320557491283</v>
      </c>
      <c r="DF398" s="104"/>
      <c r="DG398" s="22">
        <f>'Balance Sheet'!DG29/'Balance Sheet'!DA29-1</f>
        <v>0.30664395229982966</v>
      </c>
      <c r="DH398" s="22">
        <f>'Balance Sheet'!DH29/'Balance Sheet'!DB29-1</f>
        <v>0.3064846416382252</v>
      </c>
      <c r="DI398" s="22">
        <f>'Balance Sheet'!DI29/'Balance Sheet'!DC29-1</f>
        <v>8.5359064761551418E-2</v>
      </c>
      <c r="DJ398" s="22">
        <f>'Balance Sheet'!DJ29/'Balance Sheet'!DD29-1</f>
        <v>0.15288135593220331</v>
      </c>
      <c r="DK398" s="234">
        <f>'Balance Sheet'!DK29/'Balance Sheet'!DE29-1</f>
        <v>0.15288135593220331</v>
      </c>
      <c r="DL398" s="104"/>
      <c r="DM398" s="22">
        <f>'Balance Sheet'!DM29/'Balance Sheet'!DG29-1</f>
        <v>0.14805157178038542</v>
      </c>
      <c r="DN398" s="22">
        <f>'Balance Sheet'!DN29/'Balance Sheet'!DH29-1</f>
        <v>6.0780215952629835E-2</v>
      </c>
      <c r="DO398" s="22">
        <f>'Balance Sheet'!DO29/'Balance Sheet'!DI29-1</f>
        <v>7.4542656864421186E-2</v>
      </c>
      <c r="DP398" s="22">
        <f>'Balance Sheet'!DP29/'Balance Sheet'!DJ29-1</f>
        <v>3.4254630990885104E-2</v>
      </c>
      <c r="DQ398" s="234">
        <f>'Balance Sheet'!DQ29/'Balance Sheet'!DK29-1</f>
        <v>3.4254630990885104E-2</v>
      </c>
      <c r="DR398" s="104"/>
      <c r="DS398" s="22">
        <f>'Balance Sheet'!DS29/'Balance Sheet'!DM29-1</f>
        <v>4.9337539432176669E-2</v>
      </c>
      <c r="DT398" s="22">
        <f>'Balance Sheet'!DT29/'Balance Sheet'!DN29-1</f>
        <v>6.7804958134953131E-2</v>
      </c>
      <c r="DU398" s="22">
        <f>'Balance Sheet'!DU29/'Balance Sheet'!DO29-1</f>
        <v>-1.113762927605455E-3</v>
      </c>
      <c r="DV398" s="22">
        <f>'Balance Sheet'!DV29/'Balance Sheet'!DP29-1</f>
        <v>1.1798152096659464E-2</v>
      </c>
      <c r="DW398" s="234">
        <f>'Balance Sheet'!DW29/'Balance Sheet'!DQ29-1</f>
        <v>1.1798152096659464E-2</v>
      </c>
      <c r="DX398" s="104"/>
      <c r="DY398" s="22">
        <f>'Balance Sheet'!DY29/'Balance Sheet'!DS29-1</f>
        <v>2.501202501202493E-2</v>
      </c>
      <c r="DZ398" s="22">
        <f>'Balance Sheet'!DZ29/'Balance Sheet'!DT29-1</f>
        <v>2.5061500615006116E-2</v>
      </c>
      <c r="EA398" s="22">
        <f>'Balance Sheet'!EA29/'Balance Sheet'!DU29-1</f>
        <v>3.1060847403631797E-2</v>
      </c>
      <c r="EB398" s="22">
        <f>'Balance Sheet'!EB29/'Balance Sheet'!DV29-1</f>
        <v>2.1213824107895407E-2</v>
      </c>
      <c r="EC398" s="234">
        <f>'Balance Sheet'!EC29/'Balance Sheet'!DW29-1</f>
        <v>2.1213824107895407E-2</v>
      </c>
      <c r="ED398" s="104"/>
      <c r="EE398" s="22">
        <f>'Balance Sheet'!EE29/'Balance Sheet'!DY29-1</f>
        <v>4.8686062881276415E-2</v>
      </c>
      <c r="EF398" s="22">
        <f>'Balance Sheet'!EF29/'Balance Sheet'!DZ29-1</f>
        <v>2.2348882555872196E-2</v>
      </c>
      <c r="EG398" s="22">
        <f>'Balance Sheet'!EG29/'Balance Sheet'!EA29-1</f>
        <v>-4.6346361810597481E-3</v>
      </c>
      <c r="EH398" s="22">
        <f>'Balance Sheet'!EH29/'Balance Sheet'!EB29-1</f>
        <v>-3.3016921172100977E-3</v>
      </c>
      <c r="EI398" s="234">
        <f>'Balance Sheet'!EI29/'Balance Sheet'!EC29-1</f>
        <v>-3.3016921172100977E-3</v>
      </c>
      <c r="EJ398" s="104"/>
      <c r="EK398" s="22">
        <f>'Balance Sheet'!EK29/'Balance Sheet'!EE29-1</f>
        <v>1.554983778946184E-2</v>
      </c>
      <c r="EL398" s="22">
        <f>'Balance Sheet'!EL29/'Balance Sheet'!EF29-1</f>
        <v>2.6701877934272256E-2</v>
      </c>
      <c r="EM398" s="22">
        <f>'Balance Sheet'!EM29/'Balance Sheet'!EG29-1</f>
        <v>7.2792177557038595E-2</v>
      </c>
      <c r="EN398" s="22">
        <f>'Balance Sheet'!EN29/'Balance Sheet'!EH29-1</f>
        <v>5.659075224292609E-2</v>
      </c>
      <c r="EO398" s="234">
        <f>'Balance Sheet'!EO29/'Balance Sheet'!EI29-1</f>
        <v>5.659075224292609E-2</v>
      </c>
      <c r="EP398" s="104"/>
      <c r="EQ398" s="22">
        <f>'Balance Sheet'!EQ29/'Balance Sheet'!EK29-1</f>
        <v>4.2300066093853284E-2</v>
      </c>
      <c r="ER398" s="22">
        <f>'Balance Sheet'!ER29/'Balance Sheet'!EL29-1</f>
        <v>5.9016861960560218E-2</v>
      </c>
      <c r="ES398" s="22">
        <f>'Balance Sheet'!ES29/'Balance Sheet'!EM29-1</f>
        <v>6.88657407407407E-2</v>
      </c>
      <c r="ET398" s="22">
        <f>'Balance Sheet'!ET29/'Balance Sheet'!EN29-1</f>
        <v>7.5506205094709289E-2</v>
      </c>
      <c r="EU398" s="234">
        <f>'Balance Sheet'!EU29/'Balance Sheet'!EO29-1</f>
        <v>7.5506205094709289E-2</v>
      </c>
      <c r="EV398" s="104"/>
      <c r="EW398" s="22">
        <f>'Balance Sheet'!EW29/'Balance Sheet'!EQ29-1</f>
        <v>8.5288522511097087E-2</v>
      </c>
      <c r="EX398" s="22">
        <f>'Balance Sheet'!EX29/'Balance Sheet'!ER29-1</f>
        <v>8.9731480232087435E-2</v>
      </c>
      <c r="EY398" s="22">
        <f>'Balance Sheet'!EY29/'Balance Sheet'!ES29-1</f>
        <v>8.3243096913914405E-2</v>
      </c>
      <c r="EZ398" s="22">
        <f>'Balance Sheet'!EZ29/'Balance Sheet'!ET29-1</f>
        <v>9.5506205094709307E-2</v>
      </c>
      <c r="FA398" s="234">
        <f>'Balance Sheet'!FA29/'Balance Sheet'!EU29-1</f>
        <v>9.5506205094709307E-2</v>
      </c>
      <c r="FB398" s="104"/>
      <c r="FC398" s="22">
        <f>'Balance Sheet'!FC29/'Balance Sheet'!EW29-1</f>
        <v>0.1100000000000001</v>
      </c>
      <c r="FD398" s="22">
        <f>'Balance Sheet'!FD29/'Balance Sheet'!EX29-1</f>
        <v>0.1100000000000001</v>
      </c>
      <c r="FE398" s="22">
        <f>'Balance Sheet'!FE29/'Balance Sheet'!EY29-1</f>
        <v>8.3243096913914405E-2</v>
      </c>
      <c r="FF398" s="22">
        <f>'Balance Sheet'!FF29/'Balance Sheet'!EZ29-1</f>
        <v>0.11550620509470932</v>
      </c>
      <c r="FG398" s="234">
        <f>'Balance Sheet'!FG29/'Balance Sheet'!FA29-1</f>
        <v>0.11550620509470932</v>
      </c>
      <c r="FH398" s="104"/>
      <c r="FI398" s="22">
        <f>'Balance Sheet'!FI29/'Balance Sheet'!FC29-1</f>
        <v>0.1100000000000001</v>
      </c>
      <c r="FJ398" s="22">
        <f>'Balance Sheet'!FJ29/'Balance Sheet'!FD29-1</f>
        <v>0.1100000000000001</v>
      </c>
      <c r="FK398" s="22">
        <f>'Balance Sheet'!FK29/'Balance Sheet'!FE29-1</f>
        <v>8.3243096913914405E-2</v>
      </c>
      <c r="FL398" s="22">
        <f>'Balance Sheet'!FL29/'Balance Sheet'!FF29-1</f>
        <v>0.13550620509470934</v>
      </c>
      <c r="FM398" s="234">
        <f>'Balance Sheet'!FM29/'Balance Sheet'!FG29-1</f>
        <v>0.13550620509470934</v>
      </c>
      <c r="FQ398"/>
      <c r="FR398"/>
      <c r="FS398"/>
      <c r="FT398"/>
      <c r="FU398"/>
      <c r="FV398"/>
      <c r="GB398" s="24"/>
      <c r="GC398" s="24"/>
      <c r="GD398" s="24"/>
      <c r="GE398" s="24"/>
      <c r="GF398" s="24"/>
      <c r="GG398" s="24"/>
      <c r="GH398" s="24"/>
      <c r="GI398" s="24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  <c r="HB398"/>
      <c r="HC398"/>
      <c r="HD398"/>
      <c r="HE398"/>
      <c r="HF398"/>
      <c r="HG398"/>
      <c r="HH398"/>
      <c r="HI398"/>
      <c r="HJ398"/>
      <c r="HK398"/>
      <c r="HL398"/>
      <c r="HM398"/>
      <c r="HN398"/>
      <c r="HO398"/>
      <c r="HP398"/>
      <c r="HQ398"/>
      <c r="HR398"/>
      <c r="HS398"/>
      <c r="HT398"/>
      <c r="HU398"/>
      <c r="HV398"/>
      <c r="HW398"/>
      <c r="HX398"/>
      <c r="HY398"/>
      <c r="HZ398"/>
      <c r="IA398"/>
      <c r="IB398"/>
      <c r="IC398"/>
      <c r="ID398"/>
      <c r="IE398"/>
      <c r="IF398"/>
      <c r="IG398"/>
      <c r="IH398"/>
      <c r="II398"/>
      <c r="IJ398"/>
      <c r="IK398"/>
      <c r="IL398"/>
      <c r="IM398"/>
      <c r="IN398"/>
      <c r="IO398"/>
      <c r="IP398"/>
      <c r="IQ398"/>
      <c r="IR398"/>
      <c r="IS398"/>
      <c r="IT398"/>
      <c r="IU398"/>
      <c r="IV398"/>
      <c r="IW398"/>
      <c r="IX398"/>
      <c r="IY398"/>
      <c r="IZ398"/>
      <c r="JA398"/>
      <c r="JB398"/>
      <c r="JC398"/>
      <c r="JD398"/>
      <c r="JE398"/>
      <c r="JF398"/>
      <c r="JG398"/>
      <c r="JH398"/>
      <c r="JI398"/>
      <c r="JJ398"/>
      <c r="JK398"/>
      <c r="JL398"/>
      <c r="JM398"/>
      <c r="JN398"/>
    </row>
    <row r="399" spans="1:274" s="28" customFormat="1" ht="5.25" customHeight="1" x14ac:dyDescent="0.2">
      <c r="A399" s="18"/>
      <c r="B399" s="595"/>
      <c r="CG399" s="416"/>
      <c r="CM399" s="416"/>
      <c r="CS399" s="416"/>
      <c r="CY399" s="416"/>
      <c r="DE399" s="416"/>
      <c r="DK399" s="416"/>
      <c r="DQ399" s="416"/>
      <c r="DW399" s="416"/>
      <c r="EC399" s="416"/>
      <c r="EI399" s="416"/>
      <c r="EO399" s="416"/>
      <c r="EU399" s="416"/>
      <c r="FA399" s="416"/>
      <c r="FG399" s="416"/>
      <c r="FM399" s="416"/>
      <c r="FQ399"/>
      <c r="FR399"/>
      <c r="FS399"/>
      <c r="FT399"/>
      <c r="FU399"/>
      <c r="FV399"/>
      <c r="GB399" s="24"/>
      <c r="GC399" s="24"/>
      <c r="GD399" s="24"/>
      <c r="GE399" s="24"/>
      <c r="GF399" s="24"/>
      <c r="GG399" s="24"/>
      <c r="GH399" s="24"/>
      <c r="GI399" s="24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  <c r="HB399"/>
      <c r="HC399"/>
      <c r="HD399"/>
      <c r="HE399"/>
      <c r="HF399"/>
      <c r="HG399"/>
      <c r="HH399"/>
      <c r="HI399"/>
      <c r="HJ399"/>
      <c r="HK399"/>
      <c r="HL399"/>
      <c r="HM399"/>
      <c r="HN399"/>
      <c r="HO399"/>
      <c r="HP399"/>
      <c r="HQ399"/>
      <c r="HR399"/>
      <c r="HS399"/>
      <c r="HT399"/>
      <c r="HU399"/>
      <c r="HV399"/>
      <c r="HW399"/>
      <c r="HX399"/>
      <c r="HY399"/>
      <c r="HZ399"/>
      <c r="IA399"/>
      <c r="IB399"/>
      <c r="IC399"/>
      <c r="ID399"/>
      <c r="IE399"/>
      <c r="IF399"/>
      <c r="IG399"/>
      <c r="IH399"/>
      <c r="II399"/>
      <c r="IJ399"/>
      <c r="IK399"/>
      <c r="IL399"/>
      <c r="IM399"/>
      <c r="IN399"/>
      <c r="IO399"/>
      <c r="IP399"/>
      <c r="IQ399"/>
      <c r="IR399"/>
      <c r="IS399"/>
      <c r="IT399"/>
      <c r="IU399"/>
      <c r="IV399"/>
      <c r="IW399"/>
      <c r="IX399"/>
      <c r="IY399"/>
      <c r="IZ399"/>
      <c r="JA399"/>
      <c r="JB399"/>
      <c r="JC399"/>
      <c r="JD399"/>
      <c r="JE399"/>
      <c r="JF399"/>
      <c r="JG399"/>
      <c r="JH399"/>
      <c r="JI399"/>
      <c r="JJ399"/>
      <c r="JK399"/>
      <c r="JL399"/>
      <c r="JM399"/>
      <c r="JN399"/>
    </row>
    <row r="400" spans="1:274" s="32" customFormat="1" x14ac:dyDescent="0.2">
      <c r="A400" s="19" t="s">
        <v>753</v>
      </c>
      <c r="B400" s="21"/>
      <c r="C400" s="259" t="s">
        <v>945</v>
      </c>
      <c r="D400" s="259" t="s">
        <v>945</v>
      </c>
      <c r="E400" s="259" t="s">
        <v>945</v>
      </c>
      <c r="F400" s="94">
        <f>'Cash Flow'!F31*-1/'Cash Flow'!F12</f>
        <v>2.8897431089443089</v>
      </c>
      <c r="G400" s="94">
        <f>'Cash Flow'!G31*-1/'Cash Flow'!G12</f>
        <v>2.3864179449626146</v>
      </c>
      <c r="H400" s="94">
        <f>'Cash Flow'!H31*-1/'Cash Flow'!H12</f>
        <v>2.955087234410088</v>
      </c>
      <c r="I400" s="94">
        <f>'Cash Flow'!I31*-1/'Cash Flow'!I12</f>
        <v>0.62704750669268106</v>
      </c>
      <c r="J400" s="94">
        <f>'Cash Flow'!J31*-1/'Cash Flow'!J12</f>
        <v>0.67647433087788256</v>
      </c>
      <c r="K400" s="94">
        <f>'Cash Flow'!K31*-1/'Cash Flow'!K12</f>
        <v>0.63585089239563375</v>
      </c>
      <c r="L400" s="94">
        <f>'Cash Flow'!L31*-1/'Cash Flow'!L12</f>
        <v>0.52160244432099401</v>
      </c>
      <c r="M400" s="94">
        <f>'Cash Flow'!M31*-1/'Cash Flow'!M12</f>
        <v>2.3971194399548597</v>
      </c>
      <c r="N400" s="342"/>
      <c r="O400" s="259" t="s">
        <v>945</v>
      </c>
      <c r="P400" s="259" t="s">
        <v>945</v>
      </c>
      <c r="Q400" s="259" t="s">
        <v>945</v>
      </c>
      <c r="R400" s="259" t="s">
        <v>945</v>
      </c>
      <c r="S400" s="94">
        <f>'Cash Flow'!S31*-1/'Cash Flow'!S12</f>
        <v>1.7733129415586173</v>
      </c>
      <c r="T400" s="342"/>
      <c r="U400" s="259" t="s">
        <v>945</v>
      </c>
      <c r="V400" s="259" t="s">
        <v>945</v>
      </c>
      <c r="W400" s="259" t="s">
        <v>945</v>
      </c>
      <c r="X400" s="259" t="s">
        <v>945</v>
      </c>
      <c r="Y400" s="94">
        <f>'Cash Flow'!Y31*-1/'Cash Flow'!Y12</f>
        <v>1.4050133488842522</v>
      </c>
      <c r="Z400" s="342"/>
      <c r="AA400" s="259" t="s">
        <v>945</v>
      </c>
      <c r="AB400" s="259" t="s">
        <v>945</v>
      </c>
      <c r="AC400" s="259" t="s">
        <v>945</v>
      </c>
      <c r="AD400" s="259" t="s">
        <v>945</v>
      </c>
      <c r="AE400" s="94">
        <f>'Cash Flow'!AE31*-1/'Cash Flow'!AE12</f>
        <v>1.4757584799054282</v>
      </c>
      <c r="AF400" s="19"/>
      <c r="AG400" s="259" t="s">
        <v>945</v>
      </c>
      <c r="AH400" s="259" t="s">
        <v>945</v>
      </c>
      <c r="AI400" s="259" t="s">
        <v>945</v>
      </c>
      <c r="AJ400" s="259" t="s">
        <v>945</v>
      </c>
      <c r="AK400" s="94">
        <f>'Cash Flow'!AK31*-1/'Cash Flow'!AK12</f>
        <v>0.99937607095138536</v>
      </c>
      <c r="AL400" s="342"/>
      <c r="AM400" s="259" t="s">
        <v>945</v>
      </c>
      <c r="AN400" s="259" t="s">
        <v>945</v>
      </c>
      <c r="AO400" s="259" t="s">
        <v>945</v>
      </c>
      <c r="AP400" s="259" t="s">
        <v>945</v>
      </c>
      <c r="AQ400" s="94">
        <f>'Cash Flow'!AQ31*-1/'Cash Flow'!AQ12</f>
        <v>1.0836994212423747</v>
      </c>
      <c r="AR400" s="342"/>
      <c r="AS400" s="259" t="s">
        <v>945</v>
      </c>
      <c r="AT400" s="259" t="s">
        <v>945</v>
      </c>
      <c r="AU400" s="259" t="s">
        <v>945</v>
      </c>
      <c r="AV400" s="259" t="s">
        <v>945</v>
      </c>
      <c r="AW400" s="94">
        <f>'Cash Flow'!AW31*-1/'Cash Flow'!AW12</f>
        <v>0.83814962696657802</v>
      </c>
      <c r="AX400" s="342"/>
      <c r="AY400" s="259" t="s">
        <v>945</v>
      </c>
      <c r="AZ400" s="259" t="s">
        <v>945</v>
      </c>
      <c r="BA400" s="259" t="s">
        <v>945</v>
      </c>
      <c r="BB400" s="259" t="s">
        <v>945</v>
      </c>
      <c r="BC400" s="94">
        <f>'Cash Flow'!BC31*-1/'Cash Flow'!BC12</f>
        <v>1.1381818181818182</v>
      </c>
      <c r="BD400" s="342"/>
      <c r="BE400" s="259" t="s">
        <v>945</v>
      </c>
      <c r="BF400" s="259" t="s">
        <v>945</v>
      </c>
      <c r="BG400" s="259" t="s">
        <v>945</v>
      </c>
      <c r="BH400" s="259" t="s">
        <v>945</v>
      </c>
      <c r="BI400" s="94">
        <f>'Cash Flow'!BI31*-1/'Cash Flow'!BI12</f>
        <v>1.0183150183150182</v>
      </c>
      <c r="BJ400" s="342"/>
      <c r="BK400" s="259" t="s">
        <v>945</v>
      </c>
      <c r="BL400" s="259" t="s">
        <v>945</v>
      </c>
      <c r="BM400" s="259" t="s">
        <v>945</v>
      </c>
      <c r="BN400" s="259" t="s">
        <v>945</v>
      </c>
      <c r="BO400" s="94">
        <f>'Cash Flow'!BO31*-1/'Cash Flow'!BO12</f>
        <v>1.1975308641975309</v>
      </c>
      <c r="BP400" s="342"/>
      <c r="BQ400" s="259" t="s">
        <v>945</v>
      </c>
      <c r="BR400" s="259" t="s">
        <v>945</v>
      </c>
      <c r="BS400" s="259" t="s">
        <v>945</v>
      </c>
      <c r="BT400" s="259" t="s">
        <v>945</v>
      </c>
      <c r="BU400" s="94">
        <f>'Cash Flow'!BU31*-1/'Cash Flow'!BU12</f>
        <v>0.95454545454545459</v>
      </c>
      <c r="BV400" s="342"/>
      <c r="BW400" s="259" t="s">
        <v>945</v>
      </c>
      <c r="BX400" s="259" t="s">
        <v>945</v>
      </c>
      <c r="BY400" s="259" t="s">
        <v>945</v>
      </c>
      <c r="BZ400" s="259" t="s">
        <v>945</v>
      </c>
      <c r="CA400" s="94">
        <f>'Cash Flow'!CA31*-1/'Cash Flow'!CA12</f>
        <v>0.91262135922330101</v>
      </c>
      <c r="CB400" s="342"/>
      <c r="CC400" s="259" t="s">
        <v>945</v>
      </c>
      <c r="CD400" s="259" t="s">
        <v>945</v>
      </c>
      <c r="CE400" s="259" t="s">
        <v>945</v>
      </c>
      <c r="CF400" s="259" t="s">
        <v>945</v>
      </c>
      <c r="CG400" s="149">
        <f>'Cash Flow'!CG31*-1/'Cash Flow'!CG12</f>
        <v>1.0582959641255605</v>
      </c>
      <c r="CH400" s="342"/>
      <c r="CI400" s="259" t="s">
        <v>945</v>
      </c>
      <c r="CJ400" s="259" t="s">
        <v>945</v>
      </c>
      <c r="CK400" s="259" t="s">
        <v>945</v>
      </c>
      <c r="CL400" s="259" t="s">
        <v>945</v>
      </c>
      <c r="CM400" s="149">
        <f>'Cash Flow'!CM31*-1/'Cash Flow'!CM12</f>
        <v>1.2811244979919678</v>
      </c>
      <c r="CN400" s="342"/>
      <c r="CO400" s="259" t="s">
        <v>945</v>
      </c>
      <c r="CP400" s="259" t="s">
        <v>945</v>
      </c>
      <c r="CQ400" s="259" t="s">
        <v>945</v>
      </c>
      <c r="CR400" s="259" t="s">
        <v>945</v>
      </c>
      <c r="CS400" s="149">
        <f>'Cash Flow'!CS31*-1/'Cash Flow'!CS12</f>
        <v>0.90671641791044777</v>
      </c>
      <c r="CT400" s="475"/>
      <c r="CU400" s="259" t="s">
        <v>945</v>
      </c>
      <c r="CV400" s="259" t="s">
        <v>945</v>
      </c>
      <c r="CW400" s="259" t="s">
        <v>945</v>
      </c>
      <c r="CX400" s="259" t="s">
        <v>945</v>
      </c>
      <c r="CY400" s="149">
        <f>'Cash Flow'!CY31*-1/'Cash Flow'!CY12</f>
        <v>2.0114068441064639</v>
      </c>
      <c r="CZ400" s="475"/>
      <c r="DA400" s="259" t="s">
        <v>945</v>
      </c>
      <c r="DB400" s="259" t="s">
        <v>945</v>
      </c>
      <c r="DC400" s="259" t="s">
        <v>945</v>
      </c>
      <c r="DD400" s="259" t="s">
        <v>945</v>
      </c>
      <c r="DE400" s="149">
        <f>'Cash Flow'!DE31*-1/'Cash Flow'!DE12</f>
        <v>0.77181208053691275</v>
      </c>
      <c r="DF400" s="475"/>
      <c r="DG400" s="259" t="s">
        <v>945</v>
      </c>
      <c r="DH400" s="259" t="s">
        <v>945</v>
      </c>
      <c r="DI400" s="259" t="s">
        <v>945</v>
      </c>
      <c r="DJ400" s="259" t="s">
        <v>945</v>
      </c>
      <c r="DK400" s="149">
        <f>'Cash Flow'!DK31*-1/'Cash Flow'!DK12</f>
        <v>1.2228260869565217</v>
      </c>
      <c r="DL400" s="475"/>
      <c r="DM400" s="259" t="s">
        <v>945</v>
      </c>
      <c r="DN400" s="259" t="s">
        <v>945</v>
      </c>
      <c r="DO400" s="259" t="s">
        <v>945</v>
      </c>
      <c r="DP400" s="259" t="s">
        <v>945</v>
      </c>
      <c r="DQ400" s="149">
        <f>'Cash Flow'!DQ31*-1/'Cash Flow'!DQ12</f>
        <v>1.3333333333333333</v>
      </c>
      <c r="DR400" s="475"/>
      <c r="DS400" s="259" t="s">
        <v>945</v>
      </c>
      <c r="DT400" s="259" t="s">
        <v>945</v>
      </c>
      <c r="DU400" s="259" t="s">
        <v>945</v>
      </c>
      <c r="DV400" s="259" t="s">
        <v>945</v>
      </c>
      <c r="DW400" s="149">
        <f>'Cash Flow'!DW31*-1/'Cash Flow'!DW12</f>
        <v>1.1904761904761905</v>
      </c>
      <c r="DX400" s="475"/>
      <c r="DY400" s="259" t="s">
        <v>945</v>
      </c>
      <c r="DZ400" s="259" t="s">
        <v>945</v>
      </c>
      <c r="EA400" s="259" t="s">
        <v>945</v>
      </c>
      <c r="EB400" s="259" t="s">
        <v>945</v>
      </c>
      <c r="EC400" s="149">
        <f>'Cash Flow'!EC31*-1/'Cash Flow'!EC12</f>
        <v>0.95394736842105265</v>
      </c>
      <c r="ED400" s="475"/>
      <c r="EE400" s="259" t="s">
        <v>945</v>
      </c>
      <c r="EF400" s="259" t="s">
        <v>945</v>
      </c>
      <c r="EG400" s="259" t="s">
        <v>945</v>
      </c>
      <c r="EH400" s="259" t="s">
        <v>945</v>
      </c>
      <c r="EI400" s="149">
        <f>'Cash Flow'!EI31*-1/'Cash Flow'!EI12</f>
        <v>1.9536516853932584</v>
      </c>
      <c r="EJ400" s="475"/>
      <c r="EK400" s="259" t="s">
        <v>945</v>
      </c>
      <c r="EL400" s="259" t="s">
        <v>945</v>
      </c>
      <c r="EM400" s="259" t="s">
        <v>945</v>
      </c>
      <c r="EN400" s="259" t="s">
        <v>945</v>
      </c>
      <c r="EO400" s="149">
        <f>'Cash Flow'!EO31*-1/'Cash Flow'!EO12</f>
        <v>1.365097588978186</v>
      </c>
      <c r="EP400" s="475"/>
      <c r="EQ400" s="259" t="s">
        <v>945</v>
      </c>
      <c r="ER400" s="259" t="s">
        <v>945</v>
      </c>
      <c r="ES400" s="259" t="s">
        <v>945</v>
      </c>
      <c r="ET400" s="259" t="s">
        <v>945</v>
      </c>
      <c r="EU400" s="149">
        <f>'Cash Flow'!EU31*-1/'Cash Flow'!EU12</f>
        <v>2.0209999999999999</v>
      </c>
      <c r="EV400" s="475"/>
      <c r="EW400" s="259" t="s">
        <v>945</v>
      </c>
      <c r="EX400" s="259" t="s">
        <v>945</v>
      </c>
      <c r="EY400" s="259" t="s">
        <v>945</v>
      </c>
      <c r="EZ400" s="259" t="s">
        <v>945</v>
      </c>
      <c r="FA400" s="149">
        <f>'Cash Flow'!FA31*-1/'Cash Flow'!FA12</f>
        <v>1.565643801467566</v>
      </c>
      <c r="FB400" s="475"/>
      <c r="FC400" s="259" t="s">
        <v>945</v>
      </c>
      <c r="FD400" s="259" t="s">
        <v>945</v>
      </c>
      <c r="FE400" s="259" t="s">
        <v>945</v>
      </c>
      <c r="FF400" s="259" t="s">
        <v>945</v>
      </c>
      <c r="FG400" s="149">
        <f>'Cash Flow'!FG31*-1/'Cash Flow'!FG12</f>
        <v>1.224739290156589</v>
      </c>
      <c r="FH400" s="475"/>
      <c r="FI400" s="259" t="s">
        <v>945</v>
      </c>
      <c r="FJ400" s="259" t="s">
        <v>945</v>
      </c>
      <c r="FK400" s="259" t="s">
        <v>945</v>
      </c>
      <c r="FL400" s="259" t="s">
        <v>945</v>
      </c>
      <c r="FM400" s="149">
        <f>'Cash Flow'!FM31*-1/'Cash Flow'!FM12</f>
        <v>1.0851183944481111</v>
      </c>
      <c r="FQ400"/>
      <c r="FR400"/>
      <c r="FS400"/>
      <c r="FT400"/>
      <c r="FU400"/>
      <c r="FV400"/>
      <c r="GB400" s="24"/>
      <c r="GC400" s="24"/>
      <c r="GD400" s="24"/>
      <c r="GE400" s="24"/>
      <c r="GF400" s="24"/>
      <c r="GG400" s="24"/>
      <c r="GH400" s="24"/>
      <c r="GI400" s="24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  <c r="HB400"/>
      <c r="HC400"/>
      <c r="HD400"/>
      <c r="HE400"/>
      <c r="HF400"/>
      <c r="HG400"/>
      <c r="HH400"/>
      <c r="HI400"/>
      <c r="HJ400"/>
      <c r="HK400"/>
      <c r="HL400"/>
      <c r="HM400"/>
      <c r="HN400"/>
      <c r="HO400"/>
      <c r="HP400"/>
      <c r="HQ400"/>
      <c r="HR400"/>
      <c r="HS400"/>
      <c r="HT400"/>
      <c r="HU400"/>
      <c r="HV400"/>
      <c r="HW400"/>
      <c r="HX400"/>
      <c r="HY400"/>
      <c r="HZ400"/>
      <c r="IA400"/>
      <c r="IB400"/>
      <c r="IC400"/>
      <c r="ID400"/>
      <c r="IE400"/>
      <c r="IF400"/>
      <c r="IG400"/>
      <c r="IH400"/>
      <c r="II400"/>
      <c r="IJ400"/>
      <c r="IK400"/>
      <c r="IL400"/>
      <c r="IM400"/>
      <c r="IN400"/>
      <c r="IO400"/>
      <c r="IP400"/>
      <c r="IQ400"/>
      <c r="IR400"/>
      <c r="IS400"/>
      <c r="IT400"/>
      <c r="IU400"/>
      <c r="IV400"/>
      <c r="IW400"/>
      <c r="IX400"/>
      <c r="IY400"/>
      <c r="IZ400"/>
      <c r="JA400"/>
      <c r="JB400"/>
      <c r="JC400"/>
      <c r="JD400"/>
      <c r="JE400"/>
      <c r="JF400"/>
      <c r="JG400"/>
      <c r="JH400"/>
      <c r="JI400"/>
      <c r="JJ400"/>
      <c r="JK400"/>
      <c r="JL400"/>
      <c r="JM400"/>
      <c r="JN400"/>
    </row>
    <row r="401" spans="1:274" s="32" customFormat="1" x14ac:dyDescent="0.2">
      <c r="A401" s="19" t="s">
        <v>754</v>
      </c>
      <c r="B401" s="21"/>
      <c r="C401" s="259" t="s">
        <v>945</v>
      </c>
      <c r="D401" s="259" t="s">
        <v>945</v>
      </c>
      <c r="E401" s="94">
        <f>'Cash Flow'!E31*-1/ltmrev _fy86</f>
        <v>0.20478814707742343</v>
      </c>
      <c r="F401" s="94">
        <f>'Cash Flow'!F31*-1/ltmrev _fy87</f>
        <v>0.11741803747076168</v>
      </c>
      <c r="G401" s="94">
        <f>'Cash Flow'!G31*-1/ltmrev _fy88</f>
        <v>0.10973971422798666</v>
      </c>
      <c r="H401" s="94">
        <f>'Cash Flow'!H31*-1/ltmrev _fy89</f>
        <v>0.11721137375813635</v>
      </c>
      <c r="I401" s="94">
        <f>'Cash Flow'!I31*-1/ltmrev _fy90</f>
        <v>3.0160739423171358E-2</v>
      </c>
      <c r="J401" s="94">
        <f>'Cash Flow'!J31*-1/ltmrev _fy91</f>
        <v>4.6544137890109333E-2</v>
      </c>
      <c r="K401" s="94">
        <f>'Cash Flow'!K31*-1/ltmrev _fy92</f>
        <v>3.5474978795589487E-2</v>
      </c>
      <c r="L401" s="94">
        <f>'Cash Flow'!L31*-1/ltmrev _fy93</f>
        <v>2.7487025948103795E-2</v>
      </c>
      <c r="M401" s="94">
        <f>'Cash Flow'!M31*-1/ltmrev _fy94</f>
        <v>0.12525316730854855</v>
      </c>
      <c r="N401" s="342"/>
      <c r="O401" s="259" t="s">
        <v>945</v>
      </c>
      <c r="P401" s="259" t="s">
        <v>945</v>
      </c>
      <c r="Q401" s="259" t="s">
        <v>945</v>
      </c>
      <c r="R401" s="259" t="s">
        <v>945</v>
      </c>
      <c r="S401" s="94">
        <f>'Cash Flow'!S31*-1/ltmrev _fy95</f>
        <v>8.832382052784106E-2</v>
      </c>
      <c r="T401" s="342"/>
      <c r="U401" s="259" t="s">
        <v>945</v>
      </c>
      <c r="V401" s="259" t="s">
        <v>945</v>
      </c>
      <c r="W401" s="259" t="s">
        <v>945</v>
      </c>
      <c r="X401" s="259" t="s">
        <v>945</v>
      </c>
      <c r="Y401" s="94">
        <f>'Cash Flow'!Y31*-1/ltmrev _fy96</f>
        <v>7.3024752339267973E-2</v>
      </c>
      <c r="Z401" s="342"/>
      <c r="AA401" s="259" t="s">
        <v>945</v>
      </c>
      <c r="AB401" s="259" t="s">
        <v>945</v>
      </c>
      <c r="AC401" s="259" t="s">
        <v>945</v>
      </c>
      <c r="AD401" s="259" t="s">
        <v>945</v>
      </c>
      <c r="AE401" s="94">
        <f>'Cash Flow'!AE31*-1/ltmrev _fy97</f>
        <v>6.8739954851366997E-2</v>
      </c>
      <c r="AF401" s="19"/>
      <c r="AG401" s="259" t="s">
        <v>945</v>
      </c>
      <c r="AH401" s="259" t="s">
        <v>945</v>
      </c>
      <c r="AI401" s="259" t="s">
        <v>945</v>
      </c>
      <c r="AJ401" s="259" t="s">
        <v>945</v>
      </c>
      <c r="AK401" s="94">
        <f>'Cash Flow'!AK31*-1/ltmrev _fy98</f>
        <v>4.5963634531167655E-2</v>
      </c>
      <c r="AL401" s="342"/>
      <c r="AM401" s="259" t="s">
        <v>945</v>
      </c>
      <c r="AN401" s="259" t="s">
        <v>945</v>
      </c>
      <c r="AO401" s="259" t="s">
        <v>945</v>
      </c>
      <c r="AP401" s="259" t="s">
        <v>945</v>
      </c>
      <c r="AQ401" s="94">
        <f>'Cash Flow'!AQ31*-1/ltmrev _fy99</f>
        <v>3.9263861505256674E-2</v>
      </c>
      <c r="AR401" s="342"/>
      <c r="AS401" s="259" t="s">
        <v>945</v>
      </c>
      <c r="AT401" s="259" t="s">
        <v>945</v>
      </c>
      <c r="AU401" s="259" t="s">
        <v>945</v>
      </c>
      <c r="AV401" s="259" t="s">
        <v>945</v>
      </c>
      <c r="AW401" s="94">
        <f>'Cash Flow'!AW31*-1/ltmrev _fy00</f>
        <v>2.6005890547483701E-2</v>
      </c>
      <c r="AX401" s="342"/>
      <c r="AY401" s="259" t="s">
        <v>945</v>
      </c>
      <c r="AZ401" s="259" t="s">
        <v>945</v>
      </c>
      <c r="BA401" s="259" t="s">
        <v>945</v>
      </c>
      <c r="BB401" s="259" t="s">
        <v>945</v>
      </c>
      <c r="BC401" s="94">
        <f>'Cash Flow'!BC31*-1/ltmrev _fy01</f>
        <v>2.8556591134939292E-2</v>
      </c>
      <c r="BD401" s="342"/>
      <c r="BE401" s="259" t="s">
        <v>945</v>
      </c>
      <c r="BF401" s="259" t="s">
        <v>945</v>
      </c>
      <c r="BG401" s="259" t="s">
        <v>945</v>
      </c>
      <c r="BH401" s="259" t="s">
        <v>945</v>
      </c>
      <c r="BI401" s="94">
        <f>'Cash Flow'!BI31*-1/ltmrev _fy02</f>
        <v>2.8740406209457808E-2</v>
      </c>
      <c r="BJ401" s="342"/>
      <c r="BK401" s="259" t="s">
        <v>945</v>
      </c>
      <c r="BL401" s="259" t="s">
        <v>945</v>
      </c>
      <c r="BM401" s="259" t="s">
        <v>945</v>
      </c>
      <c r="BN401" s="259" t="s">
        <v>945</v>
      </c>
      <c r="BO401" s="94">
        <f>'Cash Flow'!BO31*-1/ltmrev _fy03</f>
        <v>3.0711104544399181E-2</v>
      </c>
      <c r="BP401" s="342"/>
      <c r="BQ401" s="259" t="s">
        <v>945</v>
      </c>
      <c r="BR401" s="259" t="s">
        <v>945</v>
      </c>
      <c r="BS401" s="259" t="s">
        <v>945</v>
      </c>
      <c r="BT401" s="259" t="s">
        <v>945</v>
      </c>
      <c r="BU401" s="94">
        <f>'Cash Flow'!BU31*-1/ltmrev _fy04</f>
        <v>1.860968885387948E-2</v>
      </c>
      <c r="BV401" s="342"/>
      <c r="BW401" s="259" t="s">
        <v>945</v>
      </c>
      <c r="BX401" s="259" t="s">
        <v>945</v>
      </c>
      <c r="BY401" s="259" t="s">
        <v>945</v>
      </c>
      <c r="BZ401" s="259" t="s">
        <v>945</v>
      </c>
      <c r="CA401" s="94">
        <f>'Cash Flow'!CA31*-1/ltmrev _fy05</f>
        <v>1.551283109167423E-2</v>
      </c>
      <c r="CB401" s="342"/>
      <c r="CC401" s="259" t="s">
        <v>945</v>
      </c>
      <c r="CD401" s="259" t="s">
        <v>945</v>
      </c>
      <c r="CE401" s="259" t="s">
        <v>945</v>
      </c>
      <c r="CF401" s="259" t="s">
        <v>945</v>
      </c>
      <c r="CG401" s="149">
        <f>'Cash Flow'!CG31*-1/ltmrev _fy06</f>
        <v>1.5975738539438414E-2</v>
      </c>
      <c r="CH401" s="342"/>
      <c r="CI401" s="259" t="s">
        <v>945</v>
      </c>
      <c r="CJ401" s="259" t="s">
        <v>945</v>
      </c>
      <c r="CK401" s="259" t="s">
        <v>945</v>
      </c>
      <c r="CL401" s="259" t="s">
        <v>945</v>
      </c>
      <c r="CM401" s="149">
        <f>'Cash Flow'!CM31*-1/ltmrev _fy07</f>
        <v>1.7518809379976935E-2</v>
      </c>
      <c r="CN401" s="342"/>
      <c r="CO401" s="259" t="s">
        <v>945</v>
      </c>
      <c r="CP401" s="259" t="s">
        <v>945</v>
      </c>
      <c r="CQ401" s="259" t="s">
        <v>945</v>
      </c>
      <c r="CR401" s="259" t="s">
        <v>945</v>
      </c>
      <c r="CS401" s="149">
        <f>'Cash Flow'!CS31*-1/ltmrev _fy08</f>
        <v>1.0747932239373701E-2</v>
      </c>
      <c r="CT401" s="475"/>
      <c r="CU401" s="259" t="s">
        <v>945</v>
      </c>
      <c r="CV401" s="259" t="s">
        <v>945</v>
      </c>
      <c r="CW401" s="259" t="s">
        <v>945</v>
      </c>
      <c r="CX401" s="259" t="s">
        <v>945</v>
      </c>
      <c r="CY401" s="149">
        <f>'Cash Flow'!CY31*-1/ltmrev _fy09</f>
        <v>2.2516387162679834E-2</v>
      </c>
      <c r="CZ401" s="475"/>
      <c r="DA401" s="259" t="s">
        <v>945</v>
      </c>
      <c r="DB401" s="259" t="s">
        <v>945</v>
      </c>
      <c r="DC401" s="259" t="s">
        <v>945</v>
      </c>
      <c r="DD401" s="259" t="s">
        <v>945</v>
      </c>
      <c r="DE401" s="149">
        <f>'Cash Flow'!DE31*-1/ltmrev _fy10</f>
        <v>8.507364418503147E-3</v>
      </c>
      <c r="DF401" s="475"/>
      <c r="DG401" s="259" t="s">
        <v>945</v>
      </c>
      <c r="DH401" s="259" t="s">
        <v>945</v>
      </c>
      <c r="DI401" s="259" t="s">
        <v>945</v>
      </c>
      <c r="DJ401" s="259" t="s">
        <v>945</v>
      </c>
      <c r="DK401" s="149">
        <f>'Cash Flow'!DK31*-1/ltmrev _fy11</f>
        <v>1.2536564981195153E-2</v>
      </c>
      <c r="DL401" s="475"/>
      <c r="DM401" s="259" t="s">
        <v>945</v>
      </c>
      <c r="DN401" s="259" t="s">
        <v>945</v>
      </c>
      <c r="DO401" s="259" t="s">
        <v>945</v>
      </c>
      <c r="DP401" s="259" t="s">
        <v>945</v>
      </c>
      <c r="DQ401" s="404">
        <f>'Cash Flow'!DQ31*-1/ltmrev _fy12</f>
        <v>1.7409293530626733E-2</v>
      </c>
      <c r="DR401" s="475"/>
      <c r="DS401" s="259" t="s">
        <v>945</v>
      </c>
      <c r="DT401" s="259" t="s">
        <v>945</v>
      </c>
      <c r="DU401" s="259" t="s">
        <v>945</v>
      </c>
      <c r="DV401" s="259" t="s">
        <v>945</v>
      </c>
      <c r="DW401" s="404">
        <f>'Cash Flow'!DW31*-1/ltmrev _fy13</f>
        <v>1.7448259200601293E-2</v>
      </c>
      <c r="DX401" s="475"/>
      <c r="DY401" s="259" t="s">
        <v>945</v>
      </c>
      <c r="DZ401" s="259" t="s">
        <v>945</v>
      </c>
      <c r="EA401" s="259" t="s">
        <v>945</v>
      </c>
      <c r="EB401" s="259" t="s">
        <v>945</v>
      </c>
      <c r="EC401" s="404">
        <f>'Cash Flow'!EC31*-1/ltmrev _fy13</f>
        <v>1.5569215902075001E-2</v>
      </c>
      <c r="ED401" s="475"/>
      <c r="EE401" s="259" t="s">
        <v>945</v>
      </c>
      <c r="EF401" s="259" t="s">
        <v>945</v>
      </c>
      <c r="EG401" s="259" t="s">
        <v>945</v>
      </c>
      <c r="EH401" s="259" t="s">
        <v>945</v>
      </c>
      <c r="EI401" s="404">
        <f>'Cash Flow'!EI31*-1/ltmrev _fy13</f>
        <v>3.7339274689286772E-2</v>
      </c>
      <c r="EJ401" s="475"/>
      <c r="EK401" s="259" t="s">
        <v>945</v>
      </c>
      <c r="EL401" s="259" t="s">
        <v>945</v>
      </c>
      <c r="EM401" s="259" t="s">
        <v>945</v>
      </c>
      <c r="EN401" s="259" t="s">
        <v>945</v>
      </c>
      <c r="EO401" s="404">
        <f>'Cash Flow'!EO31*-1/ltmrev _fy13</f>
        <v>3.1916892599253753E-2</v>
      </c>
      <c r="EP401" s="475"/>
      <c r="EQ401" s="259" t="s">
        <v>945</v>
      </c>
      <c r="ER401" s="259" t="s">
        <v>945</v>
      </c>
      <c r="ES401" s="259" t="s">
        <v>945</v>
      </c>
      <c r="ET401" s="259" t="s">
        <v>945</v>
      </c>
      <c r="EU401" s="404">
        <f>'Cash Flow'!EU31*-1/ltmrev _fy13</f>
        <v>5.4250664376023411E-2</v>
      </c>
      <c r="EV401" s="475"/>
      <c r="EW401" s="259" t="s">
        <v>945</v>
      </c>
      <c r="EX401" s="259" t="s">
        <v>945</v>
      </c>
      <c r="EY401" s="259" t="s">
        <v>945</v>
      </c>
      <c r="EZ401" s="259" t="s">
        <v>945</v>
      </c>
      <c r="FA401" s="404">
        <f>'Cash Flow'!FA31*-1/ltmrev _fy13</f>
        <v>4.9276355514808814E-2</v>
      </c>
      <c r="FB401" s="475"/>
      <c r="FC401" s="259" t="s">
        <v>945</v>
      </c>
      <c r="FD401" s="259" t="s">
        <v>945</v>
      </c>
      <c r="FE401" s="259" t="s">
        <v>945</v>
      </c>
      <c r="FF401" s="259" t="s">
        <v>945</v>
      </c>
      <c r="FG401" s="404">
        <f>'Cash Flow'!FG31*-1/ltmrev _fy13</f>
        <v>5.0157995943942532E-2</v>
      </c>
      <c r="FH401" s="475"/>
      <c r="FI401" s="259" t="s">
        <v>945</v>
      </c>
      <c r="FJ401" s="259" t="s">
        <v>945</v>
      </c>
      <c r="FK401" s="259" t="s">
        <v>945</v>
      </c>
      <c r="FL401" s="259" t="s">
        <v>945</v>
      </c>
      <c r="FM401" s="404">
        <f>'Cash Flow'!FM31*-1/ltmrev _fy13</f>
        <v>5.177495359178011E-2</v>
      </c>
      <c r="FQ401"/>
      <c r="FR401"/>
      <c r="FS401"/>
      <c r="FT401"/>
      <c r="FU401"/>
      <c r="FV401"/>
      <c r="GB401" s="24"/>
      <c r="GC401" s="24"/>
      <c r="GD401" s="24"/>
      <c r="GE401" s="24"/>
      <c r="GF401" s="24"/>
      <c r="GG401" s="24"/>
      <c r="GH401" s="24"/>
      <c r="GI401" s="24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  <c r="HB401"/>
      <c r="HC401"/>
      <c r="HD401"/>
      <c r="HE401"/>
      <c r="HF401"/>
      <c r="HG401"/>
      <c r="HH401"/>
      <c r="HI401"/>
      <c r="HJ401"/>
      <c r="HK401"/>
      <c r="HL401"/>
      <c r="HM401"/>
      <c r="HN401"/>
      <c r="HO401"/>
      <c r="HP401"/>
      <c r="HQ401"/>
      <c r="HR401"/>
      <c r="HS401"/>
      <c r="HT401"/>
      <c r="HU401"/>
      <c r="HV401"/>
      <c r="HW401"/>
      <c r="HX401"/>
      <c r="HY401"/>
      <c r="HZ401"/>
      <c r="IA401"/>
      <c r="IB401"/>
      <c r="IC401"/>
      <c r="ID401"/>
      <c r="IE401"/>
      <c r="IF401"/>
      <c r="IG401"/>
      <c r="IH401"/>
      <c r="II401"/>
      <c r="IJ401"/>
      <c r="IK401"/>
      <c r="IL401"/>
      <c r="IM401"/>
      <c r="IN401"/>
      <c r="IO401"/>
      <c r="IP401"/>
      <c r="IQ401"/>
      <c r="IR401"/>
      <c r="IS401"/>
      <c r="IT401"/>
      <c r="IU401"/>
      <c r="IV401"/>
      <c r="IW401"/>
      <c r="IX401"/>
      <c r="IY401"/>
      <c r="IZ401"/>
      <c r="JA401"/>
      <c r="JB401"/>
      <c r="JC401"/>
      <c r="JD401"/>
      <c r="JE401"/>
      <c r="JF401"/>
      <c r="JG401"/>
      <c r="JH401"/>
      <c r="JI401"/>
      <c r="JJ401"/>
      <c r="JK401"/>
      <c r="JL401"/>
      <c r="JM401"/>
      <c r="JN401"/>
    </row>
    <row r="402" spans="1:274" s="28" customFormat="1" ht="5.25" customHeight="1" x14ac:dyDescent="0.2">
      <c r="A402" s="18"/>
      <c r="B402" s="595"/>
      <c r="CG402" s="416"/>
      <c r="CM402" s="416"/>
      <c r="CS402" s="416"/>
      <c r="CY402" s="416"/>
      <c r="DE402" s="416"/>
      <c r="DK402" s="416"/>
      <c r="DQ402" s="416"/>
      <c r="DW402" s="416"/>
      <c r="EC402" s="416"/>
      <c r="EI402" s="416"/>
      <c r="EO402" s="416"/>
      <c r="EU402" s="416"/>
      <c r="FA402" s="416"/>
      <c r="FG402" s="416"/>
      <c r="FM402" s="416"/>
      <c r="FQ402"/>
      <c r="FR402"/>
      <c r="FS402"/>
      <c r="FT402"/>
      <c r="FU402"/>
      <c r="FV402"/>
      <c r="GB402" s="24"/>
      <c r="GC402" s="24"/>
      <c r="GD402" s="24"/>
      <c r="GE402" s="24"/>
      <c r="GF402" s="24"/>
      <c r="GG402" s="24"/>
      <c r="GH402" s="24"/>
      <c r="GI402" s="24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  <c r="HB402"/>
      <c r="HC402"/>
      <c r="HD402"/>
      <c r="HE402"/>
      <c r="HF402"/>
      <c r="HG402"/>
      <c r="HH402"/>
      <c r="HI402"/>
      <c r="HJ402"/>
      <c r="HK402"/>
      <c r="HL402"/>
      <c r="HM402"/>
      <c r="HN402"/>
      <c r="HO402"/>
      <c r="HP402"/>
      <c r="HQ402"/>
      <c r="HR402"/>
      <c r="HS402"/>
      <c r="HT402"/>
      <c r="HU402"/>
      <c r="HV402"/>
      <c r="HW402"/>
      <c r="HX402"/>
      <c r="HY402"/>
      <c r="HZ402"/>
      <c r="IA402"/>
      <c r="IB402"/>
      <c r="IC402"/>
      <c r="ID402"/>
      <c r="IE402"/>
      <c r="IF402"/>
      <c r="IG402"/>
      <c r="IH402"/>
      <c r="II402"/>
      <c r="IJ402"/>
      <c r="IK402"/>
      <c r="IL402"/>
      <c r="IM402"/>
      <c r="IN402"/>
      <c r="IO402"/>
      <c r="IP402"/>
      <c r="IQ402"/>
      <c r="IR402"/>
      <c r="IS402"/>
      <c r="IT402"/>
      <c r="IU402"/>
      <c r="IV402"/>
      <c r="IW402"/>
      <c r="IX402"/>
      <c r="IY402"/>
      <c r="IZ402"/>
      <c r="JA402"/>
      <c r="JB402"/>
      <c r="JC402"/>
      <c r="JD402"/>
      <c r="JE402"/>
      <c r="JF402"/>
      <c r="JG402"/>
      <c r="JH402"/>
      <c r="JI402"/>
      <c r="JJ402"/>
      <c r="JK402"/>
      <c r="JL402"/>
      <c r="JM402"/>
      <c r="JN402"/>
    </row>
    <row r="403" spans="1:274" s="32" customFormat="1" x14ac:dyDescent="0.2">
      <c r="A403" s="1221" t="s">
        <v>755</v>
      </c>
      <c r="B403" s="1221"/>
      <c r="C403" s="1221"/>
      <c r="D403" s="1221"/>
      <c r="E403" s="1221"/>
      <c r="F403" s="1221"/>
      <c r="G403" s="1221"/>
      <c r="H403" s="1221"/>
      <c r="I403" s="1221"/>
      <c r="J403" s="1221"/>
      <c r="K403" s="1221"/>
      <c r="L403" s="1221"/>
      <c r="M403" s="1221"/>
      <c r="N403" s="1221"/>
      <c r="O403" s="1221"/>
      <c r="P403" s="1221"/>
      <c r="Q403" s="1221"/>
      <c r="R403" s="1221"/>
      <c r="S403" s="1221"/>
      <c r="T403" s="1221"/>
      <c r="U403" s="1221"/>
      <c r="V403" s="1221"/>
      <c r="W403" s="1221"/>
      <c r="X403" s="1221"/>
      <c r="Y403" s="1221"/>
      <c r="Z403" s="1221"/>
      <c r="AA403" s="1221"/>
      <c r="AB403" s="1221"/>
      <c r="AC403" s="1221"/>
      <c r="AD403" s="1221"/>
      <c r="AE403" s="1221"/>
      <c r="AF403" s="1221"/>
      <c r="AG403" s="1221"/>
      <c r="AH403" s="1221"/>
      <c r="AI403" s="1221"/>
      <c r="AJ403" s="1221"/>
      <c r="AK403" s="1221"/>
      <c r="AL403" s="1221"/>
      <c r="AM403" s="1221"/>
      <c r="AN403" s="1221"/>
      <c r="AO403" s="1221"/>
      <c r="AP403" s="1221"/>
      <c r="AQ403" s="1221"/>
      <c r="AR403" s="1221"/>
      <c r="AS403" s="1221"/>
      <c r="AT403" s="1221"/>
      <c r="AU403" s="1221"/>
      <c r="AV403" s="1221"/>
      <c r="AW403" s="1221"/>
      <c r="AX403" s="1221"/>
      <c r="AY403" s="1221"/>
      <c r="AZ403" s="1221"/>
      <c r="BA403" s="1221"/>
      <c r="BB403" s="1221"/>
      <c r="BC403" s="1221"/>
      <c r="BD403" s="1221"/>
      <c r="BE403" s="1221"/>
      <c r="BF403" s="1221"/>
      <c r="BG403" s="1221"/>
      <c r="BH403" s="1221"/>
      <c r="BI403" s="1221"/>
      <c r="BJ403" s="1221"/>
      <c r="BK403" s="1221"/>
      <c r="BL403" s="1221"/>
      <c r="BM403" s="1221"/>
      <c r="BN403" s="1221"/>
      <c r="BO403" s="1221"/>
      <c r="BP403" s="1221"/>
      <c r="BQ403" s="1221"/>
      <c r="BR403" s="1221"/>
      <c r="BS403" s="1221"/>
      <c r="BT403" s="1221"/>
      <c r="BU403" s="1221"/>
      <c r="BV403" s="1221"/>
      <c r="BW403" s="1221"/>
      <c r="BX403" s="1221"/>
      <c r="BY403" s="1221"/>
      <c r="BZ403" s="1221"/>
      <c r="CA403" s="1221"/>
      <c r="CB403" s="1221"/>
      <c r="CC403" s="1221"/>
      <c r="CD403" s="1221"/>
      <c r="CE403" s="1221"/>
      <c r="CF403" s="1221"/>
      <c r="CG403" s="1374"/>
      <c r="CH403" s="1221"/>
      <c r="CI403" s="1221"/>
      <c r="CJ403" s="1221"/>
      <c r="CK403" s="1221"/>
      <c r="CL403" s="1221"/>
      <c r="CM403" s="1374"/>
      <c r="CN403" s="1221"/>
      <c r="CO403" s="1221"/>
      <c r="CP403" s="1221"/>
      <c r="CQ403" s="1221"/>
      <c r="CR403" s="1221"/>
      <c r="CS403" s="1374"/>
      <c r="CT403" s="1428"/>
      <c r="CU403" s="1221"/>
      <c r="CV403" s="1221"/>
      <c r="CW403" s="1221"/>
      <c r="CX403" s="1221"/>
      <c r="CY403" s="1374"/>
      <c r="CZ403" s="1428"/>
      <c r="DA403" s="1221"/>
      <c r="DB403" s="1221"/>
      <c r="DC403" s="1221"/>
      <c r="DD403" s="1221"/>
      <c r="DE403" s="1374"/>
      <c r="DF403" s="1428"/>
      <c r="DG403" s="1221"/>
      <c r="DH403" s="1221"/>
      <c r="DI403" s="1221"/>
      <c r="DJ403" s="1221"/>
      <c r="DK403" s="1374"/>
      <c r="DL403" s="1428"/>
      <c r="DM403" s="1221"/>
      <c r="DN403" s="1221"/>
      <c r="DO403" s="1221"/>
      <c r="DP403" s="1221"/>
      <c r="DQ403" s="1374"/>
      <c r="DR403" s="1428"/>
      <c r="DS403" s="1221"/>
      <c r="DT403" s="1221"/>
      <c r="DU403" s="1221"/>
      <c r="DV403" s="1221"/>
      <c r="DW403" s="1374"/>
      <c r="DX403" s="1428"/>
      <c r="DY403" s="1221"/>
      <c r="DZ403" s="1221"/>
      <c r="EA403" s="1221"/>
      <c r="EB403" s="1221"/>
      <c r="EC403" s="1374"/>
      <c r="ED403" s="1428"/>
      <c r="EE403" s="1221"/>
      <c r="EF403" s="1221"/>
      <c r="EG403" s="1221"/>
      <c r="EH403" s="1221"/>
      <c r="EI403" s="1374"/>
      <c r="EJ403" s="1428"/>
      <c r="EK403" s="1221"/>
      <c r="EL403" s="1221"/>
      <c r="EM403" s="1221"/>
      <c r="EN403" s="1221"/>
      <c r="EO403" s="1374"/>
      <c r="EP403" s="1428"/>
      <c r="EQ403" s="1221"/>
      <c r="ER403" s="1221"/>
      <c r="ES403" s="1221"/>
      <c r="ET403" s="1221"/>
      <c r="EU403" s="1374"/>
      <c r="EV403" s="1428"/>
      <c r="EW403" s="1221"/>
      <c r="EX403" s="1221"/>
      <c r="EY403" s="1221"/>
      <c r="EZ403" s="1221"/>
      <c r="FA403" s="1374"/>
      <c r="FB403" s="1428"/>
      <c r="FC403" s="1221"/>
      <c r="FD403" s="1221"/>
      <c r="FE403" s="1221"/>
      <c r="FF403" s="1221"/>
      <c r="FG403" s="1374"/>
      <c r="FH403" s="1428"/>
      <c r="FI403" s="1221"/>
      <c r="FJ403" s="1221"/>
      <c r="FK403" s="1221"/>
      <c r="FL403" s="1221"/>
      <c r="FM403" s="1374"/>
      <c r="FQ403"/>
      <c r="FR403"/>
      <c r="FS403"/>
      <c r="FT403"/>
      <c r="FU403"/>
      <c r="FV403"/>
      <c r="GB403" s="24"/>
      <c r="GC403" s="24"/>
      <c r="GD403" s="24"/>
      <c r="GE403" s="24"/>
      <c r="GF403" s="24"/>
      <c r="GG403" s="24"/>
      <c r="GH403" s="24"/>
      <c r="GI403" s="24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  <c r="HB403"/>
      <c r="HC403"/>
      <c r="HD403"/>
      <c r="HE403"/>
      <c r="HF403"/>
      <c r="HG403"/>
      <c r="HH403"/>
      <c r="HI403"/>
      <c r="HJ403"/>
      <c r="HK403"/>
      <c r="HL403"/>
      <c r="HM403"/>
      <c r="HN403"/>
      <c r="HO403"/>
      <c r="HP403"/>
      <c r="HQ403"/>
      <c r="HR403"/>
      <c r="HS403"/>
      <c r="HT403"/>
      <c r="HU403"/>
      <c r="HV403"/>
      <c r="HW403"/>
      <c r="HX403"/>
      <c r="HY403"/>
      <c r="HZ403"/>
      <c r="IA403"/>
      <c r="IB403"/>
      <c r="IC403"/>
      <c r="ID403"/>
      <c r="IE403"/>
      <c r="IF403"/>
      <c r="IG403"/>
      <c r="IH403"/>
      <c r="II403"/>
      <c r="IJ403"/>
      <c r="IK403"/>
      <c r="IL403"/>
      <c r="IM403"/>
      <c r="IN403"/>
      <c r="IO403"/>
      <c r="IP403"/>
      <c r="IQ403"/>
      <c r="IR403"/>
      <c r="IS403"/>
      <c r="IT403"/>
      <c r="IU403"/>
      <c r="IV403"/>
      <c r="IW403"/>
      <c r="IX403"/>
      <c r="IY403"/>
      <c r="IZ403"/>
      <c r="JA403"/>
      <c r="JB403"/>
      <c r="JC403"/>
      <c r="JD403"/>
      <c r="JE403"/>
      <c r="JF403"/>
      <c r="JG403"/>
      <c r="JH403"/>
      <c r="JI403"/>
      <c r="JJ403"/>
      <c r="JK403"/>
      <c r="JL403"/>
      <c r="JM403"/>
      <c r="JN403"/>
    </row>
    <row r="404" spans="1:274" s="32" customFormat="1" x14ac:dyDescent="0.2">
      <c r="A404" s="32" t="s">
        <v>93</v>
      </c>
      <c r="B404" s="21"/>
      <c r="C404" s="259" t="s">
        <v>945</v>
      </c>
      <c r="D404" s="94">
        <f>Model!D187/toteq _fy85</f>
        <v>0.21054934165874858</v>
      </c>
      <c r="E404" s="94">
        <f>Model!E187/toteq _fy86</f>
        <v>0.20475969425150975</v>
      </c>
      <c r="F404" s="94">
        <f>Model!F187/toteq _fy87</f>
        <v>0.18280740321331793</v>
      </c>
      <c r="G404" s="94">
        <f>Model!G187/toteq _fy88</f>
        <v>0.31850151883127975</v>
      </c>
      <c r="H404" s="94">
        <f>Model!H187/toteq _fy89</f>
        <v>0.35520095075340263</v>
      </c>
      <c r="I404" s="94">
        <f>Model!I187/toteq _fy90</f>
        <v>0.20866390598191348</v>
      </c>
      <c r="J404" s="94">
        <f>Model!J187/toteq _fy90</f>
        <v>-3.1995562263761511E-2</v>
      </c>
      <c r="K404" s="94"/>
      <c r="L404" s="94"/>
      <c r="M404" s="94"/>
      <c r="O404" s="259"/>
      <c r="P404" s="259"/>
      <c r="Q404" s="259"/>
      <c r="R404" s="259"/>
      <c r="S404" s="94"/>
      <c r="U404" s="259"/>
      <c r="V404" s="259"/>
      <c r="W404" s="259"/>
      <c r="X404" s="259"/>
      <c r="Y404" s="94"/>
      <c r="AA404" s="259"/>
      <c r="AB404" s="259"/>
      <c r="AC404" s="259"/>
      <c r="AD404" s="259"/>
      <c r="AE404" s="94"/>
      <c r="AG404" s="259"/>
      <c r="AH404" s="259"/>
      <c r="AI404" s="259"/>
      <c r="AJ404" s="259"/>
      <c r="AK404" s="94"/>
      <c r="AM404" s="259"/>
      <c r="AN404" s="259"/>
      <c r="AO404" s="259"/>
      <c r="AP404" s="259"/>
      <c r="AQ404" s="94"/>
      <c r="AS404" s="259"/>
      <c r="AT404" s="259"/>
      <c r="AU404" s="259"/>
      <c r="AV404" s="259"/>
      <c r="AW404" s="94"/>
      <c r="AY404" s="259"/>
      <c r="AZ404" s="259"/>
      <c r="BA404" s="259"/>
      <c r="BB404" s="259"/>
      <c r="BC404" s="94"/>
      <c r="BE404" s="259" t="s">
        <v>945</v>
      </c>
      <c r="BF404" s="259" t="s">
        <v>945</v>
      </c>
      <c r="BG404" s="259" t="s">
        <v>945</v>
      </c>
      <c r="BH404" s="259" t="s">
        <v>945</v>
      </c>
      <c r="BI404" s="94">
        <v>0.38544658361645906</v>
      </c>
      <c r="BK404" s="259" t="s">
        <v>945</v>
      </c>
      <c r="BL404" s="259" t="s">
        <v>945</v>
      </c>
      <c r="BM404" s="259" t="s">
        <v>945</v>
      </c>
      <c r="BN404" s="259" t="s">
        <v>945</v>
      </c>
      <c r="BO404" s="94">
        <v>0.39791950068016324</v>
      </c>
      <c r="BQ404" s="259" t="s">
        <v>945</v>
      </c>
      <c r="BR404" s="259" t="s">
        <v>945</v>
      </c>
      <c r="BS404" s="259" t="s">
        <v>945</v>
      </c>
      <c r="BT404" s="259" t="s">
        <v>945</v>
      </c>
      <c r="BU404" s="94">
        <v>0.3777835012890271</v>
      </c>
      <c r="BW404" s="259" t="s">
        <v>945</v>
      </c>
      <c r="BX404" s="259" t="s">
        <v>945</v>
      </c>
      <c r="BY404" s="259" t="s">
        <v>945</v>
      </c>
      <c r="BZ404" s="259" t="s">
        <v>945</v>
      </c>
      <c r="CA404" s="94">
        <v>0.37563966399536547</v>
      </c>
      <c r="CC404" s="259" t="s">
        <v>945</v>
      </c>
      <c r="CD404" s="259" t="s">
        <v>945</v>
      </c>
      <c r="CE404" s="259" t="s">
        <v>945</v>
      </c>
      <c r="CF404" s="259" t="s">
        <v>945</v>
      </c>
      <c r="CG404" s="149">
        <v>0.33545109957946734</v>
      </c>
      <c r="CI404" s="259" t="s">
        <v>945</v>
      </c>
      <c r="CJ404" s="259" t="s">
        <v>945</v>
      </c>
      <c r="CK404" s="259" t="s">
        <v>945</v>
      </c>
      <c r="CL404" s="259" t="s">
        <v>945</v>
      </c>
      <c r="CM404" s="149">
        <v>0.3440776810594961</v>
      </c>
      <c r="CO404" s="259" t="s">
        <v>945</v>
      </c>
      <c r="CP404" s="259" t="s">
        <v>945</v>
      </c>
      <c r="CQ404" s="259" t="s">
        <v>945</v>
      </c>
      <c r="CR404" s="259" t="s">
        <v>945</v>
      </c>
      <c r="CS404" s="149">
        <v>0.34713648019754961</v>
      </c>
      <c r="CT404" s="102"/>
      <c r="CU404" s="259" t="s">
        <v>945</v>
      </c>
      <c r="CV404" s="259" t="s">
        <v>945</v>
      </c>
      <c r="CW404" s="259" t="s">
        <v>945</v>
      </c>
      <c r="CX404" s="259" t="s">
        <v>945</v>
      </c>
      <c r="CY404" s="149">
        <v>0.30203368287257704</v>
      </c>
      <c r="CZ404" s="102"/>
      <c r="DA404" s="259" t="s">
        <v>945</v>
      </c>
      <c r="DB404" s="259" t="s">
        <v>945</v>
      </c>
      <c r="DC404" s="259" t="s">
        <v>945</v>
      </c>
      <c r="DD404" s="259" t="s">
        <v>945</v>
      </c>
      <c r="DE404" s="149">
        <v>0.31639087548229822</v>
      </c>
      <c r="DF404" s="102"/>
      <c r="DG404" s="259" t="s">
        <v>945</v>
      </c>
      <c r="DH404" s="259" t="s">
        <v>945</v>
      </c>
      <c r="DI404" s="259" t="s">
        <v>945</v>
      </c>
      <c r="DJ404" s="259" t="s">
        <v>945</v>
      </c>
      <c r="DK404" s="149">
        <v>0.30727800535982458</v>
      </c>
      <c r="DL404" s="102"/>
      <c r="DM404" s="259" t="s">
        <v>945</v>
      </c>
      <c r="DN404" s="259" t="s">
        <v>945</v>
      </c>
      <c r="DO404" s="259" t="s">
        <v>945</v>
      </c>
      <c r="DP404" s="259" t="s">
        <v>945</v>
      </c>
      <c r="DQ404" s="149">
        <v>0.2811381954897943</v>
      </c>
      <c r="DR404" s="102"/>
      <c r="DS404" s="259" t="s">
        <v>945</v>
      </c>
      <c r="DT404" s="259" t="s">
        <v>945</v>
      </c>
      <c r="DU404" s="259" t="s">
        <v>945</v>
      </c>
      <c r="DV404" s="259" t="s">
        <v>945</v>
      </c>
      <c r="DW404" s="149">
        <v>0.24754113366114341</v>
      </c>
      <c r="DX404" s="102"/>
      <c r="DY404" s="259" t="s">
        <v>945</v>
      </c>
      <c r="DZ404" s="259" t="s">
        <v>945</v>
      </c>
      <c r="EA404" s="259" t="s">
        <v>945</v>
      </c>
      <c r="EB404" s="259" t="s">
        <v>945</v>
      </c>
      <c r="EC404" s="149">
        <v>0.22209124329080052</v>
      </c>
      <c r="ED404" s="102"/>
      <c r="EE404" s="259" t="s">
        <v>945</v>
      </c>
      <c r="EF404" s="259" t="s">
        <v>945</v>
      </c>
      <c r="EG404" s="259" t="s">
        <v>945</v>
      </c>
      <c r="EH404" s="259" t="s">
        <v>945</v>
      </c>
      <c r="EI404" s="149">
        <v>0.18453766202963237</v>
      </c>
      <c r="EJ404" s="102"/>
      <c r="EK404" s="259" t="s">
        <v>945</v>
      </c>
      <c r="EL404" s="259" t="s">
        <v>945</v>
      </c>
      <c r="EM404" s="259" t="s">
        <v>945</v>
      </c>
      <c r="EN404" s="259" t="s">
        <v>945</v>
      </c>
      <c r="EO404" s="149">
        <v>0.15074327747829402</v>
      </c>
      <c r="EP404" s="102"/>
      <c r="EQ404" s="259" t="s">
        <v>945</v>
      </c>
      <c r="ER404" s="259" t="s">
        <v>945</v>
      </c>
      <c r="ES404" s="259" t="s">
        <v>945</v>
      </c>
      <c r="ET404" s="259" t="s">
        <v>945</v>
      </c>
      <c r="EU404" s="149">
        <v>0.12866445404909863</v>
      </c>
      <c r="EV404" s="102"/>
      <c r="EW404" s="259" t="s">
        <v>945</v>
      </c>
      <c r="EX404" s="259" t="s">
        <v>945</v>
      </c>
      <c r="EY404" s="259" t="s">
        <v>945</v>
      </c>
      <c r="EZ404" s="259" t="s">
        <v>945</v>
      </c>
      <c r="FA404" s="149">
        <v>0</v>
      </c>
      <c r="FB404" s="102"/>
      <c r="FC404" s="259" t="s">
        <v>945</v>
      </c>
      <c r="FD404" s="259" t="s">
        <v>945</v>
      </c>
      <c r="FE404" s="259" t="s">
        <v>945</v>
      </c>
      <c r="FF404" s="259" t="s">
        <v>945</v>
      </c>
      <c r="FG404" s="149">
        <v>0</v>
      </c>
      <c r="FH404" s="102"/>
      <c r="FI404" s="259" t="s">
        <v>945</v>
      </c>
      <c r="FJ404" s="259" t="s">
        <v>945</v>
      </c>
      <c r="FK404" s="259" t="s">
        <v>945</v>
      </c>
      <c r="FL404" s="259" t="s">
        <v>945</v>
      </c>
      <c r="FM404" s="149">
        <v>0</v>
      </c>
      <c r="FQ404"/>
      <c r="FR404"/>
      <c r="FS404"/>
      <c r="FT404"/>
      <c r="FU404"/>
      <c r="FV404"/>
      <c r="GB404" s="24"/>
      <c r="GC404" s="24"/>
      <c r="GD404" s="24"/>
      <c r="GE404" s="24"/>
      <c r="GF404" s="24"/>
      <c r="GG404" s="24"/>
      <c r="GH404" s="24"/>
      <c r="GI404" s="2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  <c r="HB404"/>
      <c r="HC404"/>
      <c r="HD404"/>
      <c r="HE404"/>
      <c r="HF404"/>
      <c r="HG404"/>
      <c r="HH404"/>
      <c r="HI404"/>
      <c r="HJ404"/>
      <c r="HK404"/>
      <c r="HL404"/>
      <c r="HM404"/>
      <c r="HN404"/>
      <c r="HO404"/>
      <c r="HP404"/>
      <c r="HQ404"/>
      <c r="HR404"/>
      <c r="HS404"/>
      <c r="HT404"/>
      <c r="HU404"/>
      <c r="HV404"/>
      <c r="HW404"/>
      <c r="HX404"/>
      <c r="HY404"/>
      <c r="HZ404"/>
      <c r="IA404"/>
      <c r="IB404"/>
      <c r="IC404"/>
      <c r="ID404"/>
      <c r="IE404"/>
      <c r="IF404"/>
      <c r="IG404"/>
      <c r="IH404"/>
      <c r="II404"/>
      <c r="IJ404"/>
      <c r="IK404"/>
      <c r="IL404"/>
      <c r="IM404"/>
      <c r="IN404"/>
      <c r="IO404"/>
      <c r="IP404"/>
      <c r="IQ404"/>
      <c r="IR404"/>
      <c r="IS404"/>
      <c r="IT404"/>
      <c r="IU404"/>
      <c r="IV404"/>
      <c r="IW404"/>
      <c r="IX404"/>
      <c r="IY404"/>
      <c r="IZ404"/>
      <c r="JA404"/>
      <c r="JB404"/>
      <c r="JC404"/>
      <c r="JD404"/>
      <c r="JE404"/>
      <c r="JF404"/>
      <c r="JG404"/>
      <c r="JH404"/>
      <c r="JI404"/>
      <c r="JJ404"/>
      <c r="JK404"/>
      <c r="JL404"/>
      <c r="JM404"/>
      <c r="JN404"/>
    </row>
    <row r="405" spans="1:274" s="28" customFormat="1" ht="5.25" customHeight="1" x14ac:dyDescent="0.2">
      <c r="A405" s="18"/>
      <c r="B405" s="595"/>
      <c r="CG405" s="416"/>
      <c r="CM405" s="416"/>
      <c r="CS405" s="416"/>
      <c r="CY405" s="416"/>
      <c r="DE405" s="416"/>
      <c r="DK405" s="416"/>
      <c r="DQ405" s="416"/>
      <c r="DW405" s="416"/>
      <c r="EC405" s="416"/>
      <c r="EI405" s="416"/>
      <c r="EO405" s="416"/>
      <c r="EU405" s="416"/>
      <c r="FA405" s="416"/>
      <c r="FG405" s="416"/>
      <c r="FM405" s="416"/>
      <c r="FQ405"/>
      <c r="FR405"/>
      <c r="FS405"/>
      <c r="FT405"/>
      <c r="FU405"/>
      <c r="FV405"/>
      <c r="GB405" s="24"/>
      <c r="GC405" s="24"/>
      <c r="GD405" s="24"/>
      <c r="GE405" s="24"/>
      <c r="GF405" s="24"/>
      <c r="GG405" s="24"/>
      <c r="GH405" s="24"/>
      <c r="GI405" s="24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  <c r="HB405"/>
      <c r="HC405"/>
      <c r="HD405"/>
      <c r="HE405"/>
      <c r="HF405"/>
      <c r="HG405"/>
      <c r="HH405"/>
      <c r="HI405"/>
      <c r="HJ405"/>
      <c r="HK405"/>
      <c r="HL405"/>
      <c r="HM405"/>
      <c r="HN405"/>
      <c r="HO405"/>
      <c r="HP405"/>
      <c r="HQ405"/>
      <c r="HR405"/>
      <c r="HS405"/>
      <c r="HT405"/>
      <c r="HU405"/>
      <c r="HV405"/>
      <c r="HW405"/>
      <c r="HX405"/>
      <c r="HY405"/>
      <c r="HZ405"/>
      <c r="IA405"/>
      <c r="IB405"/>
      <c r="IC405"/>
      <c r="ID405"/>
      <c r="IE405"/>
      <c r="IF405"/>
      <c r="IG405"/>
      <c r="IH405"/>
      <c r="II405"/>
      <c r="IJ405"/>
      <c r="IK405"/>
      <c r="IL405"/>
      <c r="IM405"/>
      <c r="IN405"/>
      <c r="IO405"/>
      <c r="IP405"/>
      <c r="IQ405"/>
      <c r="IR405"/>
      <c r="IS405"/>
      <c r="IT405"/>
      <c r="IU405"/>
      <c r="IV405"/>
      <c r="IW405"/>
      <c r="IX405"/>
      <c r="IY405"/>
      <c r="IZ405"/>
      <c r="JA405"/>
      <c r="JB405"/>
      <c r="JC405"/>
      <c r="JD405"/>
      <c r="JE405"/>
      <c r="JF405"/>
      <c r="JG405"/>
      <c r="JH405"/>
      <c r="JI405"/>
      <c r="JJ405"/>
      <c r="JK405"/>
      <c r="JL405"/>
      <c r="JM405"/>
      <c r="JN405"/>
    </row>
    <row r="406" spans="1:274" s="32" customFormat="1" x14ac:dyDescent="0.2">
      <c r="A406" s="1221" t="s">
        <v>756</v>
      </c>
      <c r="B406" s="1221"/>
      <c r="C406" s="1221"/>
      <c r="D406" s="1221"/>
      <c r="E406" s="1221"/>
      <c r="F406" s="1221"/>
      <c r="G406" s="1221"/>
      <c r="H406" s="1221"/>
      <c r="I406" s="1221"/>
      <c r="J406" s="1221"/>
      <c r="K406" s="1221"/>
      <c r="L406" s="1221"/>
      <c r="M406" s="1221"/>
      <c r="N406" s="1221"/>
      <c r="O406" s="1221"/>
      <c r="P406" s="1221"/>
      <c r="Q406" s="1221"/>
      <c r="R406" s="1221"/>
      <c r="S406" s="1221"/>
      <c r="T406" s="1221"/>
      <c r="U406" s="1221"/>
      <c r="V406" s="1221"/>
      <c r="W406" s="1221"/>
      <c r="X406" s="1221"/>
      <c r="Y406" s="1221"/>
      <c r="Z406" s="1221"/>
      <c r="AA406" s="1221"/>
      <c r="AB406" s="1221"/>
      <c r="AC406" s="1221"/>
      <c r="AD406" s="1221"/>
      <c r="AE406" s="1221"/>
      <c r="AF406" s="1221"/>
      <c r="AG406" s="1221"/>
      <c r="AH406" s="1221"/>
      <c r="AI406" s="1221"/>
      <c r="AJ406" s="1221"/>
      <c r="AK406" s="1221"/>
      <c r="AL406" s="1221"/>
      <c r="AM406" s="1221"/>
      <c r="AN406" s="1221"/>
      <c r="AO406" s="1221"/>
      <c r="AP406" s="1221"/>
      <c r="AQ406" s="1221"/>
      <c r="AR406" s="1221"/>
      <c r="AS406" s="1221"/>
      <c r="AT406" s="1221"/>
      <c r="AU406" s="1221"/>
      <c r="AV406" s="1221"/>
      <c r="AW406" s="1221"/>
      <c r="AX406" s="1221"/>
      <c r="AY406" s="1221"/>
      <c r="AZ406" s="1221"/>
      <c r="BA406" s="1221"/>
      <c r="BB406" s="1221"/>
      <c r="BC406" s="1221"/>
      <c r="BD406" s="1221"/>
      <c r="BE406" s="1221"/>
      <c r="BF406" s="1221"/>
      <c r="BG406" s="1221"/>
      <c r="BH406" s="1221"/>
      <c r="BI406" s="1221"/>
      <c r="BJ406" s="1221"/>
      <c r="BK406" s="1221"/>
      <c r="BL406" s="1221"/>
      <c r="BM406" s="1221"/>
      <c r="BN406" s="1221"/>
      <c r="BO406" s="1221"/>
      <c r="BP406" s="1221"/>
      <c r="BQ406" s="1221"/>
      <c r="BR406" s="1221"/>
      <c r="BS406" s="1221"/>
      <c r="BT406" s="1221"/>
      <c r="BU406" s="1221"/>
      <c r="BV406" s="1221"/>
      <c r="BW406" s="1221"/>
      <c r="BX406" s="1221"/>
      <c r="BY406" s="1221"/>
      <c r="BZ406" s="1221"/>
      <c r="CA406" s="1221"/>
      <c r="CB406" s="1221"/>
      <c r="CC406" s="1221"/>
      <c r="CD406" s="1221"/>
      <c r="CE406" s="1221"/>
      <c r="CF406" s="1221"/>
      <c r="CG406" s="1374"/>
      <c r="CH406" s="1221"/>
      <c r="CI406" s="1221"/>
      <c r="CJ406" s="1221"/>
      <c r="CK406" s="1221"/>
      <c r="CL406" s="1221"/>
      <c r="CM406" s="1374"/>
      <c r="CN406" s="1221"/>
      <c r="CO406" s="1221"/>
      <c r="CP406" s="1221"/>
      <c r="CQ406" s="1221"/>
      <c r="CR406" s="1221"/>
      <c r="CS406" s="1374"/>
      <c r="CT406" s="1428"/>
      <c r="CU406" s="1221"/>
      <c r="CV406" s="1221"/>
      <c r="CW406" s="1221"/>
      <c r="CX406" s="1221"/>
      <c r="CY406" s="1374"/>
      <c r="CZ406" s="1428"/>
      <c r="DA406" s="1221"/>
      <c r="DB406" s="1221"/>
      <c r="DC406" s="1221"/>
      <c r="DD406" s="1221"/>
      <c r="DE406" s="1374"/>
      <c r="DF406" s="1428"/>
      <c r="DG406" s="1221"/>
      <c r="DH406" s="1221"/>
      <c r="DI406" s="1221"/>
      <c r="DJ406" s="1221"/>
      <c r="DK406" s="1374"/>
      <c r="DL406" s="1428"/>
      <c r="DM406" s="1221"/>
      <c r="DN406" s="1221"/>
      <c r="DO406" s="1221"/>
      <c r="DP406" s="1221"/>
      <c r="DQ406" s="1374"/>
      <c r="DR406" s="1428"/>
      <c r="DS406" s="1221"/>
      <c r="DT406" s="1221"/>
      <c r="DU406" s="1221"/>
      <c r="DV406" s="1221"/>
      <c r="DW406" s="1374"/>
      <c r="DX406" s="1428"/>
      <c r="DY406" s="1221"/>
      <c r="DZ406" s="1221"/>
      <c r="EA406" s="1221"/>
      <c r="EB406" s="1221"/>
      <c r="EC406" s="1374"/>
      <c r="ED406" s="1428"/>
      <c r="EE406" s="1221"/>
      <c r="EF406" s="1221"/>
      <c r="EG406" s="1221"/>
      <c r="EH406" s="1221"/>
      <c r="EI406" s="1374"/>
      <c r="EJ406" s="1428"/>
      <c r="EK406" s="1221"/>
      <c r="EL406" s="1221"/>
      <c r="EM406" s="1221"/>
      <c r="EN406" s="1221"/>
      <c r="EO406" s="1374"/>
      <c r="EP406" s="1428"/>
      <c r="EQ406" s="1221"/>
      <c r="ER406" s="1221"/>
      <c r="ES406" s="1221"/>
      <c r="ET406" s="1221"/>
      <c r="EU406" s="1374"/>
      <c r="EV406" s="1428"/>
      <c r="EW406" s="1221"/>
      <c r="EX406" s="1221"/>
      <c r="EY406" s="1221"/>
      <c r="EZ406" s="1221"/>
      <c r="FA406" s="1374"/>
      <c r="FB406" s="1428"/>
      <c r="FC406" s="1221"/>
      <c r="FD406" s="1221"/>
      <c r="FE406" s="1221"/>
      <c r="FF406" s="1221"/>
      <c r="FG406" s="1374"/>
      <c r="FH406" s="1428"/>
      <c r="FI406" s="1221"/>
      <c r="FJ406" s="1221"/>
      <c r="FK406" s="1221"/>
      <c r="FL406" s="1221"/>
      <c r="FM406" s="1374"/>
      <c r="FQ406"/>
      <c r="FR406"/>
      <c r="FS406"/>
      <c r="FT406"/>
      <c r="FU406"/>
      <c r="FV406"/>
      <c r="GB406" s="24"/>
      <c r="GC406" s="24"/>
      <c r="GD406" s="24"/>
      <c r="GE406" s="24"/>
      <c r="GF406" s="24"/>
      <c r="GG406" s="24"/>
      <c r="GH406" s="24"/>
      <c r="GI406" s="24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  <c r="HB406"/>
      <c r="HC406"/>
      <c r="HD406"/>
      <c r="HE406"/>
      <c r="HF406"/>
      <c r="HG406"/>
      <c r="HH406"/>
      <c r="HI406"/>
      <c r="HJ406"/>
      <c r="HK406"/>
      <c r="HL406"/>
      <c r="HM406"/>
      <c r="HN406"/>
      <c r="HO406"/>
      <c r="HP406"/>
      <c r="HQ406"/>
      <c r="HR406"/>
      <c r="HS406"/>
      <c r="HT406"/>
      <c r="HU406"/>
      <c r="HV406"/>
      <c r="HW406"/>
      <c r="HX406"/>
      <c r="HY406"/>
      <c r="HZ406"/>
      <c r="IA406"/>
      <c r="IB406"/>
      <c r="IC406"/>
      <c r="ID406"/>
      <c r="IE406"/>
      <c r="IF406"/>
      <c r="IG406"/>
      <c r="IH406"/>
      <c r="II406"/>
      <c r="IJ406"/>
      <c r="IK406"/>
      <c r="IL406"/>
      <c r="IM406"/>
      <c r="IN406"/>
      <c r="IO406"/>
      <c r="IP406"/>
      <c r="IQ406"/>
      <c r="IR406"/>
      <c r="IS406"/>
      <c r="IT406"/>
      <c r="IU406"/>
      <c r="IV406"/>
      <c r="IW406"/>
      <c r="IX406"/>
      <c r="IY406"/>
      <c r="IZ406"/>
      <c r="JA406"/>
      <c r="JB406"/>
      <c r="JC406"/>
      <c r="JD406"/>
      <c r="JE406"/>
      <c r="JF406"/>
      <c r="JG406"/>
      <c r="JH406"/>
      <c r="JI406"/>
      <c r="JJ406"/>
      <c r="JK406"/>
      <c r="JL406"/>
      <c r="JM406"/>
      <c r="JN406"/>
    </row>
    <row r="407" spans="1:274" s="27" customFormat="1" x14ac:dyDescent="0.2">
      <c r="A407" s="244" t="s">
        <v>851</v>
      </c>
      <c r="B407" s="476"/>
      <c r="C407" s="59">
        <f>SUM('Balance Sheet'!C8:C9)</f>
        <v>0</v>
      </c>
      <c r="D407" s="59">
        <f>SUM('Balance Sheet'!D8:D9)</f>
        <v>0.59899999999999998</v>
      </c>
      <c r="E407" s="59">
        <f>SUM('Balance Sheet'!E8:E9)</f>
        <v>12.523999999999999</v>
      </c>
      <c r="F407" s="59">
        <f>SUM('Balance Sheet'!F8:F9)</f>
        <v>37.557000000000002</v>
      </c>
      <c r="G407" s="59">
        <f>SUM('Balance Sheet'!G8:G9)</f>
        <v>48.61</v>
      </c>
      <c r="H407" s="59">
        <f>SUM('Balance Sheet'!H8:H9)</f>
        <v>49.393000000000001</v>
      </c>
      <c r="I407" s="59">
        <f>SUM('Balance Sheet'!I8:I9)</f>
        <v>49.828000000000003</v>
      </c>
      <c r="J407" s="59">
        <f>SUM('Balance Sheet'!J8:J9)</f>
        <v>101.48099999999999</v>
      </c>
      <c r="K407" s="59">
        <f>SUM('Balance Sheet'!K8:K9)</f>
        <v>176.50099999999998</v>
      </c>
      <c r="L407" s="59">
        <f>SUM('Balance Sheet'!L8:L9)</f>
        <v>357.77499999999998</v>
      </c>
      <c r="M407" s="59">
        <f>SUM('Balance Sheet'!M8:M9)</f>
        <v>464.75799999999998</v>
      </c>
      <c r="N407" s="244"/>
      <c r="O407" s="59">
        <f>SUM('Balance Sheet'!O8:O9)</f>
        <v>493.291</v>
      </c>
      <c r="P407" s="59">
        <f>SUM('Balance Sheet'!P8:P9)</f>
        <v>329.447</v>
      </c>
      <c r="Q407" s="59">
        <f>SUM('Balance Sheet'!Q8:Q9)</f>
        <v>402.54700000000003</v>
      </c>
      <c r="R407" s="59">
        <f>SUM('Balance Sheet'!R8:R9)</f>
        <v>585.81799999999998</v>
      </c>
      <c r="S407" s="244">
        <f>R407</f>
        <v>585.81799999999998</v>
      </c>
      <c r="T407" s="244"/>
      <c r="U407" s="59">
        <f>SUM('Balance Sheet'!U8:U9)</f>
        <v>577.29999999999995</v>
      </c>
      <c r="V407" s="59">
        <f>SUM('Balance Sheet'!V8:V9)</f>
        <v>554.46199999999999</v>
      </c>
      <c r="W407" s="59">
        <f>SUM('Balance Sheet'!W8:W9)</f>
        <v>709.745</v>
      </c>
      <c r="X407" s="59">
        <f>SUM('Balance Sheet'!X8:X9)</f>
        <v>840.9079999999999</v>
      </c>
      <c r="Y407" s="244">
        <f>X407</f>
        <v>840.9079999999999</v>
      </c>
      <c r="Z407" s="244"/>
      <c r="AA407" s="59">
        <f>SUM('Balance Sheet'!AA8:AA9)</f>
        <v>995.78700000000003</v>
      </c>
      <c r="AB407" s="59">
        <f>SUM('Balance Sheet'!AB8:AB9)</f>
        <v>878.67200000000003</v>
      </c>
      <c r="AC407" s="59">
        <f>SUM('Balance Sheet'!AC8:AC9)</f>
        <v>1043.068</v>
      </c>
      <c r="AD407" s="59">
        <f>SUM('Balance Sheet'!AD8:AD9)</f>
        <v>1213.19</v>
      </c>
      <c r="AE407" s="244">
        <f>AD407</f>
        <v>1213.19</v>
      </c>
      <c r="AF407" s="244"/>
      <c r="AG407" s="59">
        <f>SUM('Balance Sheet'!AG8:AG9)</f>
        <v>1488.326</v>
      </c>
      <c r="AH407" s="59">
        <f>SUM('Balance Sheet'!AH8:AH9)</f>
        <v>1514.395</v>
      </c>
      <c r="AI407" s="59">
        <f>SUM('Balance Sheet'!AI8:AI9)</f>
        <v>1516.819</v>
      </c>
      <c r="AJ407" s="59">
        <f>SUM('Balance Sheet'!AJ8:AJ9)</f>
        <v>1919.1990000000001</v>
      </c>
      <c r="AK407" s="244">
        <f>AJ407</f>
        <v>1919.1990000000001</v>
      </c>
      <c r="AL407" s="244"/>
      <c r="AM407" s="59">
        <f>SUM('Balance Sheet'!AM8:AM9)</f>
        <v>2301.8960000000002</v>
      </c>
      <c r="AN407" s="59">
        <f>SUM('Balance Sheet'!AN8:AN9)</f>
        <v>1908.067</v>
      </c>
      <c r="AO407" s="59">
        <f>SUM('Balance Sheet'!AO8:AO9)</f>
        <v>2188.8609999999999</v>
      </c>
      <c r="AP407" s="59">
        <f>SUM('Balance Sheet'!AP8:AP9)</f>
        <v>2562.7640000000001</v>
      </c>
      <c r="AQ407" s="244">
        <f>AP407</f>
        <v>2562.7640000000001</v>
      </c>
      <c r="AR407" s="244"/>
      <c r="AS407" s="59">
        <f>SUM('Balance Sheet'!AS8:AS9)</f>
        <v>2721.7490000000003</v>
      </c>
      <c r="AT407" s="59">
        <f>SUM('Balance Sheet'!AT8:AT9)</f>
        <v>2133.7559999999999</v>
      </c>
      <c r="AU407" s="59">
        <f>SUM('Balance Sheet'!AU8:AU9)</f>
        <v>2767.6010000000001</v>
      </c>
      <c r="AV407" s="59">
        <f>SUM('Balance Sheet'!AV8:AV9)</f>
        <v>7761.9980000000005</v>
      </c>
      <c r="AW407" s="244">
        <f>AV407</f>
        <v>7761.9980000000005</v>
      </c>
      <c r="AX407" s="244"/>
      <c r="AY407" s="59">
        <f>SUM('Balance Sheet'!AY8:AY9)</f>
        <v>5062.5720000000001</v>
      </c>
      <c r="AZ407" s="59">
        <f>SUM('Balance Sheet'!AZ8:AZ9)</f>
        <v>4356.165</v>
      </c>
      <c r="BA407" s="59">
        <f>SUM('Balance Sheet'!BA8:BA9)</f>
        <v>4985.2379999999994</v>
      </c>
      <c r="BB407" s="59">
        <f>SUM('Balance Sheet'!BB8:BB9)</f>
        <v>5887</v>
      </c>
      <c r="BC407" s="244">
        <f>BB407</f>
        <v>5887</v>
      </c>
      <c r="BD407" s="244"/>
      <c r="BE407" s="59">
        <f>SUM('Balance Sheet'!BE8:BE9)</f>
        <v>6051.4310000000005</v>
      </c>
      <c r="BF407" s="59">
        <f>SUM('Balance Sheet'!BF8:BF9)</f>
        <v>4959.5280000000002</v>
      </c>
      <c r="BG407" s="59">
        <f>SUM('Balance Sheet'!BG8:BG9)</f>
        <v>5610.9740000000002</v>
      </c>
      <c r="BH407" s="59">
        <f>SUM('Balance Sheet'!BH8:BH9)</f>
        <v>5841</v>
      </c>
      <c r="BI407" s="244">
        <f>BH407</f>
        <v>5841</v>
      </c>
      <c r="BJ407" s="244"/>
      <c r="BK407" s="59">
        <f>SUM('Balance Sheet'!BK8:BK9)</f>
        <v>6419</v>
      </c>
      <c r="BL407" s="59">
        <f>SUM('Balance Sheet'!BL8:BL9)</f>
        <v>5481</v>
      </c>
      <c r="BM407" s="59">
        <f>SUM('Balance Sheet'!BM8:BM9)</f>
        <v>6040</v>
      </c>
      <c r="BN407" s="59">
        <f>SUM('Balance Sheet'!BN8:BN9)</f>
        <v>6519</v>
      </c>
      <c r="BO407" s="244">
        <f>BN407</f>
        <v>6519</v>
      </c>
      <c r="BP407" s="244"/>
      <c r="BQ407" s="59">
        <f>SUM('Balance Sheet'!BQ8:BQ9)</f>
        <v>7404</v>
      </c>
      <c r="BR407" s="59">
        <f>SUM('Balance Sheet'!BR8:BR9)</f>
        <v>8074</v>
      </c>
      <c r="BS407" s="59">
        <f>SUM('Balance Sheet'!BS8:BS9)</f>
        <v>8018</v>
      </c>
      <c r="BT407" s="59">
        <f>SUM('Balance Sheet'!BT8:BT9)</f>
        <v>8587</v>
      </c>
      <c r="BU407" s="244">
        <f>BT407</f>
        <v>8587</v>
      </c>
      <c r="BV407" s="244"/>
      <c r="BW407" s="59">
        <f>SUM('Balance Sheet'!BW8:BW9)</f>
        <v>9445.2056000000011</v>
      </c>
      <c r="BX407" s="59">
        <f>SUM('Balance Sheet'!BX8:BX9)</f>
        <v>9436</v>
      </c>
      <c r="BY407" s="59">
        <f>SUM('Balance Sheet'!BY8:BY9)</f>
        <v>9132</v>
      </c>
      <c r="BZ407" s="59">
        <f>SUM('Balance Sheet'!BZ8:BZ9)</f>
        <v>4771</v>
      </c>
      <c r="CA407" s="244">
        <f>BZ407</f>
        <v>4771</v>
      </c>
      <c r="CB407" s="244"/>
      <c r="CC407" s="59">
        <f>SUM('Balance Sheet'!CC8:CC9)</f>
        <v>4632</v>
      </c>
      <c r="CD407" s="59">
        <f>SUM('Balance Sheet'!CD8:CD9)</f>
        <v>3403</v>
      </c>
      <c r="CE407" s="59">
        <f>SUM('Balance Sheet'!CE8:CE9)</f>
        <v>7764</v>
      </c>
      <c r="CF407" s="59">
        <f>SUM('Balance Sheet'!CF8:CF9)</f>
        <v>7605</v>
      </c>
      <c r="CG407" s="171">
        <f>CF407</f>
        <v>7605</v>
      </c>
      <c r="CH407" s="244"/>
      <c r="CI407" s="59">
        <f>SUM('Balance Sheet'!CI8:CI9)</f>
        <v>8298</v>
      </c>
      <c r="CJ407" s="59">
        <f>SUM('Balance Sheet'!CJ8:CJ9)</f>
        <v>7825</v>
      </c>
      <c r="CK407" s="59">
        <f>SUM('Balance Sheet'!CK8:CK9)</f>
        <v>6445</v>
      </c>
      <c r="CL407" s="59">
        <f>SUM('Balance Sheet'!CL8:CL9)</f>
        <v>7020</v>
      </c>
      <c r="CM407" s="171">
        <f>CL407</f>
        <v>7020</v>
      </c>
      <c r="CN407" s="244"/>
      <c r="CO407" s="59">
        <f>SUM('Balance Sheet'!CO8:CO9)</f>
        <v>7743</v>
      </c>
      <c r="CP407" s="59">
        <f>SUM('Balance Sheet'!CP8:CP9)</f>
        <v>8432</v>
      </c>
      <c r="CQ407" s="59">
        <f>SUM('Balance Sheet'!CQ8:CQ9)</f>
        <v>10506</v>
      </c>
      <c r="CR407" s="59">
        <f>SUM('Balance Sheet'!CR8:CR9)</f>
        <v>11043</v>
      </c>
      <c r="CS407" s="171">
        <f>CR407</f>
        <v>11043</v>
      </c>
      <c r="CT407" s="131"/>
      <c r="CU407" s="59">
        <f>SUM('Balance Sheet'!CU8:CU9)</f>
        <v>13021</v>
      </c>
      <c r="CV407" s="59">
        <f>SUM('Balance Sheet'!CV8:CV9)</f>
        <v>10646</v>
      </c>
      <c r="CW407" s="59">
        <f>SUM('Balance Sheet'!CW8:CW9)</f>
        <v>11294</v>
      </c>
      <c r="CX407" s="59">
        <f>SUM('Balance Sheet'!CX8:CX9)</f>
        <v>12624</v>
      </c>
      <c r="CY407" s="171">
        <f>CX407</f>
        <v>12624</v>
      </c>
      <c r="CZ407" s="131"/>
      <c r="DA407" s="59">
        <f>SUM('Balance Sheet'!DA8:DA9)</f>
        <v>20565</v>
      </c>
      <c r="DB407" s="59">
        <f>SUM('Balance Sheet'!DB8:DB9)</f>
        <v>20784</v>
      </c>
      <c r="DC407" s="59">
        <f>SUM('Balance Sheet'!DC8:DC9)</f>
        <v>17489</v>
      </c>
      <c r="DD407" s="59">
        <f>SUM('Balance Sheet'!DD8:DD9)</f>
        <v>18469</v>
      </c>
      <c r="DE407" s="171">
        <f>DD407</f>
        <v>18469</v>
      </c>
      <c r="DF407" s="131"/>
      <c r="DG407" s="59">
        <f>SUM('Balance Sheet'!DG8:DG9)</f>
        <v>23637</v>
      </c>
      <c r="DH407" s="59">
        <f>SUM('Balance Sheet'!DH8:DH9)</f>
        <v>24845</v>
      </c>
      <c r="DI407" s="59">
        <f>SUM('Balance Sheet'!DI8:DI9)</f>
        <v>24355</v>
      </c>
      <c r="DJ407" s="59">
        <f>SUM('Balance Sheet'!DJ8:DJ9)</f>
        <v>28848</v>
      </c>
      <c r="DK407" s="171">
        <f>DJ407</f>
        <v>28848</v>
      </c>
      <c r="DL407" s="131"/>
      <c r="DM407" s="59">
        <f>SUM('Balance Sheet'!DM8:DM9)</f>
        <v>31660</v>
      </c>
      <c r="DN407" s="59">
        <f>SUM('Balance Sheet'!DN8:DN9)</f>
        <v>31012</v>
      </c>
      <c r="DO407" s="59">
        <f>SUM('Balance Sheet'!DO8:DO9)</f>
        <v>29742</v>
      </c>
      <c r="DP407" s="59">
        <f>SUM('Balance Sheet'!DP8:DP9)</f>
        <v>30676</v>
      </c>
      <c r="DQ407" s="171">
        <f>DP407</f>
        <v>30676</v>
      </c>
      <c r="DR407" s="131"/>
      <c r="DS407" s="59">
        <f>SUM('Balance Sheet'!DS8:DS9)</f>
        <v>31607</v>
      </c>
      <c r="DT407" s="59">
        <f>SUM('Balance Sheet'!DT8:DT9)</f>
        <v>33695</v>
      </c>
      <c r="DU407" s="59">
        <f>SUM('Balance Sheet'!DU8:DU9)</f>
        <v>33407</v>
      </c>
      <c r="DV407" s="59">
        <f>SUM('Balance Sheet'!DV8:DV9)</f>
        <v>32216</v>
      </c>
      <c r="DW407" s="171">
        <f>DV407</f>
        <v>32216</v>
      </c>
      <c r="DX407" s="131"/>
      <c r="DY407" s="59">
        <f>SUM('Balance Sheet'!DY8:DY9)</f>
        <v>39104</v>
      </c>
      <c r="DZ407" s="59">
        <f>SUM('Balance Sheet'!DZ8:DZ9)</f>
        <v>36974</v>
      </c>
      <c r="EA407" s="59">
        <f>SUM('Balance Sheet'!EA8:EA9)</f>
        <v>37225</v>
      </c>
      <c r="EB407" s="59">
        <f>SUM('Balance Sheet'!EB8:EB9)</f>
        <v>38819</v>
      </c>
      <c r="EC407" s="171">
        <f>EB407</f>
        <v>38819</v>
      </c>
      <c r="ED407" s="131"/>
      <c r="EE407" s="59">
        <f>SUM('Balance Sheet'!EE8:EE9)</f>
        <v>51616</v>
      </c>
      <c r="EF407" s="59">
        <f>SUM('Balance Sheet'!EF8:EF9)</f>
        <v>44733</v>
      </c>
      <c r="EG407" s="59">
        <f>SUM('Balance Sheet'!EG8:EG9)</f>
        <v>43777</v>
      </c>
      <c r="EH407" s="59">
        <f>SUM('Balance Sheet'!EH8:EH9)</f>
        <v>54368</v>
      </c>
      <c r="EI407" s="171">
        <f>EH407</f>
        <v>54368</v>
      </c>
      <c r="EJ407" s="131"/>
      <c r="EK407" s="59">
        <f>SUM('Balance Sheet'!EK8:EK9)</f>
        <v>55930</v>
      </c>
      <c r="EL407" s="59">
        <f>SUM('Balance Sheet'!EL8:EL9)</f>
        <v>52335</v>
      </c>
      <c r="EM407" s="59">
        <f>SUM('Balance Sheet'!EM8:EM9)</f>
        <v>50767</v>
      </c>
      <c r="EN407" s="59">
        <f>SUM('Balance Sheet'!EN8:EN9)</f>
        <v>56125</v>
      </c>
      <c r="EO407" s="171">
        <f>EN407</f>
        <v>56125</v>
      </c>
      <c r="EP407" s="131"/>
      <c r="EQ407" s="59">
        <f>SUM('Balance Sheet'!EQ8:EQ9)</f>
        <v>68396</v>
      </c>
      <c r="ER407" s="59">
        <f>SUM('Balance Sheet'!ER8:ER9)</f>
        <v>58206</v>
      </c>
      <c r="ES407" s="59">
        <f>SUM('Balance Sheet'!ES8:ES9)</f>
        <v>59352</v>
      </c>
      <c r="ET407" s="59">
        <f>SUM('Balance Sheet'!ET8:ET9)</f>
        <v>66078</v>
      </c>
      <c r="EU407" s="171">
        <f>ET407</f>
        <v>66078</v>
      </c>
      <c r="EV407" s="131"/>
      <c r="EW407" s="59">
        <f>SUM('Balance Sheet'!EW8:EW9)</f>
        <v>66897</v>
      </c>
      <c r="EX407" s="59">
        <f>SUM('Balance Sheet'!EX8:EX9)</f>
        <v>71580</v>
      </c>
      <c r="EY407" s="59">
        <f>SUM('Balance Sheet'!EY8:EY9)</f>
        <v>70455</v>
      </c>
      <c r="EZ407" s="59">
        <f>SUM('Balance Sheet'!EZ8:EZ9)</f>
        <v>70578.645629562176</v>
      </c>
      <c r="FA407" s="171">
        <f>EZ407</f>
        <v>70578.645629562176</v>
      </c>
      <c r="FB407" s="131"/>
      <c r="FC407" s="59">
        <f>SUM('Balance Sheet'!FC8:FC9)</f>
        <v>71359.682075827033</v>
      </c>
      <c r="FD407" s="59">
        <f>SUM('Balance Sheet'!FD8:FD9)</f>
        <v>69592.795395241672</v>
      </c>
      <c r="FE407" s="59">
        <f>SUM('Balance Sheet'!FE8:FE9)</f>
        <v>71141.373558817228</v>
      </c>
      <c r="FF407" s="59">
        <f>SUM('Balance Sheet'!FF8:FF9)</f>
        <v>71614.480472891431</v>
      </c>
      <c r="FG407" s="171">
        <f>FF407</f>
        <v>71614.480472891431</v>
      </c>
      <c r="FH407" s="131"/>
      <c r="FI407" s="59">
        <f>SUM('Balance Sheet'!FI8:FI9)</f>
        <v>75505.695139864882</v>
      </c>
      <c r="FJ407" s="59">
        <f>SUM('Balance Sheet'!FJ8:FJ9)</f>
        <v>71465.56314334675</v>
      </c>
      <c r="FK407" s="59">
        <f>SUM('Balance Sheet'!FK8:FK9)</f>
        <v>71296.852006080095</v>
      </c>
      <c r="FL407" s="59">
        <f>SUM('Balance Sheet'!FL8:FL9)</f>
        <v>74826.658980066015</v>
      </c>
      <c r="FM407" s="171">
        <f>FL407</f>
        <v>74826.658980066015</v>
      </c>
      <c r="FQ407"/>
      <c r="FR407"/>
      <c r="FS407"/>
      <c r="FT407"/>
      <c r="FU407"/>
      <c r="FV407"/>
      <c r="GB407" s="24"/>
      <c r="GC407" s="24"/>
      <c r="GD407" s="24"/>
      <c r="GE407" s="24"/>
      <c r="GF407" s="24"/>
      <c r="GG407" s="24"/>
      <c r="GH407" s="24"/>
      <c r="GI407" s="24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  <c r="HB407"/>
      <c r="HC407"/>
      <c r="HD407"/>
      <c r="HE407"/>
      <c r="HF407"/>
      <c r="HG407"/>
      <c r="HH407"/>
      <c r="HI407"/>
      <c r="HJ407"/>
      <c r="HK407"/>
      <c r="HL407"/>
      <c r="HM407"/>
      <c r="HN407"/>
      <c r="HO407"/>
      <c r="HP407"/>
      <c r="HQ407"/>
      <c r="HR407"/>
      <c r="HS407"/>
      <c r="HT407"/>
      <c r="HU407"/>
      <c r="HV407"/>
      <c r="HW407"/>
      <c r="HX407"/>
      <c r="HY407"/>
      <c r="HZ407"/>
      <c r="IA407"/>
      <c r="IB407"/>
      <c r="IC407"/>
      <c r="ID407"/>
      <c r="IE407"/>
      <c r="IF407"/>
      <c r="IG407"/>
      <c r="IH407"/>
      <c r="II407"/>
      <c r="IJ407"/>
      <c r="IK407"/>
      <c r="IL407"/>
      <c r="IM407"/>
      <c r="IN407"/>
      <c r="IO407"/>
      <c r="IP407"/>
      <c r="IQ407"/>
      <c r="IR407"/>
      <c r="IS407"/>
      <c r="IT407"/>
      <c r="IU407"/>
      <c r="IV407"/>
      <c r="IW407"/>
      <c r="IX407"/>
      <c r="IY407"/>
      <c r="IZ407"/>
      <c r="JA407"/>
      <c r="JB407"/>
      <c r="JC407"/>
      <c r="JD407"/>
      <c r="JE407"/>
      <c r="JF407"/>
      <c r="JG407"/>
      <c r="JH407"/>
      <c r="JI407"/>
      <c r="JJ407"/>
      <c r="JK407"/>
      <c r="JL407"/>
      <c r="JM407"/>
      <c r="JN407"/>
    </row>
    <row r="408" spans="1:274" s="27" customFormat="1" x14ac:dyDescent="0.2">
      <c r="A408" s="244" t="s">
        <v>229</v>
      </c>
      <c r="B408" s="476"/>
      <c r="C408" s="59" t="str">
        <f>'Balance Sheet'!C10</f>
        <v>-</v>
      </c>
      <c r="D408" s="59">
        <f>'Balance Sheet'!D10</f>
        <v>9.032</v>
      </c>
      <c r="E408" s="59">
        <f>'Balance Sheet'!E10</f>
        <v>26.553999999999998</v>
      </c>
      <c r="F408" s="59">
        <f>'Balance Sheet'!F10</f>
        <v>65.204999999999998</v>
      </c>
      <c r="G408" s="59">
        <f>'Balance Sheet'!G10</f>
        <v>129.999</v>
      </c>
      <c r="H408" s="59">
        <f>'Balance Sheet'!H10</f>
        <v>261.98899999999998</v>
      </c>
      <c r="I408" s="59">
        <f>'Balance Sheet'!I10</f>
        <v>468.07100000000003</v>
      </c>
      <c r="J408" s="59">
        <f>'Balance Sheet'!J10</f>
        <v>385.98500000000001</v>
      </c>
      <c r="K408" s="59">
        <f>'Balance Sheet'!K10</f>
        <v>360.94600000000003</v>
      </c>
      <c r="L408" s="59">
        <f>'Balance Sheet'!L10</f>
        <v>359.36</v>
      </c>
      <c r="M408" s="59">
        <f>'Balance Sheet'!M10</f>
        <v>455.88400000000001</v>
      </c>
      <c r="N408" s="244"/>
      <c r="O408" s="59">
        <f>'Balance Sheet'!O10</f>
        <v>436.18200000000002</v>
      </c>
      <c r="P408" s="59">
        <f>'Balance Sheet'!P10</f>
        <v>539.26300000000003</v>
      </c>
      <c r="Q408" s="59">
        <f>'Balance Sheet'!Q10</f>
        <v>558.65899999999999</v>
      </c>
      <c r="R408" s="59">
        <f>'Balance Sheet'!R10</f>
        <v>764.73400000000004</v>
      </c>
      <c r="S408" s="244">
        <f>R408</f>
        <v>764.73400000000004</v>
      </c>
      <c r="T408" s="244"/>
      <c r="U408" s="59">
        <f>'Balance Sheet'!U10</f>
        <v>611.06299999999999</v>
      </c>
      <c r="V408" s="59">
        <f>'Balance Sheet'!V10</f>
        <v>766.91800000000001</v>
      </c>
      <c r="W408" s="59">
        <f>'Balance Sheet'!W10</f>
        <v>774.52300000000002</v>
      </c>
      <c r="X408" s="59">
        <f>'Balance Sheet'!X10</f>
        <v>1084.8579999999999</v>
      </c>
      <c r="Y408" s="244">
        <f>X408</f>
        <v>1084.8579999999999</v>
      </c>
      <c r="Z408" s="244"/>
      <c r="AA408" s="59">
        <f>'Balance Sheet'!AA10</f>
        <v>899.94200000000001</v>
      </c>
      <c r="AB408" s="59">
        <f>'Balance Sheet'!AB10</f>
        <v>1083.9960000000001</v>
      </c>
      <c r="AC408" s="59">
        <f>'Balance Sheet'!AC10</f>
        <v>1102.175</v>
      </c>
      <c r="AD408" s="59">
        <f>'Balance Sheet'!AD10</f>
        <v>1540.47</v>
      </c>
      <c r="AE408" s="244">
        <f>AD408</f>
        <v>1540.47</v>
      </c>
      <c r="AF408" s="244"/>
      <c r="AG408" s="59">
        <f>'Balance Sheet'!AG10</f>
        <v>1183.4079999999999</v>
      </c>
      <c r="AH408" s="59">
        <f>'Balance Sheet'!AH10</f>
        <v>1321.3679999999999</v>
      </c>
      <c r="AI408" s="59">
        <f>'Balance Sheet'!AI10</f>
        <v>1322.7809999999999</v>
      </c>
      <c r="AJ408" s="59">
        <f>'Balance Sheet'!AJ10</f>
        <v>1857.48</v>
      </c>
      <c r="AK408" s="244">
        <f>AJ408</f>
        <v>1857.48</v>
      </c>
      <c r="AL408" s="244"/>
      <c r="AM408" s="59">
        <f>'Balance Sheet'!AM10</f>
        <v>1351.4159999999999</v>
      </c>
      <c r="AN408" s="59">
        <f>'Balance Sheet'!AN10</f>
        <v>1604.336</v>
      </c>
      <c r="AO408" s="59">
        <f>'Balance Sheet'!AO10</f>
        <v>1563.8530000000001</v>
      </c>
      <c r="AP408" s="59">
        <f>'Balance Sheet'!AP10</f>
        <v>2238.2040000000002</v>
      </c>
      <c r="AQ408" s="244">
        <f>AP408</f>
        <v>2238.2040000000002</v>
      </c>
      <c r="AR408" s="244"/>
      <c r="AS408" s="59">
        <f>'Balance Sheet'!AS10</f>
        <v>1514.095</v>
      </c>
      <c r="AT408" s="59">
        <f>'Balance Sheet'!AT10</f>
        <v>1768.914</v>
      </c>
      <c r="AU408" s="59">
        <f>'Balance Sheet'!AU10</f>
        <v>1848.721</v>
      </c>
      <c r="AV408" s="59">
        <f>'Balance Sheet'!AV10</f>
        <v>2533.9639999999999</v>
      </c>
      <c r="AW408" s="244">
        <f>AV408</f>
        <v>2533.9639999999999</v>
      </c>
      <c r="AX408" s="244"/>
      <c r="AY408" s="59">
        <f>'Balance Sheet'!AY10</f>
        <v>1696.32</v>
      </c>
      <c r="AZ408" s="59">
        <f>'Balance Sheet'!AZ10</f>
        <v>1935.7670000000001</v>
      </c>
      <c r="BA408" s="59">
        <f>'Balance Sheet'!BA10</f>
        <v>1952.1189999999999</v>
      </c>
      <c r="BB408" s="59">
        <f>'Balance Sheet'!BB10</f>
        <v>2432</v>
      </c>
      <c r="BC408" s="244">
        <f>BB408</f>
        <v>2432</v>
      </c>
      <c r="BD408" s="244"/>
      <c r="BE408" s="59">
        <f>'Balance Sheet'!BE10</f>
        <v>1759.8789999999999</v>
      </c>
      <c r="BF408" s="59">
        <f>'Balance Sheet'!BF10</f>
        <v>1812.6179999999999</v>
      </c>
      <c r="BG408" s="59">
        <f>'Balance Sheet'!BG10</f>
        <v>1621.413</v>
      </c>
      <c r="BH408" s="59">
        <f>'Balance Sheet'!BH10</f>
        <v>2036</v>
      </c>
      <c r="BI408" s="244">
        <f>BH408</f>
        <v>2036</v>
      </c>
      <c r="BJ408" s="244"/>
      <c r="BK408" s="59">
        <f>'Balance Sheet'!BK10</f>
        <v>1362</v>
      </c>
      <c r="BL408" s="59">
        <f>'Balance Sheet'!BL10</f>
        <v>1529</v>
      </c>
      <c r="BM408" s="59">
        <f>'Balance Sheet'!BM10</f>
        <v>1421</v>
      </c>
      <c r="BN408" s="59">
        <f>'Balance Sheet'!BN10</f>
        <v>1920</v>
      </c>
      <c r="BO408" s="244">
        <f>BN408</f>
        <v>1920</v>
      </c>
      <c r="BP408" s="244"/>
      <c r="BQ408" s="59">
        <f>'Balance Sheet'!BQ10</f>
        <v>1346</v>
      </c>
      <c r="BR408" s="59">
        <f>'Balance Sheet'!BR10</f>
        <v>1547</v>
      </c>
      <c r="BS408" s="59">
        <f>'Balance Sheet'!BS10</f>
        <v>1545</v>
      </c>
      <c r="BT408" s="59">
        <f>'Balance Sheet'!BT10</f>
        <v>2012</v>
      </c>
      <c r="BU408" s="244">
        <f>BT408</f>
        <v>2012</v>
      </c>
      <c r="BV408" s="244"/>
      <c r="BW408" s="59">
        <f>'Balance Sheet'!BW10</f>
        <v>1233</v>
      </c>
      <c r="BX408" s="59">
        <f>'Balance Sheet'!BX10</f>
        <v>1532</v>
      </c>
      <c r="BY408" s="59">
        <f>'Balance Sheet'!BY10</f>
        <v>1856</v>
      </c>
      <c r="BZ408" s="59">
        <f>'Balance Sheet'!BZ10</f>
        <v>2570</v>
      </c>
      <c r="CA408" s="244">
        <f>BZ408</f>
        <v>2570</v>
      </c>
      <c r="CB408" s="244"/>
      <c r="CC408" s="59">
        <f>'Balance Sheet'!CC10</f>
        <v>1651</v>
      </c>
      <c r="CD408" s="59">
        <f>'Balance Sheet'!CD10</f>
        <v>1976</v>
      </c>
      <c r="CE408" s="59">
        <f>'Balance Sheet'!CE10</f>
        <v>2201</v>
      </c>
      <c r="CF408" s="59">
        <f>'Balance Sheet'!CF10</f>
        <v>3022</v>
      </c>
      <c r="CG408" s="171">
        <f>CF408</f>
        <v>3022</v>
      </c>
      <c r="CH408" s="244"/>
      <c r="CI408" s="59">
        <f>'Balance Sheet'!CI10</f>
        <v>2118</v>
      </c>
      <c r="CJ408" s="59">
        <f>'Balance Sheet'!CJ10</f>
        <v>2543</v>
      </c>
      <c r="CK408" s="59">
        <f>'Balance Sheet'!CK10</f>
        <v>2795</v>
      </c>
      <c r="CL408" s="59">
        <f>'Balance Sheet'!CL10</f>
        <v>4074</v>
      </c>
      <c r="CM408" s="171">
        <f>CL408</f>
        <v>4074</v>
      </c>
      <c r="CN408" s="244"/>
      <c r="CO408" s="59">
        <f>'Balance Sheet'!CO10</f>
        <v>2735</v>
      </c>
      <c r="CP408" s="59">
        <f>'Balance Sheet'!CP10</f>
        <v>3264</v>
      </c>
      <c r="CQ408" s="59">
        <f>'Balance Sheet'!CQ10</f>
        <v>3235</v>
      </c>
      <c r="CR408" s="59">
        <f>'Balance Sheet'!CR10</f>
        <v>5127</v>
      </c>
      <c r="CS408" s="171">
        <f>CR408</f>
        <v>5127</v>
      </c>
      <c r="CT408" s="131"/>
      <c r="CU408" s="59">
        <f>'Balance Sheet'!CU10</f>
        <v>3260</v>
      </c>
      <c r="CV408" s="59">
        <f>'Balance Sheet'!CV10</f>
        <v>3253</v>
      </c>
      <c r="CW408" s="59">
        <f>'Balance Sheet'!CW10</f>
        <v>3025</v>
      </c>
      <c r="CX408" s="59">
        <f>'Balance Sheet'!CX10</f>
        <v>4430</v>
      </c>
      <c r="CY408" s="171">
        <f>CX408</f>
        <v>4430</v>
      </c>
      <c r="CZ408" s="131"/>
      <c r="DA408" s="59">
        <f>'Balance Sheet'!DA10</f>
        <v>2584</v>
      </c>
      <c r="DB408" s="59">
        <f>'Balance Sheet'!DB10</f>
        <v>3086</v>
      </c>
      <c r="DC408" s="59">
        <f>'Balance Sheet'!DC10</f>
        <v>3898</v>
      </c>
      <c r="DD408" s="59">
        <f>'Balance Sheet'!DD10</f>
        <v>5585</v>
      </c>
      <c r="DE408" s="171">
        <f>DD408</f>
        <v>5585</v>
      </c>
      <c r="DF408" s="131"/>
      <c r="DG408" s="59">
        <f>'Balance Sheet'!DG10</f>
        <v>3721</v>
      </c>
      <c r="DH408" s="59">
        <f>'Balance Sheet'!DH10</f>
        <v>4406</v>
      </c>
      <c r="DI408" s="59">
        <f>'Balance Sheet'!DI10</f>
        <v>4495</v>
      </c>
      <c r="DJ408" s="59">
        <f>'Balance Sheet'!DJ10</f>
        <v>6628</v>
      </c>
      <c r="DK408" s="171">
        <f>DJ408</f>
        <v>6628</v>
      </c>
      <c r="DL408" s="131"/>
      <c r="DM408" s="59">
        <f>'Balance Sheet'!DM10</f>
        <v>4194</v>
      </c>
      <c r="DN408" s="59">
        <f>'Balance Sheet'!DN10</f>
        <v>4434</v>
      </c>
      <c r="DO408" s="59">
        <f>'Balance Sheet'!DO10</f>
        <v>4656</v>
      </c>
      <c r="DP408" s="59">
        <f>'Balance Sheet'!DP10</f>
        <v>6377</v>
      </c>
      <c r="DQ408" s="171">
        <f>DP408</f>
        <v>6377</v>
      </c>
      <c r="DR408" s="131"/>
      <c r="DS408" s="59">
        <f>'Balance Sheet'!DS10</f>
        <v>3775</v>
      </c>
      <c r="DT408" s="59">
        <f>'Balance Sheet'!DT10</f>
        <v>4401</v>
      </c>
      <c r="DU408" s="59">
        <f>'Balance Sheet'!DU10</f>
        <v>4169</v>
      </c>
      <c r="DV408" s="59">
        <f>'Balance Sheet'!DV10</f>
        <v>6049</v>
      </c>
      <c r="DW408" s="171">
        <f>DV408</f>
        <v>6049</v>
      </c>
      <c r="DX408" s="131"/>
      <c r="DY408" s="59">
        <f>'Balance Sheet'!DY10</f>
        <v>3450</v>
      </c>
      <c r="DZ408" s="59">
        <f>'Balance Sheet'!DZ10</f>
        <v>4192</v>
      </c>
      <c r="EA408" s="59">
        <f>'Balance Sheet'!EA10</f>
        <v>4071</v>
      </c>
      <c r="EB408" s="59">
        <f>'Balance Sheet'!EB10</f>
        <v>6087</v>
      </c>
      <c r="EC408" s="171">
        <f>EB408</f>
        <v>6087</v>
      </c>
      <c r="ED408" s="131"/>
      <c r="EE408" s="59">
        <f>'Balance Sheet'!EE10</f>
        <v>3551</v>
      </c>
      <c r="EF408" s="59">
        <f>'Balance Sheet'!EF10</f>
        <v>4326</v>
      </c>
      <c r="EG408" s="59">
        <f>'Balance Sheet'!EG10</f>
        <v>4178</v>
      </c>
      <c r="EH408" s="59">
        <f>'Balance Sheet'!EH10</f>
        <v>5618</v>
      </c>
      <c r="EI408" s="171">
        <f>EH408</f>
        <v>5618</v>
      </c>
      <c r="EJ408" s="131"/>
      <c r="EK408" s="59">
        <f>'Balance Sheet'!EK10</f>
        <v>3475</v>
      </c>
      <c r="EL408" s="59">
        <f>'Balance Sheet'!EL10</f>
        <v>3956</v>
      </c>
      <c r="EM408" s="59">
        <f>'Balance Sheet'!EM10</f>
        <v>3844</v>
      </c>
      <c r="EN408" s="59">
        <f>'Balance Sheet'!EN10</f>
        <v>5385</v>
      </c>
      <c r="EO408" s="171">
        <f>EN408</f>
        <v>5385</v>
      </c>
      <c r="EP408" s="131"/>
      <c r="EQ408" s="59">
        <f>'Balance Sheet'!EQ10</f>
        <v>3407</v>
      </c>
      <c r="ER408" s="59">
        <f>'Balance Sheet'!ER10</f>
        <v>3690</v>
      </c>
      <c r="ES408" s="59">
        <f>'Balance Sheet'!ES10</f>
        <v>3721</v>
      </c>
      <c r="ET408" s="59">
        <f>'Balance Sheet'!ET10</f>
        <v>5300</v>
      </c>
      <c r="EU408" s="171">
        <f>ET408</f>
        <v>5300</v>
      </c>
      <c r="EV408" s="131"/>
      <c r="EW408" s="59">
        <f>'Balance Sheet'!EW10</f>
        <v>3591</v>
      </c>
      <c r="EX408" s="59">
        <f>'Balance Sheet'!EX10</f>
        <v>3798</v>
      </c>
      <c r="EY408" s="59">
        <f>'Balance Sheet'!EY10</f>
        <v>3902</v>
      </c>
      <c r="EZ408" s="59">
        <f>'Balance Sheet'!EZ10</f>
        <v>5544.7908177887321</v>
      </c>
      <c r="FA408" s="171">
        <f>EZ408</f>
        <v>5544.7908177887321</v>
      </c>
      <c r="FB408" s="131"/>
      <c r="FC408" s="59">
        <f>'Balance Sheet'!FC10</f>
        <v>3828.6267712162062</v>
      </c>
      <c r="FD408" s="59">
        <f>'Balance Sheet'!FD10</f>
        <v>4047.6874153901058</v>
      </c>
      <c r="FE408" s="59">
        <f>'Balance Sheet'!FE10</f>
        <v>4140.1943213442692</v>
      </c>
      <c r="FF408" s="59">
        <f>'Balance Sheet'!FF10</f>
        <v>5777.4421468946211</v>
      </c>
      <c r="FG408" s="171">
        <f>FF408</f>
        <v>5777.4421468946211</v>
      </c>
      <c r="FH408" s="131"/>
      <c r="FI408" s="59">
        <f>'Balance Sheet'!FI10</f>
        <v>4095.5090540998053</v>
      </c>
      <c r="FJ408" s="59">
        <f>'Balance Sheet'!FJ10</f>
        <v>4308.9853225638781</v>
      </c>
      <c r="FK408" s="59">
        <f>'Balance Sheet'!FK10</f>
        <v>4399.032880844894</v>
      </c>
      <c r="FL408" s="59">
        <f>'Balance Sheet'!FL10</f>
        <v>6045.4530023826856</v>
      </c>
      <c r="FM408" s="171">
        <f>FL408</f>
        <v>6045.4530023826856</v>
      </c>
      <c r="FQ408"/>
      <c r="FR408"/>
      <c r="FS408"/>
      <c r="FT408"/>
      <c r="FU408"/>
      <c r="FV408"/>
      <c r="GB408" s="24"/>
      <c r="GC408" s="24"/>
      <c r="GD408" s="24"/>
      <c r="GE408" s="24"/>
      <c r="GF408" s="24"/>
      <c r="GG408" s="24"/>
      <c r="GH408" s="24"/>
      <c r="GI408" s="24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  <c r="HB408"/>
      <c r="HC408"/>
      <c r="HD408"/>
      <c r="HE408"/>
      <c r="HF408"/>
      <c r="HG408"/>
      <c r="HH408"/>
      <c r="HI408"/>
      <c r="HJ408"/>
      <c r="HK408"/>
      <c r="HL408"/>
      <c r="HM408"/>
      <c r="HN408"/>
      <c r="HO408"/>
      <c r="HP408"/>
      <c r="HQ408"/>
      <c r="HR408"/>
      <c r="HS408"/>
      <c r="HT408"/>
      <c r="HU408"/>
      <c r="HV408"/>
      <c r="HW408"/>
      <c r="HX408"/>
      <c r="HY408"/>
      <c r="HZ408"/>
      <c r="IA408"/>
      <c r="IB408"/>
      <c r="IC408"/>
      <c r="ID408"/>
      <c r="IE408"/>
      <c r="IF408"/>
      <c r="IG408"/>
      <c r="IH408"/>
      <c r="II408"/>
      <c r="IJ408"/>
      <c r="IK408"/>
      <c r="IL408"/>
      <c r="IM408"/>
      <c r="IN408"/>
      <c r="IO408"/>
      <c r="IP408"/>
      <c r="IQ408"/>
      <c r="IR408"/>
      <c r="IS408"/>
      <c r="IT408"/>
      <c r="IU408"/>
      <c r="IV408"/>
      <c r="IW408"/>
      <c r="IX408"/>
      <c r="IY408"/>
      <c r="IZ408"/>
      <c r="JA408"/>
      <c r="JB408"/>
      <c r="JC408"/>
      <c r="JD408"/>
      <c r="JE408"/>
      <c r="JF408"/>
      <c r="JG408"/>
      <c r="JH408"/>
      <c r="JI408"/>
      <c r="JJ408"/>
      <c r="JK408"/>
      <c r="JL408"/>
      <c r="JM408"/>
      <c r="JN408"/>
    </row>
    <row r="409" spans="1:274" s="27" customFormat="1" x14ac:dyDescent="0.2">
      <c r="A409" s="244" t="s">
        <v>791</v>
      </c>
      <c r="B409" s="476"/>
      <c r="C409" s="59" t="str">
        <f>'Balance Sheet'!C122</f>
        <v>-</v>
      </c>
      <c r="D409" s="59">
        <f>'Balance Sheet'!D122</f>
        <v>0.27500000000000002</v>
      </c>
      <c r="E409" s="59">
        <f>'Balance Sheet'!E122</f>
        <v>1.2709999999999999</v>
      </c>
      <c r="F409" s="59">
        <f>'Balance Sheet'!F122</f>
        <v>6.6280000000000001</v>
      </c>
      <c r="G409" s="59">
        <f>'Balance Sheet'!G122</f>
        <v>10.102</v>
      </c>
      <c r="H409" s="59">
        <f>'Balance Sheet'!H122</f>
        <v>16.829000000000001</v>
      </c>
      <c r="I409" s="59">
        <f>'Balance Sheet'!I122</f>
        <v>28.445</v>
      </c>
      <c r="J409" s="59">
        <f>'Balance Sheet'!J122</f>
        <v>66.444999999999993</v>
      </c>
      <c r="K409" s="59">
        <f>'Balance Sheet'!K122</f>
        <v>50.406999999999996</v>
      </c>
      <c r="L409" s="59">
        <f>'Balance Sheet'!L122</f>
        <v>34.634</v>
      </c>
      <c r="M409" s="59">
        <f>'Balance Sheet'!M122</f>
        <v>39.777000000000001</v>
      </c>
      <c r="N409" s="244"/>
      <c r="O409" s="59" t="str">
        <f>'Balance Sheet'!O122</f>
        <v>-</v>
      </c>
      <c r="P409" s="59" t="str">
        <f>'Balance Sheet'!P122</f>
        <v>-</v>
      </c>
      <c r="Q409" s="59" t="str">
        <f>'Balance Sheet'!Q122</f>
        <v>-</v>
      </c>
      <c r="R409" s="59">
        <f>'Balance Sheet'!R122</f>
        <v>67.727999999999994</v>
      </c>
      <c r="S409" s="244">
        <f>R409</f>
        <v>67.727999999999994</v>
      </c>
      <c r="T409" s="244"/>
      <c r="U409" s="59" t="str">
        <f>'Balance Sheet'!U122</f>
        <v>-</v>
      </c>
      <c r="V409" s="59" t="str">
        <f>'Balance Sheet'!V122</f>
        <v>-</v>
      </c>
      <c r="W409" s="59" t="str">
        <f>'Balance Sheet'!W122</f>
        <v>-</v>
      </c>
      <c r="X409" s="59">
        <f>'Balance Sheet'!X122</f>
        <v>105.711</v>
      </c>
      <c r="Y409" s="244">
        <f>X409</f>
        <v>105.711</v>
      </c>
      <c r="Z409" s="244"/>
      <c r="AA409" s="59" t="str">
        <f>'Balance Sheet'!AA122</f>
        <v>-</v>
      </c>
      <c r="AB409" s="59" t="str">
        <f>'Balance Sheet'!AB122</f>
        <v>-</v>
      </c>
      <c r="AC409" s="59" t="str">
        <f>'Balance Sheet'!AC122</f>
        <v>-</v>
      </c>
      <c r="AD409" s="59">
        <f>'Balance Sheet'!AD122</f>
        <v>127.84</v>
      </c>
      <c r="AE409" s="244">
        <f>AD409</f>
        <v>127.84</v>
      </c>
      <c r="AF409" s="244"/>
      <c r="AG409" s="59" t="str">
        <f>'Balance Sheet'!AG122</f>
        <v>-</v>
      </c>
      <c r="AH409" s="59" t="str">
        <f>'Balance Sheet'!AH122</f>
        <v>-</v>
      </c>
      <c r="AI409" s="59" t="str">
        <f>'Balance Sheet'!AI122</f>
        <v>-</v>
      </c>
      <c r="AJ409" s="59">
        <f>'Balance Sheet'!AJ122</f>
        <v>195.60900000000001</v>
      </c>
      <c r="AK409" s="244">
        <f>AJ409</f>
        <v>195.60900000000001</v>
      </c>
      <c r="AL409" s="244"/>
      <c r="AM409" s="59" t="str">
        <f>'Balance Sheet'!AM122</f>
        <v>-</v>
      </c>
      <c r="AN409" s="59" t="str">
        <f>'Balance Sheet'!AN122</f>
        <v>-</v>
      </c>
      <c r="AO409" s="59" t="str">
        <f>'Balance Sheet'!AO122</f>
        <v>-</v>
      </c>
      <c r="AP409" s="59">
        <f>'Balance Sheet'!AP122</f>
        <v>217.096</v>
      </c>
      <c r="AQ409" s="244">
        <f>AP409</f>
        <v>217.096</v>
      </c>
      <c r="AR409" s="244"/>
      <c r="AS409" s="59" t="str">
        <f>'Balance Sheet'!AS122</f>
        <v>-</v>
      </c>
      <c r="AT409" s="59" t="str">
        <f>'Balance Sheet'!AT122</f>
        <v>-</v>
      </c>
      <c r="AU409" s="59" t="str">
        <f>'Balance Sheet'!AU122</f>
        <v>-</v>
      </c>
      <c r="AV409" s="59">
        <f>'Balance Sheet'!AV122</f>
        <v>272.20299999999997</v>
      </c>
      <c r="AW409" s="244">
        <f>AV409</f>
        <v>272.20299999999997</v>
      </c>
      <c r="AX409" s="244"/>
      <c r="AY409" s="59">
        <f>'Balance Sheet'!AY122</f>
        <v>262.95800000000003</v>
      </c>
      <c r="AZ409" s="59">
        <f>'Balance Sheet'!AZ122</f>
        <v>304.79300000000001</v>
      </c>
      <c r="BA409" s="59">
        <f>'Balance Sheet'!BA122</f>
        <v>317.97000000000003</v>
      </c>
      <c r="BB409" s="59">
        <f>'Balance Sheet'!BB122</f>
        <v>403</v>
      </c>
      <c r="BC409" s="244">
        <f>BB409</f>
        <v>403</v>
      </c>
      <c r="BD409" s="244"/>
      <c r="BE409" s="59">
        <f>'Balance Sheet'!BE122</f>
        <v>399.53100000000001</v>
      </c>
      <c r="BF409" s="59">
        <f>'Balance Sheet'!BF122</f>
        <v>380.96199999999999</v>
      </c>
      <c r="BG409" s="59">
        <f>'Balance Sheet'!BG122</f>
        <v>387.28300000000002</v>
      </c>
      <c r="BH409" s="59">
        <f>'Balance Sheet'!BH122</f>
        <v>413</v>
      </c>
      <c r="BI409" s="244">
        <f>BH409</f>
        <v>413</v>
      </c>
      <c r="BJ409" s="244"/>
      <c r="BK409" s="59">
        <f>'Balance Sheet'!BK122</f>
        <v>400</v>
      </c>
      <c r="BL409" s="59">
        <f>'Balance Sheet'!BL122</f>
        <v>362</v>
      </c>
      <c r="BM409" s="59">
        <f>'Balance Sheet'!BM122</f>
        <v>368</v>
      </c>
      <c r="BN409" s="59">
        <f>'Balance Sheet'!BN122</f>
        <v>376</v>
      </c>
      <c r="BO409" s="244">
        <f>BN409</f>
        <v>376</v>
      </c>
      <c r="BP409" s="244"/>
      <c r="BQ409" s="59">
        <f>'Balance Sheet'!BQ122</f>
        <v>354</v>
      </c>
      <c r="BR409" s="59">
        <f>'Balance Sheet'!BR122</f>
        <v>363</v>
      </c>
      <c r="BS409" s="59">
        <f>'Balance Sheet'!BS122</f>
        <v>358</v>
      </c>
      <c r="BT409" s="59">
        <f>'Balance Sheet'!BT122</f>
        <v>364</v>
      </c>
      <c r="BU409" s="244">
        <f>BT409</f>
        <v>364</v>
      </c>
      <c r="BV409" s="244"/>
      <c r="BW409" s="59">
        <f>'Balance Sheet'!BW122</f>
        <v>367</v>
      </c>
      <c r="BX409" s="59">
        <f>'Balance Sheet'!BX122</f>
        <v>313</v>
      </c>
      <c r="BY409" s="59">
        <f>'Balance Sheet'!BY122</f>
        <v>290</v>
      </c>
      <c r="BZ409" s="59">
        <f>'Balance Sheet'!BZ122</f>
        <v>269</v>
      </c>
      <c r="CA409" s="244">
        <f>BZ409</f>
        <v>269</v>
      </c>
      <c r="CB409" s="244"/>
      <c r="CC409" s="59">
        <f>'Balance Sheet'!CC122</f>
        <v>260</v>
      </c>
      <c r="CD409" s="59">
        <f>'Balance Sheet'!CD122</f>
        <v>275</v>
      </c>
      <c r="CE409" s="59">
        <f>'Balance Sheet'!CE122</f>
        <v>307</v>
      </c>
      <c r="CF409" s="59">
        <f>'Balance Sheet'!CF122</f>
        <v>325</v>
      </c>
      <c r="CG409" s="171">
        <f>CF409</f>
        <v>325</v>
      </c>
      <c r="CH409" s="244"/>
      <c r="CI409" s="59">
        <f>'Balance Sheet'!CI122</f>
        <v>315.10920302864724</v>
      </c>
      <c r="CJ409" s="59">
        <f>'Balance Sheet'!CJ122</f>
        <v>334.28582050710094</v>
      </c>
      <c r="CK409" s="59">
        <f>'Balance Sheet'!CK122</f>
        <v>347</v>
      </c>
      <c r="CL409" s="59">
        <f>'Balance Sheet'!CL122</f>
        <v>306</v>
      </c>
      <c r="CM409" s="171">
        <f>CL409</f>
        <v>306</v>
      </c>
      <c r="CN409" s="244"/>
      <c r="CO409" s="59">
        <f>'Balance Sheet'!CO122</f>
        <v>283</v>
      </c>
      <c r="CP409" s="59">
        <f>'Balance Sheet'!CP122</f>
        <v>258</v>
      </c>
      <c r="CQ409" s="59">
        <f>'Balance Sheet'!CQ122</f>
        <v>251</v>
      </c>
      <c r="CR409" s="59">
        <f>'Balance Sheet'!CR122</f>
        <v>303</v>
      </c>
      <c r="CS409" s="171">
        <f>CR409</f>
        <v>303</v>
      </c>
      <c r="CT409" s="131"/>
      <c r="CU409" s="59">
        <f>'Balance Sheet'!CU122</f>
        <v>306</v>
      </c>
      <c r="CV409" s="59">
        <f>'Balance Sheet'!CV122</f>
        <v>301</v>
      </c>
      <c r="CW409" s="59">
        <f>'Balance Sheet'!CW122</f>
        <v>281</v>
      </c>
      <c r="CX409" s="59">
        <f>'Balance Sheet'!CX122</f>
        <v>270</v>
      </c>
      <c r="CY409" s="171">
        <f>CX409</f>
        <v>270</v>
      </c>
      <c r="CZ409" s="131"/>
      <c r="DA409" s="59">
        <f>'Balance Sheet'!DA122</f>
        <v>245</v>
      </c>
      <c r="DB409" s="59">
        <f>'Balance Sheet'!DB122</f>
        <v>265</v>
      </c>
      <c r="DC409" s="59">
        <f>'Balance Sheet'!DC122</f>
        <v>273</v>
      </c>
      <c r="DD409" s="59">
        <f>'Balance Sheet'!DD122</f>
        <v>305</v>
      </c>
      <c r="DE409" s="171">
        <f>DD409</f>
        <v>305</v>
      </c>
      <c r="DF409" s="131"/>
      <c r="DG409" s="59">
        <f>'Balance Sheet'!DG122</f>
        <v>329</v>
      </c>
      <c r="DH409" s="59">
        <f>'Balance Sheet'!DH122</f>
        <v>346</v>
      </c>
      <c r="DI409" s="59">
        <f>'Balance Sheet'!DI122</f>
        <v>273</v>
      </c>
      <c r="DJ409" s="59">
        <f>'Balance Sheet'!DJ122</f>
        <v>372</v>
      </c>
      <c r="DK409" s="171">
        <f>DJ409</f>
        <v>372</v>
      </c>
      <c r="DL409" s="131"/>
      <c r="DM409" s="59">
        <f>'Balance Sheet'!DM122</f>
        <v>383</v>
      </c>
      <c r="DN409" s="59">
        <f>'Balance Sheet'!DN122</f>
        <v>352</v>
      </c>
      <c r="DO409" s="59">
        <f>'Balance Sheet'!DO122</f>
        <v>349</v>
      </c>
      <c r="DP409" s="59">
        <f>'Balance Sheet'!DP122</f>
        <v>372.21498900000006</v>
      </c>
      <c r="DQ409" s="171">
        <f>DP409</f>
        <v>372.21498900000006</v>
      </c>
      <c r="DR409" s="131"/>
      <c r="DS409" s="59">
        <f>'Balance Sheet'!DS122</f>
        <v>298.024</v>
      </c>
      <c r="DT409" s="59">
        <f>'Balance Sheet'!DT122</f>
        <v>298.6759912</v>
      </c>
      <c r="DU409" s="59">
        <f>'Balance Sheet'!DU122</f>
        <v>349</v>
      </c>
      <c r="DV409" s="59">
        <f>'Balance Sheet'!DV122</f>
        <v>372.21498900000006</v>
      </c>
      <c r="DW409" s="171">
        <f>DV409</f>
        <v>372.21498900000006</v>
      </c>
      <c r="DX409" s="131"/>
      <c r="DY409" s="59">
        <f>'Balance Sheet'!DY122</f>
        <v>298.024</v>
      </c>
      <c r="DZ409" s="59">
        <f>'Balance Sheet'!DZ122</f>
        <v>300.76</v>
      </c>
      <c r="EA409" s="59">
        <f>'Balance Sheet'!EA122</f>
        <v>379.40000000000003</v>
      </c>
      <c r="EB409" s="59">
        <f>'Balance Sheet'!EB122</f>
        <v>372.53000000000003</v>
      </c>
      <c r="EC409" s="171">
        <f>EB409</f>
        <v>372.53000000000003</v>
      </c>
      <c r="ED409" s="131"/>
      <c r="EE409" s="59">
        <f>'Balance Sheet'!EE122</f>
        <v>308.18400000000003</v>
      </c>
      <c r="EF409" s="59">
        <f>'Balance Sheet'!EF122</f>
        <v>310.78399999999999</v>
      </c>
      <c r="EG409" s="59">
        <f>'Balance Sheet'!EG122</f>
        <v>388.67</v>
      </c>
      <c r="EH409" s="59">
        <f>'Balance Sheet'!EH122</f>
        <v>382.53000000000003</v>
      </c>
      <c r="EI409" s="171">
        <f>EH409</f>
        <v>382.53000000000003</v>
      </c>
      <c r="EJ409" s="131"/>
      <c r="EK409" s="59">
        <f>'Balance Sheet'!EK122</f>
        <v>304.84000000000003</v>
      </c>
      <c r="EL409" s="59">
        <f>'Balance Sheet'!EL122</f>
        <v>299.94400000000002</v>
      </c>
      <c r="EM409" s="59">
        <f>'Balance Sheet'!EM122</f>
        <v>371.73</v>
      </c>
      <c r="EN409" s="59">
        <f>'Balance Sheet'!EN122</f>
        <v>370.57</v>
      </c>
      <c r="EO409" s="171">
        <f>EN409</f>
        <v>370.57</v>
      </c>
      <c r="EP409" s="131"/>
      <c r="EQ409" s="59">
        <f>'Balance Sheet'!EQ122</f>
        <v>297.75200000000001</v>
      </c>
      <c r="ER409" s="59">
        <f>'Balance Sheet'!ER122</f>
        <v>298.34224</v>
      </c>
      <c r="ES409" s="59">
        <f>'Balance Sheet'!ES122</f>
        <v>375.52780000000001</v>
      </c>
      <c r="ET409" s="59">
        <f>'Balance Sheet'!ET122</f>
        <v>378.9778</v>
      </c>
      <c r="EU409" s="171">
        <f>ET409</f>
        <v>378.9778</v>
      </c>
      <c r="EV409" s="131"/>
      <c r="EW409" s="59">
        <f>'Balance Sheet'!EW122</f>
        <v>307.97424000000001</v>
      </c>
      <c r="EX409" s="59">
        <f>'Balance Sheet'!EX122</f>
        <v>312.45600000000002</v>
      </c>
      <c r="EY409" s="59">
        <f>'Balance Sheet'!EY122</f>
        <v>395.59000000000003</v>
      </c>
      <c r="EZ409" s="59">
        <f>'Balance Sheet'!EZ122</f>
        <v>398.07672666097716</v>
      </c>
      <c r="FA409" s="171">
        <f>EZ409</f>
        <v>398.07672666097716</v>
      </c>
      <c r="FB409" s="131"/>
      <c r="FC409" s="59">
        <f>'Balance Sheet'!FC122</f>
        <v>321.1605386017207</v>
      </c>
      <c r="FD409" s="59">
        <f>'Balance Sheet'!FD122</f>
        <v>323.97555485822619</v>
      </c>
      <c r="FE409" s="59">
        <f>'Balance Sheet'!FE122</f>
        <v>408.12779848838301</v>
      </c>
      <c r="FF409" s="59">
        <f>'Balance Sheet'!FF122</f>
        <v>410.26584372989311</v>
      </c>
      <c r="FG409" s="171">
        <f>FF409</f>
        <v>410.26584372989311</v>
      </c>
      <c r="FH409" s="131"/>
      <c r="FI409" s="59">
        <f>'Balance Sheet'!FI122</f>
        <v>331.33427396974866</v>
      </c>
      <c r="FJ409" s="59">
        <f>'Balance Sheet'!FJ122</f>
        <v>334.22208653934518</v>
      </c>
      <c r="FK409" s="59">
        <f>'Balance Sheet'!FK122</f>
        <v>421.25933444613906</v>
      </c>
      <c r="FL409" s="59">
        <f>'Balance Sheet'!FL122</f>
        <v>423.98855939974123</v>
      </c>
      <c r="FM409" s="171">
        <f>FL409</f>
        <v>423.98855939974123</v>
      </c>
      <c r="FQ409"/>
      <c r="FR409"/>
      <c r="FS409"/>
      <c r="FT409"/>
      <c r="FU409"/>
      <c r="FV409"/>
      <c r="GB409" s="24"/>
      <c r="GC409" s="24"/>
      <c r="GD409" s="24"/>
      <c r="GE409" s="24"/>
      <c r="GF409" s="24"/>
      <c r="GG409" s="24"/>
      <c r="GH409" s="24"/>
      <c r="GI409" s="24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  <c r="HB409"/>
      <c r="HC409"/>
      <c r="HD409"/>
      <c r="HE409"/>
      <c r="HF409"/>
      <c r="HG409"/>
      <c r="HH409"/>
      <c r="HI409"/>
      <c r="HJ409"/>
      <c r="HK409"/>
      <c r="HL409"/>
      <c r="HM409"/>
      <c r="HN409"/>
      <c r="HO409"/>
      <c r="HP409"/>
      <c r="HQ409"/>
      <c r="HR409"/>
      <c r="HS409"/>
      <c r="HT409"/>
      <c r="HU409"/>
      <c r="HV409"/>
      <c r="HW409"/>
      <c r="HX409"/>
      <c r="HY409"/>
      <c r="HZ409"/>
      <c r="IA409"/>
      <c r="IB409"/>
      <c r="IC409"/>
      <c r="ID409"/>
      <c r="IE409"/>
      <c r="IF409"/>
      <c r="IG409"/>
      <c r="IH409"/>
      <c r="II409"/>
      <c r="IJ409"/>
      <c r="IK409"/>
      <c r="IL409"/>
      <c r="IM409"/>
      <c r="IN409"/>
      <c r="IO409"/>
      <c r="IP409"/>
      <c r="IQ409"/>
      <c r="IR409"/>
      <c r="IS409"/>
      <c r="IT409"/>
      <c r="IU409"/>
      <c r="IV409"/>
      <c r="IW409"/>
      <c r="IX409"/>
      <c r="IY409"/>
      <c r="IZ409"/>
      <c r="JA409"/>
      <c r="JB409"/>
      <c r="JC409"/>
      <c r="JD409"/>
      <c r="JE409"/>
      <c r="JF409"/>
      <c r="JG409"/>
      <c r="JH409"/>
      <c r="JI409"/>
      <c r="JJ409"/>
      <c r="JK409"/>
      <c r="JL409"/>
      <c r="JM409"/>
      <c r="JN409"/>
    </row>
    <row r="410" spans="1:274" s="27" customFormat="1" x14ac:dyDescent="0.2">
      <c r="A410" s="244" t="s">
        <v>827</v>
      </c>
      <c r="B410" s="476"/>
      <c r="C410" s="59" t="str">
        <f>'Balance Sheet'!C32</f>
        <v>-</v>
      </c>
      <c r="D410" s="59">
        <f>'Balance Sheet'!D32</f>
        <v>1.373</v>
      </c>
      <c r="E410" s="59">
        <f>'Balance Sheet'!E32</f>
        <v>5.641</v>
      </c>
      <c r="F410" s="59">
        <f>'Balance Sheet'!F32</f>
        <v>9.0250000000000004</v>
      </c>
      <c r="G410" s="59">
        <f>'Balance Sheet'!G32</f>
        <v>5.3630000000000004</v>
      </c>
      <c r="H410" s="59">
        <f>'Balance Sheet'!H32</f>
        <v>33.506</v>
      </c>
      <c r="I410" s="59">
        <f>'Balance Sheet'!I32</f>
        <v>89.129000000000005</v>
      </c>
      <c r="J410" s="59">
        <f>'Balance Sheet'!J32</f>
        <v>17.991</v>
      </c>
      <c r="K410" s="59">
        <f>'Balance Sheet'!K32</f>
        <v>95.935000000000002</v>
      </c>
      <c r="L410" s="59">
        <f>'Balance Sheet'!L32</f>
        <v>86.38</v>
      </c>
      <c r="M410" s="59">
        <f>'Balance Sheet'!M32</f>
        <v>82.844999999999999</v>
      </c>
      <c r="N410" s="59"/>
      <c r="O410" s="59">
        <f>'Balance Sheet'!O32</f>
        <v>82.686000000000007</v>
      </c>
      <c r="P410" s="59">
        <f>'Balance Sheet'!P32</f>
        <v>82.417000000000002</v>
      </c>
      <c r="Q410" s="59">
        <f>'Balance Sheet'!Q32</f>
        <v>81.888999999999996</v>
      </c>
      <c r="R410" s="59">
        <f>'Balance Sheet'!R32</f>
        <v>81.721000000000004</v>
      </c>
      <c r="S410" s="244">
        <f>R410</f>
        <v>81.721000000000004</v>
      </c>
      <c r="T410" s="59"/>
      <c r="U410" s="59">
        <f>'Balance Sheet'!U32</f>
        <v>81.346999999999994</v>
      </c>
      <c r="V410" s="59">
        <f>'Balance Sheet'!V32</f>
        <v>81.242999999999995</v>
      </c>
      <c r="W410" s="59">
        <f>'Balance Sheet'!W32</f>
        <v>81.082999999999998</v>
      </c>
      <c r="X410" s="59">
        <f>'Balance Sheet'!X32</f>
        <v>0.89700000000000002</v>
      </c>
      <c r="Y410" s="244">
        <f>X410</f>
        <v>0.89700000000000002</v>
      </c>
      <c r="Z410" s="244"/>
      <c r="AA410" s="59">
        <f>'Balance Sheet'!AA32</f>
        <v>0.85299999999999998</v>
      </c>
      <c r="AB410" s="59">
        <f>'Balance Sheet'!AB32</f>
        <v>0.96399999999999997</v>
      </c>
      <c r="AC410" s="59">
        <f>'Balance Sheet'!AC32</f>
        <v>300.95</v>
      </c>
      <c r="AD410" s="59">
        <f>'Balance Sheet'!AD32</f>
        <v>300.83600000000001</v>
      </c>
      <c r="AE410" s="244">
        <f>AD410</f>
        <v>300.83600000000001</v>
      </c>
      <c r="AF410" s="244"/>
      <c r="AG410" s="59">
        <f>'Balance Sheet'!AG32</f>
        <v>300.74200000000002</v>
      </c>
      <c r="AH410" s="59">
        <f>'Balance Sheet'!AH32</f>
        <v>304.60199999999998</v>
      </c>
      <c r="AI410" s="59">
        <f>'Balance Sheet'!AI32</f>
        <v>304.5</v>
      </c>
      <c r="AJ410" s="59">
        <f>'Balance Sheet'!AJ32</f>
        <v>304.33699999999999</v>
      </c>
      <c r="AK410" s="244">
        <f>AJ410</f>
        <v>304.33699999999999</v>
      </c>
      <c r="AL410" s="244"/>
      <c r="AM410" s="59">
        <f>'Balance Sheet'!AM32</f>
        <v>304.20400000000001</v>
      </c>
      <c r="AN410" s="59">
        <f>'Balance Sheet'!AN32</f>
        <v>304.20100000000002</v>
      </c>
      <c r="AO410" s="59">
        <f>'Balance Sheet'!AO32</f>
        <v>304.13799999999998</v>
      </c>
      <c r="AP410" s="59">
        <f>'Balance Sheet'!AP32</f>
        <v>304.14</v>
      </c>
      <c r="AQ410" s="244">
        <f>AP410</f>
        <v>304.14</v>
      </c>
      <c r="AR410" s="244"/>
      <c r="AS410" s="59">
        <f>'Balance Sheet'!AS32</f>
        <v>300.80599999999998</v>
      </c>
      <c r="AT410" s="59">
        <f>'Balance Sheet'!AT32</f>
        <v>300.66199999999998</v>
      </c>
      <c r="AU410" s="59">
        <f>'Balance Sheet'!AU32</f>
        <v>304.77199999999999</v>
      </c>
      <c r="AV410" s="59">
        <f>'Balance Sheet'!AV32</f>
        <v>298.77</v>
      </c>
      <c r="AW410" s="244">
        <f>AV410</f>
        <v>298.77</v>
      </c>
      <c r="AX410" s="244"/>
      <c r="AY410" s="59">
        <f>'Balance Sheet'!AY32</f>
        <v>300.73099999999999</v>
      </c>
      <c r="AZ410" s="59">
        <f>'Balance Sheet'!AZ32</f>
        <v>300.80200000000002</v>
      </c>
      <c r="BA410" s="59">
        <f>'Balance Sheet'!BA32</f>
        <v>300.93099999999998</v>
      </c>
      <c r="BB410" s="59">
        <f>'Balance Sheet'!BB32</f>
        <v>301</v>
      </c>
      <c r="BC410" s="244">
        <f>BB410</f>
        <v>301</v>
      </c>
      <c r="BD410" s="244"/>
      <c r="BE410" s="59">
        <f>'Balance Sheet'!BE32</f>
        <v>300.87200000000001</v>
      </c>
      <c r="BF410" s="59">
        <f>'Balance Sheet'!BF32</f>
        <v>300.73099999999999</v>
      </c>
      <c r="BG410" s="59">
        <f>'Balance Sheet'!BG32</f>
        <v>300.89</v>
      </c>
      <c r="BH410" s="59">
        <f>'Balance Sheet'!BH32</f>
        <v>298</v>
      </c>
      <c r="BI410" s="244">
        <f>BH410</f>
        <v>298</v>
      </c>
      <c r="BJ410" s="244"/>
      <c r="BK410" s="59">
        <f>'Balance Sheet'!BK32</f>
        <v>311</v>
      </c>
      <c r="BL410" s="59">
        <f>'Balance Sheet'!BL32</f>
        <v>313</v>
      </c>
      <c r="BM410" s="59">
        <f>'Balance Sheet'!BM32</f>
        <v>162</v>
      </c>
      <c r="BN410" s="59">
        <f>'Balance Sheet'!BN32</f>
        <v>175</v>
      </c>
      <c r="BO410" s="244">
        <f>BN410</f>
        <v>175</v>
      </c>
      <c r="BP410" s="244"/>
      <c r="BQ410" s="59">
        <f>'Balance Sheet'!BQ32</f>
        <v>168</v>
      </c>
      <c r="BR410" s="59">
        <f>'Balance Sheet'!BR32</f>
        <v>169</v>
      </c>
      <c r="BS410" s="59">
        <f>'Balance Sheet'!BS32</f>
        <v>170</v>
      </c>
      <c r="BT410" s="59">
        <f>'Balance Sheet'!BT32</f>
        <v>163</v>
      </c>
      <c r="BU410" s="244">
        <f>BT410</f>
        <v>163</v>
      </c>
      <c r="BV410" s="244"/>
      <c r="BW410" s="59">
        <f>'Balance Sheet'!BW32</f>
        <v>163</v>
      </c>
      <c r="BX410" s="59">
        <f>'Balance Sheet'!BX32</f>
        <v>162</v>
      </c>
      <c r="BY410" s="59">
        <f>'Balance Sheet'!BY32</f>
        <v>159</v>
      </c>
      <c r="BZ410" s="59">
        <f>'Balance Sheet'!BZ32</f>
        <v>159</v>
      </c>
      <c r="CA410" s="244">
        <f>BZ410</f>
        <v>159</v>
      </c>
      <c r="CB410" s="244"/>
      <c r="CC410" s="59">
        <f>'Balance Sheet'!CC32</f>
        <v>157</v>
      </c>
      <c r="CD410" s="59">
        <f>'Balance Sheet'!CD32</f>
        <v>156</v>
      </c>
      <c r="CE410" s="59">
        <f>'Balance Sheet'!CE32</f>
        <v>5741</v>
      </c>
      <c r="CF410" s="59">
        <f>'Balance Sheet'!CF32</f>
        <v>5735</v>
      </c>
      <c r="CG410" s="171">
        <f>CF410</f>
        <v>5735</v>
      </c>
      <c r="CH410" s="244"/>
      <c r="CI410" s="59">
        <f>'Balance Sheet'!CI32</f>
        <v>5737</v>
      </c>
      <c r="CJ410" s="59">
        <f>'Balance Sheet'!CJ32</f>
        <v>5735</v>
      </c>
      <c r="CK410" s="59">
        <f>'Balance Sheet'!CK32</f>
        <v>5736</v>
      </c>
      <c r="CL410" s="59">
        <f>'Balance Sheet'!CL32</f>
        <v>6235</v>
      </c>
      <c r="CM410" s="171">
        <f>CL410</f>
        <v>6235</v>
      </c>
      <c r="CN410" s="244"/>
      <c r="CO410" s="59">
        <f>'Balance Sheet'!CO32</f>
        <v>6236</v>
      </c>
      <c r="CP410" s="59">
        <f>'Balance Sheet'!CP32</f>
        <v>6236</v>
      </c>
      <c r="CQ410" s="59">
        <f>'Balance Sheet'!CQ32</f>
        <v>6237</v>
      </c>
      <c r="CR410" s="59">
        <f>'Balance Sheet'!CR32</f>
        <v>10235</v>
      </c>
      <c r="CS410" s="171">
        <f>CR410</f>
        <v>10235</v>
      </c>
      <c r="CT410" s="131"/>
      <c r="CU410" s="59">
        <f>'Balance Sheet'!CU32</f>
        <v>10236</v>
      </c>
      <c r="CV410" s="59">
        <f>'Balance Sheet'!CV32</f>
        <v>10236</v>
      </c>
      <c r="CW410" s="59">
        <f>'Balance Sheet'!CW32</f>
        <v>10236</v>
      </c>
      <c r="CX410" s="59">
        <f>'Balance Sheet'!CX32</f>
        <v>9237</v>
      </c>
      <c r="CY410" s="171">
        <f>CX410</f>
        <v>9237</v>
      </c>
      <c r="CZ410" s="131"/>
      <c r="DA410" s="59">
        <f>'Balance Sheet'!DA32</f>
        <v>13723</v>
      </c>
      <c r="DB410" s="59">
        <f>'Balance Sheet'!DB32</f>
        <v>13751</v>
      </c>
      <c r="DC410" s="59">
        <f>'Balance Sheet'!DC32</f>
        <v>11498</v>
      </c>
      <c r="DD410" s="59">
        <f>'Balance Sheet'!DD32</f>
        <v>11510</v>
      </c>
      <c r="DE410" s="171">
        <f>DD410</f>
        <v>11510</v>
      </c>
      <c r="DF410" s="131"/>
      <c r="DG410" s="59">
        <f>'Balance Sheet'!DG32</f>
        <v>14778</v>
      </c>
      <c r="DH410" s="59">
        <f>'Balance Sheet'!DH32</f>
        <v>14780</v>
      </c>
      <c r="DI410" s="59">
        <f>'Balance Sheet'!DI32</f>
        <v>14752</v>
      </c>
      <c r="DJ410" s="59">
        <f>'Balance Sheet'!DJ32</f>
        <v>14772</v>
      </c>
      <c r="DK410" s="171">
        <f>DJ410</f>
        <v>14772</v>
      </c>
      <c r="DL410" s="131"/>
      <c r="DM410" s="59">
        <f>'Balance Sheet'!DM32</f>
        <v>14789</v>
      </c>
      <c r="DN410" s="59">
        <f>'Balance Sheet'!DN32</f>
        <v>14778</v>
      </c>
      <c r="DO410" s="59">
        <f>'Balance Sheet'!DO32</f>
        <v>14777</v>
      </c>
      <c r="DP410" s="59">
        <f>'Balance Sheet'!DP32</f>
        <v>13524</v>
      </c>
      <c r="DQ410" s="171">
        <f>DP410</f>
        <v>13524</v>
      </c>
      <c r="DR410" s="131"/>
      <c r="DS410" s="59">
        <f>'Balance Sheet'!DS32</f>
        <v>13521</v>
      </c>
      <c r="DT410" s="59">
        <f>'Balance Sheet'!DT32</f>
        <v>18507</v>
      </c>
      <c r="DU410" s="59">
        <f>'Balance Sheet'!DU32</f>
        <v>18502</v>
      </c>
      <c r="DV410" s="59">
        <f>'Balance Sheet'!DV32</f>
        <v>18494</v>
      </c>
      <c r="DW410" s="171">
        <f>DV410</f>
        <v>18494</v>
      </c>
      <c r="DX410" s="131"/>
      <c r="DY410" s="59">
        <f>'Balance Sheet'!DY32</f>
        <v>22575</v>
      </c>
      <c r="DZ410" s="59">
        <f>'Balance Sheet'!DZ32</f>
        <v>22641</v>
      </c>
      <c r="EA410" s="59">
        <f>'Balance Sheet'!EA32</f>
        <v>22677</v>
      </c>
      <c r="EB410" s="59">
        <f>'Balance Sheet'!EB32</f>
        <v>22667</v>
      </c>
      <c r="EC410" s="171">
        <f>EB410</f>
        <v>22667</v>
      </c>
      <c r="ED410" s="131"/>
      <c r="EE410" s="59">
        <f>'Balance Sheet'!EE32</f>
        <v>32567</v>
      </c>
      <c r="EF410" s="59">
        <f>'Balance Sheet'!EF32</f>
        <v>32456</v>
      </c>
      <c r="EG410" s="59">
        <f>'Balance Sheet'!EG32</f>
        <v>30258</v>
      </c>
      <c r="EH410" s="59">
        <f>'Balance Sheet'!EH32</f>
        <v>39959</v>
      </c>
      <c r="EI410" s="171">
        <f>EH410</f>
        <v>39959</v>
      </c>
      <c r="EJ410" s="131"/>
      <c r="EK410" s="59">
        <f>'Balance Sheet'!EK32</f>
        <v>40050</v>
      </c>
      <c r="EL410" s="59">
        <f>'Balance Sheet'!EL32</f>
        <v>39940</v>
      </c>
      <c r="EM410" s="59">
        <f>'Balance Sheet'!EM32</f>
        <v>40106</v>
      </c>
      <c r="EN410" s="59">
        <f>'Balance Sheet'!EN32</f>
        <v>40105</v>
      </c>
      <c r="EO410" s="171">
        <f>EN410</f>
        <v>40105</v>
      </c>
      <c r="EP410" s="131"/>
      <c r="EQ410" s="59">
        <f>'Balance Sheet'!EQ32</f>
        <v>53057</v>
      </c>
      <c r="ER410" s="59">
        <f>'Balance Sheet'!ER32</f>
        <v>50489</v>
      </c>
      <c r="ES410" s="59">
        <f>'Balance Sheet'!ES32</f>
        <v>50469</v>
      </c>
      <c r="ET410" s="59">
        <f>'Balance Sheet'!ET32</f>
        <v>48112</v>
      </c>
      <c r="EU410" s="171">
        <f>ET410</f>
        <v>48112</v>
      </c>
      <c r="EV410" s="131"/>
      <c r="EW410" s="59">
        <f>'Balance Sheet'!EW32</f>
        <v>48293</v>
      </c>
      <c r="EX410" s="59">
        <f>'Balance Sheet'!EX32</f>
        <v>58170</v>
      </c>
      <c r="EY410" s="59">
        <f>'Balance Sheet'!EY32</f>
        <v>56224</v>
      </c>
      <c r="EZ410" s="59">
        <f>'Balance Sheet'!EZ32</f>
        <v>60730</v>
      </c>
      <c r="FA410" s="171">
        <f>EZ410</f>
        <v>60730</v>
      </c>
      <c r="FB410" s="131"/>
      <c r="FC410" s="59">
        <f>'Balance Sheet'!FC32</f>
        <v>58230</v>
      </c>
      <c r="FD410" s="59">
        <f>'Balance Sheet'!FD32</f>
        <v>58230</v>
      </c>
      <c r="FE410" s="59">
        <f>'Balance Sheet'!FE32</f>
        <v>58230</v>
      </c>
      <c r="FF410" s="59">
        <f>'Balance Sheet'!FF32</f>
        <v>56230</v>
      </c>
      <c r="FG410" s="171">
        <f>FF410</f>
        <v>56230</v>
      </c>
      <c r="FH410" s="131"/>
      <c r="FI410" s="59">
        <f>'Balance Sheet'!FI32</f>
        <v>56230</v>
      </c>
      <c r="FJ410" s="59">
        <f>'Balance Sheet'!FJ32</f>
        <v>53730</v>
      </c>
      <c r="FK410" s="59">
        <f>'Balance Sheet'!FK32</f>
        <v>51730</v>
      </c>
      <c r="FL410" s="59">
        <f>'Balance Sheet'!FL32</f>
        <v>51730</v>
      </c>
      <c r="FM410" s="171">
        <f>FL410</f>
        <v>51730</v>
      </c>
      <c r="FQ410"/>
      <c r="FR410"/>
      <c r="FS410"/>
      <c r="FT410"/>
      <c r="FU410"/>
      <c r="FV410"/>
      <c r="GB410" s="24"/>
      <c r="GC410" s="24"/>
      <c r="GD410" s="24"/>
      <c r="GE410" s="24"/>
      <c r="GF410" s="24"/>
      <c r="GG410" s="24"/>
      <c r="GH410" s="24"/>
      <c r="GI410" s="24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  <c r="HB410"/>
      <c r="HC410"/>
      <c r="HD410"/>
      <c r="HE410"/>
      <c r="HF410"/>
      <c r="HG410"/>
      <c r="HH410"/>
      <c r="HI410"/>
      <c r="HJ410"/>
      <c r="HK410"/>
      <c r="HL410"/>
      <c r="HM410"/>
      <c r="HN410"/>
      <c r="HO410"/>
      <c r="HP410"/>
      <c r="HQ410"/>
      <c r="HR410"/>
      <c r="HS410"/>
      <c r="HT410"/>
      <c r="HU410"/>
      <c r="HV410"/>
      <c r="HW410"/>
      <c r="HX410"/>
      <c r="HY410"/>
      <c r="HZ410"/>
      <c r="IA410"/>
      <c r="IB410"/>
      <c r="IC410"/>
      <c r="ID410"/>
      <c r="IE410"/>
      <c r="IF410"/>
      <c r="IG410"/>
      <c r="IH410"/>
      <c r="II410"/>
      <c r="IJ410"/>
      <c r="IK410"/>
      <c r="IL410"/>
      <c r="IM410"/>
      <c r="IN410"/>
      <c r="IO410"/>
      <c r="IP410"/>
      <c r="IQ410"/>
      <c r="IR410"/>
      <c r="IS410"/>
      <c r="IT410"/>
      <c r="IU410"/>
      <c r="IV410"/>
      <c r="IW410"/>
      <c r="IX410"/>
      <c r="IY410"/>
      <c r="IZ410"/>
      <c r="JA410"/>
      <c r="JB410"/>
      <c r="JC410"/>
      <c r="JD410"/>
      <c r="JE410"/>
      <c r="JF410"/>
      <c r="JG410"/>
      <c r="JH410"/>
      <c r="JI410"/>
      <c r="JJ410"/>
      <c r="JK410"/>
      <c r="JL410"/>
      <c r="JM410"/>
      <c r="JN410"/>
    </row>
    <row r="411" spans="1:274" s="28" customFormat="1" ht="5.25" customHeight="1" x14ac:dyDescent="0.2">
      <c r="A411" s="18"/>
      <c r="B411" s="595"/>
      <c r="CG411" s="416"/>
      <c r="CM411" s="416"/>
      <c r="CS411" s="416"/>
      <c r="CY411" s="416"/>
      <c r="DE411" s="416"/>
      <c r="DK411" s="416"/>
      <c r="DQ411" s="416"/>
      <c r="DW411" s="416"/>
      <c r="EC411" s="416"/>
      <c r="EI411" s="416"/>
      <c r="EO411" s="416"/>
      <c r="EU411" s="416"/>
      <c r="FA411" s="416"/>
      <c r="FG411" s="416"/>
      <c r="FM411" s="416"/>
      <c r="FQ411"/>
      <c r="FR411"/>
      <c r="FS411"/>
      <c r="FT411"/>
      <c r="FU411"/>
      <c r="FV411"/>
      <c r="GB411" s="24"/>
      <c r="GC411" s="24"/>
      <c r="GD411" s="24"/>
      <c r="GE411" s="24"/>
      <c r="GF411" s="24"/>
      <c r="GG411" s="24"/>
      <c r="GH411" s="24"/>
      <c r="GI411" s="24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  <c r="HB411"/>
      <c r="HC411"/>
      <c r="HD411"/>
      <c r="HE411"/>
      <c r="HF411"/>
      <c r="HG411"/>
      <c r="HH411"/>
      <c r="HI411"/>
      <c r="HJ411"/>
      <c r="HK411"/>
      <c r="HL411"/>
      <c r="HM411"/>
      <c r="HN411"/>
      <c r="HO411"/>
      <c r="HP411"/>
      <c r="HQ411"/>
      <c r="HR411"/>
      <c r="HS411"/>
      <c r="HT411"/>
      <c r="HU411"/>
      <c r="HV411"/>
      <c r="HW411"/>
      <c r="HX411"/>
      <c r="HY411"/>
      <c r="HZ411"/>
      <c r="IA411"/>
      <c r="IB411"/>
      <c r="IC411"/>
      <c r="ID411"/>
      <c r="IE411"/>
      <c r="IF411"/>
      <c r="IG411"/>
      <c r="IH411"/>
      <c r="II411"/>
      <c r="IJ411"/>
      <c r="IK411"/>
      <c r="IL411"/>
      <c r="IM411"/>
      <c r="IN411"/>
      <c r="IO411"/>
      <c r="IP411"/>
      <c r="IQ411"/>
      <c r="IR411"/>
      <c r="IS411"/>
      <c r="IT411"/>
      <c r="IU411"/>
      <c r="IV411"/>
      <c r="IW411"/>
      <c r="IX411"/>
      <c r="IY411"/>
      <c r="IZ411"/>
      <c r="JA411"/>
      <c r="JB411"/>
      <c r="JC411"/>
      <c r="JD411"/>
      <c r="JE411"/>
      <c r="JF411"/>
      <c r="JG411"/>
      <c r="JH411"/>
      <c r="JI411"/>
      <c r="JJ411"/>
      <c r="JK411"/>
      <c r="JL411"/>
      <c r="JM411"/>
      <c r="JN411"/>
    </row>
    <row r="412" spans="1:274" s="27" customFormat="1" x14ac:dyDescent="0.2">
      <c r="A412" s="582" t="s">
        <v>828</v>
      </c>
      <c r="B412" s="674"/>
      <c r="C412" s="675" t="s">
        <v>945</v>
      </c>
      <c r="D412" s="582">
        <f>(D407-D410)/shs _fy85</f>
        <v>-2.2242913304365818E-4</v>
      </c>
      <c r="E412" s="582">
        <f>(E407-E410)/shs _fy86</f>
        <v>1.749903390485488E-3</v>
      </c>
      <c r="F412" s="582">
        <f>(F407-F410)/shs _fy87</f>
        <v>6.3404444444444454E-3</v>
      </c>
      <c r="G412" s="582">
        <f>(G407-G410)/shs _fy88</f>
        <v>9.0188104771438109E-3</v>
      </c>
      <c r="H412" s="582">
        <f>(H407-H410)/shs _fy89</f>
        <v>3.2689300411522636E-3</v>
      </c>
      <c r="I412" s="582">
        <f>(I407-I410)/shs _fy90</f>
        <v>-7.974029267797814E-3</v>
      </c>
      <c r="J412" s="582">
        <f>(J407-J410)/shs _fy91</f>
        <v>1.6986156557065368E-2</v>
      </c>
      <c r="K412" s="582">
        <f>(K407-K410)/shs _fy92</f>
        <v>1.56831370167273E-2</v>
      </c>
      <c r="L412" s="582">
        <f>(L407-L410)/shs _fy93</f>
        <v>5.146835434395982E-2</v>
      </c>
      <c r="M412" s="582">
        <f>(M407-M410)/shs _fy94</f>
        <v>6.3751778821074592E-2</v>
      </c>
      <c r="N412" s="582"/>
      <c r="O412" s="582">
        <f>(O407-O410)/shs _3c94</f>
        <v>6.865730290109523E-2</v>
      </c>
      <c r="P412" s="582">
        <f>(P407-P410)/shs _4c94</f>
        <v>4.1305910877016974E-2</v>
      </c>
      <c r="Q412" s="582">
        <f>(Q407-Q410)/shs _1c95</f>
        <v>5.3614230448494886E-2</v>
      </c>
      <c r="R412" s="582">
        <f>(R407-R410)/shs _2c95</f>
        <v>8.3969584539643302E-2</v>
      </c>
      <c r="S412" s="582">
        <f>(S407-S410)/shs _fy95</f>
        <v>8.420856217910537E-2</v>
      </c>
      <c r="T412" s="582"/>
      <c r="U412" s="582">
        <f>(U407-U410)/shs _3c95</f>
        <v>8.2275163676319721E-2</v>
      </c>
      <c r="V412" s="582">
        <f>(V407-V410)/shs _4c95</f>
        <v>7.8394371470365556E-2</v>
      </c>
      <c r="W412" s="582">
        <f>(W407-W410)/shs _1c96</f>
        <v>0.10418123958145346</v>
      </c>
      <c r="X412" s="582">
        <f>(X407-X410)/shs _2c96</f>
        <v>0.13920142513878531</v>
      </c>
      <c r="Y412" s="582">
        <f>(Y407-Y410)/shs _fy96</f>
        <v>0.13922922426242157</v>
      </c>
      <c r="Z412" s="582"/>
      <c r="AA412" s="582">
        <f>(AA407-AA410)/shs _3c96</f>
        <v>0.1640643834645111</v>
      </c>
      <c r="AB412" s="582">
        <f>(AB407-AB410)/shs _4c96</f>
        <v>0.1442757708335799</v>
      </c>
      <c r="AC412" s="582">
        <f>(AC407-AC410)/shs _1c97</f>
        <v>0.12248851811468978</v>
      </c>
      <c r="AD412" s="582">
        <f>(AD407-AD410)/shs _2c97</f>
        <v>0.15164016985087189</v>
      </c>
      <c r="AE412" s="582">
        <f>(AE407-AE410)/shs _fy97</f>
        <v>0.15065862805225433</v>
      </c>
      <c r="AF412" s="582"/>
      <c r="AG412" s="582">
        <f>(AG407-AG410)/shs _3c97</f>
        <v>0.19669815602103885</v>
      </c>
      <c r="AH412" s="582">
        <f>(AH407-AH410)/shs _4c97</f>
        <v>0.1999212406888515</v>
      </c>
      <c r="AI412" s="582">
        <f>(AI407-AI410)/shs _1c98</f>
        <v>0.20375629763987246</v>
      </c>
      <c r="AJ412" s="582">
        <f>(AJ407-AJ410)/shs _2c98</f>
        <v>0.27119498553727062</v>
      </c>
      <c r="AK412" s="582">
        <f>(AK407-AK410)/shs _fy98</f>
        <v>0.26921761177069964</v>
      </c>
      <c r="AL412" s="582"/>
      <c r="AM412" s="582">
        <f>(AM407-AM410)/shs _3c98</f>
        <v>0.33660112547924192</v>
      </c>
      <c r="AN412" s="582">
        <f>(AN407-AN410)/shs _4c98</f>
        <v>0.27185920449113671</v>
      </c>
      <c r="AO412" s="582">
        <f>(AO407-AO410)/shs _1c99</f>
        <v>0.31507391366274345</v>
      </c>
      <c r="AP412" s="582">
        <f>(AP407-AP410)/shs _2c99</f>
        <v>0.38080157323026775</v>
      </c>
      <c r="AQ412" s="582">
        <f>(AQ407-AQ410)/shs _fy99</f>
        <v>0.38043837198833702</v>
      </c>
      <c r="AR412" s="582"/>
      <c r="AS412" s="582">
        <f>(AS407-AS410)/shs _3c99</f>
        <v>0.4058713412879954</v>
      </c>
      <c r="AT412" s="582">
        <f>(AT407-AT410)/shs _4c99</f>
        <v>0.30487542826730529</v>
      </c>
      <c r="AU412" s="582">
        <f>(AU407-AU410)/shs _1c00</f>
        <v>0.41071943763385166</v>
      </c>
      <c r="AV412" s="582">
        <f>(AV407-AV410)/shs _2c00</f>
        <v>1.2418872115317097</v>
      </c>
      <c r="AW412" s="582">
        <f>(AW407-AW410)/shs _fy00</f>
        <v>1.2447339339495607</v>
      </c>
      <c r="AX412" s="582"/>
      <c r="AY412" s="582">
        <f>(AY407-AY410)/shs _3c00</f>
        <v>0.8026201484273211</v>
      </c>
      <c r="AZ412" s="582">
        <f>(AZ407-AZ410)/shs _4c00</f>
        <v>0.69027608061090173</v>
      </c>
      <c r="BA412" s="582">
        <f>(BA407-BA410)/shs _1c01</f>
        <v>0.80055382252215013</v>
      </c>
      <c r="BB412" s="582">
        <f>(BB407-BB410)/shs _2c01</f>
        <v>0.96309813463098137</v>
      </c>
      <c r="BC412" s="582">
        <f>(BC407-BC410)/shs _fy01</f>
        <v>0.9524612538301569</v>
      </c>
      <c r="BD412" s="582"/>
      <c r="BE412" s="582">
        <f>(BE407-BE410)/shs _3c01</f>
        <v>0.99490295881329127</v>
      </c>
      <c r="BF412" s="582">
        <f>(BF407-BF410)/shs _4c01</f>
        <v>0.81792688022528659</v>
      </c>
      <c r="BG412" s="582">
        <f>(BG407-BG410)/shs _1c02</f>
        <v>0.9366327685050837</v>
      </c>
      <c r="BH412" s="582">
        <f>(BH407-BH410)/shs _2c02</f>
        <v>0.98794679951934061</v>
      </c>
      <c r="BI412" s="582">
        <f>(BI407-BI410)/shs _fy02</f>
        <v>0.97434328945888171</v>
      </c>
      <c r="BJ412" s="582"/>
      <c r="BK412" s="582">
        <f>(BK407-BK410)/shs _3c02</f>
        <v>1.1075249320036264</v>
      </c>
      <c r="BL412" s="582">
        <f>(BL407-BL410)/shs _4c02</f>
        <v>0.95350553505535052</v>
      </c>
      <c r="BM412" s="582">
        <f>(BM407-BM410)/shs _1c03</f>
        <v>1.0919561582760542</v>
      </c>
      <c r="BN412" s="582">
        <f>(BN407-BN410)/shs _2c03</f>
        <v>1.1844660194174756</v>
      </c>
      <c r="BO412" s="582">
        <f>(BO407-BO410)/shs _fy03</f>
        <v>1.1709117755629384</v>
      </c>
      <c r="BP412" s="582"/>
      <c r="BQ412" s="582">
        <f>(BQ407-BQ410)/shs _3c03</f>
        <v>1.3532822143257901</v>
      </c>
      <c r="BR412" s="582">
        <f>(BR407-BR410)/shs _4c03</f>
        <v>1.4811691961776279</v>
      </c>
      <c r="BS412" s="582">
        <f>(BS407-BS410)/shs _1c04</f>
        <v>1.4704890387858347</v>
      </c>
      <c r="BT412" s="582">
        <f>(BT407-BT410)/shs _2c04</f>
        <v>1.594548551959114</v>
      </c>
      <c r="BU412" s="582">
        <f>(BU407-BU410)/shs _fy04</f>
        <v>1.5816748028539243</v>
      </c>
      <c r="BV412" s="582"/>
      <c r="BW412" s="582">
        <f>(BW407-BW410)/shs _3c04</f>
        <v>1.7710752909750049</v>
      </c>
      <c r="BX412" s="582">
        <f>(BX407-BX410)/shs _4c04</f>
        <v>1.7773093139133769</v>
      </c>
      <c r="BY412" s="582">
        <f>(BY407-BY410)/shs _1c05</f>
        <v>1.7156787762906309</v>
      </c>
      <c r="BZ412" s="582">
        <f>(BZ407-BZ410)/shs _2c05</f>
        <v>0.8811616354604509</v>
      </c>
      <c r="CA412" s="582">
        <f>(CA407-CA410)/shs _fy05</f>
        <v>0.88170912393060263</v>
      </c>
      <c r="CB412" s="582"/>
      <c r="CC412" s="582">
        <f>(CC407-CC410)/shs _3c05</f>
        <v>0.85335621662852779</v>
      </c>
      <c r="CD412" s="582">
        <f>(CD407-CD410)/shs _4c05</f>
        <v>0.61989308896525397</v>
      </c>
      <c r="CE412" s="582">
        <f>(CE407-CE410)/shs _1c06</f>
        <v>0.38141025641025639</v>
      </c>
      <c r="CF412" s="582">
        <f>(CF407-CF410)/shs _2c06</f>
        <v>0.34803647868974502</v>
      </c>
      <c r="CG412" s="676">
        <f>(CG407-CG410)/shs _fy06</f>
        <v>0.35351387116593413</v>
      </c>
      <c r="CH412" s="582"/>
      <c r="CI412" s="582">
        <f>(CI407-CI410)/shs _3c06</f>
        <v>0.48257019031467874</v>
      </c>
      <c r="CJ412" s="582">
        <f>(CJ407-CJ410)/shs _4c06</f>
        <v>0.39411653780878747</v>
      </c>
      <c r="CK412" s="582">
        <f>(CK407-CK410)/shs _1c07</f>
        <v>0.13473964272139871</v>
      </c>
      <c r="CL412" s="582">
        <f>(CL407-CL410)/shs _2c07</f>
        <v>0.15026799387442571</v>
      </c>
      <c r="CM412" s="676">
        <f>(CM407-CM410)/shs _fy07</f>
        <v>0.14884338263177854</v>
      </c>
      <c r="CN412" s="582"/>
      <c r="CO412" s="582">
        <f>(CO407-CO410)/shs _3c07</f>
        <v>0.28869731800766285</v>
      </c>
      <c r="CP412" s="582">
        <f>(CP407-CP410)/shs _4c07</f>
        <v>0.41964456334798395</v>
      </c>
      <c r="CQ412" s="582">
        <f>(CQ407-CQ410)/shs _1c08</f>
        <v>0.82301908617698094</v>
      </c>
      <c r="CR412" s="582">
        <f>(CR407-CR410)/shs _2c08</f>
        <v>0.15440473915536021</v>
      </c>
      <c r="CS412" s="676">
        <f>(CS407-CS410)/shs _fy08</f>
        <v>0.15484118238873185</v>
      </c>
      <c r="CT412" s="589"/>
      <c r="CU412" s="582">
        <f>(CU407-CU410)/shs _3c08</f>
        <v>0.53199617956064948</v>
      </c>
      <c r="CV412" s="582">
        <f>(CV407-CV410)/shs _4c08</f>
        <v>7.9043763254289565E-2</v>
      </c>
      <c r="CW412" s="582">
        <f>(CW407-CW410)/shs _1c09</f>
        <v>0.20925632911392406</v>
      </c>
      <c r="CX412" s="582">
        <f>(CX407-CX410)/shs _2c09</f>
        <v>0.67162403331350384</v>
      </c>
      <c r="CY412" s="676">
        <f>(CY407-CY410)/shs _fy09</f>
        <v>0.66020174455435898</v>
      </c>
      <c r="CZ412" s="589"/>
      <c r="DA412" s="582">
        <f>(DA407-DA410)/shs _3c09</f>
        <v>1.3513727039304759</v>
      </c>
      <c r="DB412" s="582">
        <f>(DB407-DB410)/shs _4c09</f>
        <v>1.3888230647709321</v>
      </c>
      <c r="DC412" s="582">
        <f>(DC407-DC410)/shs _1c10</f>
        <v>1.1802600472813238</v>
      </c>
      <c r="DD412" s="582">
        <f>(DD407-DD410)/shs _2c10</f>
        <v>1.3671905697445972</v>
      </c>
      <c r="DE412" s="676">
        <f>(DE407-DE410)/shs _fy10</f>
        <v>1.3717045286552012</v>
      </c>
      <c r="DF412" s="589"/>
      <c r="DG412" s="582">
        <f>(DG407-DG410)/shs _3c10</f>
        <v>1.7428683848121189</v>
      </c>
      <c r="DH412" s="582">
        <f>(DH407-DH410)/shs _4c10</f>
        <v>1.9669728356458862</v>
      </c>
      <c r="DI412" s="582">
        <f>(DI407-DI410)/shs _1c11</f>
        <v>1.8650223344338706</v>
      </c>
      <c r="DJ412" s="582">
        <f>(DJ407-DJ410)/shs _2c11</f>
        <v>2.7257939581719599</v>
      </c>
      <c r="DK412" s="676">
        <f>(DK407-DK410)/shs _fy11</f>
        <v>2.7447959830351483</v>
      </c>
      <c r="DL412" s="589"/>
      <c r="DM412" s="582">
        <f>(DM407-DM410)/shs _3c11</f>
        <v>3.2759223300970874</v>
      </c>
      <c r="DN412" s="582">
        <f>(DN407-DN410)/shs _4c11</f>
        <v>3.1688463790747607</v>
      </c>
      <c r="DO412" s="582">
        <f>(DO407-DO410)/shs _1c12</f>
        <v>2.9458661417322833</v>
      </c>
      <c r="DP412" s="582">
        <f>(DP407-DP410)/shs _2c12</f>
        <v>3.4119753332007163</v>
      </c>
      <c r="DQ412" s="677">
        <f>(DQ407-DQ410)/shs _fy12</f>
        <v>3.3664376840039254</v>
      </c>
      <c r="DR412" s="589"/>
      <c r="DS412" s="582">
        <f>(DS407-DS410)/shs _3c12</f>
        <v>3.6618748734561652</v>
      </c>
      <c r="DT412" s="582">
        <f>(DT407-DT410)/shs _4c12</f>
        <v>3.1199671322925226</v>
      </c>
      <c r="DU412" s="582">
        <f>(DU407-DU410)/shs _1c13</f>
        <v>3.097464671654198</v>
      </c>
      <c r="DV412" s="582">
        <f>(DV407-DV410)/shs _2c13</f>
        <v>2.8851976450798991</v>
      </c>
      <c r="DW412" s="677">
        <f>(DW407-DW410)/shs _fy13</f>
        <v>2.8329290322580647</v>
      </c>
      <c r="DX412" s="589"/>
      <c r="DY412" s="582">
        <f>(DY407-DY410)/shs _3c13</f>
        <v>3.5363714163457423</v>
      </c>
      <c r="DZ412" s="582">
        <f>(DZ407-DZ410)/shs _4c13</f>
        <v>3.1158695652173911</v>
      </c>
      <c r="EA412" s="582">
        <f>(EA407-EA410)/shs _1c14</f>
        <v>3.1798907103825136</v>
      </c>
      <c r="EB412" s="582">
        <f>(EB407-EB410)/shs _2c14</f>
        <v>3.5351280367695339</v>
      </c>
      <c r="EC412" s="677">
        <f>(EC407-EC410)/shs _fy13</f>
        <v>3.334606451612903</v>
      </c>
      <c r="ED412" s="589"/>
      <c r="EE412" s="582">
        <f>(EE407-EE410)/shs _3c14</f>
        <v>4.1884344766930521</v>
      </c>
      <c r="EF412" s="582">
        <f>(EF407-EF410)/shs _4c14</f>
        <v>2.7251942286348503</v>
      </c>
      <c r="EG412" s="582">
        <f>(EG407-EG410)/shs _1c15</f>
        <v>3.0082331998219849</v>
      </c>
      <c r="EH412" s="582">
        <f>(EH407-EH410)/shs _2c15</f>
        <v>3.2285458211965046</v>
      </c>
      <c r="EI412" s="677">
        <f>(EI407-EI410)/shs _fy13</f>
        <v>2.9747612903225806</v>
      </c>
      <c r="EJ412" s="589"/>
      <c r="EK412" s="582">
        <f>(EK407-EK410)/shs _3c14</f>
        <v>3.4916446789797715</v>
      </c>
      <c r="EL412" s="582">
        <f>(EL407-EL410)/shs _4c14</f>
        <v>2.7513873473917867</v>
      </c>
      <c r="EM412" s="582">
        <f>(EM407-EM410)/Model!EM191</f>
        <v>2.5049342105263159</v>
      </c>
      <c r="EN412" s="582">
        <f>(EN407-EN410)/Model!EN191</f>
        <v>3.7800849457291177</v>
      </c>
      <c r="EO412" s="677">
        <f>(EO407-EO410)/shs _fy13</f>
        <v>3.3073548387096774</v>
      </c>
      <c r="EP412" s="589"/>
      <c r="EQ412" s="582">
        <f>(EQ407-EQ410)/shs _3c14</f>
        <v>3.3726912928759893</v>
      </c>
      <c r="ER412" s="582">
        <f>(ER407-ER410)/shs _4c16</f>
        <v>1.8395709177592372</v>
      </c>
      <c r="ES412" s="582">
        <f>(ES407-ES410)/shs _1c17</f>
        <v>2.1129876308277828</v>
      </c>
      <c r="ET412" s="582">
        <f>(ET407-ET410)/shs _2c17</f>
        <v>4.2292843691148772</v>
      </c>
      <c r="EU412" s="677">
        <f>(EU407-EU410)/shs _fy17</f>
        <v>4.2603746739388191</v>
      </c>
      <c r="EV412" s="589"/>
      <c r="EW412" s="582">
        <f>(EW407-EW410)/shs _3C17</f>
        <v>4.3426704014939306</v>
      </c>
      <c r="EX412" s="582">
        <f>(EX407-EX410)/shs _4c17</f>
        <v>3.1309829558720521</v>
      </c>
      <c r="EY412" s="582">
        <f>(EY407-EY410)/shs _1c18</f>
        <v>3.3595372993389989</v>
      </c>
      <c r="EZ412" s="582">
        <f>(EZ407-EZ410)/shs _2c18</f>
        <v>2.3483888625381035</v>
      </c>
      <c r="FA412" s="677">
        <f>(FA407-FA410)/shs _fy18</f>
        <v>2.3177662701645172</v>
      </c>
      <c r="FB412" s="589"/>
      <c r="FC412" s="582">
        <f>(FC407-FC410)/shs _3C17</f>
        <v>3.0648184117243309</v>
      </c>
      <c r="FD412" s="582">
        <f>(FD407-FD410)/shs _4c17</f>
        <v>2.6529991583566828</v>
      </c>
      <c r="FE412" s="582">
        <f>(FE407-FE410)/shs _1c18</f>
        <v>3.0480107551504316</v>
      </c>
      <c r="FF412" s="582">
        <f>(FF407-FF410)/shs _2c18</f>
        <v>3.6683970524868288</v>
      </c>
      <c r="FG412" s="677">
        <f>(FG407-FG410)/shs _fy18</f>
        <v>3.6205617772499337</v>
      </c>
      <c r="FH412" s="589"/>
      <c r="FI412" s="582">
        <f>(FI407-FI410)/shs _3C17</f>
        <v>4.4994619840954435</v>
      </c>
      <c r="FJ412" s="582">
        <f>(FJ407-FJ410)/shs _4c17</f>
        <v>4.1409206498591526</v>
      </c>
      <c r="FK412" s="582">
        <f>(FK407-FK410)/shs _1c18</f>
        <v>4.6191813045514856</v>
      </c>
      <c r="FL412" s="582">
        <f>(FL407-FL410)/shs _2c18</f>
        <v>5.5073498175036839</v>
      </c>
      <c r="FM412" s="677">
        <f>(FM407-FM410)/shs _fy18</f>
        <v>5.4355349101812713</v>
      </c>
      <c r="FQ412"/>
      <c r="FR412"/>
      <c r="FS412"/>
      <c r="FT412"/>
      <c r="FU412"/>
      <c r="FV412"/>
      <c r="GB412" s="24"/>
      <c r="GC412" s="24"/>
      <c r="GD412" s="24"/>
      <c r="GE412" s="24"/>
      <c r="GF412" s="24"/>
      <c r="GG412" s="24"/>
      <c r="GH412" s="24"/>
      <c r="GI412" s="24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  <c r="HB412"/>
      <c r="HC412"/>
      <c r="HD412"/>
      <c r="HE412"/>
      <c r="HF412"/>
      <c r="HG412"/>
      <c r="HH412"/>
      <c r="HI412"/>
      <c r="HJ412"/>
      <c r="HK412"/>
      <c r="HL412"/>
      <c r="HM412"/>
      <c r="HN412"/>
      <c r="HO412"/>
      <c r="HP412"/>
      <c r="HQ412"/>
      <c r="HR412"/>
      <c r="HS412"/>
      <c r="HT412"/>
      <c r="HU412"/>
      <c r="HV412"/>
      <c r="HW412"/>
      <c r="HX412"/>
      <c r="HY412"/>
      <c r="HZ412"/>
      <c r="IA412"/>
      <c r="IB412"/>
      <c r="IC412"/>
      <c r="ID412"/>
      <c r="IE412"/>
      <c r="IF412"/>
      <c r="IG412"/>
      <c r="IH412"/>
      <c r="II412"/>
      <c r="IJ412"/>
      <c r="IK412"/>
      <c r="IL412"/>
      <c r="IM412"/>
      <c r="IN412"/>
      <c r="IO412"/>
      <c r="IP412"/>
      <c r="IQ412"/>
      <c r="IR412"/>
      <c r="IS412"/>
      <c r="IT412"/>
      <c r="IU412"/>
      <c r="IV412"/>
      <c r="IW412"/>
      <c r="IX412"/>
      <c r="IY412"/>
      <c r="IZ412"/>
      <c r="JA412"/>
      <c r="JB412"/>
      <c r="JC412"/>
      <c r="JD412"/>
      <c r="JE412"/>
      <c r="JF412"/>
      <c r="JG412"/>
      <c r="JH412"/>
      <c r="JI412"/>
      <c r="JJ412"/>
      <c r="JK412"/>
      <c r="JL412"/>
      <c r="JM412"/>
      <c r="JN412"/>
    </row>
    <row r="413" spans="1:274" s="27" customFormat="1" x14ac:dyDescent="0.2">
      <c r="A413" s="342" t="s">
        <v>424</v>
      </c>
      <c r="B413" s="20"/>
      <c r="C413" s="259" t="str">
        <f>'Balance Sheet'!C103</f>
        <v>-</v>
      </c>
      <c r="D413" s="259" t="str">
        <f>'Balance Sheet'!D103</f>
        <v>-</v>
      </c>
      <c r="E413" s="259" t="str">
        <f>'Balance Sheet'!E103</f>
        <v>-</v>
      </c>
      <c r="F413" s="259" t="str">
        <f>'Balance Sheet'!F103</f>
        <v>-</v>
      </c>
      <c r="G413" s="259" t="str">
        <f>'Balance Sheet'!G103</f>
        <v>-</v>
      </c>
      <c r="H413" s="259" t="str">
        <f>'Balance Sheet'!H103</f>
        <v>-</v>
      </c>
      <c r="I413" s="259" t="str">
        <f>'Balance Sheet'!I103</f>
        <v>-</v>
      </c>
      <c r="J413" s="259" t="str">
        <f>'Balance Sheet'!J103</f>
        <v>-</v>
      </c>
      <c r="K413" s="259" t="str">
        <f>'Balance Sheet'!K103</f>
        <v>-</v>
      </c>
      <c r="L413" s="259" t="str">
        <f>'Balance Sheet'!L103</f>
        <v>-</v>
      </c>
      <c r="M413" s="259" t="str">
        <f>'Balance Sheet'!M103</f>
        <v>-</v>
      </c>
      <c r="N413" s="342"/>
      <c r="O413" s="259">
        <f>'Balance Sheet'!O103</f>
        <v>19.767215219296652</v>
      </c>
      <c r="P413" s="259">
        <f>'Balance Sheet'!P103</f>
        <v>21.52095997355114</v>
      </c>
      <c r="Q413" s="259">
        <f>'Balance Sheet'!Q103</f>
        <v>18.252807742289935</v>
      </c>
      <c r="R413" s="259">
        <f>'Balance Sheet'!R103</f>
        <v>15.003086238316385</v>
      </c>
      <c r="S413" s="34">
        <f>R413</f>
        <v>15.003086238316385</v>
      </c>
      <c r="T413" s="342"/>
      <c r="U413" s="259">
        <f>'Balance Sheet'!U103</f>
        <v>15.835844875603271</v>
      </c>
      <c r="V413" s="259">
        <f>'Balance Sheet'!V103</f>
        <v>15.253589169284998</v>
      </c>
      <c r="W413" s="259">
        <f>'Balance Sheet'!W103</f>
        <v>17.27324980600952</v>
      </c>
      <c r="X413" s="259">
        <f>'Balance Sheet'!X103</f>
        <v>14.453299279346044</v>
      </c>
      <c r="Y413" s="34">
        <f>X413</f>
        <v>14.453299279346044</v>
      </c>
      <c r="Z413" s="342"/>
      <c r="AA413" s="259">
        <f>'Balance Sheet'!AA103</f>
        <v>16.892732428164742</v>
      </c>
      <c r="AB413" s="259">
        <f>'Balance Sheet'!AB103</f>
        <v>14.19524964206</v>
      </c>
      <c r="AC413" s="259">
        <f>'Balance Sheet'!AC103</f>
        <v>12.362057665580538</v>
      </c>
      <c r="AD413" s="259">
        <f>'Balance Sheet'!AD103</f>
        <v>11.961287562057173</v>
      </c>
      <c r="AE413" s="34">
        <f>AD413</f>
        <v>11.961287562057173</v>
      </c>
      <c r="AF413" s="34"/>
      <c r="AG413" s="259">
        <f>'Balance Sheet'!AG103</f>
        <v>13.580815042344764</v>
      </c>
      <c r="AH413" s="259">
        <f>'Balance Sheet'!AH103</f>
        <v>13.861138045838143</v>
      </c>
      <c r="AI413" s="259">
        <f>'Balance Sheet'!AI103</f>
        <v>12.744092209350123</v>
      </c>
      <c r="AJ413" s="259">
        <f>'Balance Sheet'!AJ103</f>
        <v>11.934450425949416</v>
      </c>
      <c r="AK413" s="34">
        <f>AJ413</f>
        <v>11.934450425949416</v>
      </c>
      <c r="AL413" s="342"/>
      <c r="AM413" s="259">
        <f>'Balance Sheet'!AM103</f>
        <v>15.048427417326753</v>
      </c>
      <c r="AN413" s="259">
        <f>'Balance Sheet'!AN103</f>
        <v>15.966916346352603</v>
      </c>
      <c r="AO413" s="259">
        <f>'Balance Sheet'!AO103</f>
        <v>13.744988757594605</v>
      </c>
      <c r="AP413" s="259">
        <f>'Balance Sheet'!AP103</f>
        <v>11.956430081905344</v>
      </c>
      <c r="AQ413" s="34">
        <f>AP413</f>
        <v>11.956430081905344</v>
      </c>
      <c r="AR413" s="342"/>
      <c r="AS413" s="259">
        <f>'Balance Sheet'!AS103</f>
        <v>14.02566374597688</v>
      </c>
      <c r="AT413" s="259">
        <f>'Balance Sheet'!AT103</f>
        <v>12.613015789732952</v>
      </c>
      <c r="AU413" s="259">
        <f>'Balance Sheet'!AU103</f>
        <v>12.039135629818947</v>
      </c>
      <c r="AV413" s="259">
        <f>'Balance Sheet'!AV103</f>
        <v>13.029793045519712</v>
      </c>
      <c r="AW413" s="34">
        <f>AV413</f>
        <v>13.029793045519712</v>
      </c>
      <c r="AX413" s="342"/>
      <c r="AY413" s="259">
        <f>'Balance Sheet'!AY103</f>
        <v>13.983162684031605</v>
      </c>
      <c r="AZ413" s="259">
        <f>'Balance Sheet'!AZ103</f>
        <v>14.620959350312884</v>
      </c>
      <c r="BA413" s="259">
        <f>'Balance Sheet'!BA103</f>
        <v>13.748233576594153</v>
      </c>
      <c r="BB413" s="259">
        <f>'Balance Sheet'!BB103</f>
        <v>12.178595341862692</v>
      </c>
      <c r="BC413" s="34">
        <f>BB413</f>
        <v>12.178595341862692</v>
      </c>
      <c r="BD413" s="342"/>
      <c r="BE413" s="259">
        <f>'Balance Sheet'!BE103</f>
        <v>14.026658733068427</v>
      </c>
      <c r="BF413" s="259">
        <f>'Balance Sheet'!BF103</f>
        <v>15.325445227886318</v>
      </c>
      <c r="BG413" s="259">
        <f>'Balance Sheet'!BG103</f>
        <v>14.544287495905616</v>
      </c>
      <c r="BH413" s="259">
        <f>'Balance Sheet'!BH103</f>
        <v>13.260011243869183</v>
      </c>
      <c r="BI413" s="34">
        <f>BH413</f>
        <v>13.260011243869183</v>
      </c>
      <c r="BJ413" s="342"/>
      <c r="BK413" s="259">
        <f>'Balance Sheet'!BK103</f>
        <v>13.798342541436464</v>
      </c>
      <c r="BL413" s="259">
        <f>'Balance Sheet'!BL103</f>
        <v>12.831683168316832</v>
      </c>
      <c r="BM413" s="259">
        <f>'Balance Sheet'!BM103</f>
        <v>13.282594308405029</v>
      </c>
      <c r="BN413" s="259">
        <f>'Balance Sheet'!BN103</f>
        <v>13.145419602818706</v>
      </c>
      <c r="BO413" s="34">
        <f>BN413</f>
        <v>13.145419602818706</v>
      </c>
      <c r="BP413" s="342"/>
      <c r="BQ413" s="259">
        <f>'Balance Sheet'!BQ103</f>
        <v>13.907967032967033</v>
      </c>
      <c r="BR413" s="259">
        <f>'Balance Sheet'!BR103</f>
        <v>12.053063802905875</v>
      </c>
      <c r="BS413" s="259">
        <f>'Balance Sheet'!BS103</f>
        <v>10.695322376738305</v>
      </c>
      <c r="BT413" s="259">
        <f>'Balance Sheet'!BT103</f>
        <v>10.287253141831238</v>
      </c>
      <c r="BU413" s="34">
        <f>BT413</f>
        <v>10.287253141831238</v>
      </c>
      <c r="BV413" s="342"/>
      <c r="BW413" s="259">
        <f>'Balance Sheet'!BW103</f>
        <v>13.577981651376147</v>
      </c>
      <c r="BX413" s="259">
        <f>'Balance Sheet'!BX103</f>
        <v>14.609477430230379</v>
      </c>
      <c r="BY413" s="259">
        <f>'Balance Sheet'!BY103</f>
        <v>14.428198433420366</v>
      </c>
      <c r="BZ413" s="259">
        <f>'Balance Sheet'!BZ103</f>
        <v>9.4520547945205475</v>
      </c>
      <c r="CA413" s="34">
        <f>BZ413</f>
        <v>9.4520547945205475</v>
      </c>
      <c r="CB413" s="342"/>
      <c r="CC413" s="259">
        <f>'Balance Sheet'!CC103</f>
        <v>10.885941644562335</v>
      </c>
      <c r="CD413" s="259">
        <f>'Balance Sheet'!CD103</f>
        <v>10.624692572552878</v>
      </c>
      <c r="CE413" s="259">
        <f>'Balance Sheet'!CE103</f>
        <v>9.7489539748953966</v>
      </c>
      <c r="CF413" s="259">
        <f>'Balance Sheet'!CF103</f>
        <v>8.8153061783893438</v>
      </c>
      <c r="CG413" s="228">
        <f>CF413</f>
        <v>8.8153061783893438</v>
      </c>
      <c r="CH413" s="342"/>
      <c r="CI413" s="259">
        <f>'Balance Sheet'!CI103</f>
        <v>8.5659411011523687</v>
      </c>
      <c r="CJ413" s="259">
        <f>'Balance Sheet'!CJ103</f>
        <v>9.8993028659953524</v>
      </c>
      <c r="CK413" s="259">
        <f>'Balance Sheet'!CK103</f>
        <v>9.1202672605790642</v>
      </c>
      <c r="CL413" s="259">
        <f>'Balance Sheet'!CL103</f>
        <v>8.9460397601767117</v>
      </c>
      <c r="CM413" s="228">
        <f>CL413</f>
        <v>8.9460397601767117</v>
      </c>
      <c r="CN413" s="342"/>
      <c r="CO413" s="259">
        <f>'Balance Sheet'!CO103</f>
        <v>9.2133287530058396</v>
      </c>
      <c r="CP413" s="259">
        <f>'Balance Sheet'!CP103</f>
        <v>9.8857142857142861</v>
      </c>
      <c r="CQ413" s="259">
        <f>'Balance Sheet'!CQ103</f>
        <v>10.935913705583756</v>
      </c>
      <c r="CR413" s="259">
        <f>'Balance Sheet'!CR103</f>
        <v>9.2239764516992242</v>
      </c>
      <c r="CS413" s="228">
        <f>CR413</f>
        <v>9.2239764516992242</v>
      </c>
      <c r="CT413" s="475"/>
      <c r="CU413" s="259">
        <f>'Balance Sheet'!CU103</f>
        <v>11.139162561576354</v>
      </c>
      <c r="CV413" s="259">
        <f>'Balance Sheet'!CV103</f>
        <v>10.116959064327485</v>
      </c>
      <c r="CW413" s="259">
        <f>'Balance Sheet'!CW103</f>
        <v>8.3011190233977619</v>
      </c>
      <c r="CX413" s="259">
        <f>'Balance Sheet'!CX103</f>
        <v>7.2416864608076006</v>
      </c>
      <c r="CY413" s="228">
        <f>CX413</f>
        <v>7.2416864608076006</v>
      </c>
      <c r="CZ413" s="475"/>
      <c r="DA413" s="259">
        <f>'Balance Sheet'!DA103</f>
        <v>8.5245901639344268</v>
      </c>
      <c r="DB413" s="259">
        <f>'Balance Sheet'!DB103</f>
        <v>7.6094164456233422</v>
      </c>
      <c r="DC413" s="259">
        <f>'Balance Sheet'!DC103</f>
        <v>15.47306726207089</v>
      </c>
      <c r="DD413" s="259">
        <f>'Balance Sheet'!DD103</f>
        <v>13.371546881889461</v>
      </c>
      <c r="DE413" s="228">
        <f>DD413</f>
        <v>13.371546881889461</v>
      </c>
      <c r="DF413" s="475"/>
      <c r="DG413" s="259">
        <f>'Balance Sheet'!DG103</f>
        <v>13.691014867485455</v>
      </c>
      <c r="DH413" s="259">
        <f>'Balance Sheet'!DH103</f>
        <v>14.160644228783811</v>
      </c>
      <c r="DI413" s="259">
        <f>'Balance Sheet'!DI103</f>
        <v>12.323499491353001</v>
      </c>
      <c r="DJ413" s="259">
        <f>'Balance Sheet'!DJ103</f>
        <v>11.330818965517242</v>
      </c>
      <c r="DK413" s="228">
        <f>DJ413</f>
        <v>11.330818965517242</v>
      </c>
      <c r="DL413" s="475"/>
      <c r="DM413" s="259">
        <f>'Balance Sheet'!DM103</f>
        <v>11.436258278145695</v>
      </c>
      <c r="DN413" s="259">
        <f>'Balance Sheet'!DN103</f>
        <v>8.2036050798852926</v>
      </c>
      <c r="DO413" s="259">
        <f>'Balance Sheet'!DO103</f>
        <v>8.1902408894379253</v>
      </c>
      <c r="DP413" s="259">
        <f>'Balance Sheet'!DP103</f>
        <v>7.2489885987495404</v>
      </c>
      <c r="DQ413" s="228">
        <f>DP413</f>
        <v>7.2489885987495404</v>
      </c>
      <c r="DR413" s="475"/>
      <c r="DS413" s="259">
        <f>'Balance Sheet'!DS103</f>
        <v>7.5584415584415581</v>
      </c>
      <c r="DT413" s="259">
        <f>'Balance Sheet'!DT103</f>
        <v>6.9159264614749016</v>
      </c>
      <c r="DU413" s="259">
        <f>'Balance Sheet'!DU103</f>
        <v>6.780050083472454</v>
      </c>
      <c r="DV413" s="259">
        <f>'Balance Sheet'!DV103</f>
        <v>6.9988864142538976</v>
      </c>
      <c r="DW413" s="228">
        <f>DV413</f>
        <v>6.9988864142538976</v>
      </c>
      <c r="DX413" s="475"/>
      <c r="DY413" s="259">
        <f>'Balance Sheet'!DY103</f>
        <v>7.118534482758621</v>
      </c>
      <c r="DZ413" s="259">
        <f>'Balance Sheet'!DZ103</f>
        <v>7.2900536033353189</v>
      </c>
      <c r="EA413" s="259">
        <f>'Balance Sheet'!EA103</f>
        <v>7.201454839361487</v>
      </c>
      <c r="EB413" s="259">
        <f>'Balance Sheet'!EB103</f>
        <v>7.6104129263913824</v>
      </c>
      <c r="EC413" s="228">
        <f>EB413</f>
        <v>7.6104129263913824</v>
      </c>
      <c r="ED413" s="475"/>
      <c r="EE413" s="259">
        <f>'Balance Sheet'!EE103</f>
        <v>7.964435146443515</v>
      </c>
      <c r="EF413" s="259">
        <f>'Balance Sheet'!EF103</f>
        <v>8.4531339850488791</v>
      </c>
      <c r="EG413" s="259">
        <f>'Balance Sheet'!EG103</f>
        <v>10.986739469578783</v>
      </c>
      <c r="EH413" s="259">
        <f>'Balance Sheet'!EH103</f>
        <v>12.650854551796304</v>
      </c>
      <c r="EI413" s="228">
        <f>EH413</f>
        <v>12.650854551796304</v>
      </c>
      <c r="EJ413" s="475"/>
      <c r="EK413" s="259">
        <f>'Balance Sheet'!EK103</f>
        <v>7.6295701084773002</v>
      </c>
      <c r="EL413" s="259">
        <f>'Balance Sheet'!EL103</f>
        <v>7.0832543144320121</v>
      </c>
      <c r="EM413" s="259">
        <f>'Balance Sheet'!EM103</f>
        <v>7.1084569447120014</v>
      </c>
      <c r="EN413" s="259">
        <f>'Balance Sheet'!EN103</f>
        <v>7.7804459691252141</v>
      </c>
      <c r="EO413" s="228">
        <f>EN413</f>
        <v>7.7804459691252141</v>
      </c>
      <c r="EP413" s="475"/>
      <c r="EQ413" s="259">
        <f>'Balance Sheet'!EQ103</f>
        <v>9.5164075993091544</v>
      </c>
      <c r="ER413" s="259">
        <f>'Balance Sheet'!ER103</f>
        <v>10.516815504465134</v>
      </c>
      <c r="ES413" s="259">
        <f>'Balance Sheet'!ES103</f>
        <v>8.1219512195121943</v>
      </c>
      <c r="ET413" s="259">
        <f>'Balance Sheet'!ET103</f>
        <v>9.0971987850151876</v>
      </c>
      <c r="EU413" s="228">
        <f>ET413</f>
        <v>9.0971987850151876</v>
      </c>
      <c r="EV413" s="475"/>
      <c r="EW413" s="259">
        <f>'Balance Sheet'!EW103</f>
        <v>9.8323507737656595</v>
      </c>
      <c r="EX413" s="259">
        <f>'Balance Sheet'!EX103</f>
        <v>9.182320441988951</v>
      </c>
      <c r="EY413" s="259">
        <f>'Balance Sheet'!EY103</f>
        <v>9.890650628758884</v>
      </c>
      <c r="EZ413" s="259">
        <f>'Balance Sheet'!EZ103</f>
        <v>9.0971987850151876</v>
      </c>
      <c r="FA413" s="228">
        <f>EZ413</f>
        <v>9.0971987850151876</v>
      </c>
      <c r="FB413" s="475"/>
      <c r="FC413" s="259">
        <f>'Balance Sheet'!FC103</f>
        <v>9.8323507737656595</v>
      </c>
      <c r="FD413" s="259">
        <f>'Balance Sheet'!FD103</f>
        <v>9.182320441988951</v>
      </c>
      <c r="FE413" s="259">
        <f>'Balance Sheet'!FE103</f>
        <v>9.890650628758884</v>
      </c>
      <c r="FF413" s="259">
        <f>'Balance Sheet'!FF103</f>
        <v>9.0971987850151876</v>
      </c>
      <c r="FG413" s="228">
        <f>FF413</f>
        <v>9.0971987850151876</v>
      </c>
      <c r="FH413" s="475"/>
      <c r="FI413" s="259">
        <f>'Balance Sheet'!FI103</f>
        <v>9.8323507737656595</v>
      </c>
      <c r="FJ413" s="259">
        <f>'Balance Sheet'!FJ103</f>
        <v>9.182320441988951</v>
      </c>
      <c r="FK413" s="259">
        <f>'Balance Sheet'!FK103</f>
        <v>9.890650628758884</v>
      </c>
      <c r="FL413" s="259">
        <f>'Balance Sheet'!FL103</f>
        <v>9.0971987850151876</v>
      </c>
      <c r="FM413" s="228">
        <f>FL413</f>
        <v>9.0971987850151876</v>
      </c>
      <c r="FQ413"/>
      <c r="FR413"/>
      <c r="FS413"/>
      <c r="FT413"/>
      <c r="FU413"/>
      <c r="FV413"/>
      <c r="GB413" s="24"/>
      <c r="GC413" s="24"/>
      <c r="GD413" s="24"/>
      <c r="GE413" s="24"/>
      <c r="GF413" s="24"/>
      <c r="GG413" s="24"/>
      <c r="GH413" s="24"/>
      <c r="GI413" s="24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  <c r="HB413"/>
      <c r="HC413"/>
      <c r="HD413"/>
      <c r="HE413"/>
      <c r="HF413"/>
      <c r="HG413"/>
      <c r="HH413"/>
      <c r="HI413"/>
      <c r="HJ413"/>
      <c r="HK413"/>
      <c r="HL413"/>
      <c r="HM413"/>
      <c r="HN413"/>
      <c r="HO413"/>
      <c r="HP413"/>
      <c r="HQ413"/>
      <c r="HR413"/>
      <c r="HS413"/>
      <c r="HT413"/>
      <c r="HU413"/>
      <c r="HV413"/>
      <c r="HW413"/>
      <c r="HX413"/>
      <c r="HY413"/>
      <c r="HZ413"/>
      <c r="IA413"/>
      <c r="IB413"/>
      <c r="IC413"/>
      <c r="ID413"/>
      <c r="IE413"/>
      <c r="IF413"/>
      <c r="IG413"/>
      <c r="IH413"/>
      <c r="II413"/>
      <c r="IJ413"/>
      <c r="IK413"/>
      <c r="IL413"/>
      <c r="IM413"/>
      <c r="IN413"/>
      <c r="IO413"/>
      <c r="IP413"/>
      <c r="IQ413"/>
      <c r="IR413"/>
      <c r="IS413"/>
      <c r="IT413"/>
      <c r="IU413"/>
      <c r="IV413"/>
      <c r="IW413"/>
      <c r="IX413"/>
      <c r="IY413"/>
      <c r="IZ413"/>
      <c r="JA413"/>
      <c r="JB413"/>
      <c r="JC413"/>
      <c r="JD413"/>
      <c r="JE413"/>
      <c r="JF413"/>
      <c r="JG413"/>
      <c r="JH413"/>
      <c r="JI413"/>
      <c r="JJ413"/>
      <c r="JK413"/>
      <c r="JL413"/>
      <c r="JM413"/>
      <c r="JN413"/>
    </row>
    <row r="414" spans="1:274" s="28" customFormat="1" ht="5.25" customHeight="1" x14ac:dyDescent="0.2">
      <c r="A414" s="18"/>
      <c r="B414" s="595"/>
      <c r="CG414" s="416"/>
      <c r="CM414" s="416"/>
      <c r="CS414" s="416"/>
      <c r="CY414" s="416"/>
      <c r="DE414" s="416"/>
      <c r="DK414" s="416"/>
      <c r="DQ414" s="416"/>
      <c r="DW414" s="416"/>
      <c r="EC414" s="416"/>
      <c r="EI414" s="416"/>
      <c r="EO414" s="416"/>
      <c r="EU414" s="416"/>
      <c r="FA414" s="416"/>
      <c r="FG414" s="416"/>
      <c r="FM414" s="416"/>
      <c r="FQ414"/>
      <c r="FR414"/>
      <c r="FS414"/>
      <c r="FT414"/>
      <c r="FU414"/>
      <c r="FV414"/>
      <c r="GB414" s="24"/>
      <c r="GC414" s="24"/>
      <c r="GD414" s="24"/>
      <c r="GE414" s="24"/>
      <c r="GF414" s="24"/>
      <c r="GG414" s="24"/>
      <c r="GH414" s="24"/>
      <c r="GI414" s="2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  <c r="HB414"/>
      <c r="HC414"/>
      <c r="HD414"/>
      <c r="HE414"/>
      <c r="HF414"/>
      <c r="HG414"/>
      <c r="HH414"/>
      <c r="HI414"/>
      <c r="HJ414"/>
      <c r="HK414"/>
      <c r="HL414"/>
      <c r="HM414"/>
      <c r="HN414"/>
      <c r="HO414"/>
      <c r="HP414"/>
      <c r="HQ414"/>
      <c r="HR414"/>
      <c r="HS414"/>
      <c r="HT414"/>
      <c r="HU414"/>
      <c r="HV414"/>
      <c r="HW414"/>
      <c r="HX414"/>
      <c r="HY414"/>
      <c r="HZ414"/>
      <c r="IA414"/>
      <c r="IB414"/>
      <c r="IC414"/>
      <c r="ID414"/>
      <c r="IE414"/>
      <c r="IF414"/>
      <c r="IG414"/>
      <c r="IH414"/>
      <c r="II414"/>
      <c r="IJ414"/>
      <c r="IK414"/>
      <c r="IL414"/>
      <c r="IM414"/>
      <c r="IN414"/>
      <c r="IO414"/>
      <c r="IP414"/>
      <c r="IQ414"/>
      <c r="IR414"/>
      <c r="IS414"/>
      <c r="IT414"/>
      <c r="IU414"/>
      <c r="IV414"/>
      <c r="IW414"/>
      <c r="IX414"/>
      <c r="IY414"/>
      <c r="IZ414"/>
      <c r="JA414"/>
      <c r="JB414"/>
      <c r="JC414"/>
      <c r="JD414"/>
      <c r="JE414"/>
      <c r="JF414"/>
      <c r="JG414"/>
      <c r="JH414"/>
      <c r="JI414"/>
      <c r="JJ414"/>
      <c r="JK414"/>
      <c r="JL414"/>
      <c r="JM414"/>
      <c r="JN414"/>
    </row>
    <row r="415" spans="1:274" s="32" customFormat="1" x14ac:dyDescent="0.2">
      <c r="A415" s="1221" t="s">
        <v>829</v>
      </c>
      <c r="B415" s="1221"/>
      <c r="C415" s="1221"/>
      <c r="D415" s="1221"/>
      <c r="E415" s="1221"/>
      <c r="F415" s="1221"/>
      <c r="G415" s="1221"/>
      <c r="H415" s="1221"/>
      <c r="I415" s="1221"/>
      <c r="J415" s="1221"/>
      <c r="K415" s="1221"/>
      <c r="L415" s="1221"/>
      <c r="M415" s="1221"/>
      <c r="N415" s="1221"/>
      <c r="O415" s="1221"/>
      <c r="P415" s="1221"/>
      <c r="Q415" s="1221"/>
      <c r="R415" s="1221"/>
      <c r="S415" s="1221"/>
      <c r="T415" s="1221"/>
      <c r="U415" s="1221"/>
      <c r="V415" s="1221"/>
      <c r="W415" s="1221"/>
      <c r="X415" s="1221"/>
      <c r="Y415" s="1221"/>
      <c r="Z415" s="1221"/>
      <c r="AA415" s="1221"/>
      <c r="AB415" s="1221"/>
      <c r="AC415" s="1221"/>
      <c r="AD415" s="1221"/>
      <c r="AE415" s="1221"/>
      <c r="AF415" s="1221"/>
      <c r="AG415" s="1221"/>
      <c r="AH415" s="1221"/>
      <c r="AI415" s="1221"/>
      <c r="AJ415" s="1221"/>
      <c r="AK415" s="1221"/>
      <c r="AL415" s="1221"/>
      <c r="AM415" s="1221"/>
      <c r="AN415" s="1221"/>
      <c r="AO415" s="1221"/>
      <c r="AP415" s="1221"/>
      <c r="AQ415" s="1221"/>
      <c r="AR415" s="1221"/>
      <c r="AS415" s="1221"/>
      <c r="AT415" s="1221"/>
      <c r="AU415" s="1221"/>
      <c r="AV415" s="1221"/>
      <c r="AW415" s="1221"/>
      <c r="AX415" s="1221"/>
      <c r="AY415" s="1221"/>
      <c r="AZ415" s="1221"/>
      <c r="BA415" s="1221"/>
      <c r="BB415" s="1221"/>
      <c r="BC415" s="1221"/>
      <c r="BD415" s="1221"/>
      <c r="BE415" s="1221"/>
      <c r="BF415" s="1221"/>
      <c r="BG415" s="1221"/>
      <c r="BH415" s="1221"/>
      <c r="BI415" s="1221"/>
      <c r="BJ415" s="1221"/>
      <c r="BK415" s="1221"/>
      <c r="BL415" s="1221"/>
      <c r="BM415" s="1221"/>
      <c r="BN415" s="1221"/>
      <c r="BO415" s="1221"/>
      <c r="BP415" s="1221"/>
      <c r="BQ415" s="1221"/>
      <c r="BR415" s="1221"/>
      <c r="BS415" s="1221"/>
      <c r="BT415" s="1221"/>
      <c r="BU415" s="1221"/>
      <c r="BV415" s="1221"/>
      <c r="BW415" s="1221"/>
      <c r="BX415" s="1221"/>
      <c r="BY415" s="1221"/>
      <c r="BZ415" s="1221"/>
      <c r="CA415" s="1221"/>
      <c r="CB415" s="1221"/>
      <c r="CC415" s="1221"/>
      <c r="CD415" s="1221"/>
      <c r="CE415" s="1221"/>
      <c r="CF415" s="1221"/>
      <c r="CG415" s="1374"/>
      <c r="CH415" s="1221"/>
      <c r="CI415" s="1221"/>
      <c r="CJ415" s="1221"/>
      <c r="CK415" s="1221"/>
      <c r="CL415" s="1221"/>
      <c r="CM415" s="1374"/>
      <c r="CN415" s="1221"/>
      <c r="CO415" s="1221"/>
      <c r="CP415" s="1221"/>
      <c r="CQ415" s="1221"/>
      <c r="CR415" s="1221"/>
      <c r="CS415" s="1374"/>
      <c r="CT415" s="1428"/>
      <c r="CU415" s="1221"/>
      <c r="CV415" s="1221"/>
      <c r="CW415" s="1221"/>
      <c r="CX415" s="1221"/>
      <c r="CY415" s="1374"/>
      <c r="CZ415" s="1428"/>
      <c r="DA415" s="1221"/>
      <c r="DB415" s="1221"/>
      <c r="DC415" s="1221"/>
      <c r="DD415" s="1221"/>
      <c r="DE415" s="1374"/>
      <c r="DF415" s="1428"/>
      <c r="DG415" s="1221"/>
      <c r="DH415" s="1221"/>
      <c r="DI415" s="1221"/>
      <c r="DJ415" s="1221"/>
      <c r="DK415" s="1374"/>
      <c r="DL415" s="1428"/>
      <c r="DM415" s="1221"/>
      <c r="DN415" s="1221"/>
      <c r="DO415" s="1221"/>
      <c r="DP415" s="1221"/>
      <c r="DQ415" s="1374"/>
      <c r="DR415" s="1428"/>
      <c r="DS415" s="1221"/>
      <c r="DT415" s="1221"/>
      <c r="DU415" s="1221"/>
      <c r="DV415" s="1221"/>
      <c r="DW415" s="1374"/>
      <c r="DX415" s="1428"/>
      <c r="DY415" s="1221"/>
      <c r="DZ415" s="1221"/>
      <c r="EA415" s="1221"/>
      <c r="EB415" s="1221"/>
      <c r="EC415" s="1374"/>
      <c r="ED415" s="1428"/>
      <c r="EE415" s="1221"/>
      <c r="EF415" s="1221"/>
      <c r="EG415" s="1221"/>
      <c r="EH415" s="1221"/>
      <c r="EI415" s="1374"/>
      <c r="EJ415" s="1428"/>
      <c r="EK415" s="1221"/>
      <c r="EL415" s="1221"/>
      <c r="EM415" s="1221"/>
      <c r="EN415" s="1221"/>
      <c r="EO415" s="1374"/>
      <c r="EP415" s="1428"/>
      <c r="EQ415" s="1221"/>
      <c r="ER415" s="1221"/>
      <c r="ES415" s="1221"/>
      <c r="ET415" s="1221"/>
      <c r="EU415" s="1374"/>
      <c r="EV415" s="1428"/>
      <c r="EW415" s="1221"/>
      <c r="EX415" s="1221"/>
      <c r="EY415" s="1221"/>
      <c r="EZ415" s="1221"/>
      <c r="FA415" s="1374"/>
      <c r="FB415" s="1428"/>
      <c r="FC415" s="1221"/>
      <c r="FD415" s="1221"/>
      <c r="FE415" s="1221"/>
      <c r="FF415" s="1221"/>
      <c r="FG415" s="1374"/>
      <c r="FH415" s="1428"/>
      <c r="FI415" s="1221"/>
      <c r="FJ415" s="1221"/>
      <c r="FK415" s="1221"/>
      <c r="FL415" s="1221"/>
      <c r="FM415" s="1374"/>
      <c r="FQ415"/>
      <c r="FR415"/>
      <c r="FS415"/>
      <c r="FT415"/>
      <c r="FU415"/>
      <c r="FV415"/>
      <c r="GB415" s="24"/>
      <c r="GC415" s="24"/>
      <c r="GD415" s="24"/>
      <c r="GE415" s="24"/>
      <c r="GF415" s="24"/>
      <c r="GG415" s="24"/>
      <c r="GH415" s="24"/>
      <c r="GI415" s="24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  <c r="HB415"/>
      <c r="HC415"/>
      <c r="HD415"/>
      <c r="HE415"/>
      <c r="HF415"/>
      <c r="HG415"/>
      <c r="HH415"/>
      <c r="HI415"/>
      <c r="HJ415"/>
      <c r="HK415"/>
      <c r="HL415"/>
      <c r="HM415"/>
      <c r="HN415"/>
      <c r="HO415"/>
      <c r="HP415"/>
      <c r="HQ415"/>
      <c r="HR415"/>
      <c r="HS415"/>
      <c r="HT415"/>
      <c r="HU415"/>
      <c r="HV415"/>
      <c r="HW415"/>
      <c r="HX415"/>
      <c r="HY415"/>
      <c r="HZ415"/>
      <c r="IA415"/>
      <c r="IB415"/>
      <c r="IC415"/>
      <c r="ID415"/>
      <c r="IE415"/>
      <c r="IF415"/>
      <c r="IG415"/>
      <c r="IH415"/>
      <c r="II415"/>
      <c r="IJ415"/>
      <c r="IK415"/>
      <c r="IL415"/>
      <c r="IM415"/>
      <c r="IN415"/>
      <c r="IO415"/>
      <c r="IP415"/>
      <c r="IQ415"/>
      <c r="IR415"/>
      <c r="IS415"/>
      <c r="IT415"/>
      <c r="IU415"/>
      <c r="IV415"/>
      <c r="IW415"/>
      <c r="IX415"/>
      <c r="IY415"/>
      <c r="IZ415"/>
      <c r="JA415"/>
      <c r="JB415"/>
      <c r="JC415"/>
      <c r="JD415"/>
      <c r="JE415"/>
      <c r="JF415"/>
      <c r="JG415"/>
      <c r="JH415"/>
      <c r="JI415"/>
      <c r="JJ415"/>
      <c r="JK415"/>
      <c r="JL415"/>
      <c r="JM415"/>
      <c r="JN415"/>
    </row>
    <row r="416" spans="1:274" s="27" customFormat="1" x14ac:dyDescent="0.2">
      <c r="A416" s="342" t="s">
        <v>830</v>
      </c>
      <c r="B416" s="20"/>
      <c r="C416" s="34">
        <f>'Cash Flow'!C12</f>
        <v>0</v>
      </c>
      <c r="D416" s="34">
        <f>'Cash Flow'!D12</f>
        <v>0</v>
      </c>
      <c r="E416" s="34">
        <f>'Cash Flow'!E12</f>
        <v>0</v>
      </c>
      <c r="F416" s="34">
        <f>'Cash Flow'!F12</f>
        <v>5.3330000000000002</v>
      </c>
      <c r="G416" s="34">
        <f>'Cash Flow'!G12</f>
        <v>12.973000000000001</v>
      </c>
      <c r="H416" s="34">
        <f>'Cash Flow'!H12</f>
        <v>23.155999999999999</v>
      </c>
      <c r="I416" s="34">
        <f>'Cash Flow'!I12</f>
        <v>44.078000000000003</v>
      </c>
      <c r="J416" s="34">
        <f>'Cash Flow'!J12</f>
        <v>70.727000000000004</v>
      </c>
      <c r="K416" s="34">
        <f>'Cash Flow'!K12</f>
        <v>65.778000000000006</v>
      </c>
      <c r="L416" s="34">
        <f>'Cash Flow'!L12</f>
        <v>79.203999999999994</v>
      </c>
      <c r="M416" s="34">
        <f>'Cash Flow'!M12</f>
        <v>104.563</v>
      </c>
      <c r="N416" s="342"/>
      <c r="O416" s="259" t="s">
        <v>945</v>
      </c>
      <c r="P416" s="259" t="s">
        <v>945</v>
      </c>
      <c r="Q416" s="259" t="s">
        <v>945</v>
      </c>
      <c r="R416" s="259" t="s">
        <v>945</v>
      </c>
      <c r="S416" s="34">
        <f>'Cash Flow'!S12</f>
        <v>147.77199999999999</v>
      </c>
      <c r="T416" s="342"/>
      <c r="U416" s="259" t="s">
        <v>945</v>
      </c>
      <c r="V416" s="259" t="s">
        <v>945</v>
      </c>
      <c r="W416" s="259" t="s">
        <v>945</v>
      </c>
      <c r="X416" s="259" t="s">
        <v>945</v>
      </c>
      <c r="Y416" s="34">
        <f>'Cash Flow'!Y12</f>
        <v>219.49399999999997</v>
      </c>
      <c r="Z416" s="342"/>
      <c r="AA416" s="259" t="s">
        <v>945</v>
      </c>
      <c r="AB416" s="259" t="s">
        <v>945</v>
      </c>
      <c r="AC416" s="259" t="s">
        <v>945</v>
      </c>
      <c r="AD416" s="259" t="s">
        <v>945</v>
      </c>
      <c r="AE416" s="34">
        <f>'Cash Flow'!AE12</f>
        <v>264.77300000000002</v>
      </c>
      <c r="AF416" s="342"/>
      <c r="AG416" s="259" t="s">
        <v>945</v>
      </c>
      <c r="AH416" s="259" t="s">
        <v>945</v>
      </c>
      <c r="AI416" s="259" t="s">
        <v>945</v>
      </c>
      <c r="AJ416" s="259" t="s">
        <v>945</v>
      </c>
      <c r="AK416" s="34">
        <f>'Cash Flow'!AK12</f>
        <v>328.56299999999999</v>
      </c>
      <c r="AL416" s="342"/>
      <c r="AM416" s="259" t="s">
        <v>945</v>
      </c>
      <c r="AN416" s="259" t="s">
        <v>945</v>
      </c>
      <c r="AO416" s="259" t="s">
        <v>945</v>
      </c>
      <c r="AP416" s="259" t="s">
        <v>945</v>
      </c>
      <c r="AQ416" s="34">
        <f>'Cash Flow'!AQ12</f>
        <v>319.82299999999998</v>
      </c>
      <c r="AR416" s="342"/>
      <c r="AS416" s="259" t="s">
        <v>945</v>
      </c>
      <c r="AT416" s="259" t="s">
        <v>945</v>
      </c>
      <c r="AU416" s="259" t="s">
        <v>945</v>
      </c>
      <c r="AV416" s="259" t="s">
        <v>945</v>
      </c>
      <c r="AW416" s="34">
        <f>'Cash Flow'!AW12</f>
        <v>314.315</v>
      </c>
      <c r="AX416" s="342"/>
      <c r="AY416" s="259" t="s">
        <v>945</v>
      </c>
      <c r="AZ416" s="259" t="s">
        <v>945</v>
      </c>
      <c r="BA416" s="259" t="s">
        <v>945</v>
      </c>
      <c r="BB416" s="259" t="s">
        <v>945</v>
      </c>
      <c r="BC416" s="34">
        <f>'Cash Flow'!BC12</f>
        <v>275</v>
      </c>
      <c r="BD416" s="342"/>
      <c r="BE416" s="259" t="s">
        <v>945</v>
      </c>
      <c r="BF416" s="259" t="s">
        <v>945</v>
      </c>
      <c r="BG416" s="259" t="s">
        <v>945</v>
      </c>
      <c r="BH416" s="259" t="s">
        <v>945</v>
      </c>
      <c r="BI416" s="34">
        <f>'Cash Flow'!BI12</f>
        <v>273</v>
      </c>
      <c r="BJ416" s="342"/>
      <c r="BK416" s="259" t="s">
        <v>945</v>
      </c>
      <c r="BL416" s="259" t="s">
        <v>945</v>
      </c>
      <c r="BM416" s="259" t="s">
        <v>945</v>
      </c>
      <c r="BN416" s="259" t="s">
        <v>945</v>
      </c>
      <c r="BO416" s="34">
        <f>'Cash Flow'!BO12</f>
        <v>243</v>
      </c>
      <c r="BP416" s="342"/>
      <c r="BQ416" s="259" t="s">
        <v>945</v>
      </c>
      <c r="BR416" s="259" t="s">
        <v>945</v>
      </c>
      <c r="BS416" s="259" t="s">
        <v>945</v>
      </c>
      <c r="BT416" s="259" t="s">
        <v>945</v>
      </c>
      <c r="BU416" s="34">
        <f>'Cash Flow'!BU12</f>
        <v>198</v>
      </c>
      <c r="BV416" s="342"/>
      <c r="BW416" s="259" t="s">
        <v>945</v>
      </c>
      <c r="BX416" s="259" t="s">
        <v>945</v>
      </c>
      <c r="BY416" s="259" t="s">
        <v>945</v>
      </c>
      <c r="BZ416" s="259" t="s">
        <v>945</v>
      </c>
      <c r="CA416" s="34">
        <f>'Cash Flow'!CA12</f>
        <v>206</v>
      </c>
      <c r="CB416" s="342"/>
      <c r="CC416" s="259" t="s">
        <v>945</v>
      </c>
      <c r="CD416" s="259" t="s">
        <v>945</v>
      </c>
      <c r="CE416" s="259" t="s">
        <v>945</v>
      </c>
      <c r="CF416" s="259" t="s">
        <v>945</v>
      </c>
      <c r="CG416" s="228">
        <f>'Cash Flow'!CG12</f>
        <v>223</v>
      </c>
      <c r="CH416" s="342"/>
      <c r="CI416" s="259" t="s">
        <v>945</v>
      </c>
      <c r="CJ416" s="259" t="s">
        <v>945</v>
      </c>
      <c r="CK416" s="259" t="s">
        <v>945</v>
      </c>
      <c r="CL416" s="259" t="s">
        <v>945</v>
      </c>
      <c r="CM416" s="228">
        <f>'Cash Flow'!CM12</f>
        <v>249</v>
      </c>
      <c r="CN416" s="342"/>
      <c r="CO416" s="259" t="s">
        <v>945</v>
      </c>
      <c r="CP416" s="259" t="s">
        <v>945</v>
      </c>
      <c r="CQ416" s="259" t="s">
        <v>945</v>
      </c>
      <c r="CR416" s="259" t="s">
        <v>945</v>
      </c>
      <c r="CS416" s="228">
        <f>'Cash Flow'!CS12</f>
        <v>268</v>
      </c>
      <c r="CT416" s="475"/>
      <c r="CU416" s="259" t="s">
        <v>945</v>
      </c>
      <c r="CV416" s="259" t="s">
        <v>945</v>
      </c>
      <c r="CW416" s="259" t="s">
        <v>945</v>
      </c>
      <c r="CX416" s="259" t="s">
        <v>945</v>
      </c>
      <c r="CY416" s="228">
        <f>'Cash Flow'!CY12</f>
        <v>263</v>
      </c>
      <c r="CZ416" s="475"/>
      <c r="DA416" s="259" t="s">
        <v>945</v>
      </c>
      <c r="DB416" s="259" t="s">
        <v>945</v>
      </c>
      <c r="DC416" s="259" t="s">
        <v>945</v>
      </c>
      <c r="DD416" s="259" t="s">
        <v>945</v>
      </c>
      <c r="DE416" s="228">
        <f>'Cash Flow'!DE12</f>
        <v>298</v>
      </c>
      <c r="DF416" s="475"/>
      <c r="DG416" s="259" t="s">
        <v>945</v>
      </c>
      <c r="DH416" s="259" t="s">
        <v>945</v>
      </c>
      <c r="DI416" s="259" t="s">
        <v>945</v>
      </c>
      <c r="DJ416" s="259" t="s">
        <v>945</v>
      </c>
      <c r="DK416" s="228">
        <f>'Cash Flow'!DK12</f>
        <v>368</v>
      </c>
      <c r="DL416" s="475"/>
      <c r="DM416" s="259" t="s">
        <v>945</v>
      </c>
      <c r="DN416" s="259" t="s">
        <v>945</v>
      </c>
      <c r="DO416" s="259" t="s">
        <v>945</v>
      </c>
      <c r="DP416" s="259" t="s">
        <v>945</v>
      </c>
      <c r="DQ416" s="228">
        <f>'Cash Flow'!DQ12</f>
        <v>486</v>
      </c>
      <c r="DR416" s="475"/>
      <c r="DS416" s="259" t="s">
        <v>945</v>
      </c>
      <c r="DT416" s="259" t="s">
        <v>945</v>
      </c>
      <c r="DU416" s="259" t="s">
        <v>945</v>
      </c>
      <c r="DV416" s="259" t="s">
        <v>945</v>
      </c>
      <c r="DW416" s="228">
        <f>'Cash Flow'!DW12</f>
        <v>546</v>
      </c>
      <c r="DX416" s="475"/>
      <c r="DY416" s="259" t="s">
        <v>945</v>
      </c>
      <c r="DZ416" s="259" t="s">
        <v>945</v>
      </c>
      <c r="EA416" s="259" t="s">
        <v>945</v>
      </c>
      <c r="EB416" s="259" t="s">
        <v>945</v>
      </c>
      <c r="EC416" s="228">
        <f>'Cash Flow'!EC12</f>
        <v>608</v>
      </c>
      <c r="ED416" s="475"/>
      <c r="EE416" s="259" t="s">
        <v>945</v>
      </c>
      <c r="EF416" s="259" t="s">
        <v>945</v>
      </c>
      <c r="EG416" s="259" t="s">
        <v>945</v>
      </c>
      <c r="EH416" s="259" t="s">
        <v>945</v>
      </c>
      <c r="EI416" s="228">
        <f>'Cash Flow'!EI12</f>
        <v>712</v>
      </c>
      <c r="EJ416" s="475"/>
      <c r="EK416" s="259" t="s">
        <v>945</v>
      </c>
      <c r="EL416" s="259" t="s">
        <v>945</v>
      </c>
      <c r="EM416" s="259" t="s">
        <v>945</v>
      </c>
      <c r="EN416" s="259" t="s">
        <v>945</v>
      </c>
      <c r="EO416" s="228">
        <f>'Cash Flow'!EO12</f>
        <v>871</v>
      </c>
      <c r="EP416" s="475"/>
      <c r="EQ416" s="259" t="s">
        <v>945</v>
      </c>
      <c r="ER416" s="259" t="s">
        <v>945</v>
      </c>
      <c r="ES416" s="259" t="s">
        <v>945</v>
      </c>
      <c r="ET416" s="259" t="s">
        <v>945</v>
      </c>
      <c r="EU416" s="228">
        <f>'Cash Flow'!EU12</f>
        <v>1000</v>
      </c>
      <c r="EV416" s="475"/>
      <c r="EW416" s="259" t="s">
        <v>945</v>
      </c>
      <c r="EX416" s="259" t="s">
        <v>945</v>
      </c>
      <c r="EY416" s="259" t="s">
        <v>945</v>
      </c>
      <c r="EZ416" s="259" t="s">
        <v>945</v>
      </c>
      <c r="FA416" s="228">
        <f>'Cash Flow'!FA12</f>
        <v>1172.4838499488039</v>
      </c>
      <c r="FB416" s="475"/>
      <c r="FC416" s="259" t="s">
        <v>945</v>
      </c>
      <c r="FD416" s="259" t="s">
        <v>945</v>
      </c>
      <c r="FE416" s="259" t="s">
        <v>945</v>
      </c>
      <c r="FF416" s="259" t="s">
        <v>945</v>
      </c>
      <c r="FG416" s="228">
        <f>'Cash Flow'!FG12</f>
        <v>1525.660063261945</v>
      </c>
      <c r="FH416" s="475"/>
      <c r="FI416" s="259" t="s">
        <v>945</v>
      </c>
      <c r="FJ416" s="259" t="s">
        <v>945</v>
      </c>
      <c r="FK416" s="259" t="s">
        <v>945</v>
      </c>
      <c r="FL416" s="259" t="s">
        <v>945</v>
      </c>
      <c r="FM416" s="228">
        <f>'Cash Flow'!FM12</f>
        <v>1777.476408125543</v>
      </c>
      <c r="FQ416"/>
      <c r="FR416"/>
      <c r="FS416"/>
      <c r="FT416"/>
      <c r="FU416"/>
      <c r="FV416"/>
      <c r="GB416" s="24"/>
      <c r="GC416" s="24"/>
      <c r="GD416" s="24"/>
      <c r="GE416" s="24"/>
      <c r="GF416" s="24"/>
      <c r="GG416" s="24"/>
      <c r="GH416" s="24"/>
      <c r="GI416" s="24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  <c r="HB416"/>
      <c r="HC416"/>
      <c r="HD416"/>
      <c r="HE416"/>
      <c r="HF416"/>
      <c r="HG416"/>
      <c r="HH416"/>
      <c r="HI416"/>
      <c r="HJ416"/>
      <c r="HK416"/>
      <c r="HL416"/>
      <c r="HM416"/>
      <c r="HN416"/>
      <c r="HO416"/>
      <c r="HP416"/>
      <c r="HQ416"/>
      <c r="HR416"/>
      <c r="HS416"/>
      <c r="HT416"/>
      <c r="HU416"/>
      <c r="HV416"/>
      <c r="HW416"/>
      <c r="HX416"/>
      <c r="HY416"/>
      <c r="HZ416"/>
      <c r="IA416"/>
      <c r="IB416"/>
      <c r="IC416"/>
      <c r="ID416"/>
      <c r="IE416"/>
      <c r="IF416"/>
      <c r="IG416"/>
      <c r="IH416"/>
      <c r="II416"/>
      <c r="IJ416"/>
      <c r="IK416"/>
      <c r="IL416"/>
      <c r="IM416"/>
      <c r="IN416"/>
      <c r="IO416"/>
      <c r="IP416"/>
      <c r="IQ416"/>
      <c r="IR416"/>
      <c r="IS416"/>
      <c r="IT416"/>
      <c r="IU416"/>
      <c r="IV416"/>
      <c r="IW416"/>
      <c r="IX416"/>
      <c r="IY416"/>
      <c r="IZ416"/>
      <c r="JA416"/>
      <c r="JB416"/>
      <c r="JC416"/>
      <c r="JD416"/>
      <c r="JE416"/>
      <c r="JF416"/>
      <c r="JG416"/>
      <c r="JH416"/>
      <c r="JI416"/>
      <c r="JJ416"/>
      <c r="JK416"/>
      <c r="JL416"/>
      <c r="JM416"/>
      <c r="JN416"/>
    </row>
    <row r="417" spans="1:274" s="27" customFormat="1" x14ac:dyDescent="0.2">
      <c r="A417" s="342" t="s">
        <v>423</v>
      </c>
      <c r="B417" s="20"/>
      <c r="C417" s="34">
        <f>SUM('Cash Flow'!C19:C24)</f>
        <v>0</v>
      </c>
      <c r="D417" s="34">
        <f>SUM('Cash Flow'!D19:D24)</f>
        <v>0</v>
      </c>
      <c r="E417" s="34">
        <f>SUM('Cash Flow'!E19:E24)</f>
        <v>0</v>
      </c>
      <c r="F417" s="34">
        <f>SUM('Cash Flow'!F19:F24)</f>
        <v>-25.258999999999997</v>
      </c>
      <c r="G417" s="34">
        <f>SUM('Cash Flow'!G19:G24)</f>
        <v>-31.439999999999998</v>
      </c>
      <c r="H417" s="34">
        <f>SUM('Cash Flow'!H19:H24)</f>
        <v>-74.645999999999987</v>
      </c>
      <c r="I417" s="34">
        <f>SUM('Cash Flow'!I19:I24)</f>
        <v>-113.04500000000004</v>
      </c>
      <c r="J417" s="34">
        <f>SUM('Cash Flow'!J19:J24)</f>
        <v>47.423999999999992</v>
      </c>
      <c r="K417" s="34">
        <f>SUM('Cash Flow'!K19:K24)</f>
        <v>87.146999999999991</v>
      </c>
      <c r="L417" s="34">
        <f>SUM('Cash Flow'!L19:L24)</f>
        <v>66.06</v>
      </c>
      <c r="M417" s="34">
        <f>SUM('Cash Flow'!M19:M24)</f>
        <v>0.68999999999998352</v>
      </c>
      <c r="N417" s="342"/>
      <c r="O417" s="259" t="s">
        <v>945</v>
      </c>
      <c r="P417" s="259" t="s">
        <v>945</v>
      </c>
      <c r="Q417" s="259" t="s">
        <v>945</v>
      </c>
      <c r="R417" s="259" t="s">
        <v>945</v>
      </c>
      <c r="S417" s="34">
        <f>SUM('Cash Flow'!S19:S24)</f>
        <v>-17.794999999999931</v>
      </c>
      <c r="T417" s="342"/>
      <c r="U417" s="259" t="s">
        <v>945</v>
      </c>
      <c r="V417" s="259" t="s">
        <v>945</v>
      </c>
      <c r="W417" s="259" t="s">
        <v>945</v>
      </c>
      <c r="X417" s="259" t="s">
        <v>945</v>
      </c>
      <c r="Y417" s="34">
        <f>SUM('Cash Flow'!Y19:Y24)</f>
        <v>-25.185999999999979</v>
      </c>
      <c r="Z417" s="342"/>
      <c r="AA417" s="259" t="s">
        <v>945</v>
      </c>
      <c r="AB417" s="259" t="s">
        <v>945</v>
      </c>
      <c r="AC417" s="259" t="s">
        <v>945</v>
      </c>
      <c r="AD417" s="259" t="s">
        <v>945</v>
      </c>
      <c r="AE417" s="34">
        <f>SUM('Cash Flow'!AE19:AE24)</f>
        <v>-73.998000000000104</v>
      </c>
      <c r="AF417" s="342"/>
      <c r="AG417" s="259" t="s">
        <v>945</v>
      </c>
      <c r="AH417" s="259" t="s">
        <v>945</v>
      </c>
      <c r="AI417" s="259" t="s">
        <v>945</v>
      </c>
      <c r="AJ417" s="259" t="s">
        <v>945</v>
      </c>
      <c r="AK417" s="34">
        <f>SUM('Cash Flow'!AK19:AK24)</f>
        <v>259.17099999999994</v>
      </c>
      <c r="AL417" s="342"/>
      <c r="AM417" s="259" t="s">
        <v>945</v>
      </c>
      <c r="AN417" s="259" t="s">
        <v>945</v>
      </c>
      <c r="AO417" s="259" t="s">
        <v>945</v>
      </c>
      <c r="AP417" s="259" t="s">
        <v>945</v>
      </c>
      <c r="AQ417" s="34">
        <f>SUM('Cash Flow'!AQ19:AQ24)</f>
        <v>22.277999999999963</v>
      </c>
      <c r="AR417" s="342"/>
      <c r="AS417" s="259" t="s">
        <v>945</v>
      </c>
      <c r="AT417" s="259" t="s">
        <v>945</v>
      </c>
      <c r="AU417" s="259" t="s">
        <v>945</v>
      </c>
      <c r="AV417" s="259" t="s">
        <v>945</v>
      </c>
      <c r="AW417" s="34">
        <f>SUM('Cash Flow'!AW19:AW24)</f>
        <v>30.332000000000022</v>
      </c>
      <c r="AX417" s="342"/>
      <c r="AY417" s="259" t="s">
        <v>945</v>
      </c>
      <c r="AZ417" s="259" t="s">
        <v>945</v>
      </c>
      <c r="BA417" s="259" t="s">
        <v>945</v>
      </c>
      <c r="BB417" s="259" t="s">
        <v>945</v>
      </c>
      <c r="BC417" s="34">
        <f>SUM('Cash Flow'!BC19:BC24)</f>
        <v>180</v>
      </c>
      <c r="BD417" s="342"/>
      <c r="BE417" s="259" t="s">
        <v>945</v>
      </c>
      <c r="BF417" s="259" t="s">
        <v>945</v>
      </c>
      <c r="BG417" s="259" t="s">
        <v>945</v>
      </c>
      <c r="BH417" s="259" t="s">
        <v>945</v>
      </c>
      <c r="BI417" s="34">
        <f>SUM('Cash Flow'!BI19:BI24)</f>
        <v>80</v>
      </c>
      <c r="BJ417" s="342"/>
      <c r="BK417" s="259" t="s">
        <v>945</v>
      </c>
      <c r="BL417" s="259" t="s">
        <v>945</v>
      </c>
      <c r="BM417" s="259" t="s">
        <v>945</v>
      </c>
      <c r="BN417" s="259" t="s">
        <v>945</v>
      </c>
      <c r="BO417" s="34">
        <f>SUM('Cash Flow'!BO19:BO24)</f>
        <v>269</v>
      </c>
      <c r="BP417" s="342"/>
      <c r="BQ417" s="259" t="s">
        <v>945</v>
      </c>
      <c r="BR417" s="259" t="s">
        <v>945</v>
      </c>
      <c r="BS417" s="259" t="s">
        <v>945</v>
      </c>
      <c r="BT417" s="259" t="s">
        <v>945</v>
      </c>
      <c r="BU417" s="34">
        <f>SUM('Cash Flow'!BU19:BU24)</f>
        <v>251</v>
      </c>
      <c r="BV417" s="342"/>
      <c r="BW417" s="259" t="s">
        <v>945</v>
      </c>
      <c r="BX417" s="259" t="s">
        <v>945</v>
      </c>
      <c r="BY417" s="259" t="s">
        <v>945</v>
      </c>
      <c r="BZ417" s="259" t="s">
        <v>945</v>
      </c>
      <c r="CA417" s="34">
        <f>SUM('Cash Flow'!CA19:CA24)</f>
        <v>309</v>
      </c>
      <c r="CB417" s="342"/>
      <c r="CC417" s="259" t="s">
        <v>945</v>
      </c>
      <c r="CD417" s="259" t="s">
        <v>945</v>
      </c>
      <c r="CE417" s="259" t="s">
        <v>945</v>
      </c>
      <c r="CF417" s="259" t="s">
        <v>945</v>
      </c>
      <c r="CG417" s="228">
        <f>SUM('Cash Flow'!CG19:CG24)</f>
        <v>24</v>
      </c>
      <c r="CH417" s="342"/>
      <c r="CI417" s="259" t="s">
        <v>945</v>
      </c>
      <c r="CJ417" s="259" t="s">
        <v>945</v>
      </c>
      <c r="CK417" s="259" t="s">
        <v>945</v>
      </c>
      <c r="CL417" s="259" t="s">
        <v>945</v>
      </c>
      <c r="CM417" s="228">
        <f>SUM('Cash Flow'!CM19:CM24)</f>
        <v>-667</v>
      </c>
      <c r="CN417" s="342"/>
      <c r="CO417" s="259" t="s">
        <v>945</v>
      </c>
      <c r="CP417" s="259" t="s">
        <v>945</v>
      </c>
      <c r="CQ417" s="259" t="s">
        <v>945</v>
      </c>
      <c r="CR417" s="259" t="s">
        <v>945</v>
      </c>
      <c r="CS417" s="228">
        <f>SUM('Cash Flow'!CS19:CS24)</f>
        <v>15</v>
      </c>
      <c r="CT417" s="475"/>
      <c r="CU417" s="259" t="s">
        <v>945</v>
      </c>
      <c r="CV417" s="259" t="s">
        <v>945</v>
      </c>
      <c r="CW417" s="259" t="s">
        <v>945</v>
      </c>
      <c r="CX417" s="259" t="s">
        <v>945</v>
      </c>
      <c r="CY417" s="228">
        <f>SUM('Cash Flow'!CY19:CY24)</f>
        <v>483</v>
      </c>
      <c r="CZ417" s="475"/>
      <c r="DA417" s="259" t="s">
        <v>945</v>
      </c>
      <c r="DB417" s="259" t="s">
        <v>945</v>
      </c>
      <c r="DC417" s="259" t="s">
        <v>945</v>
      </c>
      <c r="DD417" s="259" t="s">
        <v>945</v>
      </c>
      <c r="DE417" s="228">
        <f>SUM('Cash Flow'!DE19:DE24)</f>
        <v>244</v>
      </c>
      <c r="DF417" s="475"/>
      <c r="DG417" s="259" t="s">
        <v>945</v>
      </c>
      <c r="DH417" s="259" t="s">
        <v>945</v>
      </c>
      <c r="DI417" s="259" t="s">
        <v>945</v>
      </c>
      <c r="DJ417" s="259" t="s">
        <v>945</v>
      </c>
      <c r="DK417" s="228">
        <f>SUM('Cash Flow'!DK19:DK24)</f>
        <v>-564</v>
      </c>
      <c r="DL417" s="475"/>
      <c r="DM417" s="259" t="s">
        <v>945</v>
      </c>
      <c r="DN417" s="259" t="s">
        <v>945</v>
      </c>
      <c r="DO417" s="259" t="s">
        <v>945</v>
      </c>
      <c r="DP417" s="259" t="s">
        <v>945</v>
      </c>
      <c r="DQ417" s="228">
        <f>SUM('Cash Flow'!DQ19:DQ24)</f>
        <v>9</v>
      </c>
      <c r="DR417" s="475"/>
      <c r="DS417" s="259" t="s">
        <v>945</v>
      </c>
      <c r="DT417" s="259" t="s">
        <v>945</v>
      </c>
      <c r="DU417" s="259" t="s">
        <v>945</v>
      </c>
      <c r="DV417" s="259" t="s">
        <v>945</v>
      </c>
      <c r="DW417" s="228">
        <f>SUM('Cash Flow'!DW19:DW24)</f>
        <v>-594</v>
      </c>
      <c r="DX417" s="475"/>
      <c r="DY417" s="259" t="s">
        <v>945</v>
      </c>
      <c r="DZ417" s="259" t="s">
        <v>945</v>
      </c>
      <c r="EA417" s="259" t="s">
        <v>945</v>
      </c>
      <c r="EB417" s="259" t="s">
        <v>945</v>
      </c>
      <c r="EC417" s="228">
        <f>SUM('Cash Flow'!EC19:EC24)</f>
        <v>-40</v>
      </c>
      <c r="ED417" s="475"/>
      <c r="EE417" s="259" t="s">
        <v>945</v>
      </c>
      <c r="EF417" s="259" t="s">
        <v>945</v>
      </c>
      <c r="EG417" s="259" t="s">
        <v>945</v>
      </c>
      <c r="EH417" s="259" t="s">
        <v>945</v>
      </c>
      <c r="EI417" s="228">
        <f>SUM('Cash Flow'!EI19:EI24)</f>
        <v>673</v>
      </c>
      <c r="EJ417" s="475"/>
      <c r="EK417" s="259" t="s">
        <v>945</v>
      </c>
      <c r="EL417" s="259" t="s">
        <v>945</v>
      </c>
      <c r="EM417" s="259" t="s">
        <v>945</v>
      </c>
      <c r="EN417" s="259" t="s">
        <v>945</v>
      </c>
      <c r="EO417" s="228">
        <f>SUM('Cash Flow'!EO19:EO24)</f>
        <v>889</v>
      </c>
      <c r="EP417" s="475"/>
      <c r="EQ417" s="259" t="s">
        <v>945</v>
      </c>
      <c r="ER417" s="259" t="s">
        <v>945</v>
      </c>
      <c r="ES417" s="259" t="s">
        <v>945</v>
      </c>
      <c r="ET417" s="259" t="s">
        <v>945</v>
      </c>
      <c r="EU417" s="228">
        <f>SUM('Cash Flow'!EU19:EU24)</f>
        <v>739</v>
      </c>
      <c r="EV417" s="475"/>
      <c r="EW417" s="259" t="s">
        <v>945</v>
      </c>
      <c r="EX417" s="259" t="s">
        <v>945</v>
      </c>
      <c r="EY417" s="259" t="s">
        <v>945</v>
      </c>
      <c r="EZ417" s="259" t="s">
        <v>945</v>
      </c>
      <c r="FA417" s="228">
        <f>SUM('Cash Flow'!FA19:FA24)</f>
        <v>7801.4836099393706</v>
      </c>
      <c r="FB417" s="475"/>
      <c r="FC417" s="259" t="s">
        <v>945</v>
      </c>
      <c r="FD417" s="259" t="s">
        <v>945</v>
      </c>
      <c r="FE417" s="259" t="s">
        <v>945</v>
      </c>
      <c r="FF417" s="259" t="s">
        <v>945</v>
      </c>
      <c r="FG417" s="228">
        <f>SUM('Cash Flow'!FG19:FG24)</f>
        <v>484.22798003066964</v>
      </c>
      <c r="FH417" s="475"/>
      <c r="FI417" s="259" t="s">
        <v>945</v>
      </c>
      <c r="FJ417" s="259" t="s">
        <v>945</v>
      </c>
      <c r="FK417" s="259" t="s">
        <v>945</v>
      </c>
      <c r="FL417" s="259" t="s">
        <v>945</v>
      </c>
      <c r="FM417" s="228">
        <f>SUM('Cash Flow'!FM19:FM24)</f>
        <v>833.29419176077761</v>
      </c>
      <c r="FQ417"/>
      <c r="FR417"/>
      <c r="FS417"/>
      <c r="FT417"/>
      <c r="FU417"/>
      <c r="FV417"/>
      <c r="GB417" s="24"/>
      <c r="GC417" s="24"/>
      <c r="GD417" s="24"/>
      <c r="GE417" s="24"/>
      <c r="GF417" s="24"/>
      <c r="GG417" s="24"/>
      <c r="GH417" s="24"/>
      <c r="GI417" s="24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  <c r="HB417"/>
      <c r="HC417"/>
      <c r="HD417"/>
      <c r="HE417"/>
      <c r="HF417"/>
      <c r="HG417"/>
      <c r="HH417"/>
      <c r="HI417"/>
      <c r="HJ417"/>
      <c r="HK417"/>
      <c r="HL417"/>
      <c r="HM417"/>
      <c r="HN417"/>
      <c r="HO417"/>
      <c r="HP417"/>
      <c r="HQ417"/>
      <c r="HR417"/>
      <c r="HS417"/>
      <c r="HT417"/>
      <c r="HU417"/>
      <c r="HV417"/>
      <c r="HW417"/>
      <c r="HX417"/>
      <c r="HY417"/>
      <c r="HZ417"/>
      <c r="IA417"/>
      <c r="IB417"/>
      <c r="IC417"/>
      <c r="ID417"/>
      <c r="IE417"/>
      <c r="IF417"/>
      <c r="IG417"/>
      <c r="IH417"/>
      <c r="II417"/>
      <c r="IJ417"/>
      <c r="IK417"/>
      <c r="IL417"/>
      <c r="IM417"/>
      <c r="IN417"/>
      <c r="IO417"/>
      <c r="IP417"/>
      <c r="IQ417"/>
      <c r="IR417"/>
      <c r="IS417"/>
      <c r="IT417"/>
      <c r="IU417"/>
      <c r="IV417"/>
      <c r="IW417"/>
      <c r="IX417"/>
      <c r="IY417"/>
      <c r="IZ417"/>
      <c r="JA417"/>
      <c r="JB417"/>
      <c r="JC417"/>
      <c r="JD417"/>
      <c r="JE417"/>
      <c r="JF417"/>
      <c r="JG417"/>
      <c r="JH417"/>
      <c r="JI417"/>
      <c r="JJ417"/>
      <c r="JK417"/>
      <c r="JL417"/>
      <c r="JM417"/>
      <c r="JN417"/>
    </row>
    <row r="418" spans="1:274" s="27" customFormat="1" x14ac:dyDescent="0.2">
      <c r="A418" s="342" t="s">
        <v>831</v>
      </c>
      <c r="B418" s="20"/>
      <c r="C418" s="34">
        <f>'Cash Flow'!C31</f>
        <v>0</v>
      </c>
      <c r="D418" s="34">
        <f>'Cash Flow'!D31</f>
        <v>0</v>
      </c>
      <c r="E418" s="34">
        <f>'Cash Flow'!E31</f>
        <v>-11.334</v>
      </c>
      <c r="F418" s="34">
        <f>'Cash Flow'!F31</f>
        <v>-15.411</v>
      </c>
      <c r="G418" s="34">
        <f>'Cash Flow'!G31</f>
        <v>-30.959</v>
      </c>
      <c r="H418" s="34">
        <f>'Cash Flow'!H31</f>
        <v>-68.427999999999997</v>
      </c>
      <c r="I418" s="34">
        <f>'Cash Flow'!I31</f>
        <v>-27.638999999999999</v>
      </c>
      <c r="J418" s="34">
        <f>'Cash Flow'!J31</f>
        <v>-47.844999999999999</v>
      </c>
      <c r="K418" s="34">
        <f>'Cash Flow'!K31</f>
        <v>-41.825000000000003</v>
      </c>
      <c r="L418" s="34">
        <f>'Cash Flow'!L31</f>
        <v>-41.313000000000002</v>
      </c>
      <c r="M418" s="34">
        <f>'Cash Flow'!M31</f>
        <v>-250.65</v>
      </c>
      <c r="N418" s="342"/>
      <c r="O418" s="259" t="s">
        <v>945</v>
      </c>
      <c r="P418" s="259" t="s">
        <v>945</v>
      </c>
      <c r="Q418" s="259" t="s">
        <v>945</v>
      </c>
      <c r="R418" s="259" t="s">
        <v>945</v>
      </c>
      <c r="S418" s="34">
        <f>'Cash Flow'!S31</f>
        <v>-262.04599999999999</v>
      </c>
      <c r="T418" s="342"/>
      <c r="U418" s="259" t="s">
        <v>945</v>
      </c>
      <c r="V418" s="259" t="s">
        <v>945</v>
      </c>
      <c r="W418" s="259" t="s">
        <v>945</v>
      </c>
      <c r="X418" s="259" t="s">
        <v>945</v>
      </c>
      <c r="Y418" s="34">
        <f>'Cash Flow'!Y31</f>
        <v>-308.392</v>
      </c>
      <c r="Z418" s="342"/>
      <c r="AA418" s="259" t="s">
        <v>945</v>
      </c>
      <c r="AB418" s="259" t="s">
        <v>945</v>
      </c>
      <c r="AC418" s="259" t="s">
        <v>945</v>
      </c>
      <c r="AD418" s="259" t="s">
        <v>945</v>
      </c>
      <c r="AE418" s="34">
        <f>'Cash Flow'!AE31</f>
        <v>-390.74099999999999</v>
      </c>
      <c r="AF418" s="342"/>
      <c r="AG418" s="259" t="s">
        <v>945</v>
      </c>
      <c r="AH418" s="259" t="s">
        <v>945</v>
      </c>
      <c r="AI418" s="259" t="s">
        <v>945</v>
      </c>
      <c r="AJ418" s="259" t="s">
        <v>945</v>
      </c>
      <c r="AK418" s="34">
        <f>'Cash Flow'!AK31</f>
        <v>-328.358</v>
      </c>
      <c r="AL418" s="342"/>
      <c r="AM418" s="259" t="s">
        <v>945</v>
      </c>
      <c r="AN418" s="259" t="s">
        <v>945</v>
      </c>
      <c r="AO418" s="259" t="s">
        <v>945</v>
      </c>
      <c r="AP418" s="259" t="s">
        <v>945</v>
      </c>
      <c r="AQ418" s="34">
        <f>'Cash Flow'!AQ31</f>
        <v>-346.59199999999998</v>
      </c>
      <c r="AR418" s="342"/>
      <c r="AS418" s="259" t="s">
        <v>945</v>
      </c>
      <c r="AT418" s="259" t="s">
        <v>945</v>
      </c>
      <c r="AU418" s="259" t="s">
        <v>945</v>
      </c>
      <c r="AV418" s="259" t="s">
        <v>945</v>
      </c>
      <c r="AW418" s="34">
        <f>'Cash Flow'!AW31</f>
        <v>-263.44299999999998</v>
      </c>
      <c r="AX418" s="342"/>
      <c r="AY418" s="259" t="s">
        <v>945</v>
      </c>
      <c r="AZ418" s="259" t="s">
        <v>945</v>
      </c>
      <c r="BA418" s="259" t="s">
        <v>945</v>
      </c>
      <c r="BB418" s="259" t="s">
        <v>945</v>
      </c>
      <c r="BC418" s="34">
        <f>'Cash Flow'!BC31</f>
        <v>-313</v>
      </c>
      <c r="BD418" s="342"/>
      <c r="BE418" s="259" t="s">
        <v>945</v>
      </c>
      <c r="BF418" s="259" t="s">
        <v>945</v>
      </c>
      <c r="BG418" s="259" t="s">
        <v>945</v>
      </c>
      <c r="BH418" s="259" t="s">
        <v>945</v>
      </c>
      <c r="BI418" s="34">
        <f>'Cash Flow'!BI31</f>
        <v>-278</v>
      </c>
      <c r="BJ418" s="342"/>
      <c r="BK418" s="259" t="s">
        <v>945</v>
      </c>
      <c r="BL418" s="259" t="s">
        <v>945</v>
      </c>
      <c r="BM418" s="259" t="s">
        <v>945</v>
      </c>
      <c r="BN418" s="259" t="s">
        <v>945</v>
      </c>
      <c r="BO418" s="34">
        <f>'Cash Flow'!BO31</f>
        <v>-291</v>
      </c>
      <c r="BP418" s="342"/>
      <c r="BQ418" s="259" t="s">
        <v>945</v>
      </c>
      <c r="BR418" s="259" t="s">
        <v>945</v>
      </c>
      <c r="BS418" s="259" t="s">
        <v>945</v>
      </c>
      <c r="BT418" s="259" t="s">
        <v>945</v>
      </c>
      <c r="BU418" s="34">
        <f>'Cash Flow'!BU31</f>
        <v>-189</v>
      </c>
      <c r="BV418" s="342"/>
      <c r="BW418" s="259" t="s">
        <v>945</v>
      </c>
      <c r="BX418" s="259" t="s">
        <v>945</v>
      </c>
      <c r="BY418" s="259" t="s">
        <v>945</v>
      </c>
      <c r="BZ418" s="259" t="s">
        <v>945</v>
      </c>
      <c r="CA418" s="34">
        <f>'Cash Flow'!CA31</f>
        <v>-188</v>
      </c>
      <c r="CB418" s="342"/>
      <c r="CC418" s="259" t="s">
        <v>945</v>
      </c>
      <c r="CD418" s="259" t="s">
        <v>945</v>
      </c>
      <c r="CE418" s="259" t="s">
        <v>945</v>
      </c>
      <c r="CF418" s="259" t="s">
        <v>945</v>
      </c>
      <c r="CG418" s="228">
        <f>'Cash Flow'!CG31</f>
        <v>-236</v>
      </c>
      <c r="CH418" s="342"/>
      <c r="CI418" s="259" t="s">
        <v>945</v>
      </c>
      <c r="CJ418" s="259" t="s">
        <v>945</v>
      </c>
      <c r="CK418" s="259" t="s">
        <v>945</v>
      </c>
      <c r="CL418" s="259" t="s">
        <v>945</v>
      </c>
      <c r="CM418" s="228">
        <f>'Cash Flow'!CM31</f>
        <v>-319</v>
      </c>
      <c r="CN418" s="342"/>
      <c r="CO418" s="259" t="s">
        <v>945</v>
      </c>
      <c r="CP418" s="259" t="s">
        <v>945</v>
      </c>
      <c r="CQ418" s="259" t="s">
        <v>945</v>
      </c>
      <c r="CR418" s="259" t="s">
        <v>945</v>
      </c>
      <c r="CS418" s="228">
        <f>'Cash Flow'!CS31</f>
        <v>-243</v>
      </c>
      <c r="CT418" s="475"/>
      <c r="CU418" s="259" t="s">
        <v>945</v>
      </c>
      <c r="CV418" s="259" t="s">
        <v>945</v>
      </c>
      <c r="CW418" s="259" t="s">
        <v>945</v>
      </c>
      <c r="CX418" s="259" t="s">
        <v>945</v>
      </c>
      <c r="CY418" s="228">
        <f>'Cash Flow'!CY31</f>
        <v>-529</v>
      </c>
      <c r="CZ418" s="475"/>
      <c r="DA418" s="259" t="s">
        <v>945</v>
      </c>
      <c r="DB418" s="259" t="s">
        <v>945</v>
      </c>
      <c r="DC418" s="259" t="s">
        <v>945</v>
      </c>
      <c r="DD418" s="259" t="s">
        <v>945</v>
      </c>
      <c r="DE418" s="228">
        <f>'Cash Flow'!DE31</f>
        <v>-230</v>
      </c>
      <c r="DF418" s="475"/>
      <c r="DG418" s="259" t="s">
        <v>945</v>
      </c>
      <c r="DH418" s="259" t="s">
        <v>945</v>
      </c>
      <c r="DI418" s="259" t="s">
        <v>945</v>
      </c>
      <c r="DJ418" s="259" t="s">
        <v>945</v>
      </c>
      <c r="DK418" s="228">
        <f>'Cash Flow'!DK31</f>
        <v>-450</v>
      </c>
      <c r="DL418" s="475"/>
      <c r="DM418" s="259" t="s">
        <v>945</v>
      </c>
      <c r="DN418" s="259" t="s">
        <v>945</v>
      </c>
      <c r="DO418" s="259" t="s">
        <v>945</v>
      </c>
      <c r="DP418" s="259" t="s">
        <v>945</v>
      </c>
      <c r="DQ418" s="228">
        <f>'Cash Flow'!DQ31</f>
        <v>-648</v>
      </c>
      <c r="DR418" s="475"/>
      <c r="DS418" s="259" t="s">
        <v>945</v>
      </c>
      <c r="DT418" s="259" t="s">
        <v>945</v>
      </c>
      <c r="DU418" s="259" t="s">
        <v>945</v>
      </c>
      <c r="DV418" s="259" t="s">
        <v>945</v>
      </c>
      <c r="DW418" s="228">
        <f>'Cash Flow'!DW31</f>
        <v>-650</v>
      </c>
      <c r="DX418" s="475"/>
      <c r="DY418" s="259" t="s">
        <v>945</v>
      </c>
      <c r="DZ418" s="259" t="s">
        <v>945</v>
      </c>
      <c r="EA418" s="259" t="s">
        <v>945</v>
      </c>
      <c r="EB418" s="259" t="s">
        <v>945</v>
      </c>
      <c r="EC418" s="228">
        <f>'Cash Flow'!EC31</f>
        <v>-580</v>
      </c>
      <c r="ED418" s="475"/>
      <c r="EE418" s="259" t="s">
        <v>945</v>
      </c>
      <c r="EF418" s="259" t="s">
        <v>945</v>
      </c>
      <c r="EG418" s="259" t="s">
        <v>945</v>
      </c>
      <c r="EH418" s="259" t="s">
        <v>945</v>
      </c>
      <c r="EI418" s="228">
        <f>'Cash Flow'!EI31</f>
        <v>-1391</v>
      </c>
      <c r="EJ418" s="475"/>
      <c r="EK418" s="259" t="s">
        <v>945</v>
      </c>
      <c r="EL418" s="259" t="s">
        <v>945</v>
      </c>
      <c r="EM418" s="259" t="s">
        <v>945</v>
      </c>
      <c r="EN418" s="259" t="s">
        <v>945</v>
      </c>
      <c r="EO418" s="228">
        <f>'Cash Flow'!EO31</f>
        <v>-1189</v>
      </c>
      <c r="EP418" s="475"/>
      <c r="EQ418" s="259" t="s">
        <v>945</v>
      </c>
      <c r="ER418" s="259" t="s">
        <v>945</v>
      </c>
      <c r="ES418" s="259" t="s">
        <v>945</v>
      </c>
      <c r="ET418" s="259" t="s">
        <v>945</v>
      </c>
      <c r="EU418" s="228">
        <f>'Cash Flow'!EU31</f>
        <v>-2021</v>
      </c>
      <c r="EV418" s="475"/>
      <c r="EW418" s="259" t="s">
        <v>945</v>
      </c>
      <c r="EX418" s="259" t="s">
        <v>945</v>
      </c>
      <c r="EY418" s="259" t="s">
        <v>945</v>
      </c>
      <c r="EZ418" s="259" t="s">
        <v>945</v>
      </c>
      <c r="FA418" s="228">
        <f>'Cash Flow'!FA31</f>
        <v>-1835.6920719931727</v>
      </c>
      <c r="FB418" s="475"/>
      <c r="FC418" s="259" t="s">
        <v>945</v>
      </c>
      <c r="FD418" s="259" t="s">
        <v>945</v>
      </c>
      <c r="FE418" s="259" t="s">
        <v>945</v>
      </c>
      <c r="FF418" s="259" t="s">
        <v>945</v>
      </c>
      <c r="FG418" s="228">
        <f>'Cash Flow'!FG31</f>
        <v>-1868.5358228996911</v>
      </c>
      <c r="FH418" s="475"/>
      <c r="FI418" s="259" t="s">
        <v>945</v>
      </c>
      <c r="FJ418" s="259" t="s">
        <v>945</v>
      </c>
      <c r="FK418" s="259" t="s">
        <v>945</v>
      </c>
      <c r="FL418" s="259" t="s">
        <v>945</v>
      </c>
      <c r="FM418" s="228">
        <f>'Cash Flow'!FM31</f>
        <v>-1928.7723461545845</v>
      </c>
      <c r="FQ418"/>
      <c r="FR418"/>
      <c r="FS418"/>
      <c r="FT418"/>
      <c r="FU418"/>
      <c r="FV418"/>
      <c r="GB418" s="24"/>
      <c r="GC418" s="24"/>
      <c r="GD418" s="24"/>
      <c r="GE418" s="24"/>
      <c r="GF418" s="24"/>
      <c r="GG418" s="24"/>
      <c r="GH418" s="24"/>
      <c r="GI418" s="24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  <c r="HB418"/>
      <c r="HC418"/>
      <c r="HD418"/>
      <c r="HE418"/>
      <c r="HF418"/>
      <c r="HG418"/>
      <c r="HH418"/>
      <c r="HI418"/>
      <c r="HJ418"/>
      <c r="HK418"/>
      <c r="HL418"/>
      <c r="HM418"/>
      <c r="HN418"/>
      <c r="HO418"/>
      <c r="HP418"/>
      <c r="HQ418"/>
      <c r="HR418"/>
      <c r="HS418"/>
      <c r="HT418"/>
      <c r="HU418"/>
      <c r="HV418"/>
      <c r="HW418"/>
      <c r="HX418"/>
      <c r="HY418"/>
      <c r="HZ418"/>
      <c r="IA418"/>
      <c r="IB418"/>
      <c r="IC418"/>
      <c r="ID418"/>
      <c r="IE418"/>
      <c r="IF418"/>
      <c r="IG418"/>
      <c r="IH418"/>
      <c r="II418"/>
      <c r="IJ418"/>
      <c r="IK418"/>
      <c r="IL418"/>
      <c r="IM418"/>
      <c r="IN418"/>
      <c r="IO418"/>
      <c r="IP418"/>
      <c r="IQ418"/>
      <c r="IR418"/>
      <c r="IS418"/>
      <c r="IT418"/>
      <c r="IU418"/>
      <c r="IV418"/>
      <c r="IW418"/>
      <c r="IX418"/>
      <c r="IY418"/>
      <c r="IZ418"/>
      <c r="JA418"/>
      <c r="JB418"/>
      <c r="JC418"/>
      <c r="JD418"/>
      <c r="JE418"/>
      <c r="JF418"/>
      <c r="JG418"/>
      <c r="JH418"/>
      <c r="JI418"/>
      <c r="JJ418"/>
      <c r="JK418"/>
      <c r="JL418"/>
      <c r="JM418"/>
      <c r="JN418"/>
    </row>
    <row r="419" spans="1:274" s="27" customFormat="1" x14ac:dyDescent="0.2">
      <c r="A419" s="342"/>
      <c r="B419" s="20"/>
      <c r="C419" s="34"/>
      <c r="D419" s="34"/>
      <c r="E419" s="34"/>
      <c r="F419" s="34"/>
      <c r="G419" s="34"/>
      <c r="H419" s="34"/>
      <c r="I419" s="34"/>
      <c r="J419" s="34"/>
      <c r="K419" s="34"/>
      <c r="L419" s="34"/>
      <c r="M419" s="34"/>
      <c r="N419" s="342"/>
      <c r="O419" s="259"/>
      <c r="P419" s="259"/>
      <c r="Q419" s="259"/>
      <c r="R419" s="259"/>
      <c r="S419" s="34"/>
      <c r="T419" s="342"/>
      <c r="U419" s="259"/>
      <c r="V419" s="259"/>
      <c r="W419" s="259"/>
      <c r="X419" s="259"/>
      <c r="Y419" s="34"/>
      <c r="Z419" s="342"/>
      <c r="AA419" s="259"/>
      <c r="AB419" s="259"/>
      <c r="AC419" s="259"/>
      <c r="AD419" s="259"/>
      <c r="AE419" s="34"/>
      <c r="AF419" s="342"/>
      <c r="AG419" s="259"/>
      <c r="AH419" s="259"/>
      <c r="AI419" s="259"/>
      <c r="AJ419" s="259"/>
      <c r="AK419" s="34"/>
      <c r="AL419" s="342"/>
      <c r="AM419" s="259"/>
      <c r="AN419" s="259"/>
      <c r="AO419" s="259"/>
      <c r="AP419" s="259"/>
      <c r="AQ419" s="34"/>
      <c r="AR419" s="342"/>
      <c r="AS419" s="259"/>
      <c r="AT419" s="259"/>
      <c r="AU419" s="259"/>
      <c r="AV419" s="259"/>
      <c r="AW419" s="34"/>
      <c r="AX419" s="342"/>
      <c r="AY419" s="259"/>
      <c r="AZ419" s="259"/>
      <c r="BA419" s="259"/>
      <c r="BB419" s="259"/>
      <c r="BC419" s="34"/>
      <c r="BD419" s="342"/>
      <c r="BE419" s="259"/>
      <c r="BF419" s="259"/>
      <c r="BG419" s="259"/>
      <c r="BH419" s="259"/>
      <c r="BI419" s="34"/>
      <c r="BJ419" s="342"/>
      <c r="BK419" s="259"/>
      <c r="BL419" s="259"/>
      <c r="BM419" s="259"/>
      <c r="BN419" s="259"/>
      <c r="BO419" s="34"/>
      <c r="BP419" s="342"/>
      <c r="BQ419" s="259"/>
      <c r="BR419" s="259"/>
      <c r="BS419" s="259"/>
      <c r="BT419" s="259"/>
      <c r="BU419" s="34"/>
      <c r="BV419" s="342"/>
      <c r="BW419" s="259"/>
      <c r="BX419" s="259"/>
      <c r="BY419" s="259"/>
      <c r="BZ419" s="259"/>
      <c r="CA419" s="34"/>
      <c r="CB419" s="342"/>
      <c r="CC419" s="259"/>
      <c r="CD419" s="259"/>
      <c r="CE419" s="259"/>
      <c r="CF419" s="259"/>
      <c r="CG419" s="228"/>
      <c r="CH419" s="342"/>
      <c r="CI419" s="259"/>
      <c r="CJ419" s="259"/>
      <c r="CK419" s="259"/>
      <c r="CL419" s="259"/>
      <c r="CM419" s="228"/>
      <c r="CN419" s="342"/>
      <c r="CO419" s="259"/>
      <c r="CP419" s="259"/>
      <c r="CQ419" s="259"/>
      <c r="CR419" s="259"/>
      <c r="CS419" s="228"/>
      <c r="CT419" s="475"/>
      <c r="CU419" s="259"/>
      <c r="CV419" s="259"/>
      <c r="CW419" s="259"/>
      <c r="CX419" s="259"/>
      <c r="CY419" s="228"/>
      <c r="CZ419" s="475"/>
      <c r="DA419" s="259"/>
      <c r="DB419" s="259"/>
      <c r="DC419" s="259"/>
      <c r="DD419" s="259"/>
      <c r="DE419" s="228"/>
      <c r="DF419" s="475"/>
      <c r="DG419" s="259"/>
      <c r="DH419" s="259"/>
      <c r="DI419" s="259"/>
      <c r="DJ419" s="259"/>
      <c r="DK419" s="228"/>
      <c r="DL419" s="475"/>
      <c r="DM419" s="259"/>
      <c r="DN419" s="259"/>
      <c r="DO419" s="259"/>
      <c r="DP419" s="259"/>
      <c r="DQ419" s="228"/>
      <c r="DR419" s="475"/>
      <c r="DS419" s="259"/>
      <c r="DT419" s="259"/>
      <c r="DU419" s="259"/>
      <c r="DV419" s="259"/>
      <c r="DW419" s="228"/>
      <c r="DX419" s="475"/>
      <c r="DY419" s="259"/>
      <c r="DZ419" s="259"/>
      <c r="EA419" s="259"/>
      <c r="EB419" s="259"/>
      <c r="EC419" s="228"/>
      <c r="ED419" s="475"/>
      <c r="EE419" s="259"/>
      <c r="EF419" s="259"/>
      <c r="EG419" s="259"/>
      <c r="EH419" s="259"/>
      <c r="EI419" s="228"/>
      <c r="EJ419" s="475"/>
      <c r="EK419" s="259"/>
      <c r="EL419" s="259"/>
      <c r="EM419" s="259"/>
      <c r="EN419" s="259"/>
      <c r="EO419" s="228"/>
      <c r="EP419" s="475"/>
      <c r="EQ419" s="259"/>
      <c r="ER419" s="259"/>
      <c r="ES419" s="259"/>
      <c r="ET419" s="259"/>
      <c r="EU419" s="228"/>
      <c r="EV419" s="475"/>
      <c r="EW419" s="259"/>
      <c r="EX419" s="259"/>
      <c r="EY419" s="259"/>
      <c r="EZ419" s="259"/>
      <c r="FA419" s="228"/>
      <c r="FB419" s="475"/>
      <c r="FC419" s="259"/>
      <c r="FD419" s="259"/>
      <c r="FE419" s="259"/>
      <c r="FF419" s="259"/>
      <c r="FG419" s="228"/>
      <c r="FH419" s="475"/>
      <c r="FI419" s="259"/>
      <c r="FJ419" s="259"/>
      <c r="FK419" s="259"/>
      <c r="FL419" s="259"/>
      <c r="FM419" s="228"/>
      <c r="FQ419"/>
      <c r="FR419"/>
      <c r="FS419"/>
      <c r="FT419"/>
      <c r="FU419"/>
      <c r="FV419"/>
      <c r="GB419" s="24"/>
      <c r="GC419" s="24"/>
      <c r="GD419" s="24"/>
      <c r="GE419" s="24"/>
      <c r="GF419" s="24"/>
      <c r="GG419" s="24"/>
      <c r="GH419" s="24"/>
      <c r="GI419" s="24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  <c r="HB419"/>
      <c r="HC419"/>
      <c r="HD419"/>
      <c r="HE419"/>
      <c r="HF419"/>
      <c r="HG419"/>
      <c r="HH419"/>
      <c r="HI419"/>
      <c r="HJ419"/>
      <c r="HK419"/>
      <c r="HL419"/>
      <c r="HM419"/>
      <c r="HN419"/>
      <c r="HO419"/>
      <c r="HP419"/>
      <c r="HQ419"/>
      <c r="HR419"/>
      <c r="HS419"/>
      <c r="HT419"/>
      <c r="HU419"/>
      <c r="HV419"/>
      <c r="HW419"/>
      <c r="HX419"/>
      <c r="HY419"/>
      <c r="HZ419"/>
      <c r="IA419"/>
      <c r="IB419"/>
      <c r="IC419"/>
      <c r="ID419"/>
      <c r="IE419"/>
      <c r="IF419"/>
      <c r="IG419"/>
      <c r="IH419"/>
      <c r="II419"/>
      <c r="IJ419"/>
      <c r="IK419"/>
      <c r="IL419"/>
      <c r="IM419"/>
      <c r="IN419"/>
      <c r="IO419"/>
      <c r="IP419"/>
      <c r="IQ419"/>
      <c r="IR419"/>
      <c r="IS419"/>
      <c r="IT419"/>
      <c r="IU419"/>
      <c r="IV419"/>
      <c r="IW419"/>
      <c r="IX419"/>
      <c r="IY419"/>
      <c r="IZ419"/>
      <c r="JA419"/>
      <c r="JB419"/>
      <c r="JC419"/>
      <c r="JD419"/>
      <c r="JE419"/>
      <c r="JF419"/>
      <c r="JG419"/>
      <c r="JH419"/>
      <c r="JI419"/>
      <c r="JJ419"/>
      <c r="JK419"/>
      <c r="JL419"/>
      <c r="JM419"/>
      <c r="JN419"/>
    </row>
    <row r="420" spans="1:274" s="12" customFormat="1" ht="20.100000000000001" customHeight="1" x14ac:dyDescent="0.2">
      <c r="A420" s="193" t="str">
        <f>Model!A1</f>
        <v>Oracle</v>
      </c>
      <c r="B420" s="1021"/>
      <c r="C420" s="1014"/>
      <c r="D420" s="1014"/>
      <c r="E420" s="1014"/>
      <c r="F420" s="1014"/>
      <c r="G420" s="1014"/>
      <c r="H420" s="1014"/>
      <c r="I420" s="1014"/>
      <c r="J420" s="1014"/>
      <c r="K420" s="1014"/>
      <c r="L420" s="1014"/>
      <c r="M420" s="1014"/>
      <c r="N420" s="1014"/>
      <c r="O420" s="1014"/>
      <c r="P420" s="1014"/>
      <c r="Q420" s="1014"/>
      <c r="R420" s="1014"/>
      <c r="S420" s="1014"/>
      <c r="T420" s="1014"/>
      <c r="U420" s="1014"/>
      <c r="V420" s="1014"/>
      <c r="W420" s="1014"/>
      <c r="X420" s="1014"/>
      <c r="Y420" s="1014"/>
      <c r="Z420" s="1014"/>
      <c r="AA420" s="1014"/>
      <c r="AB420" s="1014"/>
      <c r="AC420" s="1014"/>
      <c r="AD420" s="1014"/>
      <c r="AE420" s="1014"/>
      <c r="AF420" s="1014"/>
      <c r="AG420" s="1014"/>
      <c r="AH420" s="1014"/>
      <c r="AI420" s="1014"/>
      <c r="AJ420" s="1014"/>
      <c r="AK420" s="1014"/>
      <c r="AL420" s="1014"/>
      <c r="AM420" s="1014"/>
      <c r="AN420" s="1014"/>
      <c r="AO420" s="1014"/>
      <c r="AP420" s="1014"/>
      <c r="AQ420" s="1014"/>
      <c r="AR420" s="1014"/>
      <c r="AS420" s="1014"/>
      <c r="AT420" s="1014"/>
      <c r="AU420" s="1014"/>
      <c r="AV420" s="1014"/>
      <c r="AW420" s="1014"/>
      <c r="AX420" s="1014"/>
      <c r="AY420" s="1014"/>
      <c r="AZ420" s="1014"/>
      <c r="BA420" s="1014"/>
      <c r="BB420" s="1014"/>
      <c r="BC420" s="1014"/>
      <c r="BD420" s="1014"/>
      <c r="BE420" s="1014"/>
      <c r="BF420" s="1014"/>
      <c r="BG420" s="1014"/>
      <c r="BH420" s="1014"/>
      <c r="BI420" s="1014"/>
      <c r="BJ420" s="1014"/>
      <c r="BK420" s="1014"/>
      <c r="BL420" s="1014"/>
      <c r="BM420" s="1037"/>
      <c r="BN420" s="1014"/>
      <c r="BO420" s="1014"/>
      <c r="BP420" s="1014"/>
      <c r="BQ420" s="1014"/>
      <c r="BR420" s="1014"/>
      <c r="BS420" s="1014"/>
      <c r="BT420" s="1014"/>
      <c r="BU420" s="1014"/>
      <c r="BV420" s="1014"/>
      <c r="BW420" s="1014"/>
      <c r="BX420" s="1014"/>
      <c r="BY420" s="1014"/>
      <c r="BZ420" s="1014"/>
      <c r="CA420" s="1014"/>
      <c r="CB420" s="1014"/>
      <c r="CC420" s="1014"/>
      <c r="CD420" s="1014"/>
      <c r="CE420" s="1014"/>
      <c r="CF420" s="1014"/>
      <c r="CG420" s="1038"/>
      <c r="CH420" s="1014"/>
      <c r="CI420" s="1014"/>
      <c r="CJ420" s="1014"/>
      <c r="CK420" s="1014"/>
      <c r="CL420" s="1014"/>
      <c r="CM420" s="1038"/>
      <c r="CN420" s="1014"/>
      <c r="CO420" s="1014"/>
      <c r="CP420" s="1014"/>
      <c r="CQ420" s="1014"/>
      <c r="CR420" s="1014"/>
      <c r="CS420" s="1038"/>
      <c r="CT420" s="1014"/>
      <c r="CU420" s="1014"/>
      <c r="CV420" s="1014"/>
      <c r="CW420" s="1014"/>
      <c r="CX420" s="1014"/>
      <c r="CY420" s="1038"/>
      <c r="CZ420" s="1014"/>
      <c r="DA420" s="1014"/>
      <c r="DB420" s="1014"/>
      <c r="DC420" s="1014"/>
      <c r="DD420" s="1014"/>
      <c r="DE420" s="1038"/>
      <c r="DF420" s="1014"/>
      <c r="DG420" s="1014"/>
      <c r="DH420" s="1014"/>
      <c r="DI420" s="1014"/>
      <c r="DJ420" s="1014"/>
      <c r="DK420" s="1038"/>
      <c r="DL420" s="1014"/>
      <c r="DM420" s="1014"/>
      <c r="DN420" s="1014"/>
      <c r="DO420" s="1014"/>
      <c r="DP420" s="1014"/>
      <c r="DQ420" s="1038"/>
      <c r="DR420" s="1014"/>
      <c r="DS420" s="1014"/>
      <c r="DT420" s="1014"/>
      <c r="DU420" s="1014"/>
      <c r="DV420" s="1014"/>
      <c r="DW420" s="1038"/>
      <c r="DX420" s="1014"/>
      <c r="DY420" s="1014"/>
      <c r="DZ420" s="1014"/>
      <c r="EA420" s="1014"/>
      <c r="EB420" s="1014"/>
      <c r="EC420" s="1038"/>
      <c r="ED420" s="1014"/>
      <c r="EE420" s="1014"/>
      <c r="EF420" s="1014"/>
      <c r="EG420" s="1014"/>
      <c r="EH420" s="1014"/>
      <c r="EI420" s="1038"/>
      <c r="EJ420" s="1014"/>
      <c r="EK420" s="1014"/>
      <c r="EL420" s="1014"/>
      <c r="EM420" s="1014"/>
      <c r="EN420" s="1014"/>
      <c r="EO420" s="1038"/>
      <c r="EP420" s="1014"/>
      <c r="EQ420" s="1783"/>
      <c r="ER420" s="1783"/>
      <c r="ES420" s="1783"/>
      <c r="ET420" s="1783"/>
      <c r="EU420" s="1784"/>
      <c r="EV420" s="1783"/>
      <c r="EW420" s="1783"/>
      <c r="EX420" s="1783"/>
      <c r="EY420" s="1783"/>
      <c r="EZ420" s="1783"/>
      <c r="FA420" s="1784"/>
      <c r="FB420" s="1783"/>
      <c r="FC420" s="1783"/>
      <c r="FD420" s="1783"/>
      <c r="FE420" s="1783"/>
      <c r="FF420" s="1783"/>
      <c r="FG420" s="1784"/>
      <c r="FH420" s="1783"/>
      <c r="FI420" s="1783"/>
      <c r="FJ420" s="1783"/>
      <c r="FK420" s="1783"/>
      <c r="FL420" s="1783"/>
      <c r="FM420" s="1784"/>
      <c r="FQ420"/>
      <c r="FR420"/>
      <c r="FS420"/>
      <c r="FT420"/>
      <c r="FU420"/>
      <c r="FV420"/>
      <c r="GB420" s="24"/>
      <c r="GC420" s="24"/>
      <c r="GD420" s="24"/>
      <c r="GE420" s="24"/>
      <c r="GF420" s="24"/>
      <c r="GG420" s="24"/>
      <c r="GH420" s="24"/>
      <c r="GI420" s="24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  <c r="HB420"/>
      <c r="HC420"/>
      <c r="HD420"/>
      <c r="HE420"/>
      <c r="HF420"/>
      <c r="HG420"/>
      <c r="HH420"/>
      <c r="HI420"/>
      <c r="HJ420"/>
      <c r="HK420"/>
      <c r="HL420"/>
      <c r="HM420"/>
      <c r="HN420"/>
      <c r="HO420"/>
      <c r="HP420"/>
      <c r="HQ420"/>
      <c r="HR420"/>
      <c r="HS420"/>
      <c r="HT420"/>
      <c r="HU420"/>
      <c r="HV420"/>
      <c r="HW420"/>
      <c r="HX420"/>
      <c r="HY420"/>
      <c r="HZ420"/>
      <c r="IA420"/>
      <c r="IB420"/>
      <c r="IC420"/>
      <c r="ID420"/>
      <c r="IE420"/>
      <c r="IF420"/>
      <c r="IG420"/>
      <c r="IH420"/>
      <c r="II420"/>
      <c r="IJ420"/>
      <c r="IK420"/>
      <c r="IL420"/>
      <c r="IM420"/>
      <c r="IN420"/>
      <c r="IO420"/>
      <c r="IP420"/>
      <c r="IQ420"/>
      <c r="IR420"/>
      <c r="IS420"/>
      <c r="IT420"/>
      <c r="IU420"/>
      <c r="IV420"/>
      <c r="IW420"/>
      <c r="IX420"/>
      <c r="IY420"/>
      <c r="IZ420"/>
      <c r="JA420"/>
      <c r="JB420"/>
      <c r="JC420"/>
      <c r="JD420"/>
      <c r="JE420"/>
      <c r="JF420"/>
      <c r="JG420"/>
      <c r="JH420"/>
      <c r="JI420"/>
      <c r="JJ420"/>
      <c r="JK420"/>
      <c r="JL420"/>
      <c r="JM420"/>
      <c r="JN420"/>
    </row>
    <row r="421" spans="1:274" s="12" customFormat="1" ht="20.100000000000001" customHeight="1" x14ac:dyDescent="0.2">
      <c r="A421" s="5" t="s">
        <v>823</v>
      </c>
      <c r="B421" s="1023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  <c r="AA421" s="8"/>
      <c r="AB421" s="8"/>
      <c r="AC421" s="8"/>
      <c r="AD421" s="8"/>
      <c r="AE421" s="8"/>
      <c r="AF421" s="8"/>
      <c r="AG421" s="8"/>
      <c r="AH421" s="8"/>
      <c r="AI421" s="8"/>
      <c r="AJ421" s="8"/>
      <c r="AK421" s="8"/>
      <c r="AL421" s="8"/>
      <c r="AM421" s="8"/>
      <c r="AN421" s="8"/>
      <c r="AO421" s="8"/>
      <c r="AP421" s="8"/>
      <c r="AQ421" s="8"/>
      <c r="AR421" s="8"/>
      <c r="AS421" s="8"/>
      <c r="AT421" s="8"/>
      <c r="AU421" s="8"/>
      <c r="AV421" s="8"/>
      <c r="AW421" s="8"/>
      <c r="AX421" s="8"/>
      <c r="AY421" s="8"/>
      <c r="AZ421" s="8"/>
      <c r="BA421" s="8"/>
      <c r="BB421" s="8"/>
      <c r="BC421" s="8"/>
      <c r="BD421" s="8"/>
      <c r="BE421" s="8"/>
      <c r="BF421" s="8"/>
      <c r="BG421" s="8"/>
      <c r="BH421" s="8"/>
      <c r="BI421" s="8"/>
      <c r="BJ421" s="8"/>
      <c r="BK421" s="8"/>
      <c r="BL421" s="8"/>
      <c r="BM421" s="8"/>
      <c r="BN421" s="8"/>
      <c r="BO421" s="8"/>
      <c r="BP421" s="8"/>
      <c r="BQ421" s="8"/>
      <c r="BR421" s="8"/>
      <c r="BS421" s="8"/>
      <c r="BT421" s="1024"/>
      <c r="BU421" s="8"/>
      <c r="BV421" s="8"/>
      <c r="BW421" s="8"/>
      <c r="BX421" s="8"/>
      <c r="BY421" s="8"/>
      <c r="BZ421" s="8"/>
      <c r="CA421" s="8"/>
      <c r="CB421" s="8"/>
      <c r="CC421" s="8"/>
      <c r="CD421" s="8"/>
      <c r="CE421" s="8"/>
      <c r="CF421" s="8"/>
      <c r="CG421" s="684"/>
      <c r="CH421" s="8"/>
      <c r="CI421" s="8"/>
      <c r="CJ421" s="8"/>
      <c r="CK421" s="8"/>
      <c r="CL421" s="8"/>
      <c r="CM421" s="684"/>
      <c r="CN421" s="8"/>
      <c r="CO421" s="8"/>
      <c r="CP421" s="8"/>
      <c r="CQ421" s="8"/>
      <c r="CR421" s="8"/>
      <c r="CS421" s="684"/>
      <c r="CT421" s="8"/>
      <c r="CU421" s="8"/>
      <c r="CV421" s="8"/>
      <c r="CW421" s="8"/>
      <c r="CX421" s="8"/>
      <c r="CY421" s="684"/>
      <c r="CZ421" s="8"/>
      <c r="DA421" s="8"/>
      <c r="DB421" s="8"/>
      <c r="DC421" s="8"/>
      <c r="DD421" s="8"/>
      <c r="DE421" s="684"/>
      <c r="DF421" s="8"/>
      <c r="DG421" s="8"/>
      <c r="DH421" s="8"/>
      <c r="DI421" s="8"/>
      <c r="DJ421" s="8"/>
      <c r="DK421" s="684"/>
      <c r="DL421" s="8"/>
      <c r="DM421" s="8"/>
      <c r="DN421" s="8"/>
      <c r="DO421" s="8"/>
      <c r="DP421" s="8"/>
      <c r="DQ421" s="684"/>
      <c r="DR421" s="8"/>
      <c r="DS421" s="8"/>
      <c r="DT421" s="8"/>
      <c r="DU421" s="8"/>
      <c r="DV421" s="8"/>
      <c r="DW421" s="684"/>
      <c r="DX421" s="8"/>
      <c r="DY421" s="8"/>
      <c r="DZ421" s="8"/>
      <c r="EA421" s="8"/>
      <c r="EB421" s="8"/>
      <c r="EC421" s="684"/>
      <c r="ED421" s="8"/>
      <c r="EE421" s="8"/>
      <c r="EF421" s="8"/>
      <c r="EG421" s="8"/>
      <c r="EH421" s="8"/>
      <c r="EI421" s="684"/>
      <c r="EJ421" s="8"/>
      <c r="EK421" s="8"/>
      <c r="EL421" s="8"/>
      <c r="EM421" s="8"/>
      <c r="EN421" s="8"/>
      <c r="EO421" s="684"/>
      <c r="EP421" s="8"/>
      <c r="EQ421" s="1781"/>
      <c r="ER421" s="1781"/>
      <c r="ES421" s="1781"/>
      <c r="ET421" s="1781"/>
      <c r="EU421" s="1782"/>
      <c r="EV421" s="1781"/>
      <c r="EW421" s="1781"/>
      <c r="EX421" s="1781"/>
      <c r="EY421" s="1781"/>
      <c r="EZ421" s="1781"/>
      <c r="FA421" s="1782"/>
      <c r="FB421" s="1781"/>
      <c r="FC421" s="1781"/>
      <c r="FD421" s="1781"/>
      <c r="FE421" s="1781"/>
      <c r="FF421" s="1781"/>
      <c r="FG421" s="1782"/>
      <c r="FH421" s="1781"/>
      <c r="FI421" s="1781"/>
      <c r="FJ421" s="1781"/>
      <c r="FK421" s="1781"/>
      <c r="FL421" s="1781"/>
      <c r="FM421" s="1782"/>
      <c r="FQ421"/>
      <c r="FR421"/>
      <c r="FS421"/>
      <c r="FT421"/>
      <c r="FU421"/>
      <c r="FV421"/>
      <c r="GB421" s="24"/>
      <c r="GC421" s="24"/>
      <c r="GD421" s="24"/>
      <c r="GE421" s="24"/>
      <c r="GF421" s="24"/>
      <c r="GG421" s="24"/>
      <c r="GH421" s="24"/>
      <c r="GI421" s="24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  <c r="HB421"/>
      <c r="HC421"/>
      <c r="HD421"/>
      <c r="HE421"/>
      <c r="HF421"/>
      <c r="HG421"/>
      <c r="HH421"/>
      <c r="HI421"/>
      <c r="HJ421"/>
      <c r="HK421"/>
      <c r="HL421"/>
      <c r="HM421"/>
      <c r="HN421"/>
      <c r="HO421"/>
      <c r="HP421"/>
      <c r="HQ421"/>
      <c r="HR421"/>
      <c r="HS421"/>
      <c r="HT421"/>
      <c r="HU421"/>
      <c r="HV421"/>
      <c r="HW421"/>
      <c r="HX421"/>
      <c r="HY421"/>
      <c r="HZ421"/>
      <c r="IA421"/>
      <c r="IB421"/>
      <c r="IC421"/>
      <c r="ID421"/>
      <c r="IE421"/>
      <c r="IF421"/>
      <c r="IG421"/>
      <c r="IH421"/>
      <c r="II421"/>
      <c r="IJ421"/>
      <c r="IK421"/>
      <c r="IL421"/>
      <c r="IM421"/>
      <c r="IN421"/>
      <c r="IO421"/>
      <c r="IP421"/>
      <c r="IQ421"/>
      <c r="IR421"/>
      <c r="IS421"/>
      <c r="IT421"/>
      <c r="IU421"/>
      <c r="IV421"/>
      <c r="IW421"/>
      <c r="IX421"/>
      <c r="IY421"/>
      <c r="IZ421"/>
      <c r="JA421"/>
      <c r="JB421"/>
      <c r="JC421"/>
      <c r="JD421"/>
      <c r="JE421"/>
      <c r="JF421"/>
      <c r="JG421"/>
      <c r="JH421"/>
      <c r="JI421"/>
      <c r="JJ421"/>
      <c r="JK421"/>
      <c r="JL421"/>
      <c r="JM421"/>
      <c r="JN421"/>
    </row>
    <row r="422" spans="1:274" s="12" customFormat="1" ht="5.25" customHeight="1" x14ac:dyDescent="0.2">
      <c r="A422" s="9"/>
      <c r="B422" s="628"/>
      <c r="BC422" s="1038"/>
      <c r="BI422" s="1038"/>
      <c r="BO422" s="1038"/>
      <c r="BU422" s="1038"/>
      <c r="CA422" s="1038"/>
      <c r="CG422" s="1038"/>
      <c r="CM422" s="1038"/>
      <c r="CS422" s="1038"/>
      <c r="CY422" s="1038"/>
      <c r="DE422" s="1038"/>
      <c r="DK422" s="1038"/>
      <c r="DQ422" s="1038"/>
      <c r="DW422" s="1038"/>
      <c r="EC422" s="1038"/>
      <c r="EI422" s="1038"/>
      <c r="EO422" s="1038"/>
      <c r="EQ422" s="1742"/>
      <c r="ER422" s="1742"/>
      <c r="ES422" s="1742"/>
      <c r="ET422" s="1742"/>
      <c r="EU422" s="1784"/>
      <c r="EV422" s="1742"/>
      <c r="EW422" s="1742"/>
      <c r="EX422" s="1742"/>
      <c r="EY422" s="1742"/>
      <c r="EZ422" s="1742"/>
      <c r="FA422" s="1784"/>
      <c r="FB422" s="1742"/>
      <c r="FC422" s="1742"/>
      <c r="FD422" s="1742"/>
      <c r="FE422" s="1742"/>
      <c r="FF422" s="1742"/>
      <c r="FG422" s="1784"/>
      <c r="FH422" s="1742"/>
      <c r="FI422" s="1742"/>
      <c r="FJ422" s="1742"/>
      <c r="FK422" s="1742"/>
      <c r="FL422" s="1742"/>
      <c r="FM422" s="1784"/>
      <c r="FQ422"/>
      <c r="FR422"/>
      <c r="FS422"/>
      <c r="FT422"/>
      <c r="FU422"/>
      <c r="FV422"/>
      <c r="GB422" s="24"/>
      <c r="GC422" s="24"/>
      <c r="GD422" s="24"/>
      <c r="GE422" s="24"/>
      <c r="GF422" s="24"/>
      <c r="GG422" s="24"/>
      <c r="GH422" s="24"/>
      <c r="GI422" s="24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  <c r="HB422"/>
      <c r="HC422"/>
      <c r="HD422"/>
      <c r="HE422"/>
      <c r="HF422"/>
      <c r="HG422"/>
      <c r="HH422"/>
      <c r="HI422"/>
      <c r="HJ422"/>
      <c r="HK422"/>
      <c r="HL422"/>
      <c r="HM422"/>
      <c r="HN422"/>
      <c r="HO422"/>
      <c r="HP422"/>
      <c r="HQ422"/>
      <c r="HR422"/>
      <c r="HS422"/>
      <c r="HT422"/>
      <c r="HU422"/>
      <c r="HV422"/>
      <c r="HW422"/>
      <c r="HX422"/>
      <c r="HY422"/>
      <c r="HZ422"/>
      <c r="IA422"/>
      <c r="IB422"/>
      <c r="IC422"/>
      <c r="ID422"/>
      <c r="IE422"/>
      <c r="IF422"/>
      <c r="IG422"/>
      <c r="IH422"/>
      <c r="II422"/>
      <c r="IJ422"/>
      <c r="IK422"/>
      <c r="IL422"/>
      <c r="IM422"/>
      <c r="IN422"/>
      <c r="IO422"/>
      <c r="IP422"/>
      <c r="IQ422"/>
      <c r="IR422"/>
      <c r="IS422"/>
      <c r="IT422"/>
      <c r="IU422"/>
      <c r="IV422"/>
      <c r="IW422"/>
      <c r="IX422"/>
      <c r="IY422"/>
      <c r="IZ422"/>
      <c r="JA422"/>
      <c r="JB422"/>
      <c r="JC422"/>
      <c r="JD422"/>
      <c r="JE422"/>
      <c r="JF422"/>
      <c r="JG422"/>
      <c r="JH422"/>
      <c r="JI422"/>
      <c r="JJ422"/>
      <c r="JK422"/>
      <c r="JL422"/>
      <c r="JM422"/>
      <c r="JN422"/>
    </row>
    <row r="423" spans="1:274" s="12" customFormat="1" ht="11.25" customHeight="1" x14ac:dyDescent="0.2">
      <c r="A423" s="11" t="s">
        <v>408</v>
      </c>
      <c r="B423" s="628"/>
      <c r="L423" s="13"/>
      <c r="M423" s="13"/>
      <c r="R423" s="13"/>
      <c r="S423" s="13"/>
      <c r="T423" s="13"/>
      <c r="X423" s="13"/>
      <c r="Y423" s="13"/>
      <c r="Z423" s="13"/>
      <c r="AD423" s="13"/>
      <c r="AE423" s="13"/>
      <c r="AF423" s="13"/>
      <c r="AJ423" s="13"/>
      <c r="AK423" s="13"/>
      <c r="AL423" s="13"/>
      <c r="AP423" s="13"/>
      <c r="AQ423" s="13"/>
      <c r="AR423" s="13"/>
      <c r="AV423" s="13"/>
      <c r="AW423" s="13"/>
      <c r="AX423" s="13"/>
      <c r="BB423" s="13"/>
      <c r="BC423" s="678"/>
      <c r="BD423" s="13"/>
      <c r="BH423" s="13"/>
      <c r="BI423" s="678"/>
      <c r="BJ423" s="13"/>
      <c r="BN423" s="13"/>
      <c r="BO423" s="678"/>
      <c r="BP423" s="13"/>
      <c r="BT423" s="13"/>
      <c r="BU423" s="678"/>
      <c r="BV423" s="13"/>
      <c r="BZ423" s="13"/>
      <c r="CA423" s="678"/>
      <c r="CB423" s="13"/>
      <c r="CF423" s="13"/>
      <c r="CG423" s="678"/>
      <c r="CH423" s="13"/>
      <c r="CL423" s="13"/>
      <c r="CM423" s="678"/>
      <c r="CN423" s="13"/>
      <c r="CO423" s="679"/>
      <c r="CP423" s="679"/>
      <c r="CQ423" s="679"/>
      <c r="CR423" s="680"/>
      <c r="CS423" s="681"/>
      <c r="CT423" s="679"/>
      <c r="CU423" s="679"/>
      <c r="CV423" s="679"/>
      <c r="CW423" s="679"/>
      <c r="CX423" s="680"/>
      <c r="CY423" s="681"/>
      <c r="CZ423" s="679"/>
      <c r="DA423" s="679"/>
      <c r="DB423" s="679"/>
      <c r="DC423" s="679"/>
      <c r="DD423" s="680"/>
      <c r="DE423" s="681"/>
      <c r="DF423" s="679"/>
      <c r="DG423" s="679"/>
      <c r="DH423" s="679"/>
      <c r="DI423" s="679"/>
      <c r="DJ423" s="680"/>
      <c r="DK423" s="681"/>
      <c r="DL423" s="679"/>
      <c r="DM423" s="679"/>
      <c r="DN423" s="679"/>
      <c r="DO423" s="679"/>
      <c r="DP423" s="680"/>
      <c r="DQ423" s="681"/>
      <c r="DR423" s="679"/>
      <c r="DS423" s="679"/>
      <c r="DT423" s="679"/>
      <c r="DU423" s="679"/>
      <c r="DV423" s="680"/>
      <c r="DW423" s="681"/>
      <c r="DX423" s="679"/>
      <c r="DY423" s="679"/>
      <c r="DZ423" s="679"/>
      <c r="EA423" s="679"/>
      <c r="EB423" s="680"/>
      <c r="EC423" s="681"/>
      <c r="ED423" s="679"/>
      <c r="EE423" s="679"/>
      <c r="EF423" s="679"/>
      <c r="EG423" s="679"/>
      <c r="EH423" s="680"/>
      <c r="EI423" s="681"/>
      <c r="EJ423" s="679"/>
      <c r="EK423" s="679"/>
      <c r="EL423" s="679"/>
      <c r="EM423" s="679"/>
      <c r="EN423" s="680"/>
      <c r="EO423" s="681"/>
      <c r="EP423" s="679"/>
      <c r="EQ423" s="679"/>
      <c r="ER423" s="679"/>
      <c r="ES423" s="679"/>
      <c r="ET423" s="680"/>
      <c r="EU423" s="681"/>
      <c r="EV423" s="679"/>
      <c r="EW423" s="679"/>
      <c r="EX423" s="679"/>
      <c r="EY423" s="679"/>
      <c r="EZ423" s="680"/>
      <c r="FA423" s="681"/>
      <c r="FB423" s="679"/>
      <c r="FC423" s="679"/>
      <c r="FD423" s="679"/>
      <c r="FE423" s="679"/>
      <c r="FF423" s="680"/>
      <c r="FG423" s="681"/>
      <c r="FH423" s="679"/>
      <c r="FI423" s="679"/>
      <c r="FJ423" s="679"/>
      <c r="FK423" s="679"/>
      <c r="FL423" s="680"/>
      <c r="FM423" s="681"/>
      <c r="FQ423"/>
      <c r="FR423"/>
      <c r="FS423"/>
      <c r="FT423"/>
      <c r="FU423"/>
      <c r="FV423"/>
      <c r="GB423" s="24"/>
      <c r="GC423" s="24"/>
      <c r="GD423" s="24"/>
      <c r="GE423" s="24"/>
      <c r="GF423" s="24"/>
      <c r="GG423" s="24"/>
      <c r="GH423" s="24"/>
      <c r="GI423" s="24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  <c r="HB423"/>
      <c r="HC423"/>
      <c r="HD423"/>
      <c r="HE423"/>
      <c r="HF423"/>
      <c r="HG423"/>
      <c r="HH423"/>
      <c r="HI423"/>
      <c r="HJ423"/>
      <c r="HK423"/>
      <c r="HL423"/>
      <c r="HM423"/>
      <c r="HN423"/>
      <c r="HO423"/>
      <c r="HP423"/>
      <c r="HQ423"/>
      <c r="HR423"/>
      <c r="HS423"/>
      <c r="HT423"/>
      <c r="HU423"/>
      <c r="HV423"/>
      <c r="HW423"/>
      <c r="HX423"/>
      <c r="HY423"/>
      <c r="HZ423"/>
      <c r="IA423"/>
      <c r="IB423"/>
      <c r="IC423"/>
      <c r="ID423"/>
      <c r="IE423"/>
      <c r="IF423"/>
      <c r="IG423"/>
      <c r="IH423"/>
      <c r="II423"/>
      <c r="IJ423"/>
      <c r="IK423"/>
      <c r="IL423"/>
      <c r="IM423"/>
      <c r="IN423"/>
      <c r="IO423"/>
      <c r="IP423"/>
      <c r="IQ423"/>
      <c r="IR423"/>
      <c r="IS423"/>
      <c r="IT423"/>
      <c r="IU423"/>
      <c r="IV423"/>
      <c r="IW423"/>
      <c r="IX423"/>
      <c r="IY423"/>
      <c r="IZ423"/>
      <c r="JA423"/>
      <c r="JB423"/>
      <c r="JC423"/>
      <c r="JD423"/>
      <c r="JE423"/>
      <c r="JF423"/>
      <c r="JG423"/>
      <c r="JH423"/>
      <c r="JI423"/>
      <c r="JJ423"/>
      <c r="JK423"/>
      <c r="JL423"/>
      <c r="JM423"/>
      <c r="JN423"/>
    </row>
    <row r="424" spans="1:274" s="27" customFormat="1" ht="10.5" customHeight="1" collapsed="1" x14ac:dyDescent="0.2">
      <c r="A424" s="32"/>
      <c r="B424" s="57"/>
      <c r="C424" s="14" t="s">
        <v>8</v>
      </c>
      <c r="D424" s="14"/>
      <c r="E424" s="14"/>
      <c r="F424" s="14"/>
      <c r="G424" s="14"/>
      <c r="H424" s="682"/>
      <c r="I424" s="682"/>
      <c r="J424" s="682"/>
      <c r="K424" s="682"/>
      <c r="L424" s="682"/>
      <c r="M424" s="683"/>
      <c r="N424" s="215"/>
      <c r="O424" s="14" t="s">
        <v>216</v>
      </c>
      <c r="P424" s="15"/>
      <c r="Q424" s="15"/>
      <c r="R424" s="15"/>
      <c r="S424" s="15"/>
      <c r="T424" s="215"/>
      <c r="U424" s="14" t="s">
        <v>1073</v>
      </c>
      <c r="V424" s="15"/>
      <c r="W424" s="15"/>
      <c r="X424" s="15"/>
      <c r="Y424" s="15"/>
      <c r="Z424" s="215"/>
      <c r="AA424" s="14" t="s">
        <v>708</v>
      </c>
      <c r="AB424" s="15"/>
      <c r="AC424" s="15"/>
      <c r="AD424" s="15"/>
      <c r="AE424" s="15"/>
      <c r="AF424" s="215"/>
      <c r="AG424" s="14" t="s">
        <v>709</v>
      </c>
      <c r="AH424" s="15"/>
      <c r="AI424" s="15"/>
      <c r="AJ424" s="15"/>
      <c r="AK424" s="15"/>
      <c r="AL424" s="215"/>
      <c r="AM424" s="14" t="s">
        <v>428</v>
      </c>
      <c r="AN424" s="15"/>
      <c r="AO424" s="15"/>
      <c r="AP424" s="15"/>
      <c r="AQ424" s="15"/>
      <c r="AR424" s="215"/>
      <c r="AS424" s="14" t="s">
        <v>429</v>
      </c>
      <c r="AT424" s="15"/>
      <c r="AU424" s="15"/>
      <c r="AV424" s="15"/>
      <c r="AW424" s="15"/>
      <c r="AX424" s="215"/>
      <c r="AY424" s="14" t="s">
        <v>1044</v>
      </c>
      <c r="AZ424" s="15"/>
      <c r="BA424" s="15"/>
      <c r="BB424" s="15"/>
      <c r="BC424" s="684"/>
      <c r="BD424" s="190"/>
      <c r="BE424" s="15" t="s">
        <v>35</v>
      </c>
      <c r="BF424" s="15"/>
      <c r="BG424" s="15"/>
      <c r="BH424" s="685"/>
      <c r="BI424" s="684"/>
      <c r="BJ424" s="686"/>
      <c r="BK424" s="15" t="s">
        <v>217</v>
      </c>
      <c r="BL424" s="15"/>
      <c r="BM424" s="15"/>
      <c r="BN424" s="15"/>
      <c r="BO424" s="684"/>
      <c r="BP424" s="637"/>
      <c r="BQ424" s="15" t="s">
        <v>832</v>
      </c>
      <c r="BR424" s="15"/>
      <c r="BS424" s="15"/>
      <c r="BT424" s="15"/>
      <c r="BU424" s="684"/>
      <c r="BW424" s="14" t="s">
        <v>218</v>
      </c>
      <c r="BX424" s="15"/>
      <c r="BY424" s="15"/>
      <c r="BZ424" s="15"/>
      <c r="CA424" s="684"/>
      <c r="CC424" s="14" t="s">
        <v>420</v>
      </c>
      <c r="CD424" s="15"/>
      <c r="CE424" s="15"/>
      <c r="CF424" s="15"/>
      <c r="CG424" s="684"/>
      <c r="CI424" s="14" t="s">
        <v>317</v>
      </c>
      <c r="CJ424" s="15"/>
      <c r="CK424" s="15"/>
      <c r="CL424" s="15"/>
      <c r="CM424" s="684"/>
      <c r="CO424" s="687" t="str">
        <f>CO5</f>
        <v>F2008</v>
      </c>
      <c r="CP424" s="688"/>
      <c r="CQ424" s="688"/>
      <c r="CR424" s="688"/>
      <c r="CS424" s="689"/>
      <c r="CT424" s="102"/>
      <c r="CU424" s="687" t="str">
        <f>CU5</f>
        <v>F2009</v>
      </c>
      <c r="CV424" s="688"/>
      <c r="CW424" s="688"/>
      <c r="CX424" s="688"/>
      <c r="CY424" s="689"/>
      <c r="CZ424" s="102"/>
      <c r="DA424" s="687" t="str">
        <f>DA5</f>
        <v>F2010</v>
      </c>
      <c r="DB424" s="688"/>
      <c r="DC424" s="688"/>
      <c r="DD424" s="688"/>
      <c r="DE424" s="689"/>
      <c r="DF424" s="102"/>
      <c r="DG424" s="687" t="str">
        <f>DG5</f>
        <v>F2011</v>
      </c>
      <c r="DH424" s="688"/>
      <c r="DI424" s="688"/>
      <c r="DJ424" s="688"/>
      <c r="DK424" s="689"/>
      <c r="DL424" s="102"/>
      <c r="DM424" s="687" t="str">
        <f>DM5</f>
        <v>F2012</v>
      </c>
      <c r="DN424" s="688"/>
      <c r="DO424" s="688"/>
      <c r="DP424" s="688"/>
      <c r="DQ424" s="689"/>
      <c r="DR424" s="102"/>
      <c r="DS424" s="687" t="str">
        <f>DS5</f>
        <v>F2013</v>
      </c>
      <c r="DT424" s="688"/>
      <c r="DU424" s="688"/>
      <c r="DV424" s="688"/>
      <c r="DW424" s="689"/>
      <c r="DX424" s="102"/>
      <c r="DY424" s="687" t="str">
        <f>DY5</f>
        <v>F2014</v>
      </c>
      <c r="DZ424" s="688"/>
      <c r="EA424" s="688"/>
      <c r="EB424" s="688"/>
      <c r="EC424" s="689"/>
      <c r="ED424" s="102"/>
      <c r="EE424" s="687" t="str">
        <f>EE5</f>
        <v>F2015</v>
      </c>
      <c r="EF424" s="688"/>
      <c r="EG424" s="688"/>
      <c r="EH424" s="688"/>
      <c r="EI424" s="689"/>
      <c r="EJ424" s="102"/>
      <c r="EK424" s="687" t="str">
        <f>EK5</f>
        <v>F2016</v>
      </c>
      <c r="EL424" s="688"/>
      <c r="EM424" s="688"/>
      <c r="EN424" s="688"/>
      <c r="EO424" s="689"/>
      <c r="EP424" s="102"/>
      <c r="EQ424" s="687" t="str">
        <f>EQ5</f>
        <v>F2017</v>
      </c>
      <c r="ER424" s="688"/>
      <c r="ES424" s="688"/>
      <c r="ET424" s="688"/>
      <c r="EU424" s="689"/>
      <c r="EV424" s="102"/>
      <c r="EW424" s="687" t="str">
        <f>EW5</f>
        <v>F2018E</v>
      </c>
      <c r="EX424" s="688"/>
      <c r="EY424" s="688"/>
      <c r="EZ424" s="688"/>
      <c r="FA424" s="689"/>
      <c r="FB424" s="102"/>
      <c r="FC424" s="687" t="str">
        <f>FC5</f>
        <v>F2019E</v>
      </c>
      <c r="FD424" s="688"/>
      <c r="FE424" s="688"/>
      <c r="FF424" s="688"/>
      <c r="FG424" s="689"/>
      <c r="FH424" s="102"/>
      <c r="FI424" s="687" t="str">
        <f>FI5</f>
        <v>F2020E</v>
      </c>
      <c r="FJ424" s="688"/>
      <c r="FK424" s="688"/>
      <c r="FL424" s="688"/>
      <c r="FM424" s="689"/>
      <c r="FQ424"/>
      <c r="FR424"/>
      <c r="FS424"/>
      <c r="FT424"/>
      <c r="FU424"/>
      <c r="FV424"/>
      <c r="GB424" s="24"/>
      <c r="GC424" s="24"/>
      <c r="GD424" s="24"/>
      <c r="GE424" s="24"/>
      <c r="GF424" s="24"/>
      <c r="GG424" s="24"/>
      <c r="GH424" s="24"/>
      <c r="GI424" s="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  <c r="HB424"/>
      <c r="HC424"/>
      <c r="HD424"/>
      <c r="HE424"/>
      <c r="HF424"/>
      <c r="HG424"/>
      <c r="HH424"/>
      <c r="HI424"/>
      <c r="HJ424"/>
      <c r="HK424"/>
      <c r="HL424"/>
      <c r="HM424"/>
      <c r="HN424"/>
      <c r="HO424"/>
      <c r="HP424"/>
      <c r="HQ424"/>
      <c r="HR424"/>
      <c r="HS424"/>
      <c r="HT424"/>
      <c r="HU424"/>
      <c r="HV424"/>
      <c r="HW424"/>
      <c r="HX424"/>
      <c r="HY424"/>
      <c r="HZ424"/>
      <c r="IA424"/>
      <c r="IB424"/>
      <c r="IC424"/>
      <c r="ID424"/>
      <c r="IE424"/>
      <c r="IF424"/>
      <c r="IG424"/>
      <c r="IH424"/>
      <c r="II424"/>
      <c r="IJ424"/>
      <c r="IK424"/>
      <c r="IL424"/>
      <c r="IM424"/>
      <c r="IN424"/>
      <c r="IO424"/>
      <c r="IP424"/>
      <c r="IQ424"/>
      <c r="IR424"/>
      <c r="IS424"/>
      <c r="IT424"/>
      <c r="IU424"/>
      <c r="IV424"/>
      <c r="IW424"/>
      <c r="IX424"/>
      <c r="IY424"/>
      <c r="IZ424"/>
      <c r="JA424"/>
      <c r="JB424"/>
      <c r="JC424"/>
      <c r="JD424"/>
      <c r="JE424"/>
      <c r="JF424"/>
      <c r="JG424"/>
      <c r="JH424"/>
      <c r="JI424"/>
      <c r="JJ424"/>
      <c r="JK424"/>
      <c r="JL424"/>
      <c r="JM424"/>
      <c r="JN424"/>
    </row>
    <row r="425" spans="1:274" s="27" customFormat="1" ht="10.5" customHeight="1" x14ac:dyDescent="0.2">
      <c r="A425" s="25"/>
      <c r="B425" s="730"/>
      <c r="C425" s="16" t="s">
        <v>947</v>
      </c>
      <c r="D425" s="16" t="s">
        <v>946</v>
      </c>
      <c r="E425" s="16" t="s">
        <v>406</v>
      </c>
      <c r="F425" s="16" t="s">
        <v>302</v>
      </c>
      <c r="G425" s="16" t="s">
        <v>303</v>
      </c>
      <c r="H425" s="16" t="s">
        <v>304</v>
      </c>
      <c r="I425" s="16" t="s">
        <v>305</v>
      </c>
      <c r="J425" s="16" t="s">
        <v>639</v>
      </c>
      <c r="K425" s="16" t="s">
        <v>640</v>
      </c>
      <c r="L425" s="16" t="s">
        <v>641</v>
      </c>
      <c r="M425" s="16" t="s">
        <v>550</v>
      </c>
      <c r="N425" s="16"/>
      <c r="O425" s="16" t="s">
        <v>292</v>
      </c>
      <c r="P425" s="16" t="s">
        <v>293</v>
      </c>
      <c r="Q425" s="16" t="s">
        <v>290</v>
      </c>
      <c r="R425" s="16" t="s">
        <v>291</v>
      </c>
      <c r="S425" s="16" t="s">
        <v>551</v>
      </c>
      <c r="T425" s="16"/>
      <c r="U425" s="16" t="s">
        <v>288</v>
      </c>
      <c r="V425" s="16" t="s">
        <v>289</v>
      </c>
      <c r="W425" s="16" t="s">
        <v>294</v>
      </c>
      <c r="X425" s="16" t="s">
        <v>930</v>
      </c>
      <c r="Y425" s="16" t="s">
        <v>402</v>
      </c>
      <c r="Z425" s="16"/>
      <c r="AA425" s="16" t="s">
        <v>931</v>
      </c>
      <c r="AB425" s="16" t="s">
        <v>932</v>
      </c>
      <c r="AC425" s="16" t="s">
        <v>933</v>
      </c>
      <c r="AD425" s="16" t="s">
        <v>934</v>
      </c>
      <c r="AE425" s="16" t="s">
        <v>403</v>
      </c>
      <c r="AF425" s="16"/>
      <c r="AG425" s="16" t="s">
        <v>935</v>
      </c>
      <c r="AH425" s="16" t="s">
        <v>936</v>
      </c>
      <c r="AI425" s="16" t="s">
        <v>937</v>
      </c>
      <c r="AJ425" s="16" t="s">
        <v>938</v>
      </c>
      <c r="AK425" s="16" t="s">
        <v>404</v>
      </c>
      <c r="AL425" s="16"/>
      <c r="AM425" s="16" t="s">
        <v>939</v>
      </c>
      <c r="AN425" s="16" t="s">
        <v>144</v>
      </c>
      <c r="AO425" s="16" t="s">
        <v>145</v>
      </c>
      <c r="AP425" s="16" t="s">
        <v>146</v>
      </c>
      <c r="AQ425" s="16" t="s">
        <v>405</v>
      </c>
      <c r="AR425" s="16"/>
      <c r="AS425" s="16" t="s">
        <v>147</v>
      </c>
      <c r="AT425" s="16" t="s">
        <v>148</v>
      </c>
      <c r="AU425" s="16" t="s">
        <v>149</v>
      </c>
      <c r="AV425" s="16" t="s">
        <v>150</v>
      </c>
      <c r="AW425" s="16" t="s">
        <v>552</v>
      </c>
      <c r="AX425" s="16"/>
      <c r="AY425" s="16" t="s">
        <v>151</v>
      </c>
      <c r="AZ425" s="16" t="s">
        <v>152</v>
      </c>
      <c r="BA425" s="16" t="s">
        <v>153</v>
      </c>
      <c r="BB425" s="16" t="s">
        <v>154</v>
      </c>
      <c r="BC425" s="393" t="s">
        <v>553</v>
      </c>
      <c r="BD425" s="16"/>
      <c r="BE425" s="16" t="s">
        <v>917</v>
      </c>
      <c r="BF425" s="16" t="s">
        <v>586</v>
      </c>
      <c r="BG425" s="16" t="s">
        <v>587</v>
      </c>
      <c r="BH425" s="16" t="s">
        <v>588</v>
      </c>
      <c r="BI425" s="393" t="s">
        <v>554</v>
      </c>
      <c r="BJ425" s="16"/>
      <c r="BK425" s="16" t="s">
        <v>589</v>
      </c>
      <c r="BL425" s="16" t="s">
        <v>590</v>
      </c>
      <c r="BM425" s="16" t="s">
        <v>591</v>
      </c>
      <c r="BN425" s="16" t="s">
        <v>592</v>
      </c>
      <c r="BO425" s="393" t="s">
        <v>555</v>
      </c>
      <c r="BQ425" s="16" t="s">
        <v>28</v>
      </c>
      <c r="BR425" s="16" t="s">
        <v>1092</v>
      </c>
      <c r="BS425" s="16" t="s">
        <v>252</v>
      </c>
      <c r="BT425" s="16" t="s">
        <v>873</v>
      </c>
      <c r="BU425" s="393" t="s">
        <v>874</v>
      </c>
      <c r="BW425" s="16" t="s">
        <v>366</v>
      </c>
      <c r="BX425" s="16" t="s">
        <v>163</v>
      </c>
      <c r="BY425" s="16" t="s">
        <v>526</v>
      </c>
      <c r="BZ425" s="16" t="str">
        <f>BZ6</f>
        <v>5/05</v>
      </c>
      <c r="CA425" s="690" t="str">
        <f>CA6</f>
        <v>FY05</v>
      </c>
      <c r="CC425" s="16" t="str">
        <f>CC6</f>
        <v xml:space="preserve"> 8/05</v>
      </c>
      <c r="CD425" s="16" t="str">
        <f>CD6</f>
        <v xml:space="preserve"> 11/05</v>
      </c>
      <c r="CE425" s="16" t="s">
        <v>711</v>
      </c>
      <c r="CF425" s="16" t="s">
        <v>421</v>
      </c>
      <c r="CG425" s="393" t="s">
        <v>434</v>
      </c>
      <c r="CI425" s="16" t="s">
        <v>39</v>
      </c>
      <c r="CJ425" s="16" t="s">
        <v>251</v>
      </c>
      <c r="CK425" s="16" t="s">
        <v>389</v>
      </c>
      <c r="CL425" s="16" t="s">
        <v>692</v>
      </c>
      <c r="CM425" s="393" t="s">
        <v>453</v>
      </c>
      <c r="CO425" s="16" t="str">
        <f>CO6</f>
        <v xml:space="preserve"> 8/07</v>
      </c>
      <c r="CP425" s="16" t="str">
        <f>CP6</f>
        <v xml:space="preserve"> 11/07</v>
      </c>
      <c r="CQ425" s="16" t="str">
        <f>CQ6</f>
        <v xml:space="preserve"> 2/08</v>
      </c>
      <c r="CR425" s="16" t="str">
        <f>CR6</f>
        <v>5/08</v>
      </c>
      <c r="CS425" s="393" t="str">
        <f>CS6</f>
        <v>FY08</v>
      </c>
      <c r="CT425" s="102"/>
      <c r="CU425" s="16" t="str">
        <f>CU6</f>
        <v xml:space="preserve"> 8/08</v>
      </c>
      <c r="CV425" s="16" t="str">
        <f>CV6</f>
        <v xml:space="preserve"> 11/08</v>
      </c>
      <c r="CW425" s="16" t="str">
        <f>CW6</f>
        <v xml:space="preserve"> 2/09</v>
      </c>
      <c r="CX425" s="16" t="str">
        <f>CX6</f>
        <v>5/09</v>
      </c>
      <c r="CY425" s="393" t="str">
        <f>CY6</f>
        <v>FY09</v>
      </c>
      <c r="CZ425" s="102"/>
      <c r="DA425" s="16" t="str">
        <f>DA6</f>
        <v>8/09</v>
      </c>
      <c r="DB425" s="16" t="str">
        <f>DB6</f>
        <v>11/09</v>
      </c>
      <c r="DC425" s="16" t="str">
        <f>DC6</f>
        <v>2/10</v>
      </c>
      <c r="DD425" s="16" t="str">
        <f>DD6</f>
        <v>5/10</v>
      </c>
      <c r="DE425" s="393" t="str">
        <f>DE6</f>
        <v>FY10</v>
      </c>
      <c r="DF425" s="102"/>
      <c r="DG425" s="16" t="str">
        <f>DG6</f>
        <v>8/10</v>
      </c>
      <c r="DH425" s="16" t="str">
        <f>DH6</f>
        <v>11/10</v>
      </c>
      <c r="DI425" s="16" t="str">
        <f>DI6</f>
        <v>2/11</v>
      </c>
      <c r="DJ425" s="16" t="str">
        <f>DJ6</f>
        <v>5/11</v>
      </c>
      <c r="DK425" s="393" t="str">
        <f>DK6</f>
        <v>FY11</v>
      </c>
      <c r="DL425" s="102"/>
      <c r="DM425" s="16" t="str">
        <f>DM6</f>
        <v>8/11</v>
      </c>
      <c r="DN425" s="16" t="str">
        <f>DN6</f>
        <v>11/11</v>
      </c>
      <c r="DO425" s="16" t="str">
        <f>DO6</f>
        <v xml:space="preserve"> 2/12</v>
      </c>
      <c r="DP425" s="16" t="str">
        <f>DP6</f>
        <v>5/12</v>
      </c>
      <c r="DQ425" s="393" t="str">
        <f>DQ6</f>
        <v>FY12</v>
      </c>
      <c r="DR425" s="102"/>
      <c r="DS425" s="16" t="str">
        <f>DS6</f>
        <v>8/12</v>
      </c>
      <c r="DT425" s="16" t="str">
        <f>DT6</f>
        <v>11/12</v>
      </c>
      <c r="DU425" s="16" t="str">
        <f>DU6</f>
        <v xml:space="preserve"> 2/13</v>
      </c>
      <c r="DV425" s="16" t="str">
        <f>DV6</f>
        <v>5/13</v>
      </c>
      <c r="DW425" s="393" t="str">
        <f>DW6</f>
        <v>FY13</v>
      </c>
      <c r="DX425" s="102"/>
      <c r="DY425" s="16" t="str">
        <f>DY6</f>
        <v>8/13</v>
      </c>
      <c r="DZ425" s="16" t="str">
        <f>DZ6</f>
        <v>11/13</v>
      </c>
      <c r="EA425" s="16" t="str">
        <f>EA6</f>
        <v>2/14</v>
      </c>
      <c r="EB425" s="16" t="str">
        <f>EB6</f>
        <v>5/14</v>
      </c>
      <c r="EC425" s="393" t="str">
        <f>EC6</f>
        <v>FY14</v>
      </c>
      <c r="ED425" s="102"/>
      <c r="EE425" s="16" t="str">
        <f>EE6</f>
        <v>8/14</v>
      </c>
      <c r="EF425" s="16" t="str">
        <f>EF6</f>
        <v>11/14</v>
      </c>
      <c r="EG425" s="16" t="str">
        <f>EG6</f>
        <v>2/15</v>
      </c>
      <c r="EH425" s="16" t="str">
        <f>EH6</f>
        <v>5/15</v>
      </c>
      <c r="EI425" s="393" t="str">
        <f>EI6</f>
        <v>FY15</v>
      </c>
      <c r="EJ425" s="102"/>
      <c r="EK425" s="16" t="str">
        <f>EK6</f>
        <v xml:space="preserve"> 8/15</v>
      </c>
      <c r="EL425" s="16" t="str">
        <f>EL6</f>
        <v xml:space="preserve"> 11/15</v>
      </c>
      <c r="EM425" s="16" t="str">
        <f>EM6</f>
        <v>2/16</v>
      </c>
      <c r="EN425" s="16" t="str">
        <f>EN6</f>
        <v>5/16</v>
      </c>
      <c r="EO425" s="393" t="str">
        <f>EO6</f>
        <v>FY16</v>
      </c>
      <c r="EP425" s="102"/>
      <c r="EQ425" s="16" t="str">
        <f>EQ6</f>
        <v xml:space="preserve"> 8/16</v>
      </c>
      <c r="ER425" s="16" t="str">
        <f>ER6</f>
        <v xml:space="preserve"> 11/16</v>
      </c>
      <c r="ES425" s="16" t="str">
        <f>ES6</f>
        <v xml:space="preserve"> 2/17</v>
      </c>
      <c r="ET425" s="16" t="str">
        <f>ET6</f>
        <v>5/17</v>
      </c>
      <c r="EU425" s="393" t="str">
        <f>EU6</f>
        <v>FY17</v>
      </c>
      <c r="EV425" s="102"/>
      <c r="EW425" s="16" t="str">
        <f>EW6</f>
        <v xml:space="preserve"> 8/17</v>
      </c>
      <c r="EX425" s="16" t="str">
        <f>EX6</f>
        <v xml:space="preserve"> 11/17</v>
      </c>
      <c r="EY425" s="16" t="str">
        <f>EY6</f>
        <v xml:space="preserve"> 2/18</v>
      </c>
      <c r="EZ425" s="16" t="str">
        <f>EZ6</f>
        <v>5/18E</v>
      </c>
      <c r="FA425" s="393" t="str">
        <f>FA6</f>
        <v>FY18E</v>
      </c>
      <c r="FB425" s="102"/>
      <c r="FC425" s="16" t="str">
        <f>FC6</f>
        <v xml:space="preserve"> 8/18E</v>
      </c>
      <c r="FD425" s="16" t="str">
        <f>FD6</f>
        <v xml:space="preserve"> 11/18E</v>
      </c>
      <c r="FE425" s="16" t="str">
        <f>FE6</f>
        <v xml:space="preserve"> 2/19E</v>
      </c>
      <c r="FF425" s="16" t="str">
        <f>FF6</f>
        <v>5/19E</v>
      </c>
      <c r="FG425" s="393" t="str">
        <f>FG6</f>
        <v>FY19E</v>
      </c>
      <c r="FH425" s="102"/>
      <c r="FI425" s="16" t="str">
        <f>FI6</f>
        <v xml:space="preserve"> 8/19E</v>
      </c>
      <c r="FJ425" s="16" t="str">
        <f>FJ6</f>
        <v xml:space="preserve"> 11/19E</v>
      </c>
      <c r="FK425" s="16" t="str">
        <f>FK6</f>
        <v xml:space="preserve"> 2/20E</v>
      </c>
      <c r="FL425" s="16" t="str">
        <f>FL6</f>
        <v>5/20E</v>
      </c>
      <c r="FM425" s="393" t="str">
        <f>FM6</f>
        <v>FY20E</v>
      </c>
      <c r="FN425" s="580"/>
      <c r="FO425" s="580"/>
      <c r="FQ425"/>
      <c r="FR425"/>
      <c r="FS425"/>
      <c r="FT425"/>
      <c r="FU425"/>
      <c r="FV425"/>
      <c r="GB425" s="24"/>
      <c r="GC425" s="24"/>
      <c r="GD425" s="24"/>
      <c r="GE425" s="24"/>
      <c r="GF425" s="24"/>
      <c r="GG425" s="24"/>
      <c r="GH425" s="24"/>
      <c r="GI425" s="24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  <c r="HB425"/>
      <c r="HC425"/>
      <c r="HD425"/>
      <c r="HE425"/>
      <c r="HF425"/>
      <c r="HG425"/>
      <c r="HH425"/>
      <c r="HI425"/>
      <c r="HJ425"/>
      <c r="HK425"/>
      <c r="HL425"/>
      <c r="HM425"/>
      <c r="HN425"/>
      <c r="HO425"/>
      <c r="HP425"/>
      <c r="HQ425"/>
      <c r="HR425"/>
      <c r="HS425"/>
      <c r="HT425"/>
      <c r="HU425"/>
      <c r="HV425"/>
      <c r="HW425"/>
      <c r="HX425"/>
      <c r="HY425"/>
      <c r="HZ425"/>
      <c r="IA425"/>
      <c r="IB425"/>
      <c r="IC425"/>
      <c r="ID425"/>
      <c r="IE425"/>
      <c r="IF425"/>
      <c r="IG425"/>
      <c r="IH425"/>
      <c r="II425"/>
      <c r="IJ425"/>
      <c r="IK425"/>
      <c r="IL425"/>
      <c r="IM425"/>
      <c r="IN425"/>
      <c r="IO425"/>
      <c r="IP425"/>
      <c r="IQ425"/>
      <c r="IR425"/>
      <c r="IS425"/>
      <c r="IT425"/>
      <c r="IU425"/>
      <c r="IV425"/>
      <c r="IW425"/>
      <c r="IX425"/>
      <c r="IY425"/>
      <c r="IZ425"/>
      <c r="JA425"/>
      <c r="JB425"/>
      <c r="JC425"/>
      <c r="JD425"/>
      <c r="JE425"/>
      <c r="JF425"/>
      <c r="JG425"/>
      <c r="JH425"/>
      <c r="JI425"/>
      <c r="JJ425"/>
      <c r="JK425"/>
      <c r="JL425"/>
      <c r="JM425"/>
      <c r="JN425"/>
    </row>
    <row r="426" spans="1:274" s="691" customFormat="1" ht="20.25" x14ac:dyDescent="0.3">
      <c r="A426" s="1469" t="s">
        <v>454</v>
      </c>
      <c r="B426" s="1469"/>
      <c r="C426" s="1469"/>
      <c r="D426" s="1469"/>
      <c r="E426" s="1469"/>
      <c r="F426" s="1469"/>
      <c r="G426" s="1469"/>
      <c r="H426" s="1469"/>
      <c r="I426" s="1469"/>
      <c r="J426" s="1469"/>
      <c r="K426" s="1469"/>
      <c r="L426" s="1469"/>
      <c r="M426" s="1469"/>
      <c r="N426" s="1469"/>
      <c r="O426" s="1469"/>
      <c r="P426" s="1469"/>
      <c r="Q426" s="1469"/>
      <c r="R426" s="1469"/>
      <c r="S426" s="1469"/>
      <c r="T426" s="1469"/>
      <c r="U426" s="1469"/>
      <c r="V426" s="1469"/>
      <c r="W426" s="1469"/>
      <c r="X426" s="1469"/>
      <c r="Y426" s="1469"/>
      <c r="Z426" s="1469"/>
      <c r="AA426" s="1469"/>
      <c r="AB426" s="1469"/>
      <c r="AC426" s="1469"/>
      <c r="AD426" s="1469"/>
      <c r="AE426" s="1469"/>
      <c r="AF426" s="1469"/>
      <c r="AG426" s="1469"/>
      <c r="AH426" s="1469"/>
      <c r="AI426" s="1469"/>
      <c r="AJ426" s="1469"/>
      <c r="AK426" s="1469"/>
      <c r="AL426" s="1469"/>
      <c r="AM426" s="1469"/>
      <c r="AN426" s="1469"/>
      <c r="AO426" s="1469"/>
      <c r="AP426" s="1469"/>
      <c r="AQ426" s="1469"/>
      <c r="AR426" s="1469"/>
      <c r="AS426" s="1469"/>
      <c r="AT426" s="1469"/>
      <c r="AU426" s="1469"/>
      <c r="AV426" s="1469"/>
      <c r="AW426" s="1469"/>
      <c r="AX426" s="1469"/>
      <c r="AY426" s="1469"/>
      <c r="AZ426" s="1469"/>
      <c r="BA426" s="1469"/>
      <c r="BB426" s="1469"/>
      <c r="BC426" s="1470"/>
      <c r="BD426" s="1469"/>
      <c r="BE426" s="1469"/>
      <c r="BF426" s="1469"/>
      <c r="BG426" s="1469"/>
      <c r="BH426" s="1469"/>
      <c r="BI426" s="1470"/>
      <c r="BJ426" s="1469"/>
      <c r="BK426" s="1469"/>
      <c r="BL426" s="1469"/>
      <c r="BM426" s="1469"/>
      <c r="BN426" s="1469"/>
      <c r="BO426" s="1470"/>
      <c r="BP426" s="1469"/>
      <c r="BQ426" s="1469"/>
      <c r="BR426" s="1469"/>
      <c r="BS426" s="1469"/>
      <c r="BT426" s="1469"/>
      <c r="BU426" s="1470"/>
      <c r="BV426" s="1469"/>
      <c r="BW426" s="1469"/>
      <c r="BX426" s="1469"/>
      <c r="BY426" s="1469"/>
      <c r="BZ426" s="1469"/>
      <c r="CA426" s="1470"/>
      <c r="CB426" s="1469"/>
      <c r="CC426" s="1469"/>
      <c r="CD426" s="1469"/>
      <c r="CE426" s="1469"/>
      <c r="CF426" s="1469"/>
      <c r="CG426" s="1470"/>
      <c r="CH426" s="1469"/>
      <c r="CI426" s="1469"/>
      <c r="CJ426" s="1469"/>
      <c r="CK426" s="1469"/>
      <c r="CL426" s="1469"/>
      <c r="CM426" s="1470"/>
      <c r="CN426" s="1469"/>
      <c r="CO426" s="1471"/>
      <c r="CP426" s="1471"/>
      <c r="CQ426" s="1471"/>
      <c r="CR426" s="1471"/>
      <c r="CS426" s="1472"/>
      <c r="CT426" s="1473"/>
      <c r="CU426" s="1471"/>
      <c r="CV426" s="1471"/>
      <c r="CW426" s="1471"/>
      <c r="CX426" s="1471"/>
      <c r="CY426" s="1472"/>
      <c r="CZ426" s="1473"/>
      <c r="DA426" s="1471"/>
      <c r="DB426" s="1471"/>
      <c r="DC426" s="1471"/>
      <c r="DD426" s="1471"/>
      <c r="DE426" s="1472"/>
      <c r="DF426" s="1473"/>
      <c r="DG426" s="1471"/>
      <c r="DH426" s="1471"/>
      <c r="DI426" s="1471"/>
      <c r="DJ426" s="1471"/>
      <c r="DK426" s="1472"/>
      <c r="DL426" s="1473"/>
      <c r="DM426" s="1471"/>
      <c r="DN426" s="1471"/>
      <c r="DO426" s="1471"/>
      <c r="DP426" s="1471"/>
      <c r="DQ426" s="1472"/>
      <c r="DR426" s="1473"/>
      <c r="DS426" s="1471"/>
      <c r="DT426" s="1471"/>
      <c r="DU426" s="1471"/>
      <c r="DV426" s="1471"/>
      <c r="DW426" s="1472"/>
      <c r="DX426" s="1473"/>
      <c r="DY426" s="1471"/>
      <c r="DZ426" s="1471"/>
      <c r="EA426" s="1471"/>
      <c r="EB426" s="1471"/>
      <c r="EC426" s="1472"/>
      <c r="ED426" s="1473"/>
      <c r="EE426" s="1471"/>
      <c r="EF426" s="1471"/>
      <c r="EG426" s="1471"/>
      <c r="EH426" s="1471"/>
      <c r="EI426" s="1472"/>
      <c r="EJ426" s="1473"/>
      <c r="EK426" s="1471"/>
      <c r="EL426" s="1471"/>
      <c r="EM426" s="1471"/>
      <c r="EN426" s="1471"/>
      <c r="EO426" s="1472"/>
      <c r="EP426" s="1473"/>
      <c r="EQ426" s="1471"/>
      <c r="ER426" s="1471"/>
      <c r="ES426" s="1471"/>
      <c r="ET426" s="1471"/>
      <c r="EU426" s="1472"/>
      <c r="EV426" s="1473"/>
      <c r="EW426" s="1471"/>
      <c r="EX426" s="1471"/>
      <c r="EY426" s="1471"/>
      <c r="EZ426" s="1471"/>
      <c r="FA426" s="1472"/>
      <c r="FB426" s="1473"/>
      <c r="FC426" s="1471"/>
      <c r="FD426" s="1471"/>
      <c r="FE426" s="1471"/>
      <c r="FF426" s="1471"/>
      <c r="FG426" s="1472"/>
      <c r="FH426" s="1473"/>
      <c r="FI426" s="1471"/>
      <c r="FJ426" s="1471"/>
      <c r="FK426" s="1471"/>
      <c r="FL426" s="1471"/>
      <c r="FM426" s="1472"/>
      <c r="FQ426"/>
      <c r="FR426"/>
      <c r="FS426"/>
      <c r="FT426"/>
      <c r="FU426"/>
      <c r="FV426"/>
      <c r="FZ426" s="917" t="s">
        <v>890</v>
      </c>
      <c r="GI426" s="24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  <c r="HB426"/>
      <c r="HC426"/>
      <c r="HD426"/>
      <c r="HE426"/>
      <c r="HF426"/>
      <c r="HG426"/>
      <c r="HH426"/>
      <c r="HI426"/>
      <c r="HJ426"/>
      <c r="HK426"/>
      <c r="HL426"/>
      <c r="HM426"/>
      <c r="HN426"/>
      <c r="HO426"/>
      <c r="HP426"/>
      <c r="HQ426"/>
      <c r="HR426"/>
      <c r="HS426"/>
      <c r="HT426"/>
      <c r="HU426"/>
      <c r="HV426"/>
      <c r="HW426"/>
      <c r="HX426"/>
      <c r="HY426"/>
      <c r="HZ426"/>
      <c r="IA426"/>
      <c r="IB426"/>
      <c r="IC426"/>
      <c r="ID426"/>
      <c r="IE426"/>
      <c r="IF426"/>
      <c r="IG426"/>
      <c r="IH426"/>
      <c r="II426"/>
      <c r="IJ426"/>
      <c r="IK426"/>
      <c r="IL426"/>
      <c r="IM426"/>
      <c r="IN426"/>
      <c r="IO426"/>
      <c r="IP426"/>
      <c r="IQ426"/>
      <c r="IR426"/>
      <c r="IS426"/>
      <c r="IT426"/>
      <c r="IU426"/>
      <c r="IV426"/>
      <c r="IW426"/>
      <c r="IX426"/>
      <c r="IY426"/>
      <c r="IZ426"/>
      <c r="JA426"/>
      <c r="JB426"/>
      <c r="JC426"/>
      <c r="JD426"/>
      <c r="JE426"/>
      <c r="JF426"/>
      <c r="JG426"/>
      <c r="JH426"/>
      <c r="JI426"/>
      <c r="JJ426"/>
      <c r="JK426"/>
      <c r="JL426"/>
      <c r="JM426"/>
      <c r="JN426"/>
    </row>
    <row r="427" spans="1:274" s="98" customFormat="1" ht="15.75" x14ac:dyDescent="0.25">
      <c r="A427" s="917" t="s">
        <v>455</v>
      </c>
      <c r="B427" s="692"/>
      <c r="C427" s="918"/>
      <c r="D427" s="918"/>
      <c r="E427" s="918"/>
      <c r="F427" s="918"/>
      <c r="G427" s="918"/>
      <c r="H427" s="918"/>
      <c r="I427" s="918"/>
      <c r="J427" s="918"/>
      <c r="K427" s="918"/>
      <c r="L427" s="918"/>
      <c r="M427" s="918"/>
      <c r="O427" s="919"/>
      <c r="P427" s="919"/>
      <c r="Q427" s="919"/>
      <c r="R427" s="919"/>
      <c r="S427" s="918"/>
      <c r="U427" s="919"/>
      <c r="V427" s="919"/>
      <c r="W427" s="919"/>
      <c r="X427" s="919"/>
      <c r="Y427" s="918"/>
      <c r="AA427" s="919"/>
      <c r="AB427" s="919"/>
      <c r="AC427" s="919"/>
      <c r="AD427" s="919"/>
      <c r="AE427" s="918"/>
      <c r="AG427" s="919"/>
      <c r="AH427" s="919"/>
      <c r="AI427" s="919"/>
      <c r="AJ427" s="919"/>
      <c r="AK427" s="918"/>
      <c r="AM427" s="919"/>
      <c r="AN427" s="919"/>
      <c r="AO427" s="919"/>
      <c r="AP427" s="919"/>
      <c r="AQ427" s="918"/>
      <c r="AS427" s="919"/>
      <c r="AT427" s="919"/>
      <c r="AU427" s="919"/>
      <c r="AV427" s="919"/>
      <c r="AW427" s="918"/>
      <c r="AY427" s="919"/>
      <c r="AZ427" s="919"/>
      <c r="BA427" s="919"/>
      <c r="BB427" s="919"/>
      <c r="BC427" s="918"/>
      <c r="BE427" s="919"/>
      <c r="BF427" s="919"/>
      <c r="BG427" s="919"/>
      <c r="BH427" s="919"/>
      <c r="BI427" s="918"/>
      <c r="BK427" s="919"/>
      <c r="BL427" s="919"/>
      <c r="BM427" s="919"/>
      <c r="BN427" s="919"/>
      <c r="BO427" s="918"/>
      <c r="BQ427" s="919"/>
      <c r="BR427" s="919"/>
      <c r="BS427" s="919"/>
      <c r="BT427" s="919"/>
      <c r="BU427" s="918"/>
      <c r="BW427" s="919"/>
      <c r="BX427" s="919"/>
      <c r="BY427" s="1072"/>
      <c r="BZ427" s="919"/>
      <c r="CA427" s="918"/>
      <c r="CC427" s="919"/>
      <c r="CD427" s="919"/>
      <c r="CE427" s="1072"/>
      <c r="CF427" s="919"/>
      <c r="CG427" s="920"/>
      <c r="CI427" s="919"/>
      <c r="CJ427" s="919"/>
      <c r="CK427" s="1072"/>
      <c r="CL427" s="919"/>
      <c r="CM427" s="920"/>
      <c r="CO427" s="919">
        <f>AVERAGE(CO429:CO430)</f>
        <v>4374.8949999999995</v>
      </c>
      <c r="CP427" s="919"/>
      <c r="CQ427" s="1072"/>
      <c r="CR427" s="919"/>
      <c r="CS427" s="920"/>
      <c r="CT427" s="921"/>
      <c r="CU427" s="919"/>
      <c r="CV427" s="919"/>
      <c r="CW427" s="1072"/>
      <c r="CX427" s="919"/>
      <c r="CY427" s="920"/>
      <c r="CZ427" s="921"/>
      <c r="DA427" s="919"/>
      <c r="DB427" s="919"/>
      <c r="DC427" s="919"/>
      <c r="DD427" s="919"/>
      <c r="DE427" s="920"/>
      <c r="DF427" s="921"/>
      <c r="DG427" s="919"/>
      <c r="DH427" s="919"/>
      <c r="DI427" s="919"/>
      <c r="DJ427" s="919"/>
      <c r="DK427" s="920"/>
      <c r="DL427" s="921"/>
      <c r="DM427" s="919"/>
      <c r="DN427" s="919"/>
      <c r="DO427" s="919"/>
      <c r="DP427" s="919"/>
      <c r="DQ427" s="920"/>
      <c r="DR427" s="921"/>
      <c r="DS427" s="919"/>
      <c r="DT427" s="919"/>
      <c r="DU427" s="919"/>
      <c r="DV427" s="919"/>
      <c r="DW427" s="920"/>
      <c r="DX427" s="921"/>
      <c r="DY427" s="919"/>
      <c r="DZ427" s="919"/>
      <c r="EA427" s="919"/>
      <c r="EB427" s="919"/>
      <c r="EC427" s="920"/>
      <c r="ED427" s="921"/>
      <c r="EE427" s="919"/>
      <c r="EF427" s="919"/>
      <c r="EG427" s="919"/>
      <c r="EH427" s="919"/>
      <c r="EI427" s="920"/>
      <c r="EJ427" s="921"/>
      <c r="EK427" s="919"/>
      <c r="EL427" s="919"/>
      <c r="EM427" s="919"/>
      <c r="EN427" s="919"/>
      <c r="EO427" s="920"/>
      <c r="EP427" s="921"/>
      <c r="EQ427" s="919"/>
      <c r="ER427" s="919"/>
      <c r="ES427" s="919"/>
      <c r="ET427" s="919"/>
      <c r="EU427" s="920"/>
      <c r="EV427" s="921"/>
      <c r="EW427" s="919"/>
      <c r="EX427" s="919"/>
      <c r="EY427" s="919"/>
      <c r="EZ427" s="919"/>
      <c r="FA427" s="920"/>
      <c r="FB427" s="921"/>
      <c r="FC427" s="919"/>
      <c r="FD427" s="919"/>
      <c r="FE427" s="919"/>
      <c r="FF427" s="919"/>
      <c r="FG427" s="920"/>
      <c r="FH427" s="921"/>
      <c r="FI427" s="919"/>
      <c r="FJ427" s="919"/>
      <c r="FK427" s="919"/>
      <c r="FL427" s="919"/>
      <c r="FM427" s="920"/>
      <c r="FQ427"/>
      <c r="FR427"/>
      <c r="FS427"/>
      <c r="FT427"/>
      <c r="FU427"/>
      <c r="FV427"/>
      <c r="FZ427" s="99"/>
      <c r="GA427" s="190" t="s">
        <v>957</v>
      </c>
      <c r="GB427" s="190" t="s">
        <v>665</v>
      </c>
      <c r="GC427" s="190" t="s">
        <v>215</v>
      </c>
      <c r="GD427" s="190" t="s">
        <v>511</v>
      </c>
      <c r="GE427" s="190" t="s">
        <v>379</v>
      </c>
      <c r="GF427" s="190" t="s">
        <v>835</v>
      </c>
      <c r="GG427" s="191" t="s">
        <v>87</v>
      </c>
      <c r="GH427" s="191" t="s">
        <v>49</v>
      </c>
      <c r="GI427" s="217" t="s">
        <v>214</v>
      </c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  <c r="HB427"/>
      <c r="HC427"/>
      <c r="HD427"/>
      <c r="HE427"/>
      <c r="HF427"/>
      <c r="HG427"/>
      <c r="HH427"/>
      <c r="HI427"/>
      <c r="HJ427"/>
      <c r="HK427"/>
      <c r="HL427"/>
      <c r="HM427"/>
      <c r="HN427"/>
      <c r="HO427"/>
      <c r="HP427"/>
      <c r="HQ427"/>
      <c r="HR427"/>
      <c r="HS427"/>
      <c r="HT427"/>
      <c r="HU427"/>
      <c r="HV427"/>
      <c r="HW427"/>
      <c r="HX427"/>
      <c r="HY427"/>
      <c r="HZ427"/>
      <c r="IA427"/>
      <c r="IB427"/>
      <c r="IC427"/>
      <c r="ID427"/>
      <c r="IE427"/>
      <c r="IF427"/>
      <c r="IG427"/>
      <c r="IH427"/>
      <c r="II427"/>
      <c r="IJ427"/>
      <c r="IK427"/>
      <c r="IL427"/>
      <c r="IM427"/>
      <c r="IN427"/>
      <c r="IO427"/>
      <c r="IP427"/>
      <c r="IQ427"/>
      <c r="IR427"/>
      <c r="IS427"/>
      <c r="IT427"/>
      <c r="IU427"/>
      <c r="IV427"/>
      <c r="IW427"/>
      <c r="IX427"/>
      <c r="IY427"/>
      <c r="IZ427"/>
      <c r="JA427"/>
      <c r="JB427"/>
      <c r="JC427"/>
      <c r="JD427"/>
      <c r="JE427"/>
      <c r="JF427"/>
      <c r="JG427"/>
      <c r="JH427"/>
      <c r="JI427"/>
      <c r="JJ427"/>
      <c r="JK427"/>
      <c r="JL427"/>
      <c r="JM427"/>
      <c r="JN427"/>
    </row>
    <row r="428" spans="1:274" s="27" customFormat="1" x14ac:dyDescent="0.2">
      <c r="A428" s="629" t="s">
        <v>456</v>
      </c>
      <c r="B428" s="20"/>
      <c r="C428" s="34"/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2"/>
      <c r="O428" s="259"/>
      <c r="P428" s="259"/>
      <c r="Q428" s="259"/>
      <c r="R428" s="259"/>
      <c r="S428" s="34"/>
      <c r="T428" s="342"/>
      <c r="U428" s="259"/>
      <c r="V428" s="259"/>
      <c r="W428" s="259"/>
      <c r="X428" s="259"/>
      <c r="Y428" s="34"/>
      <c r="Z428" s="342"/>
      <c r="AA428" s="259"/>
      <c r="AB428" s="259"/>
      <c r="AC428" s="259"/>
      <c r="AD428" s="259"/>
      <c r="AE428" s="34"/>
      <c r="AF428" s="342"/>
      <c r="AG428" s="259"/>
      <c r="AH428" s="259"/>
      <c r="AI428" s="259"/>
      <c r="AJ428" s="259"/>
      <c r="AK428" s="34"/>
      <c r="AL428" s="342"/>
      <c r="AM428" s="259"/>
      <c r="AN428" s="259"/>
      <c r="AO428" s="259"/>
      <c r="AP428" s="259"/>
      <c r="AQ428" s="34"/>
      <c r="AR428" s="342"/>
      <c r="AS428" s="259"/>
      <c r="AT428" s="259"/>
      <c r="AU428" s="259"/>
      <c r="AV428" s="259"/>
      <c r="AW428" s="34"/>
      <c r="AX428" s="342"/>
      <c r="AY428" s="259"/>
      <c r="AZ428" s="259"/>
      <c r="BA428" s="259"/>
      <c r="BB428" s="259"/>
      <c r="BC428" s="34"/>
      <c r="BD428" s="342"/>
      <c r="BE428" s="259"/>
      <c r="BF428" s="259"/>
      <c r="BG428" s="259"/>
      <c r="BH428" s="259"/>
      <c r="BI428" s="34"/>
      <c r="BJ428" s="342"/>
      <c r="BK428" s="259"/>
      <c r="BL428" s="259"/>
      <c r="BM428" s="259"/>
      <c r="BN428" s="259"/>
      <c r="BO428" s="34"/>
      <c r="BP428" s="342"/>
      <c r="BQ428" s="259"/>
      <c r="BR428" s="259"/>
      <c r="BS428" s="259"/>
      <c r="BT428" s="259"/>
      <c r="BU428" s="34"/>
      <c r="BV428" s="342"/>
      <c r="BW428" s="259"/>
      <c r="BX428" s="259"/>
      <c r="BY428" s="1073">
        <f>AVERAGE(BY429:BY430)/BX431-1</f>
        <v>-3.9912917271407444E-3</v>
      </c>
      <c r="BZ428" s="259"/>
      <c r="CA428" s="34"/>
      <c r="CB428" s="342"/>
      <c r="CC428" s="259"/>
      <c r="CD428" s="259"/>
      <c r="CE428" s="1073">
        <f>AVERAGE(CE429:CE430)/CD431-1</f>
        <v>3.8898055391867858E-2</v>
      </c>
      <c r="CF428" s="259"/>
      <c r="CG428" s="228"/>
      <c r="CH428" s="342"/>
      <c r="CI428" s="259"/>
      <c r="CJ428" s="259"/>
      <c r="CK428" s="1073">
        <f>AVERAGE(CK429:CK430)/CJ431-1</f>
        <v>3.1146110056925913E-2</v>
      </c>
      <c r="CL428" s="1201">
        <f>CL431/CF431-1</f>
        <v>0.19161434069272842</v>
      </c>
      <c r="CM428" s="228"/>
      <c r="CN428" s="342"/>
      <c r="CO428" s="1073">
        <f>CO427/CI431-1</f>
        <v>0.19499999999999984</v>
      </c>
      <c r="CP428" s="259"/>
      <c r="CQ428" s="1073">
        <f>AVERAGE(CQ429:CQ430)/CP431-1</f>
        <v>7.7432885906039139E-3</v>
      </c>
      <c r="CR428" s="1201">
        <f>CR431/CL431-1</f>
        <v>0.23763386027536981</v>
      </c>
      <c r="CS428" s="228"/>
      <c r="CT428" s="475"/>
      <c r="CU428" s="1073"/>
      <c r="CV428" s="259"/>
      <c r="CW428" s="1073"/>
      <c r="CX428" s="1201"/>
      <c r="CY428" s="228"/>
      <c r="CZ428" s="475"/>
      <c r="DA428" s="1073"/>
      <c r="DB428" s="272"/>
      <c r="DC428" s="259"/>
      <c r="DD428" s="1201"/>
      <c r="DE428" s="228"/>
      <c r="DF428" s="475"/>
      <c r="DG428" s="1073"/>
      <c r="DH428" s="259"/>
      <c r="DI428" s="259"/>
      <c r="DJ428" s="1201"/>
      <c r="DK428" s="228"/>
      <c r="DL428" s="475"/>
      <c r="DM428" s="1073"/>
      <c r="DN428" s="259"/>
      <c r="DO428" s="259"/>
      <c r="DP428" s="1201"/>
      <c r="DQ428" s="228"/>
      <c r="DR428" s="475"/>
      <c r="DS428" s="259"/>
      <c r="DT428" s="259"/>
      <c r="DU428" s="259"/>
      <c r="DV428" s="259"/>
      <c r="DW428" s="228"/>
      <c r="DX428" s="475"/>
      <c r="DY428" s="259"/>
      <c r="DZ428" s="259"/>
      <c r="EA428" s="259"/>
      <c r="EB428" s="259"/>
      <c r="EC428" s="228"/>
      <c r="ED428" s="475"/>
      <c r="EE428" s="259"/>
      <c r="EF428" s="259"/>
      <c r="EG428" s="259"/>
      <c r="EH428" s="259"/>
      <c r="EI428" s="228"/>
      <c r="EJ428" s="475"/>
      <c r="EK428" s="259"/>
      <c r="EL428" s="259"/>
      <c r="EM428" s="259"/>
      <c r="EN428" s="259"/>
      <c r="EO428" s="228"/>
      <c r="EP428" s="475"/>
      <c r="EQ428" s="259"/>
      <c r="ER428" s="259"/>
      <c r="ES428" s="259"/>
      <c r="ET428" s="259"/>
      <c r="EU428" s="228"/>
      <c r="EV428" s="475"/>
      <c r="EW428" s="259"/>
      <c r="EX428" s="259"/>
      <c r="EY428" s="259"/>
      <c r="EZ428" s="259"/>
      <c r="FA428" s="228"/>
      <c r="FB428" s="475"/>
      <c r="FC428" s="259"/>
      <c r="FD428" s="259"/>
      <c r="FE428" s="259"/>
      <c r="FF428" s="259"/>
      <c r="FG428" s="228"/>
      <c r="FH428" s="475"/>
      <c r="FI428" s="259"/>
      <c r="FJ428" s="259"/>
      <c r="FK428" s="259"/>
      <c r="FL428" s="259"/>
      <c r="FM428" s="228"/>
      <c r="FQ428"/>
      <c r="FR428"/>
      <c r="FS428"/>
      <c r="FT428"/>
      <c r="FU428"/>
      <c r="FV428"/>
      <c r="FZ428" s="27" t="s">
        <v>889</v>
      </c>
      <c r="GA428" s="1172">
        <f>DB481</f>
        <v>7.0110701107011009E-2</v>
      </c>
      <c r="GB428" s="1172">
        <f>DC481</f>
        <v>8.991272579663101E-2</v>
      </c>
      <c r="GC428" s="1173">
        <f>DD481</f>
        <v>5.7863621639131946E-2</v>
      </c>
      <c r="GD428" s="1173">
        <f>DG481</f>
        <v>0.16913342303356482</v>
      </c>
      <c r="GE428" s="1173">
        <f>DH481</f>
        <v>8.9474229220145807E-2</v>
      </c>
      <c r="GF428" s="1173">
        <f>DI481</f>
        <v>0.12035462715569589</v>
      </c>
      <c r="GG428" s="1173">
        <f>DJ481</f>
        <v>4.5356613223649367E-2</v>
      </c>
      <c r="GH428" s="1171">
        <f>DM481</f>
        <v>1.2915004395158469E-2</v>
      </c>
      <c r="GI428" s="1174">
        <f>AVERAGE(GA428:GH428)</f>
        <v>8.189011819637354E-2</v>
      </c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  <c r="HB428"/>
      <c r="HC428"/>
      <c r="HD428"/>
      <c r="HE428"/>
      <c r="HF428"/>
      <c r="HG428"/>
      <c r="HH428"/>
      <c r="HI428"/>
      <c r="HJ428"/>
      <c r="HK428"/>
      <c r="HL428"/>
      <c r="HM428"/>
      <c r="HN428"/>
      <c r="HO428"/>
      <c r="HP428"/>
      <c r="HQ428"/>
      <c r="HR428"/>
      <c r="HS428"/>
      <c r="HT428"/>
      <c r="HU428"/>
      <c r="HV428"/>
      <c r="HW428"/>
      <c r="HX428"/>
      <c r="HY428"/>
      <c r="HZ428"/>
      <c r="IA428"/>
      <c r="IB428"/>
      <c r="IC428"/>
      <c r="ID428"/>
      <c r="IE428"/>
      <c r="IF428"/>
      <c r="IG428"/>
      <c r="IH428"/>
      <c r="II428"/>
      <c r="IJ428"/>
      <c r="IK428"/>
      <c r="IL428"/>
      <c r="IM428"/>
      <c r="IN428"/>
      <c r="IO428"/>
      <c r="IP428"/>
      <c r="IQ428"/>
      <c r="IR428"/>
      <c r="IS428"/>
      <c r="IT428"/>
      <c r="IU428"/>
      <c r="IV428"/>
      <c r="IW428"/>
      <c r="IX428"/>
      <c r="IY428"/>
      <c r="IZ428"/>
      <c r="JA428"/>
      <c r="JB428"/>
      <c r="JC428"/>
      <c r="JD428"/>
      <c r="JE428"/>
      <c r="JF428"/>
      <c r="JG428"/>
      <c r="JH428"/>
      <c r="JI428"/>
      <c r="JJ428"/>
      <c r="JK428"/>
      <c r="JL428"/>
      <c r="JM428"/>
      <c r="JN428"/>
    </row>
    <row r="429" spans="1:274" s="27" customFormat="1" ht="12" customHeight="1" x14ac:dyDescent="0.2">
      <c r="A429" s="27" t="s">
        <v>457</v>
      </c>
      <c r="C429" s="242"/>
      <c r="D429" s="242"/>
      <c r="E429" s="242"/>
      <c r="F429" s="242"/>
      <c r="G429" s="242"/>
      <c r="H429" s="242"/>
      <c r="I429" s="242"/>
      <c r="J429" s="242"/>
      <c r="K429" s="242"/>
      <c r="L429" s="242"/>
      <c r="M429" s="242"/>
      <c r="O429" s="272"/>
      <c r="P429" s="272"/>
      <c r="Q429" s="272"/>
      <c r="R429" s="272"/>
      <c r="S429" s="242"/>
      <c r="U429" s="272"/>
      <c r="V429" s="272"/>
      <c r="W429" s="272"/>
      <c r="X429" s="272"/>
      <c r="Y429" s="242"/>
      <c r="AA429" s="272"/>
      <c r="AB429" s="272"/>
      <c r="AC429" s="272"/>
      <c r="AD429" s="272"/>
      <c r="AE429" s="242"/>
      <c r="AG429" s="272"/>
      <c r="AH429" s="272"/>
      <c r="AI429" s="272"/>
      <c r="AJ429" s="272"/>
      <c r="AK429" s="242"/>
      <c r="AM429" s="272"/>
      <c r="AN429" s="272"/>
      <c r="AO429" s="272"/>
      <c r="AP429" s="272"/>
      <c r="AQ429" s="242"/>
      <c r="AS429" s="272"/>
      <c r="AT429" s="272"/>
      <c r="AU429" s="272"/>
      <c r="AV429" s="272"/>
      <c r="AW429" s="242"/>
      <c r="AY429" s="272"/>
      <c r="AZ429" s="272"/>
      <c r="BA429" s="272"/>
      <c r="BB429" s="272"/>
      <c r="BC429" s="242"/>
      <c r="BE429" s="272"/>
      <c r="BF429" s="272"/>
      <c r="BG429" s="272"/>
      <c r="BH429" s="272"/>
      <c r="BI429" s="242"/>
      <c r="BK429" s="272"/>
      <c r="BL429" s="272"/>
      <c r="BM429" s="272"/>
      <c r="BN429" s="272"/>
      <c r="BO429" s="242"/>
      <c r="BQ429" s="272"/>
      <c r="BR429" s="272"/>
      <c r="BS429" s="272"/>
      <c r="BT429" s="272"/>
      <c r="BU429" s="242"/>
      <c r="BW429" s="272">
        <f>BQ431*1.06</f>
        <v>0</v>
      </c>
      <c r="BX429" s="272">
        <v>2580</v>
      </c>
      <c r="BY429" s="272">
        <v>2700</v>
      </c>
      <c r="BZ429" s="272">
        <v>3840</v>
      </c>
      <c r="CA429" s="242"/>
      <c r="CC429" s="600">
        <f>BW431*1.32</f>
        <v>2923.8</v>
      </c>
      <c r="CD429" s="600">
        <f>BX431*1.22</f>
        <v>3362.3199999999997</v>
      </c>
      <c r="CE429" s="600">
        <f>BY431*1.13</f>
        <v>3495.0899999999997</v>
      </c>
      <c r="CF429" s="600">
        <f>BZ431*1.1</f>
        <v>4460.5</v>
      </c>
      <c r="CG429" s="174"/>
      <c r="CH429" s="60"/>
      <c r="CI429" s="600">
        <f>CC431*1.19</f>
        <v>3459.33</v>
      </c>
      <c r="CJ429" s="600">
        <f>CD431*1.22</f>
        <v>4140.68</v>
      </c>
      <c r="CK429" s="600">
        <f>CE431*1.22</f>
        <v>4311.9679999999998</v>
      </c>
      <c r="CL429" s="600">
        <f>CF431*1.1</f>
        <v>5430.7000000000007</v>
      </c>
      <c r="CM429" s="174"/>
      <c r="CN429" s="60"/>
      <c r="CO429" s="600">
        <f>CI431*1.18</f>
        <v>4319.9799999999996</v>
      </c>
      <c r="CP429" s="600">
        <f>CJ431*1.18</f>
        <v>4974.88</v>
      </c>
      <c r="CQ429" s="600">
        <f>CK431*1.2</f>
        <v>5338.8</v>
      </c>
      <c r="CR429" s="600">
        <f>CL431*1.14</f>
        <v>6706.619999999999</v>
      </c>
      <c r="CS429" s="557"/>
      <c r="CT429" s="345"/>
      <c r="CU429" s="600">
        <f>CO431*1.18</f>
        <v>5419.74</v>
      </c>
      <c r="CV429" s="272">
        <f>CP431*1.09</f>
        <v>5846.76</v>
      </c>
      <c r="CW429" s="272">
        <f>CQ431*1.01</f>
        <v>5424.71</v>
      </c>
      <c r="CX429" s="272">
        <f>CR431*(1-0.14)</f>
        <v>6261.66</v>
      </c>
      <c r="CY429" s="347"/>
      <c r="CZ429" s="345"/>
      <c r="DA429" s="600">
        <f>CU431*(1-0.05)</f>
        <v>5150.8999999999996</v>
      </c>
      <c r="DB429" s="600">
        <f>CV431*(1-0.01)</f>
        <v>5630.13</v>
      </c>
      <c r="DC429" s="600">
        <f>CW431*1.03</f>
        <v>5669.12</v>
      </c>
      <c r="DD429" s="600">
        <f>CX431*1.36</f>
        <v>9358.16</v>
      </c>
      <c r="DE429" s="347"/>
      <c r="DF429" s="345"/>
      <c r="DG429" s="272">
        <f>DA431*1.41</f>
        <v>7138.83</v>
      </c>
      <c r="DH429" s="600">
        <f>DB431*(1+39%)</f>
        <v>8162.0800000000008</v>
      </c>
      <c r="DI429" s="600">
        <f>DC431*(1+31%)</f>
        <v>8474.9140000000007</v>
      </c>
      <c r="DJ429" s="600">
        <f>DD431*(1+9%)</f>
        <v>10497.79</v>
      </c>
      <c r="DK429" s="347"/>
      <c r="DL429" s="345"/>
      <c r="DM429" s="272">
        <f>DG431*1.09</f>
        <v>8270.92</v>
      </c>
      <c r="DN429" s="600">
        <f>DH431*(1+4%)</f>
        <v>9041.76</v>
      </c>
      <c r="DO429" s="600">
        <f>DI431*(1+1%)</f>
        <v>8895.07</v>
      </c>
      <c r="DP429" s="600">
        <f>DJ431*(1-2%)</f>
        <v>10589.88</v>
      </c>
      <c r="DQ429" s="347"/>
      <c r="DR429" s="345"/>
      <c r="DS429" s="272">
        <f>DM431*0.98</f>
        <v>8230.0399999999991</v>
      </c>
      <c r="DT429" s="600">
        <f>DN431*(1+0%)</f>
        <v>8811</v>
      </c>
      <c r="DU429" s="600">
        <f>DO431*(1+1%)</f>
        <v>9152.9625919999999</v>
      </c>
      <c r="DV429" s="600">
        <f>DP431*(1-1%)</f>
        <v>10840.658103</v>
      </c>
      <c r="DW429" s="347"/>
      <c r="DX429" s="345"/>
      <c r="DY429" s="272">
        <f>DS431*1.02</f>
        <v>8373.18</v>
      </c>
      <c r="DZ429" s="600">
        <f>DT431*(1-1%)</f>
        <v>9021.8700000000008</v>
      </c>
      <c r="EA429" s="600">
        <f>DU431*(1+2%)</f>
        <v>9149.4</v>
      </c>
      <c r="EB429" s="600">
        <f>DV431*(1+3%)</f>
        <v>11289.83</v>
      </c>
      <c r="EC429" s="347"/>
      <c r="ED429" s="345"/>
      <c r="EE429" s="272">
        <f>DY431*1.04</f>
        <v>8716.24</v>
      </c>
      <c r="EF429" s="600">
        <f>DZ431*(1+0%)</f>
        <v>9283</v>
      </c>
      <c r="EG429" s="600">
        <f>EA431*(1+4%)</f>
        <v>9687.6</v>
      </c>
      <c r="EH429" s="600">
        <f>EB431*(1+1%-10%)</f>
        <v>10306.66</v>
      </c>
      <c r="EI429" s="347"/>
      <c r="EJ429" s="345"/>
      <c r="EK429" s="600">
        <f>+(1+0.05-0.08)*EE431</f>
        <v>8341.0300000000007</v>
      </c>
      <c r="EL429" s="600">
        <f>+(1+-0.02-0.06)*EF431</f>
        <v>8839.3599999999988</v>
      </c>
      <c r="EM429" s="600">
        <f>+(1+0-0.04)*EG431</f>
        <v>8960.64</v>
      </c>
      <c r="EN429" s="600">
        <f>+(1+-0.02-0.02)*EH431</f>
        <v>10283.52</v>
      </c>
      <c r="EO429" s="347"/>
      <c r="EP429" s="345"/>
      <c r="EQ429" s="600">
        <f>+(1+0.02)*EK431</f>
        <v>8620.02</v>
      </c>
      <c r="ER429" s="272">
        <f>EL431*1</f>
        <v>8996</v>
      </c>
      <c r="ES429" s="600">
        <f>+(1+0-0.01)*EM431</f>
        <v>8923.86</v>
      </c>
      <c r="ET429" s="600">
        <f>+(1+-0.01-0.02)*EN431</f>
        <v>10278.119999999999</v>
      </c>
      <c r="EU429" s="347"/>
      <c r="EV429" s="345"/>
      <c r="EW429" s="600"/>
      <c r="EX429" s="600">
        <f>+(1+0.02+0.02)*ER431</f>
        <v>9432.5711999999985</v>
      </c>
      <c r="EY429" s="600">
        <f>+(1+0.02+0.03)*ES431</f>
        <v>9737.7000000000007</v>
      </c>
      <c r="EZ429" s="600">
        <f>+(1-0.02+0.03)*ET431</f>
        <v>11050.41</v>
      </c>
      <c r="FA429" s="347"/>
      <c r="FB429" s="345"/>
      <c r="FC429" s="272"/>
      <c r="FD429" s="272"/>
      <c r="FE429" s="272"/>
      <c r="FF429" s="272"/>
      <c r="FG429" s="347"/>
      <c r="FH429" s="345"/>
      <c r="FI429" s="272"/>
      <c r="FJ429" s="272"/>
      <c r="FK429" s="272"/>
      <c r="FL429" s="272"/>
      <c r="FM429" s="347"/>
      <c r="FQ429"/>
      <c r="FR429"/>
      <c r="FS429"/>
      <c r="FT429"/>
      <c r="FU429"/>
      <c r="FV429"/>
      <c r="FZ429" s="27" t="s">
        <v>409</v>
      </c>
      <c r="GA429" s="1173">
        <f>DB432</f>
        <v>2.7393365509362111E-2</v>
      </c>
      <c r="GB429" s="1173">
        <f>DC432</f>
        <v>0.12478441081562242</v>
      </c>
      <c r="GC429" s="1171">
        <f>DD432</f>
        <v>1.0578493491994134E-2</v>
      </c>
      <c r="GD429" s="1173">
        <f>DG432</f>
        <v>4.8053270056035213E-2</v>
      </c>
      <c r="GE429" s="1173">
        <f>DH432</f>
        <v>5.0060873094092351E-2</v>
      </c>
      <c r="GF429" s="1173">
        <f>DI432</f>
        <v>2.3557750529909383E-2</v>
      </c>
      <c r="GG429" s="1173">
        <f>DJ432</f>
        <v>1.0812494562884023E-2</v>
      </c>
      <c r="GH429" s="1171">
        <f>DM432</f>
        <v>1.581444385872155E-3</v>
      </c>
      <c r="GI429" s="1174">
        <f>AVERAGE(GA429:GH429)</f>
        <v>3.7102762805721473E-2</v>
      </c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  <c r="HB429"/>
      <c r="HC429"/>
      <c r="HD429"/>
      <c r="HE429"/>
      <c r="HF429"/>
      <c r="HG429"/>
      <c r="HH429"/>
      <c r="HI429"/>
      <c r="HJ429"/>
      <c r="HK429"/>
      <c r="HL429"/>
      <c r="HM429"/>
      <c r="HN429"/>
      <c r="HO429"/>
      <c r="HP429"/>
      <c r="HQ429"/>
      <c r="HR429"/>
      <c r="HS429"/>
      <c r="HT429"/>
      <c r="HU429"/>
      <c r="HV429"/>
      <c r="HW429"/>
      <c r="HX429"/>
      <c r="HY429"/>
      <c r="HZ429"/>
      <c r="IA429"/>
      <c r="IB429"/>
      <c r="IC429"/>
      <c r="ID429"/>
      <c r="IE429"/>
      <c r="IF429"/>
      <c r="IG429"/>
      <c r="IH429"/>
      <c r="II429"/>
      <c r="IJ429"/>
      <c r="IK429"/>
      <c r="IL429"/>
      <c r="IM429"/>
      <c r="IN429"/>
      <c r="IO429"/>
      <c r="IP429"/>
      <c r="IQ429"/>
      <c r="IR429"/>
      <c r="IS429"/>
      <c r="IT429"/>
      <c r="IU429"/>
      <c r="IV429"/>
      <c r="IW429"/>
      <c r="IX429"/>
      <c r="IY429"/>
      <c r="IZ429"/>
      <c r="JA429"/>
      <c r="JB429"/>
      <c r="JC429"/>
      <c r="JD429"/>
      <c r="JE429"/>
      <c r="JF429"/>
      <c r="JG429"/>
      <c r="JH429"/>
      <c r="JI429"/>
      <c r="JJ429"/>
      <c r="JK429"/>
      <c r="JL429"/>
      <c r="JM429"/>
      <c r="JN429"/>
    </row>
    <row r="430" spans="1:274" s="27" customFormat="1" ht="12" customHeight="1" x14ac:dyDescent="0.2">
      <c r="A430" s="27" t="s">
        <v>458</v>
      </c>
      <c r="C430" s="242"/>
      <c r="D430" s="242"/>
      <c r="E430" s="242"/>
      <c r="F430" s="242"/>
      <c r="G430" s="242"/>
      <c r="H430" s="242"/>
      <c r="I430" s="242"/>
      <c r="J430" s="242"/>
      <c r="K430" s="242"/>
      <c r="L430" s="242"/>
      <c r="M430" s="242"/>
      <c r="O430" s="272"/>
      <c r="P430" s="272"/>
      <c r="Q430" s="272"/>
      <c r="R430" s="272"/>
      <c r="S430" s="242"/>
      <c r="U430" s="272"/>
      <c r="V430" s="272"/>
      <c r="W430" s="272"/>
      <c r="X430" s="272"/>
      <c r="Y430" s="242"/>
      <c r="AA430" s="272"/>
      <c r="AB430" s="272"/>
      <c r="AC430" s="272"/>
      <c r="AD430" s="272"/>
      <c r="AE430" s="242"/>
      <c r="AG430" s="272"/>
      <c r="AH430" s="272"/>
      <c r="AI430" s="272"/>
      <c r="AJ430" s="272"/>
      <c r="AK430" s="242"/>
      <c r="AM430" s="272"/>
      <c r="AN430" s="272"/>
      <c r="AO430" s="272"/>
      <c r="AP430" s="272"/>
      <c r="AQ430" s="242"/>
      <c r="AS430" s="272"/>
      <c r="AT430" s="272"/>
      <c r="AU430" s="272"/>
      <c r="AV430" s="272"/>
      <c r="AW430" s="242"/>
      <c r="AY430" s="272"/>
      <c r="AZ430" s="272"/>
      <c r="BA430" s="272"/>
      <c r="BB430" s="272"/>
      <c r="BC430" s="242"/>
      <c r="BE430" s="272"/>
      <c r="BF430" s="272"/>
      <c r="BG430" s="272"/>
      <c r="BH430" s="272"/>
      <c r="BI430" s="242"/>
      <c r="BK430" s="272"/>
      <c r="BL430" s="272"/>
      <c r="BM430" s="272"/>
      <c r="BN430" s="272"/>
      <c r="BO430" s="242"/>
      <c r="BQ430" s="272"/>
      <c r="BR430" s="272"/>
      <c r="BS430" s="272"/>
      <c r="BT430" s="272"/>
      <c r="BU430" s="242"/>
      <c r="BW430" s="272">
        <f>BQ431*1.09</f>
        <v>0</v>
      </c>
      <c r="BX430" s="272">
        <v>2660</v>
      </c>
      <c r="BY430" s="272">
        <v>2790</v>
      </c>
      <c r="BZ430" s="272">
        <v>3970</v>
      </c>
      <c r="CA430" s="242"/>
      <c r="CC430" s="600">
        <f>BW431*1.34</f>
        <v>2968.1000000000004</v>
      </c>
      <c r="CD430" s="600">
        <f>BX431*1.26</f>
        <v>3472.56</v>
      </c>
      <c r="CE430" s="600">
        <f>BY431*1.15</f>
        <v>3556.95</v>
      </c>
      <c r="CF430" s="600">
        <f>BZ431*1.15</f>
        <v>4663.25</v>
      </c>
      <c r="CG430" s="174"/>
      <c r="CH430" s="60"/>
      <c r="CI430" s="600">
        <f>CC431*1.2</f>
        <v>3488.4</v>
      </c>
      <c r="CJ430" s="600">
        <f>CD431*1.24</f>
        <v>4208.5600000000004</v>
      </c>
      <c r="CK430" s="600">
        <f>CE431*1.24</f>
        <v>4382.6559999999999</v>
      </c>
      <c r="CL430" s="600">
        <f>CF431*1.14</f>
        <v>5628.1799999999994</v>
      </c>
      <c r="CM430" s="174"/>
      <c r="CN430" s="60"/>
      <c r="CO430" s="600">
        <f>CI431*1.21</f>
        <v>4429.8099999999995</v>
      </c>
      <c r="CP430" s="600">
        <f>CJ431*1.21</f>
        <v>5101.3599999999997</v>
      </c>
      <c r="CQ430" s="600">
        <f>CK431*1.23</f>
        <v>5472.2699999999995</v>
      </c>
      <c r="CR430" s="600">
        <f>CL431*1.18</f>
        <v>6941.94</v>
      </c>
      <c r="CS430" s="922"/>
      <c r="CT430" s="345"/>
      <c r="CU430" s="600">
        <f>CO431*1.2</f>
        <v>5511.5999999999995</v>
      </c>
      <c r="CV430" s="272">
        <f>CP431*1.12</f>
        <v>6007.68</v>
      </c>
      <c r="CW430" s="272">
        <f>CQ431*1.04</f>
        <v>5585.84</v>
      </c>
      <c r="CX430" s="272">
        <f>CR431*(1-0.1)</f>
        <v>6552.9000000000005</v>
      </c>
      <c r="CY430" s="347"/>
      <c r="CZ430" s="345"/>
      <c r="DA430" s="600">
        <f>CU431*(1-0.03)</f>
        <v>5259.34</v>
      </c>
      <c r="DB430" s="600">
        <f>CV431*(1+0.02)</f>
        <v>5800.74</v>
      </c>
      <c r="DC430" s="600">
        <f>CW431*1.06</f>
        <v>5834.2400000000007</v>
      </c>
      <c r="DD430" s="600">
        <f>CX431*1.41</f>
        <v>9702.2099999999991</v>
      </c>
      <c r="DE430" s="347"/>
      <c r="DF430" s="345"/>
      <c r="DG430" s="272">
        <f>DA431*1.45</f>
        <v>7341.3499999999995</v>
      </c>
      <c r="DH430" s="600">
        <f>DB431*(1+43%)</f>
        <v>8396.9599999999991</v>
      </c>
      <c r="DI430" s="600">
        <f>DC431*(1+35%)</f>
        <v>8733.69</v>
      </c>
      <c r="DJ430" s="600">
        <f>DD431*(1+13%)</f>
        <v>10883.029999999999</v>
      </c>
      <c r="DK430" s="347"/>
      <c r="DL430" s="345"/>
      <c r="DM430" s="272">
        <f>DG431*1.12</f>
        <v>8498.5600000000013</v>
      </c>
      <c r="DN430" s="600">
        <f>DH431*(1+8%)</f>
        <v>9389.52</v>
      </c>
      <c r="DO430" s="600">
        <f>DI431*(1+5%)</f>
        <v>9247.35</v>
      </c>
      <c r="DP430" s="600">
        <f>DJ431*(1+2%)</f>
        <v>11022.12</v>
      </c>
      <c r="DQ430" s="347"/>
      <c r="DR430" s="345"/>
      <c r="DS430" s="272">
        <f>DM431*1.01</f>
        <v>8481.98</v>
      </c>
      <c r="DT430" s="600">
        <f>DN431*(1+4%)</f>
        <v>9163.44</v>
      </c>
      <c r="DU430" s="600">
        <f>DO431*(1+5%)</f>
        <v>9515.4561600000015</v>
      </c>
      <c r="DV430" s="600">
        <f>DP431*(1+4%)</f>
        <v>11388.166088</v>
      </c>
      <c r="DW430" s="347"/>
      <c r="DX430" s="345"/>
      <c r="DY430" s="272">
        <f>DS431*1.05</f>
        <v>8619.4500000000007</v>
      </c>
      <c r="DZ430" s="600">
        <f>DT431*(1+2%)</f>
        <v>9295.26</v>
      </c>
      <c r="EA430" s="600">
        <f>DU431*(1+6%)</f>
        <v>9508.2000000000007</v>
      </c>
      <c r="EB430" s="600">
        <f>DV431*(1+7%)</f>
        <v>11728.27</v>
      </c>
      <c r="EC430" s="347"/>
      <c r="ED430" s="345"/>
      <c r="EE430" s="272">
        <f>DY431*1.06</f>
        <v>8883.86</v>
      </c>
      <c r="EF430" s="600">
        <f>DZ431*(1+4%)</f>
        <v>9654.32</v>
      </c>
      <c r="EG430" s="600">
        <f>EA431*(1+8%)</f>
        <v>10060.200000000001</v>
      </c>
      <c r="EH430" s="600">
        <f>EB431*(1+6%-10%)</f>
        <v>10872.960000000001</v>
      </c>
      <c r="EI430" s="347"/>
      <c r="EJ430" s="345"/>
      <c r="EK430" s="600">
        <f>+(1+0.08-0.08)*EE431</f>
        <v>8599</v>
      </c>
      <c r="EL430" s="600">
        <f>+(1+0.01-0.06)*EF431</f>
        <v>9127.6</v>
      </c>
      <c r="EM430" s="600">
        <f>+(1+0.03-0.04)*EG431</f>
        <v>9240.66</v>
      </c>
      <c r="EN430" s="600">
        <f>+(1+0.01-0.02)*EH431</f>
        <v>10604.88</v>
      </c>
      <c r="EO430" s="347"/>
      <c r="EP430" s="345"/>
      <c r="EQ430" s="600">
        <f>+(1+0.05)*EK431</f>
        <v>8873.5500000000011</v>
      </c>
      <c r="ER430" s="272">
        <f>EL431*1.03</f>
        <v>9265.880000000001</v>
      </c>
      <c r="ES430" s="600">
        <f>+(1+0.03-0.01)*EM431</f>
        <v>9194.2800000000007</v>
      </c>
      <c r="ET430" s="600">
        <f>+(1+0.02-0.02)*EN431</f>
        <v>10596</v>
      </c>
      <c r="EU430" s="347"/>
      <c r="EV430" s="345"/>
      <c r="EW430" s="600"/>
      <c r="EX430" s="600">
        <f>+(1+0.04+0.02)*ER431</f>
        <v>9613.9668000000001</v>
      </c>
      <c r="EY430" s="600">
        <f>+(1+0.04+0.03)*ES431</f>
        <v>9923.18</v>
      </c>
      <c r="EZ430" s="600">
        <f>+(1+0+0.03)*ET431</f>
        <v>11269.23</v>
      </c>
      <c r="FA430" s="347"/>
      <c r="FB430" s="345"/>
      <c r="FC430" s="272"/>
      <c r="FD430" s="272"/>
      <c r="FE430" s="272"/>
      <c r="FF430" s="272"/>
      <c r="FG430" s="347"/>
      <c r="FH430" s="345"/>
      <c r="FI430" s="272"/>
      <c r="FJ430" s="272"/>
      <c r="FK430" s="272"/>
      <c r="FL430" s="272"/>
      <c r="FM430" s="347"/>
      <c r="FQ430"/>
      <c r="FR430"/>
      <c r="FS430"/>
      <c r="FT430"/>
      <c r="FU430"/>
      <c r="FV430"/>
      <c r="FZ430" s="27" t="s">
        <v>180</v>
      </c>
      <c r="GA430" s="1173">
        <f>DB488</f>
        <v>9.0816901408450779E-2</v>
      </c>
      <c r="GB430" s="1171">
        <f>DC488</f>
        <v>3.5810810810810834E-2</v>
      </c>
      <c r="GC430" s="1173">
        <f>DD488</f>
        <v>0.1088148148148147</v>
      </c>
      <c r="GD430" s="1173">
        <f>DG488</f>
        <v>0.16347222222222224</v>
      </c>
      <c r="GE430" s="1173">
        <f>DH488</f>
        <v>0.16257777777777771</v>
      </c>
      <c r="GF430" s="1173">
        <f>DI488</f>
        <v>9.5122448979591878E-2</v>
      </c>
      <c r="GG430" s="1173">
        <f>DJ488</f>
        <v>5.6070422535211328E-2</v>
      </c>
      <c r="GH430" s="1171">
        <f>DM488</f>
        <v>2.9333333333333433E-2</v>
      </c>
      <c r="GI430" s="1175">
        <f>AVERAGE(GA430:GH430)</f>
        <v>9.2752341485276613E-2</v>
      </c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  <c r="HB430"/>
      <c r="HC430"/>
      <c r="HD430"/>
      <c r="HE430"/>
      <c r="HF430"/>
      <c r="HG430"/>
      <c r="HH430"/>
      <c r="HI430"/>
      <c r="HJ430"/>
      <c r="HK430"/>
      <c r="HL430"/>
      <c r="HM430"/>
      <c r="HN430"/>
      <c r="HO430"/>
      <c r="HP430"/>
      <c r="HQ430"/>
      <c r="HR430"/>
      <c r="HS430"/>
      <c r="HT430"/>
      <c r="HU430"/>
      <c r="HV430"/>
      <c r="HW430"/>
      <c r="HX430"/>
      <c r="HY430"/>
      <c r="HZ430"/>
      <c r="IA430"/>
      <c r="IB430"/>
      <c r="IC430"/>
      <c r="ID430"/>
      <c r="IE430"/>
      <c r="IF430"/>
      <c r="IG430"/>
      <c r="IH430"/>
      <c r="II430"/>
      <c r="IJ430"/>
      <c r="IK430"/>
      <c r="IL430"/>
      <c r="IM430"/>
      <c r="IN430"/>
      <c r="IO430"/>
      <c r="IP430"/>
      <c r="IQ430"/>
      <c r="IR430"/>
      <c r="IS430"/>
      <c r="IT430"/>
      <c r="IU430"/>
      <c r="IV430"/>
      <c r="IW430"/>
      <c r="IX430"/>
      <c r="IY430"/>
      <c r="IZ430"/>
      <c r="JA430"/>
      <c r="JB430"/>
      <c r="JC430"/>
      <c r="JD430"/>
      <c r="JE430"/>
      <c r="JF430"/>
      <c r="JG430"/>
      <c r="JH430"/>
      <c r="JI430"/>
      <c r="JJ430"/>
      <c r="JK430"/>
      <c r="JL430"/>
      <c r="JM430"/>
      <c r="JN430"/>
    </row>
    <row r="431" spans="1:274" s="27" customFormat="1" ht="12" customHeight="1" x14ac:dyDescent="0.2">
      <c r="A431" s="897" t="s">
        <v>913</v>
      </c>
      <c r="B431" s="146"/>
      <c r="C431" s="384"/>
      <c r="D431" s="384"/>
      <c r="E431" s="384"/>
      <c r="F431" s="384"/>
      <c r="G431" s="384"/>
      <c r="H431" s="384"/>
      <c r="I431" s="384"/>
      <c r="J431" s="384"/>
      <c r="K431" s="384"/>
      <c r="L431" s="384"/>
      <c r="M431" s="384"/>
      <c r="N431" s="146"/>
      <c r="O431" s="923"/>
      <c r="P431" s="923"/>
      <c r="Q431" s="923"/>
      <c r="R431" s="923"/>
      <c r="S431" s="384"/>
      <c r="T431" s="146"/>
      <c r="U431" s="923"/>
      <c r="V431" s="923"/>
      <c r="W431" s="923"/>
      <c r="X431" s="923"/>
      <c r="Y431" s="384"/>
      <c r="Z431" s="146"/>
      <c r="AA431" s="923"/>
      <c r="AB431" s="923"/>
      <c r="AC431" s="923"/>
      <c r="AD431" s="923"/>
      <c r="AE431" s="384"/>
      <c r="AF431" s="146"/>
      <c r="AG431" s="923"/>
      <c r="AH431" s="923"/>
      <c r="AI431" s="923"/>
      <c r="AJ431" s="923"/>
      <c r="AK431" s="384"/>
      <c r="AL431" s="146"/>
      <c r="AM431" s="923"/>
      <c r="AN431" s="923"/>
      <c r="AO431" s="923"/>
      <c r="AP431" s="923"/>
      <c r="AQ431" s="384"/>
      <c r="AR431" s="146"/>
      <c r="AS431" s="923"/>
      <c r="AT431" s="923"/>
      <c r="AU431" s="923"/>
      <c r="AV431" s="923"/>
      <c r="AW431" s="384"/>
      <c r="AX431" s="146"/>
      <c r="AY431" s="923"/>
      <c r="AZ431" s="923"/>
      <c r="BA431" s="923"/>
      <c r="BB431" s="923"/>
      <c r="BC431" s="384"/>
      <c r="BD431" s="146"/>
      <c r="BE431" s="923"/>
      <c r="BF431" s="923"/>
      <c r="BG431" s="923"/>
      <c r="BH431" s="923"/>
      <c r="BI431" s="384"/>
      <c r="BJ431" s="146"/>
      <c r="BK431" s="923"/>
      <c r="BL431" s="923"/>
      <c r="BM431" s="923"/>
      <c r="BN431" s="923"/>
      <c r="BO431" s="384"/>
      <c r="BP431" s="146"/>
      <c r="BQ431" s="923"/>
      <c r="BR431" s="923"/>
      <c r="BS431" s="923"/>
      <c r="BT431" s="923">
        <f>Model!BT91</f>
        <v>3077</v>
      </c>
      <c r="BU431" s="384"/>
      <c r="BV431" s="146"/>
      <c r="BW431" s="923">
        <f>Model!BW91</f>
        <v>2215</v>
      </c>
      <c r="BX431" s="923">
        <f>Model!BX91</f>
        <v>2756</v>
      </c>
      <c r="BY431" s="923">
        <f>Model!BY91</f>
        <v>3093</v>
      </c>
      <c r="BZ431" s="923">
        <f>Model!BZ91</f>
        <v>4055</v>
      </c>
      <c r="CA431" s="384"/>
      <c r="CB431" s="146"/>
      <c r="CC431" s="939">
        <f>Model!CC91</f>
        <v>2907</v>
      </c>
      <c r="CD431" s="939">
        <f>Model!CD91</f>
        <v>3394</v>
      </c>
      <c r="CE431" s="939">
        <f>Model!CE91</f>
        <v>3534.4</v>
      </c>
      <c r="CF431" s="939">
        <f>Model!CF91</f>
        <v>4937</v>
      </c>
      <c r="CG431" s="898"/>
      <c r="CH431" s="924"/>
      <c r="CI431" s="939">
        <f>Model!CI91</f>
        <v>3661</v>
      </c>
      <c r="CJ431" s="939">
        <f>Model!CJ91</f>
        <v>4216</v>
      </c>
      <c r="CK431" s="939">
        <f>Model!CK91</f>
        <v>4449</v>
      </c>
      <c r="CL431" s="939">
        <f>Model!CL91</f>
        <v>5883</v>
      </c>
      <c r="CM431" s="898"/>
      <c r="CN431" s="924"/>
      <c r="CO431" s="939">
        <f>Model!CO91</f>
        <v>4593</v>
      </c>
      <c r="CP431" s="939">
        <f>Model!CP91</f>
        <v>5364</v>
      </c>
      <c r="CQ431" s="939">
        <f>Model!CQ91</f>
        <v>5371</v>
      </c>
      <c r="CR431" s="939">
        <f>Model!CR91</f>
        <v>7281</v>
      </c>
      <c r="CS431" s="925"/>
      <c r="CT431" s="146"/>
      <c r="CU431" s="939">
        <f>Model!CU91</f>
        <v>5422</v>
      </c>
      <c r="CV431" s="939">
        <f>Model!CV91</f>
        <v>5687</v>
      </c>
      <c r="CW431" s="939">
        <f>Model!CW91</f>
        <v>5504</v>
      </c>
      <c r="CX431" s="939">
        <f>Model!CX91</f>
        <v>6881</v>
      </c>
      <c r="CY431" s="926"/>
      <c r="CZ431" s="146"/>
      <c r="DA431" s="939">
        <f>Model!DA91</f>
        <v>5063</v>
      </c>
      <c r="DB431" s="939">
        <f>Model!DB91</f>
        <v>5872</v>
      </c>
      <c r="DC431" s="939">
        <f>Model!DC91</f>
        <v>6469.4</v>
      </c>
      <c r="DD431" s="939">
        <f>Model!DD91</f>
        <v>9631</v>
      </c>
      <c r="DE431" s="926"/>
      <c r="DF431" s="146"/>
      <c r="DG431" s="939">
        <f>Model!DG91</f>
        <v>7588</v>
      </c>
      <c r="DH431" s="939">
        <f>Model!DH91</f>
        <v>8694</v>
      </c>
      <c r="DI431" s="939">
        <f>Model!DI91</f>
        <v>8807</v>
      </c>
      <c r="DJ431" s="939">
        <f>Model!DJ91</f>
        <v>10806</v>
      </c>
      <c r="DK431" s="926"/>
      <c r="DL431" s="146"/>
      <c r="DM431" s="939">
        <f>Model!DM91</f>
        <v>8398</v>
      </c>
      <c r="DN431" s="939">
        <f>Model!DN91</f>
        <v>8811</v>
      </c>
      <c r="DO431" s="939">
        <f>Model!DO91</f>
        <v>9062.3392000000003</v>
      </c>
      <c r="DP431" s="939">
        <f>Model!DP91</f>
        <v>10950.1597</v>
      </c>
      <c r="DQ431" s="926"/>
      <c r="DR431" s="146"/>
      <c r="DS431" s="939">
        <f>Model!DS91</f>
        <v>8209</v>
      </c>
      <c r="DT431" s="939">
        <f>Model!DT91</f>
        <v>9113</v>
      </c>
      <c r="DU431" s="939">
        <f>Model!DU91</f>
        <v>8970</v>
      </c>
      <c r="DV431" s="939">
        <f>Model!DV91</f>
        <v>10961</v>
      </c>
      <c r="DW431" s="926"/>
      <c r="DX431" s="146"/>
      <c r="DY431" s="939">
        <f>Model!DY91</f>
        <v>8381</v>
      </c>
      <c r="DZ431" s="939">
        <f>Model!DZ91</f>
        <v>9283</v>
      </c>
      <c r="EA431" s="939">
        <f>Model!EA91</f>
        <v>9315</v>
      </c>
      <c r="EB431" s="939">
        <f>Model!EB91</f>
        <v>11326</v>
      </c>
      <c r="EC431" s="926"/>
      <c r="ED431" s="146"/>
      <c r="EE431" s="939">
        <f>Model!EE91</f>
        <v>8599</v>
      </c>
      <c r="EF431" s="939">
        <f>Model!EF91</f>
        <v>9608</v>
      </c>
      <c r="EG431" s="939">
        <f>Model!EG91</f>
        <v>9334</v>
      </c>
      <c r="EH431" s="939">
        <f>Model!EH91</f>
        <v>10712</v>
      </c>
      <c r="EI431" s="926"/>
      <c r="EJ431" s="146"/>
      <c r="EK431" s="939">
        <f>Model!EK91</f>
        <v>8451</v>
      </c>
      <c r="EL431" s="939">
        <f>Model!EL91</f>
        <v>8996</v>
      </c>
      <c r="EM431" s="939">
        <f>Model!EM91</f>
        <v>9014</v>
      </c>
      <c r="EN431" s="939">
        <f>Model!EN91</f>
        <v>10596</v>
      </c>
      <c r="EO431" s="926"/>
      <c r="EP431" s="146"/>
      <c r="EQ431" s="939">
        <f>Model!EQ91</f>
        <v>8613</v>
      </c>
      <c r="ER431" s="939">
        <f>Model!ER91</f>
        <v>9069.7799999999988</v>
      </c>
      <c r="ES431" s="939">
        <f>Model!ES91</f>
        <v>9274</v>
      </c>
      <c r="ET431" s="939">
        <f>Model!ET91</f>
        <v>10941</v>
      </c>
      <c r="EU431" s="1786"/>
      <c r="EV431" s="1787"/>
      <c r="EW431" s="939">
        <f>Model!EW91</f>
        <v>9212</v>
      </c>
      <c r="EX431" s="939">
        <f>Model!EX91</f>
        <v>9630</v>
      </c>
      <c r="EY431" s="939">
        <f>Model!EY91</f>
        <v>9776</v>
      </c>
      <c r="EZ431" s="939">
        <f>Model!EZ91</f>
        <v>11189.672666097718</v>
      </c>
      <c r="FA431" s="1786"/>
      <c r="FB431" s="1787"/>
      <c r="FC431" s="1785"/>
      <c r="FD431" s="1785"/>
      <c r="FE431" s="1785"/>
      <c r="FF431" s="1785"/>
      <c r="FG431" s="1786"/>
      <c r="FH431" s="1787"/>
      <c r="FI431" s="1785"/>
      <c r="FJ431" s="1785"/>
      <c r="FK431" s="1785"/>
      <c r="FL431" s="1785"/>
      <c r="FM431" s="1786"/>
      <c r="FQ431"/>
      <c r="FR431"/>
      <c r="FS431"/>
      <c r="FT431"/>
      <c r="FU431"/>
      <c r="FV431"/>
      <c r="FZ431" s="32" t="s">
        <v>891</v>
      </c>
      <c r="GA431" s="60"/>
      <c r="GB431" s="60"/>
      <c r="GH431" s="24"/>
      <c r="GI431" s="24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  <c r="HB431"/>
      <c r="HC431"/>
      <c r="HD431"/>
      <c r="HE431"/>
      <c r="HF431"/>
      <c r="HG431"/>
      <c r="HH431"/>
      <c r="HI431"/>
      <c r="HJ431"/>
      <c r="HK431"/>
      <c r="HL431"/>
      <c r="HM431"/>
      <c r="HN431"/>
      <c r="HO431"/>
      <c r="HP431"/>
      <c r="HQ431"/>
      <c r="HR431"/>
      <c r="HS431"/>
      <c r="HT431"/>
      <c r="HU431"/>
      <c r="HV431"/>
      <c r="HW431"/>
      <c r="HX431"/>
      <c r="HY431"/>
      <c r="HZ431"/>
      <c r="IA431"/>
      <c r="IB431"/>
      <c r="IC431"/>
      <c r="ID431"/>
      <c r="IE431"/>
      <c r="IF431"/>
      <c r="IG431"/>
      <c r="IH431"/>
      <c r="II431"/>
      <c r="IJ431"/>
      <c r="IK431"/>
      <c r="IL431"/>
      <c r="IM431"/>
      <c r="IN431"/>
      <c r="IO431"/>
      <c r="IP431"/>
      <c r="IQ431"/>
      <c r="IR431"/>
      <c r="IS431"/>
      <c r="IT431"/>
      <c r="IU431"/>
      <c r="IV431"/>
      <c r="IW431"/>
      <c r="IX431"/>
      <c r="IY431"/>
      <c r="IZ431"/>
      <c r="JA431"/>
      <c r="JB431"/>
      <c r="JC431"/>
      <c r="JD431"/>
      <c r="JE431"/>
      <c r="JF431"/>
      <c r="JG431"/>
      <c r="JH431"/>
      <c r="JI431"/>
      <c r="JJ431"/>
      <c r="JK431"/>
      <c r="JL431"/>
      <c r="JM431"/>
      <c r="JN431"/>
    </row>
    <row r="432" spans="1:274" s="27" customFormat="1" ht="12" customHeight="1" x14ac:dyDescent="0.2">
      <c r="A432" s="32" t="s">
        <v>676</v>
      </c>
      <c r="C432" s="242"/>
      <c r="D432" s="242"/>
      <c r="E432" s="242"/>
      <c r="F432" s="242"/>
      <c r="G432" s="242"/>
      <c r="H432" s="242"/>
      <c r="I432" s="242"/>
      <c r="J432" s="242"/>
      <c r="K432" s="242"/>
      <c r="L432" s="242"/>
      <c r="M432" s="242"/>
      <c r="O432" s="272"/>
      <c r="P432" s="272"/>
      <c r="Q432" s="272"/>
      <c r="R432" s="272"/>
      <c r="S432" s="242"/>
      <c r="U432" s="272"/>
      <c r="V432" s="272"/>
      <c r="W432" s="272"/>
      <c r="X432" s="272"/>
      <c r="Y432" s="242"/>
      <c r="AA432" s="272"/>
      <c r="AB432" s="272"/>
      <c r="AC432" s="272"/>
      <c r="AD432" s="272"/>
      <c r="AE432" s="242"/>
      <c r="AG432" s="272"/>
      <c r="AH432" s="272"/>
      <c r="AI432" s="272"/>
      <c r="AJ432" s="272"/>
      <c r="AK432" s="242"/>
      <c r="AM432" s="272"/>
      <c r="AN432" s="272"/>
      <c r="AO432" s="272"/>
      <c r="AP432" s="272"/>
      <c r="AQ432" s="242"/>
      <c r="AS432" s="272"/>
      <c r="AT432" s="272"/>
      <c r="AU432" s="272"/>
      <c r="AV432" s="272"/>
      <c r="AW432" s="242"/>
      <c r="AY432" s="272"/>
      <c r="AZ432" s="272"/>
      <c r="BA432" s="272"/>
      <c r="BB432" s="272"/>
      <c r="BC432" s="242"/>
      <c r="BE432" s="272"/>
      <c r="BF432" s="272"/>
      <c r="BG432" s="272"/>
      <c r="BH432" s="272"/>
      <c r="BI432" s="242"/>
      <c r="BK432" s="272"/>
      <c r="BL432" s="272"/>
      <c r="BM432" s="272"/>
      <c r="BN432" s="272"/>
      <c r="BO432" s="242"/>
      <c r="BQ432" s="272"/>
      <c r="BR432" s="272"/>
      <c r="BS432" s="272"/>
      <c r="BT432" s="272"/>
      <c r="BU432" s="242"/>
      <c r="BW432" s="927"/>
      <c r="BX432" s="927">
        <f>BX431/AVERAGE(BX429:BX430)-1</f>
        <v>5.1908396946564794E-2</v>
      </c>
      <c r="BY432" s="927">
        <f>BY431/AVERAGE(BY429:BY430)-1</f>
        <v>0.12677595628415306</v>
      </c>
      <c r="BZ432" s="927">
        <f>BZ431/AVERAGE(BZ429:BZ430)-1</f>
        <v>3.8412291933418663E-2</v>
      </c>
      <c r="CA432" s="242"/>
      <c r="CC432" s="927">
        <f>CC431/AVERAGE(CC429:CC430)-1</f>
        <v>-1.3221541438245832E-2</v>
      </c>
      <c r="CD432" s="927">
        <f>CD431/AVERAGE(CD429:CD430)-1</f>
        <v>-6.8589353434148626E-3</v>
      </c>
      <c r="CE432" s="927">
        <f>CE431/AVERAGE(CE429:CE430)-1</f>
        <v>2.3766172625228066E-3</v>
      </c>
      <c r="CF432" s="927">
        <f>CF431/AVERAGE(CF429:CF430)-1</f>
        <v>8.2230442526373571E-2</v>
      </c>
      <c r="CG432" s="347"/>
      <c r="CI432" s="927">
        <f>CI431/AVERAGE(CI429:CI430)-1</f>
        <v>5.386939331263596E-2</v>
      </c>
      <c r="CJ432" s="927">
        <f>CJ431/AVERAGE(CJ429:CJ430)-1</f>
        <v>9.9122794410029247E-3</v>
      </c>
      <c r="CK432" s="927">
        <f>CK431/AVERAGE(CK429:CK430)-1</f>
        <v>2.3391005752520178E-2</v>
      </c>
      <c r="CL432" s="927">
        <f>CL431/AVERAGE(CL429:CL430)-1</f>
        <v>6.3941375618507434E-2</v>
      </c>
      <c r="CM432" s="474"/>
      <c r="CO432" s="927">
        <f>CO431/AVERAGE(CO429:CO430)-1</f>
        <v>4.9853767919001646E-2</v>
      </c>
      <c r="CP432" s="927">
        <f>CP431/AVERAGE(CP429:CP430)-1</f>
        <v>6.4682857891435797E-2</v>
      </c>
      <c r="CQ432" s="927">
        <f>CQ431/AVERAGE(CQ429:CQ430)-1</f>
        <v>-6.3888218279966047E-3</v>
      </c>
      <c r="CR432" s="927">
        <f>CR431/AVERAGE(CR429:CR430)-1</f>
        <v>6.6925741616698176E-2</v>
      </c>
      <c r="CS432" s="557"/>
      <c r="CT432" s="345"/>
      <c r="CU432" s="927">
        <f>CU431/AVERAGE(CU429:CU430)-1</f>
        <v>-7.9898713241012276E-3</v>
      </c>
      <c r="CV432" s="927">
        <f>CV431/AVERAGE(CV429:CV430)-1</f>
        <v>-4.0528274638025996E-2</v>
      </c>
      <c r="CW432" s="927">
        <f>CW431/AVERAGE(CW429:CW430)-1</f>
        <v>-2.3159606014222511E-4</v>
      </c>
      <c r="CX432" s="927">
        <f>CX431/AVERAGE(CX429:CX430)-1</f>
        <v>7.3934649336379721E-2</v>
      </c>
      <c r="CY432" s="347"/>
      <c r="CZ432" s="345"/>
      <c r="DA432" s="927">
        <f>DA431/AVERAGE(DA429:DA430)-1</f>
        <v>-2.7303885405139505E-2</v>
      </c>
      <c r="DB432" s="927">
        <f>DB431/AVERAGE(DB429:DB430)-1</f>
        <v>2.7393365509362111E-2</v>
      </c>
      <c r="DC432" s="927">
        <f>DC431/AVERAGE(DC429:DC430)-1</f>
        <v>0.12478441081562242</v>
      </c>
      <c r="DD432" s="927">
        <f>DD431/AVERAGE(DD429:DD430)-1</f>
        <v>1.0578493491994134E-2</v>
      </c>
      <c r="DE432" s="347"/>
      <c r="DF432" s="345"/>
      <c r="DG432" s="927">
        <f>DG431/AVERAGE(DG429:DG430)-1</f>
        <v>4.8053270056035213E-2</v>
      </c>
      <c r="DH432" s="927">
        <f>DH431/AVERAGE(DH429:DH430)-1</f>
        <v>5.0060873094092351E-2</v>
      </c>
      <c r="DI432" s="927">
        <f>DI431/AVERAGE(DI429:DI430)-1</f>
        <v>2.3557750529909383E-2</v>
      </c>
      <c r="DJ432" s="927">
        <f>DJ431/AVERAGE(DJ429:DJ430)-1</f>
        <v>1.0812494562884023E-2</v>
      </c>
      <c r="DK432" s="347"/>
      <c r="DL432" s="345"/>
      <c r="DM432" s="927">
        <f>DM431/AVERAGE(DM429:DM430)-1</f>
        <v>1.581444385872155E-3</v>
      </c>
      <c r="DN432" s="927">
        <f>DN431/AVERAGE(DN429:DN430)-1</f>
        <v>-4.3907965154888817E-2</v>
      </c>
      <c r="DO432" s="927">
        <f>DO431/AVERAGE(DO429:DO430)-1</f>
        <v>-9.7790702673605789E-4</v>
      </c>
      <c r="DP432" s="927">
        <f>DP431/AVERAGE(DP429:DP430)-1</f>
        <v>1.3340708865445139E-2</v>
      </c>
      <c r="DQ432" s="347"/>
      <c r="DR432" s="345"/>
      <c r="DS432" s="927">
        <f>DS431/AVERAGE(DS429:DS430)-1</f>
        <v>-1.7593325043890329E-2</v>
      </c>
      <c r="DT432" s="927">
        <f>DT431/AVERAGE(DT429:DT430)-1</f>
        <v>1.3995429064827425E-2</v>
      </c>
      <c r="DU432" s="927">
        <f>DU431/AVERAGE(DU429:DU430)-1</f>
        <v>-3.9018770774143063E-2</v>
      </c>
      <c r="DV432" s="927">
        <f>DV431/AVERAGE(DV429:DV430)-1</f>
        <v>-1.3802987884722562E-2</v>
      </c>
      <c r="DW432" s="347"/>
      <c r="DX432" s="345"/>
      <c r="DY432" s="927">
        <f>DY431/AVERAGE(DY429:DY430)-1</f>
        <v>-1.3572354603142767E-2</v>
      </c>
      <c r="DZ432" s="927">
        <f>DZ431/AVERAGE(DZ429:DZ430)-1</f>
        <v>1.3586735476573075E-2</v>
      </c>
      <c r="EA432" s="927">
        <f>EA431/AVERAGE(EA429:EA430)-1</f>
        <v>-1.4792899408283544E-3</v>
      </c>
      <c r="EB432" s="927">
        <f>EB431/AVERAGE(EB429:EB430)-1</f>
        <v>-1.5904874859349771E-2</v>
      </c>
      <c r="EC432" s="347"/>
      <c r="ED432" s="345"/>
      <c r="EE432" s="927">
        <f>EE431/AVERAGE(EE429:EE430)-1</f>
        <v>-2.2846461099652715E-2</v>
      </c>
      <c r="EF432" s="927">
        <f>EF431/AVERAGE(EF429:EF430)-1</f>
        <v>1.4715915451605666E-2</v>
      </c>
      <c r="EG432" s="1730">
        <f>EG431/AVERAGE(EG429:EG430)-1</f>
        <v>-5.4679508603490135E-2</v>
      </c>
      <c r="EH432" s="1730">
        <f>EH431/AVERAGE(EH429:EH430)-1</f>
        <v>1.1538450642645914E-2</v>
      </c>
      <c r="EI432" s="347"/>
      <c r="EJ432" s="345"/>
      <c r="EK432" s="1730">
        <f>EK431/AVERAGE(EK429:EK430)-1</f>
        <v>-2.244978314678292E-3</v>
      </c>
      <c r="EL432" s="927">
        <f>EL431/AVERAGE(EL429:EL430)-1</f>
        <v>1.3936692684795027E-3</v>
      </c>
      <c r="EM432" s="927">
        <f>EM431/AVERAGE(EM429:EM430)-1</f>
        <v>-9.5212979292687017E-3</v>
      </c>
      <c r="EN432" s="927">
        <f>EN431/AVERAGE(EN429:EN430)-1</f>
        <v>1.4534382719595396E-2</v>
      </c>
      <c r="EO432" s="347"/>
      <c r="EP432" s="345"/>
      <c r="EQ432" s="1730">
        <f>EQ431/AVERAGE(EQ429:EQ430)-1</f>
        <v>-1.5295334228519364E-2</v>
      </c>
      <c r="ER432" s="927">
        <f>ER431/AVERAGE(ER429:ER430)-1</f>
        <v>-6.6981055619685925E-3</v>
      </c>
      <c r="ES432" s="927">
        <f>ES431/AVERAGE(ES429:ES430)-1</f>
        <v>2.3725393445463983E-2</v>
      </c>
      <c r="ET432" s="927">
        <f>ET431/AVERAGE(ET429:ET430)-1</f>
        <v>4.8283712079838725E-2</v>
      </c>
      <c r="EU432" s="347"/>
      <c r="EV432" s="345"/>
      <c r="EW432" s="1730"/>
      <c r="EX432" s="1730">
        <f>EX431/AVERAGE(EX429:EX430)-1</f>
        <v>1.1207391075480411E-2</v>
      </c>
      <c r="EY432" s="1730">
        <f>EY431/AVERAGE(EY429:EY430)-1</f>
        <v>-5.537900643307947E-3</v>
      </c>
      <c r="EZ432" s="1730">
        <f>EZ431/AVERAGE(EZ429:EZ430)-1</f>
        <v>2.6750132258153148E-3</v>
      </c>
      <c r="FA432" s="347"/>
      <c r="FB432" s="345"/>
      <c r="FC432" s="272"/>
      <c r="FD432" s="272"/>
      <c r="FE432" s="272"/>
      <c r="FF432" s="272"/>
      <c r="FG432" s="347"/>
      <c r="FH432" s="345"/>
      <c r="FI432" s="272"/>
      <c r="FJ432" s="272"/>
      <c r="FK432" s="272"/>
      <c r="FL432" s="272"/>
      <c r="FM432" s="347"/>
      <c r="FQ432"/>
      <c r="FR432"/>
      <c r="FS432"/>
      <c r="FT432"/>
      <c r="FU432"/>
      <c r="FV432"/>
      <c r="GB432" s="24"/>
      <c r="GC432" s="24"/>
      <c r="GD432" s="24"/>
      <c r="GE432" s="24"/>
      <c r="GF432" s="24"/>
      <c r="GG432" s="24"/>
      <c r="GH432" s="24"/>
      <c r="GI432" s="24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  <c r="HB432"/>
      <c r="HC432"/>
      <c r="HD432"/>
      <c r="HE432"/>
      <c r="HF432"/>
      <c r="HG432"/>
      <c r="HH432"/>
      <c r="HI432"/>
      <c r="HJ432"/>
      <c r="HK432"/>
      <c r="HL432"/>
      <c r="HM432"/>
      <c r="HN432"/>
      <c r="HO432"/>
      <c r="HP432"/>
      <c r="HQ432"/>
      <c r="HR432"/>
      <c r="HS432"/>
      <c r="HT432"/>
      <c r="HU432"/>
      <c r="HV432"/>
      <c r="HW432"/>
      <c r="HX432"/>
      <c r="HY432"/>
      <c r="HZ432"/>
      <c r="IA432"/>
      <c r="IB432"/>
      <c r="IC432"/>
      <c r="ID432"/>
      <c r="IE432"/>
      <c r="IF432"/>
      <c r="IG432"/>
      <c r="IH432"/>
      <c r="II432"/>
      <c r="IJ432"/>
      <c r="IK432"/>
      <c r="IL432"/>
      <c r="IM432"/>
      <c r="IN432"/>
      <c r="IO432"/>
      <c r="IP432"/>
      <c r="IQ432"/>
      <c r="IR432"/>
      <c r="IS432"/>
      <c r="IT432"/>
      <c r="IU432"/>
      <c r="IV432"/>
      <c r="IW432"/>
      <c r="IX432"/>
      <c r="IY432"/>
      <c r="IZ432"/>
      <c r="JA432"/>
      <c r="JB432"/>
      <c r="JC432"/>
      <c r="JD432"/>
      <c r="JE432"/>
      <c r="JF432"/>
      <c r="JG432"/>
      <c r="JH432"/>
      <c r="JI432"/>
      <c r="JJ432"/>
      <c r="JK432"/>
      <c r="JL432"/>
      <c r="JM432"/>
      <c r="JN432"/>
    </row>
    <row r="433" spans="1:274" s="27" customFormat="1" ht="12" customHeight="1" x14ac:dyDescent="0.2">
      <c r="A433" s="32" t="s">
        <v>657</v>
      </c>
      <c r="C433" s="242"/>
      <c r="D433" s="242"/>
      <c r="E433" s="242"/>
      <c r="F433" s="242"/>
      <c r="G433" s="242"/>
      <c r="H433" s="242"/>
      <c r="I433" s="242"/>
      <c r="J433" s="242"/>
      <c r="K433" s="242"/>
      <c r="L433" s="242"/>
      <c r="M433" s="242"/>
      <c r="O433" s="272"/>
      <c r="P433" s="272"/>
      <c r="Q433" s="272"/>
      <c r="R433" s="272"/>
      <c r="S433" s="242"/>
      <c r="U433" s="272"/>
      <c r="V433" s="272"/>
      <c r="W433" s="272"/>
      <c r="X433" s="272"/>
      <c r="Y433" s="242"/>
      <c r="AA433" s="272"/>
      <c r="AB433" s="272"/>
      <c r="AC433" s="272"/>
      <c r="AD433" s="272"/>
      <c r="AE433" s="242"/>
      <c r="AG433" s="272"/>
      <c r="AH433" s="272"/>
      <c r="AI433" s="272"/>
      <c r="AJ433" s="272"/>
      <c r="AK433" s="242"/>
      <c r="AM433" s="272"/>
      <c r="AN433" s="272"/>
      <c r="AO433" s="272"/>
      <c r="AP433" s="272"/>
      <c r="AQ433" s="242"/>
      <c r="AS433" s="272"/>
      <c r="AT433" s="272"/>
      <c r="AU433" s="272"/>
      <c r="AV433" s="272"/>
      <c r="AW433" s="242"/>
      <c r="AY433" s="272"/>
      <c r="AZ433" s="272"/>
      <c r="BA433" s="272"/>
      <c r="BB433" s="272"/>
      <c r="BC433" s="242"/>
      <c r="BE433" s="272"/>
      <c r="BF433" s="272"/>
      <c r="BG433" s="272"/>
      <c r="BH433" s="272"/>
      <c r="BI433" s="242"/>
      <c r="BK433" s="272"/>
      <c r="BL433" s="272"/>
      <c r="BM433" s="272"/>
      <c r="BN433" s="272"/>
      <c r="BO433" s="242"/>
      <c r="BQ433" s="272"/>
      <c r="BR433" s="272"/>
      <c r="BS433" s="272"/>
      <c r="BT433" s="272"/>
      <c r="BU433" s="242"/>
      <c r="BW433" s="927"/>
      <c r="BX433" s="927">
        <f>(AVERAGE(BX429:BX430)/BW431-1)</f>
        <v>0.182844243792325</v>
      </c>
      <c r="BY433" s="927">
        <f>(AVERAGE(BY429:BY430)/BX431-1)</f>
        <v>-3.9912917271407444E-3</v>
      </c>
      <c r="BZ433" s="927">
        <f>(AVERAGE(BZ429:BZ430)/BY431-1)</f>
        <v>0.26252828968638853</v>
      </c>
      <c r="CA433" s="242"/>
      <c r="CC433" s="927">
        <f>(AVERAGE(CC429:CC430)/BZ431-1)</f>
        <v>-0.27350184956843393</v>
      </c>
      <c r="CD433" s="927">
        <f>(AVERAGE(CD429:CD430)/CC431-1)</f>
        <v>0.1755899552803577</v>
      </c>
      <c r="CE433" s="927">
        <f>(AVERAGE(CE429:CE430)/CD431-1)</f>
        <v>3.8898055391867858E-2</v>
      </c>
      <c r="CF433" s="927">
        <f>(AVERAGE(CF429:CF430)/CE431-1)</f>
        <v>0.29070705070167491</v>
      </c>
      <c r="CG433" s="347"/>
      <c r="CI433" s="927">
        <f>(AVERAGE(CI429:CI430)/CF431-1)</f>
        <v>-0.29636115049625278</v>
      </c>
      <c r="CJ433" s="927">
        <f>(AVERAGE(CJ429:CJ430)/CI431-1)</f>
        <v>0.14029500136574735</v>
      </c>
      <c r="CK433" s="927">
        <f>(AVERAGE(CK429:CK430)/CJ431-1)</f>
        <v>3.1146110056925913E-2</v>
      </c>
      <c r="CL433" s="927">
        <f>(AVERAGE(CL429:CL430)/CK431-1)</f>
        <v>0.24285007866936392</v>
      </c>
      <c r="CM433" s="474"/>
      <c r="CO433" s="927">
        <f>(AVERAGE(CO429:CO430)/CL431-1)</f>
        <v>-0.25634965153833089</v>
      </c>
      <c r="CP433" s="927">
        <f>(AVERAGE(CP429:CP430)/CO431-1)</f>
        <v>9.6912693228826452E-2</v>
      </c>
      <c r="CQ433" s="927">
        <f>(AVERAGE(CQ429:CQ430)/CP431-1)</f>
        <v>7.7432885906039139E-3</v>
      </c>
      <c r="CR433" s="927">
        <f>(AVERAGE(CR429:CR430)/CQ431-1)</f>
        <v>0.27057903556134777</v>
      </c>
      <c r="CS433" s="557"/>
      <c r="CT433" s="345"/>
      <c r="CU433" s="927">
        <f>(AVERAGE(CU429:CU430)/CR431-1)</f>
        <v>-0.24932426864441692</v>
      </c>
      <c r="CV433" s="927">
        <f>(AVERAGE(CV429:CV430)/CU431-1)</f>
        <v>9.3179638509774954E-2</v>
      </c>
      <c r="CW433" s="927">
        <f>(AVERAGE(CW429:CW430)/CV431-1)</f>
        <v>-3.1954457534728364E-2</v>
      </c>
      <c r="CX433" s="927">
        <f>(AVERAGE(CX429:CX430)/CW431-1)</f>
        <v>0.16411337209302346</v>
      </c>
      <c r="CY433" s="347"/>
      <c r="CZ433" s="345"/>
      <c r="DA433" s="927">
        <f>(AVERAGE(DA429:DA430)/CX431-1)</f>
        <v>-0.24355180933003928</v>
      </c>
      <c r="DB433" s="927">
        <f>(AVERAGE(DB429:DB430)/DA431-1)</f>
        <v>0.12886332214102292</v>
      </c>
      <c r="DC433" s="927">
        <f>(AVERAGE(DC429:DC430)/DB431-1)</f>
        <v>-2.0490463215258825E-2</v>
      </c>
      <c r="DD433" s="927">
        <f>(AVERAGE(DD429:DD430)/DC431-1)</f>
        <v>0.47311729062973384</v>
      </c>
      <c r="DE433" s="347"/>
      <c r="DF433" s="345"/>
      <c r="DG433" s="927">
        <f>(AVERAGE(DG429:DG430)/DD431-1)</f>
        <v>-0.24825147959713423</v>
      </c>
      <c r="DH433" s="927">
        <f>(AVERAGE(DH429:DH430)/DG431-1)</f>
        <v>9.1133368476542076E-2</v>
      </c>
      <c r="DI433" s="927">
        <f>(AVERAGE(DI429:DI430)/DH431-1)</f>
        <v>-1.0317230273752087E-2</v>
      </c>
      <c r="DJ433" s="927">
        <f>(AVERAGE(DJ429:DJ430)/DI431-1)</f>
        <v>0.21385375269671858</v>
      </c>
      <c r="DK433" s="347"/>
      <c r="DL433" s="345"/>
      <c r="DM433" s="927">
        <f>(AVERAGE(DM429:DM430)/DJ431-1)</f>
        <v>-0.22406625948547088</v>
      </c>
      <c r="DN433" s="927">
        <f>(AVERAGE(DN429:DN430)/DM431-1)</f>
        <v>9.7361276494403404E-2</v>
      </c>
      <c r="DO433" s="927">
        <f>(AVERAGE(DO429:DO430)/DN431-1)</f>
        <v>2.9532402678470016E-2</v>
      </c>
      <c r="DP433" s="927">
        <f>(AVERAGE(DP429:DP430)/DO431-1)</f>
        <v>0.19240736431494421</v>
      </c>
      <c r="DQ433" s="347"/>
      <c r="DR433" s="345"/>
      <c r="DS433" s="927">
        <f>(AVERAGE(DS429:DS430)/DP431-1)</f>
        <v>-0.23690519326398518</v>
      </c>
      <c r="DT433" s="927">
        <f>(AVERAGE(DT429:DT430)/DS431-1)</f>
        <v>9.4800828359118183E-2</v>
      </c>
      <c r="DU433" s="927">
        <f>(AVERAGE(DU429:DU430)/DT431-1)</f>
        <v>2.4274045429606206E-2</v>
      </c>
      <c r="DV433" s="927">
        <f>(AVERAGE(DV429:DV430)/DU431-1)</f>
        <v>0.23906489358974348</v>
      </c>
      <c r="DW433" s="347"/>
      <c r="DX433" s="345"/>
      <c r="DY433" s="927">
        <f>(AVERAGE(DY429:DY430)/DV431-1)</f>
        <v>-0.22485950187026726</v>
      </c>
      <c r="DZ433" s="927">
        <f>(AVERAGE(DZ429:DZ430)/DY431-1)</f>
        <v>9.2777114902756308E-2</v>
      </c>
      <c r="EA433" s="927">
        <f>(AVERAGE(EA429:EA430)/DZ431-1)</f>
        <v>4.9337498653452272E-3</v>
      </c>
      <c r="EB433" s="927">
        <f>(AVERAGE(EB429:EB430)/EA431-1)</f>
        <v>0.23553945249597419</v>
      </c>
      <c r="EC433" s="347"/>
      <c r="ED433" s="345"/>
      <c r="EE433" s="927">
        <f>(AVERAGE(EE429:EE430)/EB431-1)</f>
        <v>-0.22302224969097661</v>
      </c>
      <c r="EF433" s="927">
        <f>(AVERAGE(EF429:EF430)/EE431-1)</f>
        <v>0.1011350156994999</v>
      </c>
      <c r="EG433" s="927">
        <f>(AVERAGE(EG429:EG430)/EF431-1)</f>
        <v>2.7674854288093353E-2</v>
      </c>
      <c r="EH433" s="927">
        <f>(AVERAGE(EH429:EH430)/EG431-1)</f>
        <v>0.13454146132419131</v>
      </c>
      <c r="EI433" s="347"/>
      <c r="EJ433" s="345"/>
      <c r="EK433" s="927">
        <f>(AVERAGE(EK429:EK430)/EH431-1)</f>
        <v>-0.2092965832710979</v>
      </c>
      <c r="EL433" s="927">
        <f>(AVERAGE(EL429:EL430)/EK431-1)</f>
        <v>6.3007928055851314E-2</v>
      </c>
      <c r="EM433" s="927">
        <f>(AVERAGE(EM429:EM430)/EL431-1)</f>
        <v>1.1632947976878638E-2</v>
      </c>
      <c r="EN433" s="927">
        <f>(AVERAGE(EN429:EN430)/EM431-1)</f>
        <v>0.15866429997781228</v>
      </c>
      <c r="EO433" s="347"/>
      <c r="EP433" s="345"/>
      <c r="EQ433" s="927">
        <f>(AVERAGE(EQ429:EQ430)/EN431-1)</f>
        <v>-0.1745201019252548</v>
      </c>
      <c r="ER433" s="927">
        <f>(AVERAGE(ER429:ER430)/EQ431-1)</f>
        <v>6.0134680134680263E-2</v>
      </c>
      <c r="ES433" s="927">
        <f>(AVERAGE(ES429:ES430)/ER431-1)</f>
        <v>-1.1808445188306038E-3</v>
      </c>
      <c r="ET433" s="927">
        <f>(AVERAGE(ET429:ET430)/ES431-1)</f>
        <v>0.12541082596506348</v>
      </c>
      <c r="EU433" s="347"/>
      <c r="EV433" s="345"/>
      <c r="EW433" s="927"/>
      <c r="EX433" s="927">
        <f>(AVERAGE(EX429:EX430)/EW431-1)</f>
        <v>3.3789513677811467E-2</v>
      </c>
      <c r="EY433" s="927">
        <f>(AVERAGE(EY429:EY430)/EX431-1)</f>
        <v>2.0814122533748813E-2</v>
      </c>
      <c r="EZ433" s="927">
        <f>(AVERAGE(EZ429:EZ430)/EY431-1)</f>
        <v>0.14155278232405899</v>
      </c>
      <c r="FA433" s="347"/>
      <c r="FB433" s="345"/>
      <c r="FC433" s="272"/>
      <c r="FD433" s="272"/>
      <c r="FE433" s="272"/>
      <c r="FF433" s="272"/>
      <c r="FG433" s="347"/>
      <c r="FH433" s="345"/>
      <c r="FI433" s="272"/>
      <c r="FJ433" s="272"/>
      <c r="FK433" s="272"/>
      <c r="FL433" s="272"/>
      <c r="FM433" s="347"/>
      <c r="FQ433"/>
      <c r="FR433"/>
      <c r="FS433"/>
      <c r="FT433"/>
      <c r="FU433"/>
      <c r="FV433"/>
      <c r="GB433" s="24"/>
      <c r="GC433" s="24"/>
      <c r="GD433" s="24"/>
      <c r="GE433" s="24"/>
      <c r="GF433" s="24"/>
      <c r="GG433" s="24"/>
      <c r="GH433" s="24"/>
      <c r="GI433" s="24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  <c r="HB433"/>
      <c r="HC433"/>
      <c r="HD433"/>
      <c r="HE433"/>
      <c r="HF433"/>
      <c r="HG433"/>
      <c r="HH433"/>
      <c r="HI433"/>
      <c r="HJ433"/>
      <c r="HK433"/>
      <c r="HL433"/>
      <c r="HM433"/>
      <c r="HN433"/>
      <c r="HO433"/>
      <c r="HP433"/>
      <c r="HQ433"/>
      <c r="HR433"/>
      <c r="HS433"/>
      <c r="HT433"/>
      <c r="HU433"/>
      <c r="HV433"/>
      <c r="HW433"/>
      <c r="HX433"/>
      <c r="HY433"/>
      <c r="HZ433"/>
      <c r="IA433"/>
      <c r="IB433"/>
      <c r="IC433"/>
      <c r="ID433"/>
      <c r="IE433"/>
      <c r="IF433"/>
      <c r="IG433"/>
      <c r="IH433"/>
      <c r="II433"/>
      <c r="IJ433"/>
      <c r="IK433"/>
      <c r="IL433"/>
      <c r="IM433"/>
      <c r="IN433"/>
      <c r="IO433"/>
      <c r="IP433"/>
      <c r="IQ433"/>
      <c r="IR433"/>
      <c r="IS433"/>
      <c r="IT433"/>
      <c r="IU433"/>
      <c r="IV433"/>
      <c r="IW433"/>
      <c r="IX433"/>
      <c r="IY433"/>
      <c r="IZ433"/>
      <c r="JA433"/>
      <c r="JB433"/>
      <c r="JC433"/>
      <c r="JD433"/>
      <c r="JE433"/>
      <c r="JF433"/>
      <c r="JG433"/>
      <c r="JH433"/>
      <c r="JI433"/>
      <c r="JJ433"/>
      <c r="JK433"/>
      <c r="JL433"/>
      <c r="JM433"/>
      <c r="JN433"/>
    </row>
    <row r="434" spans="1:274" s="27" customFormat="1" ht="12" customHeight="1" x14ac:dyDescent="0.2">
      <c r="A434" s="32"/>
      <c r="C434" s="242"/>
      <c r="D434" s="242"/>
      <c r="E434" s="242"/>
      <c r="F434" s="242"/>
      <c r="G434" s="242"/>
      <c r="H434" s="242"/>
      <c r="I434" s="242"/>
      <c r="J434" s="242"/>
      <c r="K434" s="242"/>
      <c r="L434" s="242"/>
      <c r="M434" s="242"/>
      <c r="O434" s="272"/>
      <c r="P434" s="272"/>
      <c r="Q434" s="272"/>
      <c r="R434" s="272"/>
      <c r="S434" s="242"/>
      <c r="U434" s="272"/>
      <c r="V434" s="272"/>
      <c r="W434" s="272"/>
      <c r="X434" s="272"/>
      <c r="Y434" s="242"/>
      <c r="AA434" s="272"/>
      <c r="AB434" s="272"/>
      <c r="AC434" s="272"/>
      <c r="AD434" s="272"/>
      <c r="AE434" s="242"/>
      <c r="AG434" s="272"/>
      <c r="AH434" s="272"/>
      <c r="AI434" s="272"/>
      <c r="AJ434" s="272"/>
      <c r="AK434" s="242"/>
      <c r="AM434" s="272"/>
      <c r="AN434" s="272"/>
      <c r="AO434" s="272"/>
      <c r="AP434" s="272"/>
      <c r="AQ434" s="242"/>
      <c r="AS434" s="272"/>
      <c r="AT434" s="272"/>
      <c r="AU434" s="272"/>
      <c r="AV434" s="272"/>
      <c r="AW434" s="242"/>
      <c r="AY434" s="272"/>
      <c r="AZ434" s="272"/>
      <c r="BA434" s="272"/>
      <c r="BB434" s="272"/>
      <c r="BC434" s="242"/>
      <c r="BE434" s="272"/>
      <c r="BF434" s="272"/>
      <c r="BG434" s="272"/>
      <c r="BH434" s="272"/>
      <c r="BI434" s="242"/>
      <c r="BK434" s="272"/>
      <c r="BL434" s="272"/>
      <c r="BM434" s="272"/>
      <c r="BN434" s="272"/>
      <c r="BO434" s="242"/>
      <c r="BQ434" s="272"/>
      <c r="BR434" s="272"/>
      <c r="BS434" s="272"/>
      <c r="BT434" s="272"/>
      <c r="BU434" s="242"/>
      <c r="BW434" s="927"/>
      <c r="BX434" s="1074"/>
      <c r="BY434" s="1074"/>
      <c r="BZ434" s="927"/>
      <c r="CA434" s="242"/>
      <c r="CC434" s="927"/>
      <c r="CD434" s="1074"/>
      <c r="CE434" s="1074"/>
      <c r="CF434" s="927"/>
      <c r="CG434" s="347"/>
      <c r="CI434" s="927"/>
      <c r="CJ434" s="1074"/>
      <c r="CK434" s="1074"/>
      <c r="CL434" s="927"/>
      <c r="CM434" s="474"/>
      <c r="CO434" s="927"/>
      <c r="CP434" s="1074"/>
      <c r="CQ434" s="1074"/>
      <c r="CR434" s="927"/>
      <c r="CS434" s="557"/>
      <c r="CT434" s="345"/>
      <c r="CU434" s="272"/>
      <c r="CV434" s="1074"/>
      <c r="CW434" s="1074"/>
      <c r="CX434" s="927"/>
      <c r="CY434" s="347"/>
      <c r="CZ434" s="345"/>
      <c r="DA434" s="272"/>
      <c r="DB434" s="1074"/>
      <c r="DC434" s="272"/>
      <c r="DD434" s="927"/>
      <c r="DE434" s="1170"/>
      <c r="DF434" s="345"/>
      <c r="DG434" s="272"/>
      <c r="DH434" s="1074"/>
      <c r="DI434" s="1074"/>
      <c r="DJ434" s="272"/>
      <c r="DK434" s="347"/>
      <c r="DL434" s="345"/>
      <c r="DM434" s="272"/>
      <c r="DN434" s="1074"/>
      <c r="DO434" s="1074"/>
      <c r="DP434" s="272"/>
      <c r="DQ434" s="347"/>
      <c r="DR434" s="345"/>
      <c r="DS434" s="272"/>
      <c r="DT434" s="1074"/>
      <c r="DU434" s="1074"/>
      <c r="DV434" s="272"/>
      <c r="DW434" s="347"/>
      <c r="DX434" s="345"/>
      <c r="DY434" s="272"/>
      <c r="DZ434" s="1074"/>
      <c r="EA434" s="272"/>
      <c r="EB434" s="272"/>
      <c r="EC434" s="347"/>
      <c r="ED434" s="345"/>
      <c r="EE434" s="272"/>
      <c r="EF434" s="272"/>
      <c r="EG434" s="272"/>
      <c r="EH434" s="272"/>
      <c r="EI434" s="347"/>
      <c r="EJ434" s="345"/>
      <c r="EK434" s="272"/>
      <c r="EL434" s="272"/>
      <c r="EM434" s="272"/>
      <c r="EN434" s="272"/>
      <c r="EO434" s="347"/>
      <c r="EP434" s="345"/>
      <c r="EQ434" s="272"/>
      <c r="ER434" s="272"/>
      <c r="ES434" s="272"/>
      <c r="ET434" s="272"/>
      <c r="EU434" s="347"/>
      <c r="EV434" s="345"/>
      <c r="EW434" s="272"/>
      <c r="EX434" s="272"/>
      <c r="EY434" s="272"/>
      <c r="EZ434" s="272"/>
      <c r="FA434" s="347"/>
      <c r="FB434" s="345"/>
      <c r="FC434" s="272"/>
      <c r="FD434" s="272"/>
      <c r="FE434" s="272"/>
      <c r="FF434" s="272"/>
      <c r="FG434" s="347"/>
      <c r="FH434" s="345"/>
      <c r="FI434" s="272"/>
      <c r="FJ434" s="272"/>
      <c r="FK434" s="272"/>
      <c r="FL434" s="272"/>
      <c r="FM434" s="347"/>
      <c r="FQ434"/>
      <c r="FR434"/>
      <c r="FS434"/>
      <c r="FT434"/>
      <c r="FU434"/>
      <c r="FV434"/>
      <c r="GB434" s="24"/>
      <c r="GC434" s="24"/>
      <c r="GD434" s="24"/>
      <c r="GE434" s="24"/>
      <c r="GF434" s="24"/>
      <c r="GG434" s="24"/>
      <c r="GH434" s="24"/>
      <c r="GI434" s="2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  <c r="HB434"/>
      <c r="HC434"/>
      <c r="HD434"/>
      <c r="HE434"/>
      <c r="HF434"/>
      <c r="HG434"/>
      <c r="HH434"/>
      <c r="HI434"/>
      <c r="HJ434"/>
      <c r="HK434"/>
      <c r="HL434"/>
      <c r="HM434"/>
      <c r="HN434"/>
      <c r="HO434"/>
      <c r="HP434"/>
      <c r="HQ434"/>
      <c r="HR434"/>
      <c r="HS434"/>
      <c r="HT434"/>
      <c r="HU434"/>
      <c r="HV434"/>
      <c r="HW434"/>
      <c r="HX434"/>
      <c r="HY434"/>
      <c r="HZ434"/>
      <c r="IA434"/>
      <c r="IB434"/>
      <c r="IC434"/>
      <c r="ID434"/>
      <c r="IE434"/>
      <c r="IF434"/>
      <c r="IG434"/>
      <c r="IH434"/>
      <c r="II434"/>
      <c r="IJ434"/>
      <c r="IK434"/>
      <c r="IL434"/>
      <c r="IM434"/>
      <c r="IN434"/>
      <c r="IO434"/>
      <c r="IP434"/>
      <c r="IQ434"/>
      <c r="IR434"/>
      <c r="IS434"/>
      <c r="IT434"/>
      <c r="IU434"/>
      <c r="IV434"/>
      <c r="IW434"/>
      <c r="IX434"/>
      <c r="IY434"/>
      <c r="IZ434"/>
      <c r="JA434"/>
      <c r="JB434"/>
      <c r="JC434"/>
      <c r="JD434"/>
      <c r="JE434"/>
      <c r="JF434"/>
      <c r="JG434"/>
      <c r="JH434"/>
      <c r="JI434"/>
      <c r="JJ434"/>
      <c r="JK434"/>
      <c r="JL434"/>
      <c r="JM434"/>
      <c r="JN434"/>
    </row>
    <row r="435" spans="1:274" s="27" customFormat="1" ht="17.25" hidden="1" customHeight="1" outlineLevel="1" x14ac:dyDescent="0.3">
      <c r="A435" s="32" t="s">
        <v>1045</v>
      </c>
      <c r="C435" s="242"/>
      <c r="D435" s="242"/>
      <c r="E435" s="242"/>
      <c r="F435" s="242"/>
      <c r="G435" s="242"/>
      <c r="H435" s="242"/>
      <c r="I435" s="242"/>
      <c r="J435" s="242"/>
      <c r="K435" s="242"/>
      <c r="L435" s="242"/>
      <c r="M435" s="242"/>
      <c r="O435" s="272"/>
      <c r="P435" s="272"/>
      <c r="Q435" s="272"/>
      <c r="R435" s="272"/>
      <c r="S435" s="242"/>
      <c r="U435" s="272"/>
      <c r="V435" s="272"/>
      <c r="W435" s="272"/>
      <c r="X435" s="272"/>
      <c r="Y435" s="242"/>
      <c r="AA435" s="272"/>
      <c r="AB435" s="272"/>
      <c r="AC435" s="272"/>
      <c r="AD435" s="272"/>
      <c r="AE435" s="242"/>
      <c r="AG435" s="272"/>
      <c r="AH435" s="272"/>
      <c r="AI435" s="272"/>
      <c r="AJ435" s="272"/>
      <c r="AK435" s="242"/>
      <c r="AM435" s="272"/>
      <c r="AN435" s="272"/>
      <c r="AO435" s="272"/>
      <c r="AP435" s="272"/>
      <c r="AQ435" s="242"/>
      <c r="AS435" s="272"/>
      <c r="AT435" s="272"/>
      <c r="AU435" s="272"/>
      <c r="AV435" s="272"/>
      <c r="AW435" s="242"/>
      <c r="AY435" s="272"/>
      <c r="AZ435" s="272"/>
      <c r="BA435" s="272"/>
      <c r="BB435" s="272"/>
      <c r="BC435" s="242"/>
      <c r="BE435" s="272"/>
      <c r="BF435" s="272"/>
      <c r="BG435" s="272"/>
      <c r="BH435" s="272"/>
      <c r="BI435" s="242"/>
      <c r="BK435" s="272"/>
      <c r="BL435" s="272"/>
      <c r="BM435" s="272"/>
      <c r="BN435" s="272"/>
      <c r="BO435" s="242"/>
      <c r="BQ435" s="272"/>
      <c r="BR435" s="272"/>
      <c r="BS435" s="272"/>
      <c r="BT435" s="272"/>
      <c r="BU435" s="242"/>
      <c r="BW435" s="927"/>
      <c r="BX435" s="927"/>
      <c r="BY435" s="927"/>
      <c r="BZ435" s="927"/>
      <c r="CA435" s="242"/>
      <c r="CC435" s="927"/>
      <c r="CD435" s="927"/>
      <c r="CE435" s="616" t="s">
        <v>1032</v>
      </c>
      <c r="CF435" s="260"/>
      <c r="CG435" s="618"/>
      <c r="CI435" s="260"/>
      <c r="CJ435" s="260"/>
      <c r="CK435" s="272"/>
      <c r="CL435" s="272"/>
      <c r="CM435" s="474"/>
      <c r="CO435" s="242"/>
      <c r="CR435" s="928"/>
      <c r="CS435" s="557"/>
      <c r="CT435" s="345"/>
      <c r="CU435" s="272"/>
      <c r="CV435" s="272"/>
      <c r="CW435" s="272"/>
      <c r="CX435" s="272"/>
      <c r="CY435" s="347"/>
      <c r="CZ435" s="345"/>
      <c r="DA435" s="272"/>
      <c r="DB435" s="272"/>
      <c r="DC435" s="272"/>
      <c r="DD435" s="262"/>
      <c r="DE435" s="347"/>
      <c r="DF435" s="345"/>
      <c r="DG435" s="272"/>
      <c r="DH435" s="272"/>
      <c r="DI435" s="272"/>
      <c r="DJ435" s="1119"/>
      <c r="DK435" s="347"/>
      <c r="DL435" s="345"/>
      <c r="DM435" s="1119"/>
      <c r="DN435" s="272"/>
      <c r="DO435" s="272"/>
      <c r="DP435" s="272"/>
      <c r="DQ435" s="347"/>
      <c r="DR435" s="345"/>
      <c r="DS435" s="1119"/>
      <c r="DT435" s="272"/>
      <c r="DU435" s="272"/>
      <c r="DV435" s="272"/>
      <c r="DW435" s="347"/>
      <c r="DX435" s="345"/>
      <c r="DY435" s="1119"/>
      <c r="DZ435" s="272"/>
      <c r="EA435" s="272"/>
      <c r="EB435" s="272"/>
      <c r="EC435" s="347"/>
      <c r="ED435" s="345"/>
      <c r="EE435" s="272"/>
      <c r="EF435" s="272"/>
      <c r="EG435" s="272"/>
      <c r="EH435" s="1730">
        <f>EH429/EB114-1</f>
        <v>-8.9999999999999969E-2</v>
      </c>
      <c r="EI435" s="347"/>
      <c r="EJ435" s="345"/>
      <c r="EK435" s="272"/>
      <c r="EL435" s="272"/>
      <c r="EM435" s="272"/>
      <c r="EN435" s="272"/>
      <c r="EO435" s="347"/>
      <c r="EP435" s="345"/>
      <c r="EQ435" s="272"/>
      <c r="ER435" s="272"/>
      <c r="ES435" s="272"/>
      <c r="ET435" s="272"/>
      <c r="EU435" s="347"/>
      <c r="EV435" s="345"/>
      <c r="EW435" s="272"/>
      <c r="EX435" s="272"/>
      <c r="EY435" s="272"/>
      <c r="EZ435" s="272"/>
      <c r="FA435" s="347"/>
      <c r="FB435" s="345"/>
      <c r="FC435" s="272"/>
      <c r="FD435" s="272"/>
      <c r="FE435" s="272"/>
      <c r="FF435" s="272"/>
      <c r="FG435" s="347"/>
      <c r="FH435" s="345"/>
      <c r="FI435" s="272"/>
      <c r="FJ435" s="272"/>
      <c r="FK435" s="272"/>
      <c r="FL435" s="272"/>
      <c r="FM435" s="347"/>
      <c r="FQ435"/>
      <c r="FR435"/>
      <c r="FS435"/>
      <c r="FT435"/>
      <c r="FU435"/>
      <c r="FV435"/>
      <c r="FZ435" s="917" t="s">
        <v>890</v>
      </c>
      <c r="GA435" s="691"/>
      <c r="GB435" s="691"/>
      <c r="GC435" s="691"/>
      <c r="GD435" s="691"/>
      <c r="GE435" s="691"/>
      <c r="GF435" s="691"/>
      <c r="GG435" s="691"/>
      <c r="GH435" s="691"/>
      <c r="GI435" s="24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  <c r="HB435"/>
      <c r="HC435"/>
      <c r="HD435"/>
      <c r="HE435"/>
      <c r="HF435"/>
      <c r="HG435"/>
      <c r="HH435"/>
      <c r="HI435"/>
      <c r="HJ435"/>
      <c r="HK435"/>
      <c r="HL435"/>
      <c r="HM435"/>
      <c r="HN435"/>
      <c r="HO435"/>
      <c r="HP435"/>
      <c r="HQ435"/>
      <c r="HR435"/>
      <c r="HS435"/>
      <c r="HT435"/>
      <c r="HU435"/>
      <c r="HV435"/>
      <c r="HW435"/>
      <c r="HX435"/>
      <c r="HY435"/>
      <c r="HZ435"/>
      <c r="IA435"/>
      <c r="IB435"/>
      <c r="IC435"/>
      <c r="ID435"/>
      <c r="IE435"/>
      <c r="IF435"/>
      <c r="IG435"/>
      <c r="IH435"/>
      <c r="II435"/>
      <c r="IJ435"/>
      <c r="IK435"/>
      <c r="IL435"/>
      <c r="IM435"/>
      <c r="IN435"/>
      <c r="IO435"/>
      <c r="IP435"/>
      <c r="IQ435"/>
      <c r="IR435"/>
      <c r="IS435"/>
      <c r="IT435"/>
      <c r="IU435"/>
      <c r="IV435"/>
      <c r="IW435"/>
      <c r="IX435"/>
      <c r="IY435"/>
      <c r="IZ435"/>
      <c r="JA435"/>
      <c r="JB435"/>
      <c r="JC435"/>
      <c r="JD435"/>
      <c r="JE435"/>
      <c r="JF435"/>
      <c r="JG435"/>
      <c r="JH435"/>
      <c r="JI435"/>
      <c r="JJ435"/>
      <c r="JK435"/>
      <c r="JL435"/>
      <c r="JM435"/>
      <c r="JN435"/>
    </row>
    <row r="436" spans="1:274" s="27" customFormat="1" ht="12" hidden="1" customHeight="1" outlineLevel="1" x14ac:dyDescent="0.2">
      <c r="A436" s="27" t="s">
        <v>457</v>
      </c>
      <c r="C436" s="242"/>
      <c r="D436" s="242"/>
      <c r="E436" s="242"/>
      <c r="F436" s="242"/>
      <c r="G436" s="242"/>
      <c r="H436" s="242"/>
      <c r="I436" s="242"/>
      <c r="J436" s="242"/>
      <c r="K436" s="242"/>
      <c r="L436" s="242"/>
      <c r="M436" s="242"/>
      <c r="O436" s="272"/>
      <c r="P436" s="272"/>
      <c r="Q436" s="272"/>
      <c r="R436" s="272"/>
      <c r="S436" s="242"/>
      <c r="U436" s="272"/>
      <c r="V436" s="272"/>
      <c r="W436" s="272"/>
      <c r="X436" s="272"/>
      <c r="Y436" s="242"/>
      <c r="AA436" s="272"/>
      <c r="AB436" s="272"/>
      <c r="AC436" s="272"/>
      <c r="AD436" s="272"/>
      <c r="AE436" s="242"/>
      <c r="AG436" s="272"/>
      <c r="AH436" s="272"/>
      <c r="AI436" s="272"/>
      <c r="AJ436" s="272"/>
      <c r="AK436" s="242"/>
      <c r="AM436" s="272"/>
      <c r="AN436" s="272"/>
      <c r="AO436" s="272"/>
      <c r="AP436" s="272"/>
      <c r="AQ436" s="242"/>
      <c r="AS436" s="272"/>
      <c r="AT436" s="272"/>
      <c r="AU436" s="272"/>
      <c r="AV436" s="272"/>
      <c r="AW436" s="242"/>
      <c r="AY436" s="272"/>
      <c r="AZ436" s="272"/>
      <c r="BA436" s="272"/>
      <c r="BB436" s="272"/>
      <c r="BC436" s="242"/>
      <c r="BE436" s="272"/>
      <c r="BF436" s="272"/>
      <c r="BG436" s="272"/>
      <c r="BH436" s="272"/>
      <c r="BI436" s="242"/>
      <c r="BK436" s="272"/>
      <c r="BL436" s="272"/>
      <c r="BM436" s="272"/>
      <c r="BN436" s="272"/>
      <c r="BO436" s="242"/>
      <c r="BQ436" s="272"/>
      <c r="BR436" s="272"/>
      <c r="BS436" s="272"/>
      <c r="BT436" s="272"/>
      <c r="BU436" s="242"/>
      <c r="BW436" s="927"/>
      <c r="BX436" s="927"/>
      <c r="BY436" s="927"/>
      <c r="BZ436" s="927"/>
      <c r="CA436" s="242"/>
      <c r="CC436" s="600"/>
      <c r="CD436" s="600"/>
      <c r="CE436" s="600">
        <f>BY438*1.14</f>
        <v>2826.06</v>
      </c>
      <c r="CF436" s="600">
        <f>BZ438*1.1</f>
        <v>3630.0000000000005</v>
      </c>
      <c r="CG436" s="174"/>
      <c r="CH436" s="60"/>
      <c r="CI436" s="600">
        <f>CC438*1.19</f>
        <v>2701.2999999999997</v>
      </c>
      <c r="CJ436" s="600">
        <f>CD438*1.19</f>
        <v>3235.6099999999997</v>
      </c>
      <c r="CK436" s="600"/>
      <c r="CL436" s="600"/>
      <c r="CM436" s="174"/>
      <c r="CN436" s="60"/>
      <c r="CO436" s="600"/>
      <c r="CP436" s="600"/>
      <c r="CQ436" s="600"/>
      <c r="CR436" s="600"/>
      <c r="CS436" s="557"/>
      <c r="CT436" s="345"/>
      <c r="CU436" s="272"/>
      <c r="CV436" s="272"/>
      <c r="CW436" s="272"/>
      <c r="CX436" s="272"/>
      <c r="CY436" s="347"/>
      <c r="CZ436" s="345"/>
      <c r="DA436" s="272"/>
      <c r="DB436" s="272"/>
      <c r="DC436" s="272"/>
      <c r="DD436" s="600">
        <v>1200</v>
      </c>
      <c r="DE436" s="347"/>
      <c r="DF436" s="345"/>
      <c r="DG436" s="272">
        <v>1000</v>
      </c>
      <c r="DH436" s="272">
        <v>1100</v>
      </c>
      <c r="DI436" s="272">
        <v>1100</v>
      </c>
      <c r="DJ436" s="600">
        <f>DD438*(1+6%)</f>
        <v>1306.98</v>
      </c>
      <c r="DK436" s="347"/>
      <c r="DL436" s="345"/>
      <c r="DM436" s="600">
        <f>DG438*(1-5%)</f>
        <v>1025.05</v>
      </c>
      <c r="DN436" s="600">
        <f>DH438*(1-5%)</f>
        <v>1056.3999999999999</v>
      </c>
      <c r="DO436" s="600">
        <f>DI438*(1-15%)</f>
        <v>879.75</v>
      </c>
      <c r="DP436" s="272">
        <v>870</v>
      </c>
      <c r="DQ436" s="1170"/>
      <c r="DR436" s="345"/>
      <c r="DS436" s="600">
        <f>DM438*(1-17%)</f>
        <v>854.06999999999994</v>
      </c>
      <c r="DT436" s="600">
        <f>DN438*(1-18%)</f>
        <v>781.46</v>
      </c>
      <c r="DU436" s="600">
        <f>DO438*(1-10%)</f>
        <v>782.1</v>
      </c>
      <c r="DV436" s="272">
        <f>DP438*(1-23%)</f>
        <v>752.29</v>
      </c>
      <c r="DW436" s="347"/>
      <c r="DX436" s="345"/>
      <c r="DY436" s="600">
        <f>DS438*(1-7%)</f>
        <v>724.46999999999991</v>
      </c>
      <c r="DZ436" s="600">
        <f>DT438*(1-11%)</f>
        <v>653.26</v>
      </c>
      <c r="EA436" s="600">
        <f>DU438*(1-2%)</f>
        <v>657.58</v>
      </c>
      <c r="EB436" s="272">
        <f>DV438*(1+0%)</f>
        <v>849</v>
      </c>
      <c r="EC436" s="347"/>
      <c r="ED436" s="345"/>
      <c r="EE436" s="272"/>
      <c r="EF436" s="272"/>
      <c r="EG436" s="272"/>
      <c r="EH436" s="272"/>
      <c r="EI436" s="347"/>
      <c r="EJ436" s="345"/>
      <c r="EK436" s="272"/>
      <c r="EL436" s="272"/>
      <c r="EM436" s="272"/>
      <c r="EN436" s="272"/>
      <c r="EO436" s="347"/>
      <c r="EP436" s="345"/>
      <c r="EQ436" s="272"/>
      <c r="ER436" s="272"/>
      <c r="ES436" s="272"/>
      <c r="ET436" s="272"/>
      <c r="EU436" s="347"/>
      <c r="EV436" s="345"/>
      <c r="EW436" s="272"/>
      <c r="EX436" s="272"/>
      <c r="EY436" s="272"/>
      <c r="EZ436" s="272"/>
      <c r="FA436" s="347"/>
      <c r="FB436" s="345"/>
      <c r="FC436" s="272"/>
      <c r="FD436" s="272"/>
      <c r="FE436" s="272"/>
      <c r="FF436" s="272"/>
      <c r="FG436" s="347"/>
      <c r="FH436" s="345"/>
      <c r="FI436" s="272"/>
      <c r="FJ436" s="272"/>
      <c r="FK436" s="272"/>
      <c r="FL436" s="272"/>
      <c r="FM436" s="347"/>
      <c r="FQ436"/>
      <c r="FR436"/>
      <c r="FS436"/>
      <c r="FT436"/>
      <c r="FU436"/>
      <c r="FV436"/>
      <c r="FZ436" s="99" t="s">
        <v>76</v>
      </c>
      <c r="GA436" s="190" t="s">
        <v>861</v>
      </c>
      <c r="GB436" s="190" t="s">
        <v>862</v>
      </c>
      <c r="GC436" s="190" t="s">
        <v>580</v>
      </c>
      <c r="GD436" s="190" t="s">
        <v>953</v>
      </c>
      <c r="GE436" s="190" t="s">
        <v>664</v>
      </c>
      <c r="GF436" s="190" t="s">
        <v>228</v>
      </c>
      <c r="GG436" s="190" t="s">
        <v>1088</v>
      </c>
      <c r="GH436" s="217" t="s">
        <v>214</v>
      </c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  <c r="HB436"/>
      <c r="HC436"/>
      <c r="HD436"/>
      <c r="HE436"/>
      <c r="HF436"/>
      <c r="HG436"/>
      <c r="HH436"/>
      <c r="HI436"/>
      <c r="HJ436"/>
      <c r="HK436"/>
      <c r="HL436"/>
      <c r="HM436"/>
      <c r="HN436"/>
      <c r="HO436"/>
      <c r="HP436"/>
      <c r="HQ436"/>
      <c r="HR436"/>
      <c r="HS436"/>
      <c r="HT436"/>
      <c r="HU436"/>
      <c r="HV436"/>
      <c r="HW436"/>
      <c r="HX436"/>
      <c r="HY436"/>
      <c r="HZ436"/>
      <c r="IA436"/>
      <c r="IB436"/>
      <c r="IC436"/>
      <c r="ID436"/>
      <c r="IE436"/>
      <c r="IF436"/>
      <c r="IG436"/>
      <c r="IH436"/>
      <c r="II436"/>
      <c r="IJ436"/>
      <c r="IK436"/>
      <c r="IL436"/>
      <c r="IM436"/>
      <c r="IN436"/>
      <c r="IO436"/>
      <c r="IP436"/>
      <c r="IQ436"/>
      <c r="IR436"/>
      <c r="IS436"/>
      <c r="IT436"/>
      <c r="IU436"/>
      <c r="IV436"/>
      <c r="IW436"/>
      <c r="IX436"/>
      <c r="IY436"/>
      <c r="IZ436"/>
      <c r="JA436"/>
      <c r="JB436"/>
      <c r="JC436"/>
      <c r="JD436"/>
      <c r="JE436"/>
      <c r="JF436"/>
      <c r="JG436"/>
      <c r="JH436"/>
      <c r="JI436"/>
      <c r="JJ436"/>
      <c r="JK436"/>
      <c r="JL436"/>
      <c r="JM436"/>
      <c r="JN436"/>
    </row>
    <row r="437" spans="1:274" s="27" customFormat="1" ht="15" hidden="1" customHeight="1" outlineLevel="1" x14ac:dyDescent="0.2">
      <c r="A437" s="27" t="s">
        <v>458</v>
      </c>
      <c r="C437" s="242"/>
      <c r="D437" s="242"/>
      <c r="E437" s="242"/>
      <c r="F437" s="242"/>
      <c r="G437" s="242"/>
      <c r="H437" s="242"/>
      <c r="I437" s="242"/>
      <c r="J437" s="242"/>
      <c r="K437" s="242"/>
      <c r="L437" s="242"/>
      <c r="M437" s="242"/>
      <c r="O437" s="272"/>
      <c r="P437" s="272"/>
      <c r="Q437" s="272"/>
      <c r="R437" s="272"/>
      <c r="S437" s="242"/>
      <c r="U437" s="272"/>
      <c r="V437" s="272"/>
      <c r="W437" s="272"/>
      <c r="X437" s="272"/>
      <c r="Y437" s="242"/>
      <c r="AA437" s="272"/>
      <c r="AB437" s="272"/>
      <c r="AC437" s="272"/>
      <c r="AD437" s="272"/>
      <c r="AE437" s="242"/>
      <c r="AG437" s="272"/>
      <c r="AH437" s="272"/>
      <c r="AI437" s="272"/>
      <c r="AJ437" s="272"/>
      <c r="AK437" s="242"/>
      <c r="AM437" s="272"/>
      <c r="AN437" s="272"/>
      <c r="AO437" s="272"/>
      <c r="AP437" s="272"/>
      <c r="AQ437" s="242"/>
      <c r="AS437" s="272"/>
      <c r="AT437" s="272"/>
      <c r="AU437" s="272"/>
      <c r="AV437" s="272"/>
      <c r="AW437" s="242"/>
      <c r="AY437" s="272"/>
      <c r="AZ437" s="272"/>
      <c r="BA437" s="272"/>
      <c r="BB437" s="272"/>
      <c r="BC437" s="242"/>
      <c r="BE437" s="272"/>
      <c r="BF437" s="272"/>
      <c r="BG437" s="272"/>
      <c r="BH437" s="272"/>
      <c r="BI437" s="242"/>
      <c r="BK437" s="272"/>
      <c r="BL437" s="272"/>
      <c r="BM437" s="272"/>
      <c r="BN437" s="272"/>
      <c r="BO437" s="242"/>
      <c r="BQ437" s="272"/>
      <c r="BR437" s="272"/>
      <c r="BS437" s="272"/>
      <c r="BT437" s="272"/>
      <c r="BU437" s="242"/>
      <c r="BW437" s="927"/>
      <c r="BX437" s="927"/>
      <c r="BY437" s="927"/>
      <c r="BZ437" s="927"/>
      <c r="CA437" s="242"/>
      <c r="CC437" s="600"/>
      <c r="CD437" s="600"/>
      <c r="CE437" s="600">
        <f>BY438*1.16</f>
        <v>2875.64</v>
      </c>
      <c r="CF437" s="600">
        <f>BZ438*1.15</f>
        <v>3794.9999999999995</v>
      </c>
      <c r="CG437" s="174"/>
      <c r="CH437" s="60"/>
      <c r="CI437" s="600">
        <f>CC438*1.2</f>
        <v>2724</v>
      </c>
      <c r="CJ437" s="600">
        <f>CD438*1.21</f>
        <v>3289.99</v>
      </c>
      <c r="CK437" s="600"/>
      <c r="CL437" s="600"/>
      <c r="CM437" s="174"/>
      <c r="CN437" s="60"/>
      <c r="CO437" s="600"/>
      <c r="CP437" s="600"/>
      <c r="CQ437" s="600"/>
      <c r="CR437" s="600"/>
      <c r="CS437" s="557"/>
      <c r="CT437" s="345"/>
      <c r="CU437" s="272"/>
      <c r="CV437" s="272"/>
      <c r="CW437" s="272"/>
      <c r="CX437" s="272"/>
      <c r="CY437" s="347"/>
      <c r="CZ437" s="345"/>
      <c r="DA437" s="272"/>
      <c r="DB437" s="272"/>
      <c r="DC437" s="272"/>
      <c r="DD437" s="600">
        <v>1300</v>
      </c>
      <c r="DE437" s="347"/>
      <c r="DF437" s="345"/>
      <c r="DG437" s="272">
        <v>1000</v>
      </c>
      <c r="DH437" s="272">
        <v>1200</v>
      </c>
      <c r="DI437" s="272">
        <v>1200</v>
      </c>
      <c r="DJ437" s="600">
        <f>DD438*(1+12%)</f>
        <v>1380.96</v>
      </c>
      <c r="DK437" s="347"/>
      <c r="DL437" s="345"/>
      <c r="DM437" s="600">
        <f>DG438*(1+5%)</f>
        <v>1132.95</v>
      </c>
      <c r="DN437" s="600">
        <f>DH438*(1+0%)</f>
        <v>1112</v>
      </c>
      <c r="DO437" s="600">
        <f>DI438*(1-5%)</f>
        <v>983.25</v>
      </c>
      <c r="DP437" s="272">
        <v>980</v>
      </c>
      <c r="DQ437" s="1170"/>
      <c r="DR437" s="345"/>
      <c r="DS437" s="600">
        <f>DM438*(1-7%)</f>
        <v>956.96999999999991</v>
      </c>
      <c r="DT437" s="600">
        <f>DN438*(1-8%)</f>
        <v>876.76</v>
      </c>
      <c r="DU437" s="600">
        <f>DO438*(1+0%)</f>
        <v>869</v>
      </c>
      <c r="DV437" s="272">
        <f>DP438*(1-13%)</f>
        <v>849.99</v>
      </c>
      <c r="DW437" s="347"/>
      <c r="DX437" s="345"/>
      <c r="DY437" s="600">
        <f>DS438*(1+1%)</f>
        <v>786.79</v>
      </c>
      <c r="DZ437" s="600">
        <f>DT438*(1-1%)</f>
        <v>726.66</v>
      </c>
      <c r="EA437" s="600">
        <f>DU438*(1+8%)</f>
        <v>724.68000000000006</v>
      </c>
      <c r="EB437" s="272">
        <f>DV438*(1+10%)</f>
        <v>933.90000000000009</v>
      </c>
      <c r="EC437" s="347"/>
      <c r="ED437" s="345"/>
      <c r="EE437" s="272"/>
      <c r="EF437" s="272"/>
      <c r="EG437" s="272"/>
      <c r="EH437" s="272"/>
      <c r="EI437" s="347"/>
      <c r="EJ437" s="345"/>
      <c r="EK437" s="272"/>
      <c r="EL437" s="272"/>
      <c r="EM437" s="272"/>
      <c r="EN437" s="272"/>
      <c r="EO437" s="347"/>
      <c r="EP437" s="345"/>
      <c r="EQ437" s="272"/>
      <c r="ER437" s="272"/>
      <c r="ES437" s="272"/>
      <c r="ET437" s="272"/>
      <c r="EU437" s="347"/>
      <c r="EV437" s="345"/>
      <c r="EW437" s="272"/>
      <c r="EX437" s="272"/>
      <c r="EY437" s="272"/>
      <c r="EZ437" s="272"/>
      <c r="FA437" s="347"/>
      <c r="FB437" s="345"/>
      <c r="FC437" s="272"/>
      <c r="FD437" s="272"/>
      <c r="FE437" s="272"/>
      <c r="FF437" s="272"/>
      <c r="FG437" s="347"/>
      <c r="FH437" s="345"/>
      <c r="FI437" s="272"/>
      <c r="FJ437" s="272"/>
      <c r="FK437" s="272"/>
      <c r="FL437" s="272"/>
      <c r="FM437" s="347"/>
      <c r="FQ437"/>
      <c r="FR437"/>
      <c r="FS437"/>
      <c r="FT437"/>
      <c r="FU437"/>
      <c r="FV437"/>
      <c r="FZ437" s="27" t="s">
        <v>889</v>
      </c>
      <c r="GA437" s="1172" t="s">
        <v>943</v>
      </c>
      <c r="GB437" s="1172">
        <f>CF481</f>
        <v>0.1665575826242871</v>
      </c>
      <c r="GC437" s="1172">
        <f>CL481</f>
        <v>6.3392053491063471E-2</v>
      </c>
      <c r="GD437" s="1172">
        <f>CR481</f>
        <v>0.10193996109563108</v>
      </c>
      <c r="GE437" s="1172">
        <f>CX481</f>
        <v>0.11894043191753134</v>
      </c>
      <c r="GF437" s="1172">
        <f>DD481</f>
        <v>5.7863621639131946E-2</v>
      </c>
      <c r="GG437" s="1172">
        <f>DJ481</f>
        <v>4.5356613223649367E-2</v>
      </c>
      <c r="GH437" s="1174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  <c r="HB437"/>
      <c r="HC437"/>
      <c r="HD437"/>
      <c r="HE437"/>
      <c r="HF437"/>
      <c r="HG437"/>
      <c r="HH437"/>
      <c r="HI437"/>
      <c r="HJ437"/>
      <c r="HK437"/>
      <c r="HL437"/>
      <c r="HM437"/>
      <c r="HN437"/>
      <c r="HO437"/>
      <c r="HP437"/>
      <c r="HQ437"/>
      <c r="HR437"/>
      <c r="HS437"/>
      <c r="HT437"/>
      <c r="HU437"/>
      <c r="HV437"/>
      <c r="HW437"/>
      <c r="HX437"/>
      <c r="HY437"/>
      <c r="HZ437"/>
      <c r="IA437"/>
      <c r="IB437"/>
      <c r="IC437"/>
      <c r="ID437"/>
      <c r="IE437"/>
      <c r="IF437"/>
      <c r="IG437"/>
      <c r="IH437"/>
      <c r="II437"/>
      <c r="IJ437"/>
      <c r="IK437"/>
      <c r="IL437"/>
      <c r="IM437"/>
      <c r="IN437"/>
      <c r="IO437"/>
      <c r="IP437"/>
      <c r="IQ437"/>
      <c r="IR437"/>
      <c r="IS437"/>
      <c r="IT437"/>
      <c r="IU437"/>
      <c r="IV437"/>
      <c r="IW437"/>
      <c r="IX437"/>
      <c r="IY437"/>
      <c r="IZ437"/>
      <c r="JA437"/>
      <c r="JB437"/>
      <c r="JC437"/>
      <c r="JD437"/>
      <c r="JE437"/>
      <c r="JF437"/>
      <c r="JG437"/>
      <c r="JH437"/>
      <c r="JI437"/>
      <c r="JJ437"/>
      <c r="JK437"/>
      <c r="JL437"/>
      <c r="JM437"/>
      <c r="JN437"/>
    </row>
    <row r="438" spans="1:274" s="27" customFormat="1" ht="15" hidden="1" customHeight="1" outlineLevel="1" x14ac:dyDescent="0.2">
      <c r="A438" s="897" t="s">
        <v>913</v>
      </c>
      <c r="B438" s="146"/>
      <c r="C438" s="384"/>
      <c r="D438" s="384"/>
      <c r="E438" s="384"/>
      <c r="F438" s="384"/>
      <c r="G438" s="384"/>
      <c r="H438" s="384"/>
      <c r="I438" s="384"/>
      <c r="J438" s="384"/>
      <c r="K438" s="384"/>
      <c r="L438" s="384"/>
      <c r="M438" s="384"/>
      <c r="N438" s="146"/>
      <c r="O438" s="923"/>
      <c r="P438" s="923"/>
      <c r="Q438" s="923"/>
      <c r="R438" s="923"/>
      <c r="S438" s="384"/>
      <c r="T438" s="146"/>
      <c r="U438" s="923"/>
      <c r="V438" s="923"/>
      <c r="W438" s="923"/>
      <c r="X438" s="923"/>
      <c r="Y438" s="384"/>
      <c r="Z438" s="146"/>
      <c r="AA438" s="923"/>
      <c r="AB438" s="923"/>
      <c r="AC438" s="923"/>
      <c r="AD438" s="923"/>
      <c r="AE438" s="384"/>
      <c r="AF438" s="146"/>
      <c r="AG438" s="923"/>
      <c r="AH438" s="923"/>
      <c r="AI438" s="923"/>
      <c r="AJ438" s="923"/>
      <c r="AK438" s="384"/>
      <c r="AL438" s="146"/>
      <c r="AM438" s="923"/>
      <c r="AN438" s="923"/>
      <c r="AO438" s="923"/>
      <c r="AP438" s="923"/>
      <c r="AQ438" s="384"/>
      <c r="AR438" s="146"/>
      <c r="AS438" s="923"/>
      <c r="AT438" s="923"/>
      <c r="AU438" s="923"/>
      <c r="AV438" s="923"/>
      <c r="AW438" s="384"/>
      <c r="AX438" s="146"/>
      <c r="AY438" s="923"/>
      <c r="AZ438" s="923"/>
      <c r="BA438" s="923"/>
      <c r="BB438" s="923"/>
      <c r="BC438" s="384"/>
      <c r="BD438" s="146"/>
      <c r="BE438" s="923"/>
      <c r="BF438" s="923"/>
      <c r="BG438" s="923"/>
      <c r="BH438" s="923"/>
      <c r="BI438" s="384"/>
      <c r="BJ438" s="146"/>
      <c r="BK438" s="923"/>
      <c r="BL438" s="923"/>
      <c r="BM438" s="923"/>
      <c r="BN438" s="923"/>
      <c r="BO438" s="384"/>
      <c r="BP438" s="146"/>
      <c r="BQ438" s="923"/>
      <c r="BR438" s="923"/>
      <c r="BS438" s="923"/>
      <c r="BT438" s="923"/>
      <c r="BU438" s="384"/>
      <c r="BV438" s="146"/>
      <c r="BW438" s="923">
        <f>Model!BW14+Model!BW46</f>
        <v>1739</v>
      </c>
      <c r="BX438" s="923">
        <f>Model!BX14+Model!BX46</f>
        <v>2223</v>
      </c>
      <c r="BY438" s="923">
        <f>Model!BY14+Model!BY46</f>
        <v>2479</v>
      </c>
      <c r="BZ438" s="923">
        <f>Model!BZ14+Model!BZ46</f>
        <v>3300</v>
      </c>
      <c r="CA438" s="384"/>
      <c r="CB438" s="146"/>
      <c r="CC438" s="939">
        <f>Model!CC14+Model!CC46</f>
        <v>2270</v>
      </c>
      <c r="CD438" s="939">
        <f>Model!CD14+Model!CD46</f>
        <v>2719</v>
      </c>
      <c r="CE438" s="939">
        <f>Model!CE14+Model!CE46</f>
        <v>2863.4</v>
      </c>
      <c r="CF438" s="939">
        <f>Model!CF14+Model!CF46</f>
        <v>4080</v>
      </c>
      <c r="CG438" s="898"/>
      <c r="CH438" s="924"/>
      <c r="CI438" s="939">
        <f>Model!CI14+Model!CI46</f>
        <v>2815</v>
      </c>
      <c r="CJ438" s="939">
        <f>Model!CJ14+Model!CJ46</f>
        <v>3267</v>
      </c>
      <c r="CK438" s="939"/>
      <c r="CL438" s="939"/>
      <c r="CM438" s="898"/>
      <c r="CN438" s="924"/>
      <c r="CO438" s="939"/>
      <c r="CP438" s="939"/>
      <c r="CQ438" s="939"/>
      <c r="CR438" s="939"/>
      <c r="CS438" s="925"/>
      <c r="CT438" s="146"/>
      <c r="CU438" s="939"/>
      <c r="CV438" s="923"/>
      <c r="CW438" s="923"/>
      <c r="CX438" s="923"/>
      <c r="CY438" s="926"/>
      <c r="CZ438" s="146"/>
      <c r="DA438" s="923"/>
      <c r="DB438" s="923"/>
      <c r="DC438" s="923"/>
      <c r="DD438" s="939">
        <f>Model!DD60</f>
        <v>1233</v>
      </c>
      <c r="DE438" s="926"/>
      <c r="DF438" s="146"/>
      <c r="DG438" s="939">
        <f>Model!DG60</f>
        <v>1079</v>
      </c>
      <c r="DH438" s="939">
        <f>Model!DH60</f>
        <v>1112</v>
      </c>
      <c r="DI438" s="939">
        <f>Model!DI60</f>
        <v>1035</v>
      </c>
      <c r="DJ438" s="939">
        <f>Model!DJ60</f>
        <v>1157</v>
      </c>
      <c r="DK438" s="926"/>
      <c r="DL438" s="146"/>
      <c r="DM438" s="939">
        <f>Model!DM60</f>
        <v>1029</v>
      </c>
      <c r="DN438" s="939">
        <f>Model!DN60</f>
        <v>953</v>
      </c>
      <c r="DO438" s="939">
        <f>Model!DO60</f>
        <v>869</v>
      </c>
      <c r="DP438" s="939">
        <f>Model!DP60</f>
        <v>977</v>
      </c>
      <c r="DQ438" s="926"/>
      <c r="DR438" s="146"/>
      <c r="DS438" s="939">
        <f>Model!DS60</f>
        <v>779</v>
      </c>
      <c r="DT438" s="939">
        <f>Model!DT60</f>
        <v>734</v>
      </c>
      <c r="DU438" s="939">
        <f>Model!DU60</f>
        <v>671</v>
      </c>
      <c r="DV438" s="939">
        <f>Model!DV60</f>
        <v>849</v>
      </c>
      <c r="DW438" s="926"/>
      <c r="DX438" s="146"/>
      <c r="DY438" s="939">
        <f>Model!DY60</f>
        <v>669</v>
      </c>
      <c r="DZ438" s="939">
        <f>Model!DZ60</f>
        <v>714</v>
      </c>
      <c r="EA438" s="939">
        <f>Model!EA60</f>
        <v>725</v>
      </c>
      <c r="EB438" s="939">
        <f>Model!EB60</f>
        <v>870</v>
      </c>
      <c r="EC438" s="926"/>
      <c r="ED438" s="146"/>
      <c r="EE438" s="923"/>
      <c r="EF438" s="923"/>
      <c r="EG438" s="923"/>
      <c r="EH438" s="923"/>
      <c r="EI438" s="926"/>
      <c r="EJ438" s="146"/>
      <c r="EK438" s="923"/>
      <c r="EL438" s="923"/>
      <c r="EM438" s="923"/>
      <c r="EN438" s="923"/>
      <c r="EO438" s="926"/>
      <c r="EP438" s="146"/>
      <c r="EQ438" s="923"/>
      <c r="ER438" s="1785"/>
      <c r="ES438" s="1785"/>
      <c r="ET438" s="1785"/>
      <c r="EU438" s="1786"/>
      <c r="EV438" s="1787"/>
      <c r="EW438" s="923"/>
      <c r="EX438" s="923"/>
      <c r="EY438" s="1785"/>
      <c r="EZ438" s="1785"/>
      <c r="FA438" s="1786"/>
      <c r="FB438" s="1787"/>
      <c r="FC438" s="1785"/>
      <c r="FD438" s="1785"/>
      <c r="FE438" s="1785"/>
      <c r="FF438" s="1785"/>
      <c r="FG438" s="1786"/>
      <c r="FH438" s="1787"/>
      <c r="FI438" s="1785"/>
      <c r="FJ438" s="1785"/>
      <c r="FK438" s="1785"/>
      <c r="FL438" s="1785"/>
      <c r="FM438" s="1786"/>
      <c r="FQ438"/>
      <c r="FR438"/>
      <c r="FS438"/>
      <c r="FT438"/>
      <c r="FU438"/>
      <c r="FV438"/>
      <c r="FZ438" s="27" t="s">
        <v>409</v>
      </c>
      <c r="GA438" s="1173">
        <f>BZ432</f>
        <v>3.8412291933418663E-2</v>
      </c>
      <c r="GB438" s="1173">
        <f>CF432</f>
        <v>8.2230442526373571E-2</v>
      </c>
      <c r="GC438" s="1173">
        <f>CL432</f>
        <v>6.3941375618507434E-2</v>
      </c>
      <c r="GD438" s="1173">
        <f>CR432</f>
        <v>6.6925741616698176E-2</v>
      </c>
      <c r="GE438" s="1173">
        <f>CX432</f>
        <v>7.3934649336379721E-2</v>
      </c>
      <c r="GF438" s="1173">
        <f>DD432</f>
        <v>1.0578493491994134E-2</v>
      </c>
      <c r="GG438" s="1173">
        <f>DJ432</f>
        <v>1.0812494562884023E-2</v>
      </c>
      <c r="GH438" s="1174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  <c r="HB438"/>
      <c r="HC438"/>
      <c r="HD438"/>
      <c r="HE438"/>
      <c r="HF438"/>
      <c r="HG438"/>
      <c r="HH438"/>
      <c r="HI438"/>
      <c r="HJ438"/>
      <c r="HK438"/>
      <c r="HL438"/>
      <c r="HM438"/>
      <c r="HN438"/>
      <c r="HO438"/>
      <c r="HP438"/>
      <c r="HQ438"/>
      <c r="HR438"/>
      <c r="HS438"/>
      <c r="HT438"/>
      <c r="HU438"/>
      <c r="HV438"/>
      <c r="HW438"/>
      <c r="HX438"/>
      <c r="HY438"/>
      <c r="HZ438"/>
      <c r="IA438"/>
      <c r="IB438"/>
      <c r="IC438"/>
      <c r="ID438"/>
      <c r="IE438"/>
      <c r="IF438"/>
      <c r="IG438"/>
      <c r="IH438"/>
      <c r="II438"/>
      <c r="IJ438"/>
      <c r="IK438"/>
      <c r="IL438"/>
      <c r="IM438"/>
      <c r="IN438"/>
      <c r="IO438"/>
      <c r="IP438"/>
      <c r="IQ438"/>
      <c r="IR438"/>
      <c r="IS438"/>
      <c r="IT438"/>
      <c r="IU438"/>
      <c r="IV438"/>
      <c r="IW438"/>
      <c r="IX438"/>
      <c r="IY438"/>
      <c r="IZ438"/>
      <c r="JA438"/>
      <c r="JB438"/>
      <c r="JC438"/>
      <c r="JD438"/>
      <c r="JE438"/>
      <c r="JF438"/>
      <c r="JG438"/>
      <c r="JH438"/>
      <c r="JI438"/>
      <c r="JJ438"/>
      <c r="JK438"/>
      <c r="JL438"/>
      <c r="JM438"/>
      <c r="JN438"/>
    </row>
    <row r="439" spans="1:274" s="27" customFormat="1" ht="15" hidden="1" customHeight="1" outlineLevel="1" x14ac:dyDescent="0.2">
      <c r="C439" s="242"/>
      <c r="D439" s="242"/>
      <c r="E439" s="242"/>
      <c r="F439" s="242"/>
      <c r="G439" s="242"/>
      <c r="H439" s="242"/>
      <c r="I439" s="242"/>
      <c r="J439" s="242"/>
      <c r="K439" s="242"/>
      <c r="L439" s="242"/>
      <c r="M439" s="242"/>
      <c r="O439" s="272"/>
      <c r="P439" s="272"/>
      <c r="Q439" s="272"/>
      <c r="R439" s="272"/>
      <c r="S439" s="242"/>
      <c r="U439" s="272"/>
      <c r="V439" s="272"/>
      <c r="W439" s="272"/>
      <c r="X439" s="272"/>
      <c r="Y439" s="242"/>
      <c r="AA439" s="272"/>
      <c r="AB439" s="272"/>
      <c r="AC439" s="272"/>
      <c r="AD439" s="272"/>
      <c r="AE439" s="242"/>
      <c r="AG439" s="272"/>
      <c r="AH439" s="272"/>
      <c r="AI439" s="272"/>
      <c r="AJ439" s="272"/>
      <c r="AK439" s="242"/>
      <c r="AM439" s="272"/>
      <c r="AN439" s="272"/>
      <c r="AO439" s="272"/>
      <c r="AP439" s="272"/>
      <c r="AQ439" s="242"/>
      <c r="AS439" s="272"/>
      <c r="AT439" s="272"/>
      <c r="AU439" s="272"/>
      <c r="AV439" s="272"/>
      <c r="AW439" s="242"/>
      <c r="AY439" s="272"/>
      <c r="AZ439" s="272"/>
      <c r="BA439" s="272"/>
      <c r="BB439" s="272"/>
      <c r="BC439" s="242"/>
      <c r="BE439" s="272"/>
      <c r="BF439" s="272"/>
      <c r="BG439" s="272"/>
      <c r="BH439" s="272"/>
      <c r="BI439" s="242"/>
      <c r="BK439" s="272"/>
      <c r="BL439" s="272"/>
      <c r="BM439" s="272"/>
      <c r="BN439" s="272"/>
      <c r="BO439" s="242"/>
      <c r="BQ439" s="272"/>
      <c r="BR439" s="272"/>
      <c r="BS439" s="272"/>
      <c r="BT439" s="272"/>
      <c r="BU439" s="242"/>
      <c r="BW439" s="927"/>
      <c r="BX439" s="927"/>
      <c r="BY439" s="927"/>
      <c r="BZ439" s="927"/>
      <c r="CA439" s="242"/>
      <c r="CC439" s="927"/>
      <c r="CD439" s="927"/>
      <c r="CE439" s="927">
        <f>CE438/AVERAGE(CE436:CE437)-1</f>
        <v>4.4021958363296143E-3</v>
      </c>
      <c r="CF439" s="927">
        <f>CF438/AVERAGE(CF436:CF437)-1</f>
        <v>9.8989898989898961E-2</v>
      </c>
      <c r="CG439" s="347"/>
      <c r="CI439" s="272"/>
      <c r="CJ439" s="272"/>
      <c r="CK439" s="272"/>
      <c r="CL439" s="272"/>
      <c r="CM439" s="474"/>
      <c r="CO439" s="790">
        <f>(AVERAGE(CO478:CO479)-130)/CI480-1</f>
        <v>8.83084577114428E-2</v>
      </c>
      <c r="CQ439" s="928"/>
      <c r="CR439" s="929"/>
      <c r="CS439" s="557"/>
      <c r="CT439" s="345"/>
      <c r="CU439" s="790">
        <f>(AVERAGE(CU478:CU479)-90)/CO480-1</f>
        <v>6.7203311867525262E-2</v>
      </c>
      <c r="CV439" s="272"/>
      <c r="CW439" s="272"/>
      <c r="CX439" s="272"/>
      <c r="CY439" s="347"/>
      <c r="CZ439" s="345"/>
      <c r="DA439" s="790">
        <f>(AVERAGE(DA478:DA479)-13)/CU480-1</f>
        <v>-0.1005263157894738</v>
      </c>
      <c r="DB439" s="272"/>
      <c r="DC439" s="272"/>
      <c r="DD439" s="927">
        <f>DD438/AVERAGE(DD436:DD437)-1</f>
        <v>-1.3599999999999945E-2</v>
      </c>
      <c r="DE439" s="347"/>
      <c r="DF439" s="345"/>
      <c r="DG439" s="927">
        <f>DG438/AVERAGE(DG436:DG437)-1</f>
        <v>7.8999999999999959E-2</v>
      </c>
      <c r="DH439" s="927">
        <f>DH438/AVERAGE(DH436:DH437)-1</f>
        <v>-3.3043478260869619E-2</v>
      </c>
      <c r="DI439" s="927">
        <f>DI438/AVERAGE(DI436:DI437)-1</f>
        <v>-9.9999999999999978E-2</v>
      </c>
      <c r="DJ439" s="927">
        <f>DJ438/AVERAGE(DJ436:DJ437)-1</f>
        <v>-0.1391176886388833</v>
      </c>
      <c r="DK439" s="347"/>
      <c r="DL439" s="345"/>
      <c r="DM439" s="927">
        <f>DM438/AVERAGE(DM436:DM437)-1</f>
        <v>-4.6339202965709037E-2</v>
      </c>
      <c r="DN439" s="927">
        <f>DN438/AVERAGE(DN436:DN437)-1</f>
        <v>-0.12101088360081147</v>
      </c>
      <c r="DO439" s="927">
        <f>DO438/AVERAGE(DO436:DO437)-1</f>
        <v>-6.7096081588835177E-2</v>
      </c>
      <c r="DP439" s="927">
        <f>DP438/AVERAGE(DP436:DP437)-1</f>
        <v>5.6216216216216308E-2</v>
      </c>
      <c r="DQ439" s="347"/>
      <c r="DR439" s="345"/>
      <c r="DS439" s="927">
        <f>DS438/AVERAGE(DS436:DS437)-1</f>
        <v>-0.13972082339429281</v>
      </c>
      <c r="DT439" s="927">
        <f>DT438/AVERAGE(DT436:DT437)-1</f>
        <v>-0.11471336734570803</v>
      </c>
      <c r="DU439" s="927">
        <f>DU438/AVERAGE(DU436:DU437)-1</f>
        <v>-0.18720852764823448</v>
      </c>
      <c r="DV439" s="927">
        <f>DV438/AVERAGE(DV436:DV437)-1</f>
        <v>5.9739870684274887E-2</v>
      </c>
      <c r="DW439" s="347"/>
      <c r="DX439" s="345"/>
      <c r="DY439" s="927">
        <f>DY438/AVERAGE(DY436:DY437)-1</f>
        <v>-0.11464605693262564</v>
      </c>
      <c r="DZ439" s="927">
        <f>DZ438/AVERAGE(DZ436:DZ437)-1</f>
        <v>3.4842599570989563E-2</v>
      </c>
      <c r="EA439" s="927">
        <f>EA438/AVERAGE(EA436:EA437)-1</f>
        <v>4.9006699173816726E-2</v>
      </c>
      <c r="EB439" s="927">
        <f>EB438/AVERAGE(EB436:EB437)-1</f>
        <v>-2.4061921588423352E-2</v>
      </c>
      <c r="EC439" s="347"/>
      <c r="ED439" s="345"/>
      <c r="EE439" s="272"/>
      <c r="EF439" s="272"/>
      <c r="EG439" s="272"/>
      <c r="EH439" s="272"/>
      <c r="EI439" s="347"/>
      <c r="EJ439" s="345"/>
      <c r="EK439" s="272"/>
      <c r="EL439" s="272"/>
      <c r="EM439" s="272"/>
      <c r="EN439" s="272"/>
      <c r="EO439" s="347"/>
      <c r="EP439" s="345"/>
      <c r="EQ439" s="272"/>
      <c r="ER439" s="272"/>
      <c r="ES439" s="272"/>
      <c r="ET439" s="272"/>
      <c r="EU439" s="347"/>
      <c r="EV439" s="345"/>
      <c r="EW439" s="272"/>
      <c r="EX439" s="272"/>
      <c r="EY439" s="272"/>
      <c r="EZ439" s="272"/>
      <c r="FA439" s="347"/>
      <c r="FB439" s="345"/>
      <c r="FC439" s="272"/>
      <c r="FD439" s="272"/>
      <c r="FE439" s="272"/>
      <c r="FF439" s="272"/>
      <c r="FG439" s="347"/>
      <c r="FH439" s="345"/>
      <c r="FI439" s="272"/>
      <c r="FJ439" s="272"/>
      <c r="FK439" s="272"/>
      <c r="FL439" s="272"/>
      <c r="FM439" s="347"/>
      <c r="FQ439"/>
      <c r="FR439"/>
      <c r="FS439"/>
      <c r="FT439"/>
      <c r="FU439"/>
      <c r="FV439"/>
      <c r="FZ439" s="27" t="s">
        <v>180</v>
      </c>
      <c r="GA439" s="1203">
        <f>BZ499-(AVERAGE(BZ498,BZ497))</f>
        <v>2.0600000000000007E-2</v>
      </c>
      <c r="GB439" s="1203">
        <f>CF499-(AVERAGE(CF498,CF497))</f>
        <v>2.1999999999999992E-2</v>
      </c>
      <c r="GC439" s="1203">
        <f>CL499-(AVERAGE(CL498,CL497))</f>
        <v>6.2000000000000388E-3</v>
      </c>
      <c r="GD439" s="1203">
        <f>CR499-(AVERAGE(CR498,CR497))</f>
        <v>1.4299999999999979E-2</v>
      </c>
      <c r="GE439" s="1203">
        <f>CX499-(AVERAGE(CX498,CX497))</f>
        <v>1.5000000000000013E-2</v>
      </c>
      <c r="GF439" s="1203">
        <f>DD499-(AVERAGE(DD498,DD497))</f>
        <v>7.46E-2</v>
      </c>
      <c r="GG439" s="1203">
        <f>DJ499-(AVERAGE(DJ498,DJ497))</f>
        <v>4.1399999999999881E-2</v>
      </c>
      <c r="GH439" s="1205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  <c r="HB439"/>
      <c r="HC439"/>
      <c r="HD439"/>
      <c r="HE439"/>
      <c r="HF439"/>
      <c r="HG439"/>
      <c r="HH439"/>
      <c r="HI439"/>
      <c r="HJ439"/>
      <c r="HK439"/>
      <c r="HL439"/>
      <c r="HM439"/>
      <c r="HN439"/>
      <c r="HO439"/>
      <c r="HP439"/>
      <c r="HQ439"/>
      <c r="HR439"/>
      <c r="HS439"/>
      <c r="HT439"/>
      <c r="HU439"/>
      <c r="HV439"/>
      <c r="HW439"/>
      <c r="HX439"/>
      <c r="HY439"/>
      <c r="HZ439"/>
      <c r="IA439"/>
      <c r="IB439"/>
      <c r="IC439"/>
      <c r="ID439"/>
      <c r="IE439"/>
      <c r="IF439"/>
      <c r="IG439"/>
      <c r="IH439"/>
      <c r="II439"/>
      <c r="IJ439"/>
      <c r="IK439"/>
      <c r="IL439"/>
      <c r="IM439"/>
      <c r="IN439"/>
      <c r="IO439"/>
      <c r="IP439"/>
      <c r="IQ439"/>
      <c r="IR439"/>
      <c r="IS439"/>
      <c r="IT439"/>
      <c r="IU439"/>
      <c r="IV439"/>
      <c r="IW439"/>
      <c r="IX439"/>
      <c r="IY439"/>
      <c r="IZ439"/>
      <c r="JA439"/>
      <c r="JB439"/>
      <c r="JC439"/>
      <c r="JD439"/>
      <c r="JE439"/>
      <c r="JF439"/>
      <c r="JG439"/>
      <c r="JH439"/>
      <c r="JI439"/>
      <c r="JJ439"/>
      <c r="JK439"/>
      <c r="JL439"/>
      <c r="JM439"/>
      <c r="JN439"/>
    </row>
    <row r="440" spans="1:274" s="27" customFormat="1" ht="15" hidden="1" customHeight="1" outlineLevel="1" x14ac:dyDescent="0.2">
      <c r="C440" s="242"/>
      <c r="D440" s="242"/>
      <c r="E440" s="242"/>
      <c r="F440" s="242"/>
      <c r="G440" s="242"/>
      <c r="H440" s="242"/>
      <c r="I440" s="242"/>
      <c r="J440" s="242"/>
      <c r="K440" s="242"/>
      <c r="L440" s="242"/>
      <c r="M440" s="242"/>
      <c r="O440" s="272"/>
      <c r="P440" s="272"/>
      <c r="Q440" s="272"/>
      <c r="R440" s="272"/>
      <c r="S440" s="242"/>
      <c r="U440" s="272"/>
      <c r="V440" s="272"/>
      <c r="W440" s="272"/>
      <c r="X440" s="272"/>
      <c r="Y440" s="242"/>
      <c r="AA440" s="272"/>
      <c r="AB440" s="272"/>
      <c r="AC440" s="272"/>
      <c r="AD440" s="272"/>
      <c r="AE440" s="242"/>
      <c r="AG440" s="272"/>
      <c r="AH440" s="272"/>
      <c r="AI440" s="272"/>
      <c r="AJ440" s="272"/>
      <c r="AK440" s="242"/>
      <c r="AM440" s="272"/>
      <c r="AN440" s="272"/>
      <c r="AO440" s="272"/>
      <c r="AP440" s="272"/>
      <c r="AQ440" s="242"/>
      <c r="AS440" s="272"/>
      <c r="AT440" s="272"/>
      <c r="AU440" s="272"/>
      <c r="AV440" s="272"/>
      <c r="AW440" s="242"/>
      <c r="AY440" s="272"/>
      <c r="AZ440" s="272"/>
      <c r="BA440" s="272"/>
      <c r="BB440" s="272"/>
      <c r="BC440" s="242"/>
      <c r="BE440" s="272"/>
      <c r="BF440" s="272"/>
      <c r="BG440" s="272"/>
      <c r="BH440" s="272"/>
      <c r="BI440" s="242"/>
      <c r="BK440" s="272"/>
      <c r="BL440" s="272"/>
      <c r="BM440" s="272"/>
      <c r="BN440" s="272"/>
      <c r="BO440" s="242"/>
      <c r="BQ440" s="272"/>
      <c r="BR440" s="272"/>
      <c r="BS440" s="272"/>
      <c r="BT440" s="272"/>
      <c r="BU440" s="242"/>
      <c r="BW440" s="927"/>
      <c r="BX440" s="927"/>
      <c r="BY440" s="927"/>
      <c r="BZ440" s="927"/>
      <c r="CA440" s="242"/>
      <c r="CC440" s="927"/>
      <c r="CD440" s="927"/>
      <c r="CE440" s="927"/>
      <c r="CF440" s="927"/>
      <c r="CG440" s="347"/>
      <c r="CI440" s="272"/>
      <c r="CJ440" s="272"/>
      <c r="CK440" s="272"/>
      <c r="CL440" s="272"/>
      <c r="CM440" s="474"/>
      <c r="CO440" s="790"/>
      <c r="CQ440" s="928"/>
      <c r="CR440" s="929"/>
      <c r="CS440" s="557"/>
      <c r="CT440" s="345"/>
      <c r="CU440" s="790"/>
      <c r="CV440" s="272"/>
      <c r="CW440" s="272"/>
      <c r="CX440" s="272"/>
      <c r="CY440" s="347"/>
      <c r="CZ440" s="345"/>
      <c r="DA440" s="790"/>
      <c r="DB440" s="272"/>
      <c r="DC440" s="272"/>
      <c r="DD440" s="927"/>
      <c r="DE440" s="347"/>
      <c r="DF440" s="345"/>
      <c r="DG440" s="927"/>
      <c r="DH440" s="927"/>
      <c r="DI440" s="927"/>
      <c r="DJ440" s="927"/>
      <c r="DK440" s="347"/>
      <c r="DL440" s="345"/>
      <c r="DM440" s="927"/>
      <c r="DN440" s="927"/>
      <c r="DO440" s="927"/>
      <c r="DP440" s="927"/>
      <c r="DQ440" s="347"/>
      <c r="DR440" s="345"/>
      <c r="DS440" s="927"/>
      <c r="DT440" s="927"/>
      <c r="DU440" s="927"/>
      <c r="DV440" s="927"/>
      <c r="DW440" s="347"/>
      <c r="DX440" s="345"/>
      <c r="DY440" s="927"/>
      <c r="DZ440" s="927"/>
      <c r="EA440" s="927"/>
      <c r="EB440" s="927"/>
      <c r="EC440" s="347"/>
      <c r="ED440" s="345"/>
      <c r="EE440" s="272"/>
      <c r="EF440" s="272"/>
      <c r="EG440" s="272"/>
      <c r="EH440" s="272"/>
      <c r="EI440" s="347"/>
      <c r="EJ440" s="345"/>
      <c r="EK440" s="272"/>
      <c r="EL440" s="272"/>
      <c r="EM440" s="272"/>
      <c r="EN440" s="272"/>
      <c r="EO440" s="347"/>
      <c r="EP440" s="345"/>
      <c r="EQ440" s="272"/>
      <c r="ER440" s="272"/>
      <c r="ES440" s="272"/>
      <c r="ET440" s="272"/>
      <c r="EU440" s="347"/>
      <c r="EV440" s="345"/>
      <c r="EW440" s="272"/>
      <c r="EX440" s="272"/>
      <c r="EY440" s="272"/>
      <c r="EZ440" s="272"/>
      <c r="FA440" s="347"/>
      <c r="FB440" s="345"/>
      <c r="FC440" s="272"/>
      <c r="FD440" s="272"/>
      <c r="FE440" s="272"/>
      <c r="FF440" s="272"/>
      <c r="FG440" s="347"/>
      <c r="FH440" s="345"/>
      <c r="FI440" s="272"/>
      <c r="FJ440" s="272"/>
      <c r="FK440" s="272"/>
      <c r="FL440" s="272"/>
      <c r="FM440" s="347"/>
      <c r="FQ440"/>
      <c r="FR440"/>
      <c r="FS440"/>
      <c r="FT440"/>
      <c r="FU440"/>
      <c r="FV440"/>
      <c r="GA440" s="1203"/>
      <c r="GB440" s="1203"/>
      <c r="GC440" s="1203"/>
      <c r="GD440" s="1203"/>
      <c r="GE440" s="1203"/>
      <c r="GF440" s="1203"/>
      <c r="GG440" s="1203"/>
      <c r="GH440" s="1639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  <c r="HB440"/>
      <c r="HC440"/>
      <c r="HD440"/>
      <c r="HE440"/>
      <c r="HF440"/>
      <c r="HG440"/>
      <c r="HH440"/>
      <c r="HI440"/>
      <c r="HJ440"/>
      <c r="HK440"/>
      <c r="HL440"/>
      <c r="HM440"/>
      <c r="HN440"/>
      <c r="HO440"/>
      <c r="HP440"/>
      <c r="HQ440"/>
      <c r="HR440"/>
      <c r="HS440"/>
      <c r="HT440"/>
      <c r="HU440"/>
      <c r="HV440"/>
      <c r="HW440"/>
      <c r="HX440"/>
      <c r="HY440"/>
      <c r="HZ440"/>
      <c r="IA440"/>
      <c r="IB440"/>
      <c r="IC440"/>
      <c r="ID440"/>
      <c r="IE440"/>
      <c r="IF440"/>
      <c r="IG440"/>
      <c r="IH440"/>
      <c r="II440"/>
      <c r="IJ440"/>
      <c r="IK440"/>
      <c r="IL440"/>
      <c r="IM440"/>
      <c r="IN440"/>
      <c r="IO440"/>
      <c r="IP440"/>
      <c r="IQ440"/>
      <c r="IR440"/>
      <c r="IS440"/>
      <c r="IT440"/>
      <c r="IU440"/>
      <c r="IV440"/>
      <c r="IW440"/>
      <c r="IX440"/>
      <c r="IY440"/>
      <c r="IZ440"/>
      <c r="JA440"/>
      <c r="JB440"/>
      <c r="JC440"/>
      <c r="JD440"/>
      <c r="JE440"/>
      <c r="JF440"/>
      <c r="JG440"/>
      <c r="JH440"/>
      <c r="JI440"/>
      <c r="JJ440"/>
      <c r="JK440"/>
      <c r="JL440"/>
      <c r="JM440"/>
      <c r="JN440"/>
    </row>
    <row r="441" spans="1:274" s="27" customFormat="1" ht="15" hidden="1" customHeight="1" outlineLevel="1" x14ac:dyDescent="0.2">
      <c r="A441" s="32" t="s">
        <v>1113</v>
      </c>
      <c r="C441" s="242"/>
      <c r="D441" s="242"/>
      <c r="E441" s="242"/>
      <c r="F441" s="242"/>
      <c r="G441" s="242"/>
      <c r="H441" s="242"/>
      <c r="I441" s="242"/>
      <c r="J441" s="242"/>
      <c r="K441" s="242"/>
      <c r="L441" s="242"/>
      <c r="M441" s="242"/>
      <c r="O441" s="272"/>
      <c r="P441" s="272"/>
      <c r="Q441" s="272"/>
      <c r="R441" s="272"/>
      <c r="S441" s="242"/>
      <c r="U441" s="272"/>
      <c r="V441" s="272"/>
      <c r="W441" s="272"/>
      <c r="X441" s="272"/>
      <c r="Y441" s="242"/>
      <c r="AA441" s="272"/>
      <c r="AB441" s="272"/>
      <c r="AC441" s="272"/>
      <c r="AD441" s="272"/>
      <c r="AE441" s="242"/>
      <c r="AG441" s="272"/>
      <c r="AH441" s="272"/>
      <c r="AI441" s="272"/>
      <c r="AJ441" s="272"/>
      <c r="AK441" s="242"/>
      <c r="AM441" s="272"/>
      <c r="AN441" s="272"/>
      <c r="AO441" s="272"/>
      <c r="AP441" s="272"/>
      <c r="AQ441" s="242"/>
      <c r="AS441" s="272"/>
      <c r="AT441" s="272"/>
      <c r="AU441" s="272"/>
      <c r="AV441" s="272"/>
      <c r="AW441" s="242"/>
      <c r="AY441" s="272"/>
      <c r="AZ441" s="272"/>
      <c r="BA441" s="272"/>
      <c r="BB441" s="272"/>
      <c r="BC441" s="242"/>
      <c r="BE441" s="272"/>
      <c r="BF441" s="272"/>
      <c r="BG441" s="272"/>
      <c r="BH441" s="272"/>
      <c r="BI441" s="242"/>
      <c r="BK441" s="272"/>
      <c r="BL441" s="272"/>
      <c r="BM441" s="272"/>
      <c r="BN441" s="272"/>
      <c r="BO441" s="242"/>
      <c r="BQ441" s="272"/>
      <c r="BR441" s="272"/>
      <c r="BS441" s="272"/>
      <c r="BT441" s="272"/>
      <c r="BU441" s="242"/>
      <c r="BW441" s="927"/>
      <c r="BX441" s="927"/>
      <c r="BY441" s="927"/>
      <c r="BZ441" s="927"/>
      <c r="CA441" s="242"/>
      <c r="CC441" s="927"/>
      <c r="CD441" s="927"/>
      <c r="CE441" s="927"/>
      <c r="CF441" s="927"/>
      <c r="CG441" s="347"/>
      <c r="CI441" s="272"/>
      <c r="CJ441" s="272"/>
      <c r="CK441" s="272"/>
      <c r="CL441" s="272"/>
      <c r="CM441" s="474"/>
      <c r="CO441" s="790"/>
      <c r="CQ441" s="928"/>
      <c r="CR441" s="929"/>
      <c r="CS441" s="557"/>
      <c r="CT441" s="345"/>
      <c r="CU441" s="790"/>
      <c r="CV441" s="272"/>
      <c r="CW441" s="272"/>
      <c r="CX441" s="272"/>
      <c r="CY441" s="347"/>
      <c r="CZ441" s="345"/>
      <c r="DA441" s="790"/>
      <c r="DB441" s="272"/>
      <c r="DC441" s="272"/>
      <c r="DD441" s="927"/>
      <c r="DE441" s="347"/>
      <c r="DF441" s="345"/>
      <c r="DG441" s="927"/>
      <c r="DH441" s="927"/>
      <c r="DI441" s="927"/>
      <c r="DJ441" s="927"/>
      <c r="DK441" s="347"/>
      <c r="DL441" s="345"/>
      <c r="DM441" s="927"/>
      <c r="DN441" s="927"/>
      <c r="DO441" s="927"/>
      <c r="DP441" s="927"/>
      <c r="DQ441" s="347"/>
      <c r="DR441" s="345"/>
      <c r="DS441" s="927"/>
      <c r="DT441" s="927"/>
      <c r="DU441" s="927"/>
      <c r="DV441" s="927"/>
      <c r="DW441" s="347"/>
      <c r="DX441" s="345"/>
      <c r="DY441" s="927"/>
      <c r="DZ441" s="927"/>
      <c r="EA441" s="927"/>
      <c r="EB441" s="927"/>
      <c r="EC441" s="347"/>
      <c r="ED441" s="345"/>
      <c r="EE441" s="927"/>
      <c r="EF441" s="927"/>
      <c r="EG441" s="927"/>
      <c r="EH441" s="927"/>
      <c r="EI441" s="347"/>
      <c r="EJ441" s="345"/>
      <c r="EK441" s="927"/>
      <c r="EL441" s="927"/>
      <c r="EM441" s="927"/>
      <c r="EN441" s="927"/>
      <c r="EO441" s="347"/>
      <c r="EP441" s="345"/>
      <c r="EQ441" s="927"/>
      <c r="ER441" s="272"/>
      <c r="ES441" s="272"/>
      <c r="ET441" s="272"/>
      <c r="EU441" s="347"/>
      <c r="EV441" s="345"/>
      <c r="EW441" s="927"/>
      <c r="EX441" s="927"/>
      <c r="EY441" s="272"/>
      <c r="EZ441" s="272"/>
      <c r="FA441" s="347"/>
      <c r="FB441" s="345"/>
      <c r="FC441" s="272"/>
      <c r="FD441" s="272"/>
      <c r="FE441" s="272"/>
      <c r="FF441" s="272"/>
      <c r="FG441" s="347"/>
      <c r="FH441" s="345"/>
      <c r="FI441" s="272"/>
      <c r="FJ441" s="272"/>
      <c r="FK441" s="272"/>
      <c r="FL441" s="272"/>
      <c r="FM441" s="347"/>
      <c r="FQ441"/>
      <c r="FR441"/>
      <c r="FS441"/>
      <c r="FT441"/>
      <c r="FU441"/>
      <c r="FV441"/>
      <c r="GA441" s="1203"/>
      <c r="GB441" s="1203"/>
      <c r="GC441" s="1203"/>
      <c r="GD441" s="1203"/>
      <c r="GE441" s="1203"/>
      <c r="GF441" s="1203"/>
      <c r="GG441" s="1203"/>
      <c r="GH441" s="1639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  <c r="HB441"/>
      <c r="HC441"/>
      <c r="HD441"/>
      <c r="HE441"/>
      <c r="HF441"/>
      <c r="HG441"/>
      <c r="HH441"/>
      <c r="HI441"/>
      <c r="HJ441"/>
      <c r="HK441"/>
      <c r="HL441"/>
      <c r="HM441"/>
      <c r="HN441"/>
      <c r="HO441"/>
      <c r="HP441"/>
      <c r="HQ441"/>
      <c r="HR441"/>
      <c r="HS441"/>
      <c r="HT441"/>
      <c r="HU441"/>
      <c r="HV441"/>
      <c r="HW441"/>
      <c r="HX441"/>
      <c r="HY441"/>
      <c r="HZ441"/>
      <c r="IA441"/>
      <c r="IB441"/>
      <c r="IC441"/>
      <c r="ID441"/>
      <c r="IE441"/>
      <c r="IF441"/>
      <c r="IG441"/>
      <c r="IH441"/>
      <c r="II441"/>
      <c r="IJ441"/>
      <c r="IK441"/>
      <c r="IL441"/>
      <c r="IM441"/>
      <c r="IN441"/>
      <c r="IO441"/>
      <c r="IP441"/>
      <c r="IQ441"/>
      <c r="IR441"/>
      <c r="IS441"/>
      <c r="IT441"/>
      <c r="IU441"/>
      <c r="IV441"/>
      <c r="IW441"/>
      <c r="IX441"/>
      <c r="IY441"/>
      <c r="IZ441"/>
      <c r="JA441"/>
      <c r="JB441"/>
      <c r="JC441"/>
      <c r="JD441"/>
      <c r="JE441"/>
      <c r="JF441"/>
      <c r="JG441"/>
      <c r="JH441"/>
      <c r="JI441"/>
      <c r="JJ441"/>
      <c r="JK441"/>
      <c r="JL441"/>
      <c r="JM441"/>
      <c r="JN441"/>
    </row>
    <row r="442" spans="1:274" s="27" customFormat="1" ht="15" hidden="1" customHeight="1" outlineLevel="1" x14ac:dyDescent="0.2">
      <c r="A442" s="27" t="s">
        <v>457</v>
      </c>
      <c r="C442" s="242"/>
      <c r="D442" s="242"/>
      <c r="E442" s="242"/>
      <c r="F442" s="242"/>
      <c r="G442" s="242"/>
      <c r="H442" s="242"/>
      <c r="I442" s="242"/>
      <c r="J442" s="242"/>
      <c r="K442" s="242"/>
      <c r="L442" s="242"/>
      <c r="M442" s="242"/>
      <c r="O442" s="272"/>
      <c r="P442" s="272"/>
      <c r="Q442" s="272"/>
      <c r="R442" s="272"/>
      <c r="S442" s="242"/>
      <c r="U442" s="272"/>
      <c r="V442" s="272"/>
      <c r="W442" s="272"/>
      <c r="X442" s="272"/>
      <c r="Y442" s="242"/>
      <c r="AA442" s="272"/>
      <c r="AB442" s="272"/>
      <c r="AC442" s="272"/>
      <c r="AD442" s="272"/>
      <c r="AE442" s="242"/>
      <c r="AG442" s="272"/>
      <c r="AH442" s="272"/>
      <c r="AI442" s="272"/>
      <c r="AJ442" s="272"/>
      <c r="AK442" s="242"/>
      <c r="AM442" s="272"/>
      <c r="AN442" s="272"/>
      <c r="AO442" s="272"/>
      <c r="AP442" s="272"/>
      <c r="AQ442" s="242"/>
      <c r="AS442" s="272"/>
      <c r="AT442" s="272"/>
      <c r="AU442" s="272"/>
      <c r="AV442" s="272"/>
      <c r="AW442" s="242"/>
      <c r="AY442" s="272"/>
      <c r="AZ442" s="272"/>
      <c r="BA442" s="272"/>
      <c r="BB442" s="272"/>
      <c r="BC442" s="242"/>
      <c r="BE442" s="272"/>
      <c r="BF442" s="272"/>
      <c r="BG442" s="272"/>
      <c r="BH442" s="272"/>
      <c r="BI442" s="242"/>
      <c r="BK442" s="272"/>
      <c r="BL442" s="272"/>
      <c r="BM442" s="272"/>
      <c r="BN442" s="272"/>
      <c r="BO442" s="242"/>
      <c r="BQ442" s="272"/>
      <c r="BR442" s="272"/>
      <c r="BS442" s="272"/>
      <c r="BT442" s="272"/>
      <c r="BU442" s="242"/>
      <c r="BW442" s="927"/>
      <c r="BX442" s="927"/>
      <c r="BY442" s="927"/>
      <c r="BZ442" s="927"/>
      <c r="CA442" s="242"/>
      <c r="CC442" s="927"/>
      <c r="CD442" s="927"/>
      <c r="CE442" s="927"/>
      <c r="CF442" s="927"/>
      <c r="CG442" s="347"/>
      <c r="CI442" s="272"/>
      <c r="CJ442" s="272"/>
      <c r="CK442" s="272"/>
      <c r="CL442" s="272"/>
      <c r="CM442" s="474"/>
      <c r="CO442" s="790"/>
      <c r="CQ442" s="928"/>
      <c r="CR442" s="929"/>
      <c r="CS442" s="557"/>
      <c r="CT442" s="345"/>
      <c r="CU442" s="790"/>
      <c r="CV442" s="272"/>
      <c r="CW442" s="272"/>
      <c r="CX442" s="272"/>
      <c r="CY442" s="347"/>
      <c r="CZ442" s="345"/>
      <c r="DA442" s="790"/>
      <c r="DB442" s="272"/>
      <c r="DC442" s="272"/>
      <c r="DD442" s="927"/>
      <c r="DE442" s="347"/>
      <c r="DF442" s="345"/>
      <c r="DG442" s="927"/>
      <c r="DH442" s="927"/>
      <c r="DI442" s="927"/>
      <c r="DJ442" s="927"/>
      <c r="DK442" s="347"/>
      <c r="DL442" s="345"/>
      <c r="DM442" s="927"/>
      <c r="DN442" s="927"/>
      <c r="DO442" s="927"/>
      <c r="DP442" s="927"/>
      <c r="DQ442" s="347"/>
      <c r="DR442" s="345"/>
      <c r="DS442" s="272"/>
      <c r="DT442" s="600"/>
      <c r="DU442" s="600"/>
      <c r="DV442" s="272"/>
      <c r="DW442" s="347"/>
      <c r="DX442" s="345"/>
      <c r="DY442" s="272"/>
      <c r="DZ442" s="600"/>
      <c r="EA442" s="600"/>
      <c r="EB442" s="272"/>
      <c r="EC442" s="347"/>
      <c r="ED442" s="345"/>
      <c r="EE442" s="272">
        <f>DY444*(1-0.01)</f>
        <v>1253.3399999999999</v>
      </c>
      <c r="EF442" s="272">
        <f>DZ444*(1-0.1)</f>
        <v>1194.3</v>
      </c>
      <c r="EG442" s="272">
        <f>EA444*(1-2%)</f>
        <v>1298.5</v>
      </c>
      <c r="EH442" s="272">
        <f>EB444*(1-2%-10%)</f>
        <v>1290.96</v>
      </c>
      <c r="EI442" s="347"/>
      <c r="EJ442" s="345"/>
      <c r="EK442" s="272"/>
      <c r="EL442" s="600"/>
      <c r="EM442" s="600"/>
      <c r="EN442" s="272"/>
      <c r="EO442" s="347"/>
      <c r="EP442" s="345"/>
      <c r="EQ442" s="272"/>
      <c r="ER442" s="272"/>
      <c r="ES442" s="272"/>
      <c r="ET442" s="272"/>
      <c r="EU442" s="347"/>
      <c r="EV442" s="345"/>
      <c r="EW442" s="272"/>
      <c r="EX442" s="272"/>
      <c r="EY442" s="272"/>
      <c r="EZ442" s="272"/>
      <c r="FA442" s="347"/>
      <c r="FB442" s="345"/>
      <c r="FC442" s="272"/>
      <c r="FD442" s="272"/>
      <c r="FE442" s="272"/>
      <c r="FF442" s="272"/>
      <c r="FG442" s="347"/>
      <c r="FH442" s="345"/>
      <c r="FI442" s="272"/>
      <c r="FJ442" s="272"/>
      <c r="FK442" s="272"/>
      <c r="FL442" s="272"/>
      <c r="FM442" s="347"/>
      <c r="FQ442"/>
      <c r="FR442"/>
      <c r="FS442"/>
      <c r="FT442"/>
      <c r="FU442"/>
      <c r="FV442"/>
      <c r="GA442" s="1203"/>
      <c r="GB442" s="1203"/>
      <c r="GC442" s="1203"/>
      <c r="GD442" s="1203"/>
      <c r="GE442" s="1203"/>
      <c r="GF442" s="1203"/>
      <c r="GG442" s="1203"/>
      <c r="GH442" s="1639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  <c r="HB442"/>
      <c r="HC442"/>
      <c r="HD442"/>
      <c r="HE442"/>
      <c r="HF442"/>
      <c r="HG442"/>
      <c r="HH442"/>
      <c r="HI442"/>
      <c r="HJ442"/>
      <c r="HK442"/>
      <c r="HL442"/>
      <c r="HM442"/>
      <c r="HN442"/>
      <c r="HO442"/>
      <c r="HP442"/>
      <c r="HQ442"/>
      <c r="HR442"/>
      <c r="HS442"/>
      <c r="HT442"/>
      <c r="HU442"/>
      <c r="HV442"/>
      <c r="HW442"/>
      <c r="HX442"/>
      <c r="HY442"/>
      <c r="HZ442"/>
      <c r="IA442"/>
      <c r="IB442"/>
      <c r="IC442"/>
      <c r="ID442"/>
      <c r="IE442"/>
      <c r="IF442"/>
      <c r="IG442"/>
      <c r="IH442"/>
      <c r="II442"/>
      <c r="IJ442"/>
      <c r="IK442"/>
      <c r="IL442"/>
      <c r="IM442"/>
      <c r="IN442"/>
      <c r="IO442"/>
      <c r="IP442"/>
      <c r="IQ442"/>
      <c r="IR442"/>
      <c r="IS442"/>
      <c r="IT442"/>
      <c r="IU442"/>
      <c r="IV442"/>
      <c r="IW442"/>
      <c r="IX442"/>
      <c r="IY442"/>
      <c r="IZ442"/>
      <c r="JA442"/>
      <c r="JB442"/>
      <c r="JC442"/>
      <c r="JD442"/>
      <c r="JE442"/>
      <c r="JF442"/>
      <c r="JG442"/>
      <c r="JH442"/>
      <c r="JI442"/>
      <c r="JJ442"/>
      <c r="JK442"/>
      <c r="JL442"/>
      <c r="JM442"/>
      <c r="JN442"/>
    </row>
    <row r="443" spans="1:274" s="27" customFormat="1" ht="15" hidden="1" customHeight="1" outlineLevel="1" x14ac:dyDescent="0.2">
      <c r="A443" s="27" t="s">
        <v>458</v>
      </c>
      <c r="C443" s="242"/>
      <c r="D443" s="242"/>
      <c r="E443" s="242"/>
      <c r="F443" s="242"/>
      <c r="G443" s="242"/>
      <c r="H443" s="242"/>
      <c r="I443" s="242"/>
      <c r="J443" s="242"/>
      <c r="K443" s="242"/>
      <c r="L443" s="242"/>
      <c r="M443" s="242"/>
      <c r="O443" s="272"/>
      <c r="P443" s="272"/>
      <c r="Q443" s="272"/>
      <c r="R443" s="272"/>
      <c r="S443" s="242"/>
      <c r="U443" s="272"/>
      <c r="V443" s="272"/>
      <c r="W443" s="272"/>
      <c r="X443" s="272"/>
      <c r="Y443" s="242"/>
      <c r="AA443" s="272"/>
      <c r="AB443" s="272"/>
      <c r="AC443" s="272"/>
      <c r="AD443" s="272"/>
      <c r="AE443" s="242"/>
      <c r="AG443" s="272"/>
      <c r="AH443" s="272"/>
      <c r="AI443" s="272"/>
      <c r="AJ443" s="272"/>
      <c r="AK443" s="242"/>
      <c r="AM443" s="272"/>
      <c r="AN443" s="272"/>
      <c r="AO443" s="272"/>
      <c r="AP443" s="272"/>
      <c r="AQ443" s="242"/>
      <c r="AS443" s="272"/>
      <c r="AT443" s="272"/>
      <c r="AU443" s="272"/>
      <c r="AV443" s="272"/>
      <c r="AW443" s="242"/>
      <c r="AY443" s="272"/>
      <c r="AZ443" s="272"/>
      <c r="BA443" s="272"/>
      <c r="BB443" s="272"/>
      <c r="BC443" s="242"/>
      <c r="BE443" s="272"/>
      <c r="BF443" s="272"/>
      <c r="BG443" s="272"/>
      <c r="BH443" s="272"/>
      <c r="BI443" s="242"/>
      <c r="BK443" s="272"/>
      <c r="BL443" s="272"/>
      <c r="BM443" s="272"/>
      <c r="BN443" s="272"/>
      <c r="BO443" s="242"/>
      <c r="BQ443" s="272"/>
      <c r="BR443" s="272"/>
      <c r="BS443" s="272"/>
      <c r="BT443" s="272"/>
      <c r="BU443" s="242"/>
      <c r="BW443" s="927"/>
      <c r="BX443" s="927"/>
      <c r="BY443" s="927"/>
      <c r="BZ443" s="927"/>
      <c r="CA443" s="242"/>
      <c r="CC443" s="927"/>
      <c r="CD443" s="927"/>
      <c r="CE443" s="927"/>
      <c r="CF443" s="927"/>
      <c r="CG443" s="347"/>
      <c r="CI443" s="272"/>
      <c r="CJ443" s="272"/>
      <c r="CK443" s="272"/>
      <c r="CL443" s="272"/>
      <c r="CM443" s="474"/>
      <c r="CO443" s="790"/>
      <c r="CQ443" s="928"/>
      <c r="CR443" s="929"/>
      <c r="CS443" s="557"/>
      <c r="CT443" s="345"/>
      <c r="CU443" s="790"/>
      <c r="CV443" s="272"/>
      <c r="CW443" s="272"/>
      <c r="CX443" s="272"/>
      <c r="CY443" s="347"/>
      <c r="CZ443" s="345"/>
      <c r="DA443" s="790"/>
      <c r="DB443" s="272"/>
      <c r="DC443" s="272"/>
      <c r="DD443" s="927"/>
      <c r="DE443" s="347"/>
      <c r="DF443" s="345"/>
      <c r="DG443" s="927"/>
      <c r="DH443" s="927"/>
      <c r="DI443" s="927"/>
      <c r="DJ443" s="927"/>
      <c r="DK443" s="347"/>
      <c r="DL443" s="345"/>
      <c r="DM443" s="927"/>
      <c r="DN443" s="927"/>
      <c r="DO443" s="927"/>
      <c r="DP443" s="927"/>
      <c r="DQ443" s="347"/>
      <c r="DR443" s="345"/>
      <c r="DS443" s="272"/>
      <c r="DT443" s="600"/>
      <c r="DU443" s="600"/>
      <c r="DV443" s="272"/>
      <c r="DW443" s="347"/>
      <c r="DX443" s="345"/>
      <c r="DY443" s="272"/>
      <c r="DZ443" s="600"/>
      <c r="EA443" s="600"/>
      <c r="EB443" s="272"/>
      <c r="EC443" s="347"/>
      <c r="ED443" s="345"/>
      <c r="EE443" s="272">
        <f>DY444*(1+0.03)</f>
        <v>1303.98</v>
      </c>
      <c r="EF443" s="272">
        <f>DZ444*(1+0)</f>
        <v>1327</v>
      </c>
      <c r="EG443" s="272">
        <f>EA444*(1+8%)</f>
        <v>1431</v>
      </c>
      <c r="EH443" s="272">
        <f>EB444*(1+8%-10%)</f>
        <v>1437.66</v>
      </c>
      <c r="EI443" s="347"/>
      <c r="EJ443" s="345"/>
      <c r="EK443" s="272"/>
      <c r="EL443" s="600"/>
      <c r="EM443" s="600"/>
      <c r="EN443" s="272"/>
      <c r="EO443" s="347"/>
      <c r="EP443" s="345"/>
      <c r="EQ443" s="272"/>
      <c r="ER443" s="272"/>
      <c r="ES443" s="272"/>
      <c r="ET443" s="272"/>
      <c r="EU443" s="347"/>
      <c r="EV443" s="345"/>
      <c r="EW443" s="272"/>
      <c r="EX443" s="272"/>
      <c r="EY443" s="272"/>
      <c r="EZ443" s="272"/>
      <c r="FA443" s="347"/>
      <c r="FB443" s="345"/>
      <c r="FC443" s="272"/>
      <c r="FD443" s="272"/>
      <c r="FE443" s="272"/>
      <c r="FF443" s="272"/>
      <c r="FG443" s="347"/>
      <c r="FH443" s="345"/>
      <c r="FI443" s="272"/>
      <c r="FJ443" s="272"/>
      <c r="FK443" s="272"/>
      <c r="FL443" s="272"/>
      <c r="FM443" s="347"/>
      <c r="FQ443"/>
      <c r="FR443"/>
      <c r="FS443"/>
      <c r="FT443"/>
      <c r="FU443"/>
      <c r="FV443"/>
      <c r="GA443" s="1203"/>
      <c r="GB443" s="1203"/>
      <c r="GC443" s="1203"/>
      <c r="GD443" s="1203"/>
      <c r="GE443" s="1203"/>
      <c r="GF443" s="1203"/>
      <c r="GG443" s="1203"/>
      <c r="GH443" s="1639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  <c r="HB443"/>
      <c r="HC443"/>
      <c r="HD443"/>
      <c r="HE443"/>
      <c r="HF443"/>
      <c r="HG443"/>
      <c r="HH443"/>
      <c r="HI443"/>
      <c r="HJ443"/>
      <c r="HK443"/>
      <c r="HL443"/>
      <c r="HM443"/>
      <c r="HN443"/>
      <c r="HO443"/>
      <c r="HP443"/>
      <c r="HQ443"/>
      <c r="HR443"/>
      <c r="HS443"/>
      <c r="HT443"/>
      <c r="HU443"/>
      <c r="HV443"/>
      <c r="HW443"/>
      <c r="HX443"/>
      <c r="HY443"/>
      <c r="HZ443"/>
      <c r="IA443"/>
      <c r="IB443"/>
      <c r="IC443"/>
      <c r="ID443"/>
      <c r="IE443"/>
      <c r="IF443"/>
      <c r="IG443"/>
      <c r="IH443"/>
      <c r="II443"/>
      <c r="IJ443"/>
      <c r="IK443"/>
      <c r="IL443"/>
      <c r="IM443"/>
      <c r="IN443"/>
      <c r="IO443"/>
      <c r="IP443"/>
      <c r="IQ443"/>
      <c r="IR443"/>
      <c r="IS443"/>
      <c r="IT443"/>
      <c r="IU443"/>
      <c r="IV443"/>
      <c r="IW443"/>
      <c r="IX443"/>
      <c r="IY443"/>
      <c r="IZ443"/>
      <c r="JA443"/>
      <c r="JB443"/>
      <c r="JC443"/>
      <c r="JD443"/>
      <c r="JE443"/>
      <c r="JF443"/>
      <c r="JG443"/>
      <c r="JH443"/>
      <c r="JI443"/>
      <c r="JJ443"/>
      <c r="JK443"/>
      <c r="JL443"/>
      <c r="JM443"/>
      <c r="JN443"/>
    </row>
    <row r="444" spans="1:274" s="27" customFormat="1" ht="15" hidden="1" customHeight="1" outlineLevel="1" x14ac:dyDescent="0.2">
      <c r="A444" s="897" t="s">
        <v>913</v>
      </c>
      <c r="C444" s="242"/>
      <c r="D444" s="242"/>
      <c r="E444" s="242"/>
      <c r="F444" s="242"/>
      <c r="G444" s="242"/>
      <c r="H444" s="242"/>
      <c r="I444" s="242"/>
      <c r="J444" s="242"/>
      <c r="K444" s="242"/>
      <c r="L444" s="242"/>
      <c r="M444" s="242"/>
      <c r="O444" s="272"/>
      <c r="P444" s="272"/>
      <c r="Q444" s="272"/>
      <c r="R444" s="272"/>
      <c r="S444" s="242"/>
      <c r="U444" s="272"/>
      <c r="V444" s="272"/>
      <c r="W444" s="272"/>
      <c r="X444" s="272"/>
      <c r="Y444" s="242"/>
      <c r="AA444" s="272"/>
      <c r="AB444" s="272"/>
      <c r="AC444" s="272"/>
      <c r="AD444" s="272"/>
      <c r="AE444" s="242"/>
      <c r="AG444" s="272"/>
      <c r="AH444" s="272"/>
      <c r="AI444" s="272"/>
      <c r="AJ444" s="272"/>
      <c r="AK444" s="242"/>
      <c r="AM444" s="272"/>
      <c r="AN444" s="272"/>
      <c r="AO444" s="272"/>
      <c r="AP444" s="272"/>
      <c r="AQ444" s="242"/>
      <c r="AS444" s="272"/>
      <c r="AT444" s="272"/>
      <c r="AU444" s="272"/>
      <c r="AV444" s="272"/>
      <c r="AW444" s="242"/>
      <c r="AY444" s="272"/>
      <c r="AZ444" s="272"/>
      <c r="BA444" s="272"/>
      <c r="BB444" s="272"/>
      <c r="BC444" s="242"/>
      <c r="BE444" s="272"/>
      <c r="BF444" s="272"/>
      <c r="BG444" s="272"/>
      <c r="BH444" s="272"/>
      <c r="BI444" s="242"/>
      <c r="BK444" s="272"/>
      <c r="BL444" s="272"/>
      <c r="BM444" s="272"/>
      <c r="BN444" s="272"/>
      <c r="BO444" s="242"/>
      <c r="BQ444" s="272"/>
      <c r="BR444" s="272"/>
      <c r="BS444" s="272"/>
      <c r="BT444" s="272"/>
      <c r="BU444" s="242"/>
      <c r="BW444" s="927"/>
      <c r="BX444" s="927"/>
      <c r="BY444" s="927"/>
      <c r="BZ444" s="927"/>
      <c r="CA444" s="242"/>
      <c r="CC444" s="927"/>
      <c r="CD444" s="927"/>
      <c r="CE444" s="927"/>
      <c r="CF444" s="927"/>
      <c r="CG444" s="347"/>
      <c r="CI444" s="272"/>
      <c r="CJ444" s="272"/>
      <c r="CK444" s="272"/>
      <c r="CL444" s="272"/>
      <c r="CM444" s="474"/>
      <c r="CO444" s="790"/>
      <c r="CQ444" s="928"/>
      <c r="CR444" s="929"/>
      <c r="CS444" s="557"/>
      <c r="CT444" s="345"/>
      <c r="CU444" s="790"/>
      <c r="CV444" s="272"/>
      <c r="CW444" s="272"/>
      <c r="CX444" s="272"/>
      <c r="CY444" s="347"/>
      <c r="CZ444" s="345"/>
      <c r="DA444" s="790"/>
      <c r="DB444" s="272"/>
      <c r="DC444" s="272"/>
      <c r="DD444" s="927"/>
      <c r="DE444" s="347"/>
      <c r="DF444" s="345"/>
      <c r="DG444" s="927"/>
      <c r="DH444" s="927"/>
      <c r="DI444" s="927"/>
      <c r="DJ444" s="927"/>
      <c r="DK444" s="347"/>
      <c r="DL444" s="345"/>
      <c r="DM444" s="927"/>
      <c r="DN444" s="927"/>
      <c r="DO444" s="927"/>
      <c r="DP444" s="927"/>
      <c r="DQ444" s="347"/>
      <c r="DR444" s="345"/>
      <c r="DS444" s="939">
        <f>SUM(Model!DS60,Model!DS67)</f>
        <v>1357</v>
      </c>
      <c r="DT444" s="939">
        <f>SUM(Model!DT60,Model!DT67)</f>
        <v>1324</v>
      </c>
      <c r="DU444" s="939">
        <f>SUM(Model!DU60,Model!DU67)</f>
        <v>1243</v>
      </c>
      <c r="DV444" s="939">
        <f>SUM(Model!DV60,Model!DV67)</f>
        <v>1435</v>
      </c>
      <c r="DW444" s="926"/>
      <c r="DX444" s="146"/>
      <c r="DY444" s="939">
        <f>SUM(Model!DY60,Model!DY67)</f>
        <v>1266</v>
      </c>
      <c r="DZ444" s="939">
        <f>SUM(Model!DZ60,Model!DZ67)</f>
        <v>1327</v>
      </c>
      <c r="EA444" s="939">
        <f>SUM(Model!EA60,Model!EA67)</f>
        <v>1325</v>
      </c>
      <c r="EB444" s="939">
        <f>SUM(Model!EB60,Model!EB67)</f>
        <v>1467</v>
      </c>
      <c r="EC444" s="347"/>
      <c r="ED444" s="146"/>
      <c r="EE444" s="939">
        <f>SUM(Model!EE60,Model!EE67)</f>
        <v>1166</v>
      </c>
      <c r="EF444" s="939">
        <f>SUM(Model!EF60,Model!EF67)</f>
        <v>1336</v>
      </c>
      <c r="EG444" s="939">
        <f>SUM(Model!EG60,Model!EG67)</f>
        <v>1300</v>
      </c>
      <c r="EH444" s="939">
        <f>SUM(Model!EH60,Model!EH67)</f>
        <v>1408</v>
      </c>
      <c r="EI444" s="347"/>
      <c r="EJ444" s="146"/>
      <c r="EK444" s="939"/>
      <c r="EL444" s="939"/>
      <c r="EM444" s="939"/>
      <c r="EN444" s="939"/>
      <c r="EO444" s="347"/>
      <c r="EP444" s="345"/>
      <c r="EQ444" s="939"/>
      <c r="ER444" s="272"/>
      <c r="ES444" s="272"/>
      <c r="ET444" s="272"/>
      <c r="EU444" s="347"/>
      <c r="EV444" s="345"/>
      <c r="EW444" s="939"/>
      <c r="EX444" s="939"/>
      <c r="EY444" s="272"/>
      <c r="EZ444" s="272"/>
      <c r="FA444" s="347"/>
      <c r="FB444" s="345"/>
      <c r="FC444" s="272"/>
      <c r="FD444" s="272"/>
      <c r="FE444" s="272"/>
      <c r="FF444" s="272"/>
      <c r="FG444" s="347"/>
      <c r="FH444" s="345"/>
      <c r="FI444" s="272"/>
      <c r="FJ444" s="272"/>
      <c r="FK444" s="272"/>
      <c r="FL444" s="272"/>
      <c r="FM444" s="347"/>
      <c r="FQ444"/>
      <c r="FR444"/>
      <c r="FS444"/>
      <c r="FT444"/>
      <c r="FU444"/>
      <c r="FV444"/>
      <c r="GA444" s="1203"/>
      <c r="GB444" s="1203"/>
      <c r="GC444" s="1203"/>
      <c r="GD444" s="1203"/>
      <c r="GE444" s="1203"/>
      <c r="GF444" s="1203"/>
      <c r="GG444" s="1203"/>
      <c r="GH444" s="1639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  <c r="HB444"/>
      <c r="HC444"/>
      <c r="HD444"/>
      <c r="HE444"/>
      <c r="HF444"/>
      <c r="HG444"/>
      <c r="HH444"/>
      <c r="HI444"/>
      <c r="HJ444"/>
      <c r="HK444"/>
      <c r="HL444"/>
      <c r="HM444"/>
      <c r="HN444"/>
      <c r="HO444"/>
      <c r="HP444"/>
      <c r="HQ444"/>
      <c r="HR444"/>
      <c r="HS444"/>
      <c r="HT444"/>
      <c r="HU444"/>
      <c r="HV444"/>
      <c r="HW444"/>
      <c r="HX444"/>
      <c r="HY444"/>
      <c r="HZ444"/>
      <c r="IA444"/>
      <c r="IB444"/>
      <c r="IC444"/>
      <c r="ID444"/>
      <c r="IE444"/>
      <c r="IF444"/>
      <c r="IG444"/>
      <c r="IH444"/>
      <c r="II444"/>
      <c r="IJ444"/>
      <c r="IK444"/>
      <c r="IL444"/>
      <c r="IM444"/>
      <c r="IN444"/>
      <c r="IO444"/>
      <c r="IP444"/>
      <c r="IQ444"/>
      <c r="IR444"/>
      <c r="IS444"/>
      <c r="IT444"/>
      <c r="IU444"/>
      <c r="IV444"/>
      <c r="IW444"/>
      <c r="IX444"/>
      <c r="IY444"/>
      <c r="IZ444"/>
      <c r="JA444"/>
      <c r="JB444"/>
      <c r="JC444"/>
      <c r="JD444"/>
      <c r="JE444"/>
      <c r="JF444"/>
      <c r="JG444"/>
      <c r="JH444"/>
      <c r="JI444"/>
      <c r="JJ444"/>
      <c r="JK444"/>
      <c r="JL444"/>
      <c r="JM444"/>
      <c r="JN444"/>
    </row>
    <row r="445" spans="1:274" s="27" customFormat="1" ht="15" hidden="1" customHeight="1" outlineLevel="1" x14ac:dyDescent="0.2">
      <c r="A445" s="32" t="s">
        <v>676</v>
      </c>
      <c r="C445" s="242"/>
      <c r="D445" s="242"/>
      <c r="E445" s="242"/>
      <c r="F445" s="242"/>
      <c r="G445" s="242"/>
      <c r="H445" s="242"/>
      <c r="I445" s="242"/>
      <c r="J445" s="242"/>
      <c r="K445" s="242"/>
      <c r="L445" s="242"/>
      <c r="M445" s="242"/>
      <c r="O445" s="272"/>
      <c r="P445" s="272"/>
      <c r="Q445" s="272"/>
      <c r="R445" s="272"/>
      <c r="S445" s="242"/>
      <c r="U445" s="272"/>
      <c r="V445" s="272"/>
      <c r="W445" s="272"/>
      <c r="X445" s="272"/>
      <c r="Y445" s="242"/>
      <c r="AA445" s="272"/>
      <c r="AB445" s="272"/>
      <c r="AC445" s="272"/>
      <c r="AD445" s="272"/>
      <c r="AE445" s="242"/>
      <c r="AG445" s="272"/>
      <c r="AH445" s="272"/>
      <c r="AI445" s="272"/>
      <c r="AJ445" s="272"/>
      <c r="AK445" s="242"/>
      <c r="AM445" s="272"/>
      <c r="AN445" s="272"/>
      <c r="AO445" s="272"/>
      <c r="AP445" s="272"/>
      <c r="AQ445" s="242"/>
      <c r="AS445" s="272"/>
      <c r="AT445" s="272"/>
      <c r="AU445" s="272"/>
      <c r="AV445" s="272"/>
      <c r="AW445" s="242"/>
      <c r="AY445" s="272"/>
      <c r="AZ445" s="272"/>
      <c r="BA445" s="272"/>
      <c r="BB445" s="272"/>
      <c r="BC445" s="242"/>
      <c r="BE445" s="272"/>
      <c r="BF445" s="272"/>
      <c r="BG445" s="272"/>
      <c r="BH445" s="272"/>
      <c r="BI445" s="242"/>
      <c r="BK445" s="272"/>
      <c r="BL445" s="272"/>
      <c r="BM445" s="272"/>
      <c r="BN445" s="272"/>
      <c r="BO445" s="242"/>
      <c r="BQ445" s="272"/>
      <c r="BR445" s="272"/>
      <c r="BS445" s="272"/>
      <c r="BT445" s="272"/>
      <c r="BU445" s="242"/>
      <c r="BW445" s="927"/>
      <c r="BX445" s="927"/>
      <c r="BY445" s="927"/>
      <c r="BZ445" s="927"/>
      <c r="CA445" s="242"/>
      <c r="CC445" s="927"/>
      <c r="CD445" s="927"/>
      <c r="CE445" s="927"/>
      <c r="CF445" s="927"/>
      <c r="CG445" s="347"/>
      <c r="CI445" s="272"/>
      <c r="CJ445" s="272"/>
      <c r="CK445" s="272"/>
      <c r="CL445" s="272"/>
      <c r="CM445" s="474"/>
      <c r="CO445" s="790"/>
      <c r="CQ445" s="928"/>
      <c r="CR445" s="929"/>
      <c r="CS445" s="557"/>
      <c r="CT445" s="345"/>
      <c r="CU445" s="790"/>
      <c r="CV445" s="272"/>
      <c r="CW445" s="272"/>
      <c r="CX445" s="272"/>
      <c r="CY445" s="347"/>
      <c r="CZ445" s="345"/>
      <c r="DA445" s="790"/>
      <c r="DB445" s="272"/>
      <c r="DC445" s="272"/>
      <c r="DD445" s="927"/>
      <c r="DE445" s="347"/>
      <c r="DF445" s="345"/>
      <c r="DG445" s="927"/>
      <c r="DH445" s="927"/>
      <c r="DI445" s="927"/>
      <c r="DJ445" s="927"/>
      <c r="DK445" s="347"/>
      <c r="DL445" s="345"/>
      <c r="DM445" s="927"/>
      <c r="DN445" s="927"/>
      <c r="DO445" s="927"/>
      <c r="DP445" s="927"/>
      <c r="DQ445" s="347"/>
      <c r="DR445" s="345"/>
      <c r="DS445" s="927"/>
      <c r="DT445" s="927"/>
      <c r="DU445" s="927"/>
      <c r="DV445" s="927"/>
      <c r="DW445" s="347"/>
      <c r="DX445" s="345"/>
      <c r="DY445" s="927"/>
      <c r="DZ445" s="927"/>
      <c r="EA445" s="927"/>
      <c r="EB445" s="927"/>
      <c r="EC445" s="347"/>
      <c r="ED445" s="345"/>
      <c r="EE445" s="927">
        <f>EE444/AVERAGE(EE442:EE443)-1</f>
        <v>-8.8107862918993196E-2</v>
      </c>
      <c r="EF445" s="927">
        <f>EF444/AVERAGE(EF442:EF443)-1</f>
        <v>5.977075318288172E-2</v>
      </c>
      <c r="EG445" s="927">
        <f>EG444/AVERAGE(EG442:EG443)-1</f>
        <v>-4.7444586920681431E-2</v>
      </c>
      <c r="EH445" s="927">
        <f>EH444/AVERAGE(EH442:EH443)-1</f>
        <v>3.2023513717556851E-2</v>
      </c>
      <c r="EI445" s="347"/>
      <c r="EJ445" s="345"/>
      <c r="EK445" s="927"/>
      <c r="EL445" s="927"/>
      <c r="EM445" s="927"/>
      <c r="EN445" s="927"/>
      <c r="EO445" s="347"/>
      <c r="EP445" s="345"/>
      <c r="EQ445" s="927"/>
      <c r="ER445" s="272"/>
      <c r="ES445" s="272"/>
      <c r="ET445" s="272"/>
      <c r="EU445" s="347"/>
      <c r="EV445" s="345"/>
      <c r="EW445" s="927"/>
      <c r="EX445" s="927"/>
      <c r="EY445" s="272"/>
      <c r="EZ445" s="272"/>
      <c r="FA445" s="347"/>
      <c r="FB445" s="345"/>
      <c r="FC445" s="272"/>
      <c r="FD445" s="272"/>
      <c r="FE445" s="272"/>
      <c r="FF445" s="272"/>
      <c r="FG445" s="347"/>
      <c r="FH445" s="345"/>
      <c r="FI445" s="272"/>
      <c r="FJ445" s="272"/>
      <c r="FK445" s="272"/>
      <c r="FL445" s="272"/>
      <c r="FM445" s="347"/>
      <c r="FQ445"/>
      <c r="FR445"/>
      <c r="FS445"/>
      <c r="FT445"/>
      <c r="FU445"/>
      <c r="FV445"/>
      <c r="GA445" s="1203"/>
      <c r="GB445" s="1203"/>
      <c r="GC445" s="1203"/>
      <c r="GD445" s="1203"/>
      <c r="GE445" s="1203"/>
      <c r="GF445" s="1203"/>
      <c r="GG445" s="1203"/>
      <c r="GH445" s="1639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  <c r="HB445"/>
      <c r="HC445"/>
      <c r="HD445"/>
      <c r="HE445"/>
      <c r="HF445"/>
      <c r="HG445"/>
      <c r="HH445"/>
      <c r="HI445"/>
      <c r="HJ445"/>
      <c r="HK445"/>
      <c r="HL445"/>
      <c r="HM445"/>
      <c r="HN445"/>
      <c r="HO445"/>
      <c r="HP445"/>
      <c r="HQ445"/>
      <c r="HR445"/>
      <c r="HS445"/>
      <c r="HT445"/>
      <c r="HU445"/>
      <c r="HV445"/>
      <c r="HW445"/>
      <c r="HX445"/>
      <c r="HY445"/>
      <c r="HZ445"/>
      <c r="IA445"/>
      <c r="IB445"/>
      <c r="IC445"/>
      <c r="ID445"/>
      <c r="IE445"/>
      <c r="IF445"/>
      <c r="IG445"/>
      <c r="IH445"/>
      <c r="II445"/>
      <c r="IJ445"/>
      <c r="IK445"/>
      <c r="IL445"/>
      <c r="IM445"/>
      <c r="IN445"/>
      <c r="IO445"/>
      <c r="IP445"/>
      <c r="IQ445"/>
      <c r="IR445"/>
      <c r="IS445"/>
      <c r="IT445"/>
      <c r="IU445"/>
      <c r="IV445"/>
      <c r="IW445"/>
      <c r="IX445"/>
      <c r="IY445"/>
      <c r="IZ445"/>
      <c r="JA445"/>
      <c r="JB445"/>
      <c r="JC445"/>
      <c r="JD445"/>
      <c r="JE445"/>
      <c r="JF445"/>
      <c r="JG445"/>
      <c r="JH445"/>
      <c r="JI445"/>
      <c r="JJ445"/>
      <c r="JK445"/>
      <c r="JL445"/>
      <c r="JM445"/>
      <c r="JN445"/>
    </row>
    <row r="446" spans="1:274" s="27" customFormat="1" ht="15" hidden="1" customHeight="1" outlineLevel="1" x14ac:dyDescent="0.2">
      <c r="A446" s="32" t="s">
        <v>657</v>
      </c>
      <c r="C446" s="242"/>
      <c r="D446" s="242"/>
      <c r="E446" s="242"/>
      <c r="F446" s="242"/>
      <c r="G446" s="242"/>
      <c r="H446" s="242"/>
      <c r="I446" s="242"/>
      <c r="J446" s="242"/>
      <c r="K446" s="242"/>
      <c r="L446" s="242"/>
      <c r="M446" s="242"/>
      <c r="O446" s="272"/>
      <c r="P446" s="272"/>
      <c r="Q446" s="272"/>
      <c r="R446" s="272"/>
      <c r="S446" s="242"/>
      <c r="U446" s="272"/>
      <c r="V446" s="272"/>
      <c r="W446" s="272"/>
      <c r="X446" s="272"/>
      <c r="Y446" s="242"/>
      <c r="AA446" s="272"/>
      <c r="AB446" s="272"/>
      <c r="AC446" s="272"/>
      <c r="AD446" s="272"/>
      <c r="AE446" s="242"/>
      <c r="AG446" s="272"/>
      <c r="AH446" s="272"/>
      <c r="AI446" s="272"/>
      <c r="AJ446" s="272"/>
      <c r="AK446" s="242"/>
      <c r="AM446" s="272"/>
      <c r="AN446" s="272"/>
      <c r="AO446" s="272"/>
      <c r="AP446" s="272"/>
      <c r="AQ446" s="242"/>
      <c r="AS446" s="272"/>
      <c r="AT446" s="272"/>
      <c r="AU446" s="272"/>
      <c r="AV446" s="272"/>
      <c r="AW446" s="242"/>
      <c r="AY446" s="272"/>
      <c r="AZ446" s="272"/>
      <c r="BA446" s="272"/>
      <c r="BB446" s="272"/>
      <c r="BC446" s="242"/>
      <c r="BE446" s="272"/>
      <c r="BF446" s="272"/>
      <c r="BG446" s="272"/>
      <c r="BH446" s="272"/>
      <c r="BI446" s="242"/>
      <c r="BK446" s="272"/>
      <c r="BL446" s="272"/>
      <c r="BM446" s="272"/>
      <c r="BN446" s="272"/>
      <c r="BO446" s="242"/>
      <c r="BQ446" s="272"/>
      <c r="BR446" s="272"/>
      <c r="BS446" s="272"/>
      <c r="BT446" s="272"/>
      <c r="BU446" s="242"/>
      <c r="BW446" s="927"/>
      <c r="BX446" s="927"/>
      <c r="BY446" s="927"/>
      <c r="BZ446" s="927"/>
      <c r="CA446" s="242"/>
      <c r="CC446" s="927"/>
      <c r="CD446" s="927"/>
      <c r="CE446" s="927"/>
      <c r="CF446" s="927"/>
      <c r="CG446" s="347"/>
      <c r="CI446" s="272"/>
      <c r="CJ446" s="272"/>
      <c r="CK446" s="272"/>
      <c r="CL446" s="272"/>
      <c r="CM446" s="474"/>
      <c r="CO446" s="790"/>
      <c r="CQ446" s="928"/>
      <c r="CR446" s="929"/>
      <c r="CS446" s="557"/>
      <c r="CT446" s="345"/>
      <c r="CU446" s="790"/>
      <c r="CV446" s="272"/>
      <c r="CW446" s="272"/>
      <c r="CX446" s="272"/>
      <c r="CY446" s="347"/>
      <c r="CZ446" s="345"/>
      <c r="DA446" s="790"/>
      <c r="DB446" s="272"/>
      <c r="DC446" s="272"/>
      <c r="DD446" s="927"/>
      <c r="DE446" s="347"/>
      <c r="DF446" s="345"/>
      <c r="DG446" s="927"/>
      <c r="DH446" s="927"/>
      <c r="DI446" s="927"/>
      <c r="DJ446" s="927"/>
      <c r="DK446" s="347"/>
      <c r="DL446" s="345"/>
      <c r="DM446" s="927"/>
      <c r="DN446" s="927"/>
      <c r="DO446" s="927"/>
      <c r="DP446" s="927"/>
      <c r="DQ446" s="347"/>
      <c r="DR446" s="345"/>
      <c r="DS446" s="927"/>
      <c r="DT446" s="927"/>
      <c r="DU446" s="927"/>
      <c r="DV446" s="927"/>
      <c r="DW446" s="347"/>
      <c r="DX446" s="345"/>
      <c r="DY446" s="927"/>
      <c r="DZ446" s="927"/>
      <c r="EA446" s="927"/>
      <c r="EB446" s="927"/>
      <c r="EC446" s="347"/>
      <c r="ED446" s="345"/>
      <c r="EE446" s="927">
        <f>(AVERAGE(EE442:EE443)/EB444-1)</f>
        <v>-0.12838445807770971</v>
      </c>
      <c r="EF446" s="927">
        <f>(AVERAGE(EF442:EF443)/EE444-1)</f>
        <v>8.1174957118353319E-2</v>
      </c>
      <c r="EG446" s="927">
        <f>(AVERAGE(EG442:EG443)/EF444-1)</f>
        <v>2.1519461077844415E-2</v>
      </c>
      <c r="EH446" s="927">
        <f>(AVERAGE(EH442:EH443)/EG444-1)</f>
        <v>4.9469230769230821E-2</v>
      </c>
      <c r="EI446" s="347"/>
      <c r="EJ446" s="345"/>
      <c r="EK446" s="927"/>
      <c r="EL446" s="927"/>
      <c r="EM446" s="927"/>
      <c r="EN446" s="927"/>
      <c r="EO446" s="347"/>
      <c r="EP446" s="345"/>
      <c r="EQ446" s="927"/>
      <c r="ER446" s="272"/>
      <c r="ES446" s="272"/>
      <c r="ET446" s="272"/>
      <c r="EU446" s="347"/>
      <c r="EV446" s="345"/>
      <c r="EW446" s="927"/>
      <c r="EX446" s="927"/>
      <c r="EY446" s="272"/>
      <c r="EZ446" s="272"/>
      <c r="FA446" s="347"/>
      <c r="FB446" s="345"/>
      <c r="FC446" s="272"/>
      <c r="FD446" s="272"/>
      <c r="FE446" s="272"/>
      <c r="FF446" s="272"/>
      <c r="FG446" s="347"/>
      <c r="FH446" s="345"/>
      <c r="FI446" s="272"/>
      <c r="FJ446" s="272"/>
      <c r="FK446" s="272"/>
      <c r="FL446" s="272"/>
      <c r="FM446" s="347"/>
      <c r="FQ446"/>
      <c r="FR446"/>
      <c r="FS446"/>
      <c r="FT446"/>
      <c r="FU446"/>
      <c r="FV446"/>
      <c r="GA446" s="1203"/>
      <c r="GB446" s="1203"/>
      <c r="GC446" s="1203"/>
      <c r="GD446" s="1203"/>
      <c r="GE446" s="1203"/>
      <c r="GF446" s="1203"/>
      <c r="GG446" s="1203"/>
      <c r="GH446" s="1639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  <c r="HB446"/>
      <c r="HC446"/>
      <c r="HD446"/>
      <c r="HE446"/>
      <c r="HF446"/>
      <c r="HG446"/>
      <c r="HH446"/>
      <c r="HI446"/>
      <c r="HJ446"/>
      <c r="HK446"/>
      <c r="HL446"/>
      <c r="HM446"/>
      <c r="HN446"/>
      <c r="HO446"/>
      <c r="HP446"/>
      <c r="HQ446"/>
      <c r="HR446"/>
      <c r="HS446"/>
      <c r="HT446"/>
      <c r="HU446"/>
      <c r="HV446"/>
      <c r="HW446"/>
      <c r="HX446"/>
      <c r="HY446"/>
      <c r="HZ446"/>
      <c r="IA446"/>
      <c r="IB446"/>
      <c r="IC446"/>
      <c r="ID446"/>
      <c r="IE446"/>
      <c r="IF446"/>
      <c r="IG446"/>
      <c r="IH446"/>
      <c r="II446"/>
      <c r="IJ446"/>
      <c r="IK446"/>
      <c r="IL446"/>
      <c r="IM446"/>
      <c r="IN446"/>
      <c r="IO446"/>
      <c r="IP446"/>
      <c r="IQ446"/>
      <c r="IR446"/>
      <c r="IS446"/>
      <c r="IT446"/>
      <c r="IU446"/>
      <c r="IV446"/>
      <c r="IW446"/>
      <c r="IX446"/>
      <c r="IY446"/>
      <c r="IZ446"/>
      <c r="JA446"/>
      <c r="JB446"/>
      <c r="JC446"/>
      <c r="JD446"/>
      <c r="JE446"/>
      <c r="JF446"/>
      <c r="JG446"/>
      <c r="JH446"/>
      <c r="JI446"/>
      <c r="JJ446"/>
      <c r="JK446"/>
      <c r="JL446"/>
      <c r="JM446"/>
      <c r="JN446"/>
    </row>
    <row r="447" spans="1:274" s="27" customFormat="1" ht="15" hidden="1" customHeight="1" outlineLevel="1" x14ac:dyDescent="0.2">
      <c r="C447" s="242"/>
      <c r="D447" s="242"/>
      <c r="E447" s="242"/>
      <c r="F447" s="242"/>
      <c r="G447" s="242"/>
      <c r="H447" s="242"/>
      <c r="I447" s="242"/>
      <c r="J447" s="242"/>
      <c r="K447" s="242"/>
      <c r="L447" s="242"/>
      <c r="M447" s="242"/>
      <c r="O447" s="272"/>
      <c r="P447" s="272"/>
      <c r="Q447" s="272"/>
      <c r="R447" s="272"/>
      <c r="S447" s="242"/>
      <c r="U447" s="272"/>
      <c r="V447" s="272"/>
      <c r="W447" s="272"/>
      <c r="X447" s="272"/>
      <c r="Y447" s="242"/>
      <c r="AA447" s="272"/>
      <c r="AB447" s="272"/>
      <c r="AC447" s="272"/>
      <c r="AD447" s="272"/>
      <c r="AE447" s="242"/>
      <c r="AG447" s="272"/>
      <c r="AH447" s="272"/>
      <c r="AI447" s="272"/>
      <c r="AJ447" s="272"/>
      <c r="AK447" s="242"/>
      <c r="AM447" s="272"/>
      <c r="AN447" s="272"/>
      <c r="AO447" s="272"/>
      <c r="AP447" s="272"/>
      <c r="AQ447" s="242"/>
      <c r="AS447" s="272"/>
      <c r="AT447" s="272"/>
      <c r="AU447" s="272"/>
      <c r="AV447" s="272"/>
      <c r="AW447" s="242"/>
      <c r="AY447" s="272"/>
      <c r="AZ447" s="272"/>
      <c r="BA447" s="272"/>
      <c r="BB447" s="272"/>
      <c r="BC447" s="242"/>
      <c r="BE447" s="272"/>
      <c r="BF447" s="272"/>
      <c r="BG447" s="272"/>
      <c r="BH447" s="272"/>
      <c r="BI447" s="242"/>
      <c r="BK447" s="272"/>
      <c r="BL447" s="272"/>
      <c r="BM447" s="272"/>
      <c r="BN447" s="272"/>
      <c r="BO447" s="242"/>
      <c r="BQ447" s="272"/>
      <c r="BR447" s="272"/>
      <c r="BS447" s="272"/>
      <c r="BT447" s="272"/>
      <c r="BU447" s="242"/>
      <c r="BW447" s="927"/>
      <c r="BX447" s="927"/>
      <c r="BY447" s="927"/>
      <c r="BZ447" s="927"/>
      <c r="CA447" s="242"/>
      <c r="CC447" s="927"/>
      <c r="CD447" s="927"/>
      <c r="CE447" s="927"/>
      <c r="CF447" s="927"/>
      <c r="CG447" s="347"/>
      <c r="CI447" s="272"/>
      <c r="CJ447" s="272"/>
      <c r="CK447" s="272"/>
      <c r="CL447" s="272"/>
      <c r="CM447" s="474"/>
      <c r="CO447" s="790"/>
      <c r="CQ447" s="928"/>
      <c r="CR447" s="929"/>
      <c r="CS447" s="557"/>
      <c r="CT447" s="345"/>
      <c r="CU447" s="790"/>
      <c r="CV447" s="272"/>
      <c r="CW447" s="272"/>
      <c r="CX447" s="272"/>
      <c r="CY447" s="347"/>
      <c r="CZ447" s="345"/>
      <c r="DA447" s="790"/>
      <c r="DB447" s="272"/>
      <c r="DC447" s="272"/>
      <c r="DD447" s="927"/>
      <c r="DE447" s="347"/>
      <c r="DF447" s="345"/>
      <c r="DG447" s="927"/>
      <c r="DH447" s="927"/>
      <c r="DI447" s="927"/>
      <c r="DJ447" s="927"/>
      <c r="DK447" s="347"/>
      <c r="DL447" s="345"/>
      <c r="DM447" s="927"/>
      <c r="DN447" s="927"/>
      <c r="DO447" s="927"/>
      <c r="DP447" s="927"/>
      <c r="DQ447" s="347"/>
      <c r="DR447" s="345"/>
      <c r="DS447" s="927"/>
      <c r="DT447" s="927"/>
      <c r="DU447" s="927"/>
      <c r="DV447" s="927"/>
      <c r="DW447" s="347"/>
      <c r="DX447" s="345"/>
      <c r="DY447" s="927"/>
      <c r="DZ447" s="927"/>
      <c r="EA447" s="927"/>
      <c r="EB447" s="927"/>
      <c r="EC447" s="347"/>
      <c r="ED447" s="345"/>
      <c r="EE447" s="272"/>
      <c r="EF447" s="272"/>
      <c r="EG447" s="272"/>
      <c r="EH447" s="272"/>
      <c r="EI447" s="347"/>
      <c r="EJ447" s="345"/>
      <c r="EK447" s="272"/>
      <c r="EL447" s="272"/>
      <c r="EM447" s="272">
        <f>2825+4740</f>
        <v>7565</v>
      </c>
      <c r="EN447" s="272"/>
      <c r="EO447" s="347"/>
      <c r="EP447" s="345"/>
      <c r="EQ447" s="272"/>
      <c r="ER447" s="272"/>
      <c r="ES447" s="272"/>
      <c r="ET447" s="272"/>
      <c r="EU447" s="347"/>
      <c r="EV447" s="345"/>
      <c r="EW447" s="272"/>
      <c r="EX447" s="272"/>
      <c r="EY447" s="272"/>
      <c r="EZ447" s="272"/>
      <c r="FA447" s="347"/>
      <c r="FB447" s="345"/>
      <c r="FC447" s="272"/>
      <c r="FD447" s="272"/>
      <c r="FE447" s="272"/>
      <c r="FF447" s="272"/>
      <c r="FG447" s="347"/>
      <c r="FH447" s="345"/>
      <c r="FI447" s="272"/>
      <c r="FJ447" s="272"/>
      <c r="FK447" s="272"/>
      <c r="FL447" s="272"/>
      <c r="FM447" s="347"/>
      <c r="FQ447"/>
      <c r="FR447"/>
      <c r="FS447"/>
      <c r="FT447"/>
      <c r="FU447"/>
      <c r="FV447"/>
      <c r="GA447" s="1203"/>
      <c r="GB447" s="1203"/>
      <c r="GC447" s="1203"/>
      <c r="GD447" s="1203"/>
      <c r="GE447" s="1203"/>
      <c r="GF447" s="1203"/>
      <c r="GG447" s="1203"/>
      <c r="GH447" s="1639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  <c r="HB447"/>
      <c r="HC447"/>
      <c r="HD447"/>
      <c r="HE447"/>
      <c r="HF447"/>
      <c r="HG447"/>
      <c r="HH447"/>
      <c r="HI447"/>
      <c r="HJ447"/>
      <c r="HK447"/>
      <c r="HL447"/>
      <c r="HM447"/>
      <c r="HN447"/>
      <c r="HO447"/>
      <c r="HP447"/>
      <c r="HQ447"/>
      <c r="HR447"/>
      <c r="HS447"/>
      <c r="HT447"/>
      <c r="HU447"/>
      <c r="HV447"/>
      <c r="HW447"/>
      <c r="HX447"/>
      <c r="HY447"/>
      <c r="HZ447"/>
      <c r="IA447"/>
      <c r="IB447"/>
      <c r="IC447"/>
      <c r="ID447"/>
      <c r="IE447"/>
      <c r="IF447"/>
      <c r="IG447"/>
      <c r="IH447"/>
      <c r="II447"/>
      <c r="IJ447"/>
      <c r="IK447"/>
      <c r="IL447"/>
      <c r="IM447"/>
      <c r="IN447"/>
      <c r="IO447"/>
      <c r="IP447"/>
      <c r="IQ447"/>
      <c r="IR447"/>
      <c r="IS447"/>
      <c r="IT447"/>
      <c r="IU447"/>
      <c r="IV447"/>
      <c r="IW447"/>
      <c r="IX447"/>
      <c r="IY447"/>
      <c r="IZ447"/>
      <c r="JA447"/>
      <c r="JB447"/>
      <c r="JC447"/>
      <c r="JD447"/>
      <c r="JE447"/>
      <c r="JF447"/>
      <c r="JG447"/>
      <c r="JH447"/>
      <c r="JI447"/>
      <c r="JJ447"/>
      <c r="JK447"/>
      <c r="JL447"/>
      <c r="JM447"/>
      <c r="JN447"/>
    </row>
    <row r="448" spans="1:274" s="27" customFormat="1" ht="15" hidden="1" customHeight="1" outlineLevel="1" x14ac:dyDescent="0.2">
      <c r="C448" s="242"/>
      <c r="D448" s="242"/>
      <c r="E448" s="242"/>
      <c r="F448" s="242"/>
      <c r="G448" s="242"/>
      <c r="H448" s="242"/>
      <c r="I448" s="242"/>
      <c r="J448" s="242"/>
      <c r="K448" s="242"/>
      <c r="L448" s="242"/>
      <c r="M448" s="242"/>
      <c r="O448" s="272"/>
      <c r="P448" s="272"/>
      <c r="Q448" s="272"/>
      <c r="R448" s="272"/>
      <c r="S448" s="242"/>
      <c r="U448" s="272"/>
      <c r="V448" s="272"/>
      <c r="W448" s="272"/>
      <c r="X448" s="272"/>
      <c r="Y448" s="242"/>
      <c r="AA448" s="272"/>
      <c r="AB448" s="272"/>
      <c r="AC448" s="272"/>
      <c r="AD448" s="272"/>
      <c r="AE448" s="242"/>
      <c r="AG448" s="272"/>
      <c r="AH448" s="272"/>
      <c r="AI448" s="272"/>
      <c r="AJ448" s="272"/>
      <c r="AK448" s="242"/>
      <c r="AM448" s="272"/>
      <c r="AN448" s="272"/>
      <c r="AO448" s="272"/>
      <c r="AP448" s="272"/>
      <c r="AQ448" s="242"/>
      <c r="AS448" s="272"/>
      <c r="AT448" s="272"/>
      <c r="AU448" s="272"/>
      <c r="AV448" s="272"/>
      <c r="AW448" s="242"/>
      <c r="AY448" s="272"/>
      <c r="AZ448" s="272"/>
      <c r="BA448" s="272"/>
      <c r="BB448" s="272"/>
      <c r="BC448" s="242"/>
      <c r="BE448" s="272"/>
      <c r="BF448" s="272"/>
      <c r="BG448" s="272"/>
      <c r="BH448" s="272"/>
      <c r="BI448" s="242"/>
      <c r="BK448" s="272"/>
      <c r="BL448" s="272"/>
      <c r="BM448" s="272"/>
      <c r="BN448" s="272"/>
      <c r="BO448" s="242"/>
      <c r="BQ448" s="272"/>
      <c r="BR448" s="272"/>
      <c r="BS448" s="272"/>
      <c r="BT448" s="272"/>
      <c r="BU448" s="242"/>
      <c r="BW448" s="927"/>
      <c r="BX448" s="927"/>
      <c r="BY448" s="927"/>
      <c r="BZ448" s="927"/>
      <c r="CA448" s="242"/>
      <c r="CC448" s="927"/>
      <c r="CD448" s="927"/>
      <c r="CE448" s="927"/>
      <c r="CF448" s="927"/>
      <c r="CG448" s="347"/>
      <c r="CI448" s="272"/>
      <c r="CJ448" s="272"/>
      <c r="CK448" s="272"/>
      <c r="CL448" s="272"/>
      <c r="CM448" s="474"/>
      <c r="CO448" s="790"/>
      <c r="CQ448" s="928"/>
      <c r="CR448" s="929"/>
      <c r="CS448" s="557"/>
      <c r="CT448" s="345"/>
      <c r="CU448" s="790"/>
      <c r="CV448" s="272"/>
      <c r="CW448" s="272"/>
      <c r="CX448" s="272"/>
      <c r="CY448" s="347"/>
      <c r="CZ448" s="345"/>
      <c r="DA448" s="790"/>
      <c r="DB448" s="272"/>
      <c r="DC448" s="272"/>
      <c r="DD448" s="927"/>
      <c r="DE448" s="347"/>
      <c r="DF448" s="345"/>
      <c r="DG448" s="927"/>
      <c r="DH448" s="927"/>
      <c r="DI448" s="927"/>
      <c r="DJ448" s="927"/>
      <c r="DK448" s="347"/>
      <c r="DL448" s="345"/>
      <c r="DM448" s="927"/>
      <c r="DN448" s="927"/>
      <c r="DO448" s="927"/>
      <c r="DP448" s="927"/>
      <c r="DQ448" s="347"/>
      <c r="DR448" s="345"/>
      <c r="DS448" s="927"/>
      <c r="DT448" s="927"/>
      <c r="DU448" s="927"/>
      <c r="DV448" s="927"/>
      <c r="DW448" s="347"/>
      <c r="DX448" s="345"/>
      <c r="DY448" s="927"/>
      <c r="DZ448" s="927"/>
      <c r="EA448" s="927"/>
      <c r="EB448" s="927"/>
      <c r="EC448" s="347"/>
      <c r="ED448" s="345"/>
      <c r="EE448" s="272"/>
      <c r="EF448" s="272"/>
      <c r="EG448" s="272"/>
      <c r="EH448" s="272"/>
      <c r="EI448" s="347"/>
      <c r="EJ448" s="345"/>
      <c r="EK448" s="272"/>
      <c r="EL448" s="272"/>
      <c r="EM448" s="272">
        <f>EM447+660</f>
        <v>8225</v>
      </c>
      <c r="EN448" s="272"/>
      <c r="EO448" s="347"/>
      <c r="EP448" s="345"/>
      <c r="EQ448" s="272"/>
      <c r="ER448" s="272"/>
      <c r="ES448" s="272"/>
      <c r="ET448" s="272"/>
      <c r="EU448" s="347"/>
      <c r="EV448" s="345"/>
      <c r="EW448" s="272"/>
      <c r="EX448" s="272"/>
      <c r="EY448" s="272"/>
      <c r="EZ448" s="272"/>
      <c r="FA448" s="347"/>
      <c r="FB448" s="345"/>
      <c r="FC448" s="272"/>
      <c r="FD448" s="272"/>
      <c r="FE448" s="272"/>
      <c r="FF448" s="272"/>
      <c r="FG448" s="347"/>
      <c r="FH448" s="345"/>
      <c r="FI448" s="272"/>
      <c r="FJ448" s="272"/>
      <c r="FK448" s="272"/>
      <c r="FL448" s="272"/>
      <c r="FM448" s="347"/>
      <c r="FQ448"/>
      <c r="FR448"/>
      <c r="FS448"/>
      <c r="FT448"/>
      <c r="FU448"/>
      <c r="FV448"/>
      <c r="GA448" s="1203"/>
      <c r="GB448" s="1203"/>
      <c r="GC448" s="1203"/>
      <c r="GD448" s="1203"/>
      <c r="GE448" s="1203"/>
      <c r="GF448" s="1203"/>
      <c r="GG448" s="1203"/>
      <c r="GH448" s="1639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  <c r="HB448"/>
      <c r="HC448"/>
      <c r="HD448"/>
      <c r="HE448"/>
      <c r="HF448"/>
      <c r="HG448"/>
      <c r="HH448"/>
      <c r="HI448"/>
      <c r="HJ448"/>
      <c r="HK448"/>
      <c r="HL448"/>
      <c r="HM448"/>
      <c r="HN448"/>
      <c r="HO448"/>
      <c r="HP448"/>
      <c r="HQ448"/>
      <c r="HR448"/>
      <c r="HS448"/>
      <c r="HT448"/>
      <c r="HU448"/>
      <c r="HV448"/>
      <c r="HW448"/>
      <c r="HX448"/>
      <c r="HY448"/>
      <c r="HZ448"/>
      <c r="IA448"/>
      <c r="IB448"/>
      <c r="IC448"/>
      <c r="ID448"/>
      <c r="IE448"/>
      <c r="IF448"/>
      <c r="IG448"/>
      <c r="IH448"/>
      <c r="II448"/>
      <c r="IJ448"/>
      <c r="IK448"/>
      <c r="IL448"/>
      <c r="IM448"/>
      <c r="IN448"/>
      <c r="IO448"/>
      <c r="IP448"/>
      <c r="IQ448"/>
      <c r="IR448"/>
      <c r="IS448"/>
      <c r="IT448"/>
      <c r="IU448"/>
      <c r="IV448"/>
      <c r="IW448"/>
      <c r="IX448"/>
      <c r="IY448"/>
      <c r="IZ448"/>
      <c r="JA448"/>
      <c r="JB448"/>
      <c r="JC448"/>
      <c r="JD448"/>
      <c r="JE448"/>
      <c r="JF448"/>
      <c r="JG448"/>
      <c r="JH448"/>
      <c r="JI448"/>
      <c r="JJ448"/>
      <c r="JK448"/>
      <c r="JL448"/>
      <c r="JM448"/>
      <c r="JN448"/>
    </row>
    <row r="449" spans="1:274" s="27" customFormat="1" ht="15" customHeight="1" collapsed="1" x14ac:dyDescent="0.2">
      <c r="A449" s="32" t="s">
        <v>1109</v>
      </c>
      <c r="C449" s="242"/>
      <c r="D449" s="242"/>
      <c r="E449" s="242"/>
      <c r="F449" s="242"/>
      <c r="G449" s="242"/>
      <c r="H449" s="242"/>
      <c r="I449" s="242"/>
      <c r="J449" s="242"/>
      <c r="K449" s="242"/>
      <c r="L449" s="242"/>
      <c r="M449" s="242"/>
      <c r="O449" s="272"/>
      <c r="P449" s="272"/>
      <c r="Q449" s="272"/>
      <c r="R449" s="272"/>
      <c r="S449" s="242"/>
      <c r="U449" s="272"/>
      <c r="V449" s="272"/>
      <c r="W449" s="272"/>
      <c r="X449" s="272"/>
      <c r="Y449" s="242"/>
      <c r="AA449" s="272"/>
      <c r="AB449" s="272"/>
      <c r="AC449" s="272"/>
      <c r="AD449" s="272"/>
      <c r="AE449" s="242"/>
      <c r="AG449" s="272"/>
      <c r="AH449" s="272"/>
      <c r="AI449" s="272"/>
      <c r="AJ449" s="272"/>
      <c r="AK449" s="242"/>
      <c r="AM449" s="272"/>
      <c r="AN449" s="272"/>
      <c r="AO449" s="272"/>
      <c r="AP449" s="272"/>
      <c r="AQ449" s="242"/>
      <c r="AS449" s="272"/>
      <c r="AT449" s="272"/>
      <c r="AU449" s="272"/>
      <c r="AV449" s="272"/>
      <c r="AW449" s="242"/>
      <c r="AY449" s="272"/>
      <c r="AZ449" s="272"/>
      <c r="BA449" s="272"/>
      <c r="BB449" s="272"/>
      <c r="BC449" s="242"/>
      <c r="BE449" s="272"/>
      <c r="BF449" s="272"/>
      <c r="BG449" s="272"/>
      <c r="BH449" s="272"/>
      <c r="BI449" s="242"/>
      <c r="BK449" s="272"/>
      <c r="BL449" s="272"/>
      <c r="BM449" s="272"/>
      <c r="BN449" s="272"/>
      <c r="BO449" s="242"/>
      <c r="BQ449" s="272"/>
      <c r="BR449" s="272"/>
      <c r="BS449" s="272"/>
      <c r="BT449" s="272"/>
      <c r="BU449" s="242"/>
      <c r="BW449" s="927"/>
      <c r="BX449" s="927"/>
      <c r="BY449" s="927"/>
      <c r="BZ449" s="927"/>
      <c r="CA449" s="242"/>
      <c r="CC449" s="927"/>
      <c r="CD449" s="927"/>
      <c r="CE449" s="927"/>
      <c r="CF449" s="927"/>
      <c r="CG449" s="347"/>
      <c r="CI449" s="272"/>
      <c r="CJ449" s="272"/>
      <c r="CK449" s="272"/>
      <c r="CL449" s="272"/>
      <c r="CM449" s="474"/>
      <c r="CO449" s="790"/>
      <c r="CQ449" s="928"/>
      <c r="CR449" s="929"/>
      <c r="CS449" s="557"/>
      <c r="CT449" s="345"/>
      <c r="CU449" s="790"/>
      <c r="CV449" s="272"/>
      <c r="CW449" s="272"/>
      <c r="CX449" s="272"/>
      <c r="CY449" s="347"/>
      <c r="CZ449" s="345"/>
      <c r="DA449" s="790"/>
      <c r="DB449" s="272"/>
      <c r="DC449" s="272"/>
      <c r="DD449" s="927"/>
      <c r="DE449" s="347"/>
      <c r="DF449" s="345"/>
      <c r="DG449" s="927"/>
      <c r="DH449" s="927"/>
      <c r="DI449" s="927"/>
      <c r="DJ449" s="927"/>
      <c r="DK449" s="347"/>
      <c r="DL449" s="345"/>
      <c r="DM449" s="927"/>
      <c r="DN449" s="927"/>
      <c r="DO449" s="927"/>
      <c r="DP449" s="927"/>
      <c r="DQ449" s="347"/>
      <c r="DR449" s="345"/>
      <c r="DS449" s="927"/>
      <c r="DT449" s="927"/>
      <c r="DU449" s="927"/>
      <c r="DV449" s="927"/>
      <c r="DW449" s="347"/>
      <c r="DX449" s="345"/>
      <c r="DY449" s="927"/>
      <c r="DZ449" s="927"/>
      <c r="EA449" s="927"/>
      <c r="EB449" s="927"/>
      <c r="EC449" s="347"/>
      <c r="ED449" s="345"/>
      <c r="EE449" s="927"/>
      <c r="EF449" s="927"/>
      <c r="EG449" s="927"/>
      <c r="EH449" s="927"/>
      <c r="EI449" s="347"/>
      <c r="EJ449" s="345"/>
      <c r="EK449" s="927"/>
      <c r="EL449" s="927"/>
      <c r="EM449" s="927"/>
      <c r="EN449" s="927"/>
      <c r="EO449" s="347"/>
      <c r="EP449" s="345"/>
      <c r="EQ449" s="927"/>
      <c r="ER449" s="272"/>
      <c r="ES449" s="272"/>
      <c r="ET449" s="272"/>
      <c r="EU449" s="347"/>
      <c r="EV449" s="345"/>
      <c r="EW449" s="927"/>
      <c r="EX449" s="927"/>
      <c r="EY449" s="272"/>
      <c r="EZ449" s="272"/>
      <c r="FA449" s="347"/>
      <c r="FB449" s="345"/>
      <c r="FC449" s="272"/>
      <c r="FD449" s="272"/>
      <c r="FE449" s="272"/>
      <c r="FF449" s="272"/>
      <c r="FG449" s="347"/>
      <c r="FH449" s="345"/>
      <c r="FI449" s="272"/>
      <c r="FJ449" s="272"/>
      <c r="FK449" s="272"/>
      <c r="FL449" s="272"/>
      <c r="FM449" s="347"/>
      <c r="FQ449"/>
      <c r="FR449"/>
      <c r="FS449"/>
      <c r="FT449"/>
      <c r="FU449"/>
      <c r="FV449"/>
      <c r="GA449" s="1203"/>
      <c r="GB449" s="1203"/>
      <c r="GC449" s="1203"/>
      <c r="GD449" s="1203"/>
      <c r="GE449" s="1203"/>
      <c r="GF449" s="1203"/>
      <c r="GG449" s="1203"/>
      <c r="GH449" s="163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  <c r="HB449"/>
      <c r="HC449"/>
      <c r="HD449"/>
      <c r="HE449"/>
      <c r="HF449"/>
      <c r="HG449"/>
      <c r="HH449"/>
      <c r="HI449"/>
      <c r="HJ449"/>
      <c r="HK449"/>
      <c r="HL449"/>
      <c r="HM449"/>
      <c r="HN449"/>
      <c r="HO449"/>
      <c r="HP449"/>
      <c r="HQ449"/>
      <c r="HR449"/>
      <c r="HS449"/>
      <c r="HT449"/>
      <c r="HU449"/>
      <c r="HV449"/>
      <c r="HW449"/>
      <c r="HX449"/>
      <c r="HY449"/>
      <c r="HZ449"/>
      <c r="IA449"/>
      <c r="IB449"/>
      <c r="IC449"/>
      <c r="ID449"/>
      <c r="IE449"/>
      <c r="IF449"/>
      <c r="IG449"/>
      <c r="IH449"/>
      <c r="II449"/>
      <c r="IJ449"/>
      <c r="IK449"/>
      <c r="IL449"/>
      <c r="IM449"/>
      <c r="IN449"/>
      <c r="IO449"/>
      <c r="IP449"/>
      <c r="IQ449"/>
      <c r="IR449"/>
      <c r="IS449"/>
      <c r="IT449"/>
      <c r="IU449"/>
      <c r="IV449"/>
      <c r="IW449"/>
      <c r="IX449"/>
      <c r="IY449"/>
      <c r="IZ449"/>
      <c r="JA449"/>
      <c r="JB449"/>
      <c r="JC449"/>
      <c r="JD449"/>
      <c r="JE449"/>
      <c r="JF449"/>
      <c r="JG449"/>
      <c r="JH449"/>
      <c r="JI449"/>
      <c r="JJ449"/>
      <c r="JK449"/>
      <c r="JL449"/>
      <c r="JM449"/>
      <c r="JN449"/>
    </row>
    <row r="450" spans="1:274" s="27" customFormat="1" ht="15" customHeight="1" x14ac:dyDescent="0.2">
      <c r="A450" s="27" t="s">
        <v>457</v>
      </c>
      <c r="C450" s="242"/>
      <c r="D450" s="242"/>
      <c r="E450" s="242"/>
      <c r="F450" s="242"/>
      <c r="G450" s="242"/>
      <c r="H450" s="242"/>
      <c r="I450" s="242"/>
      <c r="J450" s="242"/>
      <c r="K450" s="242"/>
      <c r="L450" s="242"/>
      <c r="M450" s="242"/>
      <c r="O450" s="272"/>
      <c r="P450" s="272"/>
      <c r="Q450" s="272"/>
      <c r="R450" s="272"/>
      <c r="S450" s="242"/>
      <c r="U450" s="272"/>
      <c r="V450" s="272"/>
      <c r="W450" s="272"/>
      <c r="X450" s="272"/>
      <c r="Y450" s="242"/>
      <c r="AA450" s="272"/>
      <c r="AB450" s="272"/>
      <c r="AC450" s="272"/>
      <c r="AD450" s="272"/>
      <c r="AE450" s="242"/>
      <c r="AG450" s="272"/>
      <c r="AH450" s="272"/>
      <c r="AI450" s="272"/>
      <c r="AJ450" s="272"/>
      <c r="AK450" s="242"/>
      <c r="AM450" s="272"/>
      <c r="AN450" s="272"/>
      <c r="AO450" s="272"/>
      <c r="AP450" s="272"/>
      <c r="AQ450" s="242"/>
      <c r="AS450" s="272"/>
      <c r="AT450" s="272"/>
      <c r="AU450" s="272"/>
      <c r="AV450" s="272"/>
      <c r="AW450" s="242"/>
      <c r="AY450" s="272"/>
      <c r="AZ450" s="272"/>
      <c r="BA450" s="272"/>
      <c r="BB450" s="272"/>
      <c r="BC450" s="242"/>
      <c r="BE450" s="272"/>
      <c r="BF450" s="272"/>
      <c r="BG450" s="272"/>
      <c r="BH450" s="272"/>
      <c r="BI450" s="242"/>
      <c r="BK450" s="272"/>
      <c r="BL450" s="272"/>
      <c r="BM450" s="272"/>
      <c r="BN450" s="272"/>
      <c r="BO450" s="242"/>
      <c r="BQ450" s="272"/>
      <c r="BR450" s="272"/>
      <c r="BS450" s="272"/>
      <c r="BT450" s="272"/>
      <c r="BU450" s="242"/>
      <c r="BW450" s="927"/>
      <c r="BX450" s="927"/>
      <c r="BY450" s="927"/>
      <c r="BZ450" s="927"/>
      <c r="CA450" s="242"/>
      <c r="CC450" s="927"/>
      <c r="CD450" s="927"/>
      <c r="CE450" s="927"/>
      <c r="CF450" s="927"/>
      <c r="CG450" s="347"/>
      <c r="CI450" s="272"/>
      <c r="CJ450" s="272"/>
      <c r="CK450" s="272"/>
      <c r="CL450" s="272"/>
      <c r="CM450" s="474"/>
      <c r="CO450" s="790"/>
      <c r="CQ450" s="928"/>
      <c r="CR450" s="929"/>
      <c r="CS450" s="557"/>
      <c r="CT450" s="345"/>
      <c r="CU450" s="790"/>
      <c r="CV450" s="272"/>
      <c r="CW450" s="272"/>
      <c r="CX450" s="272"/>
      <c r="CY450" s="347"/>
      <c r="CZ450" s="345"/>
      <c r="DA450" s="790"/>
      <c r="DB450" s="272"/>
      <c r="DC450" s="272"/>
      <c r="DD450" s="927"/>
      <c r="DE450" s="347"/>
      <c r="DF450" s="345"/>
      <c r="DG450" s="927"/>
      <c r="DH450" s="927"/>
      <c r="DI450" s="927"/>
      <c r="DJ450" s="927"/>
      <c r="DK450" s="347"/>
      <c r="DL450" s="345"/>
      <c r="DM450" s="927"/>
      <c r="DN450" s="927"/>
      <c r="DO450" s="927"/>
      <c r="DP450" s="927"/>
      <c r="DQ450" s="347"/>
      <c r="DR450" s="345"/>
      <c r="DS450" s="272"/>
      <c r="DT450" s="600"/>
      <c r="DU450" s="600"/>
      <c r="DV450" s="272"/>
      <c r="DW450" s="347"/>
      <c r="DX450" s="345"/>
      <c r="DY450" s="272"/>
      <c r="DZ450" s="600"/>
      <c r="EA450" s="600"/>
      <c r="EB450" s="272"/>
      <c r="EC450" s="347"/>
      <c r="ED450" s="345"/>
      <c r="EE450" s="272">
        <f>DY452*(1+0.06)</f>
        <v>6568.8200000000006</v>
      </c>
      <c r="EF450" s="272">
        <f>DZ452*(1+0.03)</f>
        <v>7206.91</v>
      </c>
      <c r="EG450" s="272">
        <f>EA452*(1+0.05)</f>
        <v>7461.3</v>
      </c>
      <c r="EH450" s="272">
        <f>EB452*(1+2%-10%)</f>
        <v>8205.48</v>
      </c>
      <c r="EI450" s="347"/>
      <c r="EJ450" s="345"/>
      <c r="EK450" s="272">
        <f>EE452*(1+0.06-0.08)</f>
        <v>6446.4400000000005</v>
      </c>
      <c r="EL450" s="272">
        <f>EF452*(1+0-0.06)</f>
        <v>6896.78</v>
      </c>
      <c r="EM450" s="272">
        <f>EG452*(1+0.03-0.04)</f>
        <v>7104.24</v>
      </c>
      <c r="EN450" s="272">
        <f>EH452*(1+0.01-0.02)</f>
        <v>8320.9500000000007</v>
      </c>
      <c r="EO450" s="347" t="s">
        <v>1162</v>
      </c>
      <c r="EP450" s="345"/>
      <c r="EQ450" s="272">
        <f>EK452*(1+0.05)</f>
        <v>6783</v>
      </c>
      <c r="ER450" s="272">
        <f>EL452*(1.03)</f>
        <v>7222.3600000000006</v>
      </c>
      <c r="ES450" s="272">
        <f>EM452*(1+0.04-0.01)</f>
        <v>7298.58</v>
      </c>
      <c r="ET450" s="272">
        <f>EN452*(1+0.01-0.02)</f>
        <v>8356.59</v>
      </c>
      <c r="EU450" s="347"/>
      <c r="EV450" s="345"/>
      <c r="EW450" s="121"/>
      <c r="EX450" s="121"/>
      <c r="EY450" s="272"/>
      <c r="EZ450" s="272"/>
      <c r="FA450" s="347"/>
      <c r="FB450" s="345"/>
      <c r="FC450" s="272"/>
      <c r="FD450" s="272"/>
      <c r="FE450" s="272"/>
      <c r="FF450" s="272"/>
      <c r="FG450" s="347"/>
      <c r="FH450" s="345"/>
      <c r="FI450" s="272"/>
      <c r="FJ450" s="272"/>
      <c r="FK450" s="272"/>
      <c r="FL450" s="272"/>
      <c r="FM450" s="347"/>
      <c r="FQ450"/>
      <c r="FR450"/>
      <c r="FS450"/>
      <c r="FT450"/>
      <c r="FU450"/>
      <c r="FV450"/>
      <c r="GA450" s="1203"/>
      <c r="GB450" s="1203"/>
      <c r="GC450" s="1203"/>
      <c r="GD450" s="1203"/>
      <c r="GE450" s="1203"/>
      <c r="GF450" s="1203"/>
      <c r="GG450" s="1203"/>
      <c r="GH450" s="1639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  <c r="HB450"/>
      <c r="HC450"/>
      <c r="HD450"/>
      <c r="HE450"/>
      <c r="HF450"/>
      <c r="HG450"/>
      <c r="HH450"/>
      <c r="HI450"/>
      <c r="HJ450"/>
      <c r="HK450"/>
      <c r="HL450"/>
      <c r="HM450"/>
      <c r="HN450"/>
      <c r="HO450"/>
      <c r="HP450"/>
      <c r="HQ450"/>
      <c r="HR450"/>
      <c r="HS450"/>
      <c r="HT450"/>
      <c r="HU450"/>
      <c r="HV450"/>
      <c r="HW450"/>
      <c r="HX450"/>
      <c r="HY450"/>
      <c r="HZ450"/>
      <c r="IA450"/>
      <c r="IB450"/>
      <c r="IC450"/>
      <c r="ID450"/>
      <c r="IE450"/>
      <c r="IF450"/>
      <c r="IG450"/>
      <c r="IH450"/>
      <c r="II450"/>
      <c r="IJ450"/>
      <c r="IK450"/>
      <c r="IL450"/>
      <c r="IM450"/>
      <c r="IN450"/>
      <c r="IO450"/>
      <c r="IP450"/>
      <c r="IQ450"/>
      <c r="IR450"/>
      <c r="IS450"/>
      <c r="IT450"/>
      <c r="IU450"/>
      <c r="IV450"/>
      <c r="IW450"/>
      <c r="IX450"/>
      <c r="IY450"/>
      <c r="IZ450"/>
      <c r="JA450"/>
      <c r="JB450"/>
      <c r="JC450"/>
      <c r="JD450"/>
      <c r="JE450"/>
      <c r="JF450"/>
      <c r="JG450"/>
      <c r="JH450"/>
      <c r="JI450"/>
      <c r="JJ450"/>
      <c r="JK450"/>
      <c r="JL450"/>
      <c r="JM450"/>
      <c r="JN450"/>
    </row>
    <row r="451" spans="1:274" s="27" customFormat="1" ht="15" customHeight="1" x14ac:dyDescent="0.2">
      <c r="A451" s="27" t="s">
        <v>458</v>
      </c>
      <c r="C451" s="242"/>
      <c r="D451" s="242"/>
      <c r="E451" s="242"/>
      <c r="F451" s="242"/>
      <c r="G451" s="242"/>
      <c r="H451" s="242"/>
      <c r="I451" s="242"/>
      <c r="J451" s="242"/>
      <c r="K451" s="242"/>
      <c r="L451" s="242"/>
      <c r="M451" s="242"/>
      <c r="O451" s="272"/>
      <c r="P451" s="272"/>
      <c r="Q451" s="272"/>
      <c r="R451" s="272"/>
      <c r="S451" s="242"/>
      <c r="U451" s="272"/>
      <c r="V451" s="272"/>
      <c r="W451" s="272"/>
      <c r="X451" s="272"/>
      <c r="Y451" s="242"/>
      <c r="AA451" s="272"/>
      <c r="AB451" s="272"/>
      <c r="AC451" s="272"/>
      <c r="AD451" s="272"/>
      <c r="AE451" s="242"/>
      <c r="AG451" s="272"/>
      <c r="AH451" s="272"/>
      <c r="AI451" s="272"/>
      <c r="AJ451" s="272"/>
      <c r="AK451" s="242"/>
      <c r="AM451" s="272"/>
      <c r="AN451" s="272"/>
      <c r="AO451" s="272"/>
      <c r="AP451" s="272"/>
      <c r="AQ451" s="242"/>
      <c r="AS451" s="272"/>
      <c r="AT451" s="272"/>
      <c r="AU451" s="272"/>
      <c r="AV451" s="272"/>
      <c r="AW451" s="242"/>
      <c r="AY451" s="272"/>
      <c r="AZ451" s="272"/>
      <c r="BA451" s="272"/>
      <c r="BB451" s="272"/>
      <c r="BC451" s="242"/>
      <c r="BE451" s="272"/>
      <c r="BF451" s="272"/>
      <c r="BG451" s="272"/>
      <c r="BH451" s="272"/>
      <c r="BI451" s="242"/>
      <c r="BK451" s="272"/>
      <c r="BL451" s="272"/>
      <c r="BM451" s="272"/>
      <c r="BN451" s="272"/>
      <c r="BO451" s="242"/>
      <c r="BQ451" s="272"/>
      <c r="BR451" s="272"/>
      <c r="BS451" s="272"/>
      <c r="BT451" s="272"/>
      <c r="BU451" s="242"/>
      <c r="BW451" s="927"/>
      <c r="BX451" s="927"/>
      <c r="BY451" s="927"/>
      <c r="BZ451" s="927"/>
      <c r="CA451" s="242"/>
      <c r="CC451" s="927"/>
      <c r="CD451" s="927"/>
      <c r="CE451" s="927"/>
      <c r="CF451" s="927"/>
      <c r="CG451" s="347"/>
      <c r="CI451" s="272"/>
      <c r="CJ451" s="272"/>
      <c r="CK451" s="272"/>
      <c r="CL451" s="272"/>
      <c r="CM451" s="474"/>
      <c r="CO451" s="790"/>
      <c r="CQ451" s="928"/>
      <c r="CR451" s="929"/>
      <c r="CS451" s="557"/>
      <c r="CT451" s="345"/>
      <c r="CU451" s="790"/>
      <c r="CV451" s="272"/>
      <c r="CW451" s="272"/>
      <c r="CX451" s="272"/>
      <c r="CY451" s="347"/>
      <c r="CZ451" s="345"/>
      <c r="DA451" s="790"/>
      <c r="DB451" s="272"/>
      <c r="DC451" s="272"/>
      <c r="DD451" s="927"/>
      <c r="DE451" s="347"/>
      <c r="DF451" s="345"/>
      <c r="DG451" s="927"/>
      <c r="DH451" s="927"/>
      <c r="DI451" s="927"/>
      <c r="DJ451" s="927"/>
      <c r="DK451" s="347"/>
      <c r="DL451" s="345"/>
      <c r="DM451" s="927"/>
      <c r="DN451" s="927"/>
      <c r="DO451" s="927"/>
      <c r="DP451" s="927"/>
      <c r="DQ451" s="347"/>
      <c r="DR451" s="345"/>
      <c r="DS451" s="272"/>
      <c r="DT451" s="600"/>
      <c r="DU451" s="600"/>
      <c r="DV451" s="272"/>
      <c r="DW451" s="347"/>
      <c r="DX451" s="345"/>
      <c r="DY451" s="272"/>
      <c r="DZ451" s="600"/>
      <c r="EA451" s="600"/>
      <c r="EB451" s="272"/>
      <c r="EC451" s="347"/>
      <c r="ED451" s="345"/>
      <c r="EE451" s="272">
        <f>DY452*(1+0.08)</f>
        <v>6692.76</v>
      </c>
      <c r="EF451" s="272">
        <f>DZ452*(1+0.06)</f>
        <v>7416.8200000000006</v>
      </c>
      <c r="EG451" s="272">
        <f>EA452*(1+0.08)</f>
        <v>7674.4800000000005</v>
      </c>
      <c r="EH451" s="272">
        <f>EB452*(1+6%-10%)</f>
        <v>8562.24</v>
      </c>
      <c r="EI451" s="347"/>
      <c r="EJ451" s="345"/>
      <c r="EK451" s="272">
        <f>EE452*(1+0.08-0.08)</f>
        <v>6578</v>
      </c>
      <c r="EL451" s="272">
        <f>EF452*(1+0.02-0.06)</f>
        <v>7043.5199999999995</v>
      </c>
      <c r="EM451" s="272">
        <f>EG452*(1+0.04-0.04)</f>
        <v>7176</v>
      </c>
      <c r="EN451" s="272">
        <f>EH452*(1+0.02-0.02)</f>
        <v>8405</v>
      </c>
      <c r="EO451" s="347" t="s">
        <v>1161</v>
      </c>
      <c r="EP451" s="345"/>
      <c r="EQ451" s="272">
        <f>EK452*(1+0.07)</f>
        <v>6912.2000000000007</v>
      </c>
      <c r="ER451" s="272">
        <f>EL452*(1.05)</f>
        <v>7362.6</v>
      </c>
      <c r="ES451" s="272">
        <f>EM452*(1+0.06-0.01)</f>
        <v>7440.3</v>
      </c>
      <c r="ET451" s="272">
        <f>EN452*(1+0.03-0.02)</f>
        <v>8525.41</v>
      </c>
      <c r="EU451" s="347"/>
      <c r="EV451" s="345"/>
      <c r="EW451" s="121"/>
      <c r="EX451" s="121"/>
      <c r="EY451" s="272"/>
      <c r="EZ451" s="272"/>
      <c r="FA451" s="347"/>
      <c r="FB451" s="345"/>
      <c r="FC451" s="272"/>
      <c r="FD451" s="272"/>
      <c r="FE451" s="272"/>
      <c r="FF451" s="272"/>
      <c r="FG451" s="347"/>
      <c r="FH451" s="345"/>
      <c r="FI451" s="272"/>
      <c r="FJ451" s="272"/>
      <c r="FK451" s="272"/>
      <c r="FL451" s="272"/>
      <c r="FM451" s="347"/>
      <c r="FQ451"/>
      <c r="FR451"/>
      <c r="FS451"/>
      <c r="FT451"/>
      <c r="FU451"/>
      <c r="FV451"/>
      <c r="GA451" s="1203"/>
      <c r="GB451" s="1203"/>
      <c r="GC451" s="1203"/>
      <c r="GD451" s="1203"/>
      <c r="GE451" s="1203"/>
      <c r="GF451" s="1203"/>
      <c r="GG451" s="1203"/>
      <c r="GH451" s="1639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  <c r="HB451"/>
      <c r="HC451"/>
      <c r="HD451"/>
      <c r="HE451"/>
      <c r="HF451"/>
      <c r="HG451"/>
      <c r="HH451"/>
      <c r="HI451"/>
      <c r="HJ451"/>
      <c r="HK451"/>
      <c r="HL451"/>
      <c r="HM451"/>
      <c r="HN451"/>
      <c r="HO451"/>
      <c r="HP451"/>
      <c r="HQ451"/>
      <c r="HR451"/>
      <c r="HS451"/>
      <c r="HT451"/>
      <c r="HU451"/>
      <c r="HV451"/>
      <c r="HW451"/>
      <c r="HX451"/>
      <c r="HY451"/>
      <c r="HZ451"/>
      <c r="IA451"/>
      <c r="IB451"/>
      <c r="IC451"/>
      <c r="ID451"/>
      <c r="IE451"/>
      <c r="IF451"/>
      <c r="IG451"/>
      <c r="IH451"/>
      <c r="II451"/>
      <c r="IJ451"/>
      <c r="IK451"/>
      <c r="IL451"/>
      <c r="IM451"/>
      <c r="IN451"/>
      <c r="IO451"/>
      <c r="IP451"/>
      <c r="IQ451"/>
      <c r="IR451"/>
      <c r="IS451"/>
      <c r="IT451"/>
      <c r="IU451"/>
      <c r="IV451"/>
      <c r="IW451"/>
      <c r="IX451"/>
      <c r="IY451"/>
      <c r="IZ451"/>
      <c r="JA451"/>
      <c r="JB451"/>
      <c r="JC451"/>
      <c r="JD451"/>
      <c r="JE451"/>
      <c r="JF451"/>
      <c r="JG451"/>
      <c r="JH451"/>
      <c r="JI451"/>
      <c r="JJ451"/>
      <c r="JK451"/>
      <c r="JL451"/>
      <c r="JM451"/>
      <c r="JN451"/>
    </row>
    <row r="452" spans="1:274" s="27" customFormat="1" ht="15" customHeight="1" x14ac:dyDescent="0.2">
      <c r="A452" s="897" t="s">
        <v>913</v>
      </c>
      <c r="C452" s="242"/>
      <c r="D452" s="242"/>
      <c r="E452" s="242"/>
      <c r="F452" s="242"/>
      <c r="G452" s="242"/>
      <c r="H452" s="242"/>
      <c r="I452" s="242"/>
      <c r="J452" s="242"/>
      <c r="K452" s="242"/>
      <c r="L452" s="242"/>
      <c r="M452" s="242"/>
      <c r="O452" s="272"/>
      <c r="P452" s="272"/>
      <c r="Q452" s="272"/>
      <c r="R452" s="272"/>
      <c r="S452" s="242"/>
      <c r="U452" s="272"/>
      <c r="V452" s="272"/>
      <c r="W452" s="272"/>
      <c r="X452" s="272"/>
      <c r="Y452" s="242"/>
      <c r="AA452" s="272"/>
      <c r="AB452" s="272"/>
      <c r="AC452" s="272"/>
      <c r="AD452" s="272"/>
      <c r="AE452" s="242"/>
      <c r="AG452" s="272"/>
      <c r="AH452" s="272"/>
      <c r="AI452" s="272"/>
      <c r="AJ452" s="272"/>
      <c r="AK452" s="242"/>
      <c r="AM452" s="272"/>
      <c r="AN452" s="272"/>
      <c r="AO452" s="272"/>
      <c r="AP452" s="272"/>
      <c r="AQ452" s="242"/>
      <c r="AS452" s="272"/>
      <c r="AT452" s="272"/>
      <c r="AU452" s="272"/>
      <c r="AV452" s="272"/>
      <c r="AW452" s="242"/>
      <c r="AY452" s="272"/>
      <c r="AZ452" s="272"/>
      <c r="BA452" s="272"/>
      <c r="BB452" s="272"/>
      <c r="BC452" s="242"/>
      <c r="BE452" s="272"/>
      <c r="BF452" s="272"/>
      <c r="BG452" s="272"/>
      <c r="BH452" s="272"/>
      <c r="BI452" s="242"/>
      <c r="BK452" s="272"/>
      <c r="BL452" s="272"/>
      <c r="BM452" s="272"/>
      <c r="BN452" s="272"/>
      <c r="BO452" s="242"/>
      <c r="BQ452" s="272"/>
      <c r="BR452" s="272"/>
      <c r="BS452" s="272"/>
      <c r="BT452" s="272"/>
      <c r="BU452" s="242"/>
      <c r="BW452" s="927"/>
      <c r="BX452" s="927"/>
      <c r="BY452" s="927"/>
      <c r="BZ452" s="927"/>
      <c r="CA452" s="242"/>
      <c r="CC452" s="927"/>
      <c r="CD452" s="927"/>
      <c r="CE452" s="927"/>
      <c r="CF452" s="927"/>
      <c r="CG452" s="347"/>
      <c r="CI452" s="272"/>
      <c r="CJ452" s="272"/>
      <c r="CK452" s="272"/>
      <c r="CL452" s="272"/>
      <c r="CM452" s="474"/>
      <c r="CO452" s="790"/>
      <c r="CQ452" s="928"/>
      <c r="CR452" s="929"/>
      <c r="CS452" s="557"/>
      <c r="CT452" s="345"/>
      <c r="CU452" s="790"/>
      <c r="CV452" s="272"/>
      <c r="CW452" s="272"/>
      <c r="CX452" s="272"/>
      <c r="CY452" s="347"/>
      <c r="CZ452" s="345"/>
      <c r="DA452" s="790"/>
      <c r="DB452" s="272"/>
      <c r="DC452" s="272"/>
      <c r="DD452" s="927"/>
      <c r="DE452" s="347"/>
      <c r="DF452" s="345"/>
      <c r="DG452" s="927"/>
      <c r="DH452" s="927"/>
      <c r="DI452" s="927"/>
      <c r="DJ452" s="927"/>
      <c r="DK452" s="347"/>
      <c r="DL452" s="345"/>
      <c r="DM452" s="927"/>
      <c r="DN452" s="927"/>
      <c r="DO452" s="927"/>
      <c r="DP452" s="927"/>
      <c r="DQ452" s="347"/>
      <c r="DR452" s="345"/>
      <c r="DS452" s="939">
        <f>Model!DS52</f>
        <v>5857</v>
      </c>
      <c r="DT452" s="939">
        <f>Model!DT52</f>
        <v>6779</v>
      </c>
      <c r="DU452" s="939">
        <f>Model!DU52</f>
        <v>6792</v>
      </c>
      <c r="DV452" s="939">
        <f>Model!DV52</f>
        <v>8551</v>
      </c>
      <c r="DW452" s="926"/>
      <c r="DX452" s="146"/>
      <c r="DY452" s="939">
        <f>Model!DY52</f>
        <v>6197</v>
      </c>
      <c r="DZ452" s="939">
        <f>Model!DZ52</f>
        <v>6997</v>
      </c>
      <c r="EA452" s="939">
        <f>Model!EA52</f>
        <v>7106</v>
      </c>
      <c r="EB452" s="939">
        <f>Model!EB52</f>
        <v>8919</v>
      </c>
      <c r="EC452" s="347"/>
      <c r="ED452" s="146"/>
      <c r="EE452" s="939">
        <f>Model!EE52</f>
        <v>6578</v>
      </c>
      <c r="EF452" s="939">
        <f>Model!EF52</f>
        <v>7337</v>
      </c>
      <c r="EG452" s="939">
        <f>Model!EG52</f>
        <v>7176</v>
      </c>
      <c r="EH452" s="939">
        <f>Model!EH52</f>
        <v>8405</v>
      </c>
      <c r="EI452" s="347"/>
      <c r="EJ452" s="146"/>
      <c r="EK452" s="939">
        <f>Model!EK52</f>
        <v>6460</v>
      </c>
      <c r="EL452" s="939">
        <f>Model!EL52</f>
        <v>7012</v>
      </c>
      <c r="EM452" s="939">
        <f>Model!EM52</f>
        <v>7086</v>
      </c>
      <c r="EN452" s="939">
        <f>Model!EN52</f>
        <v>8441</v>
      </c>
      <c r="EO452" s="347"/>
      <c r="EP452" s="345"/>
      <c r="EQ452" s="939">
        <f>Model!EQ52</f>
        <v>6809</v>
      </c>
      <c r="ER452" s="939">
        <f>Model!ER52</f>
        <v>7212</v>
      </c>
      <c r="ES452" s="939">
        <f>Model!ES52</f>
        <v>7434</v>
      </c>
      <c r="ET452" s="939">
        <f>Model!ET52</f>
        <v>8933</v>
      </c>
      <c r="EU452" s="347"/>
      <c r="EV452" s="345"/>
      <c r="EW452" s="167"/>
      <c r="EX452" s="167"/>
      <c r="EY452" s="272"/>
      <c r="EZ452" s="272"/>
      <c r="FA452" s="347"/>
      <c r="FB452" s="345"/>
      <c r="FC452" s="272"/>
      <c r="FD452" s="272"/>
      <c r="FE452" s="272"/>
      <c r="FF452" s="272"/>
      <c r="FG452" s="347"/>
      <c r="FH452" s="345"/>
      <c r="FI452" s="272"/>
      <c r="FJ452" s="272"/>
      <c r="FK452" s="272"/>
      <c r="FL452" s="272"/>
      <c r="FM452" s="347"/>
      <c r="FQ452"/>
      <c r="FR452"/>
      <c r="FS452"/>
      <c r="FT452"/>
      <c r="FU452"/>
      <c r="FV452"/>
      <c r="GA452" s="1203"/>
      <c r="GB452" s="1203"/>
      <c r="GC452" s="1203"/>
      <c r="GD452" s="1203"/>
      <c r="GE452" s="1203"/>
      <c r="GF452" s="1203"/>
      <c r="GG452" s="1203"/>
      <c r="GH452" s="1639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  <c r="HB452"/>
      <c r="HC452"/>
      <c r="HD452"/>
      <c r="HE452"/>
      <c r="HF452"/>
      <c r="HG452"/>
      <c r="HH452"/>
      <c r="HI452"/>
      <c r="HJ452"/>
      <c r="HK452"/>
      <c r="HL452"/>
      <c r="HM452"/>
      <c r="HN452"/>
      <c r="HO452"/>
      <c r="HP452"/>
      <c r="HQ452"/>
      <c r="HR452"/>
      <c r="HS452"/>
      <c r="HT452"/>
      <c r="HU452"/>
      <c r="HV452"/>
      <c r="HW452"/>
      <c r="HX452"/>
      <c r="HY452"/>
      <c r="HZ452"/>
      <c r="IA452"/>
      <c r="IB452"/>
      <c r="IC452"/>
      <c r="ID452"/>
      <c r="IE452"/>
      <c r="IF452"/>
      <c r="IG452"/>
      <c r="IH452"/>
      <c r="II452"/>
      <c r="IJ452"/>
      <c r="IK452"/>
      <c r="IL452"/>
      <c r="IM452"/>
      <c r="IN452"/>
      <c r="IO452"/>
      <c r="IP452"/>
      <c r="IQ452"/>
      <c r="IR452"/>
      <c r="IS452"/>
      <c r="IT452"/>
      <c r="IU452"/>
      <c r="IV452"/>
      <c r="IW452"/>
      <c r="IX452"/>
      <c r="IY452"/>
      <c r="IZ452"/>
      <c r="JA452"/>
      <c r="JB452"/>
      <c r="JC452"/>
      <c r="JD452"/>
      <c r="JE452"/>
      <c r="JF452"/>
      <c r="JG452"/>
      <c r="JH452"/>
      <c r="JI452"/>
      <c r="JJ452"/>
      <c r="JK452"/>
      <c r="JL452"/>
      <c r="JM452"/>
      <c r="JN452"/>
    </row>
    <row r="453" spans="1:274" s="27" customFormat="1" ht="15" customHeight="1" x14ac:dyDescent="0.2">
      <c r="A453" s="32" t="s">
        <v>676</v>
      </c>
      <c r="C453" s="242"/>
      <c r="D453" s="242"/>
      <c r="E453" s="242"/>
      <c r="F453" s="242"/>
      <c r="G453" s="242"/>
      <c r="H453" s="242"/>
      <c r="I453" s="242"/>
      <c r="J453" s="242"/>
      <c r="K453" s="242"/>
      <c r="L453" s="242"/>
      <c r="M453" s="242"/>
      <c r="O453" s="272"/>
      <c r="P453" s="272"/>
      <c r="Q453" s="272"/>
      <c r="R453" s="272"/>
      <c r="S453" s="242"/>
      <c r="U453" s="272"/>
      <c r="V453" s="272"/>
      <c r="W453" s="272"/>
      <c r="X453" s="272"/>
      <c r="Y453" s="242"/>
      <c r="AA453" s="272"/>
      <c r="AB453" s="272"/>
      <c r="AC453" s="272"/>
      <c r="AD453" s="272"/>
      <c r="AE453" s="242"/>
      <c r="AG453" s="272"/>
      <c r="AH453" s="272"/>
      <c r="AI453" s="272"/>
      <c r="AJ453" s="272"/>
      <c r="AK453" s="242"/>
      <c r="AM453" s="272"/>
      <c r="AN453" s="272"/>
      <c r="AO453" s="272"/>
      <c r="AP453" s="272"/>
      <c r="AQ453" s="242"/>
      <c r="AS453" s="272"/>
      <c r="AT453" s="272"/>
      <c r="AU453" s="272"/>
      <c r="AV453" s="272"/>
      <c r="AW453" s="242"/>
      <c r="AY453" s="272"/>
      <c r="AZ453" s="272"/>
      <c r="BA453" s="272"/>
      <c r="BB453" s="272"/>
      <c r="BC453" s="242"/>
      <c r="BE453" s="272"/>
      <c r="BF453" s="272"/>
      <c r="BG453" s="272"/>
      <c r="BH453" s="272"/>
      <c r="BI453" s="242"/>
      <c r="BK453" s="272"/>
      <c r="BL453" s="272"/>
      <c r="BM453" s="272"/>
      <c r="BN453" s="272"/>
      <c r="BO453" s="242"/>
      <c r="BQ453" s="272"/>
      <c r="BR453" s="272"/>
      <c r="BS453" s="272"/>
      <c r="BT453" s="272"/>
      <c r="BU453" s="242"/>
      <c r="BW453" s="927"/>
      <c r="BX453" s="927"/>
      <c r="BY453" s="927"/>
      <c r="BZ453" s="927"/>
      <c r="CA453" s="242"/>
      <c r="CC453" s="927"/>
      <c r="CD453" s="927"/>
      <c r="CE453" s="927"/>
      <c r="CF453" s="927"/>
      <c r="CG453" s="347"/>
      <c r="CI453" s="272"/>
      <c r="CJ453" s="272"/>
      <c r="CK453" s="272"/>
      <c r="CL453" s="272"/>
      <c r="CM453" s="474"/>
      <c r="CO453" s="790"/>
      <c r="CQ453" s="928"/>
      <c r="CR453" s="929"/>
      <c r="CS453" s="557"/>
      <c r="CT453" s="345"/>
      <c r="CU453" s="790"/>
      <c r="CV453" s="272"/>
      <c r="CW453" s="272"/>
      <c r="CX453" s="272"/>
      <c r="CY453" s="347"/>
      <c r="CZ453" s="345"/>
      <c r="DA453" s="790"/>
      <c r="DB453" s="272"/>
      <c r="DC453" s="272"/>
      <c r="DD453" s="927"/>
      <c r="DE453" s="347"/>
      <c r="DF453" s="345"/>
      <c r="DG453" s="927"/>
      <c r="DH453" s="927"/>
      <c r="DI453" s="927"/>
      <c r="DJ453" s="927"/>
      <c r="DK453" s="347"/>
      <c r="DL453" s="345"/>
      <c r="DM453" s="927"/>
      <c r="DN453" s="927"/>
      <c r="DO453" s="927"/>
      <c r="DP453" s="927"/>
      <c r="DQ453" s="347"/>
      <c r="DR453" s="345"/>
      <c r="DS453" s="927"/>
      <c r="DT453" s="927"/>
      <c r="DU453" s="927"/>
      <c r="DV453" s="927"/>
      <c r="DW453" s="347"/>
      <c r="DX453" s="345"/>
      <c r="DY453" s="927"/>
      <c r="DZ453" s="927"/>
      <c r="EA453" s="927"/>
      <c r="EB453" s="927"/>
      <c r="EC453" s="347"/>
      <c r="ED453" s="345"/>
      <c r="EE453" s="927">
        <f>EE452/AVERAGE(EE450:EE451)-1</f>
        <v>-7.9613439725886304E-3</v>
      </c>
      <c r="EF453" s="927">
        <f>EF452/AVERAGE(EF450:EF451)-1</f>
        <v>3.4375634670498201E-3</v>
      </c>
      <c r="EG453" s="927">
        <f>EG452/AVERAGE(EG450:EG451)-1</f>
        <v>-5.1783257949045258E-2</v>
      </c>
      <c r="EH453" s="927">
        <f>EH452/AVERAGE(EH450:EH451)-1</f>
        <v>2.5215115710424119E-3</v>
      </c>
      <c r="EI453" s="347"/>
      <c r="EJ453" s="345"/>
      <c r="EK453" s="927">
        <f>EK452/AVERAGE(EK450:EK451)-1</f>
        <v>-8.0187708646206612E-3</v>
      </c>
      <c r="EL453" s="927">
        <f>EL452/AVERAGE(EL450:EL451)-1</f>
        <v>6.0041749460197913E-3</v>
      </c>
      <c r="EM453" s="927">
        <f>EM452/AVERAGE(EM450:EM451)-1</f>
        <v>-7.5797045427807852E-3</v>
      </c>
      <c r="EN453" s="927">
        <f>EN452/AVERAGE(EN450:EN451)-1</f>
        <v>9.3298138521278329E-3</v>
      </c>
      <c r="EO453" s="347"/>
      <c r="EP453" s="345"/>
      <c r="EQ453" s="927">
        <f>EQ452/AVERAGE(EQ450:EQ451)-1</f>
        <v>-5.6370115076815885E-3</v>
      </c>
      <c r="ER453" s="927">
        <f>ER452/AVERAGE(ER450:ER451)-1</f>
        <v>-1.1036026152968614E-2</v>
      </c>
      <c r="ES453" s="927">
        <f>ES452/AVERAGE(ES450:ES451)-1</f>
        <v>8.7605028333224144E-3</v>
      </c>
      <c r="ET453" s="927">
        <f>ET452/AVERAGE(ET450:ET451)-1</f>
        <v>5.8286932827863902E-2</v>
      </c>
      <c r="EU453" s="347"/>
      <c r="EV453" s="345"/>
      <c r="EW453" s="1867"/>
      <c r="EX453" s="1867"/>
      <c r="EY453" s="272"/>
      <c r="EZ453" s="272"/>
      <c r="FA453" s="347"/>
      <c r="FB453" s="345"/>
      <c r="FC453" s="272"/>
      <c r="FD453" s="272"/>
      <c r="FE453" s="272"/>
      <c r="FF453" s="272"/>
      <c r="FG453" s="347"/>
      <c r="FH453" s="345"/>
      <c r="FI453" s="272"/>
      <c r="FJ453" s="272"/>
      <c r="FK453" s="272"/>
      <c r="FL453" s="272"/>
      <c r="FM453" s="347"/>
      <c r="FQ453"/>
      <c r="FR453"/>
      <c r="FS453"/>
      <c r="FT453"/>
      <c r="FU453"/>
      <c r="FV453"/>
      <c r="GA453" s="1203"/>
      <c r="GB453" s="1203"/>
      <c r="GC453" s="1203"/>
      <c r="GD453" s="1203"/>
      <c r="GE453" s="1203"/>
      <c r="GF453" s="1203"/>
      <c r="GG453" s="1203"/>
      <c r="GH453" s="1639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  <c r="HB453"/>
      <c r="HC453"/>
      <c r="HD453"/>
      <c r="HE453"/>
      <c r="HF453"/>
      <c r="HG453"/>
      <c r="HH453"/>
      <c r="HI453"/>
      <c r="HJ453"/>
      <c r="HK453"/>
      <c r="HL453"/>
      <c r="HM453"/>
      <c r="HN453"/>
      <c r="HO453"/>
      <c r="HP453"/>
      <c r="HQ453"/>
      <c r="HR453"/>
      <c r="HS453"/>
      <c r="HT453"/>
      <c r="HU453"/>
      <c r="HV453"/>
      <c r="HW453"/>
      <c r="HX453"/>
      <c r="HY453"/>
      <c r="HZ453"/>
      <c r="IA453"/>
      <c r="IB453"/>
      <c r="IC453"/>
      <c r="ID453"/>
      <c r="IE453"/>
      <c r="IF453"/>
      <c r="IG453"/>
      <c r="IH453"/>
      <c r="II453"/>
      <c r="IJ453"/>
      <c r="IK453"/>
      <c r="IL453"/>
      <c r="IM453"/>
      <c r="IN453"/>
      <c r="IO453"/>
      <c r="IP453"/>
      <c r="IQ453"/>
      <c r="IR453"/>
      <c r="IS453"/>
      <c r="IT453"/>
      <c r="IU453"/>
      <c r="IV453"/>
      <c r="IW453"/>
      <c r="IX453"/>
      <c r="IY453"/>
      <c r="IZ453"/>
      <c r="JA453"/>
      <c r="JB453"/>
      <c r="JC453"/>
      <c r="JD453"/>
      <c r="JE453"/>
      <c r="JF453"/>
      <c r="JG453"/>
      <c r="JH453"/>
      <c r="JI453"/>
      <c r="JJ453"/>
      <c r="JK453"/>
      <c r="JL453"/>
      <c r="JM453"/>
      <c r="JN453"/>
    </row>
    <row r="454" spans="1:274" s="27" customFormat="1" ht="15" customHeight="1" x14ac:dyDescent="0.2">
      <c r="A454" s="32" t="s">
        <v>657</v>
      </c>
      <c r="C454" s="242"/>
      <c r="D454" s="242"/>
      <c r="E454" s="242"/>
      <c r="F454" s="242"/>
      <c r="G454" s="242"/>
      <c r="H454" s="242"/>
      <c r="I454" s="242"/>
      <c r="J454" s="242"/>
      <c r="K454" s="242"/>
      <c r="L454" s="242"/>
      <c r="M454" s="242"/>
      <c r="O454" s="272"/>
      <c r="P454" s="272"/>
      <c r="Q454" s="272"/>
      <c r="R454" s="272"/>
      <c r="S454" s="242"/>
      <c r="U454" s="272"/>
      <c r="V454" s="272"/>
      <c r="W454" s="272"/>
      <c r="X454" s="272"/>
      <c r="Y454" s="242"/>
      <c r="AA454" s="272"/>
      <c r="AB454" s="272"/>
      <c r="AC454" s="272"/>
      <c r="AD454" s="272"/>
      <c r="AE454" s="242"/>
      <c r="AG454" s="272"/>
      <c r="AH454" s="272"/>
      <c r="AI454" s="272"/>
      <c r="AJ454" s="272"/>
      <c r="AK454" s="242"/>
      <c r="AM454" s="272"/>
      <c r="AN454" s="272"/>
      <c r="AO454" s="272"/>
      <c r="AP454" s="272"/>
      <c r="AQ454" s="242"/>
      <c r="AS454" s="272"/>
      <c r="AT454" s="272"/>
      <c r="AU454" s="272"/>
      <c r="AV454" s="272"/>
      <c r="AW454" s="242"/>
      <c r="AY454" s="272"/>
      <c r="AZ454" s="272"/>
      <c r="BA454" s="272"/>
      <c r="BB454" s="272"/>
      <c r="BC454" s="242"/>
      <c r="BE454" s="272"/>
      <c r="BF454" s="272"/>
      <c r="BG454" s="272"/>
      <c r="BH454" s="272"/>
      <c r="BI454" s="242"/>
      <c r="BK454" s="272"/>
      <c r="BL454" s="272"/>
      <c r="BM454" s="272"/>
      <c r="BN454" s="272"/>
      <c r="BO454" s="242"/>
      <c r="BQ454" s="272"/>
      <c r="BR454" s="272"/>
      <c r="BS454" s="272"/>
      <c r="BT454" s="272"/>
      <c r="BU454" s="242"/>
      <c r="BW454" s="927"/>
      <c r="BX454" s="927"/>
      <c r="BY454" s="927"/>
      <c r="BZ454" s="927"/>
      <c r="CA454" s="242"/>
      <c r="CC454" s="927"/>
      <c r="CD454" s="927"/>
      <c r="CE454" s="927"/>
      <c r="CF454" s="927"/>
      <c r="CG454" s="347"/>
      <c r="CI454" s="272"/>
      <c r="CJ454" s="272"/>
      <c r="CK454" s="272"/>
      <c r="CL454" s="272"/>
      <c r="CM454" s="474"/>
      <c r="CO454" s="790"/>
      <c r="CQ454" s="928"/>
      <c r="CR454" s="929"/>
      <c r="CS454" s="557"/>
      <c r="CT454" s="345"/>
      <c r="CU454" s="790"/>
      <c r="CV454" s="272"/>
      <c r="CW454" s="272"/>
      <c r="CX454" s="272"/>
      <c r="CY454" s="347"/>
      <c r="CZ454" s="345"/>
      <c r="DA454" s="790"/>
      <c r="DB454" s="272"/>
      <c r="DC454" s="272"/>
      <c r="DD454" s="927"/>
      <c r="DE454" s="347"/>
      <c r="DF454" s="345"/>
      <c r="DG454" s="927"/>
      <c r="DH454" s="927"/>
      <c r="DI454" s="927"/>
      <c r="DJ454" s="927"/>
      <c r="DK454" s="347"/>
      <c r="DL454" s="345"/>
      <c r="DM454" s="927"/>
      <c r="DN454" s="927"/>
      <c r="DO454" s="927"/>
      <c r="DP454" s="927"/>
      <c r="DQ454" s="347"/>
      <c r="DR454" s="345"/>
      <c r="DS454" s="927"/>
      <c r="DT454" s="927"/>
      <c r="DU454" s="927"/>
      <c r="DV454" s="927"/>
      <c r="DW454" s="347"/>
      <c r="DX454" s="345"/>
      <c r="DY454" s="927"/>
      <c r="DZ454" s="927"/>
      <c r="EA454" s="927"/>
      <c r="EB454" s="927"/>
      <c r="EC454" s="347"/>
      <c r="ED454" s="345"/>
      <c r="EE454" s="927">
        <f>(AVERAGE(EE450:EE451)/EB452-1)</f>
        <v>-0.25655454647381981</v>
      </c>
      <c r="EF454" s="927">
        <f>(AVERAGE(EF450:EF451)/EE452-1)</f>
        <v>0.11156354515050171</v>
      </c>
      <c r="EG454" s="927">
        <f>(AVERAGE(EG450:EG451)/EF452-1)</f>
        <v>3.1469265367316313E-2</v>
      </c>
      <c r="EH454" s="927">
        <f>(AVERAGE(EH450:EH451)/EG452-1)</f>
        <v>0.16831939799331108</v>
      </c>
      <c r="EI454" s="347"/>
      <c r="EJ454" s="345"/>
      <c r="EK454" s="927">
        <f>(AVERAGE(EK450:EK451)/EH452-1)</f>
        <v>-0.22519690660321234</v>
      </c>
      <c r="EL454" s="927">
        <f>(AVERAGE(EL450:EL451)/EK452-1)</f>
        <v>7.8970588235294015E-2</v>
      </c>
      <c r="EM454" s="927">
        <f>(AVERAGE(EM450:EM451)/EL452-1)</f>
        <v>1.8271534512264598E-2</v>
      </c>
      <c r="EN454" s="927">
        <f>(AVERAGE(EN450:EN451)/EM452-1)</f>
        <v>0.18021097939599207</v>
      </c>
      <c r="EO454" s="347"/>
      <c r="EP454" s="345"/>
      <c r="EQ454" s="927">
        <f>(AVERAGE(EQ450:EQ451)/EN452-1)</f>
        <v>-0.18876910318682616</v>
      </c>
      <c r="ER454" s="927">
        <f>(AVERAGE(ER450:ER451)/EQ452-1)</f>
        <v>7.10060214422088E-2</v>
      </c>
      <c r="ES454" s="927">
        <f>(AVERAGE(ES450:ES451)/ER452-1)</f>
        <v>2.183028286189681E-2</v>
      </c>
      <c r="ET454" s="927">
        <f>(AVERAGE(ET450:ET451)/ES452-1)</f>
        <v>0.1354587032553134</v>
      </c>
      <c r="EU454" s="347"/>
      <c r="EV454" s="345"/>
      <c r="EW454" s="1867"/>
      <c r="EX454" s="1867"/>
      <c r="EY454" s="272"/>
      <c r="EZ454" s="272"/>
      <c r="FA454" s="347"/>
      <c r="FB454" s="345"/>
      <c r="FC454" s="272"/>
      <c r="FD454" s="272"/>
      <c r="FE454" s="272"/>
      <c r="FF454" s="272"/>
      <c r="FG454" s="347"/>
      <c r="FH454" s="345"/>
      <c r="FI454" s="272"/>
      <c r="FJ454" s="272"/>
      <c r="FK454" s="272"/>
      <c r="FL454" s="272"/>
      <c r="FM454" s="347"/>
      <c r="FQ454"/>
      <c r="FR454"/>
      <c r="FS454"/>
      <c r="FT454"/>
      <c r="FU454"/>
      <c r="FV454"/>
      <c r="GA454" s="1203"/>
      <c r="GB454" s="1203"/>
      <c r="GC454" s="1203"/>
      <c r="GD454" s="1203"/>
      <c r="GE454" s="1203"/>
      <c r="GF454" s="1203"/>
      <c r="GG454" s="1203"/>
      <c r="GH454" s="1639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  <c r="HB454"/>
      <c r="HC454"/>
      <c r="HD454"/>
      <c r="HE454"/>
      <c r="HF454"/>
      <c r="HG454"/>
      <c r="HH454"/>
      <c r="HI454"/>
      <c r="HJ454"/>
      <c r="HK454"/>
      <c r="HL454"/>
      <c r="HM454"/>
      <c r="HN454"/>
      <c r="HO454"/>
      <c r="HP454"/>
      <c r="HQ454"/>
      <c r="HR454"/>
      <c r="HS454"/>
      <c r="HT454"/>
      <c r="HU454"/>
      <c r="HV454"/>
      <c r="HW454"/>
      <c r="HX454"/>
      <c r="HY454"/>
      <c r="HZ454"/>
      <c r="IA454"/>
      <c r="IB454"/>
      <c r="IC454"/>
      <c r="ID454"/>
      <c r="IE454"/>
      <c r="IF454"/>
      <c r="IG454"/>
      <c r="IH454"/>
      <c r="II454"/>
      <c r="IJ454"/>
      <c r="IK454"/>
      <c r="IL454"/>
      <c r="IM454"/>
      <c r="IN454"/>
      <c r="IO454"/>
      <c r="IP454"/>
      <c r="IQ454"/>
      <c r="IR454"/>
      <c r="IS454"/>
      <c r="IT454"/>
      <c r="IU454"/>
      <c r="IV454"/>
      <c r="IW454"/>
      <c r="IX454"/>
      <c r="IY454"/>
      <c r="IZ454"/>
      <c r="JA454"/>
      <c r="JB454"/>
      <c r="JC454"/>
      <c r="JD454"/>
      <c r="JE454"/>
      <c r="JF454"/>
      <c r="JG454"/>
      <c r="JH454"/>
      <c r="JI454"/>
      <c r="JJ454"/>
      <c r="JK454"/>
      <c r="JL454"/>
      <c r="JM454"/>
      <c r="JN454"/>
    </row>
    <row r="455" spans="1:274" s="27" customFormat="1" ht="15" customHeight="1" x14ac:dyDescent="0.2">
      <c r="C455" s="242"/>
      <c r="D455" s="242"/>
      <c r="E455" s="242"/>
      <c r="F455" s="242"/>
      <c r="G455" s="242"/>
      <c r="H455" s="242"/>
      <c r="I455" s="242"/>
      <c r="J455" s="242"/>
      <c r="K455" s="242"/>
      <c r="L455" s="242"/>
      <c r="M455" s="242"/>
      <c r="O455" s="272"/>
      <c r="P455" s="272"/>
      <c r="Q455" s="272"/>
      <c r="R455" s="272"/>
      <c r="S455" s="242"/>
      <c r="U455" s="272"/>
      <c r="V455" s="272"/>
      <c r="W455" s="272"/>
      <c r="X455" s="272"/>
      <c r="Y455" s="242"/>
      <c r="AA455" s="272"/>
      <c r="AB455" s="272"/>
      <c r="AC455" s="272"/>
      <c r="AD455" s="272"/>
      <c r="AE455" s="242"/>
      <c r="AG455" s="272"/>
      <c r="AH455" s="272"/>
      <c r="AI455" s="272"/>
      <c r="AJ455" s="272"/>
      <c r="AK455" s="242"/>
      <c r="AM455" s="272"/>
      <c r="AN455" s="272"/>
      <c r="AO455" s="272"/>
      <c r="AP455" s="272"/>
      <c r="AQ455" s="242"/>
      <c r="AS455" s="272"/>
      <c r="AT455" s="272"/>
      <c r="AU455" s="272"/>
      <c r="AV455" s="272"/>
      <c r="AW455" s="242"/>
      <c r="AY455" s="272"/>
      <c r="AZ455" s="272"/>
      <c r="BA455" s="272"/>
      <c r="BB455" s="272"/>
      <c r="BC455" s="242"/>
      <c r="BE455" s="272"/>
      <c r="BF455" s="272"/>
      <c r="BG455" s="272"/>
      <c r="BH455" s="272"/>
      <c r="BI455" s="242"/>
      <c r="BK455" s="272"/>
      <c r="BL455" s="272"/>
      <c r="BM455" s="272"/>
      <c r="BN455" s="272"/>
      <c r="BO455" s="242"/>
      <c r="BQ455" s="272"/>
      <c r="BR455" s="272"/>
      <c r="BS455" s="272"/>
      <c r="BT455" s="272"/>
      <c r="BU455" s="242"/>
      <c r="BW455" s="927"/>
      <c r="BX455" s="927"/>
      <c r="BY455" s="927"/>
      <c r="BZ455" s="927"/>
      <c r="CA455" s="242"/>
      <c r="CC455" s="927"/>
      <c r="CD455" s="927"/>
      <c r="CE455" s="927"/>
      <c r="CF455" s="927"/>
      <c r="CG455" s="347"/>
      <c r="CI455" s="272"/>
      <c r="CJ455" s="272"/>
      <c r="CK455" s="272"/>
      <c r="CL455" s="272"/>
      <c r="CM455" s="474"/>
      <c r="CO455" s="790"/>
      <c r="CQ455" s="928"/>
      <c r="CR455" s="929"/>
      <c r="CS455" s="557"/>
      <c r="CT455" s="345"/>
      <c r="CU455" s="790"/>
      <c r="CV455" s="272"/>
      <c r="CW455" s="272"/>
      <c r="CX455" s="272"/>
      <c r="CY455" s="347"/>
      <c r="CZ455" s="345"/>
      <c r="DA455" s="790"/>
      <c r="DB455" s="272"/>
      <c r="DC455" s="272"/>
      <c r="DD455" s="927"/>
      <c r="DE455" s="347"/>
      <c r="DF455" s="345"/>
      <c r="DG455" s="927"/>
      <c r="DH455" s="927"/>
      <c r="DI455" s="927"/>
      <c r="DJ455" s="927"/>
      <c r="DK455" s="347"/>
      <c r="DL455" s="345"/>
      <c r="DM455" s="927"/>
      <c r="DN455" s="927"/>
      <c r="DO455" s="927"/>
      <c r="DP455" s="927"/>
      <c r="DQ455" s="347"/>
      <c r="DR455" s="345"/>
      <c r="DS455" s="927"/>
      <c r="DT455" s="927"/>
      <c r="DU455" s="927"/>
      <c r="DV455" s="927"/>
      <c r="DW455" s="347"/>
      <c r="DX455" s="345"/>
      <c r="DY455" s="927"/>
      <c r="DZ455" s="927"/>
      <c r="EA455" s="927"/>
      <c r="EB455" s="927"/>
      <c r="EC455" s="347"/>
      <c r="ED455" s="345"/>
      <c r="EE455" s="927"/>
      <c r="EF455" s="927"/>
      <c r="EG455" s="927"/>
      <c r="EH455" s="927"/>
      <c r="EI455" s="347"/>
      <c r="EJ455" s="345"/>
      <c r="EK455" s="927"/>
      <c r="EL455" s="927"/>
      <c r="EM455" s="927"/>
      <c r="EN455" s="927"/>
      <c r="EO455" s="347"/>
      <c r="EP455" s="345"/>
      <c r="EQ455" s="927"/>
      <c r="ER455" s="272"/>
      <c r="ES455" s="272"/>
      <c r="ET455" s="272"/>
      <c r="EU455" s="347"/>
      <c r="EV455" s="345"/>
      <c r="EW455" s="927"/>
      <c r="EX455" s="927"/>
      <c r="EY455" s="272"/>
      <c r="EZ455" s="272"/>
      <c r="FA455" s="347"/>
      <c r="FB455" s="345"/>
      <c r="FC455" s="272"/>
      <c r="FD455" s="272"/>
      <c r="FE455" s="272"/>
      <c r="FF455" s="272"/>
      <c r="FG455" s="347"/>
      <c r="FH455" s="345"/>
      <c r="FI455" s="272"/>
      <c r="FJ455" s="272"/>
      <c r="FK455" s="272"/>
      <c r="FL455" s="272"/>
      <c r="FM455" s="347"/>
      <c r="FQ455"/>
      <c r="FR455"/>
      <c r="FS455"/>
      <c r="FT455"/>
      <c r="FU455"/>
      <c r="FV455"/>
      <c r="GA455" s="1203"/>
      <c r="GB455" s="1203"/>
      <c r="GC455" s="1203"/>
      <c r="GD455" s="1203"/>
      <c r="GE455" s="1203"/>
      <c r="GF455" s="1203"/>
      <c r="GG455" s="1203"/>
      <c r="GH455" s="1639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  <c r="HB455"/>
      <c r="HC455"/>
      <c r="HD455"/>
      <c r="HE455"/>
      <c r="HF455"/>
      <c r="HG455"/>
      <c r="HH455"/>
      <c r="HI455"/>
      <c r="HJ455"/>
      <c r="HK455"/>
      <c r="HL455"/>
      <c r="HM455"/>
      <c r="HN455"/>
      <c r="HO455"/>
      <c r="HP455"/>
      <c r="HQ455"/>
      <c r="HR455"/>
      <c r="HS455"/>
      <c r="HT455"/>
      <c r="HU455"/>
      <c r="HV455"/>
      <c r="HW455"/>
      <c r="HX455"/>
      <c r="HY455"/>
      <c r="HZ455"/>
      <c r="IA455"/>
      <c r="IB455"/>
      <c r="IC455"/>
      <c r="ID455"/>
      <c r="IE455"/>
      <c r="IF455"/>
      <c r="IG455"/>
      <c r="IH455"/>
      <c r="II455"/>
      <c r="IJ455"/>
      <c r="IK455"/>
      <c r="IL455"/>
      <c r="IM455"/>
      <c r="IN455"/>
      <c r="IO455"/>
      <c r="IP455"/>
      <c r="IQ455"/>
      <c r="IR455"/>
      <c r="IS455"/>
      <c r="IT455"/>
      <c r="IU455"/>
      <c r="IV455"/>
      <c r="IW455"/>
      <c r="IX455"/>
      <c r="IY455"/>
      <c r="IZ455"/>
      <c r="JA455"/>
      <c r="JB455"/>
      <c r="JC455"/>
      <c r="JD455"/>
      <c r="JE455"/>
      <c r="JF455"/>
      <c r="JG455"/>
      <c r="JH455"/>
      <c r="JI455"/>
      <c r="JJ455"/>
      <c r="JK455"/>
      <c r="JL455"/>
      <c r="JM455"/>
      <c r="JN455"/>
    </row>
    <row r="456" spans="1:274" s="27" customFormat="1" ht="15" customHeight="1" x14ac:dyDescent="0.2">
      <c r="A456" s="32" t="s">
        <v>1261</v>
      </c>
      <c r="C456" s="242"/>
      <c r="D456" s="242"/>
      <c r="E456" s="242"/>
      <c r="F456" s="242"/>
      <c r="G456" s="242"/>
      <c r="H456" s="242"/>
      <c r="I456" s="242"/>
      <c r="J456" s="242"/>
      <c r="K456" s="242"/>
      <c r="L456" s="242"/>
      <c r="M456" s="242"/>
      <c r="O456" s="272"/>
      <c r="P456" s="272"/>
      <c r="Q456" s="272"/>
      <c r="R456" s="272"/>
      <c r="S456" s="242"/>
      <c r="U456" s="272"/>
      <c r="V456" s="272"/>
      <c r="W456" s="272"/>
      <c r="X456" s="272"/>
      <c r="Y456" s="242"/>
      <c r="AA456" s="272"/>
      <c r="AB456" s="272"/>
      <c r="AC456" s="272"/>
      <c r="AD456" s="272"/>
      <c r="AE456" s="242"/>
      <c r="AG456" s="272"/>
      <c r="AH456" s="272"/>
      <c r="AI456" s="272"/>
      <c r="AJ456" s="272"/>
      <c r="AK456" s="242"/>
      <c r="AM456" s="272"/>
      <c r="AN456" s="272"/>
      <c r="AO456" s="272"/>
      <c r="AP456" s="272"/>
      <c r="AQ456" s="242"/>
      <c r="AS456" s="272"/>
      <c r="AT456" s="272"/>
      <c r="AU456" s="272"/>
      <c r="AV456" s="272"/>
      <c r="AW456" s="242"/>
      <c r="AY456" s="272"/>
      <c r="AZ456" s="272"/>
      <c r="BA456" s="272"/>
      <c r="BB456" s="272"/>
      <c r="BC456" s="242"/>
      <c r="BE456" s="272"/>
      <c r="BF456" s="272"/>
      <c r="BG456" s="272"/>
      <c r="BH456" s="272"/>
      <c r="BI456" s="242"/>
      <c r="BK456" s="272"/>
      <c r="BL456" s="272"/>
      <c r="BM456" s="272"/>
      <c r="BN456" s="272"/>
      <c r="BO456" s="242"/>
      <c r="BQ456" s="272"/>
      <c r="BR456" s="272"/>
      <c r="BS456" s="272"/>
      <c r="BT456" s="272"/>
      <c r="BU456" s="242"/>
      <c r="BW456" s="927"/>
      <c r="BX456" s="927"/>
      <c r="BY456" s="927"/>
      <c r="BZ456" s="927"/>
      <c r="CA456" s="242"/>
      <c r="CC456" s="927"/>
      <c r="CD456" s="927"/>
      <c r="CE456" s="927"/>
      <c r="CF456" s="927"/>
      <c r="CG456" s="347"/>
      <c r="CI456" s="272"/>
      <c r="CJ456" s="272"/>
      <c r="CK456" s="272"/>
      <c r="CL456" s="272"/>
      <c r="CM456" s="474"/>
      <c r="CO456" s="790"/>
      <c r="CQ456" s="928"/>
      <c r="CR456" s="929"/>
      <c r="CS456" s="557"/>
      <c r="CT456" s="345"/>
      <c r="CU456" s="790"/>
      <c r="CV456" s="272"/>
      <c r="CW456" s="272"/>
      <c r="CX456" s="272"/>
      <c r="CY456" s="347"/>
      <c r="CZ456" s="345"/>
      <c r="DA456" s="790"/>
      <c r="DB456" s="272"/>
      <c r="DC456" s="272"/>
      <c r="DD456" s="927"/>
      <c r="DE456" s="347"/>
      <c r="DF456" s="345"/>
      <c r="DG456" s="927"/>
      <c r="DH456" s="927"/>
      <c r="DI456" s="927"/>
      <c r="DJ456" s="927"/>
      <c r="DK456" s="347"/>
      <c r="DL456" s="345"/>
      <c r="DM456" s="927"/>
      <c r="DN456" s="927"/>
      <c r="DO456" s="927"/>
      <c r="DP456" s="927"/>
      <c r="DQ456" s="347"/>
      <c r="DR456" s="345"/>
      <c r="DS456" s="927"/>
      <c r="DT456" s="927"/>
      <c r="DU456" s="927"/>
      <c r="DV456" s="927"/>
      <c r="DW456" s="347"/>
      <c r="DX456" s="345"/>
      <c r="DY456" s="927"/>
      <c r="DZ456" s="927"/>
      <c r="EA456" s="927"/>
      <c r="EB456" s="927"/>
      <c r="EC456" s="347"/>
      <c r="ED456" s="345"/>
      <c r="EE456" s="927"/>
      <c r="EF456" s="927"/>
      <c r="EG456" s="927"/>
      <c r="EH456" s="927"/>
      <c r="EI456" s="347"/>
      <c r="EJ456" s="345"/>
      <c r="EK456" s="927"/>
      <c r="EL456" s="927"/>
      <c r="EM456" s="927"/>
      <c r="EN456" s="927"/>
      <c r="EO456" s="347"/>
      <c r="EP456" s="345"/>
      <c r="EQ456" s="927"/>
      <c r="ER456" s="272"/>
      <c r="ES456" s="272"/>
      <c r="ET456" s="272"/>
      <c r="EU456" s="347"/>
      <c r="EV456" s="345"/>
      <c r="EW456" s="927"/>
      <c r="EX456" s="927"/>
      <c r="EY456" s="272"/>
      <c r="EZ456" s="272"/>
      <c r="FA456" s="347"/>
      <c r="FB456" s="345"/>
      <c r="FC456" s="272"/>
      <c r="FD456" s="272"/>
      <c r="FE456" s="272"/>
      <c r="FF456" s="272"/>
      <c r="FG456" s="347"/>
      <c r="FH456" s="345"/>
      <c r="FI456" s="272"/>
      <c r="FJ456" s="272"/>
      <c r="FK456" s="272"/>
      <c r="FL456" s="272"/>
      <c r="FM456" s="347"/>
      <c r="FQ456"/>
      <c r="FR456"/>
      <c r="FS456"/>
      <c r="FT456"/>
      <c r="FU456"/>
      <c r="FV456"/>
      <c r="GA456" s="1203"/>
      <c r="GB456" s="1203"/>
      <c r="GC456" s="1203"/>
      <c r="GD456" s="1203"/>
      <c r="GE456" s="1203"/>
      <c r="GF456" s="1203"/>
      <c r="GG456" s="1203"/>
      <c r="GH456" s="1639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  <c r="HB456"/>
      <c r="HC456"/>
      <c r="HD456"/>
      <c r="HE456"/>
      <c r="HF456"/>
      <c r="HG456"/>
      <c r="HH456"/>
      <c r="HI456"/>
      <c r="HJ456"/>
      <c r="HK456"/>
      <c r="HL456"/>
      <c r="HM456"/>
      <c r="HN456"/>
      <c r="HO456"/>
      <c r="HP456"/>
      <c r="HQ456"/>
      <c r="HR456"/>
      <c r="HS456"/>
      <c r="HT456"/>
      <c r="HU456"/>
      <c r="HV456"/>
      <c r="HW456"/>
      <c r="HX456"/>
      <c r="HY456"/>
      <c r="HZ456"/>
      <c r="IA456"/>
      <c r="IB456"/>
      <c r="IC456"/>
      <c r="ID456"/>
      <c r="IE456"/>
      <c r="IF456"/>
      <c r="IG456"/>
      <c r="IH456"/>
      <c r="II456"/>
      <c r="IJ456"/>
      <c r="IK456"/>
      <c r="IL456"/>
      <c r="IM456"/>
      <c r="IN456"/>
      <c r="IO456"/>
      <c r="IP456"/>
      <c r="IQ456"/>
      <c r="IR456"/>
      <c r="IS456"/>
      <c r="IT456"/>
      <c r="IU456"/>
      <c r="IV456"/>
      <c r="IW456"/>
      <c r="IX456"/>
      <c r="IY456"/>
      <c r="IZ456"/>
      <c r="JA456"/>
      <c r="JB456"/>
      <c r="JC456"/>
      <c r="JD456"/>
      <c r="JE456"/>
      <c r="JF456"/>
      <c r="JG456"/>
      <c r="JH456"/>
      <c r="JI456"/>
      <c r="JJ456"/>
      <c r="JK456"/>
      <c r="JL456"/>
      <c r="JM456"/>
      <c r="JN456"/>
    </row>
    <row r="457" spans="1:274" s="27" customFormat="1" ht="15" customHeight="1" x14ac:dyDescent="0.2">
      <c r="A457" s="27" t="s">
        <v>457</v>
      </c>
      <c r="C457" s="242"/>
      <c r="D457" s="242"/>
      <c r="E457" s="242"/>
      <c r="F457" s="242"/>
      <c r="G457" s="242"/>
      <c r="H457" s="242"/>
      <c r="I457" s="242"/>
      <c r="J457" s="242"/>
      <c r="K457" s="242"/>
      <c r="L457" s="242"/>
      <c r="M457" s="242"/>
      <c r="O457" s="272"/>
      <c r="P457" s="272"/>
      <c r="Q457" s="272"/>
      <c r="R457" s="272"/>
      <c r="S457" s="242"/>
      <c r="U457" s="272"/>
      <c r="V457" s="272"/>
      <c r="W457" s="272"/>
      <c r="X457" s="272"/>
      <c r="Y457" s="242"/>
      <c r="AA457" s="272"/>
      <c r="AB457" s="272"/>
      <c r="AC457" s="272"/>
      <c r="AD457" s="272"/>
      <c r="AE457" s="242"/>
      <c r="AG457" s="272"/>
      <c r="AH457" s="272"/>
      <c r="AI457" s="272"/>
      <c r="AJ457" s="272"/>
      <c r="AK457" s="242"/>
      <c r="AM457" s="272"/>
      <c r="AN457" s="272"/>
      <c r="AO457" s="272"/>
      <c r="AP457" s="272"/>
      <c r="AQ457" s="242"/>
      <c r="AS457" s="272"/>
      <c r="AT457" s="272"/>
      <c r="AU457" s="272"/>
      <c r="AV457" s="272"/>
      <c r="AW457" s="242"/>
      <c r="AY457" s="272"/>
      <c r="AZ457" s="272"/>
      <c r="BA457" s="272"/>
      <c r="BB457" s="272"/>
      <c r="BC457" s="242"/>
      <c r="BE457" s="272"/>
      <c r="BF457" s="272"/>
      <c r="BG457" s="272"/>
      <c r="BH457" s="272"/>
      <c r="BI457" s="242"/>
      <c r="BK457" s="272"/>
      <c r="BL457" s="272"/>
      <c r="BM457" s="272"/>
      <c r="BN457" s="272"/>
      <c r="BO457" s="242"/>
      <c r="BQ457" s="272"/>
      <c r="BR457" s="272"/>
      <c r="BS457" s="272"/>
      <c r="BT457" s="272"/>
      <c r="BU457" s="242"/>
      <c r="BW457" s="927"/>
      <c r="BX457" s="927"/>
      <c r="BY457" s="927"/>
      <c r="BZ457" s="927"/>
      <c r="CA457" s="242"/>
      <c r="CC457" s="927"/>
      <c r="CD457" s="927"/>
      <c r="CE457" s="927"/>
      <c r="CF457" s="927"/>
      <c r="CG457" s="347"/>
      <c r="CI457" s="272"/>
      <c r="CJ457" s="272"/>
      <c r="CK457" s="272"/>
      <c r="CL457" s="272"/>
      <c r="CM457" s="474"/>
      <c r="CO457" s="790"/>
      <c r="CQ457" s="928"/>
      <c r="CR457" s="929"/>
      <c r="CS457" s="557"/>
      <c r="CT457" s="345"/>
      <c r="CU457" s="790"/>
      <c r="CV457" s="272"/>
      <c r="CW457" s="272"/>
      <c r="CX457" s="272"/>
      <c r="CY457" s="347"/>
      <c r="CZ457" s="345"/>
      <c r="DA457" s="790"/>
      <c r="DB457" s="272"/>
      <c r="DC457" s="272"/>
      <c r="DD457" s="927"/>
      <c r="DE457" s="347"/>
      <c r="DF457" s="345"/>
      <c r="DG457" s="927"/>
      <c r="DH457" s="927"/>
      <c r="DI457" s="927"/>
      <c r="DJ457" s="927"/>
      <c r="DK457" s="347"/>
      <c r="DL457" s="345"/>
      <c r="DM457" s="927"/>
      <c r="DN457" s="927"/>
      <c r="DO457" s="927"/>
      <c r="DP457" s="927"/>
      <c r="DQ457" s="347"/>
      <c r="DR457" s="345"/>
      <c r="DS457" s="272"/>
      <c r="DT457" s="600"/>
      <c r="DU457" s="600"/>
      <c r="DV457" s="272"/>
      <c r="DW457" s="347"/>
      <c r="DX457" s="345"/>
      <c r="DY457" s="272"/>
      <c r="DZ457" s="600"/>
      <c r="EA457" s="600"/>
      <c r="EB457" s="272"/>
      <c r="EC457" s="347"/>
      <c r="ED457" s="345"/>
      <c r="EE457" s="272"/>
      <c r="EF457" s="272"/>
      <c r="EG457" s="272"/>
      <c r="EH457" s="272"/>
      <c r="EI457" s="347"/>
      <c r="EJ457" s="345"/>
      <c r="EK457" s="272"/>
      <c r="EL457" s="272"/>
      <c r="EM457" s="272"/>
      <c r="EN457" s="272"/>
      <c r="EO457" s="1754"/>
      <c r="EP457" s="345"/>
      <c r="EQ457" s="272"/>
      <c r="ER457" s="272"/>
      <c r="ES457" s="272"/>
      <c r="ET457" s="272"/>
      <c r="EU457" s="347"/>
      <c r="EV457" s="345"/>
      <c r="EW457" s="121"/>
      <c r="EX457" s="272">
        <f>(1+0.39+0.02)*ER459</f>
        <v>1532.67</v>
      </c>
      <c r="EY457" s="272">
        <f>(1+0.21+0.03)*ES459</f>
        <v>1559.92</v>
      </c>
      <c r="EZ457" s="272">
        <f>(1+0.17+0.02)*ET459</f>
        <v>1677.8999999999999</v>
      </c>
      <c r="FA457" s="347"/>
      <c r="FB457" s="345"/>
      <c r="FC457" s="272"/>
      <c r="FD457" s="272"/>
      <c r="FE457" s="272"/>
      <c r="FF457" s="272"/>
      <c r="FG457" s="347"/>
      <c r="FH457" s="345"/>
      <c r="FI457" s="272"/>
      <c r="FJ457" s="272"/>
      <c r="FK457" s="272"/>
      <c r="FL457" s="272"/>
      <c r="FM457" s="347"/>
      <c r="FQ457"/>
      <c r="FR457"/>
      <c r="FS457"/>
      <c r="FT457"/>
      <c r="FU457"/>
      <c r="FV457"/>
      <c r="GA457" s="1203"/>
      <c r="GB457" s="1203"/>
      <c r="GC457" s="1203"/>
      <c r="GD457" s="1203"/>
      <c r="GE457" s="1203"/>
      <c r="GF457" s="1203"/>
      <c r="GG457" s="1203"/>
      <c r="GH457" s="1639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  <c r="HB457"/>
      <c r="HC457"/>
      <c r="HD457"/>
      <c r="HE457"/>
      <c r="HF457"/>
      <c r="HG457"/>
      <c r="HH457"/>
      <c r="HI457"/>
      <c r="HJ457"/>
      <c r="HK457"/>
      <c r="HL457"/>
      <c r="HM457"/>
      <c r="HN457"/>
      <c r="HO457"/>
      <c r="HP457"/>
      <c r="HQ457"/>
      <c r="HR457"/>
      <c r="HS457"/>
      <c r="HT457"/>
      <c r="HU457"/>
      <c r="HV457"/>
      <c r="HW457"/>
      <c r="HX457"/>
      <c r="HY457"/>
      <c r="HZ457"/>
      <c r="IA457"/>
      <c r="IB457"/>
      <c r="IC457"/>
      <c r="ID457"/>
      <c r="IE457"/>
      <c r="IF457"/>
      <c r="IG457"/>
      <c r="IH457"/>
      <c r="II457"/>
      <c r="IJ457"/>
      <c r="IK457"/>
      <c r="IL457"/>
      <c r="IM457"/>
      <c r="IN457"/>
      <c r="IO457"/>
      <c r="IP457"/>
      <c r="IQ457"/>
      <c r="IR457"/>
      <c r="IS457"/>
      <c r="IT457"/>
      <c r="IU457"/>
      <c r="IV457"/>
      <c r="IW457"/>
      <c r="IX457"/>
      <c r="IY457"/>
      <c r="IZ457"/>
      <c r="JA457"/>
      <c r="JB457"/>
      <c r="JC457"/>
      <c r="JD457"/>
      <c r="JE457"/>
      <c r="JF457"/>
      <c r="JG457"/>
      <c r="JH457"/>
      <c r="JI457"/>
      <c r="JJ457"/>
      <c r="JK457"/>
      <c r="JL457"/>
      <c r="JM457"/>
      <c r="JN457"/>
    </row>
    <row r="458" spans="1:274" s="27" customFormat="1" ht="15" customHeight="1" x14ac:dyDescent="0.2">
      <c r="A458" s="27" t="s">
        <v>458</v>
      </c>
      <c r="C458" s="242"/>
      <c r="D458" s="242"/>
      <c r="E458" s="242"/>
      <c r="F458" s="242"/>
      <c r="G458" s="242"/>
      <c r="H458" s="242"/>
      <c r="I458" s="242"/>
      <c r="J458" s="242"/>
      <c r="K458" s="242"/>
      <c r="L458" s="242"/>
      <c r="M458" s="242"/>
      <c r="O458" s="272"/>
      <c r="P458" s="272"/>
      <c r="Q458" s="272"/>
      <c r="R458" s="272"/>
      <c r="S458" s="242"/>
      <c r="U458" s="272"/>
      <c r="V458" s="272"/>
      <c r="W458" s="272"/>
      <c r="X458" s="272"/>
      <c r="Y458" s="242"/>
      <c r="AA458" s="272"/>
      <c r="AB458" s="272"/>
      <c r="AC458" s="272"/>
      <c r="AD458" s="272"/>
      <c r="AE458" s="242"/>
      <c r="AG458" s="272"/>
      <c r="AH458" s="272"/>
      <c r="AI458" s="272"/>
      <c r="AJ458" s="272"/>
      <c r="AK458" s="242"/>
      <c r="AM458" s="272"/>
      <c r="AN458" s="272"/>
      <c r="AO458" s="272"/>
      <c r="AP458" s="272"/>
      <c r="AQ458" s="242"/>
      <c r="AS458" s="272"/>
      <c r="AT458" s="272"/>
      <c r="AU458" s="272"/>
      <c r="AV458" s="272"/>
      <c r="AW458" s="242"/>
      <c r="AY458" s="272"/>
      <c r="AZ458" s="272"/>
      <c r="BA458" s="272"/>
      <c r="BB458" s="272"/>
      <c r="BC458" s="242"/>
      <c r="BE458" s="272"/>
      <c r="BF458" s="272"/>
      <c r="BG458" s="272"/>
      <c r="BH458" s="272"/>
      <c r="BI458" s="242"/>
      <c r="BK458" s="272"/>
      <c r="BL458" s="272"/>
      <c r="BM458" s="272"/>
      <c r="BN458" s="272"/>
      <c r="BO458" s="242"/>
      <c r="BQ458" s="272"/>
      <c r="BR458" s="272"/>
      <c r="BS458" s="272"/>
      <c r="BT458" s="272"/>
      <c r="BU458" s="242"/>
      <c r="BW458" s="927"/>
      <c r="BX458" s="927"/>
      <c r="BY458" s="927"/>
      <c r="BZ458" s="927"/>
      <c r="CA458" s="242"/>
      <c r="CC458" s="927"/>
      <c r="CD458" s="927"/>
      <c r="CE458" s="927"/>
      <c r="CF458" s="927"/>
      <c r="CG458" s="347"/>
      <c r="CI458" s="272"/>
      <c r="CJ458" s="272"/>
      <c r="CK458" s="272"/>
      <c r="CL458" s="272"/>
      <c r="CM458" s="474"/>
      <c r="CO458" s="790"/>
      <c r="CQ458" s="928"/>
      <c r="CR458" s="929"/>
      <c r="CS458" s="557"/>
      <c r="CT458" s="345"/>
      <c r="CU458" s="790"/>
      <c r="CV458" s="272"/>
      <c r="CW458" s="272"/>
      <c r="CX458" s="272"/>
      <c r="CY458" s="347"/>
      <c r="CZ458" s="345"/>
      <c r="DA458" s="790"/>
      <c r="DB458" s="272"/>
      <c r="DC458" s="272"/>
      <c r="DD458" s="927"/>
      <c r="DE458" s="347"/>
      <c r="DF458" s="345"/>
      <c r="DG458" s="927"/>
      <c r="DH458" s="927"/>
      <c r="DI458" s="927"/>
      <c r="DJ458" s="927"/>
      <c r="DK458" s="347"/>
      <c r="DL458" s="345"/>
      <c r="DM458" s="927"/>
      <c r="DN458" s="927"/>
      <c r="DO458" s="927"/>
      <c r="DP458" s="927"/>
      <c r="DQ458" s="347"/>
      <c r="DR458" s="345"/>
      <c r="DS458" s="272"/>
      <c r="DT458" s="600"/>
      <c r="DU458" s="600"/>
      <c r="DV458" s="272"/>
      <c r="DW458" s="347"/>
      <c r="DX458" s="345"/>
      <c r="DY458" s="272"/>
      <c r="DZ458" s="600"/>
      <c r="EA458" s="600"/>
      <c r="EB458" s="272"/>
      <c r="EC458" s="347"/>
      <c r="ED458" s="345"/>
      <c r="EE458" s="272"/>
      <c r="EF458" s="272"/>
      <c r="EG458" s="272"/>
      <c r="EH458" s="272"/>
      <c r="EI458" s="347"/>
      <c r="EJ458" s="345"/>
      <c r="EK458" s="272"/>
      <c r="EL458" s="272"/>
      <c r="EM458" s="272"/>
      <c r="EN458" s="272"/>
      <c r="EO458" s="1754"/>
      <c r="EP458" s="345"/>
      <c r="EQ458" s="272"/>
      <c r="ER458" s="272"/>
      <c r="ES458" s="272"/>
      <c r="ET458" s="272"/>
      <c r="EU458" s="347"/>
      <c r="EV458" s="345"/>
      <c r="EW458" s="121"/>
      <c r="EX458" s="272">
        <f>(1+0.43+0.02)*ER459</f>
        <v>1576.1499999999999</v>
      </c>
      <c r="EY458" s="272">
        <f>(1+0.25+0.03)*ES459</f>
        <v>1610.24</v>
      </c>
      <c r="EZ458" s="272">
        <f>(1+0.21+0.02)*ET459</f>
        <v>1734.3</v>
      </c>
      <c r="FA458" s="347"/>
      <c r="FB458" s="345"/>
      <c r="FC458" s="272"/>
      <c r="FD458" s="272"/>
      <c r="FE458" s="272"/>
      <c r="FF458" s="272"/>
      <c r="FG458" s="347"/>
      <c r="FH458" s="345"/>
      <c r="FI458" s="272"/>
      <c r="FJ458" s="272"/>
      <c r="FK458" s="272"/>
      <c r="FL458" s="272"/>
      <c r="FM458" s="347"/>
      <c r="FQ458"/>
      <c r="FR458"/>
      <c r="FS458"/>
      <c r="FT458"/>
      <c r="FU458"/>
      <c r="FV458"/>
      <c r="GA458" s="1203"/>
      <c r="GB458" s="1203"/>
      <c r="GC458" s="1203"/>
      <c r="GD458" s="1203"/>
      <c r="GE458" s="1203"/>
      <c r="GF458" s="1203"/>
      <c r="GG458" s="1203"/>
      <c r="GH458" s="1639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  <c r="HB458"/>
      <c r="HC458"/>
      <c r="HD458"/>
      <c r="HE458"/>
      <c r="HF458"/>
      <c r="HG458"/>
      <c r="HH458"/>
      <c r="HI458"/>
      <c r="HJ458"/>
      <c r="HK458"/>
      <c r="HL458"/>
      <c r="HM458"/>
      <c r="HN458"/>
      <c r="HO458"/>
      <c r="HP458"/>
      <c r="HQ458"/>
      <c r="HR458"/>
      <c r="HS458"/>
      <c r="HT458"/>
      <c r="HU458"/>
      <c r="HV458"/>
      <c r="HW458"/>
      <c r="HX458"/>
      <c r="HY458"/>
      <c r="HZ458"/>
      <c r="IA458"/>
      <c r="IB458"/>
      <c r="IC458"/>
      <c r="ID458"/>
      <c r="IE458"/>
      <c r="IF458"/>
      <c r="IG458"/>
      <c r="IH458"/>
      <c r="II458"/>
      <c r="IJ458"/>
      <c r="IK458"/>
      <c r="IL458"/>
      <c r="IM458"/>
      <c r="IN458"/>
      <c r="IO458"/>
      <c r="IP458"/>
      <c r="IQ458"/>
      <c r="IR458"/>
      <c r="IS458"/>
      <c r="IT458"/>
      <c r="IU458"/>
      <c r="IV458"/>
      <c r="IW458"/>
      <c r="IX458"/>
      <c r="IY458"/>
      <c r="IZ458"/>
      <c r="JA458"/>
      <c r="JB458"/>
      <c r="JC458"/>
      <c r="JD458"/>
      <c r="JE458"/>
      <c r="JF458"/>
      <c r="JG458"/>
      <c r="JH458"/>
      <c r="JI458"/>
      <c r="JJ458"/>
      <c r="JK458"/>
      <c r="JL458"/>
      <c r="JM458"/>
      <c r="JN458"/>
    </row>
    <row r="459" spans="1:274" s="27" customFormat="1" ht="15" customHeight="1" x14ac:dyDescent="0.2">
      <c r="A459" s="897" t="s">
        <v>913</v>
      </c>
      <c r="C459" s="242"/>
      <c r="D459" s="242"/>
      <c r="E459" s="242"/>
      <c r="F459" s="242"/>
      <c r="G459" s="242"/>
      <c r="H459" s="242"/>
      <c r="I459" s="242"/>
      <c r="J459" s="242"/>
      <c r="K459" s="242"/>
      <c r="L459" s="242"/>
      <c r="M459" s="242"/>
      <c r="O459" s="272"/>
      <c r="P459" s="272"/>
      <c r="Q459" s="272"/>
      <c r="R459" s="272"/>
      <c r="S459" s="242"/>
      <c r="U459" s="272"/>
      <c r="V459" s="272"/>
      <c r="W459" s="272"/>
      <c r="X459" s="272"/>
      <c r="Y459" s="242"/>
      <c r="AA459" s="272"/>
      <c r="AB459" s="272"/>
      <c r="AC459" s="272"/>
      <c r="AD459" s="272"/>
      <c r="AE459" s="242"/>
      <c r="AG459" s="272"/>
      <c r="AH459" s="272"/>
      <c r="AI459" s="272"/>
      <c r="AJ459" s="272"/>
      <c r="AK459" s="242"/>
      <c r="AM459" s="272"/>
      <c r="AN459" s="272"/>
      <c r="AO459" s="272"/>
      <c r="AP459" s="272"/>
      <c r="AQ459" s="242"/>
      <c r="AS459" s="272"/>
      <c r="AT459" s="272"/>
      <c r="AU459" s="272"/>
      <c r="AV459" s="272"/>
      <c r="AW459" s="242"/>
      <c r="AY459" s="272"/>
      <c r="AZ459" s="272"/>
      <c r="BA459" s="272"/>
      <c r="BB459" s="272"/>
      <c r="BC459" s="242"/>
      <c r="BE459" s="272"/>
      <c r="BF459" s="272"/>
      <c r="BG459" s="272"/>
      <c r="BH459" s="272"/>
      <c r="BI459" s="242"/>
      <c r="BK459" s="272"/>
      <c r="BL459" s="272"/>
      <c r="BM459" s="272"/>
      <c r="BN459" s="272"/>
      <c r="BO459" s="242"/>
      <c r="BQ459" s="272"/>
      <c r="BR459" s="272"/>
      <c r="BS459" s="272"/>
      <c r="BT459" s="272"/>
      <c r="BU459" s="242"/>
      <c r="BW459" s="927"/>
      <c r="BX459" s="927"/>
      <c r="BY459" s="927"/>
      <c r="BZ459" s="927"/>
      <c r="CA459" s="242"/>
      <c r="CC459" s="927"/>
      <c r="CD459" s="927"/>
      <c r="CE459" s="927"/>
      <c r="CF459" s="927"/>
      <c r="CG459" s="347"/>
      <c r="CI459" s="272"/>
      <c r="CJ459" s="272"/>
      <c r="CK459" s="272"/>
      <c r="CL459" s="272"/>
      <c r="CM459" s="474"/>
      <c r="CO459" s="790"/>
      <c r="CQ459" s="928"/>
      <c r="CR459" s="929"/>
      <c r="CS459" s="557"/>
      <c r="CT459" s="345"/>
      <c r="CU459" s="790"/>
      <c r="CV459" s="272"/>
      <c r="CW459" s="272"/>
      <c r="CX459" s="272"/>
      <c r="CY459" s="347"/>
      <c r="CZ459" s="345"/>
      <c r="DA459" s="790"/>
      <c r="DB459" s="272"/>
      <c r="DC459" s="272"/>
      <c r="DD459" s="927"/>
      <c r="DE459" s="347"/>
      <c r="DF459" s="345"/>
      <c r="DG459" s="927"/>
      <c r="DH459" s="927"/>
      <c r="DI459" s="927"/>
      <c r="DJ459" s="927"/>
      <c r="DK459" s="347"/>
      <c r="DL459" s="345"/>
      <c r="DM459" s="927"/>
      <c r="DN459" s="927"/>
      <c r="DO459" s="927"/>
      <c r="DP459" s="927"/>
      <c r="DQ459" s="347"/>
      <c r="DR459" s="345"/>
      <c r="DS459" s="939"/>
      <c r="DT459" s="939"/>
      <c r="DU459" s="939"/>
      <c r="DV459" s="939"/>
      <c r="DW459" s="926"/>
      <c r="DX459" s="146"/>
      <c r="DY459" s="939"/>
      <c r="DZ459" s="939"/>
      <c r="EA459" s="939"/>
      <c r="EB459" s="939"/>
      <c r="EC459" s="347"/>
      <c r="ED459" s="146"/>
      <c r="EE459" s="939"/>
      <c r="EF459" s="939"/>
      <c r="EG459" s="939"/>
      <c r="EH459" s="939"/>
      <c r="EI459" s="347"/>
      <c r="EJ459" s="146"/>
      <c r="EK459" s="939"/>
      <c r="EL459" s="939"/>
      <c r="EM459" s="939"/>
      <c r="EN459" s="939"/>
      <c r="EO459" s="347"/>
      <c r="EP459" s="345"/>
      <c r="EQ459" s="939">
        <f>Model!EQ20</f>
        <v>986</v>
      </c>
      <c r="ER459" s="939">
        <f>Model!ER20</f>
        <v>1087</v>
      </c>
      <c r="ES459" s="939">
        <f>Model!ES20</f>
        <v>1258</v>
      </c>
      <c r="ET459" s="939">
        <f>Model!ET20</f>
        <v>1410</v>
      </c>
      <c r="EU459" s="347"/>
      <c r="EV459" s="345"/>
      <c r="EW459" s="939">
        <f>Model!EW20</f>
        <v>1492</v>
      </c>
      <c r="EX459" s="939">
        <f>Model!EX20</f>
        <v>1528</v>
      </c>
      <c r="EY459" s="939">
        <f>Model!EY20</f>
        <v>1571</v>
      </c>
      <c r="EZ459" s="939">
        <f>Model!EZ20</f>
        <v>1699.1699999999998</v>
      </c>
      <c r="FA459" s="347"/>
      <c r="FB459" s="345"/>
      <c r="FC459" s="272"/>
      <c r="FD459" s="272"/>
      <c r="FE459" s="272"/>
      <c r="FF459" s="272"/>
      <c r="FG459" s="347"/>
      <c r="FH459" s="345"/>
      <c r="FI459" s="272"/>
      <c r="FJ459" s="272"/>
      <c r="FK459" s="272"/>
      <c r="FL459" s="272"/>
      <c r="FM459" s="347"/>
      <c r="FQ459"/>
      <c r="FR459"/>
      <c r="FS459"/>
      <c r="FT459"/>
      <c r="FU459"/>
      <c r="FV459"/>
      <c r="GA459" s="1203"/>
      <c r="GB459" s="1203"/>
      <c r="GC459" s="1203"/>
      <c r="GD459" s="1203"/>
      <c r="GE459" s="1203"/>
      <c r="GF459" s="1203"/>
      <c r="GG459" s="1203"/>
      <c r="GH459" s="163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  <c r="HB459"/>
      <c r="HC459"/>
      <c r="HD459"/>
      <c r="HE459"/>
      <c r="HF459"/>
      <c r="HG459"/>
      <c r="HH459"/>
      <c r="HI459"/>
      <c r="HJ459"/>
      <c r="HK459"/>
      <c r="HL459"/>
      <c r="HM459"/>
      <c r="HN459"/>
      <c r="HO459"/>
      <c r="HP459"/>
      <c r="HQ459"/>
      <c r="HR459"/>
      <c r="HS459"/>
      <c r="HT459"/>
      <c r="HU459"/>
      <c r="HV459"/>
      <c r="HW459"/>
      <c r="HX459"/>
      <c r="HY459"/>
      <c r="HZ459"/>
      <c r="IA459"/>
      <c r="IB459"/>
      <c r="IC459"/>
      <c r="ID459"/>
      <c r="IE459"/>
      <c r="IF459"/>
      <c r="IG459"/>
      <c r="IH459"/>
      <c r="II459"/>
      <c r="IJ459"/>
      <c r="IK459"/>
      <c r="IL459"/>
      <c r="IM459"/>
      <c r="IN459"/>
      <c r="IO459"/>
      <c r="IP459"/>
      <c r="IQ459"/>
      <c r="IR459"/>
      <c r="IS459"/>
      <c r="IT459"/>
      <c r="IU459"/>
      <c r="IV459"/>
      <c r="IW459"/>
      <c r="IX459"/>
      <c r="IY459"/>
      <c r="IZ459"/>
      <c r="JA459"/>
      <c r="JB459"/>
      <c r="JC459"/>
      <c r="JD459"/>
      <c r="JE459"/>
      <c r="JF459"/>
      <c r="JG459"/>
      <c r="JH459"/>
      <c r="JI459"/>
      <c r="JJ459"/>
      <c r="JK459"/>
      <c r="JL459"/>
      <c r="JM459"/>
      <c r="JN459"/>
    </row>
    <row r="460" spans="1:274" s="27" customFormat="1" ht="15" customHeight="1" x14ac:dyDescent="0.2">
      <c r="A460" s="32" t="s">
        <v>676</v>
      </c>
      <c r="C460" s="242"/>
      <c r="D460" s="242"/>
      <c r="E460" s="242"/>
      <c r="F460" s="242"/>
      <c r="G460" s="242"/>
      <c r="H460" s="242"/>
      <c r="I460" s="242"/>
      <c r="J460" s="242"/>
      <c r="K460" s="242"/>
      <c r="L460" s="242"/>
      <c r="M460" s="242"/>
      <c r="O460" s="272"/>
      <c r="P460" s="272"/>
      <c r="Q460" s="272"/>
      <c r="R460" s="272"/>
      <c r="S460" s="242"/>
      <c r="U460" s="272"/>
      <c r="V460" s="272"/>
      <c r="W460" s="272"/>
      <c r="X460" s="272"/>
      <c r="Y460" s="242"/>
      <c r="AA460" s="272"/>
      <c r="AB460" s="272"/>
      <c r="AC460" s="272"/>
      <c r="AD460" s="272"/>
      <c r="AE460" s="242"/>
      <c r="AG460" s="272"/>
      <c r="AH460" s="272"/>
      <c r="AI460" s="272"/>
      <c r="AJ460" s="272"/>
      <c r="AK460" s="242"/>
      <c r="AM460" s="272"/>
      <c r="AN460" s="272"/>
      <c r="AO460" s="272"/>
      <c r="AP460" s="272"/>
      <c r="AQ460" s="242"/>
      <c r="AS460" s="272"/>
      <c r="AT460" s="272"/>
      <c r="AU460" s="272"/>
      <c r="AV460" s="272"/>
      <c r="AW460" s="242"/>
      <c r="AY460" s="272"/>
      <c r="AZ460" s="272"/>
      <c r="BA460" s="272"/>
      <c r="BB460" s="272"/>
      <c r="BC460" s="242"/>
      <c r="BE460" s="272"/>
      <c r="BF460" s="272"/>
      <c r="BG460" s="272"/>
      <c r="BH460" s="272"/>
      <c r="BI460" s="242"/>
      <c r="BK460" s="272"/>
      <c r="BL460" s="272"/>
      <c r="BM460" s="272"/>
      <c r="BN460" s="272"/>
      <c r="BO460" s="242"/>
      <c r="BQ460" s="272"/>
      <c r="BR460" s="272"/>
      <c r="BS460" s="272"/>
      <c r="BT460" s="272"/>
      <c r="BU460" s="242"/>
      <c r="BW460" s="927"/>
      <c r="BX460" s="927"/>
      <c r="BY460" s="927"/>
      <c r="BZ460" s="927"/>
      <c r="CA460" s="242"/>
      <c r="CC460" s="927"/>
      <c r="CD460" s="927"/>
      <c r="CE460" s="927"/>
      <c r="CF460" s="927"/>
      <c r="CG460" s="347"/>
      <c r="CI460" s="272"/>
      <c r="CJ460" s="272"/>
      <c r="CK460" s="272"/>
      <c r="CL460" s="272"/>
      <c r="CM460" s="474"/>
      <c r="CO460" s="790"/>
      <c r="CQ460" s="928"/>
      <c r="CR460" s="929"/>
      <c r="CS460" s="557"/>
      <c r="CT460" s="345"/>
      <c r="CU460" s="790"/>
      <c r="CV460" s="272"/>
      <c r="CW460" s="272"/>
      <c r="CX460" s="272"/>
      <c r="CY460" s="347"/>
      <c r="CZ460" s="345"/>
      <c r="DA460" s="790"/>
      <c r="DB460" s="272"/>
      <c r="DC460" s="272"/>
      <c r="DD460" s="927"/>
      <c r="DE460" s="347"/>
      <c r="DF460" s="345"/>
      <c r="DG460" s="927"/>
      <c r="DH460" s="927"/>
      <c r="DI460" s="927"/>
      <c r="DJ460" s="927"/>
      <c r="DK460" s="347"/>
      <c r="DL460" s="345"/>
      <c r="DM460" s="927"/>
      <c r="DN460" s="927"/>
      <c r="DO460" s="927"/>
      <c r="DP460" s="927"/>
      <c r="DQ460" s="347"/>
      <c r="DR460" s="345"/>
      <c r="DS460" s="927"/>
      <c r="DT460" s="927"/>
      <c r="DU460" s="927"/>
      <c r="DV460" s="927"/>
      <c r="DW460" s="347"/>
      <c r="DX460" s="345"/>
      <c r="DY460" s="927"/>
      <c r="DZ460" s="927"/>
      <c r="EA460" s="927"/>
      <c r="EB460" s="927"/>
      <c r="EC460" s="347"/>
      <c r="ED460" s="345"/>
      <c r="EE460" s="927"/>
      <c r="EF460" s="927"/>
      <c r="EG460" s="927"/>
      <c r="EH460" s="927"/>
      <c r="EI460" s="347"/>
      <c r="EJ460" s="345"/>
      <c r="EK460" s="927"/>
      <c r="EL460" s="927"/>
      <c r="EM460" s="927"/>
      <c r="EN460" s="927"/>
      <c r="EO460" s="347"/>
      <c r="EP460" s="345"/>
      <c r="EQ460" s="927"/>
      <c r="ER460" s="272"/>
      <c r="ES460" s="927"/>
      <c r="ET460" s="927"/>
      <c r="EU460" s="347"/>
      <c r="EV460" s="345"/>
      <c r="EW460" s="1867"/>
      <c r="EX460" s="927">
        <f>EX459/AVERAGE(EX457:EX458)-1</f>
        <v>-1.6990369336275402E-2</v>
      </c>
      <c r="EY460" s="927">
        <f>EY459/AVERAGE(EY457:EY458)-1</f>
        <v>-8.8828324122440794E-3</v>
      </c>
      <c r="EZ460" s="927">
        <f>EZ459/AVERAGE(EZ457:EZ458)-1</f>
        <v>-4.0618955512572441E-3</v>
      </c>
      <c r="FA460" s="347"/>
      <c r="FB460" s="345"/>
      <c r="FC460" s="272"/>
      <c r="FD460" s="272"/>
      <c r="FE460" s="272"/>
      <c r="FF460" s="272"/>
      <c r="FG460" s="347"/>
      <c r="FH460" s="345"/>
      <c r="FI460" s="272"/>
      <c r="FJ460" s="272"/>
      <c r="FK460" s="272"/>
      <c r="FL460" s="272"/>
      <c r="FM460" s="347"/>
      <c r="FQ460"/>
      <c r="FR460"/>
      <c r="FS460"/>
      <c r="FT460"/>
      <c r="FU460"/>
      <c r="FV460"/>
      <c r="GA460" s="1203"/>
      <c r="GB460" s="1203"/>
      <c r="GC460" s="1203"/>
      <c r="GD460" s="1203"/>
      <c r="GE460" s="1203"/>
      <c r="GF460" s="1203"/>
      <c r="GG460" s="1203"/>
      <c r="GH460" s="1639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  <c r="HB460"/>
      <c r="HC460"/>
      <c r="HD460"/>
      <c r="HE460"/>
      <c r="HF460"/>
      <c r="HG460"/>
      <c r="HH460"/>
      <c r="HI460"/>
      <c r="HJ460"/>
      <c r="HK460"/>
      <c r="HL460"/>
      <c r="HM460"/>
      <c r="HN460"/>
      <c r="HO460"/>
      <c r="HP460"/>
      <c r="HQ460"/>
      <c r="HR460"/>
      <c r="HS460"/>
      <c r="HT460"/>
      <c r="HU460"/>
      <c r="HV460"/>
      <c r="HW460"/>
      <c r="HX460"/>
      <c r="HY460"/>
      <c r="HZ460"/>
      <c r="IA460"/>
      <c r="IB460"/>
      <c r="IC460"/>
      <c r="ID460"/>
      <c r="IE460"/>
      <c r="IF460"/>
      <c r="IG460"/>
      <c r="IH460"/>
      <c r="II460"/>
      <c r="IJ460"/>
      <c r="IK460"/>
      <c r="IL460"/>
      <c r="IM460"/>
      <c r="IN460"/>
      <c r="IO460"/>
      <c r="IP460"/>
      <c r="IQ460"/>
      <c r="IR460"/>
      <c r="IS460"/>
      <c r="IT460"/>
      <c r="IU460"/>
      <c r="IV460"/>
      <c r="IW460"/>
      <c r="IX460"/>
      <c r="IY460"/>
      <c r="IZ460"/>
      <c r="JA460"/>
      <c r="JB460"/>
      <c r="JC460"/>
      <c r="JD460"/>
      <c r="JE460"/>
      <c r="JF460"/>
      <c r="JG460"/>
      <c r="JH460"/>
      <c r="JI460"/>
      <c r="JJ460"/>
      <c r="JK460"/>
      <c r="JL460"/>
      <c r="JM460"/>
      <c r="JN460"/>
    </row>
    <row r="461" spans="1:274" s="27" customFormat="1" ht="15" customHeight="1" x14ac:dyDescent="0.2">
      <c r="A461" s="32" t="s">
        <v>657</v>
      </c>
      <c r="C461" s="242"/>
      <c r="D461" s="242"/>
      <c r="E461" s="242"/>
      <c r="F461" s="242"/>
      <c r="G461" s="242"/>
      <c r="H461" s="242"/>
      <c r="I461" s="242"/>
      <c r="J461" s="242"/>
      <c r="K461" s="242"/>
      <c r="L461" s="242"/>
      <c r="M461" s="242"/>
      <c r="O461" s="272"/>
      <c r="P461" s="272"/>
      <c r="Q461" s="272"/>
      <c r="R461" s="272"/>
      <c r="S461" s="242"/>
      <c r="U461" s="272"/>
      <c r="V461" s="272"/>
      <c r="W461" s="272"/>
      <c r="X461" s="272"/>
      <c r="Y461" s="242"/>
      <c r="AA461" s="272"/>
      <c r="AB461" s="272"/>
      <c r="AC461" s="272"/>
      <c r="AD461" s="272"/>
      <c r="AE461" s="242"/>
      <c r="AG461" s="272"/>
      <c r="AH461" s="272"/>
      <c r="AI461" s="272"/>
      <c r="AJ461" s="272"/>
      <c r="AK461" s="242"/>
      <c r="AM461" s="272"/>
      <c r="AN461" s="272"/>
      <c r="AO461" s="272"/>
      <c r="AP461" s="272"/>
      <c r="AQ461" s="242"/>
      <c r="AS461" s="272"/>
      <c r="AT461" s="272"/>
      <c r="AU461" s="272"/>
      <c r="AV461" s="272"/>
      <c r="AW461" s="242"/>
      <c r="AY461" s="272"/>
      <c r="AZ461" s="272"/>
      <c r="BA461" s="272"/>
      <c r="BB461" s="272"/>
      <c r="BC461" s="242"/>
      <c r="BE461" s="272"/>
      <c r="BF461" s="272"/>
      <c r="BG461" s="272"/>
      <c r="BH461" s="272"/>
      <c r="BI461" s="242"/>
      <c r="BK461" s="272"/>
      <c r="BL461" s="272"/>
      <c r="BM461" s="272"/>
      <c r="BN461" s="272"/>
      <c r="BO461" s="242"/>
      <c r="BQ461" s="272"/>
      <c r="BR461" s="272"/>
      <c r="BS461" s="272"/>
      <c r="BT461" s="272"/>
      <c r="BU461" s="242"/>
      <c r="BW461" s="927"/>
      <c r="BX461" s="927"/>
      <c r="BY461" s="927"/>
      <c r="BZ461" s="927"/>
      <c r="CA461" s="242"/>
      <c r="CC461" s="927"/>
      <c r="CD461" s="927"/>
      <c r="CE461" s="927"/>
      <c r="CF461" s="927"/>
      <c r="CG461" s="347"/>
      <c r="CI461" s="272"/>
      <c r="CJ461" s="272"/>
      <c r="CK461" s="272"/>
      <c r="CL461" s="272"/>
      <c r="CM461" s="474"/>
      <c r="CO461" s="790"/>
      <c r="CQ461" s="928"/>
      <c r="CR461" s="929"/>
      <c r="CS461" s="557"/>
      <c r="CT461" s="345"/>
      <c r="CU461" s="790"/>
      <c r="CV461" s="272"/>
      <c r="CW461" s="272"/>
      <c r="CX461" s="272"/>
      <c r="CY461" s="347"/>
      <c r="CZ461" s="345"/>
      <c r="DA461" s="790"/>
      <c r="DB461" s="272"/>
      <c r="DC461" s="272"/>
      <c r="DD461" s="927"/>
      <c r="DE461" s="347"/>
      <c r="DF461" s="345"/>
      <c r="DG461" s="927"/>
      <c r="DH461" s="927"/>
      <c r="DI461" s="927"/>
      <c r="DJ461" s="927"/>
      <c r="DK461" s="347"/>
      <c r="DL461" s="345"/>
      <c r="DM461" s="927"/>
      <c r="DN461" s="927"/>
      <c r="DO461" s="927"/>
      <c r="DP461" s="927"/>
      <c r="DQ461" s="347"/>
      <c r="DR461" s="345"/>
      <c r="DS461" s="927"/>
      <c r="DT461" s="927"/>
      <c r="DU461" s="927"/>
      <c r="DV461" s="927"/>
      <c r="DW461" s="347"/>
      <c r="DX461" s="345"/>
      <c r="DY461" s="927"/>
      <c r="DZ461" s="927"/>
      <c r="EA461" s="927"/>
      <c r="EB461" s="927"/>
      <c r="EC461" s="347"/>
      <c r="ED461" s="345"/>
      <c r="EE461" s="927"/>
      <c r="EF461" s="927"/>
      <c r="EG461" s="927"/>
      <c r="EH461" s="927"/>
      <c r="EI461" s="347"/>
      <c r="EJ461" s="345"/>
      <c r="EK461" s="927"/>
      <c r="EL461" s="927"/>
      <c r="EM461" s="927"/>
      <c r="EN461" s="927"/>
      <c r="EO461" s="347"/>
      <c r="EP461" s="345"/>
      <c r="EQ461" s="927"/>
      <c r="ER461" s="272"/>
      <c r="ES461" s="927"/>
      <c r="ET461" s="272"/>
      <c r="EU461" s="347"/>
      <c r="EV461" s="345"/>
      <c r="EW461" s="1867"/>
      <c r="EX461" s="927">
        <f>(AVERAGE(EX457:EX458)/EW459-1)</f>
        <v>4.1829758713136656E-2</v>
      </c>
      <c r="EY461" s="927">
        <f>(AVERAGE(EY457:EY458)/EX459-1)</f>
        <v>3.7356020942408419E-2</v>
      </c>
      <c r="EZ461" s="927">
        <f>(AVERAGE(EZ457:EZ458)/EY459-1)</f>
        <v>8.5996180776575448E-2</v>
      </c>
      <c r="FA461" s="347"/>
      <c r="FB461" s="345"/>
      <c r="FC461" s="272"/>
      <c r="FD461" s="272"/>
      <c r="FE461" s="272"/>
      <c r="FF461" s="272"/>
      <c r="FG461" s="347"/>
      <c r="FH461" s="345"/>
      <c r="FI461" s="272"/>
      <c r="FJ461" s="272"/>
      <c r="FK461" s="272"/>
      <c r="FL461" s="272"/>
      <c r="FM461" s="347"/>
      <c r="FQ461"/>
      <c r="FR461"/>
      <c r="FS461"/>
      <c r="FT461"/>
      <c r="FU461"/>
      <c r="FV461"/>
      <c r="GA461" s="1203"/>
      <c r="GB461" s="1203"/>
      <c r="GC461" s="1203"/>
      <c r="GD461" s="1203"/>
      <c r="GE461" s="1203"/>
      <c r="GF461" s="1203"/>
      <c r="GG461" s="1203"/>
      <c r="GH461" s="1639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  <c r="HB461"/>
      <c r="HC461"/>
      <c r="HD461"/>
      <c r="HE461"/>
      <c r="HF461"/>
      <c r="HG461"/>
      <c r="HH461"/>
      <c r="HI461"/>
      <c r="HJ461"/>
      <c r="HK461"/>
      <c r="HL461"/>
      <c r="HM461"/>
      <c r="HN461"/>
      <c r="HO461"/>
      <c r="HP461"/>
      <c r="HQ461"/>
      <c r="HR461"/>
      <c r="HS461"/>
      <c r="HT461"/>
      <c r="HU461"/>
      <c r="HV461"/>
      <c r="HW461"/>
      <c r="HX461"/>
      <c r="HY461"/>
      <c r="HZ461"/>
      <c r="IA461"/>
      <c r="IB461"/>
      <c r="IC461"/>
      <c r="ID461"/>
      <c r="IE461"/>
      <c r="IF461"/>
      <c r="IG461"/>
      <c r="IH461"/>
      <c r="II461"/>
      <c r="IJ461"/>
      <c r="IK461"/>
      <c r="IL461"/>
      <c r="IM461"/>
      <c r="IN461"/>
      <c r="IO461"/>
      <c r="IP461"/>
      <c r="IQ461"/>
      <c r="IR461"/>
      <c r="IS461"/>
      <c r="IT461"/>
      <c r="IU461"/>
      <c r="IV461"/>
      <c r="IW461"/>
      <c r="IX461"/>
      <c r="IY461"/>
      <c r="IZ461"/>
      <c r="JA461"/>
      <c r="JB461"/>
      <c r="JC461"/>
      <c r="JD461"/>
      <c r="JE461"/>
      <c r="JF461"/>
      <c r="JG461"/>
      <c r="JH461"/>
      <c r="JI461"/>
      <c r="JJ461"/>
      <c r="JK461"/>
      <c r="JL461"/>
      <c r="JM461"/>
      <c r="JN461"/>
    </row>
    <row r="462" spans="1:274" s="27" customFormat="1" ht="15" customHeight="1" x14ac:dyDescent="0.2">
      <c r="C462" s="242"/>
      <c r="D462" s="242"/>
      <c r="E462" s="242"/>
      <c r="F462" s="242"/>
      <c r="G462" s="242"/>
      <c r="H462" s="242"/>
      <c r="I462" s="242"/>
      <c r="J462" s="242"/>
      <c r="K462" s="242"/>
      <c r="L462" s="242"/>
      <c r="M462" s="242"/>
      <c r="O462" s="272"/>
      <c r="P462" s="272"/>
      <c r="Q462" s="272"/>
      <c r="R462" s="272"/>
      <c r="S462" s="242"/>
      <c r="U462" s="272"/>
      <c r="V462" s="272"/>
      <c r="W462" s="272"/>
      <c r="X462" s="272"/>
      <c r="Y462" s="242"/>
      <c r="AA462" s="272"/>
      <c r="AB462" s="272"/>
      <c r="AC462" s="272"/>
      <c r="AD462" s="272"/>
      <c r="AE462" s="242"/>
      <c r="AG462" s="272"/>
      <c r="AH462" s="272"/>
      <c r="AI462" s="272"/>
      <c r="AJ462" s="272"/>
      <c r="AK462" s="242"/>
      <c r="AM462" s="272"/>
      <c r="AN462" s="272"/>
      <c r="AO462" s="272"/>
      <c r="AP462" s="272"/>
      <c r="AQ462" s="242"/>
      <c r="AS462" s="272"/>
      <c r="AT462" s="272"/>
      <c r="AU462" s="272"/>
      <c r="AV462" s="272"/>
      <c r="AW462" s="242"/>
      <c r="AY462" s="272"/>
      <c r="AZ462" s="272"/>
      <c r="BA462" s="272"/>
      <c r="BB462" s="272"/>
      <c r="BC462" s="242"/>
      <c r="BE462" s="272"/>
      <c r="BF462" s="272"/>
      <c r="BG462" s="272"/>
      <c r="BH462" s="272"/>
      <c r="BI462" s="242"/>
      <c r="BK462" s="272"/>
      <c r="BL462" s="272"/>
      <c r="BM462" s="272"/>
      <c r="BN462" s="272"/>
      <c r="BO462" s="242"/>
      <c r="BQ462" s="272"/>
      <c r="BR462" s="272"/>
      <c r="BS462" s="272"/>
      <c r="BT462" s="272"/>
      <c r="BU462" s="242"/>
      <c r="BW462" s="927"/>
      <c r="BX462" s="927"/>
      <c r="BY462" s="927"/>
      <c r="BZ462" s="927"/>
      <c r="CA462" s="242"/>
      <c r="CC462" s="927"/>
      <c r="CD462" s="927"/>
      <c r="CE462" s="927"/>
      <c r="CF462" s="927"/>
      <c r="CG462" s="347"/>
      <c r="CI462" s="272"/>
      <c r="CJ462" s="272"/>
      <c r="CK462" s="272"/>
      <c r="CL462" s="272"/>
      <c r="CM462" s="474"/>
      <c r="CO462" s="790"/>
      <c r="CQ462" s="928"/>
      <c r="CR462" s="929"/>
      <c r="CS462" s="557"/>
      <c r="CT462" s="345"/>
      <c r="CU462" s="790"/>
      <c r="CV462" s="272"/>
      <c r="CW462" s="272"/>
      <c r="CX462" s="272"/>
      <c r="CY462" s="347"/>
      <c r="CZ462" s="345"/>
      <c r="DA462" s="790"/>
      <c r="DB462" s="272"/>
      <c r="DC462" s="272"/>
      <c r="DD462" s="927"/>
      <c r="DE462" s="347"/>
      <c r="DF462" s="345"/>
      <c r="DG462" s="927"/>
      <c r="DH462" s="927"/>
      <c r="DI462" s="927"/>
      <c r="DJ462" s="927"/>
      <c r="DK462" s="347"/>
      <c r="DL462" s="345"/>
      <c r="DM462" s="927"/>
      <c r="DN462" s="927"/>
      <c r="DO462" s="927"/>
      <c r="DP462" s="927"/>
      <c r="DQ462" s="347"/>
      <c r="DR462" s="345"/>
      <c r="DS462" s="927"/>
      <c r="DT462" s="927"/>
      <c r="DU462" s="927"/>
      <c r="DV462" s="927"/>
      <c r="DW462" s="347"/>
      <c r="DX462" s="345"/>
      <c r="DY462" s="927"/>
      <c r="DZ462" s="927"/>
      <c r="EA462" s="927"/>
      <c r="EB462" s="927"/>
      <c r="EC462" s="347"/>
      <c r="ED462" s="345"/>
      <c r="EE462" s="927"/>
      <c r="EF462" s="927"/>
      <c r="EG462" s="927"/>
      <c r="EH462" s="927"/>
      <c r="EI462" s="347"/>
      <c r="EJ462" s="345"/>
      <c r="EK462" s="927"/>
      <c r="EL462" s="927"/>
      <c r="EM462" s="927"/>
      <c r="EN462" s="927"/>
      <c r="EO462" s="347"/>
      <c r="EP462" s="345"/>
      <c r="EQ462" s="927"/>
      <c r="ER462" s="272"/>
      <c r="ES462" s="272"/>
      <c r="ET462" s="272"/>
      <c r="EU462" s="347"/>
      <c r="EV462" s="345"/>
      <c r="EW462" s="927"/>
      <c r="EX462" s="927"/>
      <c r="EY462" s="272"/>
      <c r="EZ462" s="272"/>
      <c r="FA462" s="347"/>
      <c r="FB462" s="345"/>
      <c r="FC462" s="272"/>
      <c r="FD462" s="272"/>
      <c r="FE462" s="272"/>
      <c r="FF462" s="272"/>
      <c r="FG462" s="347"/>
      <c r="FH462" s="345"/>
      <c r="FI462" s="272"/>
      <c r="FJ462" s="272"/>
      <c r="FK462" s="272"/>
      <c r="FL462" s="272"/>
      <c r="FM462" s="347"/>
      <c r="FQ462"/>
      <c r="FR462"/>
      <c r="FS462"/>
      <c r="FT462"/>
      <c r="FU462"/>
      <c r="FV462"/>
      <c r="GA462" s="1203"/>
      <c r="GB462" s="1203"/>
      <c r="GC462" s="1203"/>
      <c r="GD462" s="1203"/>
      <c r="GE462" s="1203"/>
      <c r="GF462" s="1203"/>
      <c r="GG462" s="1203"/>
      <c r="GH462" s="1639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  <c r="HB462"/>
      <c r="HC462"/>
      <c r="HD462"/>
      <c r="HE462"/>
      <c r="HF462"/>
      <c r="HG462"/>
      <c r="HH462"/>
      <c r="HI462"/>
      <c r="HJ462"/>
      <c r="HK462"/>
      <c r="HL462"/>
      <c r="HM462"/>
      <c r="HN462"/>
      <c r="HO462"/>
      <c r="HP462"/>
      <c r="HQ462"/>
      <c r="HR462"/>
      <c r="HS462"/>
      <c r="HT462"/>
      <c r="HU462"/>
      <c r="HV462"/>
      <c r="HW462"/>
      <c r="HX462"/>
      <c r="HY462"/>
      <c r="HZ462"/>
      <c r="IA462"/>
      <c r="IB462"/>
      <c r="IC462"/>
      <c r="ID462"/>
      <c r="IE462"/>
      <c r="IF462"/>
      <c r="IG462"/>
      <c r="IH462"/>
      <c r="II462"/>
      <c r="IJ462"/>
      <c r="IK462"/>
      <c r="IL462"/>
      <c r="IM462"/>
      <c r="IN462"/>
      <c r="IO462"/>
      <c r="IP462"/>
      <c r="IQ462"/>
      <c r="IR462"/>
      <c r="IS462"/>
      <c r="IT462"/>
      <c r="IU462"/>
      <c r="IV462"/>
      <c r="IW462"/>
      <c r="IX462"/>
      <c r="IY462"/>
      <c r="IZ462"/>
      <c r="JA462"/>
      <c r="JB462"/>
      <c r="JC462"/>
      <c r="JD462"/>
      <c r="JE462"/>
      <c r="JF462"/>
      <c r="JG462"/>
      <c r="JH462"/>
      <c r="JI462"/>
      <c r="JJ462"/>
      <c r="JK462"/>
      <c r="JL462"/>
      <c r="JM462"/>
      <c r="JN462"/>
    </row>
    <row r="463" spans="1:274" s="27" customFormat="1" ht="15" hidden="1" customHeight="1" outlineLevel="1" x14ac:dyDescent="0.2">
      <c r="A463" s="32" t="s">
        <v>1110</v>
      </c>
      <c r="C463" s="242"/>
      <c r="D463" s="242"/>
      <c r="E463" s="242"/>
      <c r="F463" s="242"/>
      <c r="G463" s="242"/>
      <c r="H463" s="242"/>
      <c r="I463" s="242"/>
      <c r="J463" s="242"/>
      <c r="K463" s="242"/>
      <c r="L463" s="242"/>
      <c r="M463" s="242"/>
      <c r="O463" s="272"/>
      <c r="P463" s="272"/>
      <c r="Q463" s="272"/>
      <c r="R463" s="272"/>
      <c r="S463" s="242"/>
      <c r="U463" s="272"/>
      <c r="V463" s="272"/>
      <c r="W463" s="272"/>
      <c r="X463" s="272"/>
      <c r="Y463" s="242"/>
      <c r="AA463" s="272"/>
      <c r="AB463" s="272"/>
      <c r="AC463" s="272"/>
      <c r="AD463" s="272"/>
      <c r="AE463" s="242"/>
      <c r="AG463" s="272"/>
      <c r="AH463" s="272"/>
      <c r="AI463" s="272"/>
      <c r="AJ463" s="272"/>
      <c r="AK463" s="242"/>
      <c r="AM463" s="272"/>
      <c r="AN463" s="272"/>
      <c r="AO463" s="272"/>
      <c r="AP463" s="272"/>
      <c r="AQ463" s="242"/>
      <c r="AS463" s="272"/>
      <c r="AT463" s="272"/>
      <c r="AU463" s="272"/>
      <c r="AV463" s="272"/>
      <c r="AW463" s="242"/>
      <c r="AY463" s="272"/>
      <c r="AZ463" s="272"/>
      <c r="BA463" s="272"/>
      <c r="BB463" s="272"/>
      <c r="BC463" s="242"/>
      <c r="BE463" s="272"/>
      <c r="BF463" s="272"/>
      <c r="BG463" s="272"/>
      <c r="BH463" s="272"/>
      <c r="BI463" s="242"/>
      <c r="BK463" s="272"/>
      <c r="BL463" s="272"/>
      <c r="BM463" s="272"/>
      <c r="BN463" s="272"/>
      <c r="BO463" s="242"/>
      <c r="BQ463" s="272"/>
      <c r="BR463" s="272"/>
      <c r="BS463" s="272"/>
      <c r="BT463" s="272"/>
      <c r="BU463" s="242"/>
      <c r="BW463" s="927"/>
      <c r="BX463" s="927"/>
      <c r="BY463" s="927"/>
      <c r="BZ463" s="927"/>
      <c r="CA463" s="242"/>
      <c r="CC463" s="927"/>
      <c r="CD463" s="927"/>
      <c r="CE463" s="927"/>
      <c r="CF463" s="927"/>
      <c r="CG463" s="347"/>
      <c r="CI463" s="272"/>
      <c r="CJ463" s="272"/>
      <c r="CK463" s="272"/>
      <c r="CL463" s="272"/>
      <c r="CM463" s="474"/>
      <c r="CO463" s="790"/>
      <c r="CQ463" s="928"/>
      <c r="CR463" s="929"/>
      <c r="CS463" s="557"/>
      <c r="CT463" s="345"/>
      <c r="CU463" s="790"/>
      <c r="CV463" s="272"/>
      <c r="CW463" s="272"/>
      <c r="CX463" s="272"/>
      <c r="CY463" s="347"/>
      <c r="CZ463" s="345"/>
      <c r="DA463" s="790"/>
      <c r="DB463" s="272"/>
      <c r="DC463" s="272"/>
      <c r="DD463" s="927"/>
      <c r="DE463" s="347"/>
      <c r="DF463" s="345"/>
      <c r="DG463" s="927"/>
      <c r="DH463" s="927"/>
      <c r="DI463" s="927"/>
      <c r="DJ463" s="927"/>
      <c r="DK463" s="347"/>
      <c r="DL463" s="345"/>
      <c r="DM463" s="927"/>
      <c r="DN463" s="927"/>
      <c r="DO463" s="927"/>
      <c r="DP463" s="927"/>
      <c r="DQ463" s="347"/>
      <c r="DR463" s="345"/>
      <c r="DS463" s="927"/>
      <c r="DT463" s="927"/>
      <c r="DU463" s="927"/>
      <c r="DV463" s="927"/>
      <c r="DW463" s="347"/>
      <c r="DX463" s="345"/>
      <c r="DY463" s="927"/>
      <c r="DZ463" s="927"/>
      <c r="EA463" s="927"/>
      <c r="EB463" s="927"/>
      <c r="EC463" s="347"/>
      <c r="ED463" s="345"/>
      <c r="EE463" s="927"/>
      <c r="EF463" s="927"/>
      <c r="EG463" s="927"/>
      <c r="EH463" s="927"/>
      <c r="EI463" s="347"/>
      <c r="EJ463" s="345"/>
      <c r="EK463" s="927"/>
      <c r="EL463" s="927"/>
      <c r="EM463" s="927"/>
      <c r="EN463" s="927"/>
      <c r="EO463" s="347"/>
      <c r="EP463" s="345"/>
      <c r="EQ463" s="927"/>
      <c r="ER463" s="272"/>
      <c r="ES463" s="272"/>
      <c r="ET463" s="272"/>
      <c r="EU463" s="347"/>
      <c r="EV463" s="345"/>
      <c r="EW463" s="927"/>
      <c r="EX463" s="927"/>
      <c r="EY463" s="272"/>
      <c r="EZ463" s="272"/>
      <c r="FA463" s="347"/>
      <c r="FB463" s="345"/>
      <c r="FC463" s="272"/>
      <c r="FD463" s="272"/>
      <c r="FE463" s="272"/>
      <c r="FF463" s="272"/>
      <c r="FG463" s="347"/>
      <c r="FH463" s="345"/>
      <c r="FI463" s="272"/>
      <c r="FJ463" s="272"/>
      <c r="FK463" s="272"/>
      <c r="FL463" s="272"/>
      <c r="FM463" s="347"/>
      <c r="FQ463"/>
      <c r="FR463"/>
      <c r="FS463"/>
      <c r="FT463"/>
      <c r="FU463"/>
      <c r="FV463"/>
      <c r="GA463" s="1203"/>
      <c r="GB463" s="1203"/>
      <c r="GC463" s="1203"/>
      <c r="GD463" s="1203"/>
      <c r="GE463" s="1203"/>
      <c r="GF463" s="1203"/>
      <c r="GG463" s="1203"/>
      <c r="GH463" s="1639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  <c r="HB463"/>
      <c r="HC463"/>
      <c r="HD463"/>
      <c r="HE463"/>
      <c r="HF463"/>
      <c r="HG463"/>
      <c r="HH463"/>
      <c r="HI463"/>
      <c r="HJ463"/>
      <c r="HK463"/>
      <c r="HL463"/>
      <c r="HM463"/>
      <c r="HN463"/>
      <c r="HO463"/>
      <c r="HP463"/>
      <c r="HQ463"/>
      <c r="HR463"/>
      <c r="HS463"/>
      <c r="HT463"/>
      <c r="HU463"/>
      <c r="HV463"/>
      <c r="HW463"/>
      <c r="HX463"/>
      <c r="HY463"/>
      <c r="HZ463"/>
      <c r="IA463"/>
      <c r="IB463"/>
      <c r="IC463"/>
      <c r="ID463"/>
      <c r="IE463"/>
      <c r="IF463"/>
      <c r="IG463"/>
      <c r="IH463"/>
      <c r="II463"/>
      <c r="IJ463"/>
      <c r="IK463"/>
      <c r="IL463"/>
      <c r="IM463"/>
      <c r="IN463"/>
      <c r="IO463"/>
      <c r="IP463"/>
      <c r="IQ463"/>
      <c r="IR463"/>
      <c r="IS463"/>
      <c r="IT463"/>
      <c r="IU463"/>
      <c r="IV463"/>
      <c r="IW463"/>
      <c r="IX463"/>
      <c r="IY463"/>
      <c r="IZ463"/>
      <c r="JA463"/>
      <c r="JB463"/>
      <c r="JC463"/>
      <c r="JD463"/>
      <c r="JE463"/>
      <c r="JF463"/>
      <c r="JG463"/>
      <c r="JH463"/>
      <c r="JI463"/>
      <c r="JJ463"/>
      <c r="JK463"/>
      <c r="JL463"/>
      <c r="JM463"/>
      <c r="JN463"/>
    </row>
    <row r="464" spans="1:274" s="27" customFormat="1" ht="15" hidden="1" customHeight="1" outlineLevel="1" x14ac:dyDescent="0.2">
      <c r="A464" s="27" t="s">
        <v>457</v>
      </c>
      <c r="C464" s="242"/>
      <c r="D464" s="242"/>
      <c r="E464" s="242"/>
      <c r="F464" s="242"/>
      <c r="G464" s="242"/>
      <c r="H464" s="242"/>
      <c r="I464" s="242"/>
      <c r="J464" s="242"/>
      <c r="K464" s="242"/>
      <c r="L464" s="242"/>
      <c r="M464" s="242"/>
      <c r="O464" s="272"/>
      <c r="P464" s="272"/>
      <c r="Q464" s="272"/>
      <c r="R464" s="272"/>
      <c r="S464" s="242"/>
      <c r="U464" s="272"/>
      <c r="V464" s="272"/>
      <c r="W464" s="272"/>
      <c r="X464" s="272"/>
      <c r="Y464" s="242"/>
      <c r="AA464" s="272"/>
      <c r="AB464" s="272"/>
      <c r="AC464" s="272"/>
      <c r="AD464" s="272"/>
      <c r="AE464" s="242"/>
      <c r="AG464" s="272"/>
      <c r="AH464" s="272"/>
      <c r="AI464" s="272"/>
      <c r="AJ464" s="272"/>
      <c r="AK464" s="242"/>
      <c r="AM464" s="272"/>
      <c r="AN464" s="272"/>
      <c r="AO464" s="272"/>
      <c r="AP464" s="272"/>
      <c r="AQ464" s="242"/>
      <c r="AS464" s="272"/>
      <c r="AT464" s="272"/>
      <c r="AU464" s="272"/>
      <c r="AV464" s="272"/>
      <c r="AW464" s="242"/>
      <c r="AY464" s="272"/>
      <c r="AZ464" s="272"/>
      <c r="BA464" s="272"/>
      <c r="BB464" s="272"/>
      <c r="BC464" s="242"/>
      <c r="BE464" s="272"/>
      <c r="BF464" s="272"/>
      <c r="BG464" s="272"/>
      <c r="BH464" s="272"/>
      <c r="BI464" s="242"/>
      <c r="BK464" s="272"/>
      <c r="BL464" s="272"/>
      <c r="BM464" s="272"/>
      <c r="BN464" s="272"/>
      <c r="BO464" s="242"/>
      <c r="BQ464" s="272"/>
      <c r="BR464" s="272"/>
      <c r="BS464" s="272"/>
      <c r="BT464" s="272"/>
      <c r="BU464" s="242"/>
      <c r="BW464" s="927"/>
      <c r="BX464" s="927"/>
      <c r="BY464" s="927"/>
      <c r="BZ464" s="927"/>
      <c r="CA464" s="242"/>
      <c r="CC464" s="927"/>
      <c r="CD464" s="927"/>
      <c r="CE464" s="927"/>
      <c r="CF464" s="927"/>
      <c r="CG464" s="347"/>
      <c r="CI464" s="272"/>
      <c r="CJ464" s="272"/>
      <c r="CK464" s="272"/>
      <c r="CL464" s="272"/>
      <c r="CM464" s="474"/>
      <c r="CO464" s="790"/>
      <c r="CQ464" s="928"/>
      <c r="CR464" s="929"/>
      <c r="CS464" s="557"/>
      <c r="CT464" s="345"/>
      <c r="CU464" s="790"/>
      <c r="CV464" s="272"/>
      <c r="CW464" s="272"/>
      <c r="CX464" s="272"/>
      <c r="CY464" s="347"/>
      <c r="CZ464" s="345"/>
      <c r="DA464" s="790"/>
      <c r="DB464" s="272"/>
      <c r="DC464" s="272"/>
      <c r="DD464" s="927"/>
      <c r="DE464" s="347"/>
      <c r="DF464" s="345"/>
      <c r="DG464" s="927"/>
      <c r="DH464" s="927"/>
      <c r="DI464" s="927"/>
      <c r="DJ464" s="927"/>
      <c r="DK464" s="347"/>
      <c r="DL464" s="345"/>
      <c r="DM464" s="927"/>
      <c r="DN464" s="927"/>
      <c r="DO464" s="927"/>
      <c r="DP464" s="927"/>
      <c r="DQ464" s="347"/>
      <c r="DR464" s="345"/>
      <c r="DS464" s="272"/>
      <c r="DT464" s="600"/>
      <c r="DU464" s="600"/>
      <c r="DV464" s="272"/>
      <c r="DW464" s="347"/>
      <c r="DX464" s="345"/>
      <c r="DY464" s="272"/>
      <c r="DZ464" s="600"/>
      <c r="EA464" s="600"/>
      <c r="EB464" s="272"/>
      <c r="EC464" s="347"/>
      <c r="ED464" s="345"/>
      <c r="EE464" s="272">
        <f>DY466*(1+0.25)</f>
        <v>457.5</v>
      </c>
      <c r="EF464" s="272">
        <f>DZ466*(1+0.39)</f>
        <v>499.01000000000005</v>
      </c>
      <c r="EG464" s="272">
        <f>EA466*(1+0.3)</f>
        <v>536.9</v>
      </c>
      <c r="EH464" s="272">
        <f>EB466*(1+26%-6%)</f>
        <v>546</v>
      </c>
      <c r="EI464" s="347"/>
      <c r="EJ464" s="345"/>
      <c r="EK464" s="272">
        <f>(1+0.39-0.08)*EE466</f>
        <v>444.09000000000003</v>
      </c>
      <c r="EL464" s="272">
        <f>(1+0.36-0.06)*EF466</f>
        <v>473.19999999999993</v>
      </c>
      <c r="EM464" s="272">
        <f>(1+0.49-0.04)*EG466</f>
        <v>543.75</v>
      </c>
      <c r="EN464" s="272">
        <f>(1+0.57-0.02)*EH466</f>
        <v>649.44999999999993</v>
      </c>
      <c r="EO464" s="1754"/>
      <c r="EP464" s="345"/>
      <c r="EQ464" s="272">
        <f>(1+0.75)*EK466</f>
        <v>791</v>
      </c>
      <c r="ER464" s="272"/>
      <c r="ES464" s="272">
        <f>(1+0.82-0.01)*EM466</f>
        <v>1058.8499999999999</v>
      </c>
      <c r="ET464" s="272">
        <f>(1+0.69-0.02)*EN466</f>
        <v>1153.97</v>
      </c>
      <c r="EU464" s="347"/>
      <c r="EV464" s="345"/>
      <c r="EW464" s="121"/>
      <c r="EX464" s="272">
        <f>(1+0.39+0.02)*ER466</f>
        <v>1285.92</v>
      </c>
      <c r="EY464" s="272"/>
      <c r="EZ464" s="272"/>
      <c r="FA464" s="347"/>
      <c r="FB464" s="345"/>
      <c r="FC464" s="272"/>
      <c r="FD464" s="272"/>
      <c r="FE464" s="272"/>
      <c r="FF464" s="272"/>
      <c r="FG464" s="347"/>
      <c r="FH464" s="345"/>
      <c r="FI464" s="272"/>
      <c r="FJ464" s="272"/>
      <c r="FK464" s="272"/>
      <c r="FL464" s="272"/>
      <c r="FM464" s="347"/>
      <c r="FQ464"/>
      <c r="FR464"/>
      <c r="FS464"/>
      <c r="FT464"/>
      <c r="FU464"/>
      <c r="FV464"/>
      <c r="GA464" s="1203"/>
      <c r="GB464" s="1203"/>
      <c r="GC464" s="1203"/>
      <c r="GD464" s="1203"/>
      <c r="GE464" s="1203"/>
      <c r="GF464" s="1203"/>
      <c r="GG464" s="1203"/>
      <c r="GH464" s="1639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  <c r="HB464"/>
      <c r="HC464"/>
      <c r="HD464"/>
      <c r="HE464"/>
      <c r="HF464"/>
      <c r="HG464"/>
      <c r="HH464"/>
      <c r="HI464"/>
      <c r="HJ464"/>
      <c r="HK464"/>
      <c r="HL464"/>
      <c r="HM464"/>
      <c r="HN464"/>
      <c r="HO464"/>
      <c r="HP464"/>
      <c r="HQ464"/>
      <c r="HR464"/>
      <c r="HS464"/>
      <c r="HT464"/>
      <c r="HU464"/>
      <c r="HV464"/>
      <c r="HW464"/>
      <c r="HX464"/>
      <c r="HY464"/>
      <c r="HZ464"/>
      <c r="IA464"/>
      <c r="IB464"/>
      <c r="IC464"/>
      <c r="ID464"/>
      <c r="IE464"/>
      <c r="IF464"/>
      <c r="IG464"/>
      <c r="IH464"/>
      <c r="II464"/>
      <c r="IJ464"/>
      <c r="IK464"/>
      <c r="IL464"/>
      <c r="IM464"/>
      <c r="IN464"/>
      <c r="IO464"/>
      <c r="IP464"/>
      <c r="IQ464"/>
      <c r="IR464"/>
      <c r="IS464"/>
      <c r="IT464"/>
      <c r="IU464"/>
      <c r="IV464"/>
      <c r="IW464"/>
      <c r="IX464"/>
      <c r="IY464"/>
      <c r="IZ464"/>
      <c r="JA464"/>
      <c r="JB464"/>
      <c r="JC464"/>
      <c r="JD464"/>
      <c r="JE464"/>
      <c r="JF464"/>
      <c r="JG464"/>
      <c r="JH464"/>
      <c r="JI464"/>
      <c r="JJ464"/>
      <c r="JK464"/>
      <c r="JL464"/>
      <c r="JM464"/>
      <c r="JN464"/>
    </row>
    <row r="465" spans="1:274" s="27" customFormat="1" ht="15" hidden="1" customHeight="1" outlineLevel="1" x14ac:dyDescent="0.2">
      <c r="A465" s="27" t="s">
        <v>458</v>
      </c>
      <c r="C465" s="242"/>
      <c r="D465" s="242"/>
      <c r="E465" s="242"/>
      <c r="F465" s="242"/>
      <c r="G465" s="242"/>
      <c r="H465" s="242"/>
      <c r="I465" s="242"/>
      <c r="J465" s="242"/>
      <c r="K465" s="242"/>
      <c r="L465" s="242"/>
      <c r="M465" s="242"/>
      <c r="O465" s="272"/>
      <c r="P465" s="272"/>
      <c r="Q465" s="272"/>
      <c r="R465" s="272"/>
      <c r="S465" s="242"/>
      <c r="U465" s="272"/>
      <c r="V465" s="272"/>
      <c r="W465" s="272"/>
      <c r="X465" s="272"/>
      <c r="Y465" s="242"/>
      <c r="AA465" s="272"/>
      <c r="AB465" s="272"/>
      <c r="AC465" s="272"/>
      <c r="AD465" s="272"/>
      <c r="AE465" s="242"/>
      <c r="AG465" s="272"/>
      <c r="AH465" s="272"/>
      <c r="AI465" s="272"/>
      <c r="AJ465" s="272"/>
      <c r="AK465" s="242"/>
      <c r="AM465" s="272"/>
      <c r="AN465" s="272"/>
      <c r="AO465" s="272"/>
      <c r="AP465" s="272"/>
      <c r="AQ465" s="242"/>
      <c r="AS465" s="272"/>
      <c r="AT465" s="272"/>
      <c r="AU465" s="272"/>
      <c r="AV465" s="272"/>
      <c r="AW465" s="242"/>
      <c r="AY465" s="272"/>
      <c r="AZ465" s="272"/>
      <c r="BA465" s="272"/>
      <c r="BB465" s="272"/>
      <c r="BC465" s="242"/>
      <c r="BE465" s="272"/>
      <c r="BF465" s="272"/>
      <c r="BG465" s="272"/>
      <c r="BH465" s="272"/>
      <c r="BI465" s="242"/>
      <c r="BK465" s="272"/>
      <c r="BL465" s="272"/>
      <c r="BM465" s="272"/>
      <c r="BN465" s="272"/>
      <c r="BO465" s="242"/>
      <c r="BQ465" s="272"/>
      <c r="BR465" s="272"/>
      <c r="BS465" s="272"/>
      <c r="BT465" s="272"/>
      <c r="BU465" s="242"/>
      <c r="BW465" s="927"/>
      <c r="BX465" s="927"/>
      <c r="BY465" s="927"/>
      <c r="BZ465" s="927"/>
      <c r="CA465" s="242"/>
      <c r="CC465" s="927"/>
      <c r="CD465" s="927"/>
      <c r="CE465" s="927"/>
      <c r="CF465" s="927"/>
      <c r="CG465" s="347"/>
      <c r="CI465" s="272"/>
      <c r="CJ465" s="272"/>
      <c r="CK465" s="272"/>
      <c r="CL465" s="272"/>
      <c r="CM465" s="474"/>
      <c r="CO465" s="790"/>
      <c r="CQ465" s="928"/>
      <c r="CR465" s="929"/>
      <c r="CS465" s="557"/>
      <c r="CT465" s="345"/>
      <c r="CU465" s="790"/>
      <c r="CV465" s="272"/>
      <c r="CW465" s="272"/>
      <c r="CX465" s="272"/>
      <c r="CY465" s="347"/>
      <c r="CZ465" s="345"/>
      <c r="DA465" s="790"/>
      <c r="DB465" s="272"/>
      <c r="DC465" s="272"/>
      <c r="DD465" s="927"/>
      <c r="DE465" s="347"/>
      <c r="DF465" s="345"/>
      <c r="DG465" s="927"/>
      <c r="DH465" s="927"/>
      <c r="DI465" s="927"/>
      <c r="DJ465" s="927"/>
      <c r="DK465" s="347"/>
      <c r="DL465" s="345"/>
      <c r="DM465" s="927"/>
      <c r="DN465" s="927"/>
      <c r="DO465" s="927"/>
      <c r="DP465" s="927"/>
      <c r="DQ465" s="347"/>
      <c r="DR465" s="345"/>
      <c r="DS465" s="272"/>
      <c r="DT465" s="600"/>
      <c r="DU465" s="600"/>
      <c r="DV465" s="272"/>
      <c r="DW465" s="347"/>
      <c r="DX465" s="345"/>
      <c r="DY465" s="272"/>
      <c r="DZ465" s="600"/>
      <c r="EA465" s="600"/>
      <c r="EB465" s="272"/>
      <c r="EC465" s="347"/>
      <c r="ED465" s="345"/>
      <c r="EE465" s="272">
        <f>DY466*(1+0.35)</f>
        <v>494.1</v>
      </c>
      <c r="EF465" s="272">
        <f>DZ466*(1+0.44)</f>
        <v>516.96</v>
      </c>
      <c r="EG465" s="272">
        <f>EA466*(1+0.34)</f>
        <v>553.42000000000007</v>
      </c>
      <c r="EH465" s="272">
        <f>EB466*(1+30%-6%)</f>
        <v>564.20000000000005</v>
      </c>
      <c r="EI465" s="347"/>
      <c r="EJ465" s="345"/>
      <c r="EK465" s="272">
        <f>(1+0.43-0.08)*EE466</f>
        <v>457.65</v>
      </c>
      <c r="EL465" s="272">
        <f>(1+0.4-0.06)*EF466</f>
        <v>487.75999999999993</v>
      </c>
      <c r="EM465" s="272">
        <f>(1+0.53-0.04)*EG466</f>
        <v>558.75</v>
      </c>
      <c r="EN465" s="272">
        <f>(1+0.61-0.02)*EH466</f>
        <v>666.20999999999992</v>
      </c>
      <c r="EO465" s="1754"/>
      <c r="EP465" s="345"/>
      <c r="EQ465" s="272">
        <f>(1+0.8)*EK466</f>
        <v>813.6</v>
      </c>
      <c r="ER465" s="272"/>
      <c r="ES465" s="272">
        <f>(1+0.86-0.01)*EM466</f>
        <v>1082.25</v>
      </c>
      <c r="ET465" s="272">
        <f>(1+0.73-0.02)*EN466</f>
        <v>1181.6099999999999</v>
      </c>
      <c r="EU465" s="347"/>
      <c r="EV465" s="345"/>
      <c r="EW465" s="121"/>
      <c r="EX465" s="272">
        <f>(1+0.43+0.02)*ER466</f>
        <v>1322.3999999999999</v>
      </c>
      <c r="EY465" s="272"/>
      <c r="EZ465" s="272"/>
      <c r="FA465" s="347"/>
      <c r="FB465" s="345"/>
      <c r="FC465" s="272"/>
      <c r="FD465" s="272"/>
      <c r="FE465" s="272"/>
      <c r="FF465" s="272"/>
      <c r="FG465" s="347"/>
      <c r="FH465" s="345"/>
      <c r="FI465" s="272"/>
      <c r="FJ465" s="272"/>
      <c r="FK465" s="272"/>
      <c r="FL465" s="272"/>
      <c r="FM465" s="347"/>
      <c r="FQ465"/>
      <c r="FR465"/>
      <c r="FS465"/>
      <c r="FT465"/>
      <c r="FU465"/>
      <c r="FV465"/>
      <c r="GA465" s="1203"/>
      <c r="GB465" s="1203"/>
      <c r="GC465" s="1203"/>
      <c r="GD465" s="1203"/>
      <c r="GE465" s="1203"/>
      <c r="GF465" s="1203"/>
      <c r="GG465" s="1203"/>
      <c r="GH465" s="1639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  <c r="HB465"/>
      <c r="HC465"/>
      <c r="HD465"/>
      <c r="HE465"/>
      <c r="HF465"/>
      <c r="HG465"/>
      <c r="HH465"/>
      <c r="HI465"/>
      <c r="HJ465"/>
      <c r="HK465"/>
      <c r="HL465"/>
      <c r="HM465"/>
      <c r="HN465"/>
      <c r="HO465"/>
      <c r="HP465"/>
      <c r="HQ465"/>
      <c r="HR465"/>
      <c r="HS465"/>
      <c r="HT465"/>
      <c r="HU465"/>
      <c r="HV465"/>
      <c r="HW465"/>
      <c r="HX465"/>
      <c r="HY465"/>
      <c r="HZ465"/>
      <c r="IA465"/>
      <c r="IB465"/>
      <c r="IC465"/>
      <c r="ID465"/>
      <c r="IE465"/>
      <c r="IF465"/>
      <c r="IG465"/>
      <c r="IH465"/>
      <c r="II465"/>
      <c r="IJ465"/>
      <c r="IK465"/>
      <c r="IL465"/>
      <c r="IM465"/>
      <c r="IN465"/>
      <c r="IO465"/>
      <c r="IP465"/>
      <c r="IQ465"/>
      <c r="IR465"/>
      <c r="IS465"/>
      <c r="IT465"/>
      <c r="IU465"/>
      <c r="IV465"/>
      <c r="IW465"/>
      <c r="IX465"/>
      <c r="IY465"/>
      <c r="IZ465"/>
      <c r="JA465"/>
      <c r="JB465"/>
      <c r="JC465"/>
      <c r="JD465"/>
      <c r="JE465"/>
      <c r="JF465"/>
      <c r="JG465"/>
      <c r="JH465"/>
      <c r="JI465"/>
      <c r="JJ465"/>
      <c r="JK465"/>
      <c r="JL465"/>
      <c r="JM465"/>
      <c r="JN465"/>
    </row>
    <row r="466" spans="1:274" s="27" customFormat="1" ht="15" hidden="1" customHeight="1" outlineLevel="1" x14ac:dyDescent="0.2">
      <c r="A466" s="897" t="s">
        <v>913</v>
      </c>
      <c r="C466" s="242"/>
      <c r="D466" s="242"/>
      <c r="E466" s="242"/>
      <c r="F466" s="242"/>
      <c r="G466" s="242"/>
      <c r="H466" s="242"/>
      <c r="I466" s="242"/>
      <c r="J466" s="242"/>
      <c r="K466" s="242"/>
      <c r="L466" s="242"/>
      <c r="M466" s="242"/>
      <c r="O466" s="272"/>
      <c r="P466" s="272"/>
      <c r="Q466" s="272"/>
      <c r="R466" s="272"/>
      <c r="S466" s="242"/>
      <c r="U466" s="272"/>
      <c r="V466" s="272"/>
      <c r="W466" s="272"/>
      <c r="X466" s="272"/>
      <c r="Y466" s="242"/>
      <c r="AA466" s="272"/>
      <c r="AB466" s="272"/>
      <c r="AC466" s="272"/>
      <c r="AD466" s="272"/>
      <c r="AE466" s="242"/>
      <c r="AG466" s="272"/>
      <c r="AH466" s="272"/>
      <c r="AI466" s="272"/>
      <c r="AJ466" s="272"/>
      <c r="AK466" s="242"/>
      <c r="AM466" s="272"/>
      <c r="AN466" s="272"/>
      <c r="AO466" s="272"/>
      <c r="AP466" s="272"/>
      <c r="AQ466" s="242"/>
      <c r="AS466" s="272"/>
      <c r="AT466" s="272"/>
      <c r="AU466" s="272"/>
      <c r="AV466" s="272"/>
      <c r="AW466" s="242"/>
      <c r="AY466" s="272"/>
      <c r="AZ466" s="272"/>
      <c r="BA466" s="272"/>
      <c r="BB466" s="272"/>
      <c r="BC466" s="242"/>
      <c r="BE466" s="272"/>
      <c r="BF466" s="272"/>
      <c r="BG466" s="272"/>
      <c r="BH466" s="272"/>
      <c r="BI466" s="242"/>
      <c r="BK466" s="272"/>
      <c r="BL466" s="272"/>
      <c r="BM466" s="272"/>
      <c r="BN466" s="272"/>
      <c r="BO466" s="242"/>
      <c r="BQ466" s="272"/>
      <c r="BR466" s="272"/>
      <c r="BS466" s="272"/>
      <c r="BT466" s="272"/>
      <c r="BU466" s="242"/>
      <c r="BW466" s="927"/>
      <c r="BX466" s="927"/>
      <c r="BY466" s="927"/>
      <c r="BZ466" s="927"/>
      <c r="CA466" s="242"/>
      <c r="CC466" s="927"/>
      <c r="CD466" s="927"/>
      <c r="CE466" s="927"/>
      <c r="CF466" s="927"/>
      <c r="CG466" s="347"/>
      <c r="CI466" s="272"/>
      <c r="CJ466" s="272"/>
      <c r="CK466" s="272"/>
      <c r="CL466" s="272"/>
      <c r="CM466" s="474"/>
      <c r="CO466" s="790"/>
      <c r="CQ466" s="928"/>
      <c r="CR466" s="929"/>
      <c r="CS466" s="557"/>
      <c r="CT466" s="345"/>
      <c r="CU466" s="790"/>
      <c r="CV466" s="272"/>
      <c r="CW466" s="272"/>
      <c r="CX466" s="272"/>
      <c r="CY466" s="347"/>
      <c r="CZ466" s="345"/>
      <c r="DA466" s="790"/>
      <c r="DB466" s="272"/>
      <c r="DC466" s="272"/>
      <c r="DD466" s="927"/>
      <c r="DE466" s="347"/>
      <c r="DF466" s="345"/>
      <c r="DG466" s="927"/>
      <c r="DH466" s="927"/>
      <c r="DI466" s="927"/>
      <c r="DJ466" s="927"/>
      <c r="DK466" s="347"/>
      <c r="DL466" s="345"/>
      <c r="DM466" s="927"/>
      <c r="DN466" s="927"/>
      <c r="DO466" s="927"/>
      <c r="DP466" s="927"/>
      <c r="DQ466" s="347"/>
      <c r="DR466" s="345"/>
      <c r="DS466" s="939"/>
      <c r="DT466" s="939"/>
      <c r="DU466" s="939"/>
      <c r="DV466" s="939"/>
      <c r="DW466" s="926"/>
      <c r="DX466" s="146"/>
      <c r="DY466" s="939">
        <f>DY23</f>
        <v>366</v>
      </c>
      <c r="DZ466" s="939">
        <f>DZ23</f>
        <v>359</v>
      </c>
      <c r="EA466" s="939">
        <f>EA23</f>
        <v>413</v>
      </c>
      <c r="EB466" s="939">
        <f>EB23</f>
        <v>455</v>
      </c>
      <c r="EC466" s="347"/>
      <c r="ED466" s="146"/>
      <c r="EE466" s="939">
        <f>Model!EE35</f>
        <v>339</v>
      </c>
      <c r="EF466" s="939">
        <f>Model!EF35</f>
        <v>364</v>
      </c>
      <c r="EG466" s="939">
        <f>Model!EG35</f>
        <v>375</v>
      </c>
      <c r="EH466" s="939">
        <f>Model!EH35</f>
        <v>419</v>
      </c>
      <c r="EI466" s="347"/>
      <c r="EJ466" s="146"/>
      <c r="EK466" s="939">
        <f>Model!EK35</f>
        <v>452</v>
      </c>
      <c r="EL466" s="939">
        <f>Model!EL35</f>
        <v>487</v>
      </c>
      <c r="EM466" s="939">
        <f>Model!EM35</f>
        <v>585</v>
      </c>
      <c r="EN466" s="939">
        <f>Model!EN35</f>
        <v>691</v>
      </c>
      <c r="EO466" s="347"/>
      <c r="EP466" s="345"/>
      <c r="EQ466" s="939">
        <f>Model!EQ35</f>
        <v>815</v>
      </c>
      <c r="ER466" s="939">
        <f>Model!ER35</f>
        <v>912</v>
      </c>
      <c r="ES466" s="939">
        <f>Model!ES35</f>
        <v>1080</v>
      </c>
      <c r="ET466" s="939">
        <f>Model!ET35</f>
        <v>1196</v>
      </c>
      <c r="EU466" s="347"/>
      <c r="EV466" s="345"/>
      <c r="EW466" s="939">
        <f>Model!EW35</f>
        <v>1279.96</v>
      </c>
      <c r="EX466" s="939">
        <f>Model!EX35</f>
        <v>1318</v>
      </c>
      <c r="EY466" s="272"/>
      <c r="EZ466" s="272"/>
      <c r="FA466" s="347"/>
      <c r="FB466" s="345"/>
      <c r="FC466" s="272"/>
      <c r="FD466" s="272"/>
      <c r="FE466" s="272"/>
      <c r="FF466" s="272"/>
      <c r="FG466" s="347"/>
      <c r="FH466" s="345"/>
      <c r="FI466" s="272"/>
      <c r="FJ466" s="272"/>
      <c r="FK466" s="272"/>
      <c r="FL466" s="272"/>
      <c r="FM466" s="347"/>
      <c r="FQ466"/>
      <c r="FR466"/>
      <c r="FS466"/>
      <c r="FT466"/>
      <c r="FU466"/>
      <c r="FV466"/>
      <c r="GA466" s="1203"/>
      <c r="GB466" s="1203"/>
      <c r="GC466" s="1203"/>
      <c r="GD466" s="1203"/>
      <c r="GE466" s="1203"/>
      <c r="GF466" s="1203"/>
      <c r="GG466" s="1203"/>
      <c r="GH466" s="1639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  <c r="HB466"/>
      <c r="HC466"/>
      <c r="HD466"/>
      <c r="HE466"/>
      <c r="HF466"/>
      <c r="HG466"/>
      <c r="HH466"/>
      <c r="HI466"/>
      <c r="HJ466"/>
      <c r="HK466"/>
      <c r="HL466"/>
      <c r="HM466"/>
      <c r="HN466"/>
      <c r="HO466"/>
      <c r="HP466"/>
      <c r="HQ466"/>
      <c r="HR466"/>
      <c r="HS466"/>
      <c r="HT466"/>
      <c r="HU466"/>
      <c r="HV466"/>
      <c r="HW466"/>
      <c r="HX466"/>
      <c r="HY466"/>
      <c r="HZ466"/>
      <c r="IA466"/>
      <c r="IB466"/>
      <c r="IC466"/>
      <c r="ID466"/>
      <c r="IE466"/>
      <c r="IF466"/>
      <c r="IG466"/>
      <c r="IH466"/>
      <c r="II466"/>
      <c r="IJ466"/>
      <c r="IK466"/>
      <c r="IL466"/>
      <c r="IM466"/>
      <c r="IN466"/>
      <c r="IO466"/>
      <c r="IP466"/>
      <c r="IQ466"/>
      <c r="IR466"/>
      <c r="IS466"/>
      <c r="IT466"/>
      <c r="IU466"/>
      <c r="IV466"/>
      <c r="IW466"/>
      <c r="IX466"/>
      <c r="IY466"/>
      <c r="IZ466"/>
      <c r="JA466"/>
      <c r="JB466"/>
      <c r="JC466"/>
      <c r="JD466"/>
      <c r="JE466"/>
      <c r="JF466"/>
      <c r="JG466"/>
      <c r="JH466"/>
      <c r="JI466"/>
      <c r="JJ466"/>
      <c r="JK466"/>
      <c r="JL466"/>
      <c r="JM466"/>
      <c r="JN466"/>
    </row>
    <row r="467" spans="1:274" s="27" customFormat="1" ht="15" hidden="1" customHeight="1" outlineLevel="1" x14ac:dyDescent="0.2">
      <c r="A467" s="32" t="s">
        <v>676</v>
      </c>
      <c r="C467" s="242"/>
      <c r="D467" s="242"/>
      <c r="E467" s="242"/>
      <c r="F467" s="242"/>
      <c r="G467" s="242"/>
      <c r="H467" s="242"/>
      <c r="I467" s="242"/>
      <c r="J467" s="242"/>
      <c r="K467" s="242"/>
      <c r="L467" s="242"/>
      <c r="M467" s="242"/>
      <c r="O467" s="272"/>
      <c r="P467" s="272"/>
      <c r="Q467" s="272"/>
      <c r="R467" s="272"/>
      <c r="S467" s="242"/>
      <c r="U467" s="272"/>
      <c r="V467" s="272"/>
      <c r="W467" s="272"/>
      <c r="X467" s="272"/>
      <c r="Y467" s="242"/>
      <c r="AA467" s="272"/>
      <c r="AB467" s="272"/>
      <c r="AC467" s="272"/>
      <c r="AD467" s="272"/>
      <c r="AE467" s="242"/>
      <c r="AG467" s="272"/>
      <c r="AH467" s="272"/>
      <c r="AI467" s="272"/>
      <c r="AJ467" s="272"/>
      <c r="AK467" s="242"/>
      <c r="AM467" s="272"/>
      <c r="AN467" s="272"/>
      <c r="AO467" s="272"/>
      <c r="AP467" s="272"/>
      <c r="AQ467" s="242"/>
      <c r="AS467" s="272"/>
      <c r="AT467" s="272"/>
      <c r="AU467" s="272"/>
      <c r="AV467" s="272"/>
      <c r="AW467" s="242"/>
      <c r="AY467" s="272"/>
      <c r="AZ467" s="272"/>
      <c r="BA467" s="272"/>
      <c r="BB467" s="272"/>
      <c r="BC467" s="242"/>
      <c r="BE467" s="272"/>
      <c r="BF467" s="272"/>
      <c r="BG467" s="272"/>
      <c r="BH467" s="272"/>
      <c r="BI467" s="242"/>
      <c r="BK467" s="272"/>
      <c r="BL467" s="272"/>
      <c r="BM467" s="272"/>
      <c r="BN467" s="272"/>
      <c r="BO467" s="242"/>
      <c r="BQ467" s="272"/>
      <c r="BR467" s="272"/>
      <c r="BS467" s="272"/>
      <c r="BT467" s="272"/>
      <c r="BU467" s="242"/>
      <c r="BW467" s="927"/>
      <c r="BX467" s="927"/>
      <c r="BY467" s="927"/>
      <c r="BZ467" s="927"/>
      <c r="CA467" s="242"/>
      <c r="CC467" s="927"/>
      <c r="CD467" s="927"/>
      <c r="CE467" s="927"/>
      <c r="CF467" s="927"/>
      <c r="CG467" s="347"/>
      <c r="CI467" s="272"/>
      <c r="CJ467" s="272"/>
      <c r="CK467" s="272"/>
      <c r="CL467" s="272"/>
      <c r="CM467" s="474"/>
      <c r="CO467" s="790"/>
      <c r="CQ467" s="928"/>
      <c r="CR467" s="929"/>
      <c r="CS467" s="557"/>
      <c r="CT467" s="345"/>
      <c r="CU467" s="790"/>
      <c r="CV467" s="272"/>
      <c r="CW467" s="272"/>
      <c r="CX467" s="272"/>
      <c r="CY467" s="347"/>
      <c r="CZ467" s="345"/>
      <c r="DA467" s="790"/>
      <c r="DB467" s="272"/>
      <c r="DC467" s="272"/>
      <c r="DD467" s="927"/>
      <c r="DE467" s="347"/>
      <c r="DF467" s="345"/>
      <c r="DG467" s="927"/>
      <c r="DH467" s="927"/>
      <c r="DI467" s="927"/>
      <c r="DJ467" s="927"/>
      <c r="DK467" s="347"/>
      <c r="DL467" s="345"/>
      <c r="DM467" s="927"/>
      <c r="DN467" s="927"/>
      <c r="DO467" s="927"/>
      <c r="DP467" s="927"/>
      <c r="DQ467" s="347"/>
      <c r="DR467" s="345"/>
      <c r="DS467" s="927"/>
      <c r="DT467" s="927"/>
      <c r="DU467" s="927"/>
      <c r="DV467" s="927"/>
      <c r="DW467" s="347"/>
      <c r="DX467" s="345"/>
      <c r="DY467" s="927"/>
      <c r="DZ467" s="927"/>
      <c r="EA467" s="927"/>
      <c r="EB467" s="927"/>
      <c r="EC467" s="347"/>
      <c r="ED467" s="345"/>
      <c r="EE467" s="927">
        <f>EE466/AVERAGE(EE464:EE465)-1</f>
        <v>-0.28751576292559899</v>
      </c>
      <c r="EF467" s="927">
        <f>EF466/AVERAGE(EF464:EF465)-1</f>
        <v>-0.28344340876206975</v>
      </c>
      <c r="EG467" s="927">
        <f>EG466/AVERAGE(EG464:EG465)-1</f>
        <v>-0.31212854941668511</v>
      </c>
      <c r="EH467" s="927">
        <f>EH466/AVERAGE(EH464:EH465)-1</f>
        <v>-0.24518104845973698</v>
      </c>
      <c r="EI467" s="347"/>
      <c r="EJ467" s="345"/>
      <c r="EK467" s="927">
        <f>EK466/AVERAGE(EK464:EK465)-1</f>
        <v>2.5062656641603454E-3</v>
      </c>
      <c r="EL467" s="927">
        <f>EL466/AVERAGE(EL464:EL465)-1</f>
        <v>1.3569763569763804E-2</v>
      </c>
      <c r="EM467" s="927">
        <f>EM466/AVERAGE(EM464:EM465)-1</f>
        <v>6.1224489795918435E-2</v>
      </c>
      <c r="EN467" s="927">
        <f>EN466/AVERAGE(EN464:EN465)-1</f>
        <v>5.0423361658787247E-2</v>
      </c>
      <c r="EO467" s="347"/>
      <c r="EP467" s="345"/>
      <c r="EQ467" s="927">
        <f>EQ466/AVERAGE(EQ464:EQ465)-1</f>
        <v>1.5829490215630182E-2</v>
      </c>
      <c r="ER467" s="272"/>
      <c r="ES467" s="927">
        <f>ES466/AVERAGE(ES464:ES465)-1</f>
        <v>8.8272383354350836E-3</v>
      </c>
      <c r="ET467" s="927">
        <f>ET466/AVERAGE(ET464:ET465)-1</f>
        <v>2.4156740509851948E-2</v>
      </c>
      <c r="EU467" s="347"/>
      <c r="EV467" s="345"/>
      <c r="EW467" s="1867"/>
      <c r="EX467" s="927">
        <f>EX466/AVERAGE(EX464:EX465)-1</f>
        <v>1.0612194822721355E-2</v>
      </c>
      <c r="EY467" s="272"/>
      <c r="EZ467" s="272"/>
      <c r="FA467" s="347"/>
      <c r="FB467" s="345"/>
      <c r="FC467" s="272"/>
      <c r="FD467" s="272"/>
      <c r="FE467" s="272"/>
      <c r="FF467" s="272"/>
      <c r="FG467" s="347"/>
      <c r="FH467" s="345"/>
      <c r="FI467" s="272"/>
      <c r="FJ467" s="272"/>
      <c r="FK467" s="272"/>
      <c r="FL467" s="272"/>
      <c r="FM467" s="347"/>
      <c r="FQ467"/>
      <c r="FR467"/>
      <c r="FS467"/>
      <c r="FT467"/>
      <c r="FU467"/>
      <c r="FV467"/>
      <c r="GA467" s="1203"/>
      <c r="GB467" s="1203"/>
      <c r="GC467" s="1203"/>
      <c r="GD467" s="1203"/>
      <c r="GE467" s="1203"/>
      <c r="GF467" s="1203"/>
      <c r="GG467" s="1203"/>
      <c r="GH467" s="1639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  <c r="HB467"/>
      <c r="HC467"/>
      <c r="HD467"/>
      <c r="HE467"/>
      <c r="HF467"/>
      <c r="HG467"/>
      <c r="HH467"/>
      <c r="HI467"/>
      <c r="HJ467"/>
      <c r="HK467"/>
      <c r="HL467"/>
      <c r="HM467"/>
      <c r="HN467"/>
      <c r="HO467"/>
      <c r="HP467"/>
      <c r="HQ467"/>
      <c r="HR467"/>
      <c r="HS467"/>
      <c r="HT467"/>
      <c r="HU467"/>
      <c r="HV467"/>
      <c r="HW467"/>
      <c r="HX467"/>
      <c r="HY467"/>
      <c r="HZ467"/>
      <c r="IA467"/>
      <c r="IB467"/>
      <c r="IC467"/>
      <c r="ID467"/>
      <c r="IE467"/>
      <c r="IF467"/>
      <c r="IG467"/>
      <c r="IH467"/>
      <c r="II467"/>
      <c r="IJ467"/>
      <c r="IK467"/>
      <c r="IL467"/>
      <c r="IM467"/>
      <c r="IN467"/>
      <c r="IO467"/>
      <c r="IP467"/>
      <c r="IQ467"/>
      <c r="IR467"/>
      <c r="IS467"/>
      <c r="IT467"/>
      <c r="IU467"/>
      <c r="IV467"/>
      <c r="IW467"/>
      <c r="IX467"/>
      <c r="IY467"/>
      <c r="IZ467"/>
      <c r="JA467"/>
      <c r="JB467"/>
      <c r="JC467"/>
      <c r="JD467"/>
      <c r="JE467"/>
      <c r="JF467"/>
      <c r="JG467"/>
      <c r="JH467"/>
      <c r="JI467"/>
      <c r="JJ467"/>
      <c r="JK467"/>
      <c r="JL467"/>
      <c r="JM467"/>
      <c r="JN467"/>
    </row>
    <row r="468" spans="1:274" s="27" customFormat="1" ht="15" hidden="1" customHeight="1" outlineLevel="1" x14ac:dyDescent="0.2">
      <c r="A468" s="32" t="s">
        <v>657</v>
      </c>
      <c r="C468" s="242"/>
      <c r="D468" s="242"/>
      <c r="E468" s="242"/>
      <c r="F468" s="242"/>
      <c r="G468" s="242"/>
      <c r="H468" s="242"/>
      <c r="I468" s="242"/>
      <c r="J468" s="242"/>
      <c r="K468" s="242"/>
      <c r="L468" s="242"/>
      <c r="M468" s="242"/>
      <c r="O468" s="272"/>
      <c r="P468" s="272"/>
      <c r="Q468" s="272"/>
      <c r="R468" s="272"/>
      <c r="S468" s="242"/>
      <c r="U468" s="272"/>
      <c r="V468" s="272"/>
      <c r="W468" s="272"/>
      <c r="X468" s="272"/>
      <c r="Y468" s="242"/>
      <c r="AA468" s="272"/>
      <c r="AB468" s="272"/>
      <c r="AC468" s="272"/>
      <c r="AD468" s="272"/>
      <c r="AE468" s="242"/>
      <c r="AG468" s="272"/>
      <c r="AH468" s="272"/>
      <c r="AI468" s="272"/>
      <c r="AJ468" s="272"/>
      <c r="AK468" s="242"/>
      <c r="AM468" s="272"/>
      <c r="AN468" s="272"/>
      <c r="AO468" s="272"/>
      <c r="AP468" s="272"/>
      <c r="AQ468" s="242"/>
      <c r="AS468" s="272"/>
      <c r="AT468" s="272"/>
      <c r="AU468" s="272"/>
      <c r="AV468" s="272"/>
      <c r="AW468" s="242"/>
      <c r="AY468" s="272"/>
      <c r="AZ468" s="272"/>
      <c r="BA468" s="272"/>
      <c r="BB468" s="272"/>
      <c r="BC468" s="242"/>
      <c r="BE468" s="272"/>
      <c r="BF468" s="272"/>
      <c r="BG468" s="272"/>
      <c r="BH468" s="272"/>
      <c r="BI468" s="242"/>
      <c r="BK468" s="272"/>
      <c r="BL468" s="272"/>
      <c r="BM468" s="272"/>
      <c r="BN468" s="272"/>
      <c r="BO468" s="242"/>
      <c r="BQ468" s="272"/>
      <c r="BR468" s="272"/>
      <c r="BS468" s="272"/>
      <c r="BT468" s="272"/>
      <c r="BU468" s="242"/>
      <c r="BW468" s="927"/>
      <c r="BX468" s="927"/>
      <c r="BY468" s="927"/>
      <c r="BZ468" s="927"/>
      <c r="CA468" s="242"/>
      <c r="CC468" s="927"/>
      <c r="CD468" s="927"/>
      <c r="CE468" s="927"/>
      <c r="CF468" s="927"/>
      <c r="CG468" s="347"/>
      <c r="CI468" s="272"/>
      <c r="CJ468" s="272"/>
      <c r="CK468" s="272"/>
      <c r="CL468" s="272"/>
      <c r="CM468" s="474"/>
      <c r="CO468" s="790"/>
      <c r="CQ468" s="928"/>
      <c r="CR468" s="929"/>
      <c r="CS468" s="557"/>
      <c r="CT468" s="345"/>
      <c r="CU468" s="790"/>
      <c r="CV468" s="272"/>
      <c r="CW468" s="272"/>
      <c r="CX468" s="272"/>
      <c r="CY468" s="347"/>
      <c r="CZ468" s="345"/>
      <c r="DA468" s="790"/>
      <c r="DB468" s="272"/>
      <c r="DC468" s="272"/>
      <c r="DD468" s="927"/>
      <c r="DE468" s="347"/>
      <c r="DF468" s="345"/>
      <c r="DG468" s="927"/>
      <c r="DH468" s="927"/>
      <c r="DI468" s="927"/>
      <c r="DJ468" s="927"/>
      <c r="DK468" s="347"/>
      <c r="DL468" s="345"/>
      <c r="DM468" s="927"/>
      <c r="DN468" s="927"/>
      <c r="DO468" s="927"/>
      <c r="DP468" s="927"/>
      <c r="DQ468" s="347"/>
      <c r="DR468" s="345"/>
      <c r="DS468" s="927"/>
      <c r="DT468" s="927"/>
      <c r="DU468" s="927"/>
      <c r="DV468" s="927"/>
      <c r="DW468" s="347"/>
      <c r="DX468" s="345"/>
      <c r="DY468" s="927"/>
      <c r="DZ468" s="927"/>
      <c r="EA468" s="927"/>
      <c r="EB468" s="927"/>
      <c r="EC468" s="347"/>
      <c r="ED468" s="345"/>
      <c r="EE468" s="927">
        <f>(AVERAGE(EE464:EE465)/EB466-1)</f>
        <v>4.5714285714285818E-2</v>
      </c>
      <c r="EF468" s="927">
        <f>(AVERAGE(EF464:EF465)/EE466-1)</f>
        <v>0.49848082595870213</v>
      </c>
      <c r="EG468" s="927">
        <f>(AVERAGE(EG464:EG465)/EF466-1)</f>
        <v>0.49769230769230788</v>
      </c>
      <c r="EH468" s="927">
        <f>(AVERAGE(EH464:EH465)/EG466-1)</f>
        <v>0.48026666666666662</v>
      </c>
      <c r="EI468" s="347"/>
      <c r="EJ468" s="345"/>
      <c r="EK468" s="927">
        <f>(AVERAGE(EK464:EK465)/EH466-1)</f>
        <v>7.6062052505966538E-2</v>
      </c>
      <c r="EL468" s="927">
        <f>(AVERAGE(EL464:EL465)/EK466-1)</f>
        <v>6.300884955752184E-2</v>
      </c>
      <c r="EM468" s="927">
        <f>(AVERAGE(EM464:EM465)/EL466-1)</f>
        <v>0.13193018480492813</v>
      </c>
      <c r="EN468" s="927">
        <f>(AVERAGE(EN464:EN465)/EM466-1)</f>
        <v>0.12449572649572627</v>
      </c>
      <c r="EO468" s="347"/>
      <c r="EP468" s="345"/>
      <c r="EQ468" s="927">
        <f>(AVERAGE(EQ464:EQ465)/EN466-1)</f>
        <v>0.16107091172214183</v>
      </c>
      <c r="ER468" s="272"/>
      <c r="ES468" s="927"/>
      <c r="ET468" s="272"/>
      <c r="EU468" s="347"/>
      <c r="EV468" s="345"/>
      <c r="EW468" s="1867"/>
      <c r="EX468" s="927">
        <f>(AVERAGE(EX464:EX465)/EW466-1)</f>
        <v>1.8906840838776029E-2</v>
      </c>
      <c r="EY468" s="272"/>
      <c r="EZ468" s="272"/>
      <c r="FA468" s="347"/>
      <c r="FB468" s="345"/>
      <c r="FC468" s="272"/>
      <c r="FD468" s="272"/>
      <c r="FE468" s="272"/>
      <c r="FF468" s="272"/>
      <c r="FG468" s="347"/>
      <c r="FH468" s="345"/>
      <c r="FI468" s="272"/>
      <c r="FJ468" s="272"/>
      <c r="FK468" s="272"/>
      <c r="FL468" s="272"/>
      <c r="FM468" s="347"/>
      <c r="FQ468"/>
      <c r="FR468"/>
      <c r="FS468"/>
      <c r="FT468"/>
      <c r="FU468"/>
      <c r="FV468"/>
      <c r="GA468" s="1203"/>
      <c r="GB468" s="1203"/>
      <c r="GC468" s="1203"/>
      <c r="GD468" s="1203"/>
      <c r="GE468" s="1203"/>
      <c r="GF468" s="1203"/>
      <c r="GG468" s="1203"/>
      <c r="GH468" s="1639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  <c r="HB468"/>
      <c r="HC468"/>
      <c r="HD468"/>
      <c r="HE468"/>
      <c r="HF468"/>
      <c r="HG468"/>
      <c r="HH468"/>
      <c r="HI468"/>
      <c r="HJ468"/>
      <c r="HK468"/>
      <c r="HL468"/>
      <c r="HM468"/>
      <c r="HN468"/>
      <c r="HO468"/>
      <c r="HP468"/>
      <c r="HQ468"/>
      <c r="HR468"/>
      <c r="HS468"/>
      <c r="HT468"/>
      <c r="HU468"/>
      <c r="HV468"/>
      <c r="HW468"/>
      <c r="HX468"/>
      <c r="HY468"/>
      <c r="HZ468"/>
      <c r="IA468"/>
      <c r="IB468"/>
      <c r="IC468"/>
      <c r="ID468"/>
      <c r="IE468"/>
      <c r="IF468"/>
      <c r="IG468"/>
      <c r="IH468"/>
      <c r="II468"/>
      <c r="IJ468"/>
      <c r="IK468"/>
      <c r="IL468"/>
      <c r="IM468"/>
      <c r="IN468"/>
      <c r="IO468"/>
      <c r="IP468"/>
      <c r="IQ468"/>
      <c r="IR468"/>
      <c r="IS468"/>
      <c r="IT468"/>
      <c r="IU468"/>
      <c r="IV468"/>
      <c r="IW468"/>
      <c r="IX468"/>
      <c r="IY468"/>
      <c r="IZ468"/>
      <c r="JA468"/>
      <c r="JB468"/>
      <c r="JC468"/>
      <c r="JD468"/>
      <c r="JE468"/>
      <c r="JF468"/>
      <c r="JG468"/>
      <c r="JH468"/>
      <c r="JI468"/>
      <c r="JJ468"/>
      <c r="JK468"/>
      <c r="JL468"/>
      <c r="JM468"/>
      <c r="JN468"/>
    </row>
    <row r="469" spans="1:274" s="27" customFormat="1" ht="15" hidden="1" customHeight="1" outlineLevel="1" x14ac:dyDescent="0.2">
      <c r="A469" s="32"/>
      <c r="C469" s="242"/>
      <c r="D469" s="242"/>
      <c r="E469" s="242"/>
      <c r="F469" s="242"/>
      <c r="G469" s="242"/>
      <c r="H469" s="242"/>
      <c r="I469" s="242"/>
      <c r="J469" s="242"/>
      <c r="K469" s="242"/>
      <c r="L469" s="242"/>
      <c r="M469" s="242"/>
      <c r="O469" s="272"/>
      <c r="P469" s="272"/>
      <c r="Q469" s="272"/>
      <c r="R469" s="272"/>
      <c r="S469" s="242"/>
      <c r="U469" s="272"/>
      <c r="V469" s="272"/>
      <c r="W469" s="272"/>
      <c r="X469" s="272"/>
      <c r="Y469" s="242"/>
      <c r="AA469" s="272"/>
      <c r="AB469" s="272"/>
      <c r="AC469" s="272"/>
      <c r="AD469" s="272"/>
      <c r="AE469" s="242"/>
      <c r="AG469" s="272"/>
      <c r="AH469" s="272"/>
      <c r="AI469" s="272"/>
      <c r="AJ469" s="272"/>
      <c r="AK469" s="242"/>
      <c r="AM469" s="272"/>
      <c r="AN469" s="272"/>
      <c r="AO469" s="272"/>
      <c r="AP469" s="272"/>
      <c r="AQ469" s="242"/>
      <c r="AS469" s="272"/>
      <c r="AT469" s="272"/>
      <c r="AU469" s="272"/>
      <c r="AV469" s="272"/>
      <c r="AW469" s="242"/>
      <c r="AY469" s="272"/>
      <c r="AZ469" s="272"/>
      <c r="BA469" s="272"/>
      <c r="BB469" s="272"/>
      <c r="BC469" s="242"/>
      <c r="BE469" s="272"/>
      <c r="BF469" s="272"/>
      <c r="BG469" s="272"/>
      <c r="BH469" s="272"/>
      <c r="BI469" s="242"/>
      <c r="BK469" s="272"/>
      <c r="BL469" s="272"/>
      <c r="BM469" s="272"/>
      <c r="BN469" s="272"/>
      <c r="BO469" s="242"/>
      <c r="BQ469" s="272"/>
      <c r="BR469" s="272"/>
      <c r="BS469" s="272"/>
      <c r="BT469" s="272"/>
      <c r="BU469" s="242"/>
      <c r="BW469" s="927"/>
      <c r="BX469" s="927"/>
      <c r="BY469" s="927"/>
      <c r="BZ469" s="927"/>
      <c r="CA469" s="242"/>
      <c r="CC469" s="927"/>
      <c r="CD469" s="927"/>
      <c r="CE469" s="927"/>
      <c r="CF469" s="927"/>
      <c r="CG469" s="347"/>
      <c r="CI469" s="272"/>
      <c r="CJ469" s="272"/>
      <c r="CK469" s="272"/>
      <c r="CL469" s="272"/>
      <c r="CM469" s="474"/>
      <c r="CO469" s="790"/>
      <c r="CQ469" s="928"/>
      <c r="CR469" s="929"/>
      <c r="CS469" s="557"/>
      <c r="CT469" s="345"/>
      <c r="CU469" s="790"/>
      <c r="CV469" s="272"/>
      <c r="CW469" s="272"/>
      <c r="CX469" s="272"/>
      <c r="CY469" s="347"/>
      <c r="CZ469" s="345"/>
      <c r="DA469" s="790"/>
      <c r="DB469" s="272"/>
      <c r="DC469" s="272"/>
      <c r="DD469" s="927"/>
      <c r="DE469" s="347"/>
      <c r="DF469" s="345"/>
      <c r="DG469" s="927"/>
      <c r="DH469" s="927"/>
      <c r="DI469" s="927"/>
      <c r="DJ469" s="927"/>
      <c r="DK469" s="347"/>
      <c r="DL469" s="345"/>
      <c r="DM469" s="927"/>
      <c r="DN469" s="927"/>
      <c r="DO469" s="927"/>
      <c r="DP469" s="927"/>
      <c r="DQ469" s="347"/>
      <c r="DR469" s="345"/>
      <c r="DS469" s="927"/>
      <c r="DT469" s="927"/>
      <c r="DU469" s="927"/>
      <c r="DV469" s="927"/>
      <c r="DW469" s="347"/>
      <c r="DX469" s="345"/>
      <c r="DY469" s="927"/>
      <c r="DZ469" s="927"/>
      <c r="EA469" s="927"/>
      <c r="EB469" s="927"/>
      <c r="EC469" s="347"/>
      <c r="ED469" s="345"/>
      <c r="EE469" s="927"/>
      <c r="EF469" s="927"/>
      <c r="EG469" s="927"/>
      <c r="EH469" s="927"/>
      <c r="EI469" s="347"/>
      <c r="EJ469" s="345"/>
      <c r="EK469" s="927"/>
      <c r="EL469" s="927"/>
      <c r="EM469" s="927"/>
      <c r="EN469" s="927"/>
      <c r="EO469" s="347"/>
      <c r="EP469" s="345"/>
      <c r="EQ469" s="927"/>
      <c r="ER469" s="272"/>
      <c r="ES469" s="272"/>
      <c r="ET469" s="272"/>
      <c r="EU469" s="347"/>
      <c r="EV469" s="345"/>
      <c r="EW469" s="927"/>
      <c r="EX469" s="927"/>
      <c r="EY469" s="272"/>
      <c r="EZ469" s="272"/>
      <c r="FA469" s="347"/>
      <c r="FB469" s="345"/>
      <c r="FC469" s="272"/>
      <c r="FD469" s="272"/>
      <c r="FE469" s="272"/>
      <c r="FF469" s="272"/>
      <c r="FG469" s="347"/>
      <c r="FH469" s="345"/>
      <c r="FI469" s="272"/>
      <c r="FJ469" s="272"/>
      <c r="FK469" s="272"/>
      <c r="FL469" s="272"/>
      <c r="FM469" s="347"/>
      <c r="FQ469"/>
      <c r="FR469"/>
      <c r="FS469"/>
      <c r="FT469"/>
      <c r="FU469"/>
      <c r="FV469"/>
      <c r="GA469" s="1203"/>
      <c r="GB469" s="1203"/>
      <c r="GC469" s="1203"/>
      <c r="GD469" s="1203"/>
      <c r="GE469" s="1203"/>
      <c r="GF469" s="1203"/>
      <c r="GG469" s="1203"/>
      <c r="GH469" s="163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  <c r="HB469"/>
      <c r="HC469"/>
      <c r="HD469"/>
      <c r="HE469"/>
      <c r="HF469"/>
      <c r="HG469"/>
      <c r="HH469"/>
      <c r="HI469"/>
      <c r="HJ469"/>
      <c r="HK469"/>
      <c r="HL469"/>
      <c r="HM469"/>
      <c r="HN469"/>
      <c r="HO469"/>
      <c r="HP469"/>
      <c r="HQ469"/>
      <c r="HR469"/>
      <c r="HS469"/>
      <c r="HT469"/>
      <c r="HU469"/>
      <c r="HV469"/>
      <c r="HW469"/>
      <c r="HX469"/>
      <c r="HY469"/>
      <c r="HZ469"/>
      <c r="IA469"/>
      <c r="IB469"/>
      <c r="IC469"/>
      <c r="ID469"/>
      <c r="IE469"/>
      <c r="IF469"/>
      <c r="IG469"/>
      <c r="IH469"/>
      <c r="II469"/>
      <c r="IJ469"/>
      <c r="IK469"/>
      <c r="IL469"/>
      <c r="IM469"/>
      <c r="IN469"/>
      <c r="IO469"/>
      <c r="IP469"/>
      <c r="IQ469"/>
      <c r="IR469"/>
      <c r="IS469"/>
      <c r="IT469"/>
      <c r="IU469"/>
      <c r="IV469"/>
      <c r="IW469"/>
      <c r="IX469"/>
      <c r="IY469"/>
      <c r="IZ469"/>
      <c r="JA469"/>
      <c r="JB469"/>
      <c r="JC469"/>
      <c r="JD469"/>
      <c r="JE469"/>
      <c r="JF469"/>
      <c r="JG469"/>
      <c r="JH469"/>
      <c r="JI469"/>
      <c r="JJ469"/>
      <c r="JK469"/>
      <c r="JL469"/>
      <c r="JM469"/>
      <c r="JN469"/>
    </row>
    <row r="470" spans="1:274" s="27" customFormat="1" ht="15" hidden="1" customHeight="1" outlineLevel="1" x14ac:dyDescent="0.2">
      <c r="A470" s="32" t="s">
        <v>1112</v>
      </c>
      <c r="C470" s="242"/>
      <c r="D470" s="242"/>
      <c r="E470" s="242"/>
      <c r="F470" s="242"/>
      <c r="G470" s="242"/>
      <c r="H470" s="242"/>
      <c r="I470" s="242"/>
      <c r="J470" s="242"/>
      <c r="K470" s="242"/>
      <c r="L470" s="242"/>
      <c r="M470" s="242"/>
      <c r="O470" s="272"/>
      <c r="P470" s="272"/>
      <c r="Q470" s="272"/>
      <c r="R470" s="272"/>
      <c r="S470" s="242"/>
      <c r="U470" s="272"/>
      <c r="V470" s="272"/>
      <c r="W470" s="272"/>
      <c r="X470" s="272"/>
      <c r="Y470" s="242"/>
      <c r="AA470" s="272"/>
      <c r="AB470" s="272"/>
      <c r="AC470" s="272"/>
      <c r="AD470" s="272"/>
      <c r="AE470" s="242"/>
      <c r="AG470" s="272"/>
      <c r="AH470" s="272"/>
      <c r="AI470" s="272"/>
      <c r="AJ470" s="272"/>
      <c r="AK470" s="242"/>
      <c r="AM470" s="272"/>
      <c r="AN470" s="272"/>
      <c r="AO470" s="272"/>
      <c r="AP470" s="272"/>
      <c r="AQ470" s="242"/>
      <c r="AS470" s="272"/>
      <c r="AT470" s="272"/>
      <c r="AU470" s="272"/>
      <c r="AV470" s="272"/>
      <c r="AW470" s="242"/>
      <c r="AY470" s="272"/>
      <c r="AZ470" s="272"/>
      <c r="BA470" s="272"/>
      <c r="BB470" s="272"/>
      <c r="BC470" s="242"/>
      <c r="BE470" s="272"/>
      <c r="BF470" s="272"/>
      <c r="BG470" s="272"/>
      <c r="BH470" s="272"/>
      <c r="BI470" s="242"/>
      <c r="BK470" s="272"/>
      <c r="BL470" s="272"/>
      <c r="BM470" s="272"/>
      <c r="BN470" s="272"/>
      <c r="BO470" s="242"/>
      <c r="BQ470" s="272"/>
      <c r="BR470" s="272"/>
      <c r="BS470" s="272"/>
      <c r="BT470" s="272"/>
      <c r="BU470" s="242"/>
      <c r="BW470" s="927"/>
      <c r="BX470" s="927"/>
      <c r="BY470" s="927"/>
      <c r="BZ470" s="927"/>
      <c r="CA470" s="242"/>
      <c r="CC470" s="927"/>
      <c r="CD470" s="927"/>
      <c r="CE470" s="927"/>
      <c r="CF470" s="927"/>
      <c r="CG470" s="347"/>
      <c r="CI470" s="272"/>
      <c r="CJ470" s="272"/>
      <c r="CK470" s="272"/>
      <c r="CL470" s="272"/>
      <c r="CM470" s="474"/>
      <c r="CO470" s="790"/>
      <c r="CQ470" s="928"/>
      <c r="CR470" s="929"/>
      <c r="CS470" s="557"/>
      <c r="CT470" s="345"/>
      <c r="CU470" s="790"/>
      <c r="CV470" s="272"/>
      <c r="CW470" s="272"/>
      <c r="CX470" s="272"/>
      <c r="CY470" s="347"/>
      <c r="CZ470" s="345"/>
      <c r="DA470" s="790"/>
      <c r="DB470" s="272"/>
      <c r="DC470" s="272"/>
      <c r="DD470" s="927"/>
      <c r="DE470" s="347"/>
      <c r="DF470" s="345"/>
      <c r="DG470" s="927"/>
      <c r="DH470" s="927"/>
      <c r="DI470" s="927"/>
      <c r="DJ470" s="927"/>
      <c r="DK470" s="347"/>
      <c r="DL470" s="345"/>
      <c r="DM470" s="927"/>
      <c r="DN470" s="927"/>
      <c r="DO470" s="927"/>
      <c r="DP470" s="927"/>
      <c r="DQ470" s="347"/>
      <c r="DR470" s="345"/>
      <c r="DS470" s="927"/>
      <c r="DT470" s="927"/>
      <c r="DU470" s="927"/>
      <c r="DV470" s="927"/>
      <c r="DW470" s="347"/>
      <c r="DX470" s="345"/>
      <c r="DY470" s="927"/>
      <c r="DZ470" s="927"/>
      <c r="EA470" s="927"/>
      <c r="EB470" s="927"/>
      <c r="EC470" s="347"/>
      <c r="ED470" s="345"/>
      <c r="EE470" s="927"/>
      <c r="EF470" s="927"/>
      <c r="EG470" s="927"/>
      <c r="EH470" s="927"/>
      <c r="EI470" s="347"/>
      <c r="EJ470" s="345"/>
      <c r="EK470" s="927"/>
      <c r="EL470" s="927"/>
      <c r="EM470" s="927"/>
      <c r="EN470" s="927"/>
      <c r="EO470" s="347"/>
      <c r="EP470" s="345"/>
      <c r="EQ470" s="927"/>
      <c r="ER470" s="272"/>
      <c r="ES470" s="272"/>
      <c r="ET470" s="272"/>
      <c r="EU470" s="347"/>
      <c r="EV470" s="345"/>
      <c r="EW470" s="927"/>
      <c r="EX470" s="927"/>
      <c r="EY470" s="272"/>
      <c r="EZ470" s="272"/>
      <c r="FA470" s="347"/>
      <c r="FB470" s="345"/>
      <c r="FC470" s="272"/>
      <c r="FD470" s="272"/>
      <c r="FE470" s="272"/>
      <c r="FF470" s="272"/>
      <c r="FG470" s="347"/>
      <c r="FH470" s="345"/>
      <c r="FI470" s="272"/>
      <c r="FJ470" s="272"/>
      <c r="FK470" s="272"/>
      <c r="FL470" s="272"/>
      <c r="FM470" s="347"/>
      <c r="FQ470"/>
      <c r="FR470"/>
      <c r="FS470"/>
      <c r="FT470"/>
      <c r="FU470"/>
      <c r="FV470"/>
      <c r="GA470" s="1203"/>
      <c r="GB470" s="1203"/>
      <c r="GC470" s="1203"/>
      <c r="GD470" s="1203"/>
      <c r="GE470" s="1203"/>
      <c r="GF470" s="1203"/>
      <c r="GG470" s="1203"/>
      <c r="GH470" s="1639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  <c r="HB470"/>
      <c r="HC470"/>
      <c r="HD470"/>
      <c r="HE470"/>
      <c r="HF470"/>
      <c r="HG470"/>
      <c r="HH470"/>
      <c r="HI470"/>
      <c r="HJ470"/>
      <c r="HK470"/>
      <c r="HL470"/>
      <c r="HM470"/>
      <c r="HN470"/>
      <c r="HO470"/>
      <c r="HP470"/>
      <c r="HQ470"/>
      <c r="HR470"/>
      <c r="HS470"/>
      <c r="HT470"/>
      <c r="HU470"/>
      <c r="HV470"/>
      <c r="HW470"/>
      <c r="HX470"/>
      <c r="HY470"/>
      <c r="HZ470"/>
      <c r="IA470"/>
      <c r="IB470"/>
      <c r="IC470"/>
      <c r="ID470"/>
      <c r="IE470"/>
      <c r="IF470"/>
      <c r="IG470"/>
      <c r="IH470"/>
      <c r="II470"/>
      <c r="IJ470"/>
      <c r="IK470"/>
      <c r="IL470"/>
      <c r="IM470"/>
      <c r="IN470"/>
      <c r="IO470"/>
      <c r="IP470"/>
      <c r="IQ470"/>
      <c r="IR470"/>
      <c r="IS470"/>
      <c r="IT470"/>
      <c r="IU470"/>
      <c r="IV470"/>
      <c r="IW470"/>
      <c r="IX470"/>
      <c r="IY470"/>
      <c r="IZ470"/>
      <c r="JA470"/>
      <c r="JB470"/>
      <c r="JC470"/>
      <c r="JD470"/>
      <c r="JE470"/>
      <c r="JF470"/>
      <c r="JG470"/>
      <c r="JH470"/>
      <c r="JI470"/>
      <c r="JJ470"/>
      <c r="JK470"/>
      <c r="JL470"/>
      <c r="JM470"/>
      <c r="JN470"/>
    </row>
    <row r="471" spans="1:274" s="27" customFormat="1" ht="15" hidden="1" customHeight="1" outlineLevel="1" x14ac:dyDescent="0.2">
      <c r="A471" s="27" t="s">
        <v>457</v>
      </c>
      <c r="C471" s="242"/>
      <c r="D471" s="242"/>
      <c r="E471" s="242"/>
      <c r="F471" s="242"/>
      <c r="G471" s="242"/>
      <c r="H471" s="242"/>
      <c r="I471" s="242"/>
      <c r="J471" s="242"/>
      <c r="K471" s="242"/>
      <c r="L471" s="242"/>
      <c r="M471" s="242"/>
      <c r="O471" s="272"/>
      <c r="P471" s="272"/>
      <c r="Q471" s="272"/>
      <c r="R471" s="272"/>
      <c r="S471" s="242"/>
      <c r="U471" s="272"/>
      <c r="V471" s="272"/>
      <c r="W471" s="272"/>
      <c r="X471" s="272"/>
      <c r="Y471" s="242"/>
      <c r="AA471" s="272"/>
      <c r="AB471" s="272"/>
      <c r="AC471" s="272"/>
      <c r="AD471" s="272"/>
      <c r="AE471" s="242"/>
      <c r="AG471" s="272"/>
      <c r="AH471" s="272"/>
      <c r="AI471" s="272"/>
      <c r="AJ471" s="272"/>
      <c r="AK471" s="242"/>
      <c r="AM471" s="272"/>
      <c r="AN471" s="272"/>
      <c r="AO471" s="272"/>
      <c r="AP471" s="272"/>
      <c r="AQ471" s="242"/>
      <c r="AS471" s="272"/>
      <c r="AT471" s="272"/>
      <c r="AU471" s="272"/>
      <c r="AV471" s="272"/>
      <c r="AW471" s="242"/>
      <c r="AY471" s="272"/>
      <c r="AZ471" s="272"/>
      <c r="BA471" s="272"/>
      <c r="BB471" s="272"/>
      <c r="BC471" s="242"/>
      <c r="BE471" s="272"/>
      <c r="BF471" s="272"/>
      <c r="BG471" s="272"/>
      <c r="BH471" s="272"/>
      <c r="BI471" s="242"/>
      <c r="BK471" s="272"/>
      <c r="BL471" s="272"/>
      <c r="BM471" s="272"/>
      <c r="BN471" s="272"/>
      <c r="BO471" s="242"/>
      <c r="BQ471" s="272"/>
      <c r="BR471" s="272"/>
      <c r="BS471" s="272"/>
      <c r="BT471" s="272"/>
      <c r="BU471" s="242"/>
      <c r="BW471" s="927"/>
      <c r="BX471" s="927"/>
      <c r="BY471" s="927"/>
      <c r="BZ471" s="927"/>
      <c r="CA471" s="242"/>
      <c r="CC471" s="927"/>
      <c r="CD471" s="927"/>
      <c r="CE471" s="927"/>
      <c r="CF471" s="927"/>
      <c r="CG471" s="347"/>
      <c r="CI471" s="272"/>
      <c r="CJ471" s="272"/>
      <c r="CK471" s="272"/>
      <c r="CL471" s="272"/>
      <c r="CM471" s="474"/>
      <c r="CO471" s="790"/>
      <c r="CQ471" s="928"/>
      <c r="CR471" s="929"/>
      <c r="CS471" s="557"/>
      <c r="CT471" s="345"/>
      <c r="CU471" s="790"/>
      <c r="CV471" s="272"/>
      <c r="CW471" s="272"/>
      <c r="CX471" s="272"/>
      <c r="CY471" s="347"/>
      <c r="CZ471" s="345"/>
      <c r="DA471" s="790"/>
      <c r="DB471" s="272"/>
      <c r="DC471" s="272"/>
      <c r="DD471" s="927"/>
      <c r="DE471" s="347"/>
      <c r="DF471" s="345"/>
      <c r="DG471" s="927"/>
      <c r="DH471" s="927"/>
      <c r="DI471" s="927"/>
      <c r="DJ471" s="927"/>
      <c r="DK471" s="347"/>
      <c r="DL471" s="345"/>
      <c r="DM471" s="927"/>
      <c r="DN471" s="927"/>
      <c r="DO471" s="927"/>
      <c r="DP471" s="927"/>
      <c r="DQ471" s="347"/>
      <c r="DR471" s="345"/>
      <c r="DS471" s="272"/>
      <c r="DT471" s="600"/>
      <c r="DU471" s="600"/>
      <c r="DV471" s="272"/>
      <c r="DW471" s="347"/>
      <c r="DX471" s="345"/>
      <c r="DY471" s="272"/>
      <c r="DZ471" s="600"/>
      <c r="EA471" s="600"/>
      <c r="EB471" s="272"/>
      <c r="EC471" s="347"/>
      <c r="ED471" s="345"/>
      <c r="EE471" s="272">
        <f>DY473*(1+0.1)</f>
        <v>119.9</v>
      </c>
      <c r="EF471" s="272">
        <f>DZ473*(1+0.39)</f>
        <v>134.83000000000001</v>
      </c>
      <c r="EG471" s="272">
        <f>EA473*(1+0.29)</f>
        <v>156.09</v>
      </c>
      <c r="EH471" s="272">
        <f>EB473*(1+29%-6%)</f>
        <v>157.44</v>
      </c>
      <c r="EI471" s="347"/>
      <c r="EJ471" s="345"/>
      <c r="EK471" s="272"/>
      <c r="EL471" s="600"/>
      <c r="EM471" s="272">
        <f>EG473*(1+0.03-0.04)</f>
        <v>153.44999999999999</v>
      </c>
      <c r="EN471" s="272">
        <f>EH473*(1+-0.01-0.02)</f>
        <v>155.19999999999999</v>
      </c>
      <c r="EO471" s="347"/>
      <c r="EP471" s="345"/>
      <c r="EQ471" s="272">
        <v>168</v>
      </c>
      <c r="ER471" s="272"/>
      <c r="ES471" s="272"/>
      <c r="ET471" s="272">
        <f>EN473*(1+0.25-0.02)</f>
        <v>207.87</v>
      </c>
      <c r="EU471" s="347"/>
      <c r="EV471" s="345"/>
      <c r="EW471" s="121"/>
      <c r="EX471" s="121"/>
      <c r="EY471" s="272"/>
      <c r="EZ471" s="272"/>
      <c r="FA471" s="347"/>
      <c r="FB471" s="345"/>
      <c r="FC471" s="272"/>
      <c r="FD471" s="272"/>
      <c r="FE471" s="272"/>
      <c r="FF471" s="272"/>
      <c r="FG471" s="347"/>
      <c r="FH471" s="345"/>
      <c r="FI471" s="272"/>
      <c r="FJ471" s="272"/>
      <c r="FK471" s="272"/>
      <c r="FL471" s="272"/>
      <c r="FM471" s="347"/>
      <c r="FQ471"/>
      <c r="FR471"/>
      <c r="FS471"/>
      <c r="FT471"/>
      <c r="FU471"/>
      <c r="FV471"/>
      <c r="GA471" s="1203"/>
      <c r="GB471" s="1203"/>
      <c r="GC471" s="1203"/>
      <c r="GD471" s="1203"/>
      <c r="GE471" s="1203"/>
      <c r="GF471" s="1203"/>
      <c r="GG471" s="1203"/>
      <c r="GH471" s="1639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  <c r="HB471"/>
      <c r="HC471"/>
      <c r="HD471"/>
      <c r="HE471"/>
      <c r="HF471"/>
      <c r="HG471"/>
      <c r="HH471"/>
      <c r="HI471"/>
      <c r="HJ471"/>
      <c r="HK471"/>
      <c r="HL471"/>
      <c r="HM471"/>
      <c r="HN471"/>
      <c r="HO471"/>
      <c r="HP471"/>
      <c r="HQ471"/>
      <c r="HR471"/>
      <c r="HS471"/>
      <c r="HT471"/>
      <c r="HU471"/>
      <c r="HV471"/>
      <c r="HW471"/>
      <c r="HX471"/>
      <c r="HY471"/>
      <c r="HZ471"/>
      <c r="IA471"/>
      <c r="IB471"/>
      <c r="IC471"/>
      <c r="ID471"/>
      <c r="IE471"/>
      <c r="IF471"/>
      <c r="IG471"/>
      <c r="IH471"/>
      <c r="II471"/>
      <c r="IJ471"/>
      <c r="IK471"/>
      <c r="IL471"/>
      <c r="IM471"/>
      <c r="IN471"/>
      <c r="IO471"/>
      <c r="IP471"/>
      <c r="IQ471"/>
      <c r="IR471"/>
      <c r="IS471"/>
      <c r="IT471"/>
      <c r="IU471"/>
      <c r="IV471"/>
      <c r="IW471"/>
      <c r="IX471"/>
      <c r="IY471"/>
      <c r="IZ471"/>
      <c r="JA471"/>
      <c r="JB471"/>
      <c r="JC471"/>
      <c r="JD471"/>
      <c r="JE471"/>
      <c r="JF471"/>
      <c r="JG471"/>
      <c r="JH471"/>
      <c r="JI471"/>
      <c r="JJ471"/>
      <c r="JK471"/>
      <c r="JL471"/>
      <c r="JM471"/>
      <c r="JN471"/>
    </row>
    <row r="472" spans="1:274" s="27" customFormat="1" ht="15" hidden="1" customHeight="1" outlineLevel="1" x14ac:dyDescent="0.2">
      <c r="A472" s="27" t="s">
        <v>458</v>
      </c>
      <c r="C472" s="242"/>
      <c r="D472" s="242"/>
      <c r="E472" s="242"/>
      <c r="F472" s="242"/>
      <c r="G472" s="242"/>
      <c r="H472" s="242"/>
      <c r="I472" s="242"/>
      <c r="J472" s="242"/>
      <c r="K472" s="242"/>
      <c r="L472" s="242"/>
      <c r="M472" s="242"/>
      <c r="O472" s="272"/>
      <c r="P472" s="272"/>
      <c r="Q472" s="272"/>
      <c r="R472" s="272"/>
      <c r="S472" s="242"/>
      <c r="U472" s="272"/>
      <c r="V472" s="272"/>
      <c r="W472" s="272"/>
      <c r="X472" s="272"/>
      <c r="Y472" s="242"/>
      <c r="AA472" s="272"/>
      <c r="AB472" s="272"/>
      <c r="AC472" s="272"/>
      <c r="AD472" s="272"/>
      <c r="AE472" s="242"/>
      <c r="AG472" s="272"/>
      <c r="AH472" s="272"/>
      <c r="AI472" s="272"/>
      <c r="AJ472" s="272"/>
      <c r="AK472" s="242"/>
      <c r="AM472" s="272"/>
      <c r="AN472" s="272"/>
      <c r="AO472" s="272"/>
      <c r="AP472" s="272"/>
      <c r="AQ472" s="242"/>
      <c r="AS472" s="272"/>
      <c r="AT472" s="272"/>
      <c r="AU472" s="272"/>
      <c r="AV472" s="272"/>
      <c r="AW472" s="242"/>
      <c r="AY472" s="272"/>
      <c r="AZ472" s="272"/>
      <c r="BA472" s="272"/>
      <c r="BB472" s="272"/>
      <c r="BC472" s="242"/>
      <c r="BE472" s="272"/>
      <c r="BF472" s="272"/>
      <c r="BG472" s="272"/>
      <c r="BH472" s="272"/>
      <c r="BI472" s="242"/>
      <c r="BK472" s="272"/>
      <c r="BL472" s="272"/>
      <c r="BM472" s="272"/>
      <c r="BN472" s="272"/>
      <c r="BO472" s="242"/>
      <c r="BQ472" s="272"/>
      <c r="BR472" s="272"/>
      <c r="BS472" s="272"/>
      <c r="BT472" s="272"/>
      <c r="BU472" s="242"/>
      <c r="BW472" s="927"/>
      <c r="BX472" s="927"/>
      <c r="BY472" s="927"/>
      <c r="BZ472" s="927"/>
      <c r="CA472" s="242"/>
      <c r="CC472" s="927"/>
      <c r="CD472" s="927"/>
      <c r="CE472" s="927"/>
      <c r="CF472" s="927"/>
      <c r="CG472" s="347"/>
      <c r="CI472" s="272"/>
      <c r="CJ472" s="272"/>
      <c r="CK472" s="272"/>
      <c r="CL472" s="272"/>
      <c r="CM472" s="474"/>
      <c r="CO472" s="790"/>
      <c r="CQ472" s="928"/>
      <c r="CR472" s="929"/>
      <c r="CS472" s="557"/>
      <c r="CT472" s="345"/>
      <c r="CU472" s="790"/>
      <c r="CV472" s="272"/>
      <c r="CW472" s="272"/>
      <c r="CX472" s="272"/>
      <c r="CY472" s="347"/>
      <c r="CZ472" s="345"/>
      <c r="DA472" s="790"/>
      <c r="DB472" s="272"/>
      <c r="DC472" s="272"/>
      <c r="DD472" s="927"/>
      <c r="DE472" s="347"/>
      <c r="DF472" s="345"/>
      <c r="DG472" s="927"/>
      <c r="DH472" s="927"/>
      <c r="DI472" s="927"/>
      <c r="DJ472" s="927"/>
      <c r="DK472" s="347"/>
      <c r="DL472" s="345"/>
      <c r="DM472" s="927"/>
      <c r="DN472" s="927"/>
      <c r="DO472" s="927"/>
      <c r="DP472" s="927"/>
      <c r="DQ472" s="347"/>
      <c r="DR472" s="345"/>
      <c r="DS472" s="272"/>
      <c r="DT472" s="600"/>
      <c r="DU472" s="600"/>
      <c r="DV472" s="272"/>
      <c r="DW472" s="347"/>
      <c r="DX472" s="345"/>
      <c r="DY472" s="272"/>
      <c r="DZ472" s="600"/>
      <c r="EA472" s="600"/>
      <c r="EB472" s="272"/>
      <c r="EC472" s="347"/>
      <c r="ED472" s="345"/>
      <c r="EE472" s="272">
        <f>DY473*(1+0.2)</f>
        <v>130.79999999999998</v>
      </c>
      <c r="EF472" s="272">
        <f>DZ473*(1+0.43)</f>
        <v>138.71</v>
      </c>
      <c r="EG472" s="272">
        <f>EA473*(1+0.33)</f>
        <v>160.93</v>
      </c>
      <c r="EH472" s="272">
        <f>EB473*(1+33%-6%)</f>
        <v>162.56</v>
      </c>
      <c r="EI472" s="347"/>
      <c r="EJ472" s="345"/>
      <c r="EK472" s="272"/>
      <c r="EL472" s="600"/>
      <c r="EM472" s="272">
        <f>EG473*(1+0.07-0.04)</f>
        <v>159.65</v>
      </c>
      <c r="EN472" s="272">
        <f>EH473*(1+0.03-0.02)</f>
        <v>161.6</v>
      </c>
      <c r="EO472" s="347"/>
      <c r="EP472" s="345"/>
      <c r="EQ472" s="272">
        <v>168</v>
      </c>
      <c r="ER472" s="272"/>
      <c r="ES472" s="272"/>
      <c r="ET472" s="272">
        <f>EN473*(1+0.29-0.02)</f>
        <v>214.63</v>
      </c>
      <c r="EU472" s="347"/>
      <c r="EV472" s="345"/>
      <c r="EW472" s="121"/>
      <c r="EX472" s="121"/>
      <c r="EY472" s="272"/>
      <c r="EZ472" s="272"/>
      <c r="FA472" s="347"/>
      <c r="FB472" s="345"/>
      <c r="FC472" s="272"/>
      <c r="FD472" s="272"/>
      <c r="FE472" s="272"/>
      <c r="FF472" s="272"/>
      <c r="FG472" s="347"/>
      <c r="FH472" s="345"/>
      <c r="FI472" s="272"/>
      <c r="FJ472" s="272"/>
      <c r="FK472" s="272"/>
      <c r="FL472" s="272"/>
      <c r="FM472" s="347"/>
      <c r="FQ472"/>
      <c r="FR472"/>
      <c r="FS472"/>
      <c r="FT472"/>
      <c r="FU472"/>
      <c r="FV472"/>
      <c r="GA472" s="1203"/>
      <c r="GB472" s="1203"/>
      <c r="GC472" s="1203"/>
      <c r="GD472" s="1203"/>
      <c r="GE472" s="1203"/>
      <c r="GF472" s="1203"/>
      <c r="GG472" s="1203"/>
      <c r="GH472" s="1639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  <c r="HB472"/>
      <c r="HC472"/>
      <c r="HD472"/>
      <c r="HE472"/>
      <c r="HF472"/>
      <c r="HG472"/>
      <c r="HH472"/>
      <c r="HI472"/>
      <c r="HJ472"/>
      <c r="HK472"/>
      <c r="HL472"/>
      <c r="HM472"/>
      <c r="HN472"/>
      <c r="HO472"/>
      <c r="HP472"/>
      <c r="HQ472"/>
      <c r="HR472"/>
      <c r="HS472"/>
      <c r="HT472"/>
      <c r="HU472"/>
      <c r="HV472"/>
      <c r="HW472"/>
      <c r="HX472"/>
      <c r="HY472"/>
      <c r="HZ472"/>
      <c r="IA472"/>
      <c r="IB472"/>
      <c r="IC472"/>
      <c r="ID472"/>
      <c r="IE472"/>
      <c r="IF472"/>
      <c r="IG472"/>
      <c r="IH472"/>
      <c r="II472"/>
      <c r="IJ472"/>
      <c r="IK472"/>
      <c r="IL472"/>
      <c r="IM472"/>
      <c r="IN472"/>
      <c r="IO472"/>
      <c r="IP472"/>
      <c r="IQ472"/>
      <c r="IR472"/>
      <c r="IS472"/>
      <c r="IT472"/>
      <c r="IU472"/>
      <c r="IV472"/>
      <c r="IW472"/>
      <c r="IX472"/>
      <c r="IY472"/>
      <c r="IZ472"/>
      <c r="JA472"/>
      <c r="JB472"/>
      <c r="JC472"/>
      <c r="JD472"/>
      <c r="JE472"/>
      <c r="JF472"/>
      <c r="JG472"/>
      <c r="JH472"/>
      <c r="JI472"/>
      <c r="JJ472"/>
      <c r="JK472"/>
      <c r="JL472"/>
      <c r="JM472"/>
      <c r="JN472"/>
    </row>
    <row r="473" spans="1:274" s="27" customFormat="1" ht="15" hidden="1" customHeight="1" outlineLevel="1" x14ac:dyDescent="0.2">
      <c r="A473" s="897" t="s">
        <v>913</v>
      </c>
      <c r="C473" s="242"/>
      <c r="D473" s="242"/>
      <c r="E473" s="242"/>
      <c r="F473" s="242"/>
      <c r="G473" s="242"/>
      <c r="H473" s="242"/>
      <c r="I473" s="242"/>
      <c r="J473" s="242"/>
      <c r="K473" s="242"/>
      <c r="L473" s="242"/>
      <c r="M473" s="242"/>
      <c r="O473" s="272"/>
      <c r="P473" s="272"/>
      <c r="Q473" s="272"/>
      <c r="R473" s="272"/>
      <c r="S473" s="242"/>
      <c r="U473" s="272"/>
      <c r="V473" s="272"/>
      <c r="W473" s="272"/>
      <c r="X473" s="272"/>
      <c r="Y473" s="242"/>
      <c r="AA473" s="272"/>
      <c r="AB473" s="272"/>
      <c r="AC473" s="272"/>
      <c r="AD473" s="272"/>
      <c r="AE473" s="242"/>
      <c r="AG473" s="272"/>
      <c r="AH473" s="272"/>
      <c r="AI473" s="272"/>
      <c r="AJ473" s="272"/>
      <c r="AK473" s="242"/>
      <c r="AM473" s="272"/>
      <c r="AN473" s="272"/>
      <c r="AO473" s="272"/>
      <c r="AP473" s="272"/>
      <c r="AQ473" s="242"/>
      <c r="AS473" s="272"/>
      <c r="AT473" s="272"/>
      <c r="AU473" s="272"/>
      <c r="AV473" s="272"/>
      <c r="AW473" s="242"/>
      <c r="AY473" s="272"/>
      <c r="AZ473" s="272"/>
      <c r="BA473" s="272"/>
      <c r="BB473" s="272"/>
      <c r="BC473" s="242"/>
      <c r="BE473" s="272"/>
      <c r="BF473" s="272"/>
      <c r="BG473" s="272"/>
      <c r="BH473" s="272"/>
      <c r="BI473" s="242"/>
      <c r="BK473" s="272"/>
      <c r="BL473" s="272"/>
      <c r="BM473" s="272"/>
      <c r="BN473" s="272"/>
      <c r="BO473" s="242"/>
      <c r="BQ473" s="272"/>
      <c r="BR473" s="272"/>
      <c r="BS473" s="272"/>
      <c r="BT473" s="272"/>
      <c r="BU473" s="242"/>
      <c r="BW473" s="927"/>
      <c r="BX473" s="927"/>
      <c r="BY473" s="927"/>
      <c r="BZ473" s="927"/>
      <c r="CA473" s="242"/>
      <c r="CC473" s="927"/>
      <c r="CD473" s="927"/>
      <c r="CE473" s="927"/>
      <c r="CF473" s="927"/>
      <c r="CG473" s="347"/>
      <c r="CI473" s="272"/>
      <c r="CJ473" s="272"/>
      <c r="CK473" s="272"/>
      <c r="CL473" s="272"/>
      <c r="CM473" s="474"/>
      <c r="CO473" s="790"/>
      <c r="CQ473" s="928"/>
      <c r="CR473" s="929"/>
      <c r="CS473" s="557"/>
      <c r="CT473" s="345"/>
      <c r="CU473" s="790"/>
      <c r="CV473" s="272"/>
      <c r="CW473" s="272"/>
      <c r="CX473" s="272"/>
      <c r="CY473" s="347"/>
      <c r="CZ473" s="345"/>
      <c r="DA473" s="790"/>
      <c r="DB473" s="272"/>
      <c r="DC473" s="272"/>
      <c r="DD473" s="927"/>
      <c r="DE473" s="347"/>
      <c r="DF473" s="345"/>
      <c r="DG473" s="927"/>
      <c r="DH473" s="927"/>
      <c r="DI473" s="927"/>
      <c r="DJ473" s="927"/>
      <c r="DK473" s="347"/>
      <c r="DL473" s="345"/>
      <c r="DM473" s="927"/>
      <c r="DN473" s="927"/>
      <c r="DO473" s="927"/>
      <c r="DP473" s="927"/>
      <c r="DQ473" s="347"/>
      <c r="DR473" s="345"/>
      <c r="DS473" s="939"/>
      <c r="DT473" s="939"/>
      <c r="DU473" s="939"/>
      <c r="DV473" s="939"/>
      <c r="DW473" s="926"/>
      <c r="DX473" s="146"/>
      <c r="DY473" s="939">
        <v>109</v>
      </c>
      <c r="DZ473" s="939">
        <v>97</v>
      </c>
      <c r="EA473" s="939">
        <v>121</v>
      </c>
      <c r="EB473" s="939">
        <v>128</v>
      </c>
      <c r="EC473" s="347"/>
      <c r="ED473" s="146"/>
      <c r="EE473" s="939">
        <f>Model!EE29</f>
        <v>138</v>
      </c>
      <c r="EF473" s="939">
        <f>Model!EF29</f>
        <v>155</v>
      </c>
      <c r="EG473" s="939">
        <f>Model!EG29</f>
        <v>155</v>
      </c>
      <c r="EH473" s="939">
        <f>Model!EH29</f>
        <v>160</v>
      </c>
      <c r="EI473" s="347"/>
      <c r="EJ473" s="146"/>
      <c r="EK473" s="939"/>
      <c r="EL473" s="939"/>
      <c r="EM473" s="939">
        <f>Model!EM29</f>
        <v>152</v>
      </c>
      <c r="EN473" s="939">
        <f>Model!EN29</f>
        <v>169</v>
      </c>
      <c r="EO473" s="347"/>
      <c r="EP473" s="345"/>
      <c r="EQ473" s="939">
        <f>Model!EQ29</f>
        <v>171</v>
      </c>
      <c r="ER473" s="272"/>
      <c r="ES473" s="272"/>
      <c r="ET473" s="939">
        <f>Model!ET29</f>
        <v>214</v>
      </c>
      <c r="EU473" s="347"/>
      <c r="EV473" s="345"/>
      <c r="EW473" s="167"/>
      <c r="EX473" s="167"/>
      <c r="EY473" s="272"/>
      <c r="EZ473" s="272"/>
      <c r="FA473" s="347"/>
      <c r="FB473" s="345"/>
      <c r="FC473" s="272"/>
      <c r="FD473" s="272"/>
      <c r="FE473" s="272"/>
      <c r="FF473" s="272"/>
      <c r="FG473" s="347"/>
      <c r="FH473" s="345"/>
      <c r="FI473" s="272"/>
      <c r="FJ473" s="272"/>
      <c r="FK473" s="272"/>
      <c r="FL473" s="272"/>
      <c r="FM473" s="347"/>
      <c r="FQ473"/>
      <c r="FR473"/>
      <c r="FS473"/>
      <c r="FT473"/>
      <c r="FU473"/>
      <c r="FV473"/>
      <c r="GA473" s="1203"/>
      <c r="GB473" s="1203"/>
      <c r="GC473" s="1203"/>
      <c r="GD473" s="1203"/>
      <c r="GE473" s="1203"/>
      <c r="GF473" s="1203"/>
      <c r="GG473" s="1203"/>
      <c r="GH473" s="1639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  <c r="HB473"/>
      <c r="HC473"/>
      <c r="HD473"/>
      <c r="HE473"/>
      <c r="HF473"/>
      <c r="HG473"/>
      <c r="HH473"/>
      <c r="HI473"/>
      <c r="HJ473"/>
      <c r="HK473"/>
      <c r="HL473"/>
      <c r="HM473"/>
      <c r="HN473"/>
      <c r="HO473"/>
      <c r="HP473"/>
      <c r="HQ473"/>
      <c r="HR473"/>
      <c r="HS473"/>
      <c r="HT473"/>
      <c r="HU473"/>
      <c r="HV473"/>
      <c r="HW473"/>
      <c r="HX473"/>
      <c r="HY473"/>
      <c r="HZ473"/>
      <c r="IA473"/>
      <c r="IB473"/>
      <c r="IC473"/>
      <c r="ID473"/>
      <c r="IE473"/>
      <c r="IF473"/>
      <c r="IG473"/>
      <c r="IH473"/>
      <c r="II473"/>
      <c r="IJ473"/>
      <c r="IK473"/>
      <c r="IL473"/>
      <c r="IM473"/>
      <c r="IN473"/>
      <c r="IO473"/>
      <c r="IP473"/>
      <c r="IQ473"/>
      <c r="IR473"/>
      <c r="IS473"/>
      <c r="IT473"/>
      <c r="IU473"/>
      <c r="IV473"/>
      <c r="IW473"/>
      <c r="IX473"/>
      <c r="IY473"/>
      <c r="IZ473"/>
      <c r="JA473"/>
      <c r="JB473"/>
      <c r="JC473"/>
      <c r="JD473"/>
      <c r="JE473"/>
      <c r="JF473"/>
      <c r="JG473"/>
      <c r="JH473"/>
      <c r="JI473"/>
      <c r="JJ473"/>
      <c r="JK473"/>
      <c r="JL473"/>
      <c r="JM473"/>
      <c r="JN473"/>
    </row>
    <row r="474" spans="1:274" s="27" customFormat="1" ht="15" hidden="1" customHeight="1" outlineLevel="1" x14ac:dyDescent="0.2">
      <c r="A474" s="32" t="s">
        <v>676</v>
      </c>
      <c r="C474" s="242"/>
      <c r="D474" s="242"/>
      <c r="E474" s="242"/>
      <c r="F474" s="242"/>
      <c r="G474" s="242"/>
      <c r="H474" s="242"/>
      <c r="I474" s="242"/>
      <c r="J474" s="242"/>
      <c r="K474" s="242"/>
      <c r="L474" s="242"/>
      <c r="M474" s="242"/>
      <c r="O474" s="272"/>
      <c r="P474" s="272"/>
      <c r="Q474" s="272"/>
      <c r="R474" s="272"/>
      <c r="S474" s="242"/>
      <c r="U474" s="272"/>
      <c r="V474" s="272"/>
      <c r="W474" s="272"/>
      <c r="X474" s="272"/>
      <c r="Y474" s="242"/>
      <c r="AA474" s="272"/>
      <c r="AB474" s="272"/>
      <c r="AC474" s="272"/>
      <c r="AD474" s="272"/>
      <c r="AE474" s="242"/>
      <c r="AG474" s="272"/>
      <c r="AH474" s="272"/>
      <c r="AI474" s="272"/>
      <c r="AJ474" s="272"/>
      <c r="AK474" s="242"/>
      <c r="AM474" s="272"/>
      <c r="AN474" s="272"/>
      <c r="AO474" s="272"/>
      <c r="AP474" s="272"/>
      <c r="AQ474" s="242"/>
      <c r="AS474" s="272"/>
      <c r="AT474" s="272"/>
      <c r="AU474" s="272"/>
      <c r="AV474" s="272"/>
      <c r="AW474" s="242"/>
      <c r="AY474" s="272"/>
      <c r="AZ474" s="272"/>
      <c r="BA474" s="272"/>
      <c r="BB474" s="272"/>
      <c r="BC474" s="242"/>
      <c r="BE474" s="272"/>
      <c r="BF474" s="272"/>
      <c r="BG474" s="272"/>
      <c r="BH474" s="272"/>
      <c r="BI474" s="242"/>
      <c r="BK474" s="272"/>
      <c r="BL474" s="272"/>
      <c r="BM474" s="272"/>
      <c r="BN474" s="272"/>
      <c r="BO474" s="242"/>
      <c r="BQ474" s="272"/>
      <c r="BR474" s="272"/>
      <c r="BS474" s="272"/>
      <c r="BT474" s="272"/>
      <c r="BU474" s="242"/>
      <c r="BW474" s="927"/>
      <c r="BX474" s="927"/>
      <c r="BY474" s="927"/>
      <c r="BZ474" s="927"/>
      <c r="CA474" s="242"/>
      <c r="CC474" s="927"/>
      <c r="CD474" s="927"/>
      <c r="CE474" s="927"/>
      <c r="CF474" s="927"/>
      <c r="CG474" s="347"/>
      <c r="CI474" s="272"/>
      <c r="CJ474" s="272"/>
      <c r="CK474" s="272"/>
      <c r="CL474" s="272"/>
      <c r="CM474" s="474"/>
      <c r="CO474" s="790"/>
      <c r="CQ474" s="928"/>
      <c r="CR474" s="929"/>
      <c r="CS474" s="557"/>
      <c r="CT474" s="345"/>
      <c r="CU474" s="790"/>
      <c r="CV474" s="272"/>
      <c r="CW474" s="272"/>
      <c r="CX474" s="272"/>
      <c r="CY474" s="347"/>
      <c r="CZ474" s="345"/>
      <c r="DA474" s="790"/>
      <c r="DB474" s="272"/>
      <c r="DC474" s="272"/>
      <c r="DD474" s="927"/>
      <c r="DE474" s="347"/>
      <c r="DF474" s="345"/>
      <c r="DG474" s="927"/>
      <c r="DH474" s="927"/>
      <c r="DI474" s="927"/>
      <c r="DJ474" s="927"/>
      <c r="DK474" s="347"/>
      <c r="DL474" s="345"/>
      <c r="DM474" s="927"/>
      <c r="DN474" s="927"/>
      <c r="DO474" s="927"/>
      <c r="DP474" s="927"/>
      <c r="DQ474" s="347"/>
      <c r="DR474" s="345"/>
      <c r="DS474" s="927"/>
      <c r="DT474" s="927"/>
      <c r="DU474" s="927"/>
      <c r="DV474" s="927"/>
      <c r="DW474" s="347"/>
      <c r="DX474" s="345"/>
      <c r="DY474" s="927"/>
      <c r="DZ474" s="927"/>
      <c r="EA474" s="927"/>
      <c r="EB474" s="927"/>
      <c r="EC474" s="347"/>
      <c r="ED474" s="345"/>
      <c r="EE474" s="927">
        <f>EE473/AVERAGE(EE471:EE472)-1</f>
        <v>0.10091743119266061</v>
      </c>
      <c r="EF474" s="927">
        <f>EF473/AVERAGE(EF471:EF472)-1</f>
        <v>0.13328946406375652</v>
      </c>
      <c r="EG474" s="927">
        <f>EG473/AVERAGE(EG471:EG472)-1</f>
        <v>-2.2143713330389225E-2</v>
      </c>
      <c r="EH474" s="927">
        <f>EH473/AVERAGE(EH471:EH472)-1</f>
        <v>0</v>
      </c>
      <c r="EI474" s="347"/>
      <c r="EJ474" s="345"/>
      <c r="EK474" s="927"/>
      <c r="EL474" s="927"/>
      <c r="EM474" s="927">
        <f>EM473/AVERAGE(EM471:EM472)-1</f>
        <v>-2.9064196742254911E-2</v>
      </c>
      <c r="EN474" s="927">
        <f>EN473/AVERAGE(EN471:EN472)-1</f>
        <v>6.6919191919192045E-2</v>
      </c>
      <c r="EO474" s="347"/>
      <c r="EP474" s="345"/>
      <c r="EQ474" s="927">
        <f>EQ473/AVERAGE(EQ471:EQ472)-1</f>
        <v>1.7857142857142794E-2</v>
      </c>
      <c r="ER474" s="272"/>
      <c r="ES474" s="272"/>
      <c r="ET474" s="927">
        <f>ET473/AVERAGE(ET471:ET472)-1</f>
        <v>1.3017751479289963E-2</v>
      </c>
      <c r="EU474" s="347"/>
      <c r="EV474" s="345"/>
      <c r="EW474" s="1867"/>
      <c r="EX474" s="1867"/>
      <c r="EY474" s="272"/>
      <c r="EZ474" s="272"/>
      <c r="FA474" s="347"/>
      <c r="FB474" s="345"/>
      <c r="FC474" s="272"/>
      <c r="FD474" s="272"/>
      <c r="FE474" s="272"/>
      <c r="FF474" s="272"/>
      <c r="FG474" s="347"/>
      <c r="FH474" s="345"/>
      <c r="FI474" s="272"/>
      <c r="FJ474" s="272"/>
      <c r="FK474" s="272"/>
      <c r="FL474" s="272"/>
      <c r="FM474" s="347"/>
      <c r="FQ474"/>
      <c r="FR474"/>
      <c r="FS474"/>
      <c r="FT474"/>
      <c r="FU474"/>
      <c r="FV474"/>
      <c r="GA474" s="1203"/>
      <c r="GB474" s="1203"/>
      <c r="GC474" s="1203"/>
      <c r="GD474" s="1203"/>
      <c r="GE474" s="1203"/>
      <c r="GF474" s="1203"/>
      <c r="GG474" s="1203"/>
      <c r="GH474" s="1639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  <c r="HB474"/>
      <c r="HC474"/>
      <c r="HD474"/>
      <c r="HE474"/>
      <c r="HF474"/>
      <c r="HG474"/>
      <c r="HH474"/>
      <c r="HI474"/>
      <c r="HJ474"/>
      <c r="HK474"/>
      <c r="HL474"/>
      <c r="HM474"/>
      <c r="HN474"/>
      <c r="HO474"/>
      <c r="HP474"/>
      <c r="HQ474"/>
      <c r="HR474"/>
      <c r="HS474"/>
      <c r="HT474"/>
      <c r="HU474"/>
      <c r="HV474"/>
      <c r="HW474"/>
      <c r="HX474"/>
      <c r="HY474"/>
      <c r="HZ474"/>
      <c r="IA474"/>
      <c r="IB474"/>
      <c r="IC474"/>
      <c r="ID474"/>
      <c r="IE474"/>
      <c r="IF474"/>
      <c r="IG474"/>
      <c r="IH474"/>
      <c r="II474"/>
      <c r="IJ474"/>
      <c r="IK474"/>
      <c r="IL474"/>
      <c r="IM474"/>
      <c r="IN474"/>
      <c r="IO474"/>
      <c r="IP474"/>
      <c r="IQ474"/>
      <c r="IR474"/>
      <c r="IS474"/>
      <c r="IT474"/>
      <c r="IU474"/>
      <c r="IV474"/>
      <c r="IW474"/>
      <c r="IX474"/>
      <c r="IY474"/>
      <c r="IZ474"/>
      <c r="JA474"/>
      <c r="JB474"/>
      <c r="JC474"/>
      <c r="JD474"/>
      <c r="JE474"/>
      <c r="JF474"/>
      <c r="JG474"/>
      <c r="JH474"/>
      <c r="JI474"/>
      <c r="JJ474"/>
      <c r="JK474"/>
      <c r="JL474"/>
      <c r="JM474"/>
      <c r="JN474"/>
    </row>
    <row r="475" spans="1:274" s="27" customFormat="1" ht="15" hidden="1" customHeight="1" outlineLevel="1" x14ac:dyDescent="0.2">
      <c r="A475" s="32" t="s">
        <v>657</v>
      </c>
      <c r="C475" s="242"/>
      <c r="D475" s="242"/>
      <c r="E475" s="242"/>
      <c r="F475" s="242"/>
      <c r="G475" s="242"/>
      <c r="H475" s="242"/>
      <c r="I475" s="242"/>
      <c r="J475" s="242"/>
      <c r="K475" s="242"/>
      <c r="L475" s="242"/>
      <c r="M475" s="242"/>
      <c r="O475" s="272"/>
      <c r="P475" s="272"/>
      <c r="Q475" s="272"/>
      <c r="R475" s="272"/>
      <c r="S475" s="242"/>
      <c r="U475" s="272"/>
      <c r="V475" s="272"/>
      <c r="W475" s="272"/>
      <c r="X475" s="272"/>
      <c r="Y475" s="242"/>
      <c r="AA475" s="272"/>
      <c r="AB475" s="272"/>
      <c r="AC475" s="272"/>
      <c r="AD475" s="272"/>
      <c r="AE475" s="242"/>
      <c r="AG475" s="272"/>
      <c r="AH475" s="272"/>
      <c r="AI475" s="272"/>
      <c r="AJ475" s="272"/>
      <c r="AK475" s="242"/>
      <c r="AM475" s="272"/>
      <c r="AN475" s="272"/>
      <c r="AO475" s="272"/>
      <c r="AP475" s="272"/>
      <c r="AQ475" s="242"/>
      <c r="AS475" s="272"/>
      <c r="AT475" s="272"/>
      <c r="AU475" s="272"/>
      <c r="AV475" s="272"/>
      <c r="AW475" s="242"/>
      <c r="AY475" s="272"/>
      <c r="AZ475" s="272"/>
      <c r="BA475" s="272"/>
      <c r="BB475" s="272"/>
      <c r="BC475" s="242"/>
      <c r="BE475" s="272"/>
      <c r="BF475" s="272"/>
      <c r="BG475" s="272"/>
      <c r="BH475" s="272"/>
      <c r="BI475" s="242"/>
      <c r="BK475" s="272"/>
      <c r="BL475" s="272"/>
      <c r="BM475" s="272"/>
      <c r="BN475" s="272"/>
      <c r="BO475" s="242"/>
      <c r="BQ475" s="272"/>
      <c r="BR475" s="272"/>
      <c r="BS475" s="272"/>
      <c r="BT475" s="272"/>
      <c r="BU475" s="242"/>
      <c r="BW475" s="927"/>
      <c r="BX475" s="927"/>
      <c r="BY475" s="927"/>
      <c r="BZ475" s="927"/>
      <c r="CA475" s="242"/>
      <c r="CC475" s="927"/>
      <c r="CD475" s="927"/>
      <c r="CE475" s="927"/>
      <c r="CF475" s="927"/>
      <c r="CG475" s="347"/>
      <c r="CI475" s="272"/>
      <c r="CJ475" s="272"/>
      <c r="CK475" s="272"/>
      <c r="CL475" s="272"/>
      <c r="CM475" s="474"/>
      <c r="CO475" s="790"/>
      <c r="CQ475" s="928"/>
      <c r="CR475" s="929"/>
      <c r="CS475" s="557"/>
      <c r="CT475" s="345"/>
      <c r="CU475" s="790"/>
      <c r="CV475" s="272"/>
      <c r="CW475" s="272"/>
      <c r="CX475" s="272"/>
      <c r="CY475" s="347"/>
      <c r="CZ475" s="345"/>
      <c r="DA475" s="790"/>
      <c r="DB475" s="272"/>
      <c r="DC475" s="272"/>
      <c r="DD475" s="927"/>
      <c r="DE475" s="347"/>
      <c r="DF475" s="345"/>
      <c r="DG475" s="927"/>
      <c r="DH475" s="927"/>
      <c r="DI475" s="927"/>
      <c r="DJ475" s="927"/>
      <c r="DK475" s="347"/>
      <c r="DL475" s="345"/>
      <c r="DM475" s="927"/>
      <c r="DN475" s="927"/>
      <c r="DO475" s="927"/>
      <c r="DP475" s="927"/>
      <c r="DQ475" s="347"/>
      <c r="DR475" s="345"/>
      <c r="DS475" s="927"/>
      <c r="DT475" s="927"/>
      <c r="DU475" s="927"/>
      <c r="DV475" s="927"/>
      <c r="DW475" s="347"/>
      <c r="DX475" s="345"/>
      <c r="DY475" s="927"/>
      <c r="DZ475" s="927"/>
      <c r="EA475" s="927"/>
      <c r="EB475" s="927"/>
      <c r="EC475" s="347"/>
      <c r="ED475" s="345"/>
      <c r="EE475" s="927">
        <f>(AVERAGE(EE471:EE472)/EB473-1)</f>
        <v>-2.0703125000000044E-2</v>
      </c>
      <c r="EF475" s="927">
        <f>(AVERAGE(EF471:EF472)/EE473-1)</f>
        <v>-8.9130434782608292E-3</v>
      </c>
      <c r="EG475" s="927">
        <f>(AVERAGE(EG471:EG472)/EF473-1)</f>
        <v>2.2645161290322458E-2</v>
      </c>
      <c r="EH475" s="927">
        <f>(AVERAGE(EH471:EH472)/EG473-1)</f>
        <v>3.2258064516129004E-2</v>
      </c>
      <c r="EI475" s="347"/>
      <c r="EJ475" s="345"/>
      <c r="EK475" s="927"/>
      <c r="EL475" s="927"/>
      <c r="EM475" s="927"/>
      <c r="EN475" s="927">
        <f>(AVERAGE(EN471:EN472)/EM473-1)</f>
        <v>4.2105263157894646E-2</v>
      </c>
      <c r="EO475" s="347"/>
      <c r="EP475" s="345"/>
      <c r="EQ475" s="927">
        <f>(AVERAGE(EQ471:EQ472)/EN473-1)</f>
        <v>-5.9171597633136397E-3</v>
      </c>
      <c r="ER475" s="272"/>
      <c r="ES475" s="272"/>
      <c r="ET475" s="927"/>
      <c r="EU475" s="347"/>
      <c r="EV475" s="345"/>
      <c r="EW475" s="1867"/>
      <c r="EX475" s="1867"/>
      <c r="EY475" s="272"/>
      <c r="EZ475" s="272"/>
      <c r="FA475" s="347"/>
      <c r="FB475" s="345"/>
      <c r="FC475" s="272"/>
      <c r="FD475" s="272"/>
      <c r="FE475" s="272"/>
      <c r="FF475" s="272"/>
      <c r="FG475" s="347"/>
      <c r="FH475" s="345"/>
      <c r="FI475" s="272"/>
      <c r="FJ475" s="272"/>
      <c r="FK475" s="272"/>
      <c r="FL475" s="272"/>
      <c r="FM475" s="347"/>
      <c r="FQ475"/>
      <c r="FR475"/>
      <c r="FS475"/>
      <c r="FT475"/>
      <c r="FU475"/>
      <c r="FV475"/>
      <c r="GA475" s="1203"/>
      <c r="GB475" s="1203"/>
      <c r="GC475" s="1203"/>
      <c r="GD475" s="1203"/>
      <c r="GE475" s="1203"/>
      <c r="GF475" s="1203"/>
      <c r="GG475" s="1203"/>
      <c r="GH475" s="1639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  <c r="HB475"/>
      <c r="HC475"/>
      <c r="HD475"/>
      <c r="HE475"/>
      <c r="HF475"/>
      <c r="HG475"/>
      <c r="HH475"/>
      <c r="HI475"/>
      <c r="HJ475"/>
      <c r="HK475"/>
      <c r="HL475"/>
      <c r="HM475"/>
      <c r="HN475"/>
      <c r="HO475"/>
      <c r="HP475"/>
      <c r="HQ475"/>
      <c r="HR475"/>
      <c r="HS475"/>
      <c r="HT475"/>
      <c r="HU475"/>
      <c r="HV475"/>
      <c r="HW475"/>
      <c r="HX475"/>
      <c r="HY475"/>
      <c r="HZ475"/>
      <c r="IA475"/>
      <c r="IB475"/>
      <c r="IC475"/>
      <c r="ID475"/>
      <c r="IE475"/>
      <c r="IF475"/>
      <c r="IG475"/>
      <c r="IH475"/>
      <c r="II475"/>
      <c r="IJ475"/>
      <c r="IK475"/>
      <c r="IL475"/>
      <c r="IM475"/>
      <c r="IN475"/>
      <c r="IO475"/>
      <c r="IP475"/>
      <c r="IQ475"/>
      <c r="IR475"/>
      <c r="IS475"/>
      <c r="IT475"/>
      <c r="IU475"/>
      <c r="IV475"/>
      <c r="IW475"/>
      <c r="IX475"/>
      <c r="IY475"/>
      <c r="IZ475"/>
      <c r="JA475"/>
      <c r="JB475"/>
      <c r="JC475"/>
      <c r="JD475"/>
      <c r="JE475"/>
      <c r="JF475"/>
      <c r="JG475"/>
      <c r="JH475"/>
      <c r="JI475"/>
      <c r="JJ475"/>
      <c r="JK475"/>
      <c r="JL475"/>
      <c r="JM475"/>
      <c r="JN475"/>
    </row>
    <row r="476" spans="1:274" s="27" customFormat="1" ht="15" hidden="1" customHeight="1" outlineLevel="1" x14ac:dyDescent="0.2">
      <c r="A476" s="32"/>
      <c r="C476" s="242"/>
      <c r="D476" s="242"/>
      <c r="E476" s="242"/>
      <c r="F476" s="242"/>
      <c r="G476" s="242"/>
      <c r="H476" s="242"/>
      <c r="I476" s="242"/>
      <c r="J476" s="242"/>
      <c r="K476" s="242"/>
      <c r="L476" s="242"/>
      <c r="M476" s="242"/>
      <c r="O476" s="272"/>
      <c r="P476" s="272"/>
      <c r="Q476" s="272"/>
      <c r="R476" s="272"/>
      <c r="S476" s="242"/>
      <c r="U476" s="272"/>
      <c r="V476" s="272"/>
      <c r="W476" s="272"/>
      <c r="X476" s="272"/>
      <c r="Y476" s="242"/>
      <c r="AA476" s="272"/>
      <c r="AB476" s="272"/>
      <c r="AC476" s="272"/>
      <c r="AD476" s="272"/>
      <c r="AE476" s="242"/>
      <c r="AG476" s="272"/>
      <c r="AH476" s="272"/>
      <c r="AI476" s="272"/>
      <c r="AJ476" s="272"/>
      <c r="AK476" s="242"/>
      <c r="AM476" s="272"/>
      <c r="AN476" s="272"/>
      <c r="AO476" s="272"/>
      <c r="AP476" s="272"/>
      <c r="AQ476" s="242"/>
      <c r="AS476" s="272"/>
      <c r="AT476" s="272"/>
      <c r="AU476" s="272"/>
      <c r="AV476" s="272"/>
      <c r="AW476" s="242"/>
      <c r="AY476" s="272"/>
      <c r="AZ476" s="272"/>
      <c r="BA476" s="272"/>
      <c r="BB476" s="272"/>
      <c r="BC476" s="242"/>
      <c r="BE476" s="272"/>
      <c r="BF476" s="272"/>
      <c r="BG476" s="272"/>
      <c r="BH476" s="272"/>
      <c r="BI476" s="242"/>
      <c r="BK476" s="272"/>
      <c r="BL476" s="272"/>
      <c r="BM476" s="272"/>
      <c r="BN476" s="272"/>
      <c r="BO476" s="242"/>
      <c r="BQ476" s="272"/>
      <c r="BR476" s="272"/>
      <c r="BS476" s="272"/>
      <c r="BT476" s="272"/>
      <c r="BU476" s="242"/>
      <c r="BW476" s="927"/>
      <c r="BX476" s="927"/>
      <c r="BY476" s="927"/>
      <c r="BZ476" s="927"/>
      <c r="CA476" s="242"/>
      <c r="CC476" s="927"/>
      <c r="CD476" s="927"/>
      <c r="CE476" s="927"/>
      <c r="CF476" s="927"/>
      <c r="CG476" s="347"/>
      <c r="CI476" s="272"/>
      <c r="CJ476" s="272"/>
      <c r="CK476" s="272"/>
      <c r="CL476" s="272"/>
      <c r="CM476" s="474"/>
      <c r="CO476" s="790"/>
      <c r="CQ476" s="928"/>
      <c r="CR476" s="929"/>
      <c r="CS476" s="557"/>
      <c r="CT476" s="345"/>
      <c r="CU476" s="790"/>
      <c r="CV476" s="272"/>
      <c r="CW476" s="272"/>
      <c r="CX476" s="272"/>
      <c r="CY476" s="347"/>
      <c r="CZ476" s="345"/>
      <c r="DA476" s="790"/>
      <c r="DB476" s="272"/>
      <c r="DC476" s="272"/>
      <c r="DD476" s="927"/>
      <c r="DE476" s="347"/>
      <c r="DF476" s="345"/>
      <c r="DG476" s="927"/>
      <c r="DH476" s="927"/>
      <c r="DI476" s="927"/>
      <c r="DJ476" s="927"/>
      <c r="DK476" s="347"/>
      <c r="DL476" s="345"/>
      <c r="DM476" s="927"/>
      <c r="DN476" s="927"/>
      <c r="DO476" s="927"/>
      <c r="DP476" s="927"/>
      <c r="DQ476" s="347"/>
      <c r="DR476" s="345"/>
      <c r="DS476" s="927"/>
      <c r="DT476" s="927"/>
      <c r="DU476" s="927"/>
      <c r="DV476" s="927"/>
      <c r="DW476" s="347"/>
      <c r="DX476" s="345"/>
      <c r="DY476" s="927"/>
      <c r="DZ476" s="927"/>
      <c r="EA476" s="927"/>
      <c r="EB476" s="927"/>
      <c r="EC476" s="347"/>
      <c r="ED476" s="345"/>
      <c r="EE476" s="272"/>
      <c r="EF476" s="272"/>
      <c r="EG476" s="272"/>
      <c r="EH476" s="272"/>
      <c r="EI476" s="347"/>
      <c r="EJ476" s="345"/>
      <c r="EK476" s="272"/>
      <c r="EL476" s="272"/>
      <c r="EM476" s="272"/>
      <c r="EN476" s="272"/>
      <c r="EO476" s="347"/>
      <c r="EP476" s="345"/>
      <c r="EQ476" s="272"/>
      <c r="ER476" s="272"/>
      <c r="ES476" s="272"/>
      <c r="ET476" s="272"/>
      <c r="EU476" s="347"/>
      <c r="EV476" s="345"/>
      <c r="EW476" s="272"/>
      <c r="EX476" s="272"/>
      <c r="EY476" s="272"/>
      <c r="EZ476" s="272"/>
      <c r="FA476" s="347"/>
      <c r="FB476" s="345"/>
      <c r="FC476" s="272"/>
      <c r="FD476" s="272"/>
      <c r="FE476" s="272"/>
      <c r="FF476" s="272"/>
      <c r="FG476" s="347"/>
      <c r="FH476" s="345"/>
      <c r="FI476" s="272"/>
      <c r="FJ476" s="272"/>
      <c r="FK476" s="272"/>
      <c r="FL476" s="272"/>
      <c r="FM476" s="347"/>
      <c r="FQ476"/>
      <c r="FR476"/>
      <c r="FS476"/>
      <c r="FT476"/>
      <c r="FU476"/>
      <c r="FV476"/>
      <c r="GA476" s="1203"/>
      <c r="GB476" s="1203"/>
      <c r="GC476" s="1203"/>
      <c r="GD476" s="1203"/>
      <c r="GE476" s="1203"/>
      <c r="GF476" s="1203"/>
      <c r="GG476" s="1203"/>
      <c r="GH476" s="1639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  <c r="HB476"/>
      <c r="HC476"/>
      <c r="HD476"/>
      <c r="HE476"/>
      <c r="HF476"/>
      <c r="HG476"/>
      <c r="HH476"/>
      <c r="HI476"/>
      <c r="HJ476"/>
      <c r="HK476"/>
      <c r="HL476"/>
      <c r="HM476"/>
      <c r="HN476"/>
      <c r="HO476"/>
      <c r="HP476"/>
      <c r="HQ476"/>
      <c r="HR476"/>
      <c r="HS476"/>
      <c r="HT476"/>
      <c r="HU476"/>
      <c r="HV476"/>
      <c r="HW476"/>
      <c r="HX476"/>
      <c r="HY476"/>
      <c r="HZ476"/>
      <c r="IA476"/>
      <c r="IB476"/>
      <c r="IC476"/>
      <c r="ID476"/>
      <c r="IE476"/>
      <c r="IF476"/>
      <c r="IG476"/>
      <c r="IH476"/>
      <c r="II476"/>
      <c r="IJ476"/>
      <c r="IK476"/>
      <c r="IL476"/>
      <c r="IM476"/>
      <c r="IN476"/>
      <c r="IO476"/>
      <c r="IP476"/>
      <c r="IQ476"/>
      <c r="IR476"/>
      <c r="IS476"/>
      <c r="IT476"/>
      <c r="IU476"/>
      <c r="IV476"/>
      <c r="IW476"/>
      <c r="IX476"/>
      <c r="IY476"/>
      <c r="IZ476"/>
      <c r="JA476"/>
      <c r="JB476"/>
      <c r="JC476"/>
      <c r="JD476"/>
      <c r="JE476"/>
      <c r="JF476"/>
      <c r="JG476"/>
      <c r="JH476"/>
      <c r="JI476"/>
      <c r="JJ476"/>
      <c r="JK476"/>
      <c r="JL476"/>
      <c r="JM476"/>
      <c r="JN476"/>
    </row>
    <row r="477" spans="1:274" s="27" customFormat="1" ht="20.25" hidden="1" outlineLevel="1" x14ac:dyDescent="0.3">
      <c r="A477" s="32" t="s">
        <v>556</v>
      </c>
      <c r="C477" s="242"/>
      <c r="D477" s="242"/>
      <c r="E477" s="242"/>
      <c r="F477" s="242"/>
      <c r="G477" s="242"/>
      <c r="H477" s="242"/>
      <c r="I477" s="242"/>
      <c r="J477" s="242"/>
      <c r="K477" s="242"/>
      <c r="L477" s="242"/>
      <c r="M477" s="242"/>
      <c r="O477" s="272"/>
      <c r="P477" s="272"/>
      <c r="Q477" s="272"/>
      <c r="R477" s="272"/>
      <c r="S477" s="242"/>
      <c r="U477" s="272"/>
      <c r="V477" s="272"/>
      <c r="W477" s="272"/>
      <c r="X477" s="272"/>
      <c r="Y477" s="242"/>
      <c r="AA477" s="272"/>
      <c r="AB477" s="272"/>
      <c r="AC477" s="272"/>
      <c r="AD477" s="272"/>
      <c r="AE477" s="242"/>
      <c r="AG477" s="272"/>
      <c r="AH477" s="272"/>
      <c r="AI477" s="272"/>
      <c r="AJ477" s="272"/>
      <c r="AK477" s="242"/>
      <c r="AM477" s="272"/>
      <c r="AN477" s="272"/>
      <c r="AO477" s="272"/>
      <c r="AP477" s="272"/>
      <c r="AQ477" s="242"/>
      <c r="AS477" s="272"/>
      <c r="AT477" s="272"/>
      <c r="AU477" s="272"/>
      <c r="AV477" s="272"/>
      <c r="AW477" s="242"/>
      <c r="AY477" s="272"/>
      <c r="AZ477" s="272"/>
      <c r="BA477" s="272"/>
      <c r="BB477" s="272"/>
      <c r="BC477" s="242"/>
      <c r="BE477" s="272"/>
      <c r="BF477" s="272"/>
      <c r="BG477" s="272"/>
      <c r="BH477" s="272"/>
      <c r="BI477" s="242"/>
      <c r="BK477" s="272"/>
      <c r="BL477" s="272"/>
      <c r="BM477" s="272"/>
      <c r="BN477" s="272"/>
      <c r="BO477" s="242"/>
      <c r="BQ477" s="272"/>
      <c r="BR477" s="272"/>
      <c r="BS477" s="272"/>
      <c r="BT477" s="272"/>
      <c r="BU477" s="242"/>
      <c r="BW477" s="272"/>
      <c r="BX477" s="272"/>
      <c r="BY477" s="272"/>
      <c r="BZ477" s="272"/>
      <c r="CA477" s="242"/>
      <c r="CC477" s="272"/>
      <c r="CD477" s="272"/>
      <c r="CE477" s="1074">
        <f>AVERAGE(CE478:CE479)/CD480-1</f>
        <v>5.1724952741020624E-2</v>
      </c>
      <c r="CF477" s="272"/>
      <c r="CG477" s="347"/>
      <c r="CI477" s="272"/>
      <c r="CJ477" s="272"/>
      <c r="CK477" s="1074">
        <f>AVERAGE(CK478:CK479)/CJ480-1</f>
        <v>8.0957746478873327E-2</v>
      </c>
      <c r="CL477" s="272"/>
      <c r="CM477" s="474"/>
      <c r="CO477" s="1162">
        <f>AVERAGE(CO478:CO479)/CI480-1</f>
        <v>0.25</v>
      </c>
      <c r="CQ477" s="1074">
        <f>AVERAGE(CQ478:CQ479)/CP480-1</f>
        <v>0</v>
      </c>
      <c r="CR477" s="929"/>
      <c r="CS477" s="557"/>
      <c r="CT477" s="345"/>
      <c r="CU477" s="1162">
        <f>AVERAGE(CU478:CU479)/CO480-1</f>
        <v>0.14999999999999991</v>
      </c>
      <c r="CV477" s="272"/>
      <c r="CW477" s="1074"/>
      <c r="CX477" s="272"/>
      <c r="CY477" s="347"/>
      <c r="CZ477" s="345"/>
      <c r="DA477" s="790">
        <f>AVERAGE(DA478:DA479)/CU480-1</f>
        <v>-9.000000000000008E-2</v>
      </c>
      <c r="DB477" s="272"/>
      <c r="DC477" s="259"/>
      <c r="DD477" s="272"/>
      <c r="DE477" s="347"/>
      <c r="DF477" s="345"/>
      <c r="DG477" s="790"/>
      <c r="DH477" s="272"/>
      <c r="DI477" s="272"/>
      <c r="DJ477" s="272"/>
      <c r="DK477" s="347"/>
      <c r="DL477" s="345"/>
      <c r="DM477" s="790"/>
      <c r="DN477" s="272"/>
      <c r="DO477" s="272"/>
      <c r="DP477" s="272"/>
      <c r="DQ477" s="347"/>
      <c r="DR477" s="345"/>
      <c r="DS477" s="790"/>
      <c r="DT477" s="272"/>
      <c r="DU477" s="272"/>
      <c r="DV477" s="272"/>
      <c r="DW477" s="347"/>
      <c r="DX477" s="345"/>
      <c r="DY477" s="790"/>
      <c r="DZ477" s="272"/>
      <c r="EA477" s="272"/>
      <c r="EB477" s="272"/>
      <c r="EC477" s="347"/>
      <c r="ED477" s="345"/>
      <c r="EE477" s="272"/>
      <c r="EF477" s="272"/>
      <c r="EG477" s="272"/>
      <c r="EH477" s="272"/>
      <c r="EI477" s="347"/>
      <c r="EJ477" s="345"/>
      <c r="EK477" s="272"/>
      <c r="EL477" s="272"/>
      <c r="EM477" s="272"/>
      <c r="EN477" s="272"/>
      <c r="EO477" s="347"/>
      <c r="EP477" s="345"/>
      <c r="EQ477" s="272"/>
      <c r="ER477" s="272"/>
      <c r="ES477" s="272"/>
      <c r="ET477" s="272"/>
      <c r="EU477" s="347"/>
      <c r="EV477" s="345"/>
      <c r="EW477" s="272"/>
      <c r="EX477" s="272"/>
      <c r="EY477" s="272"/>
      <c r="EZ477" s="272"/>
      <c r="FA477" s="347"/>
      <c r="FB477" s="345"/>
      <c r="FC477" s="272"/>
      <c r="FD477" s="272"/>
      <c r="FE477" s="272"/>
      <c r="FF477" s="272"/>
      <c r="FG477" s="347"/>
      <c r="FH477" s="345"/>
      <c r="FI477" s="272"/>
      <c r="FJ477" s="272"/>
      <c r="FK477" s="272"/>
      <c r="FL477" s="272"/>
      <c r="FM477" s="347"/>
      <c r="FQ477"/>
      <c r="FR477"/>
      <c r="FS477"/>
      <c r="FT477"/>
      <c r="FU477"/>
      <c r="FV477"/>
      <c r="FZ477" s="917" t="s">
        <v>890</v>
      </c>
      <c r="GA477" s="691"/>
      <c r="GB477" s="691"/>
      <c r="GC477" s="691"/>
      <c r="GD477" s="691"/>
      <c r="GE477" s="691"/>
      <c r="GF477" s="691"/>
      <c r="GG477" s="691"/>
      <c r="GH477" s="691"/>
      <c r="GI477" s="24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  <c r="HB477"/>
      <c r="HC477"/>
      <c r="HD477"/>
      <c r="HE477"/>
      <c r="HF477"/>
      <c r="HG477"/>
      <c r="HH477"/>
      <c r="HI477"/>
      <c r="HJ477"/>
      <c r="HK477"/>
      <c r="HL477"/>
      <c r="HM477"/>
      <c r="HN477"/>
      <c r="HO477"/>
      <c r="HP477"/>
      <c r="HQ477"/>
      <c r="HR477"/>
      <c r="HS477"/>
      <c r="HT477"/>
      <c r="HU477"/>
      <c r="HV477"/>
      <c r="HW477"/>
      <c r="HX477"/>
      <c r="HY477"/>
      <c r="HZ477"/>
      <c r="IA477"/>
      <c r="IB477"/>
      <c r="IC477"/>
      <c r="ID477"/>
      <c r="IE477"/>
      <c r="IF477"/>
      <c r="IG477"/>
      <c r="IH477"/>
      <c r="II477"/>
      <c r="IJ477"/>
      <c r="IK477"/>
      <c r="IL477"/>
      <c r="IM477"/>
      <c r="IN477"/>
      <c r="IO477"/>
      <c r="IP477"/>
      <c r="IQ477"/>
      <c r="IR477"/>
      <c r="IS477"/>
      <c r="IT477"/>
      <c r="IU477"/>
      <c r="IV477"/>
      <c r="IW477"/>
      <c r="IX477"/>
      <c r="IY477"/>
      <c r="IZ477"/>
      <c r="JA477"/>
      <c r="JB477"/>
      <c r="JC477"/>
      <c r="JD477"/>
      <c r="JE477"/>
      <c r="JF477"/>
      <c r="JG477"/>
      <c r="JH477"/>
      <c r="JI477"/>
      <c r="JJ477"/>
      <c r="JK477"/>
      <c r="JL477"/>
      <c r="JM477"/>
      <c r="JN477"/>
    </row>
    <row r="478" spans="1:274" s="27" customFormat="1" ht="12" hidden="1" customHeight="1" outlineLevel="1" x14ac:dyDescent="0.2">
      <c r="A478" s="27" t="s">
        <v>457</v>
      </c>
      <c r="C478" s="242"/>
      <c r="D478" s="242"/>
      <c r="E478" s="242"/>
      <c r="F478" s="242"/>
      <c r="G478" s="242"/>
      <c r="H478" s="242"/>
      <c r="I478" s="242"/>
      <c r="J478" s="242"/>
      <c r="K478" s="242"/>
      <c r="L478" s="242"/>
      <c r="M478" s="242"/>
      <c r="O478" s="272"/>
      <c r="P478" s="272"/>
      <c r="Q478" s="272"/>
      <c r="R478" s="272"/>
      <c r="S478" s="242"/>
      <c r="U478" s="272"/>
      <c r="V478" s="272"/>
      <c r="W478" s="272"/>
      <c r="X478" s="272"/>
      <c r="Y478" s="242"/>
      <c r="AA478" s="272"/>
      <c r="AB478" s="272"/>
      <c r="AC478" s="272"/>
      <c r="AD478" s="272"/>
      <c r="AE478" s="242"/>
      <c r="AG478" s="272"/>
      <c r="AH478" s="272"/>
      <c r="AI478" s="272"/>
      <c r="AJ478" s="272"/>
      <c r="AK478" s="242"/>
      <c r="AM478" s="272"/>
      <c r="AN478" s="272"/>
      <c r="AO478" s="272"/>
      <c r="AP478" s="272"/>
      <c r="AQ478" s="242"/>
      <c r="AS478" s="272"/>
      <c r="AT478" s="272"/>
      <c r="AU478" s="272"/>
      <c r="AV478" s="272"/>
      <c r="AW478" s="242"/>
      <c r="AY478" s="272"/>
      <c r="AZ478" s="272"/>
      <c r="BA478" s="272"/>
      <c r="BB478" s="272"/>
      <c r="BC478" s="242"/>
      <c r="BE478" s="272"/>
      <c r="BF478" s="272"/>
      <c r="BG478" s="272"/>
      <c r="BH478" s="272">
        <f>BB480*(1-0.35)</f>
        <v>1052.0119999999999</v>
      </c>
      <c r="BI478" s="242"/>
      <c r="BK478" s="272"/>
      <c r="BL478" s="272"/>
      <c r="BM478" s="272"/>
      <c r="BN478" s="272">
        <f>BH480*(1-0.15)</f>
        <v>977.48130000000003</v>
      </c>
      <c r="BO478" s="242"/>
      <c r="BQ478" s="272"/>
      <c r="BR478" s="272"/>
      <c r="BS478" s="272"/>
      <c r="BT478" s="272">
        <f>BN480*1.05</f>
        <v>1246.3500000000001</v>
      </c>
      <c r="BU478" s="242"/>
      <c r="BW478" s="272">
        <f>BQ480*1.05</f>
        <v>551.25</v>
      </c>
      <c r="BX478" s="272">
        <f>BR480*0.98</f>
        <v>837.9</v>
      </c>
      <c r="BY478" s="272">
        <f>BS480*1.04</f>
        <v>880.88</v>
      </c>
      <c r="BZ478" s="272">
        <f>BT480*1.07</f>
        <v>1405.98</v>
      </c>
      <c r="CA478" s="242"/>
      <c r="CC478" s="600">
        <f>BW480*1.15</f>
        <v>647.44999999999993</v>
      </c>
      <c r="CD478" s="600">
        <f>BX480*1.05</f>
        <v>1019.5500000000001</v>
      </c>
      <c r="CE478" s="600">
        <f>BY480*1.15</f>
        <v>1089.05</v>
      </c>
      <c r="CF478" s="600">
        <f>BZ480*1.08</f>
        <v>1737.72</v>
      </c>
      <c r="CG478" s="174"/>
      <c r="CH478" s="60"/>
      <c r="CI478" s="600">
        <f>CC480*1.18</f>
        <v>742.21999999999991</v>
      </c>
      <c r="CJ478" s="600">
        <f>CD480*1.15</f>
        <v>1216.6999999999998</v>
      </c>
      <c r="CK478" s="600">
        <f>CE480*1.16</f>
        <v>1271.8240000000001</v>
      </c>
      <c r="CL478" s="600">
        <f>CF480*1.05</f>
        <v>2227.0500000000002</v>
      </c>
      <c r="CM478" s="174"/>
      <c r="CN478" s="60"/>
      <c r="CO478" s="600">
        <f>CI480*1.2</f>
        <v>964.8</v>
      </c>
      <c r="CP478" s="600">
        <f>CJ480*1.15</f>
        <v>1388.05</v>
      </c>
      <c r="CQ478" s="600">
        <f>CK480*1.15</f>
        <v>1598.4999999999998</v>
      </c>
      <c r="CR478" s="600">
        <f>CL480*1.1</f>
        <v>2729.1000000000004</v>
      </c>
      <c r="CS478" s="557"/>
      <c r="CT478" s="345"/>
      <c r="CU478" s="600">
        <f>CO480*1.1</f>
        <v>1195.7</v>
      </c>
      <c r="CV478" s="600">
        <f>CP480*1.02</f>
        <v>1701.3600000000001</v>
      </c>
      <c r="CW478" s="272">
        <f>CQ480*(1-0.1)</f>
        <v>1454.4</v>
      </c>
      <c r="CX478" s="272">
        <f>CR480*(1-0.27)</f>
        <v>2295.12</v>
      </c>
      <c r="CY478" s="347"/>
      <c r="CZ478" s="345"/>
      <c r="DA478" s="600">
        <f>CU480*(1-0.14)</f>
        <v>1062.0999999999999</v>
      </c>
      <c r="DB478" s="600">
        <f>CV480*(1-0.1)</f>
        <v>1463.4</v>
      </c>
      <c r="DC478" s="600">
        <f>CW480*(1-0.01)</f>
        <v>1500.84</v>
      </c>
      <c r="DD478" s="600">
        <f>CX480*1.03</f>
        <v>2826.32</v>
      </c>
      <c r="DE478" s="347"/>
      <c r="DF478" s="345"/>
      <c r="DG478" s="272">
        <f>DA480*1.02</f>
        <v>1048.56</v>
      </c>
      <c r="DH478" s="600">
        <f>DB480*(1+6%)</f>
        <v>1752.18</v>
      </c>
      <c r="DI478" s="600">
        <f>DC480*(1+10%)</f>
        <v>1890.2400000000002</v>
      </c>
      <c r="DJ478" s="600">
        <f>DD480*(1+9%)</f>
        <v>3417.15</v>
      </c>
      <c r="DK478" s="347"/>
      <c r="DL478" s="345"/>
      <c r="DM478" s="272">
        <f>DG480*1.1</f>
        <v>1414.6000000000001</v>
      </c>
      <c r="DN478" s="600">
        <f>DH480*(1+6%)</f>
        <v>2118.94</v>
      </c>
      <c r="DO478" s="600">
        <f>DI480*(1+0%)</f>
        <v>2214</v>
      </c>
      <c r="DP478" s="272">
        <f>DJ480*(1-2%)</f>
        <v>3661.2799999999997</v>
      </c>
      <c r="DQ478" s="347"/>
      <c r="DR478" s="345"/>
      <c r="DS478" s="272">
        <f>DM480*1</f>
        <v>1498</v>
      </c>
      <c r="DT478" s="600">
        <f>DN480*(1+5%)</f>
        <v>2150.4</v>
      </c>
      <c r="DU478" s="600">
        <f>DO480*(1+3%)</f>
        <v>2445.2200000000003</v>
      </c>
      <c r="DV478" s="272">
        <f>DP480*(1+1%)</f>
        <v>4047.07</v>
      </c>
      <c r="DW478" s="347"/>
      <c r="DX478" s="345"/>
      <c r="DY478" s="272">
        <f>DS480*0.99</f>
        <v>1577.07</v>
      </c>
      <c r="DZ478" s="600">
        <f>DT480*(1-6%)</f>
        <v>2256.94</v>
      </c>
      <c r="EA478" s="600">
        <f>DU480*(1+1%)</f>
        <v>2361.38</v>
      </c>
      <c r="EB478" s="272">
        <f>DV480*(1-0%)</f>
        <v>4034</v>
      </c>
      <c r="EC478" s="347"/>
      <c r="ED478" s="345"/>
      <c r="EE478" s="272"/>
      <c r="EF478" s="272"/>
      <c r="EG478" s="272"/>
      <c r="EH478" s="272"/>
      <c r="EI478" s="347"/>
      <c r="EJ478" s="345"/>
      <c r="EK478" s="272"/>
      <c r="EL478" s="272"/>
      <c r="EM478" s="272"/>
      <c r="EN478" s="272"/>
      <c r="EO478" s="347"/>
      <c r="EP478" s="345"/>
      <c r="EQ478" s="272"/>
      <c r="ER478" s="272"/>
      <c r="ES478" s="272"/>
      <c r="ET478" s="272"/>
      <c r="EU478" s="347"/>
      <c r="EV478" s="345"/>
      <c r="EW478" s="272"/>
      <c r="EX478" s="272"/>
      <c r="EY478" s="272"/>
      <c r="EZ478" s="272"/>
      <c r="FA478" s="347"/>
      <c r="FB478" s="345"/>
      <c r="FC478" s="272"/>
      <c r="FD478" s="272"/>
      <c r="FE478" s="272"/>
      <c r="FF478" s="272"/>
      <c r="FG478" s="347"/>
      <c r="FH478" s="345"/>
      <c r="FI478" s="272"/>
      <c r="FJ478" s="272"/>
      <c r="FK478" s="272"/>
      <c r="FL478" s="272"/>
      <c r="FM478" s="347"/>
      <c r="FQ478"/>
      <c r="FR478"/>
      <c r="FS478"/>
      <c r="FT478"/>
      <c r="FU478"/>
      <c r="FV478"/>
      <c r="FZ478" s="99" t="s">
        <v>76</v>
      </c>
      <c r="GA478" s="190" t="s">
        <v>253</v>
      </c>
      <c r="GB478" s="190" t="s">
        <v>254</v>
      </c>
      <c r="GC478" s="190" t="s">
        <v>255</v>
      </c>
      <c r="GD478" s="190" t="s">
        <v>581</v>
      </c>
      <c r="GE478" s="190" t="s">
        <v>662</v>
      </c>
      <c r="GF478" s="190" t="s">
        <v>1070</v>
      </c>
      <c r="GG478" s="190" t="s">
        <v>604</v>
      </c>
      <c r="GH478" s="217" t="s">
        <v>214</v>
      </c>
      <c r="GI478" s="24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  <c r="HB478"/>
      <c r="HC478"/>
      <c r="HD478"/>
      <c r="HE478"/>
      <c r="HF478"/>
      <c r="HG478"/>
      <c r="HH478"/>
      <c r="HI478"/>
      <c r="HJ478"/>
      <c r="HK478"/>
      <c r="HL478"/>
      <c r="HM478"/>
      <c r="HN478"/>
      <c r="HO478"/>
      <c r="HP478"/>
      <c r="HQ478"/>
      <c r="HR478"/>
      <c r="HS478"/>
      <c r="HT478"/>
      <c r="HU478"/>
      <c r="HV478"/>
      <c r="HW478"/>
      <c r="HX478"/>
      <c r="HY478"/>
      <c r="HZ478"/>
      <c r="IA478"/>
      <c r="IB478"/>
      <c r="IC478"/>
      <c r="ID478"/>
      <c r="IE478"/>
      <c r="IF478"/>
      <c r="IG478"/>
      <c r="IH478"/>
      <c r="II478"/>
      <c r="IJ478"/>
      <c r="IK478"/>
      <c r="IL478"/>
      <c r="IM478"/>
      <c r="IN478"/>
      <c r="IO478"/>
      <c r="IP478"/>
      <c r="IQ478"/>
      <c r="IR478"/>
      <c r="IS478"/>
      <c r="IT478"/>
      <c r="IU478"/>
      <c r="IV478"/>
      <c r="IW478"/>
      <c r="IX478"/>
      <c r="IY478"/>
      <c r="IZ478"/>
      <c r="JA478"/>
      <c r="JB478"/>
      <c r="JC478"/>
      <c r="JD478"/>
      <c r="JE478"/>
      <c r="JF478"/>
      <c r="JG478"/>
      <c r="JH478"/>
      <c r="JI478"/>
      <c r="JJ478"/>
      <c r="JK478"/>
      <c r="JL478"/>
      <c r="JM478"/>
      <c r="JN478"/>
    </row>
    <row r="479" spans="1:274" s="27" customFormat="1" ht="12" hidden="1" customHeight="1" outlineLevel="1" x14ac:dyDescent="0.2">
      <c r="A479" s="27" t="s">
        <v>458</v>
      </c>
      <c r="C479" s="242"/>
      <c r="D479" s="242"/>
      <c r="E479" s="242"/>
      <c r="F479" s="242"/>
      <c r="G479" s="242"/>
      <c r="H479" s="242"/>
      <c r="I479" s="242"/>
      <c r="J479" s="242"/>
      <c r="K479" s="242"/>
      <c r="L479" s="242"/>
      <c r="M479" s="242"/>
      <c r="O479" s="272"/>
      <c r="P479" s="272"/>
      <c r="Q479" s="272"/>
      <c r="R479" s="272"/>
      <c r="S479" s="242"/>
      <c r="U479" s="272"/>
      <c r="V479" s="272"/>
      <c r="W479" s="272"/>
      <c r="X479" s="272"/>
      <c r="Y479" s="242"/>
      <c r="AA479" s="272"/>
      <c r="AB479" s="272"/>
      <c r="AC479" s="272"/>
      <c r="AD479" s="272"/>
      <c r="AE479" s="242"/>
      <c r="AG479" s="272"/>
      <c r="AH479" s="272"/>
      <c r="AI479" s="272"/>
      <c r="AJ479" s="272"/>
      <c r="AK479" s="242"/>
      <c r="AM479" s="272"/>
      <c r="AN479" s="272"/>
      <c r="AO479" s="272"/>
      <c r="AP479" s="272"/>
      <c r="AQ479" s="242"/>
      <c r="AS479" s="272"/>
      <c r="AT479" s="272"/>
      <c r="AU479" s="272"/>
      <c r="AV479" s="272"/>
      <c r="AW479" s="242"/>
      <c r="AY479" s="272"/>
      <c r="AZ479" s="272"/>
      <c r="BA479" s="272"/>
      <c r="BB479" s="272"/>
      <c r="BC479" s="242"/>
      <c r="BE479" s="272"/>
      <c r="BF479" s="272"/>
      <c r="BG479" s="272"/>
      <c r="BH479" s="272">
        <f>BB480*(1-0.25)</f>
        <v>1213.8600000000001</v>
      </c>
      <c r="BI479" s="242"/>
      <c r="BK479" s="272"/>
      <c r="BL479" s="272"/>
      <c r="BM479" s="272"/>
      <c r="BN479" s="272">
        <f>BH480*1.05</f>
        <v>1207.4769000000001</v>
      </c>
      <c r="BO479" s="242"/>
      <c r="BQ479" s="272"/>
      <c r="BR479" s="272"/>
      <c r="BS479" s="272"/>
      <c r="BT479" s="272">
        <f>BN480*1.15</f>
        <v>1365.05</v>
      </c>
      <c r="BU479" s="242"/>
      <c r="BW479" s="272">
        <f>BQ480*1.15</f>
        <v>603.75</v>
      </c>
      <c r="BX479" s="272">
        <f>BR480*1.08</f>
        <v>923.40000000000009</v>
      </c>
      <c r="BY479" s="272">
        <f>BS480*1.14</f>
        <v>965.57999999999993</v>
      </c>
      <c r="BZ479" s="272">
        <f>BT480*1.17</f>
        <v>1537.3799999999999</v>
      </c>
      <c r="CA479" s="242"/>
      <c r="CC479" s="600">
        <f>BW480*1.25</f>
        <v>703.75</v>
      </c>
      <c r="CD479" s="600">
        <f>BX480*1.15</f>
        <v>1116.6499999999999</v>
      </c>
      <c r="CE479" s="600">
        <f>BY480*1.2</f>
        <v>1136.3999999999999</v>
      </c>
      <c r="CF479" s="600">
        <f>BZ480*1.18</f>
        <v>1898.62</v>
      </c>
      <c r="CG479" s="174"/>
      <c r="CH479" s="60"/>
      <c r="CI479" s="600">
        <f>CC480*1.25</f>
        <v>786.25</v>
      </c>
      <c r="CJ479" s="600">
        <f>CD480*1.2</f>
        <v>1269.5999999999999</v>
      </c>
      <c r="CK479" s="600">
        <f>CE480*1.22</f>
        <v>1337.6080000000002</v>
      </c>
      <c r="CL479" s="600">
        <f>CF480*1.15</f>
        <v>2439.1499999999996</v>
      </c>
      <c r="CM479" s="174"/>
      <c r="CN479" s="60"/>
      <c r="CO479" s="600">
        <f>CI480*1.3</f>
        <v>1045.2</v>
      </c>
      <c r="CP479" s="600">
        <f>CJ480*1.25</f>
        <v>1508.75</v>
      </c>
      <c r="CQ479" s="600">
        <f>CK480*1.25</f>
        <v>1737.5</v>
      </c>
      <c r="CR479" s="600">
        <f>CL480*1.2</f>
        <v>2977.2</v>
      </c>
      <c r="CS479" s="557"/>
      <c r="CT479" s="345"/>
      <c r="CU479" s="600">
        <f>CO480*1.2</f>
        <v>1304.3999999999999</v>
      </c>
      <c r="CV479" s="600">
        <f>CP480*1.12</f>
        <v>1868.16</v>
      </c>
      <c r="CW479" s="272">
        <f>CQ480*(1-0)</f>
        <v>1616</v>
      </c>
      <c r="CX479" s="272">
        <f>CR480*(1-0.17)</f>
        <v>2609.52</v>
      </c>
      <c r="CY479" s="347"/>
      <c r="CZ479" s="345"/>
      <c r="DA479" s="600">
        <f>CU480*(1-0.04)</f>
        <v>1185.5999999999999</v>
      </c>
      <c r="DB479" s="600">
        <f>CV480*(1-0)</f>
        <v>1626</v>
      </c>
      <c r="DC479" s="600">
        <f>CW480*(1.09)</f>
        <v>1652.44</v>
      </c>
      <c r="DD479" s="600">
        <f>CX480*1.13</f>
        <v>3100.72</v>
      </c>
      <c r="DE479" s="347"/>
      <c r="DF479" s="345"/>
      <c r="DG479" s="272">
        <f>DA480*1.12</f>
        <v>1151.3600000000001</v>
      </c>
      <c r="DH479" s="600">
        <f>DB480*(1+16%)</f>
        <v>1917.4799999999998</v>
      </c>
      <c r="DI479" s="600">
        <f>DC480*(1+20%)</f>
        <v>2062.08</v>
      </c>
      <c r="DJ479" s="600">
        <f>DD480*(1+19%)</f>
        <v>3730.6499999999996</v>
      </c>
      <c r="DK479" s="347"/>
      <c r="DL479" s="345"/>
      <c r="DM479" s="272">
        <f>DG480*1.2</f>
        <v>1543.2</v>
      </c>
      <c r="DN479" s="600">
        <f>DH480*(1+16%)</f>
        <v>2318.8399999999997</v>
      </c>
      <c r="DO479" s="600">
        <f>DI480*(1+10%)</f>
        <v>2435.4</v>
      </c>
      <c r="DP479" s="272">
        <f>DJ480*(1+8%)</f>
        <v>4034.88</v>
      </c>
      <c r="DQ479" s="347"/>
      <c r="DR479" s="345"/>
      <c r="DS479" s="272">
        <f>DM480*1.1</f>
        <v>1647.8000000000002</v>
      </c>
      <c r="DT479" s="600">
        <f>DN480*(1+15%)</f>
        <v>2355.1999999999998</v>
      </c>
      <c r="DU479" s="600">
        <f>DO480*(1+13%)</f>
        <v>2682.62</v>
      </c>
      <c r="DV479" s="272">
        <f>DP480*(1+11%)</f>
        <v>4447.7700000000004</v>
      </c>
      <c r="DW479" s="347"/>
      <c r="DX479" s="345"/>
      <c r="DY479" s="272">
        <f>DS480*1.07</f>
        <v>1704.51</v>
      </c>
      <c r="DZ479" s="600">
        <f>DT480*(1+4%)</f>
        <v>2497.04</v>
      </c>
      <c r="EA479" s="600">
        <f>DU480*(1+11%)</f>
        <v>2595.1800000000003</v>
      </c>
      <c r="EB479" s="272">
        <f>DV480*(1+10%)</f>
        <v>4437.4000000000005</v>
      </c>
      <c r="EC479" s="347"/>
      <c r="ED479" s="345"/>
      <c r="EE479" s="272"/>
      <c r="EF479" s="272"/>
      <c r="EG479" s="272"/>
      <c r="EH479" s="272"/>
      <c r="EI479" s="347"/>
      <c r="EJ479" s="345"/>
      <c r="EK479" s="272"/>
      <c r="EL479" s="272"/>
      <c r="EM479" s="272"/>
      <c r="EN479" s="272"/>
      <c r="EO479" s="347"/>
      <c r="EP479" s="345"/>
      <c r="EQ479" s="272"/>
      <c r="ER479" s="272"/>
      <c r="ES479" s="272"/>
      <c r="ET479" s="272"/>
      <c r="EU479" s="347"/>
      <c r="EV479" s="345"/>
      <c r="EW479" s="272"/>
      <c r="EX479" s="272"/>
      <c r="EY479" s="272"/>
      <c r="EZ479" s="272"/>
      <c r="FA479" s="347"/>
      <c r="FB479" s="345"/>
      <c r="FC479" s="272"/>
      <c r="FD479" s="272"/>
      <c r="FE479" s="272"/>
      <c r="FF479" s="272"/>
      <c r="FG479" s="347"/>
      <c r="FH479" s="345"/>
      <c r="FI479" s="272"/>
      <c r="FJ479" s="272"/>
      <c r="FK479" s="272"/>
      <c r="FL479" s="272"/>
      <c r="FM479" s="347"/>
      <c r="FQ479"/>
      <c r="FR479"/>
      <c r="FS479"/>
      <c r="FT479"/>
      <c r="FU479"/>
      <c r="FV479"/>
      <c r="FZ479" s="27" t="s">
        <v>889</v>
      </c>
      <c r="GA479" s="1172" t="s">
        <v>943</v>
      </c>
      <c r="GB479" s="1172">
        <f>CI481</f>
        <v>5.2032424581444303E-2</v>
      </c>
      <c r="GC479" s="1172">
        <f>CO481</f>
        <v>8.1592039800995053E-2</v>
      </c>
      <c r="GD479" s="1172">
        <f>CU481</f>
        <v>-1.2039518419263207E-2</v>
      </c>
      <c r="GE479" s="1172">
        <f>DA481</f>
        <v>-8.5287182453174237E-2</v>
      </c>
      <c r="GF479" s="1172">
        <f>DG481</f>
        <v>0.16913342303356482</v>
      </c>
      <c r="GG479" s="1172">
        <f>DM481</f>
        <v>1.2915004395158469E-2</v>
      </c>
      <c r="GH479" s="1174"/>
      <c r="GI479" s="24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  <c r="HB479"/>
      <c r="HC479"/>
      <c r="HD479"/>
      <c r="HE479"/>
      <c r="HF479"/>
      <c r="HG479"/>
      <c r="HH479"/>
      <c r="HI479"/>
      <c r="HJ479"/>
      <c r="HK479"/>
      <c r="HL479"/>
      <c r="HM479"/>
      <c r="HN479"/>
      <c r="HO479"/>
      <c r="HP479"/>
      <c r="HQ479"/>
      <c r="HR479"/>
      <c r="HS479"/>
      <c r="HT479"/>
      <c r="HU479"/>
      <c r="HV479"/>
      <c r="HW479"/>
      <c r="HX479"/>
      <c r="HY479"/>
      <c r="HZ479"/>
      <c r="IA479"/>
      <c r="IB479"/>
      <c r="IC479"/>
      <c r="ID479"/>
      <c r="IE479"/>
      <c r="IF479"/>
      <c r="IG479"/>
      <c r="IH479"/>
      <c r="II479"/>
      <c r="IJ479"/>
      <c r="IK479"/>
      <c r="IL479"/>
      <c r="IM479"/>
      <c r="IN479"/>
      <c r="IO479"/>
      <c r="IP479"/>
      <c r="IQ479"/>
      <c r="IR479"/>
      <c r="IS479"/>
      <c r="IT479"/>
      <c r="IU479"/>
      <c r="IV479"/>
      <c r="IW479"/>
      <c r="IX479"/>
      <c r="IY479"/>
      <c r="IZ479"/>
      <c r="JA479"/>
      <c r="JB479"/>
      <c r="JC479"/>
      <c r="JD479"/>
      <c r="JE479"/>
      <c r="JF479"/>
      <c r="JG479"/>
      <c r="JH479"/>
      <c r="JI479"/>
      <c r="JJ479"/>
      <c r="JK479"/>
      <c r="JL479"/>
      <c r="JM479"/>
      <c r="JN479"/>
    </row>
    <row r="480" spans="1:274" s="27" customFormat="1" ht="12" hidden="1" customHeight="1" outlineLevel="1" x14ac:dyDescent="0.2">
      <c r="A480" s="897" t="s">
        <v>913</v>
      </c>
      <c r="B480" s="146"/>
      <c r="C480" s="384"/>
      <c r="D480" s="384"/>
      <c r="E480" s="384"/>
      <c r="F480" s="384"/>
      <c r="G480" s="384"/>
      <c r="H480" s="384"/>
      <c r="I480" s="384"/>
      <c r="J480" s="384"/>
      <c r="K480" s="384"/>
      <c r="L480" s="384"/>
      <c r="M480" s="384"/>
      <c r="N480" s="146"/>
      <c r="O480" s="923"/>
      <c r="P480" s="923"/>
      <c r="Q480" s="923"/>
      <c r="R480" s="923"/>
      <c r="S480" s="384"/>
      <c r="T480" s="146"/>
      <c r="U480" s="923"/>
      <c r="V480" s="923"/>
      <c r="W480" s="923"/>
      <c r="X480" s="923"/>
      <c r="Y480" s="384"/>
      <c r="Z480" s="146"/>
      <c r="AA480" s="923"/>
      <c r="AB480" s="923"/>
      <c r="AC480" s="923"/>
      <c r="AD480" s="923"/>
      <c r="AE480" s="384"/>
      <c r="AF480" s="146"/>
      <c r="AG480" s="923"/>
      <c r="AH480" s="923"/>
      <c r="AI480" s="923"/>
      <c r="AJ480" s="923"/>
      <c r="AK480" s="384"/>
      <c r="AL480" s="146"/>
      <c r="AM480" s="923"/>
      <c r="AN480" s="923"/>
      <c r="AO480" s="923"/>
      <c r="AP480" s="923"/>
      <c r="AQ480" s="384"/>
      <c r="AR480" s="146"/>
      <c r="AS480" s="923"/>
      <c r="AT480" s="923"/>
      <c r="AU480" s="923"/>
      <c r="AV480" s="923"/>
      <c r="AW480" s="384"/>
      <c r="AX480" s="146"/>
      <c r="AY480" s="923">
        <f>Model!AY14</f>
        <v>771.24500000000012</v>
      </c>
      <c r="AZ480" s="923">
        <f>Model!AZ14</f>
        <v>1093.193</v>
      </c>
      <c r="BA480" s="923">
        <f>Model!BA14</f>
        <v>1100.9650000000001</v>
      </c>
      <c r="BB480" s="923">
        <f>Model!BB14</f>
        <v>1618.48</v>
      </c>
      <c r="BC480" s="384"/>
      <c r="BD480" s="146"/>
      <c r="BE480" s="923">
        <f>Model!BE14</f>
        <v>711.10800000000006</v>
      </c>
      <c r="BF480" s="923">
        <f>Model!BF14</f>
        <v>803.39100000000008</v>
      </c>
      <c r="BG480" s="923">
        <f>Model!BG14</f>
        <v>776.95299999999997</v>
      </c>
      <c r="BH480" s="923">
        <f>Model!BH14</f>
        <v>1149.9780000000001</v>
      </c>
      <c r="BI480" s="384"/>
      <c r="BJ480" s="146"/>
      <c r="BK480" s="923">
        <f>Model!BK14</f>
        <v>563</v>
      </c>
      <c r="BL480" s="923">
        <f>Model!BL14</f>
        <v>765</v>
      </c>
      <c r="BM480" s="923">
        <f>Model!BM14</f>
        <v>755</v>
      </c>
      <c r="BN480" s="923">
        <f>Model!BN14</f>
        <v>1187</v>
      </c>
      <c r="BO480" s="384"/>
      <c r="BP480" s="146"/>
      <c r="BQ480" s="923">
        <f>Model!BQ14</f>
        <v>525</v>
      </c>
      <c r="BR480" s="923">
        <f>Model!BR14</f>
        <v>855</v>
      </c>
      <c r="BS480" s="923">
        <f>Model!BS14</f>
        <v>847</v>
      </c>
      <c r="BT480" s="923">
        <f>Model!BT14</f>
        <v>1314</v>
      </c>
      <c r="BU480" s="384"/>
      <c r="BV480" s="146"/>
      <c r="BW480" s="923">
        <f>Model!BW14</f>
        <v>563</v>
      </c>
      <c r="BX480" s="923">
        <f>Model!BX14</f>
        <v>971</v>
      </c>
      <c r="BY480" s="923">
        <f>Model!BY14</f>
        <v>947</v>
      </c>
      <c r="BZ480" s="923">
        <f>Model!BZ14</f>
        <v>1609</v>
      </c>
      <c r="CA480" s="384"/>
      <c r="CB480" s="146"/>
      <c r="CC480" s="939">
        <f>Model!CC14</f>
        <v>629</v>
      </c>
      <c r="CD480" s="939">
        <f>Model!CD14</f>
        <v>1058</v>
      </c>
      <c r="CE480" s="939">
        <f>Model!CE14</f>
        <v>1096.4000000000001</v>
      </c>
      <c r="CF480" s="939">
        <f>Model!CF14</f>
        <v>2121</v>
      </c>
      <c r="CG480" s="898"/>
      <c r="CH480" s="924"/>
      <c r="CI480" s="939">
        <f>Model!CI14</f>
        <v>804</v>
      </c>
      <c r="CJ480" s="939">
        <f>Model!CJ14</f>
        <v>1207</v>
      </c>
      <c r="CK480" s="939">
        <f>Model!CK14</f>
        <v>1390</v>
      </c>
      <c r="CL480" s="939">
        <f>Model!CL14</f>
        <v>2481</v>
      </c>
      <c r="CM480" s="898"/>
      <c r="CN480" s="924"/>
      <c r="CO480" s="939">
        <f>Model!CO14</f>
        <v>1087</v>
      </c>
      <c r="CP480" s="939">
        <f>Model!CP14</f>
        <v>1668</v>
      </c>
      <c r="CQ480" s="939">
        <f>Model!CQ14</f>
        <v>1616</v>
      </c>
      <c r="CR480" s="939">
        <f>Model!CR14</f>
        <v>3144</v>
      </c>
      <c r="CS480" s="925"/>
      <c r="CT480" s="146"/>
      <c r="CU480" s="939">
        <f>Model!CU14</f>
        <v>1235</v>
      </c>
      <c r="CV480" s="939">
        <f>Model!CV14</f>
        <v>1626</v>
      </c>
      <c r="CW480" s="939">
        <f>Model!CW14</f>
        <v>1516</v>
      </c>
      <c r="CX480" s="939">
        <f>Model!CX14</f>
        <v>2744</v>
      </c>
      <c r="CY480" s="926"/>
      <c r="CZ480" s="146"/>
      <c r="DA480" s="939">
        <f>Model!DA14</f>
        <v>1028</v>
      </c>
      <c r="DB480" s="939">
        <f>Model!DB14</f>
        <v>1653</v>
      </c>
      <c r="DC480" s="939">
        <f>Model!DC14</f>
        <v>1718.4</v>
      </c>
      <c r="DD480" s="939">
        <f>Model!DD14</f>
        <v>3135</v>
      </c>
      <c r="DE480" s="926"/>
      <c r="DF480" s="146"/>
      <c r="DG480" s="939">
        <f>Model!DG14</f>
        <v>1286</v>
      </c>
      <c r="DH480" s="939">
        <f>Model!DH14</f>
        <v>1999</v>
      </c>
      <c r="DI480" s="939">
        <f>Model!DI14</f>
        <v>2214</v>
      </c>
      <c r="DJ480" s="939">
        <f>Model!DJ14</f>
        <v>3736</v>
      </c>
      <c r="DK480" s="926"/>
      <c r="DL480" s="146"/>
      <c r="DM480" s="939">
        <f>Model!DM14</f>
        <v>1498</v>
      </c>
      <c r="DN480" s="939">
        <f>Model!DN14</f>
        <v>2048</v>
      </c>
      <c r="DO480" s="939">
        <f>Model!DO14</f>
        <v>2374</v>
      </c>
      <c r="DP480" s="939">
        <f>Model!DP14</f>
        <v>4007</v>
      </c>
      <c r="DQ480" s="926"/>
      <c r="DR480" s="146"/>
      <c r="DS480" s="939">
        <f>Model!DS14-Model!DS29</f>
        <v>1593</v>
      </c>
      <c r="DT480" s="939">
        <f>Model!DT14-Model!DT29</f>
        <v>2401</v>
      </c>
      <c r="DU480" s="939">
        <f>Model!DU14-Model!DU29</f>
        <v>2338</v>
      </c>
      <c r="DV480" s="939">
        <f>Model!DV14-Model!DV29</f>
        <v>4034</v>
      </c>
      <c r="DW480" s="926"/>
      <c r="DX480" s="146"/>
      <c r="DY480" s="939">
        <f>Model!DY14-Model!DY29</f>
        <v>1656</v>
      </c>
      <c r="DZ480" s="939">
        <f>Model!DZ14-Model!DZ29</f>
        <v>2383</v>
      </c>
      <c r="EA480" s="939">
        <f>Model!EA14-Model!EA29</f>
        <v>2420</v>
      </c>
      <c r="EB480" s="939">
        <f>Model!EB14-Model!EB29</f>
        <v>4096</v>
      </c>
      <c r="EC480" s="926"/>
      <c r="ED480" s="146"/>
      <c r="EE480" s="923"/>
      <c r="EF480" s="923"/>
      <c r="EG480" s="923"/>
      <c r="EH480" s="923"/>
      <c r="EI480" s="926"/>
      <c r="EJ480" s="146"/>
      <c r="EK480" s="923"/>
      <c r="EL480" s="923"/>
      <c r="EM480" s="923"/>
      <c r="EN480" s="923"/>
      <c r="EO480" s="926"/>
      <c r="EP480" s="146"/>
      <c r="EQ480" s="923"/>
      <c r="ER480" s="1785"/>
      <c r="ES480" s="1785"/>
      <c r="ET480" s="1785"/>
      <c r="EU480" s="1786"/>
      <c r="EV480" s="1787"/>
      <c r="EW480" s="923"/>
      <c r="EX480" s="923"/>
      <c r="EY480" s="1785"/>
      <c r="EZ480" s="1785"/>
      <c r="FA480" s="1786"/>
      <c r="FB480" s="1787"/>
      <c r="FC480" s="1785"/>
      <c r="FD480" s="1785"/>
      <c r="FE480" s="1785"/>
      <c r="FF480" s="1785"/>
      <c r="FG480" s="1786"/>
      <c r="FH480" s="1787"/>
      <c r="FI480" s="1785"/>
      <c r="FJ480" s="1785"/>
      <c r="FK480" s="1785"/>
      <c r="FL480" s="1785"/>
      <c r="FM480" s="1786"/>
      <c r="FQ480"/>
      <c r="FR480"/>
      <c r="FS480"/>
      <c r="FT480"/>
      <c r="FU480"/>
      <c r="FV480"/>
      <c r="FZ480" s="27" t="s">
        <v>409</v>
      </c>
      <c r="GA480" s="1173">
        <f>BZ432</f>
        <v>3.8412291933418663E-2</v>
      </c>
      <c r="GB480" s="1173">
        <f>CI432</f>
        <v>5.386939331263596E-2</v>
      </c>
      <c r="GC480" s="1173">
        <f>CO432</f>
        <v>4.9853767919001646E-2</v>
      </c>
      <c r="GD480" s="1173">
        <f>CU432</f>
        <v>-7.9898713241012276E-3</v>
      </c>
      <c r="GE480" s="1173">
        <f>DA432</f>
        <v>-2.7303885405139505E-2</v>
      </c>
      <c r="GF480" s="1173">
        <f>DG432</f>
        <v>4.8053270056035213E-2</v>
      </c>
      <c r="GG480" s="1173">
        <f>DM432</f>
        <v>1.581444385872155E-3</v>
      </c>
      <c r="GH480" s="1174"/>
      <c r="GI480" s="24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  <c r="HB480"/>
      <c r="HC480"/>
      <c r="HD480"/>
      <c r="HE480"/>
      <c r="HF480"/>
      <c r="HG480"/>
      <c r="HH480"/>
      <c r="HI480"/>
      <c r="HJ480"/>
      <c r="HK480"/>
      <c r="HL480"/>
      <c r="HM480"/>
      <c r="HN480"/>
      <c r="HO480"/>
      <c r="HP480"/>
      <c r="HQ480"/>
      <c r="HR480"/>
      <c r="HS480"/>
      <c r="HT480"/>
      <c r="HU480"/>
      <c r="HV480"/>
      <c r="HW480"/>
      <c r="HX480"/>
      <c r="HY480"/>
      <c r="HZ480"/>
      <c r="IA480"/>
      <c r="IB480"/>
      <c r="IC480"/>
      <c r="ID480"/>
      <c r="IE480"/>
      <c r="IF480"/>
      <c r="IG480"/>
      <c r="IH480"/>
      <c r="II480"/>
      <c r="IJ480"/>
      <c r="IK480"/>
      <c r="IL480"/>
      <c r="IM480"/>
      <c r="IN480"/>
      <c r="IO480"/>
      <c r="IP480"/>
      <c r="IQ480"/>
      <c r="IR480"/>
      <c r="IS480"/>
      <c r="IT480"/>
      <c r="IU480"/>
      <c r="IV480"/>
      <c r="IW480"/>
      <c r="IX480"/>
      <c r="IY480"/>
      <c r="IZ480"/>
      <c r="JA480"/>
      <c r="JB480"/>
      <c r="JC480"/>
      <c r="JD480"/>
      <c r="JE480"/>
      <c r="JF480"/>
      <c r="JG480"/>
      <c r="JH480"/>
      <c r="JI480"/>
      <c r="JJ480"/>
      <c r="JK480"/>
      <c r="JL480"/>
      <c r="JM480"/>
      <c r="JN480"/>
    </row>
    <row r="481" spans="1:274" s="27" customFormat="1" ht="12" hidden="1" customHeight="1" outlineLevel="1" x14ac:dyDescent="0.2">
      <c r="A481" s="32" t="s">
        <v>676</v>
      </c>
      <c r="C481" s="242"/>
      <c r="D481" s="242"/>
      <c r="E481" s="242"/>
      <c r="F481" s="242"/>
      <c r="G481" s="242"/>
      <c r="H481" s="242"/>
      <c r="I481" s="242"/>
      <c r="J481" s="242"/>
      <c r="K481" s="242"/>
      <c r="L481" s="242"/>
      <c r="M481" s="242"/>
      <c r="O481" s="272"/>
      <c r="P481" s="272"/>
      <c r="Q481" s="272"/>
      <c r="R481" s="272"/>
      <c r="S481" s="242"/>
      <c r="U481" s="272"/>
      <c r="V481" s="272"/>
      <c r="W481" s="272"/>
      <c r="X481" s="272"/>
      <c r="Y481" s="242"/>
      <c r="AA481" s="272"/>
      <c r="AB481" s="272"/>
      <c r="AC481" s="272"/>
      <c r="AD481" s="272"/>
      <c r="AE481" s="242"/>
      <c r="AG481" s="272"/>
      <c r="AH481" s="272"/>
      <c r="AI481" s="272"/>
      <c r="AJ481" s="272"/>
      <c r="AK481" s="242"/>
      <c r="AM481" s="272"/>
      <c r="AN481" s="272"/>
      <c r="AO481" s="272"/>
      <c r="AP481" s="272"/>
      <c r="AQ481" s="242"/>
      <c r="AS481" s="272"/>
      <c r="AT481" s="272"/>
      <c r="AU481" s="272"/>
      <c r="AV481" s="272"/>
      <c r="AW481" s="242"/>
      <c r="AY481" s="272"/>
      <c r="AZ481" s="272"/>
      <c r="BA481" s="272"/>
      <c r="BB481" s="272"/>
      <c r="BC481" s="242"/>
      <c r="BE481" s="272"/>
      <c r="BF481" s="272"/>
      <c r="BG481" s="272"/>
      <c r="BH481" s="927">
        <f>BH480/AVERAGE(BH478:BH479)-1</f>
        <v>1.5042332488331089E-2</v>
      </c>
      <c r="BI481" s="242"/>
      <c r="BK481" s="272"/>
      <c r="BL481" s="272"/>
      <c r="BM481" s="272"/>
      <c r="BN481" s="927">
        <f>BN480/AVERAGE(BN478:BN479)-1</f>
        <v>8.6519641428380645E-2</v>
      </c>
      <c r="BO481" s="242"/>
      <c r="BQ481" s="272"/>
      <c r="BR481" s="272"/>
      <c r="BS481" s="272"/>
      <c r="BT481" s="927">
        <f>BT480/AVERAGE(BT478:BT479)-1</f>
        <v>6.3567435092286573E-3</v>
      </c>
      <c r="BU481" s="242"/>
      <c r="BW481" s="927">
        <f>BW480/AVERAGE(BW478:BW479)-1</f>
        <v>-2.510822510822508E-2</v>
      </c>
      <c r="BX481" s="927">
        <f>BX480/AVERAGE(BX478:BX479)-1</f>
        <v>0.10259467438823577</v>
      </c>
      <c r="BY481" s="927">
        <f>BY480/AVERAGE(BY478:BY479)-1</f>
        <v>2.5746563694853952E-2</v>
      </c>
      <c r="BZ481" s="927">
        <f>BZ480/AVERAGE(BZ478:BZ479)-1</f>
        <v>9.3308327897369203E-2</v>
      </c>
      <c r="CA481" s="242"/>
      <c r="CC481" s="927">
        <f>CC480/AVERAGE(CC478:CC479)-1</f>
        <v>-6.8975725281231415E-2</v>
      </c>
      <c r="CD481" s="927">
        <f>CD480/AVERAGE(CD478:CD479)-1</f>
        <v>-9.4560434416252059E-3</v>
      </c>
      <c r="CE481" s="927">
        <f>CE480/AVERAGE(CE478:CE479)-1</f>
        <v>-1.4671190096384845E-2</v>
      </c>
      <c r="CF481" s="927">
        <f>CF480/AVERAGE(CF478:CF479)-1</f>
        <v>0.1665575826242871</v>
      </c>
      <c r="CG481" s="347"/>
      <c r="CI481" s="927">
        <f>CI480/AVERAGE(CI478:CI479)-1</f>
        <v>5.2032424581444303E-2</v>
      </c>
      <c r="CJ481" s="927">
        <f>CJ480/AVERAGE(CJ478:CJ479)-1</f>
        <v>-2.907935486465818E-2</v>
      </c>
      <c r="CK481" s="927">
        <f>CK480/AVERAGE(CK478:CK479)-1</f>
        <v>6.5365949371357424E-2</v>
      </c>
      <c r="CL481" s="927">
        <f>CL480/AVERAGE(CL478:CL479)-1</f>
        <v>6.3392053491063471E-2</v>
      </c>
      <c r="CM481" s="474"/>
      <c r="CO481" s="927">
        <f>CO480/AVERAGE(CO478:CO479)-1</f>
        <v>8.1592039800995053E-2</v>
      </c>
      <c r="CP481" s="927">
        <f>CP480/AVERAGE(CP478:CP479)-1</f>
        <v>0.15161557580778773</v>
      </c>
      <c r="CQ481" s="927">
        <f>CQ480/AVERAGE(CQ478:CQ479)-1</f>
        <v>-3.1175059952038398E-2</v>
      </c>
      <c r="CR481" s="927">
        <f>CR480/AVERAGE(CR478:CR479)-1</f>
        <v>0.10193996109563108</v>
      </c>
      <c r="CS481" s="557"/>
      <c r="CT481" s="345"/>
      <c r="CU481" s="927">
        <f>CU480/AVERAGE(CU478:CU479)-1</f>
        <v>-1.2039518419263207E-2</v>
      </c>
      <c r="CV481" s="927">
        <f>CV480/AVERAGE(CV478:CV479)-1</f>
        <v>-8.895313655617576E-2</v>
      </c>
      <c r="CW481" s="927">
        <f>CW480/AVERAGE(CW478:CW479)-1</f>
        <v>-1.2506513809275699E-2</v>
      </c>
      <c r="CX481" s="927">
        <f>CX480/AVERAGE(CX478:CX479)-1</f>
        <v>0.11894043191753134</v>
      </c>
      <c r="CY481" s="347"/>
      <c r="CZ481" s="345"/>
      <c r="DA481" s="927">
        <f>DA480/AVERAGE(DA478:DA479)-1</f>
        <v>-8.5287182453174237E-2</v>
      </c>
      <c r="DB481" s="927">
        <f>DB480/AVERAGE(DB478:DB479)-1</f>
        <v>7.0110701107011009E-2</v>
      </c>
      <c r="DC481" s="927">
        <f>DC480/AVERAGE(DC478:DC479)-1</f>
        <v>8.991272579663101E-2</v>
      </c>
      <c r="DD481" s="927">
        <f>DD480/AVERAGE(DD478:DD479)-1</f>
        <v>5.7863621639131946E-2</v>
      </c>
      <c r="DE481" s="347"/>
      <c r="DF481" s="345"/>
      <c r="DG481" s="927">
        <f>DG480/AVERAGE(DG478:DG479)-1</f>
        <v>0.16913342303356482</v>
      </c>
      <c r="DH481" s="927">
        <f>DH480/AVERAGE(DH478:DH479)-1</f>
        <v>8.9474229220145807E-2</v>
      </c>
      <c r="DI481" s="927">
        <f>DI480/AVERAGE(DI478:DI479)-1</f>
        <v>0.12035462715569589</v>
      </c>
      <c r="DJ481" s="927">
        <f>DJ480/AVERAGE(DJ478:DJ479)-1</f>
        <v>4.5356613223649367E-2</v>
      </c>
      <c r="DK481" s="347"/>
      <c r="DL481" s="345"/>
      <c r="DM481" s="927">
        <f>DM480/AVERAGE(DM478:DM479)-1</f>
        <v>1.2915004395158469E-2</v>
      </c>
      <c r="DN481" s="927">
        <f>DN480/AVERAGE(DN478:DN479)-1</f>
        <v>-7.7015985470212489E-2</v>
      </c>
      <c r="DO481" s="927">
        <f>DO480/AVERAGE(DO478:DO479)-1</f>
        <v>2.1207037467200207E-2</v>
      </c>
      <c r="DP481" s="927">
        <f>DP480/AVERAGE(DP478:DP479)-1</f>
        <v>4.1298517702334614E-2</v>
      </c>
      <c r="DQ481" s="347"/>
      <c r="DR481" s="345"/>
      <c r="DS481" s="927">
        <f>DS480/AVERAGE(DS478:DS479)-1</f>
        <v>1.2778943353042083E-2</v>
      </c>
      <c r="DT481" s="927">
        <f>DT480/AVERAGE(DT478:DT479)-1</f>
        <v>6.5784801136363535E-2</v>
      </c>
      <c r="DU481" s="927">
        <f>DU480/AVERAGE(DU478:DU479)-1</f>
        <v>-8.8115073793254117E-2</v>
      </c>
      <c r="DV481" s="927">
        <f>DV480/AVERAGE(DV478:DV479)-1</f>
        <v>-5.0246973456827937E-2</v>
      </c>
      <c r="DW481" s="347"/>
      <c r="DX481" s="345"/>
      <c r="DY481" s="927">
        <f>DY480/AVERAGE(DY478:DY479)-1</f>
        <v>9.269924853271938E-3</v>
      </c>
      <c r="DZ481" s="927">
        <f>DZ480/AVERAGE(DZ478:DZ479)-1</f>
        <v>2.5284077762213197E-3</v>
      </c>
      <c r="EA481" s="927">
        <f>EA480/AVERAGE(EA478:EA479)-1</f>
        <v>-2.351630969866203E-2</v>
      </c>
      <c r="EB481" s="927">
        <f>EB480/AVERAGE(EB478:EB479)-1</f>
        <v>-3.2981561489246358E-2</v>
      </c>
      <c r="EC481" s="347"/>
      <c r="ED481" s="345"/>
      <c r="EE481" s="272"/>
      <c r="EF481" s="272"/>
      <c r="EG481" s="272"/>
      <c r="EH481" s="272"/>
      <c r="EI481" s="347"/>
      <c r="EJ481" s="345"/>
      <c r="EK481" s="272"/>
      <c r="EL481" s="272"/>
      <c r="EM481" s="272"/>
      <c r="EN481" s="272"/>
      <c r="EO481" s="347"/>
      <c r="EP481" s="345"/>
      <c r="EQ481" s="272"/>
      <c r="ER481" s="272"/>
      <c r="ES481" s="272"/>
      <c r="ET481" s="272"/>
      <c r="EU481" s="347"/>
      <c r="EV481" s="345"/>
      <c r="EW481" s="272"/>
      <c r="EX481" s="272"/>
      <c r="EY481" s="272"/>
      <c r="EZ481" s="272"/>
      <c r="FA481" s="347"/>
      <c r="FB481" s="345"/>
      <c r="FC481" s="272"/>
      <c r="FD481" s="272"/>
      <c r="FE481" s="272"/>
      <c r="FF481" s="272"/>
      <c r="FG481" s="347"/>
      <c r="FH481" s="345"/>
      <c r="FI481" s="272"/>
      <c r="FJ481" s="272"/>
      <c r="FK481" s="272"/>
      <c r="FL481" s="272"/>
      <c r="FM481" s="347"/>
      <c r="FQ481"/>
      <c r="FR481"/>
      <c r="FS481"/>
      <c r="FT481"/>
      <c r="FU481"/>
      <c r="FV481"/>
      <c r="FZ481" s="27" t="s">
        <v>180</v>
      </c>
      <c r="GA481" s="1203">
        <f>BZ499-(AVERAGE(BZ498,BZ497))</f>
        <v>2.0600000000000007E-2</v>
      </c>
      <c r="GB481" s="1203">
        <f>CI499-(AVERAGE(CI498,CI497))</f>
        <v>1.659999999999999E-2</v>
      </c>
      <c r="GC481" s="1203">
        <f>CO499-(AVERAGE(CO498,CO497))</f>
        <v>1.0899999999999993E-2</v>
      </c>
      <c r="GD481" s="1203">
        <f>CU499-(AVERAGE(CU498,CU497))</f>
        <v>3.0700000000000005E-2</v>
      </c>
      <c r="GE481" s="1203">
        <f>DA499-(AVERAGE(DA498,DA497))</f>
        <v>7.0000000000000062E-3</v>
      </c>
      <c r="GF481" s="1203">
        <f>DG499-(AVERAGE(DG498,DG497))</f>
        <v>9.1000000000000025E-2</v>
      </c>
      <c r="GG481" s="1203">
        <f>DM499-(AVERAGE(DM498,DM497))</f>
        <v>1.2500000000000011E-2</v>
      </c>
      <c r="GH481" s="1205"/>
      <c r="GI481" s="24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  <c r="HB481"/>
      <c r="HC481"/>
      <c r="HD481"/>
      <c r="HE481"/>
      <c r="HF481"/>
      <c r="HG481"/>
      <c r="HH481"/>
      <c r="HI481"/>
      <c r="HJ481"/>
      <c r="HK481"/>
      <c r="HL481"/>
      <c r="HM481"/>
      <c r="HN481"/>
      <c r="HO481"/>
      <c r="HP481"/>
      <c r="HQ481"/>
      <c r="HR481"/>
      <c r="HS481"/>
      <c r="HT481"/>
      <c r="HU481"/>
      <c r="HV481"/>
      <c r="HW481"/>
      <c r="HX481"/>
      <c r="HY481"/>
      <c r="HZ481"/>
      <c r="IA481"/>
      <c r="IB481"/>
      <c r="IC481"/>
      <c r="ID481"/>
      <c r="IE481"/>
      <c r="IF481"/>
      <c r="IG481"/>
      <c r="IH481"/>
      <c r="II481"/>
      <c r="IJ481"/>
      <c r="IK481"/>
      <c r="IL481"/>
      <c r="IM481"/>
      <c r="IN481"/>
      <c r="IO481"/>
      <c r="IP481"/>
      <c r="IQ481"/>
      <c r="IR481"/>
      <c r="IS481"/>
      <c r="IT481"/>
      <c r="IU481"/>
      <c r="IV481"/>
      <c r="IW481"/>
      <c r="IX481"/>
      <c r="IY481"/>
      <c r="IZ481"/>
      <c r="JA481"/>
      <c r="JB481"/>
      <c r="JC481"/>
      <c r="JD481"/>
      <c r="JE481"/>
      <c r="JF481"/>
      <c r="JG481"/>
      <c r="JH481"/>
      <c r="JI481"/>
      <c r="JJ481"/>
      <c r="JK481"/>
      <c r="JL481"/>
      <c r="JM481"/>
      <c r="JN481"/>
    </row>
    <row r="482" spans="1:274" s="27" customFormat="1" ht="12" hidden="1" customHeight="1" outlineLevel="1" x14ac:dyDescent="0.2">
      <c r="A482" s="32" t="s">
        <v>657</v>
      </c>
      <c r="C482" s="242"/>
      <c r="D482" s="242"/>
      <c r="E482" s="242"/>
      <c r="F482" s="242"/>
      <c r="G482" s="242"/>
      <c r="H482" s="242"/>
      <c r="I482" s="242"/>
      <c r="J482" s="242"/>
      <c r="K482" s="242"/>
      <c r="L482" s="242"/>
      <c r="M482" s="242"/>
      <c r="O482" s="272"/>
      <c r="P482" s="272"/>
      <c r="Q482" s="272"/>
      <c r="R482" s="272"/>
      <c r="S482" s="242"/>
      <c r="U482" s="272"/>
      <c r="V482" s="272"/>
      <c r="W482" s="272"/>
      <c r="X482" s="272"/>
      <c r="Y482" s="242"/>
      <c r="AA482" s="272"/>
      <c r="AB482" s="272"/>
      <c r="AC482" s="272"/>
      <c r="AD482" s="272"/>
      <c r="AE482" s="242"/>
      <c r="AG482" s="272"/>
      <c r="AH482" s="272"/>
      <c r="AI482" s="272"/>
      <c r="AJ482" s="272"/>
      <c r="AK482" s="242"/>
      <c r="AM482" s="272"/>
      <c r="AN482" s="272"/>
      <c r="AO482" s="272"/>
      <c r="AP482" s="272"/>
      <c r="AQ482" s="242"/>
      <c r="AS482" s="272"/>
      <c r="AT482" s="272"/>
      <c r="AU482" s="272"/>
      <c r="AV482" s="272"/>
      <c r="AW482" s="242"/>
      <c r="AY482" s="272"/>
      <c r="AZ482" s="272"/>
      <c r="BA482" s="272"/>
      <c r="BB482" s="272"/>
      <c r="BC482" s="242"/>
      <c r="BE482" s="272"/>
      <c r="BF482" s="272"/>
      <c r="BG482" s="272"/>
      <c r="BH482" s="927">
        <f>(AVERAGE(BH478:BH479)/BG480-1)</f>
        <v>0.45817829392511533</v>
      </c>
      <c r="BI482" s="242"/>
      <c r="BK482" s="272"/>
      <c r="BL482" s="272"/>
      <c r="BM482" s="272"/>
      <c r="BN482" s="927">
        <f>(AVERAGE(BN478:BN479)/BM480-1)</f>
        <v>0.44699218543046371</v>
      </c>
      <c r="BO482" s="242"/>
      <c r="BQ482" s="272"/>
      <c r="BR482" s="272"/>
      <c r="BS482" s="272"/>
      <c r="BT482" s="927">
        <f>(AVERAGE(BT478:BT479)/BS480-1)</f>
        <v>0.54155844155844157</v>
      </c>
      <c r="BU482" s="242"/>
      <c r="BW482" s="927">
        <f>(AVERAGE(BW478:BW479)/BT480-1)</f>
        <v>-0.56050228310502281</v>
      </c>
      <c r="BX482" s="927">
        <f>(AVERAGE(BX478:BX479)/BW480-1)</f>
        <v>0.56420959147424532</v>
      </c>
      <c r="BY482" s="927">
        <f>(AVERAGE(BY478:BY479)/BX480-1)</f>
        <v>-4.9196704428424276E-2</v>
      </c>
      <c r="BZ482" s="927">
        <f>(AVERAGE(BZ478:BZ479)/BY480-1)</f>
        <v>0.55404435058078128</v>
      </c>
      <c r="CA482" s="242"/>
      <c r="CC482" s="927">
        <f>(AVERAGE(CC478:CC479)/BZ480-1)</f>
        <v>-0.58011187072715975</v>
      </c>
      <c r="CD482" s="927">
        <f>(AVERAGE(CD478:CD479)/CC480-1)</f>
        <v>0.69809220985691556</v>
      </c>
      <c r="CE482" s="927">
        <f>(AVERAGE(CE478:CE479)/CD480-1)</f>
        <v>5.1724952741020624E-2</v>
      </c>
      <c r="CF482" s="927">
        <f>(AVERAGE(CF478:CF479)/CE480-1)</f>
        <v>0.65830901130974095</v>
      </c>
      <c r="CG482" s="347"/>
      <c r="CI482" s="927">
        <f>(AVERAGE(CI478:CI479)/CF480-1)</f>
        <v>-0.63968175388967474</v>
      </c>
      <c r="CJ482" s="927">
        <f>(AVERAGE(CJ478:CJ479)/CI480-1)</f>
        <v>0.54620646766169134</v>
      </c>
      <c r="CK482" s="927">
        <f>(AVERAGE(CK478:CK479)/CJ480-1)</f>
        <v>8.0957746478873327E-2</v>
      </c>
      <c r="CL482" s="927">
        <f>(AVERAGE(CL478:CL479)/CK480-1)</f>
        <v>0.67848920863309337</v>
      </c>
      <c r="CM482" s="474"/>
      <c r="CO482" s="927">
        <f>(AVERAGE(CO478:CO479)/CL480-1)</f>
        <v>-0.59492140266021765</v>
      </c>
      <c r="CP482" s="927">
        <f>(AVERAGE(CP478:CP479)/CO480-1)</f>
        <v>0.33247470101195953</v>
      </c>
      <c r="CQ482" s="927">
        <f>(AVERAGE(CQ478:CQ479)/CP480-1)</f>
        <v>0</v>
      </c>
      <c r="CR482" s="927">
        <f>(AVERAGE(CR478:CR479)/CQ480-1)</f>
        <v>0.76556311881188122</v>
      </c>
      <c r="CS482" s="557"/>
      <c r="CT482" s="345"/>
      <c r="CU482" s="927">
        <f>(AVERAGE(CU478:CU479)/CR480-1)</f>
        <v>-0.60240139949109417</v>
      </c>
      <c r="CV482" s="927">
        <f>(AVERAGE(CV478:CV479)/CU480-1)</f>
        <v>0.44514979757085027</v>
      </c>
      <c r="CW482" s="927">
        <f>(AVERAGE(CW478:CW479)/CV480-1)</f>
        <v>-5.5842558425584277E-2</v>
      </c>
      <c r="CX482" s="927">
        <f>(AVERAGE(CX478:CX479)/CW480-1)</f>
        <v>0.61762532981530316</v>
      </c>
      <c r="CY482" s="347"/>
      <c r="CZ482" s="345"/>
      <c r="DA482" s="927">
        <f>(AVERAGE(DA478:DA479)/CX480-1)</f>
        <v>-0.5904336734693878</v>
      </c>
      <c r="DB482" s="927">
        <f>(AVERAGE(DB478:DB479)/DA480-1)</f>
        <v>0.50262645914396886</v>
      </c>
      <c r="DC482" s="927">
        <f>(AVERAGE(DC478:DC479)/DB480-1)</f>
        <v>-4.619479733817311E-2</v>
      </c>
      <c r="DD482" s="927">
        <f>(AVERAGE(DD478:DD479)/DC480-1)</f>
        <v>0.724581005586592</v>
      </c>
      <c r="DE482" s="347"/>
      <c r="DF482" s="345"/>
      <c r="DG482" s="927">
        <f>(AVERAGE(DG478:DG479)/DD480-1)</f>
        <v>-0.64913556618819768</v>
      </c>
      <c r="DH482" s="927">
        <f>(AVERAGE(DH478:DH479)/DG480-1)</f>
        <v>0.42677293934681182</v>
      </c>
      <c r="DI482" s="927">
        <f>(AVERAGE(DI478:DI479)/DH480-1)</f>
        <v>-1.1425712856428127E-2</v>
      </c>
      <c r="DJ482" s="927">
        <f>(AVERAGE(DJ478:DJ479)/DI480-1)</f>
        <v>0.61422764227642257</v>
      </c>
      <c r="DK482" s="347"/>
      <c r="DL482" s="345"/>
      <c r="DM482" s="927">
        <f>(AVERAGE(DM478:DM479)/DJ480-1)</f>
        <v>-0.60414882226980726</v>
      </c>
      <c r="DN482" s="927">
        <f>(AVERAGE(DN478:DN479)/DM480-1)</f>
        <v>0.48123497997329756</v>
      </c>
      <c r="DO482" s="927">
        <f>(AVERAGE(DO478:DO479)/DN480-1)</f>
        <v>0.13510742187499991</v>
      </c>
      <c r="DP482" s="927">
        <f>(AVERAGE(DP478:DP479)/DO480-1)</f>
        <v>0.62092670598146582</v>
      </c>
      <c r="DQ482" s="347"/>
      <c r="DR482" s="345"/>
      <c r="DS482" s="927">
        <f>(AVERAGE(DS478:DS479)/DP480-1)</f>
        <v>-0.60746194160219613</v>
      </c>
      <c r="DT482" s="927">
        <f>(AVERAGE(DT478:DT479)/DS480-1)</f>
        <v>0.41418706842435671</v>
      </c>
      <c r="DU482" s="927">
        <f>(AVERAGE(DU478:DU479)/DT480-1)</f>
        <v>6.7855060391503574E-2</v>
      </c>
      <c r="DV482" s="927">
        <f>(AVERAGE(DV478:DV479)/DU480-1)</f>
        <v>0.81668947818648419</v>
      </c>
      <c r="DW482" s="347"/>
      <c r="DX482" s="345"/>
      <c r="DY482" s="927">
        <f>(AVERAGE(DY478:DY479)/DV480-1)</f>
        <v>-0.59325979176995536</v>
      </c>
      <c r="DZ482" s="927">
        <f>(AVERAGE(DZ478:DZ479)/DY480-1)</f>
        <v>0.43538043478260846</v>
      </c>
      <c r="EA482" s="927">
        <f>(AVERAGE(EA478:EA479)/DZ480-1)</f>
        <v>3.998321443558539E-2</v>
      </c>
      <c r="EB482" s="927">
        <f>(AVERAGE(EB478:EB479)/EA480-1)</f>
        <v>0.75028925619834741</v>
      </c>
      <c r="EC482" s="347"/>
      <c r="ED482" s="345"/>
      <c r="EE482" s="272"/>
      <c r="EF482" s="272"/>
      <c r="EG482" s="272"/>
      <c r="EH482" s="272"/>
      <c r="EI482" s="347"/>
      <c r="EJ482" s="345"/>
      <c r="EK482" s="272"/>
      <c r="EL482" s="272"/>
      <c r="EM482" s="272"/>
      <c r="EN482" s="272"/>
      <c r="EO482" s="347"/>
      <c r="EP482" s="345"/>
      <c r="EQ482" s="272"/>
      <c r="ER482" s="272"/>
      <c r="ES482" s="272"/>
      <c r="ET482" s="272"/>
      <c r="EU482" s="347"/>
      <c r="EV482" s="345"/>
      <c r="EW482" s="272"/>
      <c r="EX482" s="272"/>
      <c r="EY482" s="272"/>
      <c r="EZ482" s="272"/>
      <c r="FA482" s="347"/>
      <c r="FB482" s="345"/>
      <c r="FC482" s="272"/>
      <c r="FD482" s="272"/>
      <c r="FE482" s="272"/>
      <c r="FF482" s="272"/>
      <c r="FG482" s="347"/>
      <c r="FH482" s="345"/>
      <c r="FI482" s="272"/>
      <c r="FJ482" s="272"/>
      <c r="FK482" s="272"/>
      <c r="FL482" s="272"/>
      <c r="FM482" s="347"/>
      <c r="FQ482"/>
      <c r="FR482"/>
      <c r="FS482"/>
      <c r="FT482"/>
      <c r="FU482"/>
      <c r="FV482"/>
      <c r="GB482" s="24"/>
      <c r="GC482" s="24"/>
      <c r="GD482" s="24"/>
      <c r="GE482" s="24"/>
      <c r="GF482" s="24"/>
      <c r="GG482" s="24"/>
      <c r="GH482" s="24"/>
      <c r="GI482" s="24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  <c r="HB482"/>
      <c r="HC482"/>
      <c r="HD482"/>
      <c r="HE482"/>
      <c r="HF482"/>
      <c r="HG482"/>
      <c r="HH482"/>
      <c r="HI482"/>
      <c r="HJ482"/>
      <c r="HK482"/>
      <c r="HL482"/>
      <c r="HM482"/>
      <c r="HN482"/>
      <c r="HO482"/>
      <c r="HP482"/>
      <c r="HQ482"/>
      <c r="HR482"/>
      <c r="HS482"/>
      <c r="HT482"/>
      <c r="HU482"/>
      <c r="HV482"/>
      <c r="HW482"/>
      <c r="HX482"/>
      <c r="HY482"/>
      <c r="HZ482"/>
      <c r="IA482"/>
      <c r="IB482"/>
      <c r="IC482"/>
      <c r="ID482"/>
      <c r="IE482"/>
      <c r="IF482"/>
      <c r="IG482"/>
      <c r="IH482"/>
      <c r="II482"/>
      <c r="IJ482"/>
      <c r="IK482"/>
      <c r="IL482"/>
      <c r="IM482"/>
      <c r="IN482"/>
      <c r="IO482"/>
      <c r="IP482"/>
      <c r="IQ482"/>
      <c r="IR482"/>
      <c r="IS482"/>
      <c r="IT482"/>
      <c r="IU482"/>
      <c r="IV482"/>
      <c r="IW482"/>
      <c r="IX482"/>
      <c r="IY482"/>
      <c r="IZ482"/>
      <c r="JA482"/>
      <c r="JB482"/>
      <c r="JC482"/>
      <c r="JD482"/>
      <c r="JE482"/>
      <c r="JF482"/>
      <c r="JG482"/>
      <c r="JH482"/>
      <c r="JI482"/>
      <c r="JJ482"/>
      <c r="JK482"/>
      <c r="JL482"/>
      <c r="JM482"/>
      <c r="JN482"/>
    </row>
    <row r="483" spans="1:274" s="27" customFormat="1" ht="12" hidden="1" customHeight="1" outlineLevel="1" x14ac:dyDescent="0.2">
      <c r="A483" s="32"/>
      <c r="C483" s="242"/>
      <c r="D483" s="242"/>
      <c r="E483" s="242"/>
      <c r="F483" s="242"/>
      <c r="G483" s="242"/>
      <c r="H483" s="242"/>
      <c r="I483" s="242"/>
      <c r="J483" s="242"/>
      <c r="K483" s="242"/>
      <c r="L483" s="242"/>
      <c r="M483" s="242"/>
      <c r="O483" s="272"/>
      <c r="P483" s="272"/>
      <c r="Q483" s="272"/>
      <c r="R483" s="272"/>
      <c r="S483" s="242"/>
      <c r="U483" s="272"/>
      <c r="V483" s="272"/>
      <c r="W483" s="272"/>
      <c r="X483" s="272"/>
      <c r="Y483" s="242"/>
      <c r="AA483" s="272"/>
      <c r="AB483" s="272"/>
      <c r="AC483" s="272"/>
      <c r="AD483" s="272"/>
      <c r="AE483" s="242"/>
      <c r="AG483" s="272"/>
      <c r="AH483" s="272"/>
      <c r="AI483" s="272"/>
      <c r="AJ483" s="272"/>
      <c r="AK483" s="242"/>
      <c r="AM483" s="272"/>
      <c r="AN483" s="272"/>
      <c r="AO483" s="272"/>
      <c r="AP483" s="272"/>
      <c r="AQ483" s="242"/>
      <c r="AS483" s="272"/>
      <c r="AT483" s="272"/>
      <c r="AU483" s="272"/>
      <c r="AV483" s="272"/>
      <c r="AW483" s="242"/>
      <c r="AY483" s="272"/>
      <c r="AZ483" s="272"/>
      <c r="BA483" s="272"/>
      <c r="BB483" s="272"/>
      <c r="BC483" s="242"/>
      <c r="BE483" s="272"/>
      <c r="BF483" s="272"/>
      <c r="BG483" s="272"/>
      <c r="BH483" s="272"/>
      <c r="BI483" s="242"/>
      <c r="BK483" s="272"/>
      <c r="BL483" s="272"/>
      <c r="BM483" s="272"/>
      <c r="BN483" s="272"/>
      <c r="BO483" s="242"/>
      <c r="BQ483" s="272"/>
      <c r="BR483" s="272"/>
      <c r="BS483" s="272"/>
      <c r="BT483" s="272"/>
      <c r="BU483" s="242"/>
      <c r="BW483" s="927"/>
      <c r="BX483" s="927"/>
      <c r="BY483" s="927"/>
      <c r="BZ483" s="927"/>
      <c r="CA483" s="242"/>
      <c r="CC483" s="927"/>
      <c r="CD483" s="927"/>
      <c r="CE483" s="927"/>
      <c r="CF483" s="927"/>
      <c r="CG483" s="347"/>
      <c r="CI483" s="927"/>
      <c r="CJ483" s="927"/>
      <c r="CK483" s="927"/>
      <c r="CL483" s="927"/>
      <c r="CM483" s="474"/>
      <c r="CO483" s="927"/>
      <c r="CP483" s="927"/>
      <c r="CQ483" s="927"/>
      <c r="CR483" s="927"/>
      <c r="CS483" s="557"/>
      <c r="CT483" s="345"/>
      <c r="CU483" s="927"/>
      <c r="CV483" s="927"/>
      <c r="CW483" s="927"/>
      <c r="CX483" s="927"/>
      <c r="CY483" s="347"/>
      <c r="CZ483" s="345"/>
      <c r="DA483" s="927"/>
      <c r="DB483" s="927"/>
      <c r="DC483" s="927"/>
      <c r="DD483" s="927"/>
      <c r="DE483" s="347"/>
      <c r="DF483" s="345"/>
      <c r="DG483" s="927"/>
      <c r="DH483" s="927"/>
      <c r="DI483" s="927"/>
      <c r="DJ483" s="927"/>
      <c r="DK483" s="347"/>
      <c r="DL483" s="345"/>
      <c r="DM483" s="927"/>
      <c r="DN483" s="927"/>
      <c r="DO483" s="927"/>
      <c r="DP483" s="927"/>
      <c r="DQ483" s="347"/>
      <c r="DR483" s="345"/>
      <c r="DS483" s="927"/>
      <c r="DT483" s="927"/>
      <c r="DU483" s="927"/>
      <c r="DV483" s="927"/>
      <c r="DW483" s="347"/>
      <c r="DX483" s="345"/>
      <c r="DY483" s="927"/>
      <c r="DZ483" s="927"/>
      <c r="EA483" s="272"/>
      <c r="EB483" s="927"/>
      <c r="EC483" s="347"/>
      <c r="ED483" s="345"/>
      <c r="EE483" s="272"/>
      <c r="EF483" s="272"/>
      <c r="EG483" s="272"/>
      <c r="EH483" s="272"/>
      <c r="EI483" s="347"/>
      <c r="EJ483" s="345"/>
      <c r="EK483" s="272"/>
      <c r="EL483" s="272"/>
      <c r="EM483" s="272"/>
      <c r="EN483" s="272"/>
      <c r="EO483" s="347"/>
      <c r="EP483" s="345"/>
      <c r="EQ483" s="272"/>
      <c r="ER483" s="272"/>
      <c r="ES483" s="272"/>
      <c r="ET483" s="272"/>
      <c r="EU483" s="347"/>
      <c r="EV483" s="345"/>
      <c r="EW483" s="272"/>
      <c r="EX483" s="272"/>
      <c r="EY483" s="272"/>
      <c r="EZ483" s="272"/>
      <c r="FA483" s="347"/>
      <c r="FB483" s="345"/>
      <c r="FC483" s="272"/>
      <c r="FD483" s="272"/>
      <c r="FE483" s="272"/>
      <c r="FF483" s="272"/>
      <c r="FG483" s="347"/>
      <c r="FH483" s="345"/>
      <c r="FI483" s="272"/>
      <c r="FJ483" s="272"/>
      <c r="FK483" s="272"/>
      <c r="FL483" s="272"/>
      <c r="FM483" s="347"/>
      <c r="FQ483"/>
      <c r="FR483"/>
      <c r="FS483"/>
      <c r="FT483"/>
      <c r="FU483"/>
      <c r="FV483"/>
      <c r="GB483" s="24"/>
      <c r="GC483" s="24"/>
      <c r="GD483" s="24"/>
      <c r="GE483" s="24"/>
      <c r="GF483" s="24"/>
      <c r="GG483" s="24"/>
      <c r="GH483" s="24"/>
      <c r="GI483" s="24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  <c r="HB483"/>
      <c r="HC483"/>
      <c r="HD483"/>
      <c r="HE483"/>
      <c r="HF483"/>
      <c r="HG483"/>
      <c r="HH483"/>
      <c r="HI483"/>
      <c r="HJ483"/>
      <c r="HK483"/>
      <c r="HL483"/>
      <c r="HM483"/>
      <c r="HN483"/>
      <c r="HO483"/>
      <c r="HP483"/>
      <c r="HQ483"/>
      <c r="HR483"/>
      <c r="HS483"/>
      <c r="HT483"/>
      <c r="HU483"/>
      <c r="HV483"/>
      <c r="HW483"/>
      <c r="HX483"/>
      <c r="HY483"/>
      <c r="HZ483"/>
      <c r="IA483"/>
      <c r="IB483"/>
      <c r="IC483"/>
      <c r="ID483"/>
      <c r="IE483"/>
      <c r="IF483"/>
      <c r="IG483"/>
      <c r="IH483"/>
      <c r="II483"/>
      <c r="IJ483"/>
      <c r="IK483"/>
      <c r="IL483"/>
      <c r="IM483"/>
      <c r="IN483"/>
      <c r="IO483"/>
      <c r="IP483"/>
      <c r="IQ483"/>
      <c r="IR483"/>
      <c r="IS483"/>
      <c r="IT483"/>
      <c r="IU483"/>
      <c r="IV483"/>
      <c r="IW483"/>
      <c r="IX483"/>
      <c r="IY483"/>
      <c r="IZ483"/>
      <c r="JA483"/>
      <c r="JB483"/>
      <c r="JC483"/>
      <c r="JD483"/>
      <c r="JE483"/>
      <c r="JF483"/>
      <c r="JG483"/>
      <c r="JH483"/>
      <c r="JI483"/>
      <c r="JJ483"/>
      <c r="JK483"/>
      <c r="JL483"/>
      <c r="JM483"/>
      <c r="JN483"/>
    </row>
    <row r="484" spans="1:274" s="27" customFormat="1" collapsed="1" x14ac:dyDescent="0.2">
      <c r="A484" s="32" t="s">
        <v>1033</v>
      </c>
      <c r="C484" s="242"/>
      <c r="D484" s="242"/>
      <c r="E484" s="242"/>
      <c r="F484" s="242"/>
      <c r="G484" s="242"/>
      <c r="H484" s="242"/>
      <c r="I484" s="242"/>
      <c r="J484" s="242"/>
      <c r="K484" s="242"/>
      <c r="L484" s="242"/>
      <c r="M484" s="242"/>
      <c r="O484" s="272"/>
      <c r="P484" s="272"/>
      <c r="Q484" s="272"/>
      <c r="R484" s="272"/>
      <c r="S484" s="242"/>
      <c r="U484" s="272"/>
      <c r="V484" s="272"/>
      <c r="W484" s="272"/>
      <c r="X484" s="272"/>
      <c r="Y484" s="242"/>
      <c r="AA484" s="272"/>
      <c r="AB484" s="272"/>
      <c r="AC484" s="272"/>
      <c r="AD484" s="272"/>
      <c r="AE484" s="242"/>
      <c r="AG484" s="272"/>
      <c r="AH484" s="272"/>
      <c r="AI484" s="272"/>
      <c r="AJ484" s="272"/>
      <c r="AK484" s="242"/>
      <c r="AM484" s="272"/>
      <c r="AN484" s="272"/>
      <c r="AO484" s="272"/>
      <c r="AP484" s="272"/>
      <c r="AQ484" s="242"/>
      <c r="AS484" s="272"/>
      <c r="AT484" s="272"/>
      <c r="AU484" s="272"/>
      <c r="AV484" s="272"/>
      <c r="AW484" s="242"/>
      <c r="AY484" s="272"/>
      <c r="AZ484" s="272"/>
      <c r="BA484" s="272"/>
      <c r="BB484" s="272"/>
      <c r="BC484" s="242"/>
      <c r="BE484" s="272"/>
      <c r="BF484" s="272"/>
      <c r="BG484" s="272"/>
      <c r="BH484" s="272"/>
      <c r="BI484" s="242"/>
      <c r="BK484" s="272"/>
      <c r="BL484" s="272"/>
      <c r="BM484" s="272"/>
      <c r="BN484" s="272"/>
      <c r="BO484" s="242"/>
      <c r="BQ484" s="272"/>
      <c r="BR484" s="272"/>
      <c r="BS484" s="272"/>
      <c r="BT484" s="272"/>
      <c r="BU484" s="242"/>
      <c r="BW484" s="272"/>
      <c r="BX484" s="1074">
        <f>BX480/BW480-1</f>
        <v>0.72468916518650084</v>
      </c>
      <c r="BY484" s="1074"/>
      <c r="BZ484" s="927"/>
      <c r="CA484" s="242"/>
      <c r="CC484" s="927"/>
      <c r="CD484" s="1074">
        <f>CD480/CC480-1</f>
        <v>0.68203497615262321</v>
      </c>
      <c r="CE484" s="1074"/>
      <c r="CF484" s="927">
        <f>AVERAGE(CF478:CF479)/CE480-1</f>
        <v>0.65830901130974095</v>
      </c>
      <c r="CG484" s="347"/>
      <c r="CI484" s="927"/>
      <c r="CJ484" s="1074">
        <f>CJ480/CI480-1</f>
        <v>0.50124378109452739</v>
      </c>
      <c r="CK484" s="1074"/>
      <c r="CL484" s="927">
        <f>AVERAGE(CL478:CL479)/CK480-1</f>
        <v>0.67848920863309337</v>
      </c>
      <c r="CM484" s="474"/>
      <c r="CO484" s="927"/>
      <c r="CP484" s="1074">
        <f>CP480/CO480-1</f>
        <v>0.53449862005519777</v>
      </c>
      <c r="CQ484" s="1074"/>
      <c r="CR484" s="927">
        <f>AVERAGE(CR478:CR479)/CQ480-1</f>
        <v>0.76556311881188122</v>
      </c>
      <c r="CS484" s="557"/>
      <c r="CT484" s="345"/>
      <c r="CU484" s="272"/>
      <c r="CV484" s="1074">
        <f>CV480/CU480-1</f>
        <v>0.31659919028340089</v>
      </c>
      <c r="CW484" s="1074"/>
      <c r="CX484" s="927">
        <f>AVERAGE(CX478:CX479)/CW480-1</f>
        <v>0.61762532981530316</v>
      </c>
      <c r="CY484" s="347"/>
      <c r="CZ484" s="345"/>
      <c r="DA484" s="1119"/>
      <c r="DB484" s="1074"/>
      <c r="DC484" s="352"/>
      <c r="DD484" s="927"/>
      <c r="DE484" s="1170"/>
      <c r="DF484" s="345"/>
      <c r="DG484" s="1119"/>
      <c r="DH484" s="1074"/>
      <c r="DI484" s="1074"/>
      <c r="DJ484" s="272"/>
      <c r="DK484" s="347"/>
      <c r="DL484" s="345"/>
      <c r="DM484" s="1119"/>
      <c r="DN484" s="1074"/>
      <c r="DO484" s="1074"/>
      <c r="DP484" s="272"/>
      <c r="DQ484" s="347"/>
      <c r="DR484" s="345"/>
      <c r="DS484" s="1119"/>
      <c r="DT484" s="1074"/>
      <c r="DU484" s="1074"/>
      <c r="DV484" s="272"/>
      <c r="DW484" s="347"/>
      <c r="DX484" s="345"/>
      <c r="DY484" s="1119"/>
      <c r="DZ484" s="1074"/>
      <c r="EA484" s="272"/>
      <c r="EB484" s="272"/>
      <c r="EC484" s="347"/>
      <c r="ED484" s="345"/>
      <c r="EE484" s="272"/>
      <c r="EF484" s="272"/>
      <c r="EG484" s="272"/>
      <c r="EH484" s="272"/>
      <c r="EI484" s="347"/>
      <c r="EJ484" s="345"/>
      <c r="EK484" s="272"/>
      <c r="EL484" s="272"/>
      <c r="EM484" s="272"/>
      <c r="EN484" s="272"/>
      <c r="EO484" s="347"/>
      <c r="EP484" s="345"/>
      <c r="EQ484" s="272"/>
      <c r="ER484" s="272"/>
      <c r="ES484" s="272"/>
      <c r="ET484" s="272"/>
      <c r="EU484" s="347"/>
      <c r="EV484" s="345"/>
      <c r="EW484" s="272"/>
      <c r="EX484" s="272"/>
      <c r="EY484" s="272"/>
      <c r="EZ484" s="272"/>
      <c r="FA484" s="347"/>
      <c r="FB484" s="345"/>
      <c r="FC484" s="272"/>
      <c r="FD484" s="272"/>
      <c r="FE484" s="272"/>
      <c r="FF484" s="272"/>
      <c r="FG484" s="347"/>
      <c r="FH484" s="345"/>
      <c r="FI484" s="272"/>
      <c r="FJ484" s="272"/>
      <c r="FK484" s="272"/>
      <c r="FL484" s="272"/>
      <c r="FM484" s="347"/>
      <c r="FQ484"/>
      <c r="FR484"/>
      <c r="FS484"/>
      <c r="FT484"/>
      <c r="FU484"/>
      <c r="FV484"/>
      <c r="GB484" s="24"/>
      <c r="GC484" s="24"/>
      <c r="GD484" s="24"/>
      <c r="GE484" s="24"/>
      <c r="GF484" s="24"/>
      <c r="GG484" s="24"/>
      <c r="GH484" s="24"/>
      <c r="GI484" s="2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  <c r="HB484"/>
      <c r="HC484"/>
      <c r="HD484"/>
      <c r="HE484"/>
      <c r="HF484"/>
      <c r="HG484"/>
      <c r="HH484"/>
      <c r="HI484"/>
      <c r="HJ484"/>
      <c r="HK484"/>
      <c r="HL484"/>
      <c r="HM484"/>
      <c r="HN484"/>
      <c r="HO484"/>
      <c r="HP484"/>
      <c r="HQ484"/>
      <c r="HR484"/>
      <c r="HS484"/>
      <c r="HT484"/>
      <c r="HU484"/>
      <c r="HV484"/>
      <c r="HW484"/>
      <c r="HX484"/>
      <c r="HY484"/>
      <c r="HZ484"/>
      <c r="IA484"/>
      <c r="IB484"/>
      <c r="IC484"/>
      <c r="ID484"/>
      <c r="IE484"/>
      <c r="IF484"/>
      <c r="IG484"/>
      <c r="IH484"/>
      <c r="II484"/>
      <c r="IJ484"/>
      <c r="IK484"/>
      <c r="IL484"/>
      <c r="IM484"/>
      <c r="IN484"/>
      <c r="IO484"/>
      <c r="IP484"/>
      <c r="IQ484"/>
      <c r="IR484"/>
      <c r="IS484"/>
      <c r="IT484"/>
      <c r="IU484"/>
      <c r="IV484"/>
      <c r="IW484"/>
      <c r="IX484"/>
      <c r="IY484"/>
      <c r="IZ484"/>
      <c r="JA484"/>
      <c r="JB484"/>
      <c r="JC484"/>
      <c r="JD484"/>
      <c r="JE484"/>
      <c r="JF484"/>
      <c r="JG484"/>
      <c r="JH484"/>
      <c r="JI484"/>
      <c r="JJ484"/>
      <c r="JK484"/>
      <c r="JL484"/>
      <c r="JM484"/>
      <c r="JN484"/>
    </row>
    <row r="485" spans="1:274" s="27" customFormat="1" ht="12" customHeight="1" x14ac:dyDescent="0.2">
      <c r="A485" s="27" t="s">
        <v>457</v>
      </c>
      <c r="C485" s="242"/>
      <c r="D485" s="242"/>
      <c r="E485" s="242"/>
      <c r="F485" s="242"/>
      <c r="G485" s="242"/>
      <c r="H485" s="242"/>
      <c r="I485" s="242"/>
      <c r="J485" s="242"/>
      <c r="K485" s="242"/>
      <c r="L485" s="242"/>
      <c r="M485" s="242"/>
      <c r="O485" s="272"/>
      <c r="P485" s="272"/>
      <c r="Q485" s="272"/>
      <c r="R485" s="272"/>
      <c r="S485" s="242"/>
      <c r="U485" s="272"/>
      <c r="V485" s="272"/>
      <c r="W485" s="272"/>
      <c r="X485" s="272"/>
      <c r="Y485" s="242"/>
      <c r="AA485" s="272"/>
      <c r="AB485" s="272"/>
      <c r="AC485" s="272"/>
      <c r="AD485" s="272"/>
      <c r="AE485" s="242"/>
      <c r="AG485" s="272"/>
      <c r="AH485" s="272"/>
      <c r="AI485" s="272"/>
      <c r="AJ485" s="272"/>
      <c r="AK485" s="242"/>
      <c r="AM485" s="272"/>
      <c r="AN485" s="272"/>
      <c r="AO485" s="272"/>
      <c r="AP485" s="272"/>
      <c r="AQ485" s="242"/>
      <c r="AS485" s="272"/>
      <c r="AT485" s="272"/>
      <c r="AU485" s="272"/>
      <c r="AV485" s="272"/>
      <c r="AW485" s="242"/>
      <c r="AY485" s="272"/>
      <c r="AZ485" s="272"/>
      <c r="BA485" s="272"/>
      <c r="BB485" s="272"/>
      <c r="BC485" s="242"/>
      <c r="BE485" s="272"/>
      <c r="BF485" s="272"/>
      <c r="BG485" s="272"/>
      <c r="BH485" s="272"/>
      <c r="BI485" s="242"/>
      <c r="BK485" s="272"/>
      <c r="BL485" s="272"/>
      <c r="BM485" s="272"/>
      <c r="BN485" s="272"/>
      <c r="BO485" s="242"/>
      <c r="BQ485" s="352"/>
      <c r="BR485" s="352"/>
      <c r="BS485" s="352"/>
      <c r="BT485" s="352"/>
      <c r="BU485" s="349"/>
      <c r="BV485" s="349"/>
      <c r="BW485" s="352">
        <v>0.09</v>
      </c>
      <c r="BX485" s="352">
        <v>0.13</v>
      </c>
      <c r="BY485" s="352">
        <v>0.14000000000000001</v>
      </c>
      <c r="BZ485" s="352">
        <v>0.22</v>
      </c>
      <c r="CA485" s="242"/>
      <c r="CC485" s="352">
        <v>0.14000000000000001</v>
      </c>
      <c r="CD485" s="352">
        <v>0.19</v>
      </c>
      <c r="CE485" s="352">
        <v>0.18</v>
      </c>
      <c r="CF485" s="352">
        <v>0.26</v>
      </c>
      <c r="CG485" s="347"/>
      <c r="CI485" s="352">
        <v>0.16</v>
      </c>
      <c r="CJ485" s="352">
        <v>0.22</v>
      </c>
      <c r="CK485" s="352">
        <v>0.22</v>
      </c>
      <c r="CL485" s="352">
        <v>0.34</v>
      </c>
      <c r="CM485" s="474"/>
      <c r="CO485" s="352">
        <v>0.21</v>
      </c>
      <c r="CP485" s="27">
        <v>0.26</v>
      </c>
      <c r="CQ485" s="27">
        <v>0.28999999999999998</v>
      </c>
      <c r="CR485" s="27">
        <v>0.43</v>
      </c>
      <c r="CS485" s="557"/>
      <c r="CT485" s="345"/>
      <c r="CU485" s="27">
        <v>0.26</v>
      </c>
      <c r="CV485" s="27">
        <v>0.35</v>
      </c>
      <c r="CW485" s="352">
        <v>0.31</v>
      </c>
      <c r="CX485" s="352">
        <v>0.42</v>
      </c>
      <c r="CY485" s="347"/>
      <c r="CZ485" s="345"/>
      <c r="DA485" s="27">
        <v>0.28999999999999998</v>
      </c>
      <c r="DB485" s="352">
        <v>0.35</v>
      </c>
      <c r="DC485" s="352">
        <v>0.36</v>
      </c>
      <c r="DD485" s="352">
        <v>0.52</v>
      </c>
      <c r="DE485" s="347"/>
      <c r="DF485" s="345"/>
      <c r="DG485" s="352">
        <v>0.35</v>
      </c>
      <c r="DH485" s="352">
        <v>0.44</v>
      </c>
      <c r="DI485" s="352">
        <v>0.48</v>
      </c>
      <c r="DJ485" s="352">
        <v>0.69</v>
      </c>
      <c r="DK485" s="347"/>
      <c r="DL485" s="345"/>
      <c r="DM485" s="352">
        <v>0.45</v>
      </c>
      <c r="DN485" s="352">
        <v>0.56000000000000005</v>
      </c>
      <c r="DO485" s="352">
        <v>0.55000000000000004</v>
      </c>
      <c r="DP485" s="352">
        <v>0.78</v>
      </c>
      <c r="DQ485" s="347"/>
      <c r="DR485" s="345"/>
      <c r="DS485" s="352">
        <v>0.51</v>
      </c>
      <c r="DT485" s="352">
        <v>0.59</v>
      </c>
      <c r="DU485" s="352">
        <v>0.64</v>
      </c>
      <c r="DV485" s="352">
        <v>0.85</v>
      </c>
      <c r="DW485" s="347"/>
      <c r="DX485" s="345"/>
      <c r="DY485" s="352">
        <v>0.54</v>
      </c>
      <c r="DZ485" s="352">
        <v>0.64</v>
      </c>
      <c r="EA485" s="352">
        <v>0.68</v>
      </c>
      <c r="EB485" s="352">
        <v>0.92</v>
      </c>
      <c r="EC485" s="347"/>
      <c r="ED485" s="345"/>
      <c r="EE485" s="352">
        <v>0.62</v>
      </c>
      <c r="EF485" s="352">
        <v>0.66</v>
      </c>
      <c r="EG485" s="352">
        <v>0.69</v>
      </c>
      <c r="EH485" s="352">
        <v>0.9</v>
      </c>
      <c r="EI485" s="347"/>
      <c r="EJ485" s="345"/>
      <c r="EK485" s="352">
        <v>0.56000000000000005</v>
      </c>
      <c r="EL485" s="352">
        <f>0.63-0.05</f>
        <v>0.57999999999999996</v>
      </c>
      <c r="EM485" s="352">
        <f>0.63-0.03</f>
        <v>0.6</v>
      </c>
      <c r="EN485" s="352">
        <f>0.82-0.02</f>
        <v>0.79999999999999993</v>
      </c>
      <c r="EO485" s="347"/>
      <c r="EP485" s="345"/>
      <c r="EQ485" s="352">
        <v>0.56000000000000005</v>
      </c>
      <c r="ER485" s="352">
        <v>0.59</v>
      </c>
      <c r="ES485" s="352">
        <f>0.61-0.01</f>
        <v>0.6</v>
      </c>
      <c r="ET485" s="352">
        <f>0.78-0.02</f>
        <v>0.76</v>
      </c>
      <c r="EU485" s="347"/>
      <c r="EV485" s="345"/>
      <c r="EW485" s="352"/>
      <c r="EX485" s="352">
        <v>0.66</v>
      </c>
      <c r="EY485" s="352">
        <f>0.68+0.03</f>
        <v>0.71000000000000008</v>
      </c>
      <c r="EZ485" s="352">
        <f>0.89+0.03</f>
        <v>0.92</v>
      </c>
      <c r="FA485" s="347"/>
      <c r="FB485" s="345"/>
      <c r="FC485" s="272"/>
      <c r="FD485" s="272"/>
      <c r="FE485" s="272"/>
      <c r="FF485" s="272"/>
      <c r="FG485" s="347"/>
      <c r="FH485" s="345"/>
      <c r="FI485" s="272"/>
      <c r="FJ485" s="272"/>
      <c r="FK485" s="272"/>
      <c r="FL485" s="272"/>
      <c r="FM485" s="347"/>
      <c r="FQ485"/>
      <c r="FR485"/>
      <c r="FS485"/>
      <c r="FT485"/>
      <c r="FU485"/>
      <c r="FV485"/>
      <c r="GB485" s="24"/>
      <c r="GC485" s="24"/>
      <c r="GD485" s="24"/>
      <c r="GE485" s="24"/>
      <c r="GF485" s="24"/>
      <c r="GG485" s="24"/>
      <c r="GH485" s="24"/>
      <c r="GI485" s="24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  <c r="HB485"/>
      <c r="HC485"/>
      <c r="HD485"/>
      <c r="HE485"/>
      <c r="HF485"/>
      <c r="HG485"/>
      <c r="HH485"/>
      <c r="HI485"/>
      <c r="HJ485"/>
      <c r="HK485"/>
      <c r="HL485"/>
      <c r="HM485"/>
      <c r="HN485"/>
      <c r="HO485"/>
      <c r="HP485"/>
      <c r="HQ485"/>
      <c r="HR485"/>
      <c r="HS485"/>
      <c r="HT485"/>
      <c r="HU485"/>
      <c r="HV485"/>
      <c r="HW485"/>
      <c r="HX485"/>
      <c r="HY485"/>
      <c r="HZ485"/>
      <c r="IA485"/>
      <c r="IB485"/>
      <c r="IC485"/>
      <c r="ID485"/>
      <c r="IE485"/>
      <c r="IF485"/>
      <c r="IG485"/>
      <c r="IH485"/>
      <c r="II485"/>
      <c r="IJ485"/>
      <c r="IK485"/>
      <c r="IL485"/>
      <c r="IM485"/>
      <c r="IN485"/>
      <c r="IO485"/>
      <c r="IP485"/>
      <c r="IQ485"/>
      <c r="IR485"/>
      <c r="IS485"/>
      <c r="IT485"/>
      <c r="IU485"/>
      <c r="IV485"/>
      <c r="IW485"/>
      <c r="IX485"/>
      <c r="IY485"/>
      <c r="IZ485"/>
      <c r="JA485"/>
      <c r="JB485"/>
      <c r="JC485"/>
      <c r="JD485"/>
      <c r="JE485"/>
      <c r="JF485"/>
      <c r="JG485"/>
      <c r="JH485"/>
      <c r="JI485"/>
      <c r="JJ485"/>
      <c r="JK485"/>
      <c r="JL485"/>
      <c r="JM485"/>
      <c r="JN485"/>
    </row>
    <row r="486" spans="1:274" s="27" customFormat="1" ht="12" customHeight="1" x14ac:dyDescent="0.2">
      <c r="A486" s="27" t="s">
        <v>458</v>
      </c>
      <c r="C486" s="242"/>
      <c r="D486" s="242"/>
      <c r="E486" s="242"/>
      <c r="F486" s="242"/>
      <c r="G486" s="242"/>
      <c r="H486" s="242"/>
      <c r="I486" s="242"/>
      <c r="J486" s="242"/>
      <c r="K486" s="242"/>
      <c r="L486" s="242"/>
      <c r="M486" s="242"/>
      <c r="O486" s="272"/>
      <c r="P486" s="272"/>
      <c r="Q486" s="272"/>
      <c r="R486" s="272"/>
      <c r="S486" s="242"/>
      <c r="U486" s="272"/>
      <c r="V486" s="272"/>
      <c r="W486" s="272"/>
      <c r="X486" s="272"/>
      <c r="Y486" s="242"/>
      <c r="AA486" s="272"/>
      <c r="AB486" s="272"/>
      <c r="AC486" s="272"/>
      <c r="AD486" s="272"/>
      <c r="AE486" s="242"/>
      <c r="AG486" s="272"/>
      <c r="AH486" s="272"/>
      <c r="AI486" s="272"/>
      <c r="AJ486" s="272"/>
      <c r="AK486" s="242"/>
      <c r="AM486" s="272"/>
      <c r="AN486" s="272"/>
      <c r="AO486" s="272"/>
      <c r="AP486" s="272"/>
      <c r="AQ486" s="242"/>
      <c r="AS486" s="272"/>
      <c r="AT486" s="272"/>
      <c r="AU486" s="272"/>
      <c r="AV486" s="272"/>
      <c r="AW486" s="242"/>
      <c r="AY486" s="272"/>
      <c r="AZ486" s="272"/>
      <c r="BA486" s="272"/>
      <c r="BB486" s="272"/>
      <c r="BC486" s="242"/>
      <c r="BE486" s="272"/>
      <c r="BF486" s="272"/>
      <c r="BG486" s="272"/>
      <c r="BH486" s="272"/>
      <c r="BI486" s="242"/>
      <c r="BK486" s="272"/>
      <c r="BL486" s="272"/>
      <c r="BM486" s="272"/>
      <c r="BN486" s="272"/>
      <c r="BO486" s="242"/>
      <c r="BQ486" s="352"/>
      <c r="BR486" s="352"/>
      <c r="BS486" s="352"/>
      <c r="BT486" s="352"/>
      <c r="BU486" s="349"/>
      <c r="BV486" s="349"/>
      <c r="BW486" s="352">
        <v>0.09</v>
      </c>
      <c r="BX486" s="352">
        <v>0.13</v>
      </c>
      <c r="BY486" s="352">
        <v>0.15</v>
      </c>
      <c r="BZ486" s="352">
        <v>0.24</v>
      </c>
      <c r="CA486" s="242"/>
      <c r="CC486" s="352">
        <v>0.14000000000000001</v>
      </c>
      <c r="CD486" s="352">
        <v>0.19</v>
      </c>
      <c r="CE486" s="352">
        <v>0.18</v>
      </c>
      <c r="CF486" s="352">
        <v>0.28000000000000003</v>
      </c>
      <c r="CG486" s="347"/>
      <c r="CI486" s="352">
        <v>0.16</v>
      </c>
      <c r="CJ486" s="352">
        <v>0.22</v>
      </c>
      <c r="CK486" s="352">
        <v>0.22</v>
      </c>
      <c r="CL486" s="352">
        <v>0.34</v>
      </c>
      <c r="CM486" s="474"/>
      <c r="CO486" s="352">
        <v>0.21</v>
      </c>
      <c r="CP486" s="27">
        <v>0.27</v>
      </c>
      <c r="CQ486" s="349">
        <v>0.3</v>
      </c>
      <c r="CR486" s="349">
        <v>0.44</v>
      </c>
      <c r="CS486" s="557"/>
      <c r="CT486" s="345"/>
      <c r="CU486" s="349">
        <v>0.27</v>
      </c>
      <c r="CV486" s="349">
        <v>0.36</v>
      </c>
      <c r="CW486" s="352">
        <v>0.33</v>
      </c>
      <c r="CX486" s="352">
        <v>0.46</v>
      </c>
      <c r="CY486" s="347"/>
      <c r="CZ486" s="345"/>
      <c r="DA486" s="349">
        <v>0.31</v>
      </c>
      <c r="DB486" s="352">
        <v>0.36</v>
      </c>
      <c r="DC486" s="352">
        <v>0.38</v>
      </c>
      <c r="DD486" s="352">
        <v>0.56000000000000005</v>
      </c>
      <c r="DE486" s="347"/>
      <c r="DF486" s="345"/>
      <c r="DG486" s="352">
        <v>0.37</v>
      </c>
      <c r="DH486" s="352">
        <v>0.46</v>
      </c>
      <c r="DI486" s="352">
        <v>0.5</v>
      </c>
      <c r="DJ486" s="352">
        <v>0.73</v>
      </c>
      <c r="DK486" s="347"/>
      <c r="DL486" s="345"/>
      <c r="DM486" s="352">
        <v>0.48</v>
      </c>
      <c r="DN486" s="352">
        <v>0.57999999999999996</v>
      </c>
      <c r="DO486" s="352">
        <v>0.57999999999999996</v>
      </c>
      <c r="DP486" s="352">
        <v>0.83</v>
      </c>
      <c r="DQ486" s="347"/>
      <c r="DR486" s="345"/>
      <c r="DS486" s="352">
        <v>0.55000000000000004</v>
      </c>
      <c r="DT486" s="352">
        <v>0.63</v>
      </c>
      <c r="DU486" s="352">
        <v>0.68</v>
      </c>
      <c r="DV486" s="352">
        <v>0.91</v>
      </c>
      <c r="DW486" s="347"/>
      <c r="DX486" s="345"/>
      <c r="DY486" s="352">
        <v>0.56999999999999995</v>
      </c>
      <c r="DZ486" s="352">
        <v>0.69</v>
      </c>
      <c r="EA486" s="352">
        <v>0.72</v>
      </c>
      <c r="EB486" s="352">
        <v>0.99</v>
      </c>
      <c r="EC486" s="347"/>
      <c r="ED486" s="345"/>
      <c r="EE486" s="352">
        <v>0.66</v>
      </c>
      <c r="EF486" s="352">
        <v>0.7</v>
      </c>
      <c r="EG486" s="352">
        <v>0.74</v>
      </c>
      <c r="EH486" s="352">
        <v>0.96</v>
      </c>
      <c r="EI486" s="347"/>
      <c r="EJ486" s="345"/>
      <c r="EK486" s="352">
        <v>0.59</v>
      </c>
      <c r="EL486" s="352">
        <f>0.66-0.05</f>
        <v>0.61</v>
      </c>
      <c r="EM486" s="352">
        <f>0.66-0.03</f>
        <v>0.63</v>
      </c>
      <c r="EN486" s="352">
        <f>0.85-0.02</f>
        <v>0.83</v>
      </c>
      <c r="EO486" s="347"/>
      <c r="EP486" s="345"/>
      <c r="EQ486" s="352">
        <v>0.6</v>
      </c>
      <c r="ER486" s="352">
        <v>0.62</v>
      </c>
      <c r="ES486" s="352">
        <f>0.64-0.01</f>
        <v>0.63</v>
      </c>
      <c r="ET486" s="352">
        <f>0.82-0.02</f>
        <v>0.79999999999999993</v>
      </c>
      <c r="EU486" s="347"/>
      <c r="EV486" s="345"/>
      <c r="EW486" s="352"/>
      <c r="EX486" s="352">
        <v>0.7</v>
      </c>
      <c r="EY486" s="352">
        <f>0.7+0.03</f>
        <v>0.73</v>
      </c>
      <c r="EZ486" s="352">
        <f>0.92+0.03</f>
        <v>0.95000000000000007</v>
      </c>
      <c r="FA486" s="347"/>
      <c r="FB486" s="345"/>
      <c r="FC486" s="272"/>
      <c r="FD486" s="272"/>
      <c r="FE486" s="272"/>
      <c r="FF486" s="272"/>
      <c r="FG486" s="347"/>
      <c r="FH486" s="345"/>
      <c r="FI486" s="272"/>
      <c r="FJ486" s="272"/>
      <c r="FK486" s="272"/>
      <c r="FL486" s="272"/>
      <c r="FM486" s="347"/>
      <c r="FQ486"/>
      <c r="FR486"/>
      <c r="FS486"/>
      <c r="FT486"/>
      <c r="FU486"/>
      <c r="FV486"/>
      <c r="GB486" s="24"/>
      <c r="GC486" s="24"/>
      <c r="GD486" s="24"/>
      <c r="GE486" s="24"/>
      <c r="GF486" s="24"/>
      <c r="GG486" s="24"/>
      <c r="GH486" s="24"/>
      <c r="GI486" s="24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  <c r="HB486"/>
      <c r="HC486"/>
      <c r="HD486"/>
      <c r="HE486"/>
      <c r="HF486"/>
      <c r="HG486"/>
      <c r="HH486"/>
      <c r="HI486"/>
      <c r="HJ486"/>
      <c r="HK486"/>
      <c r="HL486"/>
      <c r="HM486"/>
      <c r="HN486"/>
      <c r="HO486"/>
      <c r="HP486"/>
      <c r="HQ486"/>
      <c r="HR486"/>
      <c r="HS486"/>
      <c r="HT486"/>
      <c r="HU486"/>
      <c r="HV486"/>
      <c r="HW486"/>
      <c r="HX486"/>
      <c r="HY486"/>
      <c r="HZ486"/>
      <c r="IA486"/>
      <c r="IB486"/>
      <c r="IC486"/>
      <c r="ID486"/>
      <c r="IE486"/>
      <c r="IF486"/>
      <c r="IG486"/>
      <c r="IH486"/>
      <c r="II486"/>
      <c r="IJ486"/>
      <c r="IK486"/>
      <c r="IL486"/>
      <c r="IM486"/>
      <c r="IN486"/>
      <c r="IO486"/>
      <c r="IP486"/>
      <c r="IQ486"/>
      <c r="IR486"/>
      <c r="IS486"/>
      <c r="IT486"/>
      <c r="IU486"/>
      <c r="IV486"/>
      <c r="IW486"/>
      <c r="IX486"/>
      <c r="IY486"/>
      <c r="IZ486"/>
      <c r="JA486"/>
      <c r="JB486"/>
      <c r="JC486"/>
      <c r="JD486"/>
      <c r="JE486"/>
      <c r="JF486"/>
      <c r="JG486"/>
      <c r="JH486"/>
      <c r="JI486"/>
      <c r="JJ486"/>
      <c r="JK486"/>
      <c r="JL486"/>
      <c r="JM486"/>
      <c r="JN486"/>
    </row>
    <row r="487" spans="1:274" s="27" customFormat="1" ht="12" customHeight="1" x14ac:dyDescent="0.2">
      <c r="A487" s="897" t="s">
        <v>913</v>
      </c>
      <c r="B487" s="146"/>
      <c r="C487" s="384"/>
      <c r="D487" s="384"/>
      <c r="E487" s="384"/>
      <c r="F487" s="384"/>
      <c r="G487" s="384"/>
      <c r="H487" s="384"/>
      <c r="I487" s="384"/>
      <c r="J487" s="384"/>
      <c r="K487" s="384"/>
      <c r="L487" s="384"/>
      <c r="M487" s="384"/>
      <c r="N487" s="146"/>
      <c r="O487" s="923"/>
      <c r="P487" s="923"/>
      <c r="Q487" s="923"/>
      <c r="R487" s="923"/>
      <c r="S487" s="384"/>
      <c r="T487" s="146"/>
      <c r="U487" s="923"/>
      <c r="V487" s="923"/>
      <c r="W487" s="923"/>
      <c r="X487" s="923"/>
      <c r="Y487" s="384"/>
      <c r="Z487" s="146"/>
      <c r="AA487" s="923"/>
      <c r="AB487" s="923"/>
      <c r="AC487" s="923"/>
      <c r="AD487" s="923"/>
      <c r="AE487" s="384"/>
      <c r="AF487" s="146"/>
      <c r="AG487" s="923"/>
      <c r="AH487" s="923"/>
      <c r="AI487" s="923"/>
      <c r="AJ487" s="923"/>
      <c r="AK487" s="384"/>
      <c r="AL487" s="146"/>
      <c r="AM487" s="923"/>
      <c r="AN487" s="923"/>
      <c r="AO487" s="923"/>
      <c r="AP487" s="923"/>
      <c r="AQ487" s="384"/>
      <c r="AR487" s="146"/>
      <c r="AS487" s="923"/>
      <c r="AT487" s="923"/>
      <c r="AU487" s="923"/>
      <c r="AV487" s="923"/>
      <c r="AW487" s="384"/>
      <c r="AX487" s="146"/>
      <c r="AY487" s="923"/>
      <c r="AZ487" s="923"/>
      <c r="BA487" s="923"/>
      <c r="BB487" s="923"/>
      <c r="BC487" s="384"/>
      <c r="BD487" s="146"/>
      <c r="BE487" s="923"/>
      <c r="BF487" s="923"/>
      <c r="BG487" s="923"/>
      <c r="BH487" s="923"/>
      <c r="BI487" s="384"/>
      <c r="BJ487" s="146"/>
      <c r="BK487" s="923"/>
      <c r="BL487" s="923"/>
      <c r="BM487" s="923"/>
      <c r="BN487" s="923"/>
      <c r="BO487" s="384"/>
      <c r="BP487" s="146"/>
      <c r="BQ487" s="930"/>
      <c r="BR487" s="930"/>
      <c r="BS487" s="930"/>
      <c r="BT487" s="930">
        <f>Model!BT189</f>
        <v>0.18739</v>
      </c>
      <c r="BU487" s="384"/>
      <c r="BV487" s="146"/>
      <c r="BW487" s="930">
        <f>Model!BW189</f>
        <v>0.10087</v>
      </c>
      <c r="BX487" s="930">
        <f>Model!BX189</f>
        <v>0.15934000000000001</v>
      </c>
      <c r="BY487" s="930">
        <f>Model!BY189</f>
        <v>0.15773999999999999</v>
      </c>
      <c r="BZ487" s="930">
        <f>Model!BZ189</f>
        <v>0.25907999999999998</v>
      </c>
      <c r="CA487" s="384"/>
      <c r="CB487" s="146"/>
      <c r="CC487" s="930">
        <f>Model!CC189</f>
        <v>0.14072999999999999</v>
      </c>
      <c r="CD487" s="930">
        <f>Model!CD189</f>
        <v>0.18547</v>
      </c>
      <c r="CE487" s="930">
        <f>Model!CE189</f>
        <v>0.18856000000000001</v>
      </c>
      <c r="CF487" s="930">
        <f>Model!CF189</f>
        <v>0.28614000000000001</v>
      </c>
      <c r="CG487" s="926"/>
      <c r="CH487" s="146"/>
      <c r="CI487" s="930">
        <f>Model!CI189</f>
        <v>0.17543</v>
      </c>
      <c r="CJ487" s="930">
        <f>Model!CJ189</f>
        <v>0.21978</v>
      </c>
      <c r="CK487" s="930">
        <f>Model!CK189</f>
        <v>0.24723999999999999</v>
      </c>
      <c r="CL487" s="930">
        <f>Model!CL189</f>
        <v>0.36552000000000001</v>
      </c>
      <c r="CM487" s="150"/>
      <c r="CN487" s="146"/>
      <c r="CO487" s="930">
        <f>Model!CO189</f>
        <v>0.22317999999999999</v>
      </c>
      <c r="CP487" s="930">
        <f>Model!CP189</f>
        <v>0.30824000000000001</v>
      </c>
      <c r="CQ487" s="930">
        <f>Model!CQ189</f>
        <v>0.30575999999999998</v>
      </c>
      <c r="CR487" s="930">
        <f>Model!CR189</f>
        <v>0.46512999999999999</v>
      </c>
      <c r="CS487" s="931"/>
      <c r="CT487" s="146"/>
      <c r="CU487" s="930">
        <f>Model!CU189</f>
        <v>0.29493999999999998</v>
      </c>
      <c r="CV487" s="930">
        <f>Model!CV189</f>
        <v>0.33661000000000002</v>
      </c>
      <c r="CW487" s="930">
        <f>Model!CW189</f>
        <v>0.35205999999999998</v>
      </c>
      <c r="CX487" s="930">
        <f>Model!CX189</f>
        <v>0.46063999999999999</v>
      </c>
      <c r="CY487" s="926"/>
      <c r="CZ487" s="146"/>
      <c r="DA487" s="930">
        <f>Model!DA189</f>
        <v>0.30417</v>
      </c>
      <c r="DB487" s="930">
        <f>Model!DB189</f>
        <v>0.38723999999999997</v>
      </c>
      <c r="DC487" s="930">
        <f>Model!DC189</f>
        <v>0.38324999999999998</v>
      </c>
      <c r="DD487" s="930">
        <f>Model!DD189</f>
        <v>0.59875999999999996</v>
      </c>
      <c r="DE487" s="926"/>
      <c r="DF487" s="146"/>
      <c r="DG487" s="930">
        <f>Model!DG189</f>
        <v>0.41885</v>
      </c>
      <c r="DH487" s="930">
        <f>Model!DH189</f>
        <v>0.52315999999999996</v>
      </c>
      <c r="DI487" s="930">
        <f>Model!DI189</f>
        <v>0.53661000000000003</v>
      </c>
      <c r="DJ487" s="930">
        <f>Model!DJ189</f>
        <v>0.74980999999999998</v>
      </c>
      <c r="DK487" s="926"/>
      <c r="DL487" s="146"/>
      <c r="DM487" s="930">
        <f>Model!DM189</f>
        <v>0.47864000000000001</v>
      </c>
      <c r="DN487" s="930">
        <f>Model!DN189</f>
        <v>0.54342999999999997</v>
      </c>
      <c r="DO487" s="930">
        <f>Model!DO189</f>
        <v>0.61580999999999997</v>
      </c>
      <c r="DP487" s="930">
        <f>Model!DP189</f>
        <v>0.82418000000000002</v>
      </c>
      <c r="DQ487" s="926"/>
      <c r="DR487" s="146"/>
      <c r="DS487" s="930">
        <f>Model!DS189</f>
        <v>0.52925999999999995</v>
      </c>
      <c r="DT487" s="930">
        <f>Model!DT189</f>
        <v>0.64132999999999996</v>
      </c>
      <c r="DU487" s="930">
        <f>Model!DU189</f>
        <v>0.64588999999999996</v>
      </c>
      <c r="DV487" s="930">
        <f>Model!DV189</f>
        <v>0.86500999999999995</v>
      </c>
      <c r="DW487" s="926"/>
      <c r="DX487" s="146"/>
      <c r="DY487" s="930">
        <f>Model!DY189</f>
        <v>0.59070999999999996</v>
      </c>
      <c r="DZ487" s="930">
        <f>Model!DZ189</f>
        <v>0.68586999999999998</v>
      </c>
      <c r="EA487" s="930">
        <f>Model!EA189</f>
        <v>0.68044000000000004</v>
      </c>
      <c r="EB487" s="930">
        <f>Model!EB189</f>
        <v>0.91596</v>
      </c>
      <c r="EC487" s="926"/>
      <c r="ED487" s="146"/>
      <c r="EE487" s="930">
        <f>Model!EE189</f>
        <v>0.61697000000000002</v>
      </c>
      <c r="EF487" s="930">
        <f>Model!EF189</f>
        <v>0.69189999999999996</v>
      </c>
      <c r="EG487" s="930">
        <f>Model!EG189</f>
        <v>0.68335999999999997</v>
      </c>
      <c r="EH487" s="930">
        <f>Model!EH189</f>
        <v>0.78332999999999997</v>
      </c>
      <c r="EI487" s="926"/>
      <c r="EJ487" s="146"/>
      <c r="EK487" s="930">
        <f>Model!EK189</f>
        <v>0.53195999999999999</v>
      </c>
      <c r="EL487" s="930">
        <f>Model!EL189</f>
        <v>0.63368999999999998</v>
      </c>
      <c r="EM487" s="930">
        <f>Model!EM189</f>
        <v>0.64168000000000003</v>
      </c>
      <c r="EN487" s="930">
        <f>Model!EN189</f>
        <v>0.80793000000000004</v>
      </c>
      <c r="EO487" s="926"/>
      <c r="EP487" s="146"/>
      <c r="EQ487" s="930">
        <f>Model!EQ189</f>
        <v>0.55318999999999996</v>
      </c>
      <c r="ER487" s="930">
        <f>Model!ER189</f>
        <v>0.61353999999999997</v>
      </c>
      <c r="ES487" s="930">
        <f>Model!ES189</f>
        <v>0.68696000000000002</v>
      </c>
      <c r="ET487" s="930">
        <f>Model!ET189</f>
        <v>0.88536000000000004</v>
      </c>
      <c r="EU487" s="1786"/>
      <c r="EV487" s="1787"/>
      <c r="EW487" s="930">
        <f>Model!EW189</f>
        <v>0.62114999999999998</v>
      </c>
      <c r="EX487" s="930">
        <f>Model!EX189</f>
        <v>0.69811000000000001</v>
      </c>
      <c r="EY487" s="930">
        <f>Model!EY189</f>
        <v>0.82767000000000002</v>
      </c>
      <c r="EZ487" s="930">
        <f>Model!EZ189</f>
        <v>0.92959000000000003</v>
      </c>
      <c r="FA487" s="1786"/>
      <c r="FB487" s="1787"/>
      <c r="FC487" s="1785"/>
      <c r="FD487" s="1785"/>
      <c r="FE487" s="1785"/>
      <c r="FF487" s="1785"/>
      <c r="FG487" s="1786"/>
      <c r="FH487" s="1787"/>
      <c r="FI487" s="1785"/>
      <c r="FJ487" s="1785"/>
      <c r="FK487" s="1785"/>
      <c r="FL487" s="1785"/>
      <c r="FM487" s="1786"/>
      <c r="FQ487"/>
      <c r="FR487"/>
      <c r="FS487"/>
      <c r="FT487"/>
      <c r="FU487"/>
      <c r="FV487"/>
      <c r="GB487" s="24"/>
      <c r="GC487" s="24"/>
      <c r="GD487" s="24"/>
      <c r="GE487" s="24"/>
      <c r="GF487" s="24"/>
      <c r="GG487" s="24"/>
      <c r="GH487" s="24"/>
      <c r="GI487" s="24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  <c r="HB487"/>
      <c r="HC487"/>
      <c r="HD487"/>
      <c r="HE487"/>
      <c r="HF487"/>
      <c r="HG487"/>
      <c r="HH487"/>
      <c r="HI487"/>
      <c r="HJ487"/>
      <c r="HK487"/>
      <c r="HL487"/>
      <c r="HM487"/>
      <c r="HN487"/>
      <c r="HO487"/>
      <c r="HP487"/>
      <c r="HQ487"/>
      <c r="HR487"/>
      <c r="HS487"/>
      <c r="HT487"/>
      <c r="HU487"/>
      <c r="HV487"/>
      <c r="HW487"/>
      <c r="HX487"/>
      <c r="HY487"/>
      <c r="HZ487"/>
      <c r="IA487"/>
      <c r="IB487"/>
      <c r="IC487"/>
      <c r="ID487"/>
      <c r="IE487"/>
      <c r="IF487"/>
      <c r="IG487"/>
      <c r="IH487"/>
      <c r="II487"/>
      <c r="IJ487"/>
      <c r="IK487"/>
      <c r="IL487"/>
      <c r="IM487"/>
      <c r="IN487"/>
      <c r="IO487"/>
      <c r="IP487"/>
      <c r="IQ487"/>
      <c r="IR487"/>
      <c r="IS487"/>
      <c r="IT487"/>
      <c r="IU487"/>
      <c r="IV487"/>
      <c r="IW487"/>
      <c r="IX487"/>
      <c r="IY487"/>
      <c r="IZ487"/>
      <c r="JA487"/>
      <c r="JB487"/>
      <c r="JC487"/>
      <c r="JD487"/>
      <c r="JE487"/>
      <c r="JF487"/>
      <c r="JG487"/>
      <c r="JH487"/>
      <c r="JI487"/>
      <c r="JJ487"/>
      <c r="JK487"/>
      <c r="JL487"/>
      <c r="JM487"/>
      <c r="JN487"/>
    </row>
    <row r="488" spans="1:274" s="27" customFormat="1" ht="12" customHeight="1" x14ac:dyDescent="0.2">
      <c r="A488" s="32" t="s">
        <v>676</v>
      </c>
      <c r="C488" s="242"/>
      <c r="D488" s="242"/>
      <c r="E488" s="242"/>
      <c r="F488" s="242"/>
      <c r="G488" s="242"/>
      <c r="H488" s="242"/>
      <c r="I488" s="242"/>
      <c r="J488" s="242"/>
      <c r="K488" s="242"/>
      <c r="L488" s="242"/>
      <c r="M488" s="242"/>
      <c r="O488" s="272"/>
      <c r="P488" s="272"/>
      <c r="Q488" s="272"/>
      <c r="R488" s="272"/>
      <c r="S488" s="242"/>
      <c r="U488" s="272"/>
      <c r="V488" s="272"/>
      <c r="W488" s="272"/>
      <c r="X488" s="272"/>
      <c r="Y488" s="242"/>
      <c r="AA488" s="272"/>
      <c r="AB488" s="272"/>
      <c r="AC488" s="272"/>
      <c r="AD488" s="272"/>
      <c r="AE488" s="242"/>
      <c r="AG488" s="272"/>
      <c r="AH488" s="272"/>
      <c r="AI488" s="272"/>
      <c r="AJ488" s="272"/>
      <c r="AK488" s="242"/>
      <c r="AM488" s="272"/>
      <c r="AN488" s="272"/>
      <c r="AO488" s="272"/>
      <c r="AP488" s="272"/>
      <c r="AQ488" s="242"/>
      <c r="AS488" s="272"/>
      <c r="AT488" s="272"/>
      <c r="AU488" s="272"/>
      <c r="AV488" s="272"/>
      <c r="AW488" s="242"/>
      <c r="AY488" s="272"/>
      <c r="AZ488" s="272"/>
      <c r="BA488" s="272"/>
      <c r="BB488" s="272"/>
      <c r="BC488" s="242"/>
      <c r="BE488" s="272"/>
      <c r="BF488" s="272"/>
      <c r="BG488" s="272"/>
      <c r="BH488" s="272"/>
      <c r="BI488" s="242"/>
      <c r="BK488" s="272"/>
      <c r="BL488" s="272"/>
      <c r="BM488" s="272"/>
      <c r="BN488" s="272"/>
      <c r="BO488" s="242"/>
      <c r="BQ488" s="272"/>
      <c r="BR488" s="272"/>
      <c r="BS488" s="272"/>
      <c r="BT488" s="272"/>
      <c r="BU488" s="242"/>
      <c r="BW488" s="927">
        <f>BW487/AVERAGE(BW485:BW486)-1</f>
        <v>0.12077777777777787</v>
      </c>
      <c r="BX488" s="927">
        <f>BX487/AVERAGE(BX485:BX486)-1</f>
        <v>0.22569230769230764</v>
      </c>
      <c r="BY488" s="927">
        <f>BY487/AVERAGE(BY485:BY486)-1</f>
        <v>8.786206896551696E-2</v>
      </c>
      <c r="BZ488" s="927">
        <f>BZ487/AVERAGE(BZ485:BZ486)-1</f>
        <v>0.12643478260869556</v>
      </c>
      <c r="CA488" s="242"/>
      <c r="CC488" s="927">
        <f>CC487/AVERAGE(CC485:CC486)-1</f>
        <v>5.2142857142856158E-3</v>
      </c>
      <c r="CD488" s="927">
        <f>CD487/AVERAGE(CD485:CD486)-1</f>
        <v>-2.3842105263157887E-2</v>
      </c>
      <c r="CE488" s="927">
        <f>CE487/AVERAGE(CE485:CE486)-1</f>
        <v>4.7555555555555573E-2</v>
      </c>
      <c r="CF488" s="927">
        <f>CF487/AVERAGE(CF485:CF486)-1</f>
        <v>5.9777777777777708E-2</v>
      </c>
      <c r="CG488" s="347"/>
      <c r="CI488" s="927">
        <f>CI487/AVERAGE(CI485:CI486)-1</f>
        <v>9.6437499999999954E-2</v>
      </c>
      <c r="CJ488" s="927">
        <f>CJ487/AVERAGE(CJ485:CJ486)-1</f>
        <v>-1.0000000000000009E-3</v>
      </c>
      <c r="CK488" s="927">
        <f>CK487/AVERAGE(CK485:CK486)-1</f>
        <v>0.12381818181818183</v>
      </c>
      <c r="CL488" s="927">
        <f>CL487/AVERAGE(CL485:CL486)-1</f>
        <v>7.5058823529411622E-2</v>
      </c>
      <c r="CM488" s="474"/>
      <c r="CO488" s="927">
        <f>CO487/AVERAGE(CO485:CO486)-1</f>
        <v>6.2761904761904797E-2</v>
      </c>
      <c r="CP488" s="927">
        <f>CP487/AVERAGE(CP485:CP486)-1</f>
        <v>0.1631698113207547</v>
      </c>
      <c r="CQ488" s="927">
        <f>CQ487/AVERAGE(CQ485:CQ486)-1</f>
        <v>3.6474576271186443E-2</v>
      </c>
      <c r="CR488" s="927">
        <f>CR487/AVERAGE(CR485:CR486)-1</f>
        <v>6.9264367816092021E-2</v>
      </c>
      <c r="CS488" s="557"/>
      <c r="CT488" s="345"/>
      <c r="CU488" s="927">
        <f>CU487/AVERAGE(CU485:CU486)-1</f>
        <v>0.11298113207547167</v>
      </c>
      <c r="CV488" s="927">
        <f>CV487/AVERAGE(CV485:CV486)-1</f>
        <v>-5.1802816901408311E-2</v>
      </c>
      <c r="CW488" s="927">
        <f>CW487/AVERAGE(CW485:CW486)-1</f>
        <v>0.10018749999999987</v>
      </c>
      <c r="CX488" s="927">
        <f>CX487/AVERAGE(CX485:CX486)-1</f>
        <v>4.6909090909090789E-2</v>
      </c>
      <c r="CY488" s="347"/>
      <c r="CZ488" s="345"/>
      <c r="DA488" s="927">
        <f>DA487/AVERAGE(DA485:DA486)-1</f>
        <v>1.3900000000000023E-2</v>
      </c>
      <c r="DB488" s="927">
        <f>DB487/AVERAGE(DB485:DB486)-1</f>
        <v>9.0816901408450779E-2</v>
      </c>
      <c r="DC488" s="927">
        <f>DC487/AVERAGE(DC485:DC486)-1</f>
        <v>3.5810810810810834E-2</v>
      </c>
      <c r="DD488" s="927">
        <f>DD487/AVERAGE(DD485:DD486)-1</f>
        <v>0.1088148148148147</v>
      </c>
      <c r="DE488" s="347"/>
      <c r="DF488" s="345"/>
      <c r="DG488" s="927">
        <f>DG487/AVERAGE(DG485:DG486)-1</f>
        <v>0.16347222222222224</v>
      </c>
      <c r="DH488" s="927">
        <f>DH487/AVERAGE(DH485:DH486)-1</f>
        <v>0.16257777777777771</v>
      </c>
      <c r="DI488" s="927">
        <f>DI487/AVERAGE(DI485:DI486)-1</f>
        <v>9.5122448979591878E-2</v>
      </c>
      <c r="DJ488" s="927">
        <f>DJ487/AVERAGE(DJ485:DJ486)-1</f>
        <v>5.6070422535211328E-2</v>
      </c>
      <c r="DK488" s="347"/>
      <c r="DL488" s="345"/>
      <c r="DM488" s="927">
        <f>DM487/AVERAGE(DM485:DM486)-1</f>
        <v>2.9333333333333433E-2</v>
      </c>
      <c r="DN488" s="927">
        <f>DN487/AVERAGE(DN485:DN486)-1</f>
        <v>-4.6614035087719441E-2</v>
      </c>
      <c r="DO488" s="927">
        <f>DO487/AVERAGE(DO485:DO486)-1</f>
        <v>8.9929203539823144E-2</v>
      </c>
      <c r="DP488" s="927">
        <f>DP487/AVERAGE(DP485:DP486)-1</f>
        <v>2.3826086956521886E-2</v>
      </c>
      <c r="DQ488" s="347"/>
      <c r="DR488" s="345"/>
      <c r="DS488" s="927">
        <f>DS487/AVERAGE(DS485:DS486)-1</f>
        <v>-1.3962264150945147E-3</v>
      </c>
      <c r="DT488" s="927">
        <f>DT487/AVERAGE(DT485:DT486)-1</f>
        <v>5.1360655737704874E-2</v>
      </c>
      <c r="DU488" s="927">
        <f>DU487/AVERAGE(DU485:DU486)-1</f>
        <v>-2.1378787878787997E-2</v>
      </c>
      <c r="DV488" s="927">
        <f>DV487/AVERAGE(DV485:DV486)-1</f>
        <v>-1.7034090909091026E-2</v>
      </c>
      <c r="DW488" s="347"/>
      <c r="DX488" s="345"/>
      <c r="DY488" s="927">
        <f>DY487/AVERAGE(DY485:DY486)-1</f>
        <v>6.4342342342342373E-2</v>
      </c>
      <c r="DZ488" s="927">
        <f>DZ487/AVERAGE(DZ485:DZ486)-1</f>
        <v>3.1383458646616402E-2</v>
      </c>
      <c r="EA488" s="927">
        <f>EA487/AVERAGE(EA485:EA486)-1</f>
        <v>-2.7942857142857047E-2</v>
      </c>
      <c r="EB488" s="927">
        <f>EB487/AVERAGE(EB485:EB486)-1</f>
        <v>-4.0879581151832545E-2</v>
      </c>
      <c r="EC488" s="347"/>
      <c r="ED488" s="345"/>
      <c r="EE488" s="927">
        <f>EE487/AVERAGE(EE485:EE486)-1</f>
        <v>-3.5984374999999957E-2</v>
      </c>
      <c r="EF488" s="927">
        <f>EF487/AVERAGE(EF485:EF486)-1</f>
        <v>1.7500000000000071E-2</v>
      </c>
      <c r="EG488" s="1730">
        <f>EG487/AVERAGE(EG485:EG486)-1</f>
        <v>-4.4251748251748269E-2</v>
      </c>
      <c r="EH488" s="1730">
        <f>EH487/AVERAGE(EH485:EH486)-1</f>
        <v>-0.15770967741935482</v>
      </c>
      <c r="EI488" s="347"/>
      <c r="EJ488" s="345"/>
      <c r="EK488" s="1730">
        <f>EK487/AVERAGE(EK485:EK486)-1</f>
        <v>-7.485217391304344E-2</v>
      </c>
      <c r="EL488" s="927">
        <f>EL487/AVERAGE(EL485:EL486)-1</f>
        <v>6.5025210084033613E-2</v>
      </c>
      <c r="EM488" s="927">
        <f>EM487/AVERAGE(EM485:EM486)-1</f>
        <v>4.3382113821138324E-2</v>
      </c>
      <c r="EN488" s="927">
        <f>EN487/AVERAGE(EN485:EN486)-1</f>
        <v>-8.6748466257667856E-3</v>
      </c>
      <c r="EO488" s="347"/>
      <c r="EP488" s="345"/>
      <c r="EQ488" s="1730">
        <f>EQ487/AVERAGE(EQ485:EQ486)-1</f>
        <v>-4.6224137931034637E-2</v>
      </c>
      <c r="ER488" s="1730">
        <f>ER487/AVERAGE(ER485:ER486)-1</f>
        <v>1.4115702479338799E-2</v>
      </c>
      <c r="ES488" s="1730">
        <f>ES487/AVERAGE(ES485:ES486)-1</f>
        <v>0.11700813008130084</v>
      </c>
      <c r="ET488" s="927">
        <f>ET487/AVERAGE(ET485:ET486)-1</f>
        <v>0.13507692307692309</v>
      </c>
      <c r="EU488" s="347"/>
      <c r="EV488" s="345"/>
      <c r="EW488" s="1730"/>
      <c r="EX488" s="1730">
        <f>EX487/AVERAGE(EX485:EX486)-1</f>
        <v>2.6632352941176496E-2</v>
      </c>
      <c r="EY488" s="1730">
        <f>EY487/AVERAGE(EY485:EY486)-1</f>
        <v>0.14954166666666668</v>
      </c>
      <c r="EZ488" s="1730">
        <f>EZ487/AVERAGE(EZ485:EZ486)-1</f>
        <v>-5.7860962566844698E-3</v>
      </c>
      <c r="FA488" s="347"/>
      <c r="FB488" s="345"/>
      <c r="FC488" s="272"/>
      <c r="FD488" s="272"/>
      <c r="FE488" s="272"/>
      <c r="FF488" s="272"/>
      <c r="FG488" s="347"/>
      <c r="FH488" s="345"/>
      <c r="FI488" s="272"/>
      <c r="FJ488" s="272"/>
      <c r="FK488" s="272"/>
      <c r="FL488" s="272"/>
      <c r="FM488" s="347"/>
      <c r="FQ488"/>
      <c r="FR488"/>
      <c r="FS488"/>
      <c r="FT488"/>
      <c r="FU488"/>
      <c r="FV488"/>
      <c r="GB488" s="24"/>
      <c r="GC488" s="24"/>
      <c r="GD488" s="24"/>
      <c r="GE488" s="24"/>
      <c r="GF488" s="24"/>
      <c r="GG488" s="24"/>
      <c r="GH488" s="24"/>
      <c r="GI488" s="24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  <c r="HB488"/>
      <c r="HC488"/>
      <c r="HD488"/>
      <c r="HE488"/>
      <c r="HF488"/>
      <c r="HG488"/>
      <c r="HH488"/>
      <c r="HI488"/>
      <c r="HJ488"/>
      <c r="HK488"/>
      <c r="HL488"/>
      <c r="HM488"/>
      <c r="HN488"/>
      <c r="HO488"/>
      <c r="HP488"/>
      <c r="HQ488"/>
      <c r="HR488"/>
      <c r="HS488"/>
      <c r="HT488"/>
      <c r="HU488"/>
      <c r="HV488"/>
      <c r="HW488"/>
      <c r="HX488"/>
      <c r="HY488"/>
      <c r="HZ488"/>
      <c r="IA488"/>
      <c r="IB488"/>
      <c r="IC488"/>
      <c r="ID488"/>
      <c r="IE488"/>
      <c r="IF488"/>
      <c r="IG488"/>
      <c r="IH488"/>
      <c r="II488"/>
      <c r="IJ488"/>
      <c r="IK488"/>
      <c r="IL488"/>
      <c r="IM488"/>
      <c r="IN488"/>
      <c r="IO488"/>
      <c r="IP488"/>
      <c r="IQ488"/>
      <c r="IR488"/>
      <c r="IS488"/>
      <c r="IT488"/>
      <c r="IU488"/>
      <c r="IV488"/>
      <c r="IW488"/>
      <c r="IX488"/>
      <c r="IY488"/>
      <c r="IZ488"/>
      <c r="JA488"/>
      <c r="JB488"/>
      <c r="JC488"/>
      <c r="JD488"/>
      <c r="JE488"/>
      <c r="JF488"/>
      <c r="JG488"/>
      <c r="JH488"/>
      <c r="JI488"/>
      <c r="JJ488"/>
      <c r="JK488"/>
      <c r="JL488"/>
      <c r="JM488"/>
      <c r="JN488"/>
    </row>
    <row r="489" spans="1:274" s="27" customFormat="1" ht="12" customHeight="1" x14ac:dyDescent="0.2">
      <c r="A489" s="32" t="s">
        <v>657</v>
      </c>
      <c r="C489" s="242"/>
      <c r="D489" s="242"/>
      <c r="E489" s="242"/>
      <c r="F489" s="242"/>
      <c r="G489" s="242"/>
      <c r="H489" s="242"/>
      <c r="I489" s="242"/>
      <c r="J489" s="242"/>
      <c r="K489" s="242"/>
      <c r="L489" s="242"/>
      <c r="M489" s="242"/>
      <c r="O489" s="272"/>
      <c r="P489" s="272"/>
      <c r="Q489" s="272"/>
      <c r="R489" s="272"/>
      <c r="S489" s="242"/>
      <c r="U489" s="272"/>
      <c r="V489" s="272"/>
      <c r="W489" s="272"/>
      <c r="X489" s="272"/>
      <c r="Y489" s="242"/>
      <c r="AA489" s="272"/>
      <c r="AB489" s="272"/>
      <c r="AC489" s="272"/>
      <c r="AD489" s="272"/>
      <c r="AE489" s="242"/>
      <c r="AG489" s="272"/>
      <c r="AH489" s="272"/>
      <c r="AI489" s="272"/>
      <c r="AJ489" s="272"/>
      <c r="AK489" s="242"/>
      <c r="AM489" s="272"/>
      <c r="AN489" s="272"/>
      <c r="AO489" s="272"/>
      <c r="AP489" s="272"/>
      <c r="AQ489" s="242"/>
      <c r="AS489" s="272"/>
      <c r="AT489" s="272"/>
      <c r="AU489" s="272"/>
      <c r="AV489" s="272"/>
      <c r="AW489" s="242"/>
      <c r="AY489" s="272"/>
      <c r="AZ489" s="272"/>
      <c r="BA489" s="272"/>
      <c r="BB489" s="272"/>
      <c r="BC489" s="242"/>
      <c r="BE489" s="272"/>
      <c r="BF489" s="272"/>
      <c r="BG489" s="272"/>
      <c r="BH489" s="272"/>
      <c r="BI489" s="242"/>
      <c r="BK489" s="272"/>
      <c r="BL489" s="272"/>
      <c r="BM489" s="272"/>
      <c r="BN489" s="272"/>
      <c r="BO489" s="242"/>
      <c r="BQ489" s="352"/>
      <c r="BR489" s="352"/>
      <c r="BS489" s="352"/>
      <c r="BT489" s="352"/>
      <c r="BU489" s="242"/>
      <c r="BW489" s="352">
        <f>AVERAGE(BW485:BW486)-BT487</f>
        <v>-9.7390000000000004E-2</v>
      </c>
      <c r="BX489" s="352">
        <f>AVERAGE(BX485:BX486)-BW487</f>
        <v>2.9130000000000003E-2</v>
      </c>
      <c r="BY489" s="352">
        <f>AVERAGE(BY485:BY486)-BX487</f>
        <v>-1.4339999999999992E-2</v>
      </c>
      <c r="BZ489" s="352">
        <f>AVERAGE(BZ485:BZ486)-BY487</f>
        <v>7.2259999999999991E-2</v>
      </c>
      <c r="CA489" s="242"/>
      <c r="CC489" s="352">
        <f>AVERAGE(CC485:CC486)-BZ487</f>
        <v>-0.11907999999999996</v>
      </c>
      <c r="CD489" s="352">
        <f>AVERAGE(CD485:CD486)-CC487</f>
        <v>4.9270000000000008E-2</v>
      </c>
      <c r="CE489" s="352">
        <f>AVERAGE(CE485:CE486)-CD487</f>
        <v>-5.4700000000000026E-3</v>
      </c>
      <c r="CF489" s="352">
        <f>AVERAGE(CF485:CF486)-CE487</f>
        <v>8.1440000000000012E-2</v>
      </c>
      <c r="CG489" s="347"/>
      <c r="CI489" s="352">
        <f>AVERAGE(CI485:CI486)-CF487</f>
        <v>-0.12614</v>
      </c>
      <c r="CJ489" s="352">
        <f>AVERAGE(CJ485:CJ486)-CI487</f>
        <v>4.4569999999999999E-2</v>
      </c>
      <c r="CK489" s="352">
        <f>AVERAGE(CK485:CK486)-CJ487</f>
        <v>2.1999999999999797E-4</v>
      </c>
      <c r="CL489" s="352">
        <f>AVERAGE(CL485:CL486)-CK487</f>
        <v>9.2760000000000037E-2</v>
      </c>
      <c r="CM489" s="347"/>
      <c r="CO489" s="352">
        <f>AVERAGE(CO485:CO486)-CL487</f>
        <v>-0.15552000000000002</v>
      </c>
      <c r="CP489" s="352">
        <f>AVERAGE(CP485:CP486)-CO487</f>
        <v>4.1820000000000024E-2</v>
      </c>
      <c r="CQ489" s="352">
        <f>AVERAGE(CQ485:CQ486)-CP487</f>
        <v>-1.324000000000003E-2</v>
      </c>
      <c r="CR489" s="352">
        <f>AVERAGE(CR485:CR486)-CQ487</f>
        <v>0.12924000000000002</v>
      </c>
      <c r="CS489" s="347"/>
      <c r="CT489" s="345"/>
      <c r="CU489" s="352">
        <f>AVERAGE(CU485:CU486)-CR487</f>
        <v>-0.20012999999999997</v>
      </c>
      <c r="CV489" s="352">
        <f>AVERAGE(CV485:CV486)-CU487</f>
        <v>6.0060000000000002E-2</v>
      </c>
      <c r="CW489" s="352">
        <f>AVERAGE(CW485:CW486)-CV487</f>
        <v>-1.6610000000000014E-2</v>
      </c>
      <c r="CX489" s="352">
        <f>AVERAGE(CX485:CX486)-CW487</f>
        <v>8.7940000000000018E-2</v>
      </c>
      <c r="CY489" s="347"/>
      <c r="CZ489" s="345"/>
      <c r="DA489" s="352">
        <f>AVERAGE(DA485:DA486)-CX487</f>
        <v>-0.16064000000000001</v>
      </c>
      <c r="DB489" s="352">
        <f>AVERAGE(DB485:DB486)-DA487</f>
        <v>5.0829999999999986E-2</v>
      </c>
      <c r="DC489" s="352">
        <f>AVERAGE(DC485:DC486)-DB487</f>
        <v>-1.7239999999999978E-2</v>
      </c>
      <c r="DD489" s="352">
        <f>AVERAGE(DD485:DD486)-DC487</f>
        <v>0.15675000000000006</v>
      </c>
      <c r="DE489" s="347"/>
      <c r="DF489" s="345"/>
      <c r="DG489" s="352">
        <f>AVERAGE(DG485:DG486)-DD487</f>
        <v>-0.23875999999999997</v>
      </c>
      <c r="DH489" s="352">
        <f>AVERAGE(DH485:DH486)-DG487</f>
        <v>3.1150000000000011E-2</v>
      </c>
      <c r="DI489" s="352">
        <f>AVERAGE(DI485:DI486)-DH487</f>
        <v>-3.3159999999999967E-2</v>
      </c>
      <c r="DJ489" s="352">
        <f>AVERAGE(DJ485:DJ486)-DI487</f>
        <v>0.17338999999999993</v>
      </c>
      <c r="DK489" s="347"/>
      <c r="DL489" s="345"/>
      <c r="DM489" s="352">
        <f>AVERAGE(DM485:DM486)-DJ487</f>
        <v>-0.28481000000000001</v>
      </c>
      <c r="DN489" s="352">
        <f>AVERAGE(DN485:DN486)-DM487</f>
        <v>9.1360000000000052E-2</v>
      </c>
      <c r="DO489" s="352">
        <f>AVERAGE(DO485:DO486)-DN487</f>
        <v>2.1569999999999978E-2</v>
      </c>
      <c r="DP489" s="352">
        <f>AVERAGE(DP485:DP486)-DO487</f>
        <v>0.18918999999999997</v>
      </c>
      <c r="DQ489" s="347"/>
      <c r="DR489" s="345"/>
      <c r="DS489" s="352">
        <f>AVERAGE(DS485:DS486)-DP487</f>
        <v>-0.29418</v>
      </c>
      <c r="DT489" s="352">
        <f>AVERAGE(DT485:DT486)-DS487</f>
        <v>8.0740000000000034E-2</v>
      </c>
      <c r="DU489" s="352">
        <f>AVERAGE(DU485:DU486)-DT487</f>
        <v>1.8670000000000075E-2</v>
      </c>
      <c r="DV489" s="352">
        <f>AVERAGE(DV485:DV486)-DU487</f>
        <v>0.23411000000000004</v>
      </c>
      <c r="DW489" s="347"/>
      <c r="DX489" s="345"/>
      <c r="DY489" s="352">
        <f>AVERAGE(DY485:DY486)-DV487</f>
        <v>-0.31001000000000001</v>
      </c>
      <c r="DZ489" s="352">
        <f>AVERAGE(DZ485:DZ486)-DY487</f>
        <v>7.4290000000000078E-2</v>
      </c>
      <c r="EA489" s="352">
        <f>AVERAGE(EA485:EA486)-DZ487</f>
        <v>1.4129999999999976E-2</v>
      </c>
      <c r="EB489" s="352">
        <f>AVERAGE(EB485:EB486)-EA487</f>
        <v>0.27456000000000003</v>
      </c>
      <c r="EC489" s="347"/>
      <c r="ED489" s="345"/>
      <c r="EE489" s="352">
        <f>AVERAGE(EE485:EE486)-EB487</f>
        <v>-0.27595999999999998</v>
      </c>
      <c r="EF489" s="352">
        <f>AVERAGE(EF485:EF486)-EE487</f>
        <v>6.3029999999999919E-2</v>
      </c>
      <c r="EG489" s="352">
        <f>AVERAGE(EG485:EG486)-EF487</f>
        <v>2.3100000000000009E-2</v>
      </c>
      <c r="EH489" s="352">
        <f>AVERAGE(EH485:EH486)-EG487</f>
        <v>0.24663999999999997</v>
      </c>
      <c r="EI489" s="347"/>
      <c r="EJ489" s="345"/>
      <c r="EK489" s="352">
        <f>AVERAGE(EK485:EK486)-EJ487</f>
        <v>0.57499999999999996</v>
      </c>
      <c r="EL489" s="352">
        <f>AVERAGE(EL485:EL486)-EK487</f>
        <v>6.3039999999999985E-2</v>
      </c>
      <c r="EM489" s="352">
        <f>AVERAGE(EM485:EM486)-EL487</f>
        <v>-1.8689999999999984E-2</v>
      </c>
      <c r="EN489" s="352">
        <f>AVERAGE(EN485:EN486)-EM487</f>
        <v>0.17331999999999992</v>
      </c>
      <c r="EO489" s="347"/>
      <c r="EP489" s="345"/>
      <c r="EQ489" s="352">
        <f>AVERAGE(EQ485:EQ486)-EP487</f>
        <v>0.58000000000000007</v>
      </c>
      <c r="ER489" s="352">
        <f>AVERAGE(ER485:ER486)-EQ487</f>
        <v>5.1810000000000023E-2</v>
      </c>
      <c r="ES489" s="352">
        <f>AVERAGE(ES485:ES486)-ER487</f>
        <v>1.4600000000000168E-3</v>
      </c>
      <c r="ET489" s="352">
        <f>AVERAGE(ET485:ET486)-ES487</f>
        <v>9.3040000000000012E-2</v>
      </c>
      <c r="EU489" s="347"/>
      <c r="EV489" s="345"/>
      <c r="EW489" s="352"/>
      <c r="EX489" s="352">
        <f>AVERAGE(EX485:EX486)-EW487</f>
        <v>5.8849999999999958E-2</v>
      </c>
      <c r="EY489" s="352">
        <f>AVERAGE(EY485:EY486)-EX487</f>
        <v>2.1889999999999965E-2</v>
      </c>
      <c r="EZ489" s="352">
        <f>AVERAGE(EZ485:EZ486)-EY487</f>
        <v>0.10733000000000004</v>
      </c>
      <c r="FA489" s="347"/>
      <c r="FB489" s="345"/>
      <c r="FC489" s="272"/>
      <c r="FD489" s="272"/>
      <c r="FE489" s="272"/>
      <c r="FF489" s="272"/>
      <c r="FG489" s="347"/>
      <c r="FH489" s="345"/>
      <c r="FI489" s="272"/>
      <c r="FJ489" s="272"/>
      <c r="FK489" s="272"/>
      <c r="FL489" s="272"/>
      <c r="FM489" s="347"/>
      <c r="FQ489"/>
      <c r="FR489"/>
      <c r="FS489"/>
      <c r="FT489"/>
      <c r="FU489"/>
      <c r="FV489"/>
      <c r="GB489" s="24"/>
      <c r="GC489" s="24"/>
      <c r="GD489" s="24"/>
      <c r="GE489" s="24"/>
      <c r="GF489" s="24"/>
      <c r="GG489" s="24"/>
      <c r="GH489" s="24"/>
      <c r="GI489" s="24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  <c r="HB489"/>
      <c r="HC489"/>
      <c r="HD489"/>
      <c r="HE489"/>
      <c r="HF489"/>
      <c r="HG489"/>
      <c r="HH489"/>
      <c r="HI489"/>
      <c r="HJ489"/>
      <c r="HK489"/>
      <c r="HL489"/>
      <c r="HM489"/>
      <c r="HN489"/>
      <c r="HO489"/>
      <c r="HP489"/>
      <c r="HQ489"/>
      <c r="HR489"/>
      <c r="HS489"/>
      <c r="HT489"/>
      <c r="HU489"/>
      <c r="HV489"/>
      <c r="HW489"/>
      <c r="HX489"/>
      <c r="HY489"/>
      <c r="HZ489"/>
      <c r="IA489"/>
      <c r="IB489"/>
      <c r="IC489"/>
      <c r="ID489"/>
      <c r="IE489"/>
      <c r="IF489"/>
      <c r="IG489"/>
      <c r="IH489"/>
      <c r="II489"/>
      <c r="IJ489"/>
      <c r="IK489"/>
      <c r="IL489"/>
      <c r="IM489"/>
      <c r="IN489"/>
      <c r="IO489"/>
      <c r="IP489"/>
      <c r="IQ489"/>
      <c r="IR489"/>
      <c r="IS489"/>
      <c r="IT489"/>
      <c r="IU489"/>
      <c r="IV489"/>
      <c r="IW489"/>
      <c r="IX489"/>
      <c r="IY489"/>
      <c r="IZ489"/>
      <c r="JA489"/>
      <c r="JB489"/>
      <c r="JC489"/>
      <c r="JD489"/>
      <c r="JE489"/>
      <c r="JF489"/>
      <c r="JG489"/>
      <c r="JH489"/>
      <c r="JI489"/>
      <c r="JJ489"/>
      <c r="JK489"/>
      <c r="JL489"/>
      <c r="JM489"/>
      <c r="JN489"/>
    </row>
    <row r="490" spans="1:274" s="27" customFormat="1" ht="12" customHeight="1" x14ac:dyDescent="0.2">
      <c r="C490" s="242"/>
      <c r="D490" s="242"/>
      <c r="E490" s="242"/>
      <c r="F490" s="242"/>
      <c r="G490" s="242"/>
      <c r="H490" s="242"/>
      <c r="I490" s="242"/>
      <c r="J490" s="242"/>
      <c r="K490" s="242"/>
      <c r="L490" s="242"/>
      <c r="M490" s="242"/>
      <c r="O490" s="272"/>
      <c r="P490" s="272"/>
      <c r="Q490" s="272"/>
      <c r="R490" s="272"/>
      <c r="S490" s="242"/>
      <c r="U490" s="272"/>
      <c r="V490" s="272"/>
      <c r="W490" s="272"/>
      <c r="X490" s="272"/>
      <c r="Y490" s="242"/>
      <c r="AA490" s="272"/>
      <c r="AB490" s="272"/>
      <c r="AC490" s="272"/>
      <c r="AD490" s="272"/>
      <c r="AE490" s="242"/>
      <c r="AG490" s="272"/>
      <c r="AH490" s="272"/>
      <c r="AI490" s="272"/>
      <c r="AJ490" s="272"/>
      <c r="AK490" s="242"/>
      <c r="AM490" s="272"/>
      <c r="AN490" s="272"/>
      <c r="AO490" s="272"/>
      <c r="AP490" s="272"/>
      <c r="AQ490" s="242"/>
      <c r="AS490" s="272"/>
      <c r="AT490" s="272"/>
      <c r="AU490" s="272"/>
      <c r="AV490" s="272"/>
      <c r="AW490" s="242"/>
      <c r="AY490" s="272"/>
      <c r="AZ490" s="272"/>
      <c r="BA490" s="272"/>
      <c r="BB490" s="272"/>
      <c r="BC490" s="242"/>
      <c r="BE490" s="272"/>
      <c r="BF490" s="272"/>
      <c r="BG490" s="272"/>
      <c r="BH490" s="272"/>
      <c r="BI490" s="242"/>
      <c r="BK490" s="272"/>
      <c r="BL490" s="272"/>
      <c r="BM490" s="272"/>
      <c r="BN490" s="272"/>
      <c r="BO490" s="242"/>
      <c r="BQ490" s="272"/>
      <c r="BR490" s="272"/>
      <c r="BS490" s="272"/>
      <c r="BT490" s="272"/>
      <c r="BU490" s="242"/>
      <c r="BW490" s="927"/>
      <c r="BX490" s="927"/>
      <c r="BY490" s="927"/>
      <c r="BZ490" s="927"/>
      <c r="CA490" s="242"/>
      <c r="CC490" s="927"/>
      <c r="CD490" s="927"/>
      <c r="CE490" s="927"/>
      <c r="CF490" s="927"/>
      <c r="CG490" s="347"/>
      <c r="CI490" s="927"/>
      <c r="CJ490" s="927"/>
      <c r="CK490" s="927"/>
      <c r="CL490" s="927"/>
      <c r="CM490" s="474"/>
      <c r="CO490" s="927"/>
      <c r="CP490" s="927"/>
      <c r="CQ490" s="927"/>
      <c r="CR490" s="927"/>
      <c r="CS490" s="557"/>
      <c r="CT490" s="345"/>
      <c r="CU490" s="927"/>
      <c r="CV490" s="927"/>
      <c r="CW490" s="927"/>
      <c r="CX490" s="927"/>
      <c r="CY490" s="347"/>
      <c r="CZ490" s="345"/>
      <c r="DA490" s="927"/>
      <c r="DB490" s="927"/>
      <c r="DC490" s="927"/>
      <c r="DD490" s="927"/>
      <c r="DE490" s="347"/>
      <c r="DF490" s="345"/>
      <c r="DG490" s="927"/>
      <c r="DH490" s="927"/>
      <c r="DI490" s="927"/>
      <c r="DJ490" s="927"/>
      <c r="DK490" s="347"/>
      <c r="DL490" s="345"/>
      <c r="DM490" s="927"/>
      <c r="DN490" s="927"/>
      <c r="DO490" s="927"/>
      <c r="DP490" s="927"/>
      <c r="DQ490" s="347"/>
      <c r="DR490" s="345"/>
      <c r="DS490" s="927"/>
      <c r="DT490" s="272"/>
      <c r="DU490" s="272"/>
      <c r="DV490" s="927"/>
      <c r="DW490" s="347"/>
      <c r="DX490" s="345"/>
      <c r="DY490" s="272"/>
      <c r="DZ490" s="272"/>
      <c r="EA490" s="272"/>
      <c r="EB490" s="927"/>
      <c r="EC490" s="347"/>
      <c r="ED490" s="345"/>
      <c r="EE490" s="272"/>
      <c r="EF490" s="272"/>
      <c r="EG490" s="272"/>
      <c r="EH490" s="272"/>
      <c r="EI490" s="347"/>
      <c r="EJ490" s="345"/>
      <c r="EK490" s="272"/>
      <c r="EL490" s="272"/>
      <c r="EM490" s="272"/>
      <c r="EN490" s="272"/>
      <c r="EO490" s="347"/>
      <c r="EP490" s="345"/>
      <c r="EQ490" s="272"/>
      <c r="ER490" s="272"/>
      <c r="ES490" s="272"/>
      <c r="ET490" s="272"/>
      <c r="EU490" s="347"/>
      <c r="EV490" s="345"/>
      <c r="EW490" s="272"/>
      <c r="EX490" s="272"/>
      <c r="EY490" s="272"/>
      <c r="EZ490" s="272"/>
      <c r="FA490" s="347"/>
      <c r="FB490" s="345"/>
      <c r="FC490" s="272"/>
      <c r="FD490" s="272"/>
      <c r="FE490" s="272"/>
      <c r="FF490" s="272"/>
      <c r="FG490" s="347"/>
      <c r="FH490" s="345"/>
      <c r="FI490" s="272"/>
      <c r="FJ490" s="272"/>
      <c r="FK490" s="272"/>
      <c r="FL490" s="272"/>
      <c r="FM490" s="347"/>
      <c r="FQ490"/>
      <c r="FR490"/>
      <c r="FS490"/>
      <c r="FT490"/>
      <c r="FU490"/>
      <c r="FV490"/>
      <c r="GB490" s="24"/>
      <c r="GC490" s="24"/>
      <c r="GD490" s="24"/>
      <c r="GE490" s="24"/>
      <c r="GF490" s="24"/>
      <c r="GG490" s="24"/>
      <c r="GH490" s="24"/>
      <c r="GI490" s="24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  <c r="HB490"/>
      <c r="HC490"/>
      <c r="HD490"/>
      <c r="HE490"/>
      <c r="HF490"/>
      <c r="HG490"/>
      <c r="HH490"/>
      <c r="HI490"/>
      <c r="HJ490"/>
      <c r="HK490"/>
      <c r="HL490"/>
      <c r="HM490"/>
      <c r="HN490"/>
      <c r="HO490"/>
      <c r="HP490"/>
      <c r="HQ490"/>
      <c r="HR490"/>
      <c r="HS490"/>
      <c r="HT490"/>
      <c r="HU490"/>
      <c r="HV490"/>
      <c r="HW490"/>
      <c r="HX490"/>
      <c r="HY490"/>
      <c r="HZ490"/>
      <c r="IA490"/>
      <c r="IB490"/>
      <c r="IC490"/>
      <c r="ID490"/>
      <c r="IE490"/>
      <c r="IF490"/>
      <c r="IG490"/>
      <c r="IH490"/>
      <c r="II490"/>
      <c r="IJ490"/>
      <c r="IK490"/>
      <c r="IL490"/>
      <c r="IM490"/>
      <c r="IN490"/>
      <c r="IO490"/>
      <c r="IP490"/>
      <c r="IQ490"/>
      <c r="IR490"/>
      <c r="IS490"/>
      <c r="IT490"/>
      <c r="IU490"/>
      <c r="IV490"/>
      <c r="IW490"/>
      <c r="IX490"/>
      <c r="IY490"/>
      <c r="IZ490"/>
      <c r="JA490"/>
      <c r="JB490"/>
      <c r="JC490"/>
      <c r="JD490"/>
      <c r="JE490"/>
      <c r="JF490"/>
      <c r="JG490"/>
      <c r="JH490"/>
      <c r="JI490"/>
      <c r="JJ490"/>
      <c r="JK490"/>
      <c r="JL490"/>
      <c r="JM490"/>
      <c r="JN490"/>
    </row>
    <row r="491" spans="1:274" s="27" customFormat="1" x14ac:dyDescent="0.2">
      <c r="A491" s="32" t="s">
        <v>1034</v>
      </c>
      <c r="C491" s="242"/>
      <c r="D491" s="242"/>
      <c r="E491" s="242"/>
      <c r="F491" s="242"/>
      <c r="G491" s="242"/>
      <c r="H491" s="242"/>
      <c r="I491" s="242"/>
      <c r="J491" s="242"/>
      <c r="K491" s="242"/>
      <c r="L491" s="242"/>
      <c r="M491" s="242"/>
      <c r="O491" s="272"/>
      <c r="P491" s="272"/>
      <c r="Q491" s="272"/>
      <c r="R491" s="272"/>
      <c r="S491" s="242"/>
      <c r="U491" s="272"/>
      <c r="V491" s="272"/>
      <c r="W491" s="272"/>
      <c r="X491" s="272"/>
      <c r="Y491" s="242"/>
      <c r="AA491" s="272"/>
      <c r="AB491" s="272"/>
      <c r="AC491" s="272"/>
      <c r="AD491" s="272"/>
      <c r="AE491" s="242"/>
      <c r="AG491" s="272"/>
      <c r="AH491" s="272"/>
      <c r="AI491" s="272"/>
      <c r="AJ491" s="272"/>
      <c r="AK491" s="242"/>
      <c r="AM491" s="272"/>
      <c r="AN491" s="272"/>
      <c r="AO491" s="272"/>
      <c r="AP491" s="272"/>
      <c r="AQ491" s="242"/>
      <c r="AS491" s="272"/>
      <c r="AT491" s="272"/>
      <c r="AU491" s="272"/>
      <c r="AV491" s="272"/>
      <c r="AW491" s="242"/>
      <c r="AY491" s="272"/>
      <c r="AZ491" s="272"/>
      <c r="BA491" s="272"/>
      <c r="BB491" s="272"/>
      <c r="BC491" s="242"/>
      <c r="BE491" s="272"/>
      <c r="BF491" s="272"/>
      <c r="BG491" s="272"/>
      <c r="BH491" s="272"/>
      <c r="BI491" s="242"/>
      <c r="BK491" s="272"/>
      <c r="BL491" s="272"/>
      <c r="BM491" s="272"/>
      <c r="BN491" s="272"/>
      <c r="BO491" s="242"/>
      <c r="BQ491" s="272"/>
      <c r="BR491" s="272"/>
      <c r="BS491" s="272"/>
      <c r="BT491" s="272"/>
      <c r="BU491" s="242"/>
      <c r="BW491" s="272"/>
      <c r="BX491" s="272"/>
      <c r="BY491" s="272"/>
      <c r="BZ491" s="272"/>
      <c r="CA491" s="242"/>
      <c r="CC491" s="272"/>
      <c r="CD491" s="272"/>
      <c r="CE491" s="272"/>
      <c r="CF491" s="272"/>
      <c r="CG491" s="347"/>
      <c r="CI491" s="272"/>
      <c r="CJ491" s="272"/>
      <c r="CK491" s="272"/>
      <c r="CL491" s="272"/>
      <c r="CM491" s="474"/>
      <c r="CO491" s="242"/>
      <c r="CQ491" s="272"/>
      <c r="CR491" s="272"/>
      <c r="CS491" s="557"/>
      <c r="CT491" s="345"/>
      <c r="CU491" s="272"/>
      <c r="CV491" s="272"/>
      <c r="CW491" s="272"/>
      <c r="CX491" s="272"/>
      <c r="CY491" s="347"/>
      <c r="CZ491" s="345"/>
      <c r="DA491" s="272"/>
      <c r="DB491" s="272"/>
      <c r="DC491" s="272"/>
      <c r="DD491" s="272"/>
      <c r="DE491" s="347"/>
      <c r="DF491" s="345"/>
      <c r="DG491" s="272"/>
      <c r="DH491" s="272"/>
      <c r="DI491" s="272"/>
      <c r="DJ491" s="272"/>
      <c r="DK491" s="347"/>
      <c r="DL491" s="345"/>
      <c r="DM491" s="272"/>
      <c r="DN491" s="272"/>
      <c r="DO491" s="272"/>
      <c r="DP491" s="272"/>
      <c r="DQ491" s="347"/>
      <c r="DR491" s="345"/>
      <c r="DS491" s="272"/>
      <c r="DT491" s="272"/>
      <c r="DU491" s="272"/>
      <c r="DV491" s="272"/>
      <c r="DW491" s="347"/>
      <c r="DX491" s="345"/>
      <c r="DY491" s="272"/>
      <c r="DZ491" s="272"/>
      <c r="EA491" s="272"/>
      <c r="EB491" s="272"/>
      <c r="EC491" s="347"/>
      <c r="ED491" s="345"/>
      <c r="EE491" s="272"/>
      <c r="EF491" s="272"/>
      <c r="EG491" s="272"/>
      <c r="EH491" s="272"/>
      <c r="EI491" s="347"/>
      <c r="EJ491" s="345"/>
      <c r="EK491" s="272"/>
      <c r="EL491" s="272"/>
      <c r="EM491" s="272"/>
      <c r="EN491" s="272"/>
      <c r="EO491" s="347"/>
      <c r="EP491" s="345"/>
      <c r="EQ491" s="272"/>
      <c r="ER491" s="272"/>
      <c r="ES491" s="272"/>
      <c r="ET491" s="272"/>
      <c r="EU491" s="347"/>
      <c r="EV491" s="345"/>
      <c r="EW491" s="272"/>
      <c r="EX491" s="272"/>
      <c r="EY491" s="272"/>
      <c r="EZ491" s="272"/>
      <c r="FA491" s="347"/>
      <c r="FB491" s="345"/>
      <c r="FC491" s="272"/>
      <c r="FD491" s="272"/>
      <c r="FE491" s="272"/>
      <c r="FF491" s="272"/>
      <c r="FG491" s="347"/>
      <c r="FH491" s="345"/>
      <c r="FI491" s="272"/>
      <c r="FJ491" s="272"/>
      <c r="FK491" s="272"/>
      <c r="FL491" s="272"/>
      <c r="FM491" s="347"/>
      <c r="FQ491"/>
      <c r="FR491"/>
      <c r="FS491"/>
      <c r="FT491"/>
      <c r="FU491"/>
      <c r="FV491"/>
      <c r="GB491" s="24"/>
      <c r="GC491" s="24"/>
      <c r="GD491" s="24"/>
      <c r="GE491" s="24"/>
      <c r="GF491" s="24"/>
      <c r="GG491" s="24"/>
      <c r="GH491" s="24"/>
      <c r="GI491" s="24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  <c r="HB491"/>
      <c r="HC491"/>
      <c r="HD491"/>
      <c r="HE491"/>
      <c r="HF491"/>
      <c r="HG491"/>
      <c r="HH491"/>
      <c r="HI491"/>
      <c r="HJ491"/>
      <c r="HK491"/>
      <c r="HL491"/>
      <c r="HM491"/>
      <c r="HN491"/>
      <c r="HO491"/>
      <c r="HP491"/>
      <c r="HQ491"/>
      <c r="HR491"/>
      <c r="HS491"/>
      <c r="HT491"/>
      <c r="HU491"/>
      <c r="HV491"/>
      <c r="HW491"/>
      <c r="HX491"/>
      <c r="HY491"/>
      <c r="HZ491"/>
      <c r="IA491"/>
      <c r="IB491"/>
      <c r="IC491"/>
      <c r="ID491"/>
      <c r="IE491"/>
      <c r="IF491"/>
      <c r="IG491"/>
      <c r="IH491"/>
      <c r="II491"/>
      <c r="IJ491"/>
      <c r="IK491"/>
      <c r="IL491"/>
      <c r="IM491"/>
      <c r="IN491"/>
      <c r="IO491"/>
      <c r="IP491"/>
      <c r="IQ491"/>
      <c r="IR491"/>
      <c r="IS491"/>
      <c r="IT491"/>
      <c r="IU491"/>
      <c r="IV491"/>
      <c r="IW491"/>
      <c r="IX491"/>
      <c r="IY491"/>
      <c r="IZ491"/>
      <c r="JA491"/>
      <c r="JB491"/>
      <c r="JC491"/>
      <c r="JD491"/>
      <c r="JE491"/>
      <c r="JF491"/>
      <c r="JG491"/>
      <c r="JH491"/>
      <c r="JI491"/>
      <c r="JJ491"/>
      <c r="JK491"/>
      <c r="JL491"/>
      <c r="JM491"/>
      <c r="JN491"/>
    </row>
    <row r="492" spans="1:274" s="27" customFormat="1" ht="12" customHeight="1" x14ac:dyDescent="0.2">
      <c r="A492" s="27" t="s">
        <v>457</v>
      </c>
      <c r="C492" s="242"/>
      <c r="D492" s="242"/>
      <c r="E492" s="242"/>
      <c r="F492" s="242"/>
      <c r="G492" s="242"/>
      <c r="H492" s="242"/>
      <c r="I492" s="242"/>
      <c r="J492" s="242"/>
      <c r="K492" s="242"/>
      <c r="L492" s="242"/>
      <c r="M492" s="242"/>
      <c r="O492" s="272"/>
      <c r="P492" s="272"/>
      <c r="Q492" s="272"/>
      <c r="R492" s="272"/>
      <c r="S492" s="242"/>
      <c r="U492" s="272"/>
      <c r="V492" s="272"/>
      <c r="W492" s="272"/>
      <c r="X492" s="272"/>
      <c r="Y492" s="242"/>
      <c r="AA492" s="272"/>
      <c r="AB492" s="272"/>
      <c r="AC492" s="272"/>
      <c r="AD492" s="272"/>
      <c r="AE492" s="242"/>
      <c r="AG492" s="272"/>
      <c r="AH492" s="272"/>
      <c r="AI492" s="272"/>
      <c r="AJ492" s="272"/>
      <c r="AK492" s="242"/>
      <c r="AM492" s="272"/>
      <c r="AN492" s="272"/>
      <c r="AO492" s="272"/>
      <c r="AP492" s="272"/>
      <c r="AQ492" s="242"/>
      <c r="AS492" s="272"/>
      <c r="AT492" s="272"/>
      <c r="AU492" s="272"/>
      <c r="AV492" s="272"/>
      <c r="AW492" s="242"/>
      <c r="AY492" s="272"/>
      <c r="AZ492" s="272"/>
      <c r="BA492" s="272"/>
      <c r="BB492" s="272"/>
      <c r="BC492" s="242"/>
      <c r="BE492" s="272"/>
      <c r="BF492" s="272"/>
      <c r="BG492" s="272"/>
      <c r="BH492" s="272"/>
      <c r="BI492" s="242"/>
      <c r="BK492" s="272"/>
      <c r="BL492" s="272"/>
      <c r="BM492" s="272"/>
      <c r="BN492" s="272"/>
      <c r="BO492" s="242"/>
      <c r="BQ492" s="272"/>
      <c r="BR492" s="272"/>
      <c r="BS492" s="272"/>
      <c r="BT492" s="272"/>
      <c r="BU492" s="242"/>
      <c r="BW492" s="272">
        <f>BQ494*1.06</f>
        <v>0</v>
      </c>
      <c r="BX492" s="272">
        <v>2580</v>
      </c>
      <c r="BY492" s="272">
        <v>2700</v>
      </c>
      <c r="BZ492" s="272">
        <v>3660</v>
      </c>
      <c r="CA492" s="242"/>
      <c r="CC492" s="600" t="s">
        <v>40</v>
      </c>
      <c r="CD492" s="600" t="s">
        <v>40</v>
      </c>
      <c r="CE492" s="600">
        <f>CE429-60</f>
        <v>3435.0899999999997</v>
      </c>
      <c r="CF492" s="600">
        <f>BZ494*1.13</f>
        <v>4382.1309599999995</v>
      </c>
      <c r="CG492" s="174"/>
      <c r="CH492" s="60"/>
      <c r="CI492" s="600">
        <f>CC494*1.22</f>
        <v>3376.96</v>
      </c>
      <c r="CJ492" s="600">
        <f>CD494*1.24</f>
        <v>4082.08</v>
      </c>
      <c r="CK492" s="600">
        <f>CE494*1.23</f>
        <v>4267.9769999999999</v>
      </c>
      <c r="CL492" s="600">
        <f>CF494*1.11</f>
        <v>5384.6100000000006</v>
      </c>
      <c r="CM492" s="174"/>
      <c r="CN492" s="60"/>
      <c r="CO492" s="600">
        <f>CI494*1.19</f>
        <v>4273.29</v>
      </c>
      <c r="CP492" s="600">
        <f>CJ494*1.19</f>
        <v>4953.9699999999993</v>
      </c>
      <c r="CQ492" s="600">
        <f>CK494*1.21</f>
        <v>5340.94</v>
      </c>
      <c r="CR492" s="600">
        <f>CL494*1.15</f>
        <v>6702.2</v>
      </c>
      <c r="CS492" s="557"/>
      <c r="CT492" s="345"/>
      <c r="CU492" s="272">
        <f>CO494*1.18</f>
        <v>5344.2199999999993</v>
      </c>
      <c r="CV492" s="272">
        <f>CP494*1.09</f>
        <v>5791.17</v>
      </c>
      <c r="CW492" s="272">
        <f>CQ494*1.01</f>
        <v>5402.49</v>
      </c>
      <c r="CX492" s="272">
        <f>CR494*(1-0.14)</f>
        <v>6225.54</v>
      </c>
      <c r="CY492" s="347"/>
      <c r="CZ492" s="345"/>
      <c r="DA492" s="272">
        <f>CU494*(1-0.04)</f>
        <v>5117.76</v>
      </c>
      <c r="DB492" s="272">
        <f>CV494*(1-0)</f>
        <v>5607</v>
      </c>
      <c r="DC492" s="272">
        <f>CW494*1.04</f>
        <v>5671.12</v>
      </c>
      <c r="DD492" s="272">
        <f>CX494*1.35</f>
        <v>9262.35</v>
      </c>
      <c r="DE492" s="347"/>
      <c r="DF492" s="345"/>
      <c r="DG492" s="272">
        <f>DA494*1.39</f>
        <v>7025.0599999999995</v>
      </c>
      <c r="DH492" s="272">
        <f>DB494*(1+38%)</f>
        <v>8084.0399999999991</v>
      </c>
      <c r="DI492" s="272">
        <f>DC494*(1+32%)</f>
        <v>8453.8079999999991</v>
      </c>
      <c r="DJ492" s="272">
        <f>DD494*(1+10%)</f>
        <v>10455.5</v>
      </c>
      <c r="DK492" s="347"/>
      <c r="DL492" s="345"/>
      <c r="DM492" s="272">
        <f>DG494*1.1</f>
        <v>8252.2000000000007</v>
      </c>
      <c r="DN492" s="272">
        <f>DH494*1.05</f>
        <v>9058.35</v>
      </c>
      <c r="DO492" s="272">
        <f>DI494*1.05</f>
        <v>9202.2000000000007</v>
      </c>
      <c r="DP492" s="600">
        <f>DJ494*(1-2%)</f>
        <v>10559.5</v>
      </c>
      <c r="DQ492" s="347"/>
      <c r="DR492" s="345"/>
      <c r="DS492" s="272"/>
      <c r="DT492" s="272"/>
      <c r="DU492" s="272"/>
      <c r="DV492" s="600"/>
      <c r="DW492" s="347"/>
      <c r="DX492" s="345"/>
      <c r="DY492" s="272"/>
      <c r="DZ492" s="272"/>
      <c r="EA492" s="272"/>
      <c r="EB492" s="600"/>
      <c r="EC492" s="347"/>
      <c r="ED492" s="345"/>
      <c r="EE492" s="272"/>
      <c r="EF492" s="272"/>
      <c r="EG492" s="272"/>
      <c r="EH492" s="272"/>
      <c r="EI492" s="347"/>
      <c r="EJ492" s="345"/>
      <c r="EK492" s="272"/>
      <c r="EL492" s="272"/>
      <c r="EM492" s="272"/>
      <c r="EN492" s="272"/>
      <c r="EO492" s="347"/>
      <c r="EP492" s="345"/>
      <c r="EQ492" s="272"/>
      <c r="ER492" s="272"/>
      <c r="ES492" s="272"/>
      <c r="ET492" s="272"/>
      <c r="EU492" s="347"/>
      <c r="EV492" s="345"/>
      <c r="EW492" s="272"/>
      <c r="EX492" s="272"/>
      <c r="EY492" s="272"/>
      <c r="EZ492" s="272"/>
      <c r="FA492" s="347"/>
      <c r="FB492" s="345"/>
      <c r="FC492" s="272"/>
      <c r="FD492" s="272"/>
      <c r="FE492" s="272"/>
      <c r="FF492" s="272"/>
      <c r="FG492" s="347"/>
      <c r="FH492" s="345"/>
      <c r="FI492" s="272"/>
      <c r="FJ492" s="272"/>
      <c r="FK492" s="272"/>
      <c r="FL492" s="272"/>
      <c r="FM492" s="347"/>
      <c r="FQ492"/>
      <c r="FR492"/>
      <c r="FS492"/>
      <c r="FT492"/>
      <c r="FU492"/>
      <c r="FV492"/>
      <c r="GB492" s="24"/>
      <c r="GC492" s="24"/>
      <c r="GD492" s="24"/>
      <c r="GE492" s="24"/>
      <c r="GF492" s="24"/>
      <c r="GG492" s="24"/>
      <c r="GH492" s="24"/>
      <c r="GI492" s="24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  <c r="HB492"/>
      <c r="HC492"/>
      <c r="HD492"/>
      <c r="HE492"/>
      <c r="HF492"/>
      <c r="HG492"/>
      <c r="HH492"/>
      <c r="HI492"/>
      <c r="HJ492"/>
      <c r="HK492"/>
      <c r="HL492"/>
      <c r="HM492"/>
      <c r="HN492"/>
      <c r="HO492"/>
      <c r="HP492"/>
      <c r="HQ492"/>
      <c r="HR492"/>
      <c r="HS492"/>
      <c r="HT492"/>
      <c r="HU492"/>
      <c r="HV492"/>
      <c r="HW492"/>
      <c r="HX492"/>
      <c r="HY492"/>
      <c r="HZ492"/>
      <c r="IA492"/>
      <c r="IB492"/>
      <c r="IC492"/>
      <c r="ID492"/>
      <c r="IE492"/>
      <c r="IF492"/>
      <c r="IG492"/>
      <c r="IH492"/>
      <c r="II492"/>
      <c r="IJ492"/>
      <c r="IK492"/>
      <c r="IL492"/>
      <c r="IM492"/>
      <c r="IN492"/>
      <c r="IO492"/>
      <c r="IP492"/>
      <c r="IQ492"/>
      <c r="IR492"/>
      <c r="IS492"/>
      <c r="IT492"/>
      <c r="IU492"/>
      <c r="IV492"/>
      <c r="IW492"/>
      <c r="IX492"/>
      <c r="IY492"/>
      <c r="IZ492"/>
      <c r="JA492"/>
      <c r="JB492"/>
      <c r="JC492"/>
      <c r="JD492"/>
      <c r="JE492"/>
      <c r="JF492"/>
      <c r="JG492"/>
      <c r="JH492"/>
      <c r="JI492"/>
      <c r="JJ492"/>
      <c r="JK492"/>
      <c r="JL492"/>
      <c r="JM492"/>
      <c r="JN492"/>
    </row>
    <row r="493" spans="1:274" s="27" customFormat="1" ht="12" customHeight="1" x14ac:dyDescent="0.2">
      <c r="A493" s="27" t="s">
        <v>458</v>
      </c>
      <c r="C493" s="242"/>
      <c r="D493" s="242"/>
      <c r="E493" s="242"/>
      <c r="F493" s="242"/>
      <c r="G493" s="242"/>
      <c r="H493" s="242"/>
      <c r="I493" s="242"/>
      <c r="J493" s="242"/>
      <c r="K493" s="242"/>
      <c r="L493" s="242"/>
      <c r="M493" s="242"/>
      <c r="O493" s="272"/>
      <c r="P493" s="272"/>
      <c r="Q493" s="272"/>
      <c r="R493" s="272"/>
      <c r="S493" s="242"/>
      <c r="U493" s="272"/>
      <c r="V493" s="272"/>
      <c r="W493" s="272"/>
      <c r="X493" s="272"/>
      <c r="Y493" s="242"/>
      <c r="AA493" s="272"/>
      <c r="AB493" s="272"/>
      <c r="AC493" s="272"/>
      <c r="AD493" s="272"/>
      <c r="AE493" s="242"/>
      <c r="AG493" s="272"/>
      <c r="AH493" s="272"/>
      <c r="AI493" s="272"/>
      <c r="AJ493" s="272"/>
      <c r="AK493" s="242"/>
      <c r="AM493" s="272"/>
      <c r="AN493" s="272"/>
      <c r="AO493" s="272"/>
      <c r="AP493" s="272"/>
      <c r="AQ493" s="242"/>
      <c r="AS493" s="272"/>
      <c r="AT493" s="272"/>
      <c r="AU493" s="272"/>
      <c r="AV493" s="272"/>
      <c r="AW493" s="242"/>
      <c r="AY493" s="272"/>
      <c r="AZ493" s="272"/>
      <c r="BA493" s="272"/>
      <c r="BB493" s="272"/>
      <c r="BC493" s="242"/>
      <c r="BE493" s="272"/>
      <c r="BF493" s="272"/>
      <c r="BG493" s="272"/>
      <c r="BH493" s="272"/>
      <c r="BI493" s="242"/>
      <c r="BK493" s="272"/>
      <c r="BL493" s="272"/>
      <c r="BM493" s="272"/>
      <c r="BN493" s="272"/>
      <c r="BO493" s="242"/>
      <c r="BQ493" s="272"/>
      <c r="BR493" s="272"/>
      <c r="BS493" s="272"/>
      <c r="BT493" s="272"/>
      <c r="BU493" s="242"/>
      <c r="BW493" s="272">
        <f>BQ494*1.09</f>
        <v>0</v>
      </c>
      <c r="BX493" s="272">
        <v>2660</v>
      </c>
      <c r="BY493" s="272">
        <v>2790</v>
      </c>
      <c r="BZ493" s="272">
        <v>3790</v>
      </c>
      <c r="CA493" s="242"/>
      <c r="CC493" s="600" t="s">
        <v>40</v>
      </c>
      <c r="CD493" s="600" t="s">
        <v>40</v>
      </c>
      <c r="CE493" s="600">
        <f>CE430-60</f>
        <v>3496.95</v>
      </c>
      <c r="CF493" s="600">
        <f>BZ494*1.17</f>
        <v>4537.2506400000002</v>
      </c>
      <c r="CG493" s="174"/>
      <c r="CH493" s="60"/>
      <c r="CI493" s="600">
        <f>CC494*1.24</f>
        <v>3432.32</v>
      </c>
      <c r="CJ493" s="600">
        <f>CD494*1.26</f>
        <v>4147.92</v>
      </c>
      <c r="CK493" s="600">
        <f>CE494*1.25</f>
        <v>4337.375</v>
      </c>
      <c r="CL493" s="600">
        <f>CF494*1.15</f>
        <v>5578.65</v>
      </c>
      <c r="CM493" s="174"/>
      <c r="CN493" s="60"/>
      <c r="CO493" s="600">
        <f>CI494*1.21</f>
        <v>4345.1099999999997</v>
      </c>
      <c r="CP493" s="600">
        <f>CJ494*1.21</f>
        <v>5037.2299999999996</v>
      </c>
      <c r="CQ493" s="600">
        <f>CK494*1.24</f>
        <v>5473.36</v>
      </c>
      <c r="CR493" s="600">
        <f>CL494*1.19</f>
        <v>6935.32</v>
      </c>
      <c r="CS493" s="557"/>
      <c r="CT493" s="345"/>
      <c r="CU493" s="272">
        <f>CO494*1.2</f>
        <v>5434.8</v>
      </c>
      <c r="CV493" s="272">
        <f>CP494*1.12</f>
        <v>5950.56</v>
      </c>
      <c r="CW493" s="272">
        <f>CQ494*1.04</f>
        <v>5562.96</v>
      </c>
      <c r="CX493" s="272">
        <f>CR494*(1-0.1)</f>
        <v>6515.1</v>
      </c>
      <c r="CY493" s="347"/>
      <c r="CZ493" s="345"/>
      <c r="DA493" s="272">
        <f>CU494*(1-0.01)</f>
        <v>5277.69</v>
      </c>
      <c r="DB493" s="272">
        <f>CV494*(1+0.03)</f>
        <v>5775.21</v>
      </c>
      <c r="DC493" s="272">
        <f>CW494*1.07</f>
        <v>5834.71</v>
      </c>
      <c r="DD493" s="272">
        <f>CX494*1.4</f>
        <v>9605.4</v>
      </c>
      <c r="DE493" s="347"/>
      <c r="DF493" s="345"/>
      <c r="DG493" s="272">
        <f>DA494*1.43</f>
        <v>7227.2199999999993</v>
      </c>
      <c r="DH493" s="272">
        <f>DB494*(1+43%)</f>
        <v>8376.94</v>
      </c>
      <c r="DI493" s="272">
        <f>DC494*(1+36%)</f>
        <v>8709.9839999999986</v>
      </c>
      <c r="DJ493" s="272">
        <f>DD494*(1+14%)</f>
        <v>10835.7</v>
      </c>
      <c r="DK493" s="347"/>
      <c r="DL493" s="345"/>
      <c r="DM493" s="272">
        <f>DG494*1.13</f>
        <v>8477.2599999999984</v>
      </c>
      <c r="DN493" s="272">
        <f>DH494*1.09</f>
        <v>9403.43</v>
      </c>
      <c r="DO493" s="272">
        <f>DI494*1.09</f>
        <v>9552.76</v>
      </c>
      <c r="DP493" s="600">
        <f>DJ494*(1+2%)</f>
        <v>10990.5</v>
      </c>
      <c r="DQ493" s="347"/>
      <c r="DR493" s="345"/>
      <c r="DS493" s="272"/>
      <c r="DT493" s="272"/>
      <c r="DU493" s="272"/>
      <c r="DV493" s="600"/>
      <c r="DW493" s="347"/>
      <c r="DX493" s="345"/>
      <c r="DY493" s="272"/>
      <c r="DZ493" s="272"/>
      <c r="EA493" s="272"/>
      <c r="EB493" s="600"/>
      <c r="EC493" s="347"/>
      <c r="ED493" s="345"/>
      <c r="EE493" s="272"/>
      <c r="EF493" s="272"/>
      <c r="EG493" s="272"/>
      <c r="EH493" s="272"/>
      <c r="EI493" s="347"/>
      <c r="EJ493" s="345"/>
      <c r="EK493" s="272"/>
      <c r="EL493" s="272"/>
      <c r="EM493" s="272"/>
      <c r="EN493" s="272"/>
      <c r="EO493" s="347"/>
      <c r="EP493" s="345"/>
      <c r="EQ493" s="272"/>
      <c r="ER493" s="272"/>
      <c r="ES493" s="272"/>
      <c r="ET493" s="272"/>
      <c r="EU493" s="347"/>
      <c r="EV493" s="345"/>
      <c r="EW493" s="272"/>
      <c r="EX493" s="272"/>
      <c r="EY493" s="272"/>
      <c r="EZ493" s="272"/>
      <c r="FA493" s="347"/>
      <c r="FB493" s="345"/>
      <c r="FC493" s="272"/>
      <c r="FD493" s="272"/>
      <c r="FE493" s="272"/>
      <c r="FF493" s="272"/>
      <c r="FG493" s="347"/>
      <c r="FH493" s="345"/>
      <c r="FI493" s="272"/>
      <c r="FJ493" s="272"/>
      <c r="FK493" s="272"/>
      <c r="FL493" s="272"/>
      <c r="FM493" s="347"/>
      <c r="FQ493"/>
      <c r="FR493"/>
      <c r="FS493"/>
      <c r="FT493"/>
      <c r="FU493"/>
      <c r="FV493"/>
      <c r="GB493" s="24"/>
      <c r="GC493" s="24"/>
      <c r="GD493" s="24"/>
      <c r="GE493" s="24"/>
      <c r="GF493" s="24"/>
      <c r="GG493" s="24"/>
      <c r="GH493" s="24"/>
      <c r="GI493" s="24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  <c r="HB493"/>
      <c r="HC493"/>
      <c r="HD493"/>
      <c r="HE493"/>
      <c r="HF493"/>
      <c r="HG493"/>
      <c r="HH493"/>
      <c r="HI493"/>
      <c r="HJ493"/>
      <c r="HK493"/>
      <c r="HL493"/>
      <c r="HM493"/>
      <c r="HN493"/>
      <c r="HO493"/>
      <c r="HP493"/>
      <c r="HQ493"/>
      <c r="HR493"/>
      <c r="HS493"/>
      <c r="HT493"/>
      <c r="HU493"/>
      <c r="HV493"/>
      <c r="HW493"/>
      <c r="HX493"/>
      <c r="HY493"/>
      <c r="HZ493"/>
      <c r="IA493"/>
      <c r="IB493"/>
      <c r="IC493"/>
      <c r="ID493"/>
      <c r="IE493"/>
      <c r="IF493"/>
      <c r="IG493"/>
      <c r="IH493"/>
      <c r="II493"/>
      <c r="IJ493"/>
      <c r="IK493"/>
      <c r="IL493"/>
      <c r="IM493"/>
      <c r="IN493"/>
      <c r="IO493"/>
      <c r="IP493"/>
      <c r="IQ493"/>
      <c r="IR493"/>
      <c r="IS493"/>
      <c r="IT493"/>
      <c r="IU493"/>
      <c r="IV493"/>
      <c r="IW493"/>
      <c r="IX493"/>
      <c r="IY493"/>
      <c r="IZ493"/>
      <c r="JA493"/>
      <c r="JB493"/>
      <c r="JC493"/>
      <c r="JD493"/>
      <c r="JE493"/>
      <c r="JF493"/>
      <c r="JG493"/>
      <c r="JH493"/>
      <c r="JI493"/>
      <c r="JJ493"/>
      <c r="JK493"/>
      <c r="JL493"/>
      <c r="JM493"/>
      <c r="JN493"/>
    </row>
    <row r="494" spans="1:274" s="27" customFormat="1" ht="12" customHeight="1" x14ac:dyDescent="0.2">
      <c r="A494" s="897" t="s">
        <v>913</v>
      </c>
      <c r="B494" s="146"/>
      <c r="C494" s="384"/>
      <c r="D494" s="384"/>
      <c r="E494" s="384"/>
      <c r="F494" s="384"/>
      <c r="G494" s="384"/>
      <c r="H494" s="384"/>
      <c r="I494" s="384"/>
      <c r="J494" s="384"/>
      <c r="K494" s="384"/>
      <c r="L494" s="384"/>
      <c r="M494" s="384"/>
      <c r="N494" s="146"/>
      <c r="O494" s="923"/>
      <c r="P494" s="923"/>
      <c r="Q494" s="923"/>
      <c r="R494" s="923"/>
      <c r="S494" s="384"/>
      <c r="T494" s="146"/>
      <c r="U494" s="923"/>
      <c r="V494" s="923"/>
      <c r="W494" s="923"/>
      <c r="X494" s="923"/>
      <c r="Y494" s="384"/>
      <c r="Z494" s="146"/>
      <c r="AA494" s="923"/>
      <c r="AB494" s="923"/>
      <c r="AC494" s="923"/>
      <c r="AD494" s="923"/>
      <c r="AE494" s="384"/>
      <c r="AF494" s="146"/>
      <c r="AG494" s="923"/>
      <c r="AH494" s="923"/>
      <c r="AI494" s="923"/>
      <c r="AJ494" s="923"/>
      <c r="AK494" s="384"/>
      <c r="AL494" s="146"/>
      <c r="AM494" s="923"/>
      <c r="AN494" s="923"/>
      <c r="AO494" s="923"/>
      <c r="AP494" s="923"/>
      <c r="AQ494" s="384"/>
      <c r="AR494" s="146"/>
      <c r="AS494" s="923"/>
      <c r="AT494" s="923"/>
      <c r="AU494" s="923"/>
      <c r="AV494" s="923"/>
      <c r="AW494" s="384"/>
      <c r="AX494" s="146"/>
      <c r="AY494" s="923"/>
      <c r="AZ494" s="923"/>
      <c r="BA494" s="923"/>
      <c r="BB494" s="923"/>
      <c r="BC494" s="384"/>
      <c r="BD494" s="146"/>
      <c r="BE494" s="923"/>
      <c r="BF494" s="923"/>
      <c r="BG494" s="923"/>
      <c r="BH494" s="923"/>
      <c r="BI494" s="384"/>
      <c r="BJ494" s="146"/>
      <c r="BK494" s="923"/>
      <c r="BL494" s="923"/>
      <c r="BM494" s="923"/>
      <c r="BN494" s="923"/>
      <c r="BO494" s="384"/>
      <c r="BP494" s="146"/>
      <c r="BQ494" s="923"/>
      <c r="BR494" s="923"/>
      <c r="BS494" s="923"/>
      <c r="BT494" s="923"/>
      <c r="BU494" s="384"/>
      <c r="BV494" s="146"/>
      <c r="BW494" s="923">
        <f>Model!BW99</f>
        <v>2215</v>
      </c>
      <c r="BX494" s="923">
        <f>Model!BX99</f>
        <v>2756</v>
      </c>
      <c r="BY494" s="923">
        <f>Model!BY99</f>
        <v>2950</v>
      </c>
      <c r="BZ494" s="923">
        <f>Model!BZ99</f>
        <v>3877.9920000000002</v>
      </c>
      <c r="CA494" s="384"/>
      <c r="CB494" s="146"/>
      <c r="CC494" s="939">
        <f>Model!CC99</f>
        <v>2768</v>
      </c>
      <c r="CD494" s="939">
        <f>Model!CD99</f>
        <v>3292</v>
      </c>
      <c r="CE494" s="939">
        <f>Model!CE99</f>
        <v>3469.9</v>
      </c>
      <c r="CF494" s="939">
        <f>Model!CF99</f>
        <v>4851</v>
      </c>
      <c r="CG494" s="898"/>
      <c r="CH494" s="924"/>
      <c r="CI494" s="939">
        <f>Model!CI99</f>
        <v>3591</v>
      </c>
      <c r="CJ494" s="939">
        <f>Model!CJ99</f>
        <v>4163</v>
      </c>
      <c r="CK494" s="939">
        <f>Model!CK99</f>
        <v>4414</v>
      </c>
      <c r="CL494" s="939">
        <f>Model!CL99</f>
        <v>5828</v>
      </c>
      <c r="CM494" s="898"/>
      <c r="CN494" s="924"/>
      <c r="CO494" s="939">
        <f>Model!CO99</f>
        <v>4529</v>
      </c>
      <c r="CP494" s="939">
        <f>Model!CP99</f>
        <v>5313</v>
      </c>
      <c r="CQ494" s="939">
        <f>Model!CQ99</f>
        <v>5349</v>
      </c>
      <c r="CR494" s="939">
        <f>Model!CR99</f>
        <v>7239</v>
      </c>
      <c r="CS494" s="925"/>
      <c r="CT494" s="146"/>
      <c r="CU494" s="939">
        <f>Model!CU99</f>
        <v>5331</v>
      </c>
      <c r="CV494" s="939">
        <f>Model!CV99</f>
        <v>5607</v>
      </c>
      <c r="CW494" s="939">
        <f>Model!CW99</f>
        <v>5453</v>
      </c>
      <c r="CX494" s="939">
        <f>Model!CX99</f>
        <v>6861</v>
      </c>
      <c r="CY494" s="926"/>
      <c r="CZ494" s="146"/>
      <c r="DA494" s="939">
        <f>Model!DA99</f>
        <v>5054</v>
      </c>
      <c r="DB494" s="939">
        <f>Model!DB99</f>
        <v>5858</v>
      </c>
      <c r="DC494" s="939">
        <f>Model!DC99</f>
        <v>6404.4</v>
      </c>
      <c r="DD494" s="939">
        <f>Model!DD99</f>
        <v>9505</v>
      </c>
      <c r="DE494" s="926"/>
      <c r="DF494" s="146"/>
      <c r="DG494" s="939">
        <f>Model!DG99</f>
        <v>7502</v>
      </c>
      <c r="DH494" s="939">
        <f>Model!DH99</f>
        <v>8627</v>
      </c>
      <c r="DI494" s="939">
        <f>Model!DI99</f>
        <v>8764</v>
      </c>
      <c r="DJ494" s="939">
        <f>Model!DJ99</f>
        <v>10775</v>
      </c>
      <c r="DK494" s="926"/>
      <c r="DL494" s="146"/>
      <c r="DM494" s="939">
        <f>Model!DM99</f>
        <v>8374</v>
      </c>
      <c r="DN494" s="939">
        <f>Model!DN99</f>
        <v>8792</v>
      </c>
      <c r="DO494" s="939">
        <f>Model!DO99</f>
        <v>9039.3392000000003</v>
      </c>
      <c r="DP494" s="939">
        <f>Model!DP99</f>
        <v>10916.1597</v>
      </c>
      <c r="DQ494" s="926"/>
      <c r="DR494" s="146"/>
      <c r="DS494" s="939"/>
      <c r="DT494" s="923"/>
      <c r="DU494" s="923"/>
      <c r="DV494" s="939"/>
      <c r="DW494" s="926"/>
      <c r="DX494" s="146"/>
      <c r="DY494" s="923"/>
      <c r="DZ494" s="923"/>
      <c r="EA494" s="923"/>
      <c r="EB494" s="939"/>
      <c r="EC494" s="926"/>
      <c r="ED494" s="146"/>
      <c r="EE494" s="923"/>
      <c r="EF494" s="923"/>
      <c r="EG494" s="923"/>
      <c r="EH494" s="923"/>
      <c r="EI494" s="926"/>
      <c r="EJ494" s="146"/>
      <c r="EK494" s="923"/>
      <c r="EL494" s="923"/>
      <c r="EM494" s="923"/>
      <c r="EN494" s="923"/>
      <c r="EO494" s="926"/>
      <c r="EP494" s="146"/>
      <c r="EQ494" s="923"/>
      <c r="ER494" s="1785"/>
      <c r="ES494" s="1785"/>
      <c r="ET494" s="1785"/>
      <c r="EU494" s="1786"/>
      <c r="EV494" s="1787"/>
      <c r="EW494" s="1785"/>
      <c r="EX494" s="1785"/>
      <c r="EY494" s="1785"/>
      <c r="EZ494" s="1785"/>
      <c r="FA494" s="1786"/>
      <c r="FB494" s="1787"/>
      <c r="FC494" s="1785"/>
      <c r="FD494" s="1785"/>
      <c r="FE494" s="1785"/>
      <c r="FF494" s="1785"/>
      <c r="FG494" s="1786"/>
      <c r="FH494" s="1787"/>
      <c r="FI494" s="1785"/>
      <c r="FJ494" s="1785"/>
      <c r="FK494" s="1785"/>
      <c r="FL494" s="1785"/>
      <c r="FM494" s="1786"/>
      <c r="FQ494"/>
      <c r="FR494"/>
      <c r="FS494"/>
      <c r="FT494"/>
      <c r="FU494"/>
      <c r="FV494"/>
      <c r="GB494" s="24"/>
      <c r="GC494" s="24"/>
      <c r="GD494" s="24"/>
      <c r="GE494" s="24"/>
      <c r="GF494" s="24"/>
      <c r="GG494" s="24"/>
      <c r="GH494" s="24"/>
      <c r="GI494" s="2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  <c r="HB494"/>
      <c r="HC494"/>
      <c r="HD494"/>
      <c r="HE494"/>
      <c r="HF494"/>
      <c r="HG494"/>
      <c r="HH494"/>
      <c r="HI494"/>
      <c r="HJ494"/>
      <c r="HK494"/>
      <c r="HL494"/>
      <c r="HM494"/>
      <c r="HN494"/>
      <c r="HO494"/>
      <c r="HP494"/>
      <c r="HQ494"/>
      <c r="HR494"/>
      <c r="HS494"/>
      <c r="HT494"/>
      <c r="HU494"/>
      <c r="HV494"/>
      <c r="HW494"/>
      <c r="HX494"/>
      <c r="HY494"/>
      <c r="HZ494"/>
      <c r="IA494"/>
      <c r="IB494"/>
      <c r="IC494"/>
      <c r="ID494"/>
      <c r="IE494"/>
      <c r="IF494"/>
      <c r="IG494"/>
      <c r="IH494"/>
      <c r="II494"/>
      <c r="IJ494"/>
      <c r="IK494"/>
      <c r="IL494"/>
      <c r="IM494"/>
      <c r="IN494"/>
      <c r="IO494"/>
      <c r="IP494"/>
      <c r="IQ494"/>
      <c r="IR494"/>
      <c r="IS494"/>
      <c r="IT494"/>
      <c r="IU494"/>
      <c r="IV494"/>
      <c r="IW494"/>
      <c r="IX494"/>
      <c r="IY494"/>
      <c r="IZ494"/>
      <c r="JA494"/>
      <c r="JB494"/>
      <c r="JC494"/>
      <c r="JD494"/>
      <c r="JE494"/>
      <c r="JF494"/>
      <c r="JG494"/>
      <c r="JH494"/>
      <c r="JI494"/>
      <c r="JJ494"/>
      <c r="JK494"/>
      <c r="JL494"/>
      <c r="JM494"/>
      <c r="JN494"/>
    </row>
    <row r="495" spans="1:274" s="27" customFormat="1" ht="12" customHeight="1" x14ac:dyDescent="0.2">
      <c r="C495" s="242"/>
      <c r="D495" s="242"/>
      <c r="E495" s="242"/>
      <c r="F495" s="242"/>
      <c r="G495" s="242"/>
      <c r="H495" s="242"/>
      <c r="I495" s="242"/>
      <c r="J495" s="242"/>
      <c r="K495" s="242"/>
      <c r="L495" s="242"/>
      <c r="M495" s="242"/>
      <c r="O495" s="272"/>
      <c r="P495" s="272"/>
      <c r="Q495" s="272"/>
      <c r="R495" s="272"/>
      <c r="S495" s="242"/>
      <c r="U495" s="272"/>
      <c r="V495" s="272"/>
      <c r="W495" s="272"/>
      <c r="X495" s="272"/>
      <c r="Y495" s="242"/>
      <c r="AA495" s="272"/>
      <c r="AB495" s="272"/>
      <c r="AC495" s="272"/>
      <c r="AD495" s="272"/>
      <c r="AE495" s="242"/>
      <c r="AG495" s="272"/>
      <c r="AH495" s="272"/>
      <c r="AI495" s="272"/>
      <c r="AJ495" s="272"/>
      <c r="AK495" s="242"/>
      <c r="AM495" s="272"/>
      <c r="AN495" s="272"/>
      <c r="AO495" s="272"/>
      <c r="AP495" s="272"/>
      <c r="AQ495" s="242"/>
      <c r="AS495" s="272"/>
      <c r="AT495" s="272"/>
      <c r="AU495" s="272"/>
      <c r="AV495" s="272"/>
      <c r="AW495" s="242"/>
      <c r="AY495" s="272"/>
      <c r="AZ495" s="272"/>
      <c r="BA495" s="272"/>
      <c r="BB495" s="272"/>
      <c r="BC495" s="242"/>
      <c r="BE495" s="272"/>
      <c r="BF495" s="272"/>
      <c r="BG495" s="272"/>
      <c r="BH495" s="272"/>
      <c r="BI495" s="242"/>
      <c r="BK495" s="272"/>
      <c r="BL495" s="272"/>
      <c r="BM495" s="272"/>
      <c r="BN495" s="272"/>
      <c r="BO495" s="242"/>
      <c r="BQ495" s="272"/>
      <c r="BR495" s="272"/>
      <c r="BS495" s="272"/>
      <c r="BT495" s="272"/>
      <c r="BU495" s="242"/>
      <c r="BW495" s="927"/>
      <c r="BX495" s="927">
        <f>BX494/AVERAGE(BX492:BX493)-1</f>
        <v>5.1908396946564794E-2</v>
      </c>
      <c r="BY495" s="927">
        <f>BY494/AVERAGE(BY492:BY493)-1</f>
        <v>7.468123861566478E-2</v>
      </c>
      <c r="BZ495" s="927">
        <f>BZ494/AVERAGE(BZ492:BZ493)-1</f>
        <v>4.1071677852348998E-2</v>
      </c>
      <c r="CA495" s="242"/>
      <c r="CC495" s="272" t="s">
        <v>40</v>
      </c>
      <c r="CD495" s="272" t="s">
        <v>40</v>
      </c>
      <c r="CE495" s="272" t="s">
        <v>40</v>
      </c>
      <c r="CF495" s="272" t="s">
        <v>40</v>
      </c>
      <c r="CG495" s="347"/>
      <c r="CI495" s="272"/>
      <c r="CJ495" s="272"/>
      <c r="CK495" s="272"/>
      <c r="CL495" s="272"/>
      <c r="CM495" s="347"/>
      <c r="CO495" s="272"/>
      <c r="CP495" s="272"/>
      <c r="CQ495" s="272"/>
      <c r="CR495" s="272"/>
      <c r="CS495" s="347"/>
      <c r="CT495" s="345"/>
      <c r="CU495" s="927">
        <f>CU494/AVERAGE(CU492:CU493)-1</f>
        <v>-1.0856274503619145E-2</v>
      </c>
      <c r="CV495" s="927">
        <f>CV494/AVERAGE(CV492:CV493)-1</f>
        <v>-4.4944824995975852E-2</v>
      </c>
      <c r="CW495" s="927">
        <f>CW494/AVERAGE(CW492:CW493)-1</f>
        <v>-5.4215741260049688E-3</v>
      </c>
      <c r="CX495" s="927">
        <f>CX494/AVERAGE(CX492:CX493)-1</f>
        <v>7.702595787966704E-2</v>
      </c>
      <c r="CY495" s="347"/>
      <c r="CZ495" s="345"/>
      <c r="DA495" s="927">
        <f>DA494/AVERAGE(DA492:DA493)-1</f>
        <v>-2.7651520617193115E-2</v>
      </c>
      <c r="DB495" s="927">
        <f>DB494/AVERAGE(DB492:DB493)-1</f>
        <v>2.932558791306783E-2</v>
      </c>
      <c r="DC495" s="927">
        <f>DC494/AVERAGE(DC492:DC493)-1</f>
        <v>0.11324432917920735</v>
      </c>
      <c r="DD495" s="927">
        <f>DD494/AVERAGE(DD492:DD493)-1</f>
        <v>7.5393197387074729E-3</v>
      </c>
      <c r="DE495" s="347"/>
      <c r="DF495" s="345"/>
      <c r="DG495" s="927">
        <f>DG494/AVERAGE(DG492:DG493)-1</f>
        <v>5.2743841687084458E-2</v>
      </c>
      <c r="DH495" s="927">
        <f>DH494/AVERAGE(DH492:DH493)-1</f>
        <v>4.8175746522989504E-2</v>
      </c>
      <c r="DI495" s="927">
        <f>DI494/AVERAGE(DI492:DI493)-1</f>
        <v>2.1219553348118092E-2</v>
      </c>
      <c r="DJ495" s="927">
        <f>DJ494/AVERAGE(DJ492:DJ493)-1</f>
        <v>1.215525663184791E-2</v>
      </c>
      <c r="DK495" s="347"/>
      <c r="DL495" s="345"/>
      <c r="DM495" s="927">
        <f>DM494/AVERAGE(DM492:DM493)-1</f>
        <v>1.1082246527982509E-3</v>
      </c>
      <c r="DN495" s="927">
        <f>DN494/AVERAGE(DN492:DN493)-1</f>
        <v>-4.7545794609187175E-2</v>
      </c>
      <c r="DO495" s="927">
        <f>DO494/AVERAGE(DO492:DO493)-1</f>
        <v>-3.6058813241936938E-2</v>
      </c>
      <c r="DP495" s="927">
        <f>DP494/AVERAGE(DP492:DP493)-1</f>
        <v>1.3100668213457123E-2</v>
      </c>
      <c r="DQ495" s="347"/>
      <c r="DR495" s="345"/>
      <c r="DS495" s="927"/>
      <c r="DT495" s="272"/>
      <c r="DU495" s="272"/>
      <c r="DV495" s="927"/>
      <c r="DW495" s="347"/>
      <c r="DX495" s="345"/>
      <c r="DY495" s="272"/>
      <c r="DZ495" s="272"/>
      <c r="EA495" s="272"/>
      <c r="EB495" s="927"/>
      <c r="EC495" s="347"/>
      <c r="ED495" s="345"/>
      <c r="EE495" s="272"/>
      <c r="EF495" s="272"/>
      <c r="EG495" s="272"/>
      <c r="EH495" s="272"/>
      <c r="EI495" s="347"/>
      <c r="EJ495" s="345"/>
      <c r="EK495" s="272"/>
      <c r="EL495" s="272"/>
      <c r="EM495" s="272"/>
      <c r="EN495" s="272"/>
      <c r="EO495" s="347"/>
      <c r="EP495" s="345"/>
      <c r="EQ495" s="272"/>
      <c r="ER495" s="272"/>
      <c r="ES495" s="272"/>
      <c r="ET495" s="272"/>
      <c r="EU495" s="347"/>
      <c r="EV495" s="345"/>
      <c r="EW495" s="272"/>
      <c r="EX495" s="272"/>
      <c r="EY495" s="272"/>
      <c r="EZ495" s="272"/>
      <c r="FA495" s="347"/>
      <c r="FB495" s="345"/>
      <c r="FC495" s="272"/>
      <c r="FD495" s="272"/>
      <c r="FE495" s="272"/>
      <c r="FF495" s="272"/>
      <c r="FG495" s="347"/>
      <c r="FH495" s="345"/>
      <c r="FI495" s="272"/>
      <c r="FJ495" s="272"/>
      <c r="FK495" s="272"/>
      <c r="FL495" s="272"/>
      <c r="FM495" s="347"/>
      <c r="FQ495"/>
      <c r="FR495"/>
      <c r="FS495"/>
      <c r="FT495"/>
      <c r="FU495"/>
      <c r="FV495"/>
      <c r="GB495" s="24"/>
      <c r="GC495" s="24"/>
      <c r="GD495" s="24"/>
      <c r="GE495" s="24"/>
      <c r="GF495" s="24"/>
      <c r="GG495" s="24"/>
      <c r="GH495" s="24"/>
      <c r="GI495" s="24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  <c r="HB495"/>
      <c r="HC495"/>
      <c r="HD495"/>
      <c r="HE495"/>
      <c r="HF495"/>
      <c r="HG495"/>
      <c r="HH495"/>
      <c r="HI495"/>
      <c r="HJ495"/>
      <c r="HK495"/>
      <c r="HL495"/>
      <c r="HM495"/>
      <c r="HN495"/>
      <c r="HO495"/>
      <c r="HP495"/>
      <c r="HQ495"/>
      <c r="HR495"/>
      <c r="HS495"/>
      <c r="HT495"/>
      <c r="HU495"/>
      <c r="HV495"/>
      <c r="HW495"/>
      <c r="HX495"/>
      <c r="HY495"/>
      <c r="HZ495"/>
      <c r="IA495"/>
      <c r="IB495"/>
      <c r="IC495"/>
      <c r="ID495"/>
      <c r="IE495"/>
      <c r="IF495"/>
      <c r="IG495"/>
      <c r="IH495"/>
      <c r="II495"/>
      <c r="IJ495"/>
      <c r="IK495"/>
      <c r="IL495"/>
      <c r="IM495"/>
      <c r="IN495"/>
      <c r="IO495"/>
      <c r="IP495"/>
      <c r="IQ495"/>
      <c r="IR495"/>
      <c r="IS495"/>
      <c r="IT495"/>
      <c r="IU495"/>
      <c r="IV495"/>
      <c r="IW495"/>
      <c r="IX495"/>
      <c r="IY495"/>
      <c r="IZ495"/>
      <c r="JA495"/>
      <c r="JB495"/>
      <c r="JC495"/>
      <c r="JD495"/>
      <c r="JE495"/>
      <c r="JF495"/>
      <c r="JG495"/>
      <c r="JH495"/>
      <c r="JI495"/>
      <c r="JJ495"/>
      <c r="JK495"/>
      <c r="JL495"/>
      <c r="JM495"/>
      <c r="JN495"/>
    </row>
    <row r="496" spans="1:274" s="27" customFormat="1" x14ac:dyDescent="0.2">
      <c r="A496" s="32" t="s">
        <v>1035</v>
      </c>
      <c r="C496" s="242"/>
      <c r="D496" s="242"/>
      <c r="E496" s="242"/>
      <c r="F496" s="242"/>
      <c r="G496" s="242"/>
      <c r="H496" s="242"/>
      <c r="I496" s="242"/>
      <c r="J496" s="242"/>
      <c r="K496" s="242"/>
      <c r="L496" s="242"/>
      <c r="M496" s="242"/>
      <c r="O496" s="272"/>
      <c r="P496" s="272"/>
      <c r="Q496" s="272"/>
      <c r="R496" s="272"/>
      <c r="S496" s="242"/>
      <c r="U496" s="272"/>
      <c r="V496" s="272"/>
      <c r="W496" s="272"/>
      <c r="X496" s="272"/>
      <c r="Y496" s="242"/>
      <c r="AA496" s="272"/>
      <c r="AB496" s="272"/>
      <c r="AC496" s="272"/>
      <c r="AD496" s="272"/>
      <c r="AE496" s="242"/>
      <c r="AG496" s="272"/>
      <c r="AH496" s="272"/>
      <c r="AI496" s="272"/>
      <c r="AJ496" s="272"/>
      <c r="AK496" s="242"/>
      <c r="AM496" s="272"/>
      <c r="AN496" s="272"/>
      <c r="AO496" s="272"/>
      <c r="AP496" s="272"/>
      <c r="AQ496" s="242"/>
      <c r="AS496" s="272"/>
      <c r="AT496" s="272"/>
      <c r="AU496" s="272"/>
      <c r="AV496" s="272"/>
      <c r="AW496" s="242"/>
      <c r="AY496" s="272"/>
      <c r="AZ496" s="272"/>
      <c r="BA496" s="272"/>
      <c r="BB496" s="272"/>
      <c r="BC496" s="242"/>
      <c r="BE496" s="272"/>
      <c r="BF496" s="272"/>
      <c r="BG496" s="272"/>
      <c r="BH496" s="272"/>
      <c r="BI496" s="242"/>
      <c r="BK496" s="272"/>
      <c r="BL496" s="272"/>
      <c r="BM496" s="272"/>
      <c r="BN496" s="272"/>
      <c r="BO496" s="242"/>
      <c r="BQ496" s="272"/>
      <c r="BR496" s="272"/>
      <c r="BS496" s="272"/>
      <c r="BT496" s="272"/>
      <c r="BU496" s="242"/>
      <c r="BW496" s="272"/>
      <c r="BX496" s="272"/>
      <c r="BY496" s="272"/>
      <c r="BZ496" s="272"/>
      <c r="CA496" s="242"/>
      <c r="CC496" s="272"/>
      <c r="CD496" s="272"/>
      <c r="CE496" s="272"/>
      <c r="CF496" s="272"/>
      <c r="CG496" s="347"/>
      <c r="CI496" s="272"/>
      <c r="CJ496" s="272"/>
      <c r="CK496" s="272"/>
      <c r="CL496" s="272"/>
      <c r="CM496" s="347"/>
      <c r="CO496" s="272"/>
      <c r="CP496" s="272"/>
      <c r="CQ496" s="272"/>
      <c r="CR496" s="272"/>
      <c r="CS496" s="347"/>
      <c r="CT496" s="345"/>
      <c r="CU496" s="272"/>
      <c r="CV496" s="272"/>
      <c r="CW496" s="272"/>
      <c r="CX496" s="272"/>
      <c r="CY496" s="347"/>
      <c r="CZ496" s="345"/>
      <c r="DA496" s="272"/>
      <c r="DB496" s="272"/>
      <c r="DC496" s="272"/>
      <c r="DD496" s="272"/>
      <c r="DE496" s="347"/>
      <c r="DF496" s="345"/>
      <c r="DG496" s="272"/>
      <c r="DH496" s="272"/>
      <c r="DI496" s="272"/>
      <c r="DJ496" s="272"/>
      <c r="DK496" s="347"/>
      <c r="DL496" s="345"/>
      <c r="DM496" s="272"/>
      <c r="DN496" s="272"/>
      <c r="DO496" s="272"/>
      <c r="DP496" s="272"/>
      <c r="DQ496" s="347"/>
      <c r="DR496" s="345"/>
      <c r="DS496" s="272"/>
      <c r="DT496" s="272"/>
      <c r="DU496" s="272"/>
      <c r="DV496" s="272"/>
      <c r="DW496" s="347"/>
      <c r="DX496" s="345"/>
      <c r="DY496" s="272"/>
      <c r="DZ496" s="272"/>
      <c r="EA496" s="272"/>
      <c r="EB496" s="272"/>
      <c r="EC496" s="347"/>
      <c r="ED496" s="345"/>
      <c r="EE496" s="272"/>
      <c r="EF496" s="272"/>
      <c r="EG496" s="272"/>
      <c r="EH496" s="272"/>
      <c r="EI496" s="347"/>
      <c r="EJ496" s="345"/>
      <c r="EK496" s="272"/>
      <c r="EL496" s="272"/>
      <c r="EM496" s="272"/>
      <c r="EN496" s="272"/>
      <c r="EO496" s="347"/>
      <c r="EP496" s="345"/>
      <c r="EQ496" s="272"/>
      <c r="ER496" s="272"/>
      <c r="ES496" s="272"/>
      <c r="ET496" s="272"/>
      <c r="EU496" s="347"/>
      <c r="EV496" s="345"/>
      <c r="EW496" s="272"/>
      <c r="EX496" s="272"/>
      <c r="EY496" s="272"/>
      <c r="EZ496" s="272"/>
      <c r="FA496" s="347"/>
      <c r="FB496" s="345"/>
      <c r="FC496" s="272"/>
      <c r="FD496" s="272"/>
      <c r="FE496" s="272"/>
      <c r="FF496" s="272"/>
      <c r="FG496" s="347"/>
      <c r="FH496" s="345"/>
      <c r="FI496" s="272"/>
      <c r="FJ496" s="272"/>
      <c r="FK496" s="272"/>
      <c r="FL496" s="272"/>
      <c r="FM496" s="347"/>
      <c r="FQ496"/>
      <c r="FR496"/>
      <c r="FS496"/>
      <c r="FT496"/>
      <c r="FU496"/>
      <c r="FV496"/>
      <c r="GB496" s="24"/>
      <c r="GC496" s="24"/>
      <c r="GD496" s="24"/>
      <c r="GE496" s="24"/>
      <c r="GF496" s="24"/>
      <c r="GG496" s="24"/>
      <c r="GH496" s="24"/>
      <c r="GI496" s="24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  <c r="HB496"/>
      <c r="HC496"/>
      <c r="HD496"/>
      <c r="HE496"/>
      <c r="HF496"/>
      <c r="HG496"/>
      <c r="HH496"/>
      <c r="HI496"/>
      <c r="HJ496"/>
      <c r="HK496"/>
      <c r="HL496"/>
      <c r="HM496"/>
      <c r="HN496"/>
      <c r="HO496"/>
      <c r="HP496"/>
      <c r="HQ496"/>
      <c r="HR496"/>
      <c r="HS496"/>
      <c r="HT496"/>
      <c r="HU496"/>
      <c r="HV496"/>
      <c r="HW496"/>
      <c r="HX496"/>
      <c r="HY496"/>
      <c r="HZ496"/>
      <c r="IA496"/>
      <c r="IB496"/>
      <c r="IC496"/>
      <c r="ID496"/>
      <c r="IE496"/>
      <c r="IF496"/>
      <c r="IG496"/>
      <c r="IH496"/>
      <c r="II496"/>
      <c r="IJ496"/>
      <c r="IK496"/>
      <c r="IL496"/>
      <c r="IM496"/>
      <c r="IN496"/>
      <c r="IO496"/>
      <c r="IP496"/>
      <c r="IQ496"/>
      <c r="IR496"/>
      <c r="IS496"/>
      <c r="IT496"/>
      <c r="IU496"/>
      <c r="IV496"/>
      <c r="IW496"/>
      <c r="IX496"/>
      <c r="IY496"/>
      <c r="IZ496"/>
      <c r="JA496"/>
      <c r="JB496"/>
      <c r="JC496"/>
      <c r="JD496"/>
      <c r="JE496"/>
      <c r="JF496"/>
      <c r="JG496"/>
      <c r="JH496"/>
      <c r="JI496"/>
      <c r="JJ496"/>
      <c r="JK496"/>
      <c r="JL496"/>
      <c r="JM496"/>
      <c r="JN496"/>
    </row>
    <row r="497" spans="1:274" s="27" customFormat="1" ht="12" customHeight="1" x14ac:dyDescent="0.2">
      <c r="A497" s="27" t="s">
        <v>457</v>
      </c>
      <c r="C497" s="242"/>
      <c r="D497" s="242"/>
      <c r="E497" s="242"/>
      <c r="F497" s="242"/>
      <c r="G497" s="242"/>
      <c r="H497" s="242"/>
      <c r="I497" s="242"/>
      <c r="J497" s="242"/>
      <c r="K497" s="242"/>
      <c r="L497" s="242"/>
      <c r="M497" s="242"/>
      <c r="O497" s="272"/>
      <c r="P497" s="272"/>
      <c r="Q497" s="272"/>
      <c r="R497" s="272"/>
      <c r="S497" s="242"/>
      <c r="U497" s="272"/>
      <c r="V497" s="272"/>
      <c r="W497" s="272"/>
      <c r="X497" s="272"/>
      <c r="Y497" s="242"/>
      <c r="AA497" s="272"/>
      <c r="AB497" s="272"/>
      <c r="AC497" s="272"/>
      <c r="AD497" s="272"/>
      <c r="AE497" s="242"/>
      <c r="AG497" s="272"/>
      <c r="AH497" s="272"/>
      <c r="AI497" s="272"/>
      <c r="AJ497" s="272"/>
      <c r="AK497" s="242"/>
      <c r="AM497" s="272"/>
      <c r="AN497" s="272"/>
      <c r="AO497" s="272"/>
      <c r="AP497" s="272"/>
      <c r="AQ497" s="242"/>
      <c r="AS497" s="272"/>
      <c r="AT497" s="272"/>
      <c r="AU497" s="272"/>
      <c r="AV497" s="272"/>
      <c r="AW497" s="242"/>
      <c r="AY497" s="272"/>
      <c r="AZ497" s="272"/>
      <c r="BA497" s="272"/>
      <c r="BB497" s="272"/>
      <c r="BC497" s="242"/>
      <c r="BE497" s="272"/>
      <c r="BF497" s="272"/>
      <c r="BG497" s="272"/>
      <c r="BH497" s="272"/>
      <c r="BI497" s="242"/>
      <c r="BK497" s="272"/>
      <c r="BL497" s="272"/>
      <c r="BM497" s="272"/>
      <c r="BN497" s="272"/>
      <c r="BO497" s="242"/>
      <c r="BQ497" s="352"/>
      <c r="BR497" s="352"/>
      <c r="BS497" s="352"/>
      <c r="BT497" s="352"/>
      <c r="BU497" s="349"/>
      <c r="BV497" s="349"/>
      <c r="BW497" s="352">
        <v>0.09</v>
      </c>
      <c r="BX497" s="352">
        <v>0.13</v>
      </c>
      <c r="BY497" s="352">
        <v>0.14000000000000001</v>
      </c>
      <c r="BZ497" s="352">
        <v>0.17</v>
      </c>
      <c r="CA497" s="242"/>
      <c r="CC497" s="272" t="s">
        <v>40</v>
      </c>
      <c r="CD497" s="272" t="s">
        <v>40</v>
      </c>
      <c r="CE497" s="352">
        <v>0.13</v>
      </c>
      <c r="CF497" s="352">
        <v>0.21</v>
      </c>
      <c r="CG497" s="347"/>
      <c r="CI497" s="352">
        <v>0.11</v>
      </c>
      <c r="CJ497" s="352">
        <v>0.17</v>
      </c>
      <c r="CK497" s="352">
        <v>0.18</v>
      </c>
      <c r="CL497" s="352">
        <v>0.3</v>
      </c>
      <c r="CM497" s="347"/>
      <c r="CO497" s="352">
        <v>0.15</v>
      </c>
      <c r="CP497" s="352">
        <v>0.2</v>
      </c>
      <c r="CQ497" s="352">
        <v>0.23</v>
      </c>
      <c r="CR497" s="352">
        <v>0.37</v>
      </c>
      <c r="CS497" s="347"/>
      <c r="CT497" s="345"/>
      <c r="CU497" s="352">
        <v>0.17</v>
      </c>
      <c r="CV497" s="352">
        <v>0.26</v>
      </c>
      <c r="CW497" s="352">
        <v>0.22</v>
      </c>
      <c r="CX497" s="352">
        <v>0.34</v>
      </c>
      <c r="CY497" s="347"/>
      <c r="CZ497" s="345"/>
      <c r="DA497" s="352">
        <v>0.21</v>
      </c>
      <c r="DB497" s="352">
        <v>0.26</v>
      </c>
      <c r="DC497" s="352">
        <v>0.26</v>
      </c>
      <c r="DD497" s="352">
        <v>0.37</v>
      </c>
      <c r="DE497" s="347"/>
      <c r="DF497" s="345"/>
      <c r="DG497" s="352">
        <v>0.17</v>
      </c>
      <c r="DH497" s="352">
        <v>0.27</v>
      </c>
      <c r="DI497" s="352">
        <v>0.34</v>
      </c>
      <c r="DJ497" s="352">
        <v>0.56000000000000005</v>
      </c>
      <c r="DK497" s="347"/>
      <c r="DL497" s="345"/>
      <c r="DM497" s="352">
        <v>0.33</v>
      </c>
      <c r="DN497" s="352">
        <v>0.44</v>
      </c>
      <c r="DO497" s="352">
        <v>0.43</v>
      </c>
      <c r="DP497" s="352">
        <v>0.62</v>
      </c>
      <c r="DQ497" s="347"/>
      <c r="DR497" s="345"/>
      <c r="DS497" s="352"/>
      <c r="DT497" s="272"/>
      <c r="DU497" s="272"/>
      <c r="DV497" s="352"/>
      <c r="DW497" s="347"/>
      <c r="DX497" s="345"/>
      <c r="DY497" s="272"/>
      <c r="DZ497" s="272"/>
      <c r="EA497" s="272"/>
      <c r="EB497" s="352"/>
      <c r="EC497" s="347"/>
      <c r="ED497" s="345"/>
      <c r="EE497" s="272"/>
      <c r="EF497" s="272"/>
      <c r="EG497" s="272"/>
      <c r="EH497" s="272"/>
      <c r="EI497" s="347"/>
      <c r="EJ497" s="345"/>
      <c r="EK497" s="272"/>
      <c r="EL497" s="272"/>
      <c r="EM497" s="272"/>
      <c r="EN497" s="272"/>
      <c r="EO497" s="347"/>
      <c r="EP497" s="345"/>
      <c r="EQ497" s="272"/>
      <c r="ER497" s="272"/>
      <c r="ES497" s="272"/>
      <c r="ET497" s="272"/>
      <c r="EU497" s="347"/>
      <c r="EV497" s="345"/>
      <c r="EW497" s="272"/>
      <c r="EX497" s="272"/>
      <c r="EY497" s="272"/>
      <c r="EZ497" s="272"/>
      <c r="FA497" s="347"/>
      <c r="FB497" s="345"/>
      <c r="FC497" s="272"/>
      <c r="FD497" s="272"/>
      <c r="FE497" s="272"/>
      <c r="FF497" s="272"/>
      <c r="FG497" s="347"/>
      <c r="FH497" s="345"/>
      <c r="FI497" s="272"/>
      <c r="FJ497" s="272"/>
      <c r="FK497" s="272"/>
      <c r="FL497" s="272"/>
      <c r="FM497" s="347"/>
      <c r="FQ497"/>
      <c r="FR497"/>
      <c r="FS497"/>
      <c r="FT497"/>
      <c r="FU497"/>
      <c r="FV497"/>
      <c r="GB497" s="24"/>
      <c r="GC497" s="24"/>
      <c r="GD497" s="24"/>
      <c r="GE497" s="24"/>
      <c r="GF497" s="24"/>
      <c r="GG497" s="24"/>
      <c r="GH497" s="24"/>
      <c r="GI497" s="24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  <c r="HB497"/>
      <c r="HC497"/>
      <c r="HD497"/>
      <c r="HE497"/>
      <c r="HF497"/>
      <c r="HG497"/>
      <c r="HH497"/>
      <c r="HI497"/>
      <c r="HJ497"/>
      <c r="HK497"/>
      <c r="HL497"/>
      <c r="HM497"/>
      <c r="HN497"/>
      <c r="HO497"/>
      <c r="HP497"/>
      <c r="HQ497"/>
      <c r="HR497"/>
      <c r="HS497"/>
      <c r="HT497"/>
      <c r="HU497"/>
      <c r="HV497"/>
      <c r="HW497"/>
      <c r="HX497"/>
      <c r="HY497"/>
      <c r="HZ497"/>
      <c r="IA497"/>
      <c r="IB497"/>
      <c r="IC497"/>
      <c r="ID497"/>
      <c r="IE497"/>
      <c r="IF497"/>
      <c r="IG497"/>
      <c r="IH497"/>
      <c r="II497"/>
      <c r="IJ497"/>
      <c r="IK497"/>
      <c r="IL497"/>
      <c r="IM497"/>
      <c r="IN497"/>
      <c r="IO497"/>
      <c r="IP497"/>
      <c r="IQ497"/>
      <c r="IR497"/>
      <c r="IS497"/>
      <c r="IT497"/>
      <c r="IU497"/>
      <c r="IV497"/>
      <c r="IW497"/>
      <c r="IX497"/>
      <c r="IY497"/>
      <c r="IZ497"/>
      <c r="JA497"/>
      <c r="JB497"/>
      <c r="JC497"/>
      <c r="JD497"/>
      <c r="JE497"/>
      <c r="JF497"/>
      <c r="JG497"/>
      <c r="JH497"/>
      <c r="JI497"/>
      <c r="JJ497"/>
      <c r="JK497"/>
      <c r="JL497"/>
      <c r="JM497"/>
      <c r="JN497"/>
    </row>
    <row r="498" spans="1:274" s="27" customFormat="1" ht="12" customHeight="1" x14ac:dyDescent="0.2">
      <c r="A498" s="27" t="s">
        <v>458</v>
      </c>
      <c r="C498" s="242"/>
      <c r="D498" s="242"/>
      <c r="E498" s="242"/>
      <c r="F498" s="242"/>
      <c r="G498" s="242"/>
      <c r="H498" s="242"/>
      <c r="I498" s="242"/>
      <c r="J498" s="242"/>
      <c r="K498" s="242"/>
      <c r="L498" s="242"/>
      <c r="M498" s="242"/>
      <c r="O498" s="272"/>
      <c r="P498" s="272"/>
      <c r="Q498" s="272"/>
      <c r="R498" s="272"/>
      <c r="S498" s="242"/>
      <c r="U498" s="272"/>
      <c r="V498" s="272"/>
      <c r="W498" s="272"/>
      <c r="X498" s="272"/>
      <c r="Y498" s="242"/>
      <c r="AA498" s="272"/>
      <c r="AB498" s="272"/>
      <c r="AC498" s="272"/>
      <c r="AD498" s="272"/>
      <c r="AE498" s="242"/>
      <c r="AG498" s="272"/>
      <c r="AH498" s="272"/>
      <c r="AI498" s="272"/>
      <c r="AJ498" s="272"/>
      <c r="AK498" s="242"/>
      <c r="AM498" s="272"/>
      <c r="AN498" s="272"/>
      <c r="AO498" s="272"/>
      <c r="AP498" s="272"/>
      <c r="AQ498" s="242"/>
      <c r="AS498" s="272"/>
      <c r="AT498" s="272"/>
      <c r="AU498" s="272"/>
      <c r="AV498" s="272"/>
      <c r="AW498" s="242"/>
      <c r="AY498" s="272"/>
      <c r="AZ498" s="272"/>
      <c r="BA498" s="272"/>
      <c r="BB498" s="272"/>
      <c r="BC498" s="242"/>
      <c r="BE498" s="272"/>
      <c r="BF498" s="272"/>
      <c r="BG498" s="272"/>
      <c r="BH498" s="272"/>
      <c r="BI498" s="242"/>
      <c r="BK498" s="272"/>
      <c r="BL498" s="272"/>
      <c r="BM498" s="272"/>
      <c r="BN498" s="272"/>
      <c r="BO498" s="242"/>
      <c r="BQ498" s="352"/>
      <c r="BR498" s="352"/>
      <c r="BS498" s="352"/>
      <c r="BT498" s="352"/>
      <c r="BU498" s="349"/>
      <c r="BV498" s="349"/>
      <c r="BW498" s="352">
        <v>0.09</v>
      </c>
      <c r="BX498" s="352">
        <v>0.13</v>
      </c>
      <c r="BY498" s="352">
        <v>0.15</v>
      </c>
      <c r="BZ498" s="352">
        <v>0.18</v>
      </c>
      <c r="CA498" s="242"/>
      <c r="CC498" s="272" t="s">
        <v>40</v>
      </c>
      <c r="CD498" s="272" t="s">
        <v>40</v>
      </c>
      <c r="CE498" s="352">
        <v>0.14000000000000001</v>
      </c>
      <c r="CF498" s="352">
        <v>0.23</v>
      </c>
      <c r="CG498" s="347"/>
      <c r="CI498" s="352">
        <v>0.11</v>
      </c>
      <c r="CJ498" s="352">
        <v>0.17</v>
      </c>
      <c r="CK498" s="352">
        <v>0.19</v>
      </c>
      <c r="CL498" s="352">
        <v>0.3</v>
      </c>
      <c r="CM498" s="347"/>
      <c r="CO498" s="352">
        <v>0.15</v>
      </c>
      <c r="CP498" s="352">
        <v>0.21</v>
      </c>
      <c r="CQ498" s="352">
        <v>0.25</v>
      </c>
      <c r="CR498" s="352">
        <v>0.38</v>
      </c>
      <c r="CS498" s="347"/>
      <c r="CT498" s="345"/>
      <c r="CU498" s="352">
        <v>0.18</v>
      </c>
      <c r="CV498" s="352">
        <v>0.27</v>
      </c>
      <c r="CW498" s="352">
        <v>0.24</v>
      </c>
      <c r="CX498" s="352">
        <v>0.38</v>
      </c>
      <c r="CY498" s="347"/>
      <c r="CZ498" s="345"/>
      <c r="DA498" s="352">
        <v>0.22</v>
      </c>
      <c r="DB498" s="352">
        <v>0.27</v>
      </c>
      <c r="DC498" s="352">
        <v>0.28000000000000003</v>
      </c>
      <c r="DD498" s="352">
        <v>0.41</v>
      </c>
      <c r="DE498" s="347"/>
      <c r="DF498" s="345"/>
      <c r="DG498" s="352">
        <v>0.18</v>
      </c>
      <c r="DH498" s="352">
        <v>0.28999999999999998</v>
      </c>
      <c r="DI498" s="352">
        <v>0.36</v>
      </c>
      <c r="DJ498" s="352">
        <v>0.6</v>
      </c>
      <c r="DK498" s="347"/>
      <c r="DL498" s="345"/>
      <c r="DM498" s="352">
        <v>0.36</v>
      </c>
      <c r="DN498" s="352">
        <v>0.46</v>
      </c>
      <c r="DO498" s="352">
        <v>0.46</v>
      </c>
      <c r="DP498" s="352">
        <v>0.67</v>
      </c>
      <c r="DQ498" s="347"/>
      <c r="DR498" s="345"/>
      <c r="DS498" s="352"/>
      <c r="DT498" s="272"/>
      <c r="DU498" s="272"/>
      <c r="DV498" s="352"/>
      <c r="DW498" s="347"/>
      <c r="DX498" s="345"/>
      <c r="DY498" s="272"/>
      <c r="DZ498" s="272"/>
      <c r="EA498" s="272"/>
      <c r="EB498" s="352"/>
      <c r="EC498" s="347"/>
      <c r="ED498" s="345"/>
      <c r="EE498" s="272"/>
      <c r="EF498" s="272"/>
      <c r="EG498" s="272"/>
      <c r="EH498" s="272"/>
      <c r="EI498" s="347"/>
      <c r="EJ498" s="345"/>
      <c r="EK498" s="272"/>
      <c r="EL498" s="272"/>
      <c r="EM498" s="272"/>
      <c r="EN498" s="272"/>
      <c r="EO498" s="347"/>
      <c r="EP498" s="345"/>
      <c r="EQ498" s="272"/>
      <c r="ER498" s="272"/>
      <c r="ES498" s="272"/>
      <c r="ET498" s="272"/>
      <c r="EU498" s="347"/>
      <c r="EV498" s="345"/>
      <c r="EW498" s="272"/>
      <c r="EX498" s="272"/>
      <c r="EY498" s="272"/>
      <c r="EZ498" s="272"/>
      <c r="FA498" s="347"/>
      <c r="FB498" s="345"/>
      <c r="FC498" s="272"/>
      <c r="FD498" s="272"/>
      <c r="FE498" s="272"/>
      <c r="FF498" s="272"/>
      <c r="FG498" s="347"/>
      <c r="FH498" s="345"/>
      <c r="FI498" s="272"/>
      <c r="FJ498" s="272"/>
      <c r="FK498" s="272"/>
      <c r="FL498" s="272"/>
      <c r="FM498" s="347"/>
      <c r="FQ498"/>
      <c r="FR498"/>
      <c r="FS498"/>
      <c r="FT498"/>
      <c r="FU498"/>
      <c r="FV498"/>
      <c r="GB498" s="24"/>
      <c r="GC498" s="24"/>
      <c r="GD498" s="24"/>
      <c r="GE498" s="24"/>
      <c r="GF498" s="24"/>
      <c r="GG498" s="24"/>
      <c r="GH498" s="24"/>
      <c r="GI498" s="24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  <c r="HB498"/>
      <c r="HC498"/>
      <c r="HD498"/>
      <c r="HE498"/>
      <c r="HF498"/>
      <c r="HG498"/>
      <c r="HH498"/>
      <c r="HI498"/>
      <c r="HJ498"/>
      <c r="HK498"/>
      <c r="HL498"/>
      <c r="HM498"/>
      <c r="HN498"/>
      <c r="HO498"/>
      <c r="HP498"/>
      <c r="HQ498"/>
      <c r="HR498"/>
      <c r="HS498"/>
      <c r="HT498"/>
      <c r="HU498"/>
      <c r="HV498"/>
      <c r="HW498"/>
      <c r="HX498"/>
      <c r="HY498"/>
      <c r="HZ498"/>
      <c r="IA498"/>
      <c r="IB498"/>
      <c r="IC498"/>
      <c r="ID498"/>
      <c r="IE498"/>
      <c r="IF498"/>
      <c r="IG498"/>
      <c r="IH498"/>
      <c r="II498"/>
      <c r="IJ498"/>
      <c r="IK498"/>
      <c r="IL498"/>
      <c r="IM498"/>
      <c r="IN498"/>
      <c r="IO498"/>
      <c r="IP498"/>
      <c r="IQ498"/>
      <c r="IR498"/>
      <c r="IS498"/>
      <c r="IT498"/>
      <c r="IU498"/>
      <c r="IV498"/>
      <c r="IW498"/>
      <c r="IX498"/>
      <c r="IY498"/>
      <c r="IZ498"/>
      <c r="JA498"/>
      <c r="JB498"/>
      <c r="JC498"/>
      <c r="JD498"/>
      <c r="JE498"/>
      <c r="JF498"/>
      <c r="JG498"/>
      <c r="JH498"/>
      <c r="JI498"/>
      <c r="JJ498"/>
      <c r="JK498"/>
      <c r="JL498"/>
      <c r="JM498"/>
      <c r="JN498"/>
    </row>
    <row r="499" spans="1:274" s="27" customFormat="1" ht="12" customHeight="1" x14ac:dyDescent="0.2">
      <c r="A499" s="897" t="s">
        <v>913</v>
      </c>
      <c r="B499" s="146"/>
      <c r="C499" s="384"/>
      <c r="D499" s="384"/>
      <c r="E499" s="384"/>
      <c r="F499" s="384"/>
      <c r="G499" s="384"/>
      <c r="H499" s="384"/>
      <c r="I499" s="384"/>
      <c r="J499" s="384"/>
      <c r="K499" s="384"/>
      <c r="L499" s="384"/>
      <c r="M499" s="384"/>
      <c r="N499" s="146"/>
      <c r="O499" s="923"/>
      <c r="P499" s="923"/>
      <c r="Q499" s="923"/>
      <c r="R499" s="923"/>
      <c r="S499" s="384"/>
      <c r="T499" s="146"/>
      <c r="U499" s="923"/>
      <c r="V499" s="923"/>
      <c r="W499" s="923"/>
      <c r="X499" s="923"/>
      <c r="Y499" s="384"/>
      <c r="Z499" s="146"/>
      <c r="AA499" s="923"/>
      <c r="AB499" s="923"/>
      <c r="AC499" s="923"/>
      <c r="AD499" s="923"/>
      <c r="AE499" s="384"/>
      <c r="AF499" s="146"/>
      <c r="AG499" s="923"/>
      <c r="AH499" s="923"/>
      <c r="AI499" s="923"/>
      <c r="AJ499" s="923"/>
      <c r="AK499" s="384"/>
      <c r="AL499" s="146"/>
      <c r="AM499" s="923"/>
      <c r="AN499" s="923"/>
      <c r="AO499" s="923"/>
      <c r="AP499" s="923"/>
      <c r="AQ499" s="384"/>
      <c r="AR499" s="146"/>
      <c r="AS499" s="923"/>
      <c r="AT499" s="923"/>
      <c r="AU499" s="923"/>
      <c r="AV499" s="923"/>
      <c r="AW499" s="384"/>
      <c r="AX499" s="146"/>
      <c r="AY499" s="923"/>
      <c r="AZ499" s="923"/>
      <c r="BA499" s="923"/>
      <c r="BB499" s="923"/>
      <c r="BC499" s="384"/>
      <c r="BD499" s="146"/>
      <c r="BE499" s="923"/>
      <c r="BF499" s="923"/>
      <c r="BG499" s="923"/>
      <c r="BH499" s="923"/>
      <c r="BI499" s="384"/>
      <c r="BJ499" s="146"/>
      <c r="BK499" s="923"/>
      <c r="BL499" s="923"/>
      <c r="BM499" s="923"/>
      <c r="BN499" s="923"/>
      <c r="BO499" s="384"/>
      <c r="BP499" s="146"/>
      <c r="BQ499" s="930"/>
      <c r="BR499" s="930"/>
      <c r="BS499" s="930"/>
      <c r="BT499" s="930"/>
      <c r="BU499" s="384"/>
      <c r="BV499" s="146"/>
      <c r="BW499" s="930">
        <f>Model!BW220</f>
        <v>9.7100000000000006E-2</v>
      </c>
      <c r="BX499" s="930">
        <f>Model!BX220</f>
        <v>0.15620000000000001</v>
      </c>
      <c r="BY499" s="930">
        <f>Model!BY220</f>
        <v>0.10290000000000001</v>
      </c>
      <c r="BZ499" s="930">
        <f>Model!BZ220</f>
        <v>0.1956</v>
      </c>
      <c r="CA499" s="384"/>
      <c r="CB499" s="146"/>
      <c r="CC499" s="930">
        <f>Model!CC220</f>
        <v>9.9000000000000005E-2</v>
      </c>
      <c r="CD499" s="930">
        <f>Model!CD220</f>
        <v>0.15229999999999999</v>
      </c>
      <c r="CE499" s="930">
        <f>Model!CE220</f>
        <v>0.14419999999999999</v>
      </c>
      <c r="CF499" s="930">
        <f>Model!CF220</f>
        <v>0.24199999999999999</v>
      </c>
      <c r="CG499" s="926"/>
      <c r="CH499" s="146"/>
      <c r="CI499" s="930">
        <f>Model!CI220</f>
        <v>0.12659999999999999</v>
      </c>
      <c r="CJ499" s="930">
        <f>Model!CJ220</f>
        <v>0.18279999999999999</v>
      </c>
      <c r="CK499" s="930">
        <f>Model!CK220</f>
        <v>0.1963</v>
      </c>
      <c r="CL499" s="930">
        <f>Model!CL220</f>
        <v>0.30620000000000003</v>
      </c>
      <c r="CM499" s="926"/>
      <c r="CN499" s="146"/>
      <c r="CO499" s="930">
        <f>Model!CO220</f>
        <v>0.16089999999999999</v>
      </c>
      <c r="CP499" s="930">
        <f>Model!CP220</f>
        <v>0.249</v>
      </c>
      <c r="CQ499" s="930">
        <f>Model!CQ220</f>
        <v>0.25829999999999997</v>
      </c>
      <c r="CR499" s="930">
        <f>Model!CR220</f>
        <v>0.38929999999999998</v>
      </c>
      <c r="CS499" s="926"/>
      <c r="CT499" s="146"/>
      <c r="CU499" s="930">
        <f>Model!CU220</f>
        <v>0.20569999999999999</v>
      </c>
      <c r="CV499" s="930">
        <f>Model!CV220</f>
        <v>0.24990000000000001</v>
      </c>
      <c r="CW499" s="930">
        <f>Model!CW220</f>
        <v>0.26290000000000002</v>
      </c>
      <c r="CX499" s="930">
        <f>Model!CX220</f>
        <v>0.375</v>
      </c>
      <c r="CY499" s="926"/>
      <c r="CZ499" s="146"/>
      <c r="DA499" s="930">
        <f>Model!DA220</f>
        <v>0.222</v>
      </c>
      <c r="DB499" s="930">
        <f>Model!DB220</f>
        <v>0.28789999999999999</v>
      </c>
      <c r="DC499" s="930">
        <f>Model!DC220</f>
        <v>0.23430000000000001</v>
      </c>
      <c r="DD499" s="930">
        <f>Model!DD220</f>
        <v>0.46460000000000001</v>
      </c>
      <c r="DE499" s="926"/>
      <c r="DF499" s="146"/>
      <c r="DG499" s="930">
        <f>Model!DG220</f>
        <v>0.26600000000000001</v>
      </c>
      <c r="DH499" s="930">
        <f>Model!DH220</f>
        <v>0.37419999999999998</v>
      </c>
      <c r="DI499" s="930">
        <f>Model!DI220</f>
        <v>0.41099999999999998</v>
      </c>
      <c r="DJ499" s="930">
        <f>Model!DJ220</f>
        <v>0.62139999999999995</v>
      </c>
      <c r="DK499" s="926"/>
      <c r="DL499" s="146"/>
      <c r="DM499" s="930">
        <f>Model!DM220</f>
        <v>0.35749999999999998</v>
      </c>
      <c r="DN499" s="930">
        <f>Model!DN220</f>
        <v>0.42830000000000001</v>
      </c>
      <c r="DO499" s="930">
        <f>Model!DO220</f>
        <v>0.49180000000000001</v>
      </c>
      <c r="DP499" s="930">
        <f>Model!DP220</f>
        <v>0.6865</v>
      </c>
      <c r="DQ499" s="926"/>
      <c r="DR499" s="146"/>
      <c r="DS499" s="930"/>
      <c r="DT499" s="923"/>
      <c r="DU499" s="923"/>
      <c r="DV499" s="930"/>
      <c r="DW499" s="926"/>
      <c r="DX499" s="146"/>
      <c r="DY499" s="923"/>
      <c r="DZ499" s="923"/>
      <c r="EA499" s="923"/>
      <c r="EB499" s="930"/>
      <c r="EC499" s="926"/>
      <c r="ED499" s="146"/>
      <c r="EE499" s="923"/>
      <c r="EF499" s="923"/>
      <c r="EG499" s="923"/>
      <c r="EH499" s="923"/>
      <c r="EI499" s="926"/>
      <c r="EJ499" s="146"/>
      <c r="EK499" s="923"/>
      <c r="EL499" s="923"/>
      <c r="EM499" s="923"/>
      <c r="EN499" s="923"/>
      <c r="EO499" s="926"/>
      <c r="EP499" s="146"/>
      <c r="EQ499" s="923"/>
      <c r="ER499" s="1785"/>
      <c r="ES499" s="1785"/>
      <c r="ET499" s="1785"/>
      <c r="EU499" s="1786"/>
      <c r="EV499" s="1787"/>
      <c r="EW499" s="1785"/>
      <c r="EX499" s="1785"/>
      <c r="EY499" s="1785"/>
      <c r="EZ499" s="1785"/>
      <c r="FA499" s="1786"/>
      <c r="FB499" s="1787"/>
      <c r="FC499" s="1785"/>
      <c r="FD499" s="1785"/>
      <c r="FE499" s="1785"/>
      <c r="FF499" s="1785"/>
      <c r="FG499" s="1786"/>
      <c r="FH499" s="1787"/>
      <c r="FI499" s="1785"/>
      <c r="FJ499" s="1785"/>
      <c r="FK499" s="1785"/>
      <c r="FL499" s="1785"/>
      <c r="FM499" s="1786"/>
      <c r="FQ499"/>
      <c r="FR499"/>
      <c r="FS499"/>
      <c r="FT499"/>
      <c r="FU499"/>
      <c r="FV499"/>
      <c r="GB499" s="24"/>
      <c r="GC499" s="24"/>
      <c r="GD499" s="24"/>
      <c r="GE499" s="24"/>
      <c r="GF499" s="24"/>
      <c r="GG499" s="24"/>
      <c r="GH499" s="24"/>
      <c r="GI499" s="24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  <c r="HB499"/>
      <c r="HC499"/>
      <c r="HD499"/>
      <c r="HE499"/>
      <c r="HF499"/>
      <c r="HG499"/>
      <c r="HH499"/>
      <c r="HI499"/>
      <c r="HJ499"/>
      <c r="HK499"/>
      <c r="HL499"/>
      <c r="HM499"/>
      <c r="HN499"/>
      <c r="HO499"/>
      <c r="HP499"/>
      <c r="HQ499"/>
      <c r="HR499"/>
      <c r="HS499"/>
      <c r="HT499"/>
      <c r="HU499"/>
      <c r="HV499"/>
      <c r="HW499"/>
      <c r="HX499"/>
      <c r="HY499"/>
      <c r="HZ499"/>
      <c r="IA499"/>
      <c r="IB499"/>
      <c r="IC499"/>
      <c r="ID499"/>
      <c r="IE499"/>
      <c r="IF499"/>
      <c r="IG499"/>
      <c r="IH499"/>
      <c r="II499"/>
      <c r="IJ499"/>
      <c r="IK499"/>
      <c r="IL499"/>
      <c r="IM499"/>
      <c r="IN499"/>
      <c r="IO499"/>
      <c r="IP499"/>
      <c r="IQ499"/>
      <c r="IR499"/>
      <c r="IS499"/>
      <c r="IT499"/>
      <c r="IU499"/>
      <c r="IV499"/>
      <c r="IW499"/>
      <c r="IX499"/>
      <c r="IY499"/>
      <c r="IZ499"/>
      <c r="JA499"/>
      <c r="JB499"/>
      <c r="JC499"/>
      <c r="JD499"/>
      <c r="JE499"/>
      <c r="JF499"/>
      <c r="JG499"/>
      <c r="JH499"/>
      <c r="JI499"/>
      <c r="JJ499"/>
      <c r="JK499"/>
      <c r="JL499"/>
      <c r="JM499"/>
      <c r="JN499"/>
    </row>
    <row r="500" spans="1:274" s="27" customFormat="1" ht="12" customHeight="1" x14ac:dyDescent="0.2">
      <c r="C500" s="242"/>
      <c r="D500" s="242"/>
      <c r="E500" s="242"/>
      <c r="F500" s="242"/>
      <c r="G500" s="242"/>
      <c r="H500" s="242"/>
      <c r="I500" s="242"/>
      <c r="J500" s="242"/>
      <c r="K500" s="242"/>
      <c r="L500" s="242"/>
      <c r="M500" s="242"/>
      <c r="O500" s="272"/>
      <c r="P500" s="272"/>
      <c r="Q500" s="272"/>
      <c r="R500" s="272"/>
      <c r="S500" s="242"/>
      <c r="U500" s="272"/>
      <c r="V500" s="272"/>
      <c r="W500" s="272"/>
      <c r="X500" s="272"/>
      <c r="Y500" s="242"/>
      <c r="AA500" s="272"/>
      <c r="AB500" s="272"/>
      <c r="AC500" s="272"/>
      <c r="AD500" s="272"/>
      <c r="AE500" s="242"/>
      <c r="AG500" s="272"/>
      <c r="AH500" s="272"/>
      <c r="AI500" s="272"/>
      <c r="AJ500" s="272"/>
      <c r="AK500" s="242"/>
      <c r="AM500" s="272"/>
      <c r="AN500" s="272"/>
      <c r="AO500" s="272"/>
      <c r="AP500" s="272"/>
      <c r="AQ500" s="242"/>
      <c r="AS500" s="272"/>
      <c r="AT500" s="272"/>
      <c r="AU500" s="272"/>
      <c r="AV500" s="272"/>
      <c r="AW500" s="242"/>
      <c r="AY500" s="272"/>
      <c r="AZ500" s="272"/>
      <c r="BA500" s="272"/>
      <c r="BB500" s="272"/>
      <c r="BC500" s="242"/>
      <c r="BE500" s="272"/>
      <c r="BF500" s="272"/>
      <c r="BG500" s="272"/>
      <c r="BH500" s="272"/>
      <c r="BI500" s="242"/>
      <c r="BK500" s="272"/>
      <c r="BL500" s="272"/>
      <c r="BM500" s="272"/>
      <c r="BN500" s="272"/>
      <c r="BO500" s="242"/>
      <c r="BQ500" s="352"/>
      <c r="BR500" s="352"/>
      <c r="BS500" s="352"/>
      <c r="BT500" s="352"/>
      <c r="BU500" s="242"/>
      <c r="BW500" s="927"/>
      <c r="BX500" s="927"/>
      <c r="BY500" s="927"/>
      <c r="BZ500" s="927"/>
      <c r="CA500" s="242"/>
      <c r="CC500" s="272"/>
      <c r="CD500" s="272"/>
      <c r="CE500" s="272"/>
      <c r="CF500" s="272"/>
      <c r="CG500" s="347"/>
      <c r="CI500" s="272"/>
      <c r="CJ500" s="272"/>
      <c r="CK500" s="272"/>
      <c r="CL500" s="272"/>
      <c r="CM500" s="347"/>
      <c r="CO500" s="272"/>
      <c r="CP500" s="272"/>
      <c r="CQ500" s="272"/>
      <c r="CR500" s="272"/>
      <c r="CS500" s="347"/>
      <c r="CT500" s="345"/>
      <c r="CU500" s="272"/>
      <c r="CV500" s="272"/>
      <c r="CW500" s="272"/>
      <c r="CX500" s="272"/>
      <c r="CY500" s="347"/>
      <c r="CZ500" s="345"/>
      <c r="DA500" s="272"/>
      <c r="DB500" s="272"/>
      <c r="DC500" s="272"/>
      <c r="DD500" s="272"/>
      <c r="DE500" s="347"/>
      <c r="DF500" s="345"/>
      <c r="DG500" s="272"/>
      <c r="DH500" s="272"/>
      <c r="DI500" s="272"/>
      <c r="DJ500" s="272"/>
      <c r="DK500" s="347"/>
      <c r="DL500" s="345"/>
      <c r="DM500" s="272"/>
      <c r="DN500" s="272"/>
      <c r="DO500" s="272"/>
      <c r="DP500" s="272"/>
      <c r="DQ500" s="347"/>
      <c r="DR500" s="345"/>
      <c r="DS500" s="272"/>
      <c r="DT500" s="272"/>
      <c r="DU500" s="272"/>
      <c r="DV500" s="272"/>
      <c r="DW500" s="347"/>
      <c r="DX500" s="345"/>
      <c r="DY500" s="272"/>
      <c r="DZ500" s="272"/>
      <c r="EA500" s="272"/>
      <c r="EB500" s="272"/>
      <c r="EC500" s="347"/>
      <c r="ED500" s="345"/>
      <c r="EE500" s="272"/>
      <c r="EF500" s="272"/>
      <c r="EG500" s="272"/>
      <c r="EH500" s="272"/>
      <c r="EI500" s="347"/>
      <c r="EJ500" s="345"/>
      <c r="EK500" s="272"/>
      <c r="EL500" s="272"/>
      <c r="EM500" s="272"/>
      <c r="EN500" s="272"/>
      <c r="EO500" s="347"/>
      <c r="EP500" s="345"/>
      <c r="EQ500" s="272"/>
      <c r="ER500" s="272"/>
      <c r="ES500" s="272"/>
      <c r="ET500" s="272"/>
      <c r="EU500" s="347"/>
      <c r="EV500" s="345"/>
      <c r="EW500" s="272"/>
      <c r="EX500" s="272"/>
      <c r="EY500" s="272"/>
      <c r="EZ500" s="272"/>
      <c r="FA500" s="347"/>
      <c r="FB500" s="345"/>
      <c r="FC500" s="272"/>
      <c r="FD500" s="272"/>
      <c r="FE500" s="272"/>
      <c r="FF500" s="272"/>
      <c r="FG500" s="347"/>
      <c r="FH500" s="345"/>
      <c r="FI500" s="272"/>
      <c r="FJ500" s="272"/>
      <c r="FK500" s="272"/>
      <c r="FL500" s="272"/>
      <c r="FM500" s="347"/>
      <c r="FQ500"/>
      <c r="FR500"/>
      <c r="FS500"/>
      <c r="FT500"/>
      <c r="FU500"/>
      <c r="FV500"/>
      <c r="GB500" s="24"/>
      <c r="GC500" s="24"/>
      <c r="GD500" s="24"/>
      <c r="GE500" s="24"/>
      <c r="GF500" s="24"/>
      <c r="GG500" s="24"/>
      <c r="GH500" s="24"/>
      <c r="GI500" s="24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  <c r="HB500"/>
      <c r="HC500"/>
      <c r="HD500"/>
      <c r="HE500"/>
      <c r="HF500"/>
      <c r="HG500"/>
      <c r="HH500"/>
      <c r="HI500"/>
      <c r="HJ500"/>
      <c r="HK500"/>
      <c r="HL500"/>
      <c r="HM500"/>
      <c r="HN500"/>
      <c r="HO500"/>
      <c r="HP500"/>
      <c r="HQ500"/>
      <c r="HR500"/>
      <c r="HS500"/>
      <c r="HT500"/>
      <c r="HU500"/>
      <c r="HV500"/>
      <c r="HW500"/>
      <c r="HX500"/>
      <c r="HY500"/>
      <c r="HZ500"/>
      <c r="IA500"/>
      <c r="IB500"/>
      <c r="IC500"/>
      <c r="ID500"/>
      <c r="IE500"/>
      <c r="IF500"/>
      <c r="IG500"/>
      <c r="IH500"/>
      <c r="II500"/>
      <c r="IJ500"/>
      <c r="IK500"/>
      <c r="IL500"/>
      <c r="IM500"/>
      <c r="IN500"/>
      <c r="IO500"/>
      <c r="IP500"/>
      <c r="IQ500"/>
      <c r="IR500"/>
      <c r="IS500"/>
      <c r="IT500"/>
      <c r="IU500"/>
      <c r="IV500"/>
      <c r="IW500"/>
      <c r="IX500"/>
      <c r="IY500"/>
      <c r="IZ500"/>
      <c r="JA500"/>
      <c r="JB500"/>
      <c r="JC500"/>
      <c r="JD500"/>
      <c r="JE500"/>
      <c r="JF500"/>
      <c r="JG500"/>
      <c r="JH500"/>
      <c r="JI500"/>
      <c r="JJ500"/>
      <c r="JK500"/>
      <c r="JL500"/>
      <c r="JM500"/>
      <c r="JN500"/>
    </row>
    <row r="501" spans="1:274" s="27" customFormat="1" x14ac:dyDescent="0.2">
      <c r="A501" s="32" t="s">
        <v>24</v>
      </c>
      <c r="C501" s="242"/>
      <c r="D501" s="242"/>
      <c r="E501" s="242"/>
      <c r="F501" s="242"/>
      <c r="G501" s="242"/>
      <c r="H501" s="242"/>
      <c r="I501" s="242"/>
      <c r="J501" s="242"/>
      <c r="K501" s="242"/>
      <c r="L501" s="242"/>
      <c r="M501" s="242"/>
      <c r="O501" s="272"/>
      <c r="P501" s="272"/>
      <c r="Q501" s="272"/>
      <c r="R501" s="272"/>
      <c r="S501" s="242"/>
      <c r="U501" s="272"/>
      <c r="V501" s="272"/>
      <c r="W501" s="272"/>
      <c r="X501" s="272"/>
      <c r="Y501" s="242"/>
      <c r="AA501" s="272"/>
      <c r="AB501" s="272"/>
      <c r="AC501" s="272"/>
      <c r="AD501" s="272"/>
      <c r="AE501" s="242"/>
      <c r="AG501" s="272"/>
      <c r="AH501" s="272"/>
      <c r="AI501" s="272"/>
      <c r="AJ501" s="272"/>
      <c r="AK501" s="242"/>
      <c r="AM501" s="272"/>
      <c r="AN501" s="272"/>
      <c r="AO501" s="272"/>
      <c r="AP501" s="272"/>
      <c r="AQ501" s="242"/>
      <c r="AS501" s="272"/>
      <c r="AT501" s="272"/>
      <c r="AU501" s="272"/>
      <c r="AV501" s="272"/>
      <c r="AW501" s="242"/>
      <c r="AY501" s="272"/>
      <c r="AZ501" s="272"/>
      <c r="BA501" s="272"/>
      <c r="BB501" s="272"/>
      <c r="BC501" s="242"/>
      <c r="BE501" s="272"/>
      <c r="BF501" s="272"/>
      <c r="BG501" s="272"/>
      <c r="BH501" s="272"/>
      <c r="BI501" s="242"/>
      <c r="BK501" s="272"/>
      <c r="BL501" s="272"/>
      <c r="BM501" s="272"/>
      <c r="BN501" s="272"/>
      <c r="BO501" s="242"/>
      <c r="BQ501" s="272"/>
      <c r="BR501" s="272"/>
      <c r="BS501" s="272"/>
      <c r="BT501" s="272"/>
      <c r="BU501" s="242"/>
      <c r="BW501" s="272"/>
      <c r="BX501" s="272"/>
      <c r="BY501" s="272"/>
      <c r="BZ501" s="272"/>
      <c r="CA501" s="242"/>
      <c r="CC501" s="272"/>
      <c r="CD501" s="272"/>
      <c r="CE501" s="272"/>
      <c r="CF501" s="272"/>
      <c r="CG501" s="347"/>
      <c r="CI501" s="272"/>
      <c r="CJ501" s="272"/>
      <c r="CK501" s="272"/>
      <c r="CL501" s="272"/>
      <c r="CM501" s="347"/>
      <c r="CO501" s="272"/>
      <c r="CP501" s="272"/>
      <c r="CQ501" s="272"/>
      <c r="CR501" s="272"/>
      <c r="CS501" s="347"/>
      <c r="CT501" s="345"/>
      <c r="CU501" s="272"/>
      <c r="CV501" s="272"/>
      <c r="CW501" s="272"/>
      <c r="CX501" s="272"/>
      <c r="CY501" s="347"/>
      <c r="CZ501" s="345"/>
      <c r="DA501" s="272"/>
      <c r="DB501" s="272"/>
      <c r="DC501" s="272"/>
      <c r="DD501" s="272"/>
      <c r="DE501" s="347"/>
      <c r="DF501" s="345"/>
      <c r="DG501" s="272"/>
      <c r="DH501" s="272"/>
      <c r="DI501" s="272"/>
      <c r="DJ501" s="272"/>
      <c r="DK501" s="347"/>
      <c r="DL501" s="345"/>
      <c r="DM501" s="272"/>
      <c r="DN501" s="272"/>
      <c r="DO501" s="272"/>
      <c r="DP501" s="272"/>
      <c r="DQ501" s="347"/>
      <c r="DR501" s="345"/>
      <c r="DS501" s="272"/>
      <c r="DT501" s="272"/>
      <c r="DU501" s="272"/>
      <c r="DV501" s="272"/>
      <c r="DW501" s="347"/>
      <c r="DX501" s="345"/>
      <c r="DY501" s="272"/>
      <c r="DZ501" s="272"/>
      <c r="EA501" s="272"/>
      <c r="EB501" s="272"/>
      <c r="EC501" s="347"/>
      <c r="ED501" s="345"/>
      <c r="EE501" s="272"/>
      <c r="EF501" s="272"/>
      <c r="EG501" s="272"/>
      <c r="EH501" s="272"/>
      <c r="EI501" s="347"/>
      <c r="EJ501" s="345"/>
      <c r="EK501" s="272"/>
      <c r="EL501" s="272"/>
      <c r="EM501" s="272"/>
      <c r="EN501" s="272"/>
      <c r="EO501" s="347"/>
      <c r="EP501" s="345"/>
      <c r="EQ501" s="272"/>
      <c r="ER501" s="272"/>
      <c r="ES501" s="272"/>
      <c r="ET501" s="272"/>
      <c r="EU501" s="347"/>
      <c r="EV501" s="345"/>
      <c r="EW501" s="272"/>
      <c r="EX501" s="272"/>
      <c r="EY501" s="272"/>
      <c r="EZ501" s="272"/>
      <c r="FA501" s="347"/>
      <c r="FB501" s="345"/>
      <c r="FC501" s="272"/>
      <c r="FD501" s="272"/>
      <c r="FE501" s="272"/>
      <c r="FF501" s="272"/>
      <c r="FG501" s="347"/>
      <c r="FH501" s="345"/>
      <c r="FI501" s="272"/>
      <c r="FJ501" s="272"/>
      <c r="FK501" s="272"/>
      <c r="FL501" s="272"/>
      <c r="FM501" s="347"/>
      <c r="FQ501"/>
      <c r="FR501"/>
      <c r="FS501"/>
      <c r="FT501"/>
      <c r="FU501"/>
      <c r="FV501"/>
      <c r="GB501" s="24"/>
      <c r="GC501" s="24"/>
      <c r="GD501" s="24"/>
      <c r="GE501" s="24"/>
      <c r="GF501" s="24"/>
      <c r="GG501" s="24"/>
      <c r="GH501" s="24"/>
      <c r="GI501" s="24"/>
      <c r="GJ501"/>
      <c r="GK501"/>
      <c r="GL501"/>
      <c r="GM501"/>
      <c r="GN501"/>
      <c r="GO501"/>
      <c r="GP501"/>
      <c r="GQ501"/>
      <c r="GR501"/>
      <c r="GS501"/>
      <c r="GT501"/>
      <c r="GU501"/>
      <c r="GV501"/>
      <c r="GW501"/>
      <c r="GX501"/>
      <c r="GY501"/>
      <c r="GZ501"/>
      <c r="HA501"/>
      <c r="HB501"/>
      <c r="HC501"/>
      <c r="HD501"/>
      <c r="HE501"/>
      <c r="HF501"/>
      <c r="HG501"/>
      <c r="HH501"/>
      <c r="HI501"/>
      <c r="HJ501"/>
      <c r="HK501"/>
      <c r="HL501"/>
      <c r="HM501"/>
      <c r="HN501"/>
      <c r="HO501"/>
      <c r="HP501"/>
      <c r="HQ501"/>
      <c r="HR501"/>
      <c r="HS501"/>
      <c r="HT501"/>
      <c r="HU501"/>
      <c r="HV501"/>
      <c r="HW501"/>
      <c r="HX501"/>
      <c r="HY501"/>
      <c r="HZ501"/>
      <c r="IA501"/>
      <c r="IB501"/>
      <c r="IC501"/>
      <c r="ID501"/>
      <c r="IE501"/>
      <c r="IF501"/>
      <c r="IG501"/>
      <c r="IH501"/>
      <c r="II501"/>
      <c r="IJ501"/>
      <c r="IK501"/>
      <c r="IL501"/>
      <c r="IM501"/>
      <c r="IN501"/>
      <c r="IO501"/>
      <c r="IP501"/>
      <c r="IQ501"/>
      <c r="IR501"/>
      <c r="IS501"/>
      <c r="IT501"/>
      <c r="IU501"/>
      <c r="IV501"/>
      <c r="IW501"/>
      <c r="IX501"/>
      <c r="IY501"/>
      <c r="IZ501"/>
      <c r="JA501"/>
      <c r="JB501"/>
      <c r="JC501"/>
      <c r="JD501"/>
      <c r="JE501"/>
      <c r="JF501"/>
      <c r="JG501"/>
      <c r="JH501"/>
      <c r="JI501"/>
      <c r="JJ501"/>
      <c r="JK501"/>
      <c r="JL501"/>
      <c r="JM501"/>
      <c r="JN501"/>
    </row>
    <row r="502" spans="1:274" s="27" customFormat="1" ht="12" customHeight="1" x14ac:dyDescent="0.2">
      <c r="A502" s="27" t="s">
        <v>1036</v>
      </c>
      <c r="C502" s="242"/>
      <c r="D502" s="242"/>
      <c r="E502" s="242"/>
      <c r="F502" s="242"/>
      <c r="G502" s="242"/>
      <c r="H502" s="242"/>
      <c r="I502" s="242"/>
      <c r="J502" s="242"/>
      <c r="K502" s="242"/>
      <c r="L502" s="242"/>
      <c r="M502" s="242"/>
      <c r="O502" s="272"/>
      <c r="P502" s="272"/>
      <c r="Q502" s="272"/>
      <c r="R502" s="272"/>
      <c r="S502" s="242"/>
      <c r="U502" s="272"/>
      <c r="V502" s="272"/>
      <c r="W502" s="272"/>
      <c r="X502" s="272"/>
      <c r="Y502" s="242"/>
      <c r="AA502" s="272"/>
      <c r="AB502" s="272"/>
      <c r="AC502" s="272"/>
      <c r="AD502" s="272"/>
      <c r="AE502" s="242"/>
      <c r="AG502" s="272"/>
      <c r="AH502" s="272"/>
      <c r="AI502" s="272"/>
      <c r="AJ502" s="272"/>
      <c r="AK502" s="242"/>
      <c r="AM502" s="272"/>
      <c r="AN502" s="272"/>
      <c r="AO502" s="272"/>
      <c r="AP502" s="272"/>
      <c r="AQ502" s="242"/>
      <c r="AS502" s="272"/>
      <c r="AT502" s="272"/>
      <c r="AU502" s="272"/>
      <c r="AV502" s="272"/>
      <c r="AW502" s="242"/>
      <c r="AY502" s="272"/>
      <c r="AZ502" s="272"/>
      <c r="BA502" s="272"/>
      <c r="BB502" s="272"/>
      <c r="BC502" s="242"/>
      <c r="BE502" s="272"/>
      <c r="BF502" s="272"/>
      <c r="BG502" s="272"/>
      <c r="BH502" s="272"/>
      <c r="BI502" s="242"/>
      <c r="BK502" s="272"/>
      <c r="BL502" s="272"/>
      <c r="BM502" s="272"/>
      <c r="BN502" s="272"/>
      <c r="BO502" s="242"/>
      <c r="BQ502" s="928"/>
      <c r="BR502" s="928"/>
      <c r="BS502" s="928"/>
      <c r="BT502" s="928"/>
      <c r="BU502" s="928"/>
      <c r="BV502" s="928"/>
      <c r="BW502" s="928">
        <v>0.32</v>
      </c>
      <c r="BX502" s="928">
        <v>0.31</v>
      </c>
      <c r="BY502" s="928">
        <v>0.3</v>
      </c>
      <c r="BZ502" s="928">
        <v>0.3</v>
      </c>
      <c r="CA502" s="242"/>
      <c r="CC502" s="928">
        <v>0.28999999999999998</v>
      </c>
      <c r="CD502" s="928">
        <v>0.29199999999999998</v>
      </c>
      <c r="CE502" s="928">
        <v>0.28999999999999998</v>
      </c>
      <c r="CF502" s="928">
        <v>0.28999999999999998</v>
      </c>
      <c r="CG502" s="347"/>
      <c r="CI502" s="928">
        <v>0.3</v>
      </c>
      <c r="CJ502" s="928">
        <v>0.3</v>
      </c>
      <c r="CK502" s="928">
        <v>0.29499999999999998</v>
      </c>
      <c r="CL502" s="928">
        <v>0.28199999999999997</v>
      </c>
      <c r="CM502" s="347"/>
      <c r="CO502" s="928">
        <v>0.28000000000000003</v>
      </c>
      <c r="CP502" s="601">
        <v>0.28699999999999998</v>
      </c>
      <c r="CQ502" s="601">
        <v>0.28799999999999998</v>
      </c>
      <c r="CR502" s="601">
        <v>0.28599999999999998</v>
      </c>
      <c r="CS502" s="347"/>
      <c r="CT502" s="345"/>
      <c r="CU502" s="928">
        <v>0.29899999999999999</v>
      </c>
      <c r="CV502" s="928">
        <v>0.27</v>
      </c>
      <c r="CW502" s="928">
        <v>0.28499999999999998</v>
      </c>
      <c r="CX502" s="928">
        <v>0.28000000000000003</v>
      </c>
      <c r="CY502" s="347"/>
      <c r="CZ502" s="345"/>
      <c r="DA502" s="601">
        <v>0.28999999999999998</v>
      </c>
      <c r="DB502" s="601">
        <v>0.28499999999999998</v>
      </c>
      <c r="DC502" s="1119">
        <v>0.28000000000000003</v>
      </c>
      <c r="DD502" s="1119">
        <v>0.28000000000000003</v>
      </c>
      <c r="DE502" s="347"/>
      <c r="DF502" s="345"/>
      <c r="DG502" s="1119">
        <v>0.28499999999999998</v>
      </c>
      <c r="DH502" s="601">
        <v>0.28499999999999998</v>
      </c>
      <c r="DI502" s="601">
        <v>0.29499999999999998</v>
      </c>
      <c r="DJ502" s="601">
        <v>0.28000000000000003</v>
      </c>
      <c r="DK502" s="347"/>
      <c r="DL502" s="345"/>
      <c r="DM502" s="1119">
        <v>0.28499999999999998</v>
      </c>
      <c r="DN502" s="601">
        <v>0.27</v>
      </c>
      <c r="DO502" s="601">
        <v>0.26500000000000001</v>
      </c>
      <c r="DP502" s="1119">
        <v>0.245</v>
      </c>
      <c r="DQ502" s="347"/>
      <c r="DR502" s="345"/>
      <c r="DS502" s="1119">
        <v>0.23499999999999999</v>
      </c>
      <c r="DT502" s="1119">
        <v>0.25</v>
      </c>
      <c r="DU502" s="1119">
        <v>0.245</v>
      </c>
      <c r="DV502" s="1119">
        <v>0.24</v>
      </c>
      <c r="DW502" s="347"/>
      <c r="DX502" s="345"/>
      <c r="DY502" s="1119">
        <v>0.23499999999999999</v>
      </c>
      <c r="DZ502" s="1119">
        <v>0.24</v>
      </c>
      <c r="EA502" s="272"/>
      <c r="EB502" s="1119">
        <v>0.23499999999999999</v>
      </c>
      <c r="EC502" s="347"/>
      <c r="ED502" s="345"/>
      <c r="EE502" s="272"/>
      <c r="EF502" s="272"/>
      <c r="EG502" s="272"/>
      <c r="EH502" s="272"/>
      <c r="EI502" s="347"/>
      <c r="EJ502" s="345"/>
      <c r="EK502" s="1119"/>
      <c r="EL502" s="1119">
        <v>0.255</v>
      </c>
      <c r="EM502" s="1119">
        <v>0.255</v>
      </c>
      <c r="EN502" s="1119" t="s">
        <v>1174</v>
      </c>
      <c r="EO502" s="347"/>
      <c r="EP502" s="345"/>
      <c r="EQ502" s="1119"/>
      <c r="ER502" s="272"/>
      <c r="ES502" s="272"/>
      <c r="ET502" s="1119">
        <v>0.23499999999999999</v>
      </c>
      <c r="EU502" s="347"/>
      <c r="EV502" s="345"/>
      <c r="EW502" s="272"/>
      <c r="EX502" s="272"/>
      <c r="EY502" s="272"/>
      <c r="EZ502" s="272"/>
      <c r="FA502" s="347"/>
      <c r="FB502" s="345"/>
      <c r="FC502" s="272"/>
      <c r="FD502" s="272"/>
      <c r="FE502" s="272"/>
      <c r="FF502" s="272"/>
      <c r="FG502" s="347"/>
      <c r="FH502" s="345"/>
      <c r="FI502" s="272"/>
      <c r="FJ502" s="272"/>
      <c r="FK502" s="272"/>
      <c r="FL502" s="272"/>
      <c r="FM502" s="347"/>
      <c r="FQ502"/>
      <c r="FR502"/>
      <c r="FS502"/>
      <c r="FT502"/>
      <c r="FU502"/>
      <c r="FV502"/>
      <c r="GB502" s="24"/>
      <c r="GC502" s="24"/>
      <c r="GD502" s="24"/>
      <c r="GE502" s="24"/>
      <c r="GF502" s="24"/>
      <c r="GG502" s="24"/>
      <c r="GH502" s="24"/>
      <c r="GI502" s="24"/>
      <c r="GJ502"/>
      <c r="GK502"/>
      <c r="GL502"/>
      <c r="GM502"/>
      <c r="GN502"/>
      <c r="GO502"/>
      <c r="GP502"/>
      <c r="GQ502"/>
      <c r="GR502"/>
      <c r="GS502"/>
      <c r="GT502"/>
      <c r="GU502"/>
      <c r="GV502"/>
      <c r="GW502"/>
      <c r="GX502"/>
      <c r="GY502"/>
      <c r="GZ502"/>
      <c r="HA502"/>
      <c r="HB502"/>
      <c r="HC502"/>
      <c r="HD502"/>
      <c r="HE502"/>
      <c r="HF502"/>
      <c r="HG502"/>
      <c r="HH502"/>
      <c r="HI502"/>
      <c r="HJ502"/>
      <c r="HK502"/>
      <c r="HL502"/>
      <c r="HM502"/>
      <c r="HN502"/>
      <c r="HO502"/>
      <c r="HP502"/>
      <c r="HQ502"/>
      <c r="HR502"/>
      <c r="HS502"/>
      <c r="HT502"/>
      <c r="HU502"/>
      <c r="HV502"/>
      <c r="HW502"/>
      <c r="HX502"/>
      <c r="HY502"/>
      <c r="HZ502"/>
      <c r="IA502"/>
      <c r="IB502"/>
      <c r="IC502"/>
      <c r="ID502"/>
      <c r="IE502"/>
      <c r="IF502"/>
      <c r="IG502"/>
      <c r="IH502"/>
      <c r="II502"/>
      <c r="IJ502"/>
      <c r="IK502"/>
      <c r="IL502"/>
      <c r="IM502"/>
      <c r="IN502"/>
      <c r="IO502"/>
      <c r="IP502"/>
      <c r="IQ502"/>
      <c r="IR502"/>
      <c r="IS502"/>
      <c r="IT502"/>
      <c r="IU502"/>
      <c r="IV502"/>
      <c r="IW502"/>
      <c r="IX502"/>
      <c r="IY502"/>
      <c r="IZ502"/>
      <c r="JA502"/>
      <c r="JB502"/>
      <c r="JC502"/>
      <c r="JD502"/>
      <c r="JE502"/>
      <c r="JF502"/>
      <c r="JG502"/>
      <c r="JH502"/>
      <c r="JI502"/>
      <c r="JJ502"/>
      <c r="JK502"/>
      <c r="JL502"/>
      <c r="JM502"/>
      <c r="JN502"/>
    </row>
    <row r="503" spans="1:274" s="27" customFormat="1" ht="12" customHeight="1" x14ac:dyDescent="0.2">
      <c r="A503" s="897" t="s">
        <v>913</v>
      </c>
      <c r="B503" s="146"/>
      <c r="C503" s="384"/>
      <c r="D503" s="384"/>
      <c r="E503" s="384"/>
      <c r="F503" s="384"/>
      <c r="G503" s="384"/>
      <c r="H503" s="384"/>
      <c r="I503" s="384"/>
      <c r="J503" s="384"/>
      <c r="K503" s="384"/>
      <c r="L503" s="384"/>
      <c r="M503" s="384"/>
      <c r="N503" s="146"/>
      <c r="O503" s="923"/>
      <c r="P503" s="923"/>
      <c r="Q503" s="923"/>
      <c r="R503" s="923"/>
      <c r="S503" s="384"/>
      <c r="T503" s="146"/>
      <c r="U503" s="923"/>
      <c r="V503" s="923"/>
      <c r="W503" s="923"/>
      <c r="X503" s="923"/>
      <c r="Y503" s="384"/>
      <c r="Z503" s="146"/>
      <c r="AA503" s="923"/>
      <c r="AB503" s="923"/>
      <c r="AC503" s="923"/>
      <c r="AD503" s="923"/>
      <c r="AE503" s="384"/>
      <c r="AF503" s="146"/>
      <c r="AG503" s="923"/>
      <c r="AH503" s="923"/>
      <c r="AI503" s="923"/>
      <c r="AJ503" s="923"/>
      <c r="AK503" s="384"/>
      <c r="AL503" s="146"/>
      <c r="AM503" s="923"/>
      <c r="AN503" s="923"/>
      <c r="AO503" s="923"/>
      <c r="AP503" s="923"/>
      <c r="AQ503" s="384"/>
      <c r="AR503" s="146"/>
      <c r="AS503" s="923"/>
      <c r="AT503" s="923"/>
      <c r="AU503" s="923"/>
      <c r="AV503" s="923"/>
      <c r="AW503" s="384"/>
      <c r="AX503" s="146"/>
      <c r="AY503" s="923"/>
      <c r="AZ503" s="923"/>
      <c r="BA503" s="923"/>
      <c r="BB503" s="923"/>
      <c r="BC503" s="384"/>
      <c r="BD503" s="146"/>
      <c r="BE503" s="923"/>
      <c r="BF503" s="923"/>
      <c r="BG503" s="923"/>
      <c r="BH503" s="923"/>
      <c r="BI503" s="384"/>
      <c r="BJ503" s="146"/>
      <c r="BK503" s="923"/>
      <c r="BL503" s="923"/>
      <c r="BM503" s="923"/>
      <c r="BN503" s="923"/>
      <c r="BO503" s="384"/>
      <c r="BP503" s="146"/>
      <c r="BQ503" s="932"/>
      <c r="BR503" s="932"/>
      <c r="BS503" s="932"/>
      <c r="BT503" s="932"/>
      <c r="BU503" s="384"/>
      <c r="BV503" s="146"/>
      <c r="BW503" s="932">
        <f>Model!BW185</f>
        <v>0.31029810298102983</v>
      </c>
      <c r="BX503" s="932">
        <f>Model!BX185</f>
        <v>0.29376083188908148</v>
      </c>
      <c r="BY503" s="932">
        <f>Model!BY185</f>
        <v>0.30025445292620867</v>
      </c>
      <c r="BZ503" s="932">
        <f>Model!BZ185</f>
        <v>0.26583649160801298</v>
      </c>
      <c r="CA503" s="384"/>
      <c r="CB503" s="146"/>
      <c r="CC503" s="932">
        <f>Model!CC185</f>
        <v>0.29242569511025884</v>
      </c>
      <c r="CD503" s="932">
        <f>Model!CD185</f>
        <v>0.28905964141968532</v>
      </c>
      <c r="CE503" s="932">
        <f>Model!CE185</f>
        <v>0.29037944150663325</v>
      </c>
      <c r="CF503" s="932">
        <f>Model!CF185</f>
        <v>0.30770049775080516</v>
      </c>
      <c r="CG503" s="926"/>
      <c r="CH503" s="146"/>
      <c r="CI503" s="932">
        <f>Model!CI185</f>
        <v>0.30366492146596857</v>
      </c>
      <c r="CJ503" s="932">
        <f>Model!CJ185</f>
        <v>0.28540772532188841</v>
      </c>
      <c r="CK503" s="932">
        <f>Model!CK185</f>
        <v>0.26372382569326541</v>
      </c>
      <c r="CL503" s="932">
        <f>Model!CL185</f>
        <v>0.29185981828295937</v>
      </c>
      <c r="CM503" s="926"/>
      <c r="CN503" s="146"/>
      <c r="CO503" s="932">
        <f>Model!CO185</f>
        <v>0.3003003003003003</v>
      </c>
      <c r="CP503" s="935">
        <f>Model!CP185</f>
        <v>0.28215398308856254</v>
      </c>
      <c r="CQ503" s="935">
        <f>Model!CQ185</f>
        <v>0.28590724898694281</v>
      </c>
      <c r="CR503" s="935">
        <f>Model!CR185</f>
        <v>0.30753911806543388</v>
      </c>
      <c r="CS503" s="926"/>
      <c r="CT503" s="146"/>
      <c r="CU503" s="932">
        <f>Model!CU185</f>
        <v>0.26371006199332381</v>
      </c>
      <c r="CV503" s="932">
        <f>Model!CV185</f>
        <v>0.29024390243902437</v>
      </c>
      <c r="CW503" s="932">
        <f>Model!CW185</f>
        <v>0.26597938144329897</v>
      </c>
      <c r="CX503" s="932">
        <f>Model!CX185</f>
        <v>0.31333136269583212</v>
      </c>
      <c r="CY503" s="926"/>
      <c r="CZ503" s="146"/>
      <c r="DA503" s="932">
        <f>Model!DA185</f>
        <v>0.28037383177570091</v>
      </c>
      <c r="DB503" s="932">
        <f>Model!DB185</f>
        <v>0.27397260273972601</v>
      </c>
      <c r="DC503" s="932">
        <f>Model!DC185</f>
        <v>0.2590081511388741</v>
      </c>
      <c r="DD503" s="932">
        <f>Model!DD185</f>
        <v>0.27257321526600953</v>
      </c>
      <c r="DE503" s="926"/>
      <c r="DF503" s="146"/>
      <c r="DG503" s="935">
        <f>Model!DG185</f>
        <v>0.24637168141592922</v>
      </c>
      <c r="DH503" s="935">
        <f>Model!DH185</f>
        <v>0.28172793131204721</v>
      </c>
      <c r="DI503" s="935">
        <f>Model!DI185</f>
        <v>0.25404967602591794</v>
      </c>
      <c r="DJ503" s="935">
        <f>Model!DJ185</f>
        <v>0.23311546840958605</v>
      </c>
      <c r="DK503" s="926"/>
      <c r="DL503" s="146"/>
      <c r="DM503" s="935">
        <f>Model!DM185</f>
        <v>0.26505664877757901</v>
      </c>
      <c r="DN503" s="935">
        <f>Model!DN185</f>
        <v>0.26310217046056117</v>
      </c>
      <c r="DO503" s="935">
        <f>Model!DO185</f>
        <v>0.22495631685265696</v>
      </c>
      <c r="DP503" s="935">
        <f>Model!DP185</f>
        <v>0.21800022373806513</v>
      </c>
      <c r="DQ503" s="926"/>
      <c r="DR503" s="146"/>
      <c r="DS503" s="935">
        <f>Model!DS185</f>
        <v>0.23388042203985931</v>
      </c>
      <c r="DT503" s="935">
        <f>Model!DT185</f>
        <v>0.23499142367066894</v>
      </c>
      <c r="DU503" s="935">
        <f>Model!DU185</f>
        <v>0.20996441281138789</v>
      </c>
      <c r="DV503" s="935">
        <f>Model!DV185</f>
        <v>0.23786587625046313</v>
      </c>
      <c r="DW503" s="926"/>
      <c r="DX503" s="146"/>
      <c r="DY503" s="935">
        <f>Model!DY185</f>
        <v>0.21806853582554517</v>
      </c>
      <c r="DZ503" s="923"/>
      <c r="EA503" s="923"/>
      <c r="EB503" s="935">
        <f>Model!EB185</f>
        <v>0.23013245033112584</v>
      </c>
      <c r="EC503" s="926"/>
      <c r="ED503" s="146"/>
      <c r="EE503" s="923"/>
      <c r="EF503" s="923"/>
      <c r="EG503" s="923"/>
      <c r="EH503" s="923"/>
      <c r="EI503" s="926"/>
      <c r="EJ503" s="146"/>
      <c r="EK503" s="923"/>
      <c r="EL503" s="923"/>
      <c r="EM503" s="923"/>
      <c r="EN503" s="923"/>
      <c r="EO503" s="926"/>
      <c r="EP503" s="146"/>
      <c r="EQ503" s="923"/>
      <c r="ER503" s="1785"/>
      <c r="ES503" s="1785"/>
      <c r="ET503" s="1785"/>
      <c r="EU503" s="1786"/>
      <c r="EV503" s="1787"/>
      <c r="EW503" s="1785"/>
      <c r="EX503" s="1785"/>
      <c r="EY503" s="1785"/>
      <c r="EZ503" s="1785"/>
      <c r="FA503" s="1786"/>
      <c r="FB503" s="1787"/>
      <c r="FC503" s="1785"/>
      <c r="FD503" s="1785"/>
      <c r="FE503" s="1785"/>
      <c r="FF503" s="1785"/>
      <c r="FG503" s="1786"/>
      <c r="FH503" s="1787"/>
      <c r="FI503" s="1785"/>
      <c r="FJ503" s="1785"/>
      <c r="FK503" s="1785"/>
      <c r="FL503" s="1785"/>
      <c r="FM503" s="1786"/>
      <c r="FQ503"/>
      <c r="FR503"/>
      <c r="FS503"/>
      <c r="FT503"/>
      <c r="FU503"/>
      <c r="FV503"/>
      <c r="GB503" s="24"/>
      <c r="GC503" s="24"/>
      <c r="GD503" s="24"/>
      <c r="GE503" s="24"/>
      <c r="GF503" s="24"/>
      <c r="GG503" s="24"/>
      <c r="GH503" s="24"/>
      <c r="GI503" s="24"/>
      <c r="GJ503"/>
      <c r="GK503"/>
      <c r="GL503"/>
      <c r="GM503"/>
      <c r="GN503"/>
      <c r="GO503"/>
      <c r="GP503"/>
      <c r="GQ503"/>
      <c r="GR503"/>
      <c r="GS503"/>
      <c r="GT503"/>
      <c r="GU503"/>
      <c r="GV503"/>
      <c r="GW503"/>
      <c r="GX503"/>
      <c r="GY503"/>
      <c r="GZ503"/>
      <c r="HA503"/>
      <c r="HB503"/>
      <c r="HC503"/>
      <c r="HD503"/>
      <c r="HE503"/>
      <c r="HF503"/>
      <c r="HG503"/>
      <c r="HH503"/>
      <c r="HI503"/>
      <c r="HJ503"/>
      <c r="HK503"/>
      <c r="HL503"/>
      <c r="HM503"/>
      <c r="HN503"/>
      <c r="HO503"/>
      <c r="HP503"/>
      <c r="HQ503"/>
      <c r="HR503"/>
      <c r="HS503"/>
      <c r="HT503"/>
      <c r="HU503"/>
      <c r="HV503"/>
      <c r="HW503"/>
      <c r="HX503"/>
      <c r="HY503"/>
      <c r="HZ503"/>
      <c r="IA503"/>
      <c r="IB503"/>
      <c r="IC503"/>
      <c r="ID503"/>
      <c r="IE503"/>
      <c r="IF503"/>
      <c r="IG503"/>
      <c r="IH503"/>
      <c r="II503"/>
      <c r="IJ503"/>
      <c r="IK503"/>
      <c r="IL503"/>
      <c r="IM503"/>
      <c r="IN503"/>
      <c r="IO503"/>
      <c r="IP503"/>
      <c r="IQ503"/>
      <c r="IR503"/>
      <c r="IS503"/>
      <c r="IT503"/>
      <c r="IU503"/>
      <c r="IV503"/>
      <c r="IW503"/>
      <c r="IX503"/>
      <c r="IY503"/>
      <c r="IZ503"/>
      <c r="JA503"/>
      <c r="JB503"/>
      <c r="JC503"/>
      <c r="JD503"/>
      <c r="JE503"/>
      <c r="JF503"/>
      <c r="JG503"/>
      <c r="JH503"/>
      <c r="JI503"/>
      <c r="JJ503"/>
      <c r="JK503"/>
      <c r="JL503"/>
      <c r="JM503"/>
      <c r="JN503"/>
    </row>
    <row r="504" spans="1:274" s="27" customFormat="1" ht="12" customHeight="1" x14ac:dyDescent="0.2">
      <c r="C504" s="242"/>
      <c r="D504" s="242"/>
      <c r="E504" s="242"/>
      <c r="F504" s="242"/>
      <c r="G504" s="242"/>
      <c r="H504" s="242"/>
      <c r="I504" s="242"/>
      <c r="J504" s="242"/>
      <c r="K504" s="242"/>
      <c r="L504" s="242"/>
      <c r="M504" s="242"/>
      <c r="O504" s="272"/>
      <c r="P504" s="272"/>
      <c r="Q504" s="272"/>
      <c r="R504" s="272"/>
      <c r="S504" s="242"/>
      <c r="U504" s="272"/>
      <c r="V504" s="272"/>
      <c r="W504" s="272"/>
      <c r="X504" s="272"/>
      <c r="Y504" s="242"/>
      <c r="AA504" s="272"/>
      <c r="AB504" s="272"/>
      <c r="AC504" s="272"/>
      <c r="AD504" s="272"/>
      <c r="AE504" s="242"/>
      <c r="AG504" s="272"/>
      <c r="AH504" s="272"/>
      <c r="AI504" s="272"/>
      <c r="AJ504" s="272"/>
      <c r="AK504" s="242"/>
      <c r="AM504" s="272"/>
      <c r="AN504" s="272"/>
      <c r="AO504" s="272"/>
      <c r="AP504" s="272"/>
      <c r="AQ504" s="242"/>
      <c r="AS504" s="272"/>
      <c r="AT504" s="272"/>
      <c r="AU504" s="272"/>
      <c r="AV504" s="272"/>
      <c r="AW504" s="242"/>
      <c r="AY504" s="272"/>
      <c r="AZ504" s="272"/>
      <c r="BA504" s="272"/>
      <c r="BB504" s="272"/>
      <c r="BC504" s="242"/>
      <c r="BE504" s="272"/>
      <c r="BF504" s="272"/>
      <c r="BG504" s="272"/>
      <c r="BH504" s="272"/>
      <c r="BI504" s="242"/>
      <c r="BK504" s="272"/>
      <c r="BL504" s="272"/>
      <c r="BM504" s="272"/>
      <c r="BN504" s="272"/>
      <c r="BO504" s="242"/>
      <c r="BQ504" s="272"/>
      <c r="BR504" s="272"/>
      <c r="BS504" s="272"/>
      <c r="BT504" s="272"/>
      <c r="BU504" s="242"/>
      <c r="BW504" s="927"/>
      <c r="BX504" s="927"/>
      <c r="BY504" s="927"/>
      <c r="BZ504" s="927"/>
      <c r="CA504" s="242"/>
      <c r="CC504" s="927"/>
      <c r="CD504" s="272"/>
      <c r="CE504" s="272"/>
      <c r="CF504" s="272"/>
      <c r="CG504" s="347"/>
      <c r="CI504" s="272"/>
      <c r="CJ504" s="272"/>
      <c r="CK504" s="272"/>
      <c r="CL504" s="272"/>
      <c r="CM504" s="347"/>
      <c r="CO504" s="272"/>
      <c r="CP504" s="272"/>
      <c r="CQ504" s="272"/>
      <c r="CR504" s="272"/>
      <c r="CS504" s="347"/>
      <c r="CT504" s="345"/>
      <c r="CU504" s="272"/>
      <c r="CV504" s="272"/>
      <c r="CW504" s="272"/>
      <c r="CX504" s="272"/>
      <c r="CY504" s="347"/>
      <c r="CZ504" s="345"/>
      <c r="DA504" s="272"/>
      <c r="DB504" s="272"/>
      <c r="DC504" s="272"/>
      <c r="DD504" s="272"/>
      <c r="DE504" s="347"/>
      <c r="DF504" s="345"/>
      <c r="DG504" s="272"/>
      <c r="DH504" s="272"/>
      <c r="DI504" s="272"/>
      <c r="DJ504" s="272"/>
      <c r="DK504" s="347"/>
      <c r="DL504" s="345"/>
      <c r="DM504" s="272"/>
      <c r="DN504" s="272"/>
      <c r="DO504" s="272"/>
      <c r="DP504" s="272"/>
      <c r="DQ504" s="347"/>
      <c r="DR504" s="345"/>
      <c r="DS504" s="272"/>
      <c r="DT504" s="272"/>
      <c r="DU504" s="272"/>
      <c r="DV504" s="272"/>
      <c r="DW504" s="347"/>
      <c r="DX504" s="345"/>
      <c r="DY504" s="272"/>
      <c r="DZ504" s="272"/>
      <c r="EA504" s="272"/>
      <c r="EB504" s="272"/>
      <c r="EC504" s="347"/>
      <c r="ED504" s="345"/>
      <c r="EE504" s="272"/>
      <c r="EF504" s="272"/>
      <c r="EG504" s="272"/>
      <c r="EH504" s="272"/>
      <c r="EI504" s="347"/>
      <c r="EJ504" s="345"/>
      <c r="EK504" s="272"/>
      <c r="EL504" s="272"/>
      <c r="EM504" s="272"/>
      <c r="EN504" s="272"/>
      <c r="EO504" s="347"/>
      <c r="EP504" s="345"/>
      <c r="EQ504" s="272"/>
      <c r="ER504" s="272"/>
      <c r="ES504" s="272"/>
      <c r="ET504" s="272"/>
      <c r="EU504" s="347"/>
      <c r="EV504" s="345"/>
      <c r="EW504" s="272"/>
      <c r="EX504" s="272"/>
      <c r="EY504" s="272"/>
      <c r="EZ504" s="272"/>
      <c r="FA504" s="347"/>
      <c r="FB504" s="345"/>
      <c r="FC504" s="272"/>
      <c r="FD504" s="272"/>
      <c r="FE504" s="272"/>
      <c r="FF504" s="272"/>
      <c r="FG504" s="347"/>
      <c r="FH504" s="345"/>
      <c r="FI504" s="272"/>
      <c r="FJ504" s="272"/>
      <c r="FK504" s="272"/>
      <c r="FL504" s="272"/>
      <c r="FM504" s="347"/>
      <c r="FQ504"/>
      <c r="FR504"/>
      <c r="FS504"/>
      <c r="FT504"/>
      <c r="FU504"/>
      <c r="FV504"/>
      <c r="GB504" s="24"/>
      <c r="GC504" s="24"/>
      <c r="GD504" s="24"/>
      <c r="GE504" s="24"/>
      <c r="GF504" s="24"/>
      <c r="GG504" s="24"/>
      <c r="GH504" s="24"/>
      <c r="GI504" s="24"/>
      <c r="GJ504"/>
      <c r="GK504"/>
      <c r="GL504"/>
      <c r="GM504"/>
      <c r="GN504"/>
      <c r="GO504"/>
      <c r="GP504"/>
      <c r="GQ504"/>
      <c r="GR504"/>
      <c r="GS504"/>
      <c r="GT504"/>
      <c r="GU504"/>
      <c r="GV504"/>
      <c r="GW504"/>
      <c r="GX504"/>
      <c r="GY504"/>
      <c r="GZ504"/>
      <c r="HA504"/>
      <c r="HB504"/>
      <c r="HC504"/>
      <c r="HD504"/>
      <c r="HE504"/>
      <c r="HF504"/>
      <c r="HG504"/>
      <c r="HH504"/>
      <c r="HI504"/>
      <c r="HJ504"/>
      <c r="HK504"/>
      <c r="HL504"/>
      <c r="HM504"/>
      <c r="HN504"/>
      <c r="HO504"/>
      <c r="HP504"/>
      <c r="HQ504"/>
      <c r="HR504"/>
      <c r="HS504"/>
      <c r="HT504"/>
      <c r="HU504"/>
      <c r="HV504"/>
      <c r="HW504"/>
      <c r="HX504"/>
      <c r="HY504"/>
      <c r="HZ504"/>
      <c r="IA504"/>
      <c r="IB504"/>
      <c r="IC504"/>
      <c r="ID504"/>
      <c r="IE504"/>
      <c r="IF504"/>
      <c r="IG504"/>
      <c r="IH504"/>
      <c r="II504"/>
      <c r="IJ504"/>
      <c r="IK504"/>
      <c r="IL504"/>
      <c r="IM504"/>
      <c r="IN504"/>
      <c r="IO504"/>
      <c r="IP504"/>
      <c r="IQ504"/>
      <c r="IR504"/>
      <c r="IS504"/>
      <c r="IT504"/>
      <c r="IU504"/>
      <c r="IV504"/>
      <c r="IW504"/>
      <c r="IX504"/>
      <c r="IY504"/>
      <c r="IZ504"/>
      <c r="JA504"/>
      <c r="JB504"/>
      <c r="JC504"/>
      <c r="JD504"/>
      <c r="JE504"/>
      <c r="JF504"/>
      <c r="JG504"/>
      <c r="JH504"/>
      <c r="JI504"/>
      <c r="JJ504"/>
      <c r="JK504"/>
      <c r="JL504"/>
      <c r="JM504"/>
      <c r="JN504"/>
    </row>
    <row r="505" spans="1:274" s="27" customFormat="1" x14ac:dyDescent="0.2">
      <c r="A505" s="32" t="s">
        <v>668</v>
      </c>
      <c r="C505" s="242"/>
      <c r="D505" s="242"/>
      <c r="E505" s="242"/>
      <c r="F505" s="242"/>
      <c r="G505" s="242"/>
      <c r="H505" s="242"/>
      <c r="I505" s="242"/>
      <c r="J505" s="242"/>
      <c r="K505" s="242"/>
      <c r="L505" s="242"/>
      <c r="M505" s="242"/>
      <c r="O505" s="272"/>
      <c r="P505" s="272"/>
      <c r="Q505" s="272"/>
      <c r="R505" s="272"/>
      <c r="S505" s="242"/>
      <c r="U505" s="272"/>
      <c r="V505" s="272"/>
      <c r="W505" s="272"/>
      <c r="X505" s="272"/>
      <c r="Y505" s="242"/>
      <c r="AA505" s="272"/>
      <c r="AB505" s="272"/>
      <c r="AC505" s="272"/>
      <c r="AD505" s="272"/>
      <c r="AE505" s="242"/>
      <c r="AG505" s="272"/>
      <c r="AH505" s="272"/>
      <c r="AI505" s="272"/>
      <c r="AJ505" s="272"/>
      <c r="AK505" s="242"/>
      <c r="AM505" s="272"/>
      <c r="AN505" s="272"/>
      <c r="AO505" s="272"/>
      <c r="AP505" s="272"/>
      <c r="AQ505" s="242"/>
      <c r="AS505" s="272"/>
      <c r="AT505" s="272"/>
      <c r="AU505" s="272"/>
      <c r="AV505" s="272"/>
      <c r="AW505" s="242"/>
      <c r="AY505" s="272"/>
      <c r="AZ505" s="272"/>
      <c r="BA505" s="272"/>
      <c r="BB505" s="272"/>
      <c r="BC505" s="242"/>
      <c r="BE505" s="272"/>
      <c r="BF505" s="272"/>
      <c r="BG505" s="272"/>
      <c r="BH505" s="272"/>
      <c r="BI505" s="242"/>
      <c r="BK505" s="272"/>
      <c r="BL505" s="272"/>
      <c r="BM505" s="272"/>
      <c r="BN505" s="272"/>
      <c r="BO505" s="242"/>
      <c r="BQ505" s="272"/>
      <c r="BR505" s="272"/>
      <c r="BS505" s="272"/>
      <c r="BT505" s="272"/>
      <c r="BU505" s="242"/>
      <c r="BW505" s="272"/>
      <c r="BX505" s="272"/>
      <c r="BY505" s="272"/>
      <c r="BZ505" s="272"/>
      <c r="CA505" s="242"/>
      <c r="CC505" s="272"/>
      <c r="CD505" s="272"/>
      <c r="CE505" s="272"/>
      <c r="CF505" s="272"/>
      <c r="CG505" s="347"/>
      <c r="CI505" s="272"/>
      <c r="CJ505" s="272"/>
      <c r="CK505" s="272"/>
      <c r="CL505" s="272"/>
      <c r="CM505" s="347"/>
      <c r="CO505" s="272"/>
      <c r="CP505" s="272"/>
      <c r="CQ505" s="272"/>
      <c r="CR505" s="272"/>
      <c r="CS505" s="347"/>
      <c r="CT505" s="345"/>
      <c r="CU505" s="272"/>
      <c r="CV505" s="272"/>
      <c r="CW505" s="272"/>
      <c r="CX505" s="272"/>
      <c r="CY505" s="347"/>
      <c r="CZ505" s="345"/>
      <c r="DA505" s="272"/>
      <c r="DB505" s="272"/>
      <c r="DC505" s="272"/>
      <c r="DD505" s="272"/>
      <c r="DE505" s="347"/>
      <c r="DF505" s="345"/>
      <c r="DG505" s="272"/>
      <c r="DH505" s="272"/>
      <c r="DI505" s="272"/>
      <c r="DJ505" s="272"/>
      <c r="DK505" s="347"/>
      <c r="DL505" s="345"/>
      <c r="DM505" s="272"/>
      <c r="DN505" s="272"/>
      <c r="DO505" s="272"/>
      <c r="DP505" s="272"/>
      <c r="DQ505" s="347"/>
      <c r="DR505" s="345"/>
      <c r="DS505" s="272"/>
      <c r="DT505" s="272"/>
      <c r="DU505" s="272"/>
      <c r="DV505" s="272"/>
      <c r="DW505" s="347"/>
      <c r="DX505" s="345"/>
      <c r="DY505" s="272"/>
      <c r="DZ505" s="272"/>
      <c r="EA505" s="272"/>
      <c r="EB505" s="272"/>
      <c r="EC505" s="347"/>
      <c r="ED505" s="345"/>
      <c r="EE505" s="272"/>
      <c r="EF505" s="272"/>
      <c r="EG505" s="272"/>
      <c r="EH505" s="272"/>
      <c r="EI505" s="347"/>
      <c r="EJ505" s="345"/>
      <c r="EK505" s="272"/>
      <c r="EL505" s="272"/>
      <c r="EM505" s="272"/>
      <c r="EN505" s="272"/>
      <c r="EO505" s="347"/>
      <c r="EP505" s="345"/>
      <c r="EQ505" s="272"/>
      <c r="ER505" s="272"/>
      <c r="ES505" s="272"/>
      <c r="ET505" s="272"/>
      <c r="EU505" s="347"/>
      <c r="EV505" s="345"/>
      <c r="EW505" s="272"/>
      <c r="EX505" s="272"/>
      <c r="EY505" s="272"/>
      <c r="EZ505" s="272"/>
      <c r="FA505" s="347"/>
      <c r="FB505" s="345"/>
      <c r="FC505" s="272"/>
      <c r="FD505" s="272"/>
      <c r="FE505" s="272"/>
      <c r="FF505" s="272"/>
      <c r="FG505" s="347"/>
      <c r="FH505" s="345"/>
      <c r="FI505" s="272"/>
      <c r="FJ505" s="272"/>
      <c r="FK505" s="272"/>
      <c r="FL505" s="272"/>
      <c r="FM505" s="347"/>
      <c r="FQ505"/>
      <c r="FR505"/>
      <c r="FS505"/>
      <c r="FT505"/>
      <c r="FU505"/>
      <c r="FV505"/>
      <c r="GB505" s="24"/>
      <c r="GC505" s="24"/>
      <c r="GD505" s="24"/>
      <c r="GE505" s="24"/>
      <c r="GF505" s="24"/>
      <c r="GG505" s="24"/>
      <c r="GH505" s="24"/>
      <c r="GI505" s="24"/>
      <c r="GJ505"/>
      <c r="GK505"/>
      <c r="GL505"/>
      <c r="GM505"/>
      <c r="GN505"/>
      <c r="GO505"/>
      <c r="GP505"/>
      <c r="GQ505"/>
      <c r="GR505"/>
      <c r="GS505"/>
      <c r="GT505"/>
      <c r="GU505"/>
      <c r="GV505"/>
      <c r="GW505"/>
      <c r="GX505"/>
      <c r="GY505"/>
      <c r="GZ505"/>
      <c r="HA505"/>
      <c r="HB505"/>
      <c r="HC505"/>
      <c r="HD505"/>
      <c r="HE505"/>
      <c r="HF505"/>
      <c r="HG505"/>
      <c r="HH505"/>
      <c r="HI505"/>
      <c r="HJ505"/>
      <c r="HK505"/>
      <c r="HL505"/>
      <c r="HM505"/>
      <c r="HN505"/>
      <c r="HO505"/>
      <c r="HP505"/>
      <c r="HQ505"/>
      <c r="HR505"/>
      <c r="HS505"/>
      <c r="HT505"/>
      <c r="HU505"/>
      <c r="HV505"/>
      <c r="HW505"/>
      <c r="HX505"/>
      <c r="HY505"/>
      <c r="HZ505"/>
      <c r="IA505"/>
      <c r="IB505"/>
      <c r="IC505"/>
      <c r="ID505"/>
      <c r="IE505"/>
      <c r="IF505"/>
      <c r="IG505"/>
      <c r="IH505"/>
      <c r="II505"/>
      <c r="IJ505"/>
      <c r="IK505"/>
      <c r="IL505"/>
      <c r="IM505"/>
      <c r="IN505"/>
      <c r="IO505"/>
      <c r="IP505"/>
      <c r="IQ505"/>
      <c r="IR505"/>
      <c r="IS505"/>
      <c r="IT505"/>
      <c r="IU505"/>
      <c r="IV505"/>
      <c r="IW505"/>
      <c r="IX505"/>
      <c r="IY505"/>
      <c r="IZ505"/>
      <c r="JA505"/>
      <c r="JB505"/>
      <c r="JC505"/>
      <c r="JD505"/>
      <c r="JE505"/>
      <c r="JF505"/>
      <c r="JG505"/>
      <c r="JH505"/>
      <c r="JI505"/>
      <c r="JJ505"/>
      <c r="JK505"/>
      <c r="JL505"/>
      <c r="JM505"/>
      <c r="JN505"/>
    </row>
    <row r="506" spans="1:274" s="27" customFormat="1" ht="12" customHeight="1" x14ac:dyDescent="0.2">
      <c r="A506" s="27" t="s">
        <v>1036</v>
      </c>
      <c r="C506" s="242"/>
      <c r="D506" s="242"/>
      <c r="E506" s="242"/>
      <c r="F506" s="242"/>
      <c r="G506" s="242"/>
      <c r="H506" s="242"/>
      <c r="I506" s="242"/>
      <c r="J506" s="242"/>
      <c r="K506" s="242"/>
      <c r="L506" s="242"/>
      <c r="M506" s="242"/>
      <c r="O506" s="272"/>
      <c r="P506" s="272"/>
      <c r="Q506" s="272"/>
      <c r="R506" s="272"/>
      <c r="S506" s="242"/>
      <c r="U506" s="272"/>
      <c r="V506" s="272"/>
      <c r="W506" s="272"/>
      <c r="X506" s="272"/>
      <c r="Y506" s="242"/>
      <c r="AA506" s="272"/>
      <c r="AB506" s="272"/>
      <c r="AC506" s="272"/>
      <c r="AD506" s="272"/>
      <c r="AE506" s="242"/>
      <c r="AG506" s="272"/>
      <c r="AH506" s="272"/>
      <c r="AI506" s="272"/>
      <c r="AJ506" s="272"/>
      <c r="AK506" s="242"/>
      <c r="AM506" s="272"/>
      <c r="AN506" s="272"/>
      <c r="AO506" s="272"/>
      <c r="AP506" s="272"/>
      <c r="AQ506" s="242"/>
      <c r="AS506" s="272"/>
      <c r="AT506" s="272"/>
      <c r="AU506" s="272"/>
      <c r="AV506" s="272"/>
      <c r="AW506" s="242"/>
      <c r="AY506" s="272"/>
      <c r="AZ506" s="272"/>
      <c r="BA506" s="272"/>
      <c r="BB506" s="272"/>
      <c r="BC506" s="242"/>
      <c r="BE506" s="272"/>
      <c r="BF506" s="272"/>
      <c r="BG506" s="272"/>
      <c r="BH506" s="272"/>
      <c r="BI506" s="242"/>
      <c r="BK506" s="272"/>
      <c r="BL506" s="272"/>
      <c r="BM506" s="272"/>
      <c r="BN506" s="272"/>
      <c r="BO506" s="242"/>
      <c r="BQ506" s="272"/>
      <c r="BR506" s="272"/>
      <c r="BS506" s="272"/>
      <c r="BT506" s="272"/>
      <c r="BU506" s="242"/>
      <c r="BW506" s="936">
        <v>0.03</v>
      </c>
      <c r="BX506" s="936">
        <v>1.2999999999999999E-2</v>
      </c>
      <c r="BY506" s="936">
        <v>0.04</v>
      </c>
      <c r="BZ506" s="936">
        <v>6.0400000000000002E-2</v>
      </c>
      <c r="CA506" s="242"/>
      <c r="CC506" s="936">
        <v>1.8100000000000002E-2</v>
      </c>
      <c r="CD506" s="928">
        <v>-0.01</v>
      </c>
      <c r="CE506" s="601">
        <v>-0.04</v>
      </c>
      <c r="CF506" s="601">
        <v>-0.02</v>
      </c>
      <c r="CG506" s="347"/>
      <c r="CI506" s="928">
        <v>0.01</v>
      </c>
      <c r="CJ506" s="928">
        <v>0.03</v>
      </c>
      <c r="CK506" s="933" t="s">
        <v>1037</v>
      </c>
      <c r="CL506" s="850">
        <v>0.02</v>
      </c>
      <c r="CM506" s="347"/>
      <c r="CO506" s="928">
        <v>0.02</v>
      </c>
      <c r="CP506" s="928">
        <v>0.04</v>
      </c>
      <c r="CQ506" s="928">
        <v>0.06</v>
      </c>
      <c r="CR506" s="928">
        <v>7.0000000000000007E-2</v>
      </c>
      <c r="CS506" s="347"/>
      <c r="CT506" s="345"/>
      <c r="CU506" s="928">
        <v>0.05</v>
      </c>
      <c r="CV506" s="928">
        <v>-0.03</v>
      </c>
      <c r="CW506" s="928">
        <v>-0.08</v>
      </c>
      <c r="CX506" s="928">
        <v>-0.12</v>
      </c>
      <c r="CY506" s="347"/>
      <c r="CZ506" s="345"/>
      <c r="DA506" s="928">
        <v>-0.05</v>
      </c>
      <c r="DB506" s="928">
        <v>0.05</v>
      </c>
      <c r="DC506" s="1074">
        <v>7.0000000000000007E-2</v>
      </c>
      <c r="DD506" s="1074">
        <v>0.03</v>
      </c>
      <c r="DE506" s="347"/>
      <c r="DF506" s="345"/>
      <c r="DG506" s="1074">
        <v>-0.02</v>
      </c>
      <c r="DH506" s="1074">
        <v>-0.03</v>
      </c>
      <c r="DI506" s="1074">
        <v>0.01</v>
      </c>
      <c r="DJ506" s="1074">
        <v>0.05</v>
      </c>
      <c r="DK506" s="347"/>
      <c r="DL506" s="345"/>
      <c r="DM506" s="1074">
        <v>0.05</v>
      </c>
      <c r="DN506" s="1074">
        <v>0.01</v>
      </c>
      <c r="DO506" s="1074">
        <v>-0.02</v>
      </c>
      <c r="DP506" s="1074">
        <v>-0.03</v>
      </c>
      <c r="DQ506" s="347"/>
      <c r="DR506" s="345"/>
      <c r="DS506" s="1074">
        <v>-0.05</v>
      </c>
      <c r="DT506" s="1074">
        <v>-0.01</v>
      </c>
      <c r="DU506" s="272"/>
      <c r="DV506" s="1074">
        <v>-0.01</v>
      </c>
      <c r="DW506" s="347"/>
      <c r="DX506" s="345"/>
      <c r="DY506" s="1074">
        <v>-0.01</v>
      </c>
      <c r="DZ506" s="1074">
        <v>-0.02</v>
      </c>
      <c r="EA506" s="272"/>
      <c r="EB506" s="1074">
        <v>-0.01</v>
      </c>
      <c r="EC506" s="347"/>
      <c r="ED506" s="345"/>
      <c r="EE506" s="272"/>
      <c r="EF506" s="272"/>
      <c r="EG506" s="272"/>
      <c r="EH506" s="272"/>
      <c r="EI506" s="347"/>
      <c r="EJ506" s="345"/>
      <c r="EK506" s="272"/>
      <c r="EL506" s="272"/>
      <c r="EM506" s="272"/>
      <c r="EN506" s="272"/>
      <c r="EO506" s="347"/>
      <c r="EP506" s="345"/>
      <c r="EQ506" s="272"/>
      <c r="ER506" s="272"/>
      <c r="ES506" s="272"/>
      <c r="ET506" s="272"/>
      <c r="EU506" s="347"/>
      <c r="EV506" s="345"/>
      <c r="EW506" s="272"/>
      <c r="EX506" s="272"/>
      <c r="EY506" s="272"/>
      <c r="EZ506" s="272"/>
      <c r="FA506" s="347"/>
      <c r="FB506" s="345"/>
      <c r="FC506" s="272"/>
      <c r="FD506" s="272"/>
      <c r="FE506" s="272"/>
      <c r="FF506" s="272"/>
      <c r="FG506" s="347"/>
      <c r="FH506" s="345"/>
      <c r="FI506" s="272"/>
      <c r="FJ506" s="272"/>
      <c r="FK506" s="272"/>
      <c r="FL506" s="272"/>
      <c r="FM506" s="347"/>
      <c r="FQ506"/>
      <c r="FR506"/>
      <c r="FS506"/>
      <c r="FT506"/>
      <c r="FU506"/>
      <c r="FV506"/>
      <c r="GB506" s="24"/>
      <c r="GC506" s="24"/>
      <c r="GD506" s="24"/>
      <c r="GE506" s="24"/>
      <c r="GF506" s="24"/>
      <c r="GG506" s="24"/>
      <c r="GH506" s="24"/>
      <c r="GI506" s="24"/>
      <c r="GJ506"/>
      <c r="GK506"/>
      <c r="GL506"/>
      <c r="GM506"/>
      <c r="GN506"/>
      <c r="GO506"/>
      <c r="GP506"/>
      <c r="GQ506"/>
      <c r="GR506"/>
      <c r="GS506"/>
      <c r="GT506"/>
      <c r="GU506"/>
      <c r="GV506"/>
      <c r="GW506"/>
      <c r="GX506"/>
      <c r="GY506"/>
      <c r="GZ506"/>
      <c r="HA506"/>
      <c r="HB506"/>
      <c r="HC506"/>
      <c r="HD506"/>
      <c r="HE506"/>
      <c r="HF506"/>
      <c r="HG506"/>
      <c r="HH506"/>
      <c r="HI506"/>
      <c r="HJ506"/>
      <c r="HK506"/>
      <c r="HL506"/>
      <c r="HM506"/>
      <c r="HN506"/>
      <c r="HO506"/>
      <c r="HP506"/>
      <c r="HQ506"/>
      <c r="HR506"/>
      <c r="HS506"/>
      <c r="HT506"/>
      <c r="HU506"/>
      <c r="HV506"/>
      <c r="HW506"/>
      <c r="HX506"/>
      <c r="HY506"/>
      <c r="HZ506"/>
      <c r="IA506"/>
      <c r="IB506"/>
      <c r="IC506"/>
      <c r="ID506"/>
      <c r="IE506"/>
      <c r="IF506"/>
      <c r="IG506"/>
      <c r="IH506"/>
      <c r="II506"/>
      <c r="IJ506"/>
      <c r="IK506"/>
      <c r="IL506"/>
      <c r="IM506"/>
      <c r="IN506"/>
      <c r="IO506"/>
      <c r="IP506"/>
      <c r="IQ506"/>
      <c r="IR506"/>
      <c r="IS506"/>
      <c r="IT506"/>
      <c r="IU506"/>
      <c r="IV506"/>
      <c r="IW506"/>
      <c r="IX506"/>
      <c r="IY506"/>
      <c r="IZ506"/>
      <c r="JA506"/>
      <c r="JB506"/>
      <c r="JC506"/>
      <c r="JD506"/>
      <c r="JE506"/>
      <c r="JF506"/>
      <c r="JG506"/>
      <c r="JH506"/>
      <c r="JI506"/>
      <c r="JJ506"/>
      <c r="JK506"/>
      <c r="JL506"/>
      <c r="JM506"/>
      <c r="JN506"/>
    </row>
    <row r="507" spans="1:274" s="27" customFormat="1" ht="12" customHeight="1" x14ac:dyDescent="0.2">
      <c r="A507" s="897" t="s">
        <v>913</v>
      </c>
      <c r="B507" s="146"/>
      <c r="C507" s="384"/>
      <c r="D507" s="384"/>
      <c r="E507" s="384"/>
      <c r="F507" s="384"/>
      <c r="G507" s="384"/>
      <c r="H507" s="384"/>
      <c r="I507" s="384"/>
      <c r="J507" s="384"/>
      <c r="K507" s="384"/>
      <c r="L507" s="384"/>
      <c r="M507" s="384"/>
      <c r="N507" s="146"/>
      <c r="O507" s="923"/>
      <c r="P507" s="923"/>
      <c r="Q507" s="923"/>
      <c r="R507" s="923"/>
      <c r="S507" s="384"/>
      <c r="T507" s="146"/>
      <c r="U507" s="923"/>
      <c r="V507" s="923"/>
      <c r="W507" s="923"/>
      <c r="X507" s="923"/>
      <c r="Y507" s="384"/>
      <c r="Z507" s="146"/>
      <c r="AA507" s="923"/>
      <c r="AB507" s="923"/>
      <c r="AC507" s="923"/>
      <c r="AD507" s="923"/>
      <c r="AE507" s="384"/>
      <c r="AF507" s="146"/>
      <c r="AG507" s="923"/>
      <c r="AH507" s="923"/>
      <c r="AI507" s="923"/>
      <c r="AJ507" s="923"/>
      <c r="AK507" s="384"/>
      <c r="AL507" s="146"/>
      <c r="AM507" s="923"/>
      <c r="AN507" s="923"/>
      <c r="AO507" s="923"/>
      <c r="AP507" s="923"/>
      <c r="AQ507" s="384"/>
      <c r="AR507" s="146"/>
      <c r="AS507" s="923"/>
      <c r="AT507" s="923"/>
      <c r="AU507" s="923"/>
      <c r="AV507" s="923"/>
      <c r="AW507" s="384"/>
      <c r="AX507" s="146"/>
      <c r="AY507" s="923"/>
      <c r="AZ507" s="923"/>
      <c r="BA507" s="923"/>
      <c r="BB507" s="923"/>
      <c r="BC507" s="384"/>
      <c r="BD507" s="146"/>
      <c r="BE507" s="923"/>
      <c r="BF507" s="923"/>
      <c r="BG507" s="923"/>
      <c r="BH507" s="923"/>
      <c r="BI507" s="384"/>
      <c r="BJ507" s="146"/>
      <c r="BK507" s="923"/>
      <c r="BL507" s="923"/>
      <c r="BM507" s="923"/>
      <c r="BN507" s="923"/>
      <c r="BO507" s="384"/>
      <c r="BP507" s="146"/>
      <c r="BQ507" s="934"/>
      <c r="BR507" s="934"/>
      <c r="BS507" s="934"/>
      <c r="BT507" s="934"/>
      <c r="BU507" s="384"/>
      <c r="BV507" s="146"/>
      <c r="BW507" s="934">
        <v>3.5999999999999997E-2</v>
      </c>
      <c r="BX507" s="934">
        <v>4.36E-2</v>
      </c>
      <c r="BY507" s="934">
        <v>3.4500000000000003E-2</v>
      </c>
      <c r="BZ507" s="934">
        <v>3.4200000000000001E-2</v>
      </c>
      <c r="CA507" s="384"/>
      <c r="CB507" s="146"/>
      <c r="CC507" s="934">
        <f>CC162</f>
        <v>2.2415349887133174E-2</v>
      </c>
      <c r="CD507" s="935">
        <f>CD162</f>
        <v>-2.8505079825834612E-2</v>
      </c>
      <c r="CE507" s="935">
        <f>CE162</f>
        <v>-5.9467106761307287E-2</v>
      </c>
      <c r="CF507" s="935">
        <f>CF162</f>
        <v>-3.1255954550579279E-2</v>
      </c>
      <c r="CG507" s="926"/>
      <c r="CH507" s="146"/>
      <c r="CI507" s="932">
        <f>CI162</f>
        <v>-2.0626074991400012E-2</v>
      </c>
      <c r="CJ507" s="932">
        <f>CJ162</f>
        <v>1.2192103712433705E-2</v>
      </c>
      <c r="CK507" s="932">
        <f>CK162</f>
        <v>2.8770937075599717E-2</v>
      </c>
      <c r="CL507" s="932">
        <f>CL162</f>
        <v>3.1614340692728421E-2</v>
      </c>
      <c r="CM507" s="926"/>
      <c r="CN507" s="146"/>
      <c r="CO507" s="932">
        <f>CO162</f>
        <v>3.4575252663206796E-2</v>
      </c>
      <c r="CP507" s="932">
        <f>CP162</f>
        <v>6.229601518026559E-2</v>
      </c>
      <c r="CQ507" s="932">
        <f>CQ162</f>
        <v>5.7237581478983973E-2</v>
      </c>
      <c r="CR507" s="932">
        <f>CR162</f>
        <v>0.06</v>
      </c>
      <c r="CS507" s="926"/>
      <c r="CT507" s="146"/>
      <c r="CU507" s="932">
        <f>CU162</f>
        <v>4.0000000000000008E-2</v>
      </c>
      <c r="CV507" s="932">
        <f>CV162</f>
        <v>-0.06</v>
      </c>
      <c r="CW507" s="932">
        <f>CW162</f>
        <v>-0.10442222248964717</v>
      </c>
      <c r="CX507" s="932">
        <f>CX162</f>
        <v>-0.09</v>
      </c>
      <c r="CY507" s="926"/>
      <c r="CZ507" s="146"/>
      <c r="DA507" s="932">
        <f>DA162</f>
        <v>-3.3223478381656069E-2</v>
      </c>
      <c r="DB507" s="932">
        <f>DB162</f>
        <v>5.3393784081251838E-2</v>
      </c>
      <c r="DC507" s="932">
        <f>DC162</f>
        <v>4.9999999999999989E-2</v>
      </c>
      <c r="DD507" s="932">
        <f>DD162</f>
        <v>1.1118425881908811E-2</v>
      </c>
      <c r="DE507" s="926"/>
      <c r="DF507" s="146"/>
      <c r="DG507" s="932">
        <f>DG162</f>
        <v>-1.0000000000000009E-2</v>
      </c>
      <c r="DH507" s="932">
        <f>DH162</f>
        <v>-2.0495150252048067E-2</v>
      </c>
      <c r="DI507" s="932">
        <f>DI162</f>
        <v>2.0000000000000018E-2</v>
      </c>
      <c r="DJ507" s="932">
        <f>DJ162</f>
        <v>5.4043934664975257E-2</v>
      </c>
      <c r="DK507" s="926"/>
      <c r="DL507" s="146"/>
      <c r="DM507" s="932">
        <f>DM162</f>
        <v>0.06</v>
      </c>
      <c r="DN507" s="932">
        <f>DN162</f>
        <v>0</v>
      </c>
      <c r="DO507" s="932">
        <f>DO162</f>
        <v>-9.0243357214465636E-3</v>
      </c>
      <c r="DP507" s="932">
        <f>DP162</f>
        <v>-4.2784660579438416E-2</v>
      </c>
      <c r="DQ507" s="926"/>
      <c r="DR507" s="146"/>
      <c r="DS507" s="932">
        <f>DS162</f>
        <v>-4.7624518811688055E-2</v>
      </c>
      <c r="DT507" s="1214">
        <v>-0.01</v>
      </c>
      <c r="DU507" s="923"/>
      <c r="DV507" s="932">
        <f>DV162</f>
        <v>-2.356124567661344E-2</v>
      </c>
      <c r="DW507" s="926"/>
      <c r="DX507" s="146"/>
      <c r="DY507" s="932">
        <f>DY162</f>
        <v>-2.0998685145519058E-2</v>
      </c>
      <c r="DZ507" s="1214"/>
      <c r="EA507" s="923"/>
      <c r="EB507" s="932">
        <f>EB162</f>
        <v>0</v>
      </c>
      <c r="EC507" s="926"/>
      <c r="ED507" s="146"/>
      <c r="EE507" s="923"/>
      <c r="EF507" s="923"/>
      <c r="EG507" s="923"/>
      <c r="EH507" s="923"/>
      <c r="EI507" s="926"/>
      <c r="EJ507" s="146"/>
      <c r="EK507" s="923"/>
      <c r="EL507" s="923"/>
      <c r="EM507" s="923"/>
      <c r="EN507" s="923"/>
      <c r="EO507" s="926"/>
      <c r="EP507" s="146"/>
      <c r="EQ507" s="923"/>
      <c r="ER507" s="1785"/>
      <c r="ES507" s="1785"/>
      <c r="ET507" s="1785"/>
      <c r="EU507" s="1786"/>
      <c r="EV507" s="1787"/>
      <c r="EW507" s="1785"/>
      <c r="EX507" s="1785"/>
      <c r="EY507" s="1785"/>
      <c r="EZ507" s="1785"/>
      <c r="FA507" s="1786"/>
      <c r="FB507" s="1787"/>
      <c r="FC507" s="1785"/>
      <c r="FD507" s="1785"/>
      <c r="FE507" s="1785"/>
      <c r="FF507" s="1785"/>
      <c r="FG507" s="1786"/>
      <c r="FH507" s="1787"/>
      <c r="FI507" s="1785"/>
      <c r="FJ507" s="1785"/>
      <c r="FK507" s="1785"/>
      <c r="FL507" s="1785"/>
      <c r="FM507" s="1786"/>
      <c r="FQ507"/>
      <c r="FR507"/>
      <c r="FS507"/>
      <c r="FT507"/>
      <c r="FU507"/>
      <c r="FV507"/>
      <c r="GB507" s="24"/>
      <c r="GC507" s="24"/>
      <c r="GD507" s="24"/>
      <c r="GE507" s="24"/>
      <c r="GF507" s="24"/>
      <c r="GG507" s="24"/>
      <c r="GH507" s="24"/>
      <c r="GI507" s="24"/>
      <c r="GJ507"/>
      <c r="GK507"/>
      <c r="GL507"/>
      <c r="GM507"/>
      <c r="GN507"/>
      <c r="GO507"/>
      <c r="GP507"/>
      <c r="GQ507"/>
      <c r="GR507"/>
      <c r="GS507"/>
      <c r="GT507"/>
      <c r="GU507"/>
      <c r="GV507"/>
      <c r="GW507"/>
      <c r="GX507"/>
      <c r="GY507"/>
      <c r="GZ507"/>
      <c r="HA507"/>
      <c r="HB507"/>
      <c r="HC507"/>
      <c r="HD507"/>
      <c r="HE507"/>
      <c r="HF507"/>
      <c r="HG507"/>
      <c r="HH507"/>
      <c r="HI507"/>
      <c r="HJ507"/>
      <c r="HK507"/>
      <c r="HL507"/>
      <c r="HM507"/>
      <c r="HN507"/>
      <c r="HO507"/>
      <c r="HP507"/>
      <c r="HQ507"/>
      <c r="HR507"/>
      <c r="HS507"/>
      <c r="HT507"/>
      <c r="HU507"/>
      <c r="HV507"/>
      <c r="HW507"/>
      <c r="HX507"/>
      <c r="HY507"/>
      <c r="HZ507"/>
      <c r="IA507"/>
      <c r="IB507"/>
      <c r="IC507"/>
      <c r="ID507"/>
      <c r="IE507"/>
      <c r="IF507"/>
      <c r="IG507"/>
      <c r="IH507"/>
      <c r="II507"/>
      <c r="IJ507"/>
      <c r="IK507"/>
      <c r="IL507"/>
      <c r="IM507"/>
      <c r="IN507"/>
      <c r="IO507"/>
      <c r="IP507"/>
      <c r="IQ507"/>
      <c r="IR507"/>
      <c r="IS507"/>
      <c r="IT507"/>
      <c r="IU507"/>
      <c r="IV507"/>
      <c r="IW507"/>
      <c r="IX507"/>
      <c r="IY507"/>
      <c r="IZ507"/>
      <c r="JA507"/>
      <c r="JB507"/>
      <c r="JC507"/>
      <c r="JD507"/>
      <c r="JE507"/>
      <c r="JF507"/>
      <c r="JG507"/>
      <c r="JH507"/>
      <c r="JI507"/>
      <c r="JJ507"/>
      <c r="JK507"/>
      <c r="JL507"/>
      <c r="JM507"/>
      <c r="JN507"/>
    </row>
    <row r="508" spans="1:274" s="27" customFormat="1" ht="12" customHeight="1" x14ac:dyDescent="0.2">
      <c r="A508" s="345"/>
      <c r="B508" s="345"/>
      <c r="C508" s="271"/>
      <c r="D508" s="271"/>
      <c r="E508" s="271"/>
      <c r="F508" s="271"/>
      <c r="G508" s="271"/>
      <c r="H508" s="271"/>
      <c r="I508" s="271"/>
      <c r="J508" s="271"/>
      <c r="K508" s="271"/>
      <c r="L508" s="271"/>
      <c r="M508" s="271"/>
      <c r="N508" s="345"/>
      <c r="O508" s="121"/>
      <c r="P508" s="121"/>
      <c r="Q508" s="121"/>
      <c r="R508" s="121"/>
      <c r="S508" s="271"/>
      <c r="T508" s="345"/>
      <c r="U508" s="121"/>
      <c r="V508" s="121"/>
      <c r="W508" s="121"/>
      <c r="X508" s="121"/>
      <c r="Y508" s="271"/>
      <c r="Z508" s="345"/>
      <c r="AA508" s="121"/>
      <c r="AB508" s="121"/>
      <c r="AC508" s="121"/>
      <c r="AD508" s="121"/>
      <c r="AE508" s="271"/>
      <c r="AF508" s="345"/>
      <c r="AG508" s="121"/>
      <c r="AH508" s="121"/>
      <c r="AI508" s="121"/>
      <c r="AJ508" s="121"/>
      <c r="AK508" s="271"/>
      <c r="AL508" s="345"/>
      <c r="AM508" s="121"/>
      <c r="AN508" s="121"/>
      <c r="AO508" s="121"/>
      <c r="AP508" s="121"/>
      <c r="AQ508" s="271"/>
      <c r="AR508" s="345"/>
      <c r="AS508" s="121"/>
      <c r="AT508" s="121"/>
      <c r="AU508" s="121"/>
      <c r="AV508" s="121"/>
      <c r="AW508" s="271"/>
      <c r="AX508" s="345"/>
      <c r="AY508" s="121"/>
      <c r="AZ508" s="121"/>
      <c r="BA508" s="121"/>
      <c r="BB508" s="121"/>
      <c r="BC508" s="271"/>
      <c r="BD508" s="345"/>
      <c r="BE508" s="121"/>
      <c r="BF508" s="121"/>
      <c r="BG508" s="121"/>
      <c r="BH508" s="121"/>
      <c r="BI508" s="271"/>
      <c r="BJ508" s="345"/>
      <c r="BK508" s="121"/>
      <c r="BL508" s="121"/>
      <c r="BM508" s="121"/>
      <c r="BN508" s="121"/>
      <c r="BO508" s="271"/>
      <c r="BP508" s="345"/>
      <c r="BQ508" s="1755"/>
      <c r="BR508" s="1755"/>
      <c r="BS508" s="1755"/>
      <c r="BT508" s="1755"/>
      <c r="BU508" s="271"/>
      <c r="BV508" s="345"/>
      <c r="BW508" s="1755"/>
      <c r="BX508" s="1755"/>
      <c r="BY508" s="1755"/>
      <c r="BZ508" s="1755"/>
      <c r="CA508" s="271"/>
      <c r="CB508" s="345"/>
      <c r="CC508" s="1755"/>
      <c r="CD508" s="995"/>
      <c r="CE508" s="995"/>
      <c r="CF508" s="995"/>
      <c r="CG508" s="347"/>
      <c r="CH508" s="345"/>
      <c r="CI508" s="829"/>
      <c r="CJ508" s="829"/>
      <c r="CK508" s="829"/>
      <c r="CL508" s="829"/>
      <c r="CM508" s="347"/>
      <c r="CN508" s="345"/>
      <c r="CO508" s="829"/>
      <c r="CP508" s="829"/>
      <c r="CQ508" s="829"/>
      <c r="CR508" s="829"/>
      <c r="CS508" s="347"/>
      <c r="CT508" s="345"/>
      <c r="CU508" s="829"/>
      <c r="CV508" s="829"/>
      <c r="CW508" s="829"/>
      <c r="CX508" s="829"/>
      <c r="CY508" s="347"/>
      <c r="CZ508" s="345"/>
      <c r="DA508" s="829"/>
      <c r="DB508" s="829"/>
      <c r="DC508" s="829"/>
      <c r="DD508" s="829"/>
      <c r="DE508" s="347"/>
      <c r="DF508" s="345"/>
      <c r="DG508" s="829"/>
      <c r="DH508" s="829"/>
      <c r="DI508" s="829"/>
      <c r="DJ508" s="829"/>
      <c r="DK508" s="347"/>
      <c r="DL508" s="345"/>
      <c r="DM508" s="829"/>
      <c r="DN508" s="829"/>
      <c r="DO508" s="829"/>
      <c r="DP508" s="829"/>
      <c r="DQ508" s="347"/>
      <c r="DR508" s="345"/>
      <c r="DS508" s="829"/>
      <c r="DT508" s="1453"/>
      <c r="DU508" s="121"/>
      <c r="DV508" s="829"/>
      <c r="DW508" s="347"/>
      <c r="DX508" s="345"/>
      <c r="DY508" s="829"/>
      <c r="DZ508" s="1453"/>
      <c r="EA508" s="121"/>
      <c r="EB508" s="829"/>
      <c r="EC508" s="347"/>
      <c r="ED508" s="345"/>
      <c r="EE508" s="121"/>
      <c r="EF508" s="121"/>
      <c r="EG508" s="121"/>
      <c r="EH508" s="121"/>
      <c r="EI508" s="347"/>
      <c r="EJ508" s="345"/>
      <c r="EK508" s="121"/>
      <c r="EL508" s="121"/>
      <c r="EM508" s="121"/>
      <c r="EN508" s="121"/>
      <c r="EO508" s="347"/>
      <c r="EP508" s="345"/>
      <c r="EQ508" s="121"/>
      <c r="ER508" s="272"/>
      <c r="ES508" s="272"/>
      <c r="ET508" s="272"/>
      <c r="EU508" s="347"/>
      <c r="EV508" s="345"/>
      <c r="EW508" s="272"/>
      <c r="EX508" s="272"/>
      <c r="EY508" s="272"/>
      <c r="EZ508" s="272"/>
      <c r="FA508" s="347"/>
      <c r="FB508" s="345"/>
      <c r="FC508" s="272"/>
      <c r="FD508" s="272"/>
      <c r="FE508" s="272"/>
      <c r="FF508" s="272"/>
      <c r="FG508" s="347"/>
      <c r="FH508" s="345"/>
      <c r="FI508" s="272"/>
      <c r="FJ508" s="272"/>
      <c r="FK508" s="272"/>
      <c r="FL508" s="272"/>
      <c r="FM508" s="347"/>
      <c r="FQ508"/>
      <c r="FR508"/>
      <c r="FS508"/>
      <c r="FT508"/>
      <c r="FU508"/>
      <c r="FV508"/>
      <c r="GB508" s="24"/>
      <c r="GC508" s="24"/>
      <c r="GD508" s="24"/>
      <c r="GE508" s="24"/>
      <c r="GF508" s="24"/>
      <c r="GG508" s="24"/>
      <c r="GH508" s="24"/>
      <c r="GI508" s="24"/>
      <c r="GJ508"/>
      <c r="GK508"/>
      <c r="GL508"/>
      <c r="GM508"/>
      <c r="GN508"/>
      <c r="GO508"/>
      <c r="GP508"/>
      <c r="GQ508"/>
      <c r="GR508"/>
      <c r="GS508"/>
      <c r="GT508"/>
      <c r="GU508"/>
      <c r="GV508"/>
      <c r="GW508"/>
      <c r="GX508"/>
      <c r="GY508"/>
      <c r="GZ508"/>
      <c r="HA508"/>
      <c r="HB508"/>
      <c r="HC508"/>
      <c r="HD508"/>
      <c r="HE508"/>
      <c r="HF508"/>
      <c r="HG508"/>
      <c r="HH508"/>
      <c r="HI508"/>
      <c r="HJ508"/>
      <c r="HK508"/>
      <c r="HL508"/>
      <c r="HM508"/>
      <c r="HN508"/>
      <c r="HO508"/>
      <c r="HP508"/>
      <c r="HQ508"/>
      <c r="HR508"/>
      <c r="HS508"/>
      <c r="HT508"/>
      <c r="HU508"/>
      <c r="HV508"/>
      <c r="HW508"/>
      <c r="HX508"/>
      <c r="HY508"/>
      <c r="HZ508"/>
      <c r="IA508"/>
      <c r="IB508"/>
      <c r="IC508"/>
      <c r="ID508"/>
      <c r="IE508"/>
      <c r="IF508"/>
      <c r="IG508"/>
      <c r="IH508"/>
      <c r="II508"/>
      <c r="IJ508"/>
      <c r="IK508"/>
      <c r="IL508"/>
      <c r="IM508"/>
      <c r="IN508"/>
      <c r="IO508"/>
      <c r="IP508"/>
      <c r="IQ508"/>
      <c r="IR508"/>
      <c r="IS508"/>
      <c r="IT508"/>
      <c r="IU508"/>
      <c r="IV508"/>
      <c r="IW508"/>
      <c r="IX508"/>
      <c r="IY508"/>
      <c r="IZ508"/>
      <c r="JA508"/>
      <c r="JB508"/>
      <c r="JC508"/>
      <c r="JD508"/>
      <c r="JE508"/>
      <c r="JF508"/>
      <c r="JG508"/>
      <c r="JH508"/>
      <c r="JI508"/>
      <c r="JJ508"/>
      <c r="JK508"/>
      <c r="JL508"/>
      <c r="JM508"/>
      <c r="JN508"/>
    </row>
    <row r="509" spans="1:274" s="27" customFormat="1" ht="12" customHeight="1" x14ac:dyDescent="0.2">
      <c r="A509" s="27" t="s">
        <v>1163</v>
      </c>
      <c r="C509" s="242"/>
      <c r="D509" s="242"/>
      <c r="E509" s="242"/>
      <c r="F509" s="242"/>
      <c r="G509" s="242"/>
      <c r="H509" s="242"/>
      <c r="I509" s="242"/>
      <c r="J509" s="242"/>
      <c r="K509" s="242"/>
      <c r="L509" s="242"/>
      <c r="M509" s="242"/>
      <c r="O509" s="272"/>
      <c r="P509" s="272"/>
      <c r="Q509" s="272"/>
      <c r="R509" s="272"/>
      <c r="S509" s="242"/>
      <c r="U509" s="272"/>
      <c r="V509" s="272"/>
      <c r="W509" s="272"/>
      <c r="X509" s="272"/>
      <c r="Y509" s="242"/>
      <c r="AA509" s="272"/>
      <c r="AB509" s="272"/>
      <c r="AC509" s="272"/>
      <c r="AD509" s="272"/>
      <c r="AE509" s="242"/>
      <c r="AG509" s="272"/>
      <c r="AH509" s="272"/>
      <c r="AI509" s="272"/>
      <c r="AJ509" s="272"/>
      <c r="AK509" s="242"/>
      <c r="AM509" s="272"/>
      <c r="AN509" s="272"/>
      <c r="AO509" s="272"/>
      <c r="AP509" s="272"/>
      <c r="AQ509" s="242"/>
      <c r="AS509" s="272"/>
      <c r="AT509" s="272"/>
      <c r="AU509" s="272"/>
      <c r="AV509" s="272"/>
      <c r="AW509" s="242"/>
      <c r="AY509" s="272"/>
      <c r="AZ509" s="272"/>
      <c r="BA509" s="272"/>
      <c r="BB509" s="272"/>
      <c r="BC509" s="242"/>
      <c r="BE509" s="272"/>
      <c r="BF509" s="272"/>
      <c r="BG509" s="272"/>
      <c r="BH509" s="272"/>
      <c r="BI509" s="242"/>
      <c r="BK509" s="272"/>
      <c r="BL509" s="272"/>
      <c r="BM509" s="272"/>
      <c r="BN509" s="272"/>
      <c r="BO509" s="242"/>
      <c r="BQ509" s="936"/>
      <c r="BR509" s="936"/>
      <c r="BS509" s="936"/>
      <c r="BT509" s="936"/>
      <c r="BU509" s="242"/>
      <c r="BW509" s="927"/>
      <c r="BX509" s="927"/>
      <c r="BY509" s="927"/>
      <c r="BZ509" s="927"/>
      <c r="CA509" s="242"/>
      <c r="CC509" s="927"/>
      <c r="CD509" s="272"/>
      <c r="CE509" s="272"/>
      <c r="CF509" s="272"/>
      <c r="CG509" s="347"/>
      <c r="CI509" s="272"/>
      <c r="CJ509" s="272"/>
      <c r="CK509" s="272"/>
      <c r="CL509" s="272"/>
      <c r="CM509" s="347"/>
      <c r="CO509" s="272"/>
      <c r="CP509" s="272"/>
      <c r="CQ509" s="272"/>
      <c r="CR509" s="272"/>
      <c r="CS509" s="347"/>
      <c r="CT509" s="345"/>
      <c r="CU509" s="272"/>
      <c r="CV509" s="272"/>
      <c r="CW509" s="272"/>
      <c r="CX509" s="272"/>
      <c r="CY509" s="347"/>
      <c r="CZ509" s="345"/>
      <c r="DA509" s="272"/>
      <c r="DB509" s="272"/>
      <c r="DC509" s="272"/>
      <c r="DD509" s="272"/>
      <c r="DE509" s="347"/>
      <c r="DF509" s="345"/>
      <c r="DG509" s="272"/>
      <c r="DH509" s="272"/>
      <c r="DI509" s="272"/>
      <c r="DJ509" s="272"/>
      <c r="DK509" s="347"/>
      <c r="DL509" s="345"/>
      <c r="DM509" s="272"/>
      <c r="DN509" s="272"/>
      <c r="DO509" s="272"/>
      <c r="DP509" s="272"/>
      <c r="DQ509" s="347"/>
      <c r="DR509" s="345"/>
      <c r="DS509" s="272"/>
      <c r="DT509" s="272"/>
      <c r="DU509" s="272"/>
      <c r="DV509" s="272"/>
      <c r="DW509" s="347"/>
      <c r="DX509" s="345"/>
      <c r="DY509" s="272"/>
      <c r="DZ509" s="272"/>
      <c r="EA509" s="272"/>
      <c r="EB509" s="272"/>
      <c r="EC509" s="347"/>
      <c r="ED509" s="345"/>
      <c r="EE509" s="272"/>
      <c r="EF509" s="272"/>
      <c r="EG509" s="272"/>
      <c r="EH509" s="272"/>
      <c r="EI509" s="347"/>
      <c r="EJ509" s="345"/>
      <c r="EK509" s="272"/>
      <c r="EL509" s="272"/>
      <c r="EM509" s="272"/>
      <c r="EN509" s="1074" t="s">
        <v>1169</v>
      </c>
      <c r="EO509" s="347"/>
      <c r="EP509" s="345"/>
      <c r="EQ509" s="272"/>
      <c r="ER509" s="272"/>
      <c r="ES509" s="272"/>
      <c r="ET509" s="272"/>
      <c r="EU509" s="347"/>
      <c r="EV509" s="345"/>
      <c r="EW509" s="272"/>
      <c r="EX509" s="272"/>
      <c r="EY509" s="272"/>
      <c r="EZ509" s="272"/>
      <c r="FA509" s="347"/>
      <c r="FB509" s="345"/>
      <c r="FC509" s="272"/>
      <c r="FD509" s="272"/>
      <c r="FE509" s="272"/>
      <c r="FF509" s="272"/>
      <c r="FG509" s="347"/>
      <c r="FH509" s="345"/>
      <c r="FI509" s="272"/>
      <c r="FJ509" s="272"/>
      <c r="FK509" s="272"/>
      <c r="FL509" s="272"/>
      <c r="FM509" s="347"/>
      <c r="FQ509"/>
      <c r="FR509"/>
      <c r="FS509"/>
      <c r="FT509"/>
      <c r="FU509"/>
      <c r="FV509"/>
      <c r="GB509" s="24"/>
      <c r="GC509" s="24"/>
      <c r="GD509" s="24"/>
      <c r="GE509" s="24"/>
      <c r="GF509" s="24"/>
      <c r="GG509" s="24"/>
      <c r="GH509" s="24"/>
      <c r="GI509" s="24"/>
      <c r="GJ509"/>
      <c r="GK509"/>
      <c r="GL509"/>
      <c r="GM509"/>
      <c r="GN509"/>
      <c r="GO509"/>
      <c r="GP509"/>
      <c r="GQ509"/>
      <c r="GR509"/>
      <c r="GS509"/>
      <c r="GT509"/>
      <c r="GU509"/>
      <c r="GV509"/>
      <c r="GW509"/>
      <c r="GX509"/>
      <c r="GY509"/>
      <c r="GZ509"/>
      <c r="HA509"/>
      <c r="HB509"/>
      <c r="HC509"/>
      <c r="HD509"/>
      <c r="HE509"/>
      <c r="HF509"/>
      <c r="HG509"/>
      <c r="HH509"/>
      <c r="HI509"/>
      <c r="HJ509"/>
      <c r="HK509"/>
      <c r="HL509"/>
      <c r="HM509"/>
      <c r="HN509"/>
      <c r="HO509"/>
      <c r="HP509"/>
      <c r="HQ509"/>
      <c r="HR509"/>
      <c r="HS509"/>
      <c r="HT509"/>
      <c r="HU509"/>
      <c r="HV509"/>
      <c r="HW509"/>
      <c r="HX509"/>
      <c r="HY509"/>
      <c r="HZ509"/>
      <c r="IA509"/>
      <c r="IB509"/>
      <c r="IC509"/>
      <c r="ID509"/>
      <c r="IE509"/>
      <c r="IF509"/>
      <c r="IG509"/>
      <c r="IH509"/>
      <c r="II509"/>
      <c r="IJ509"/>
      <c r="IK509"/>
      <c r="IL509"/>
      <c r="IM509"/>
      <c r="IN509"/>
      <c r="IO509"/>
      <c r="IP509"/>
      <c r="IQ509"/>
      <c r="IR509"/>
      <c r="IS509"/>
      <c r="IT509"/>
      <c r="IU509"/>
      <c r="IV509"/>
      <c r="IW509"/>
      <c r="IX509"/>
      <c r="IY509"/>
      <c r="IZ509"/>
      <c r="JA509"/>
      <c r="JB509"/>
      <c r="JC509"/>
      <c r="JD509"/>
      <c r="JE509"/>
      <c r="JF509"/>
      <c r="JG509"/>
      <c r="JH509"/>
      <c r="JI509"/>
      <c r="JJ509"/>
      <c r="JK509"/>
      <c r="JL509"/>
      <c r="JM509"/>
      <c r="JN509"/>
    </row>
    <row r="510" spans="1:274" s="27" customFormat="1" x14ac:dyDescent="0.2">
      <c r="A510" s="32" t="s">
        <v>582</v>
      </c>
      <c r="C510" s="242"/>
      <c r="D510" s="242"/>
      <c r="E510" s="242"/>
      <c r="F510" s="242"/>
      <c r="G510" s="242"/>
      <c r="H510" s="242"/>
      <c r="I510" s="242"/>
      <c r="J510" s="242"/>
      <c r="K510" s="242"/>
      <c r="L510" s="242"/>
      <c r="M510" s="242"/>
      <c r="O510" s="272"/>
      <c r="P510" s="272"/>
      <c r="Q510" s="272"/>
      <c r="R510" s="272"/>
      <c r="S510" s="242"/>
      <c r="U510" s="272"/>
      <c r="V510" s="272"/>
      <c r="W510" s="272"/>
      <c r="X510" s="272"/>
      <c r="Y510" s="242"/>
      <c r="AA510" s="272"/>
      <c r="AB510" s="272"/>
      <c r="AC510" s="272"/>
      <c r="AD510" s="272"/>
      <c r="AE510" s="242"/>
      <c r="AG510" s="272"/>
      <c r="AH510" s="272"/>
      <c r="AI510" s="272"/>
      <c r="AJ510" s="272"/>
      <c r="AK510" s="242"/>
      <c r="AM510" s="272"/>
      <c r="AN510" s="272"/>
      <c r="AO510" s="272"/>
      <c r="AP510" s="272"/>
      <c r="AQ510" s="242"/>
      <c r="AS510" s="272"/>
      <c r="AT510" s="272"/>
      <c r="AU510" s="272"/>
      <c r="AV510" s="272"/>
      <c r="AW510" s="242"/>
      <c r="AY510" s="272"/>
      <c r="AZ510" s="272"/>
      <c r="BA510" s="272"/>
      <c r="BB510" s="272"/>
      <c r="BC510" s="242"/>
      <c r="BE510" s="272"/>
      <c r="BF510" s="272"/>
      <c r="BG510" s="272"/>
      <c r="BH510" s="272"/>
      <c r="BI510" s="242"/>
      <c r="BK510" s="272"/>
      <c r="BL510" s="272"/>
      <c r="BM510" s="272"/>
      <c r="BN510" s="272"/>
      <c r="BO510" s="242"/>
      <c r="BQ510" s="272"/>
      <c r="BR510" s="272"/>
      <c r="BS510" s="272"/>
      <c r="BT510" s="272"/>
      <c r="BU510" s="242"/>
      <c r="BW510" s="272"/>
      <c r="BX510" s="272"/>
      <c r="BY510" s="272"/>
      <c r="BZ510" s="272"/>
      <c r="CA510" s="242"/>
      <c r="CC510" s="272"/>
      <c r="CD510" s="272"/>
      <c r="CE510" s="272"/>
      <c r="CF510" s="272"/>
      <c r="CG510" s="347"/>
      <c r="CI510" s="272"/>
      <c r="CJ510" s="272"/>
      <c r="CK510" s="272"/>
      <c r="CL510" s="272"/>
      <c r="CM510" s="347"/>
      <c r="CO510" s="272"/>
      <c r="CP510" s="272"/>
      <c r="CQ510" s="272"/>
      <c r="CR510" s="272"/>
      <c r="CS510" s="347"/>
      <c r="CT510" s="345"/>
      <c r="CU510" s="272"/>
      <c r="CV510" s="272"/>
      <c r="CW510" s="272"/>
      <c r="CX510" s="272"/>
      <c r="CY510" s="347"/>
      <c r="CZ510" s="345"/>
      <c r="DA510" s="272"/>
      <c r="DB510" s="272"/>
      <c r="DC510" s="272"/>
      <c r="DD510" s="272"/>
      <c r="DE510" s="347"/>
      <c r="DF510" s="345"/>
      <c r="DG510" s="272"/>
      <c r="DH510" s="272"/>
      <c r="DI510" s="272"/>
      <c r="DJ510" s="272"/>
      <c r="DK510" s="347"/>
      <c r="DL510" s="345"/>
      <c r="DM510" s="272"/>
      <c r="DN510" s="272"/>
      <c r="DO510" s="272"/>
      <c r="DP510" s="272"/>
      <c r="DQ510" s="347"/>
      <c r="DR510" s="345"/>
      <c r="DS510" s="272"/>
      <c r="DT510" s="272"/>
      <c r="DU510" s="272"/>
      <c r="DV510" s="272"/>
      <c r="DW510" s="347"/>
      <c r="DX510" s="345"/>
      <c r="DY510" s="272"/>
      <c r="DZ510" s="272"/>
      <c r="EA510" s="272"/>
      <c r="EB510" s="272"/>
      <c r="EC510" s="347"/>
      <c r="ED510" s="345"/>
      <c r="EE510" s="272"/>
      <c r="EF510" s="272"/>
      <c r="EG510" s="272"/>
      <c r="EH510" s="272"/>
      <c r="EI510" s="347"/>
      <c r="EJ510" s="345"/>
      <c r="EK510" s="272"/>
      <c r="EL510" s="272"/>
      <c r="EM510" s="272"/>
      <c r="EN510" s="272"/>
      <c r="EO510" s="347"/>
      <c r="EP510" s="345"/>
      <c r="EQ510" s="272"/>
      <c r="ER510" s="272"/>
      <c r="ES510" s="272"/>
      <c r="ET510" s="272"/>
      <c r="EU510" s="347"/>
      <c r="EV510" s="345"/>
      <c r="EW510" s="272"/>
      <c r="EX510" s="272"/>
      <c r="EY510" s="272"/>
      <c r="EZ510" s="272"/>
      <c r="FA510" s="347"/>
      <c r="FB510" s="345"/>
      <c r="FC510" s="272"/>
      <c r="FD510" s="272"/>
      <c r="FE510" s="272"/>
      <c r="FF510" s="272"/>
      <c r="FG510" s="347"/>
      <c r="FH510" s="345"/>
      <c r="FI510" s="272"/>
      <c r="FJ510" s="272"/>
      <c r="FK510" s="272"/>
      <c r="FL510" s="272"/>
      <c r="FM510" s="347"/>
      <c r="FQ510"/>
      <c r="FR510"/>
      <c r="FS510"/>
      <c r="FT510"/>
      <c r="FU510"/>
      <c r="FV510"/>
      <c r="GB510" s="24"/>
      <c r="GC510" s="24"/>
      <c r="GD510" s="24"/>
      <c r="GE510" s="24"/>
      <c r="GF510" s="24"/>
      <c r="GG510" s="24"/>
      <c r="GH510" s="24"/>
      <c r="GI510" s="24"/>
      <c r="GJ510"/>
      <c r="GK510"/>
      <c r="GL510"/>
      <c r="GM510"/>
      <c r="GN510"/>
      <c r="GO510"/>
      <c r="GP510"/>
      <c r="GQ510"/>
      <c r="GR510"/>
      <c r="GS510"/>
      <c r="GT510"/>
      <c r="GU510"/>
      <c r="GV510"/>
      <c r="GW510"/>
      <c r="GX510"/>
      <c r="GY510"/>
      <c r="GZ510"/>
      <c r="HA510"/>
      <c r="HB510"/>
      <c r="HC510"/>
      <c r="HD510"/>
      <c r="HE510"/>
      <c r="HF510"/>
      <c r="HG510"/>
      <c r="HH510"/>
      <c r="HI510"/>
      <c r="HJ510"/>
      <c r="HK510"/>
      <c r="HL510"/>
      <c r="HM510"/>
      <c r="HN510"/>
      <c r="HO510"/>
      <c r="HP510"/>
      <c r="HQ510"/>
      <c r="HR510"/>
      <c r="HS510"/>
      <c r="HT510"/>
      <c r="HU510"/>
      <c r="HV510"/>
      <c r="HW510"/>
      <c r="HX510"/>
      <c r="HY510"/>
      <c r="HZ510"/>
      <c r="IA510"/>
      <c r="IB510"/>
      <c r="IC510"/>
      <c r="ID510"/>
      <c r="IE510"/>
      <c r="IF510"/>
      <c r="IG510"/>
      <c r="IH510"/>
      <c r="II510"/>
      <c r="IJ510"/>
      <c r="IK510"/>
      <c r="IL510"/>
      <c r="IM510"/>
      <c r="IN510"/>
      <c r="IO510"/>
      <c r="IP510"/>
      <c r="IQ510"/>
      <c r="IR510"/>
      <c r="IS510"/>
      <c r="IT510"/>
      <c r="IU510"/>
      <c r="IV510"/>
      <c r="IW510"/>
      <c r="IX510"/>
      <c r="IY510"/>
      <c r="IZ510"/>
      <c r="JA510"/>
      <c r="JB510"/>
      <c r="JC510"/>
      <c r="JD510"/>
      <c r="JE510"/>
      <c r="JF510"/>
      <c r="JG510"/>
      <c r="JH510"/>
      <c r="JI510"/>
      <c r="JJ510"/>
      <c r="JK510"/>
      <c r="JL510"/>
      <c r="JM510"/>
      <c r="JN510"/>
    </row>
    <row r="511" spans="1:274" s="27" customFormat="1" ht="12" customHeight="1" x14ac:dyDescent="0.2">
      <c r="A511" s="27" t="s">
        <v>1036</v>
      </c>
      <c r="C511" s="242"/>
      <c r="D511" s="242"/>
      <c r="E511" s="242"/>
      <c r="F511" s="242"/>
      <c r="G511" s="242"/>
      <c r="H511" s="242"/>
      <c r="I511" s="242"/>
      <c r="J511" s="242"/>
      <c r="K511" s="242"/>
      <c r="L511" s="242"/>
      <c r="M511" s="242"/>
      <c r="O511" s="272"/>
      <c r="P511" s="272"/>
      <c r="Q511" s="272"/>
      <c r="R511" s="272"/>
      <c r="S511" s="242"/>
      <c r="U511" s="272"/>
      <c r="V511" s="272"/>
      <c r="W511" s="272"/>
      <c r="X511" s="272"/>
      <c r="Y511" s="242"/>
      <c r="AA511" s="272"/>
      <c r="AB511" s="272"/>
      <c r="AC511" s="272"/>
      <c r="AD511" s="272"/>
      <c r="AE511" s="242"/>
      <c r="AG511" s="272"/>
      <c r="AH511" s="272"/>
      <c r="AI511" s="272"/>
      <c r="AJ511" s="272"/>
      <c r="AK511" s="242"/>
      <c r="AM511" s="272"/>
      <c r="AN511" s="272"/>
      <c r="AO511" s="272"/>
      <c r="AP511" s="272"/>
      <c r="AQ511" s="242"/>
      <c r="AS511" s="272"/>
      <c r="AT511" s="272"/>
      <c r="AU511" s="272"/>
      <c r="AV511" s="272"/>
      <c r="AW511" s="242"/>
      <c r="AY511" s="272"/>
      <c r="AZ511" s="272"/>
      <c r="BA511" s="272"/>
      <c r="BB511" s="272"/>
      <c r="BC511" s="242"/>
      <c r="BE511" s="272"/>
      <c r="BF511" s="272"/>
      <c r="BG511" s="272"/>
      <c r="BH511" s="272"/>
      <c r="BI511" s="242"/>
      <c r="BK511" s="272"/>
      <c r="BL511" s="272"/>
      <c r="BM511" s="272"/>
      <c r="BN511" s="272"/>
      <c r="BO511" s="242"/>
      <c r="BQ511" s="272"/>
      <c r="BR511" s="272"/>
      <c r="BS511" s="272"/>
      <c r="BT511" s="272"/>
      <c r="BU511" s="242"/>
      <c r="BW511" s="272" t="s">
        <v>40</v>
      </c>
      <c r="BX511" s="272" t="s">
        <v>40</v>
      </c>
      <c r="BY511" s="272" t="s">
        <v>40</v>
      </c>
      <c r="BZ511" s="272" t="s">
        <v>40</v>
      </c>
      <c r="CA511" s="242"/>
      <c r="CC511" s="272" t="s">
        <v>40</v>
      </c>
      <c r="CD511" s="272" t="s">
        <v>40</v>
      </c>
      <c r="CE511" s="272" t="s">
        <v>40</v>
      </c>
      <c r="CF511" s="272" t="s">
        <v>40</v>
      </c>
      <c r="CG511" s="347"/>
      <c r="CI511" s="272"/>
      <c r="CJ511" s="272"/>
      <c r="CK511" s="272"/>
      <c r="CL511" s="272"/>
      <c r="CM511" s="347"/>
      <c r="CO511" s="272"/>
      <c r="CP511" s="272"/>
      <c r="CQ511" s="272"/>
      <c r="CR511" s="272"/>
      <c r="CS511" s="347"/>
      <c r="CT511" s="345"/>
      <c r="CU511" s="272"/>
      <c r="CV511" s="272"/>
      <c r="CW511" s="272"/>
      <c r="CX511" s="272"/>
      <c r="CY511" s="347"/>
      <c r="CZ511" s="345"/>
      <c r="DA511" s="272"/>
      <c r="DB511" s="272"/>
      <c r="DC511" s="272"/>
      <c r="DD511" s="272"/>
      <c r="DE511" s="347"/>
      <c r="DF511" s="345"/>
      <c r="DG511" s="272"/>
      <c r="DH511" s="272"/>
      <c r="DI511" s="272"/>
      <c r="DJ511" s="272"/>
      <c r="DK511" s="347"/>
      <c r="DL511" s="345"/>
      <c r="DM511" s="272"/>
      <c r="DN511" s="272"/>
      <c r="DO511" s="272"/>
      <c r="DP511" s="272"/>
      <c r="DQ511" s="347"/>
      <c r="DR511" s="345"/>
      <c r="DS511" s="272"/>
      <c r="DT511" s="272"/>
      <c r="DU511" s="272"/>
      <c r="DV511" s="272"/>
      <c r="DW511" s="347"/>
      <c r="DX511" s="345"/>
      <c r="DY511" s="272"/>
      <c r="DZ511" s="272"/>
      <c r="EA511" s="272"/>
      <c r="EB511" s="272"/>
      <c r="EC511" s="347"/>
      <c r="ED511" s="345"/>
      <c r="EE511" s="272"/>
      <c r="EF511" s="272"/>
      <c r="EG511" s="272"/>
      <c r="EH511" s="272"/>
      <c r="EI511" s="347"/>
      <c r="EJ511" s="345"/>
      <c r="EK511" s="272"/>
      <c r="EL511" s="272"/>
      <c r="EM511" s="272"/>
      <c r="EN511" s="272"/>
      <c r="EO511" s="347"/>
      <c r="EP511" s="345"/>
      <c r="EQ511" s="272"/>
      <c r="ER511" s="272"/>
      <c r="ES511" s="272"/>
      <c r="ET511" s="272"/>
      <c r="EU511" s="347"/>
      <c r="EV511" s="345"/>
      <c r="EW511" s="272"/>
      <c r="EX511" s="272"/>
      <c r="EY511" s="272"/>
      <c r="EZ511" s="272"/>
      <c r="FA511" s="347"/>
      <c r="FB511" s="345"/>
      <c r="FC511" s="272"/>
      <c r="FD511" s="272"/>
      <c r="FE511" s="272"/>
      <c r="FF511" s="272"/>
      <c r="FG511" s="347"/>
      <c r="FH511" s="345"/>
      <c r="FI511" s="272"/>
      <c r="FJ511" s="272"/>
      <c r="FK511" s="272"/>
      <c r="FL511" s="272"/>
      <c r="FM511" s="347"/>
      <c r="FQ511"/>
      <c r="FR511"/>
      <c r="FS511"/>
      <c r="FT511"/>
      <c r="FU511"/>
      <c r="FV511"/>
      <c r="GB511" s="24"/>
      <c r="GC511" s="24"/>
      <c r="GD511" s="24"/>
      <c r="GE511" s="24"/>
      <c r="GF511" s="24"/>
      <c r="GG511" s="24"/>
      <c r="GH511" s="24"/>
      <c r="GI511" s="24"/>
      <c r="GJ511"/>
      <c r="GK511"/>
      <c r="GL511"/>
      <c r="GM511"/>
      <c r="GN511"/>
      <c r="GO511"/>
      <c r="GP511"/>
      <c r="GQ511"/>
      <c r="GR511"/>
      <c r="GS511"/>
      <c r="GT511"/>
      <c r="GU511"/>
      <c r="GV511"/>
      <c r="GW511"/>
      <c r="GX511"/>
      <c r="GY511"/>
      <c r="GZ511"/>
      <c r="HA511"/>
      <c r="HB511"/>
      <c r="HC511"/>
      <c r="HD511"/>
      <c r="HE511"/>
      <c r="HF511"/>
      <c r="HG511"/>
      <c r="HH511"/>
      <c r="HI511"/>
      <c r="HJ511"/>
      <c r="HK511"/>
      <c r="HL511"/>
      <c r="HM511"/>
      <c r="HN511"/>
      <c r="HO511"/>
      <c r="HP511"/>
      <c r="HQ511"/>
      <c r="HR511"/>
      <c r="HS511"/>
      <c r="HT511"/>
      <c r="HU511"/>
      <c r="HV511"/>
      <c r="HW511"/>
      <c r="HX511"/>
      <c r="HY511"/>
      <c r="HZ511"/>
      <c r="IA511"/>
      <c r="IB511"/>
      <c r="IC511"/>
      <c r="ID511"/>
      <c r="IE511"/>
      <c r="IF511"/>
      <c r="IG511"/>
      <c r="IH511"/>
      <c r="II511"/>
      <c r="IJ511"/>
      <c r="IK511"/>
      <c r="IL511"/>
      <c r="IM511"/>
      <c r="IN511"/>
      <c r="IO511"/>
      <c r="IP511"/>
      <c r="IQ511"/>
      <c r="IR511"/>
      <c r="IS511"/>
      <c r="IT511"/>
      <c r="IU511"/>
      <c r="IV511"/>
      <c r="IW511"/>
      <c r="IX511"/>
      <c r="IY511"/>
      <c r="IZ511"/>
      <c r="JA511"/>
      <c r="JB511"/>
      <c r="JC511"/>
      <c r="JD511"/>
      <c r="JE511"/>
      <c r="JF511"/>
      <c r="JG511"/>
      <c r="JH511"/>
      <c r="JI511"/>
      <c r="JJ511"/>
      <c r="JK511"/>
      <c r="JL511"/>
      <c r="JM511"/>
      <c r="JN511"/>
    </row>
    <row r="512" spans="1:274" s="27" customFormat="1" ht="12" customHeight="1" x14ac:dyDescent="0.2">
      <c r="A512" s="27" t="s">
        <v>459</v>
      </c>
      <c r="C512" s="242"/>
      <c r="D512" s="242"/>
      <c r="E512" s="242"/>
      <c r="F512" s="242"/>
      <c r="G512" s="242"/>
      <c r="H512" s="242"/>
      <c r="I512" s="242"/>
      <c r="J512" s="242"/>
      <c r="K512" s="242"/>
      <c r="L512" s="242"/>
      <c r="M512" s="242"/>
      <c r="O512" s="272"/>
      <c r="P512" s="272"/>
      <c r="Q512" s="272"/>
      <c r="R512" s="272"/>
      <c r="S512" s="242"/>
      <c r="U512" s="272"/>
      <c r="V512" s="272"/>
      <c r="W512" s="272"/>
      <c r="X512" s="272"/>
      <c r="Y512" s="242"/>
      <c r="AA512" s="272"/>
      <c r="AB512" s="272"/>
      <c r="AC512" s="272"/>
      <c r="AD512" s="272"/>
      <c r="AE512" s="242"/>
      <c r="AG512" s="272"/>
      <c r="AH512" s="272"/>
      <c r="AI512" s="272"/>
      <c r="AJ512" s="272"/>
      <c r="AK512" s="242"/>
      <c r="AM512" s="272"/>
      <c r="AN512" s="272"/>
      <c r="AO512" s="272"/>
      <c r="AP512" s="272"/>
      <c r="AQ512" s="242"/>
      <c r="AS512" s="272"/>
      <c r="AT512" s="272"/>
      <c r="AU512" s="272"/>
      <c r="AV512" s="272"/>
      <c r="AW512" s="242"/>
      <c r="AY512" s="272"/>
      <c r="AZ512" s="272"/>
      <c r="BA512" s="272"/>
      <c r="BB512" s="272"/>
      <c r="BC512" s="242"/>
      <c r="BE512" s="272"/>
      <c r="BF512" s="272"/>
      <c r="BG512" s="272"/>
      <c r="BH512" s="272"/>
      <c r="BI512" s="242"/>
      <c r="BK512" s="272"/>
      <c r="BL512" s="272"/>
      <c r="BM512" s="272"/>
      <c r="BN512" s="272"/>
      <c r="BO512" s="242"/>
      <c r="BQ512" s="937"/>
      <c r="BR512" s="937"/>
      <c r="BS512" s="937"/>
      <c r="BT512" s="937"/>
      <c r="BU512" s="242"/>
      <c r="BW512" s="937">
        <f>Model!BW236-Model!BW220</f>
        <v>-7.0408509826369037E-3</v>
      </c>
      <c r="BX512" s="937">
        <f>Model!BX236-Model!BX220</f>
        <v>-7.8673054810272092E-3</v>
      </c>
      <c r="BY512" s="937">
        <f>Model!BY236-Model!BY220</f>
        <v>-2.3263862332695978E-3</v>
      </c>
      <c r="BZ512" s="937">
        <f>Model!BZ236-Model!BZ220</f>
        <v>-8.5552923194497643E-3</v>
      </c>
      <c r="CA512" s="242"/>
      <c r="CC512" s="937">
        <f>Model!CC236-Model!CC220</f>
        <v>-4.9877955758962644E-3</v>
      </c>
      <c r="CD512" s="937">
        <f>Model!CD236-Model!CD220</f>
        <v>-6.5382588774341166E-3</v>
      </c>
      <c r="CE512" s="937">
        <f>Model!CE236-Model!CE220</f>
        <v>-5.8327300150829431E-3</v>
      </c>
      <c r="CF512" s="937">
        <f>Model!CF236-Model!CF220</f>
        <v>-5.1769960915689084E-3</v>
      </c>
      <c r="CG512" s="347"/>
      <c r="CI512" s="937">
        <f>Model!CI236-Model!CI220</f>
        <v>-0.12659999999999999</v>
      </c>
      <c r="CJ512" s="937">
        <f>Model!CJ236-Model!CJ220</f>
        <v>-0.18279999999999999</v>
      </c>
      <c r="CK512" s="272"/>
      <c r="CL512" s="272"/>
      <c r="CM512" s="347"/>
      <c r="CO512" s="272"/>
      <c r="CP512" s="272"/>
      <c r="CQ512" s="272"/>
      <c r="CR512" s="272"/>
      <c r="CS512" s="347"/>
      <c r="CT512" s="345"/>
      <c r="CU512" s="272"/>
      <c r="CV512" s="272"/>
      <c r="CW512" s="272"/>
      <c r="CX512" s="272"/>
      <c r="CY512" s="347"/>
      <c r="CZ512" s="345"/>
      <c r="DA512" s="272"/>
      <c r="DB512" s="272"/>
      <c r="DC512" s="272"/>
      <c r="DD512" s="272"/>
      <c r="DE512" s="347"/>
      <c r="DF512" s="345"/>
      <c r="DG512" s="272"/>
      <c r="DH512" s="272"/>
      <c r="DI512" s="272"/>
      <c r="DJ512" s="272"/>
      <c r="DK512" s="347"/>
      <c r="DL512" s="345"/>
      <c r="DM512" s="272"/>
      <c r="DN512" s="272"/>
      <c r="DO512" s="272"/>
      <c r="DP512" s="272"/>
      <c r="DQ512" s="347"/>
      <c r="DR512" s="345"/>
      <c r="DS512" s="272"/>
      <c r="DT512" s="272"/>
      <c r="DU512" s="272"/>
      <c r="DV512" s="272"/>
      <c r="DW512" s="347"/>
      <c r="DX512" s="345"/>
      <c r="DY512" s="272"/>
      <c r="DZ512" s="272"/>
      <c r="EA512" s="272"/>
      <c r="EB512" s="272"/>
      <c r="EC512" s="347"/>
      <c r="ED512" s="345"/>
      <c r="EE512" s="272"/>
      <c r="EF512" s="272"/>
      <c r="EG512" s="272"/>
      <c r="EH512" s="272"/>
      <c r="EI512" s="347"/>
      <c r="EJ512" s="345"/>
      <c r="EK512" s="272"/>
      <c r="EL512" s="272"/>
      <c r="EM512" s="272"/>
      <c r="EN512" s="272"/>
      <c r="EO512" s="347"/>
      <c r="EP512" s="345"/>
      <c r="EQ512" s="272"/>
      <c r="ER512" s="272"/>
      <c r="ES512" s="272"/>
      <c r="ET512" s="272"/>
      <c r="EU512" s="347"/>
      <c r="EV512" s="345"/>
      <c r="EW512" s="272"/>
      <c r="EX512" s="272"/>
      <c r="EY512" s="272"/>
      <c r="EZ512" s="272"/>
      <c r="FA512" s="347"/>
      <c r="FB512" s="345"/>
      <c r="FC512" s="272"/>
      <c r="FD512" s="272"/>
      <c r="FE512" s="272"/>
      <c r="FF512" s="272"/>
      <c r="FG512" s="347"/>
      <c r="FH512" s="345"/>
      <c r="FI512" s="272"/>
      <c r="FJ512" s="272"/>
      <c r="FK512" s="272"/>
      <c r="FL512" s="272"/>
      <c r="FM512" s="347"/>
      <c r="FQ512"/>
      <c r="FR512"/>
      <c r="FS512"/>
      <c r="FT512"/>
      <c r="FU512"/>
      <c r="FV512"/>
      <c r="GB512" s="24"/>
      <c r="GC512" s="24"/>
      <c r="GD512" s="24"/>
      <c r="GE512" s="24"/>
      <c r="GF512" s="24"/>
      <c r="GG512" s="24"/>
      <c r="GH512" s="24"/>
      <c r="GI512" s="24"/>
      <c r="GJ512"/>
      <c r="GK512"/>
      <c r="GL512"/>
      <c r="GM512"/>
      <c r="GN512"/>
      <c r="GO512"/>
      <c r="GP512"/>
      <c r="GQ512"/>
      <c r="GR512"/>
      <c r="GS512"/>
      <c r="GT512"/>
      <c r="GU512"/>
      <c r="GV512"/>
      <c r="GW512"/>
      <c r="GX512"/>
      <c r="GY512"/>
      <c r="GZ512"/>
      <c r="HA512"/>
      <c r="HB512"/>
      <c r="HC512"/>
      <c r="HD512"/>
      <c r="HE512"/>
      <c r="HF512"/>
      <c r="HG512"/>
      <c r="HH512"/>
      <c r="HI512"/>
      <c r="HJ512"/>
      <c r="HK512"/>
      <c r="HL512"/>
      <c r="HM512"/>
      <c r="HN512"/>
      <c r="HO512"/>
      <c r="HP512"/>
      <c r="HQ512"/>
      <c r="HR512"/>
      <c r="HS512"/>
      <c r="HT512"/>
      <c r="HU512"/>
      <c r="HV512"/>
      <c r="HW512"/>
      <c r="HX512"/>
      <c r="HY512"/>
      <c r="HZ512"/>
      <c r="IA512"/>
      <c r="IB512"/>
      <c r="IC512"/>
      <c r="ID512"/>
      <c r="IE512"/>
      <c r="IF512"/>
      <c r="IG512"/>
      <c r="IH512"/>
      <c r="II512"/>
      <c r="IJ512"/>
      <c r="IK512"/>
      <c r="IL512"/>
      <c r="IM512"/>
      <c r="IN512"/>
      <c r="IO512"/>
      <c r="IP512"/>
      <c r="IQ512"/>
      <c r="IR512"/>
      <c r="IS512"/>
      <c r="IT512"/>
      <c r="IU512"/>
      <c r="IV512"/>
      <c r="IW512"/>
      <c r="IX512"/>
      <c r="IY512"/>
      <c r="IZ512"/>
      <c r="JA512"/>
      <c r="JB512"/>
      <c r="JC512"/>
      <c r="JD512"/>
      <c r="JE512"/>
      <c r="JF512"/>
      <c r="JG512"/>
      <c r="JH512"/>
      <c r="JI512"/>
      <c r="JJ512"/>
      <c r="JK512"/>
      <c r="JL512"/>
      <c r="JM512"/>
      <c r="JN512"/>
    </row>
    <row r="513" spans="1:274" s="98" customFormat="1" ht="15.75" hidden="1" outlineLevel="1" x14ac:dyDescent="0.25">
      <c r="A513" s="917" t="s">
        <v>583</v>
      </c>
      <c r="C513" s="918"/>
      <c r="D513" s="918"/>
      <c r="E513" s="918"/>
      <c r="F513" s="918"/>
      <c r="G513" s="918"/>
      <c r="H513" s="918"/>
      <c r="I513" s="918"/>
      <c r="J513" s="918"/>
      <c r="K513" s="918"/>
      <c r="L513" s="918"/>
      <c r="M513" s="918"/>
      <c r="O513" s="919"/>
      <c r="P513" s="919"/>
      <c r="Q513" s="919"/>
      <c r="R513" s="919"/>
      <c r="S513" s="918"/>
      <c r="U513" s="919"/>
      <c r="V513" s="919"/>
      <c r="W513" s="919"/>
      <c r="X513" s="919"/>
      <c r="Y513" s="918"/>
      <c r="AA513" s="919"/>
      <c r="AB513" s="919"/>
      <c r="AC513" s="919"/>
      <c r="AD513" s="919"/>
      <c r="AE513" s="918"/>
      <c r="AG513" s="919"/>
      <c r="AH513" s="919"/>
      <c r="AI513" s="919"/>
      <c r="AJ513" s="919"/>
      <c r="AK513" s="918"/>
      <c r="AM513" s="919"/>
      <c r="AN513" s="919"/>
      <c r="AO513" s="919"/>
      <c r="AP513" s="919"/>
      <c r="AQ513" s="918"/>
      <c r="AS513" s="919"/>
      <c r="AT513" s="919"/>
      <c r="AU513" s="919"/>
      <c r="AV513" s="919"/>
      <c r="AW513" s="918"/>
      <c r="AY513" s="919"/>
      <c r="AZ513" s="919"/>
      <c r="BA513" s="919"/>
      <c r="BB513" s="919"/>
      <c r="BC513" s="918"/>
      <c r="BE513" s="919"/>
      <c r="BF513" s="919"/>
      <c r="BG513" s="919"/>
      <c r="BH513" s="919"/>
      <c r="BI513" s="918"/>
      <c r="BK513" s="919"/>
      <c r="BL513" s="919"/>
      <c r="BM513" s="919"/>
      <c r="BN513" s="919"/>
      <c r="BO513" s="918"/>
      <c r="BQ513" s="938"/>
      <c r="BR513" s="938"/>
      <c r="BS513" s="938"/>
      <c r="BT513" s="938"/>
      <c r="BU513" s="918"/>
      <c r="BW513" s="938"/>
      <c r="BX513" s="938"/>
      <c r="BY513" s="938"/>
      <c r="BZ513" s="938"/>
      <c r="CA513" s="918"/>
      <c r="CC513" s="938"/>
      <c r="CD513" s="919"/>
      <c r="CE513" s="919"/>
      <c r="CF513" s="919"/>
      <c r="CG513" s="920"/>
      <c r="CI513" s="919"/>
      <c r="CJ513" s="919"/>
      <c r="CK513" s="919"/>
      <c r="CL513" s="919"/>
      <c r="CM513" s="920"/>
      <c r="CO513" s="919"/>
      <c r="CP513" s="919"/>
      <c r="CQ513" s="919"/>
      <c r="CR513" s="919"/>
      <c r="CS513" s="920"/>
      <c r="CT513" s="921"/>
      <c r="CU513" s="919"/>
      <c r="CV513" s="919"/>
      <c r="CW513" s="919"/>
      <c r="CX513" s="919"/>
      <c r="CY513" s="920"/>
      <c r="CZ513" s="921"/>
      <c r="DA513" s="919"/>
      <c r="DB513" s="919"/>
      <c r="DC513" s="919"/>
      <c r="DD513" s="919"/>
      <c r="DE513" s="920"/>
      <c r="DF513" s="921"/>
      <c r="DG513" s="919"/>
      <c r="DH513" s="919"/>
      <c r="DI513" s="919"/>
      <c r="DJ513" s="919"/>
      <c r="DK513" s="920"/>
      <c r="DL513" s="921"/>
      <c r="DM513" s="919"/>
      <c r="DN513" s="919"/>
      <c r="DO513" s="919"/>
      <c r="DP513" s="919"/>
      <c r="DQ513" s="920"/>
      <c r="DR513" s="921"/>
      <c r="DS513" s="919"/>
      <c r="DT513" s="919"/>
      <c r="DU513" s="919"/>
      <c r="DV513" s="919"/>
      <c r="DW513" s="920"/>
      <c r="DX513" s="921"/>
      <c r="DY513" s="919"/>
      <c r="DZ513" s="919"/>
      <c r="EA513" s="919"/>
      <c r="EB513" s="919"/>
      <c r="EC513" s="920"/>
      <c r="ED513" s="921"/>
      <c r="EE513" s="919"/>
      <c r="EF513" s="919"/>
      <c r="EG513" s="919"/>
      <c r="EH513" s="919"/>
      <c r="EI513" s="920"/>
      <c r="EJ513" s="921"/>
      <c r="EK513" s="919"/>
      <c r="EL513" s="919"/>
      <c r="EM513" s="919"/>
      <c r="EN513" s="919"/>
      <c r="EO513" s="920"/>
      <c r="EP513" s="921"/>
      <c r="EQ513" s="919"/>
      <c r="ER513" s="919"/>
      <c r="ES513" s="919"/>
      <c r="ET513" s="919"/>
      <c r="EU513" s="920"/>
      <c r="EV513" s="921"/>
      <c r="EW513" s="919"/>
      <c r="EX513" s="919"/>
      <c r="EY513" s="919"/>
      <c r="EZ513" s="919"/>
      <c r="FA513" s="920"/>
      <c r="FB513" s="921"/>
      <c r="FC513" s="919"/>
      <c r="FD513" s="919"/>
      <c r="FE513" s="919"/>
      <c r="FF513" s="919"/>
      <c r="FG513" s="920"/>
      <c r="FH513" s="921"/>
      <c r="FI513" s="919"/>
      <c r="FJ513" s="919"/>
      <c r="FK513" s="919"/>
      <c r="FL513" s="919"/>
      <c r="FM513" s="920"/>
      <c r="FQ513"/>
      <c r="FR513"/>
      <c r="FS513"/>
      <c r="FT513"/>
      <c r="FU513"/>
      <c r="FV513"/>
      <c r="GB513" s="24"/>
      <c r="GC513" s="24"/>
      <c r="GD513" s="24"/>
      <c r="GE513" s="24"/>
      <c r="GF513" s="24"/>
      <c r="GG513" s="24"/>
      <c r="GH513" s="24"/>
      <c r="GI513" s="24"/>
      <c r="GJ513"/>
      <c r="GK513"/>
      <c r="GL513"/>
      <c r="GM513"/>
      <c r="GN513"/>
      <c r="GO513"/>
      <c r="GP513"/>
      <c r="GQ513"/>
      <c r="GR513"/>
      <c r="GS513"/>
      <c r="GT513"/>
      <c r="GU513"/>
      <c r="GV513"/>
      <c r="GW513"/>
      <c r="GX513"/>
      <c r="GY513"/>
      <c r="GZ513"/>
      <c r="HA513"/>
      <c r="HB513"/>
      <c r="HC513"/>
      <c r="HD513"/>
      <c r="HE513"/>
      <c r="HF513"/>
      <c r="HG513"/>
      <c r="HH513"/>
      <c r="HI513"/>
      <c r="HJ513"/>
      <c r="HK513"/>
      <c r="HL513"/>
      <c r="HM513"/>
      <c r="HN513"/>
      <c r="HO513"/>
      <c r="HP513"/>
      <c r="HQ513"/>
      <c r="HR513"/>
      <c r="HS513"/>
      <c r="HT513"/>
      <c r="HU513"/>
      <c r="HV513"/>
      <c r="HW513"/>
      <c r="HX513"/>
      <c r="HY513"/>
      <c r="HZ513"/>
      <c r="IA513"/>
      <c r="IB513"/>
      <c r="IC513"/>
      <c r="ID513"/>
      <c r="IE513"/>
      <c r="IF513"/>
      <c r="IG513"/>
      <c r="IH513"/>
      <c r="II513"/>
      <c r="IJ513"/>
      <c r="IK513"/>
      <c r="IL513"/>
      <c r="IM513"/>
      <c r="IN513"/>
      <c r="IO513"/>
      <c r="IP513"/>
      <c r="IQ513"/>
      <c r="IR513"/>
      <c r="IS513"/>
      <c r="IT513"/>
      <c r="IU513"/>
      <c r="IV513"/>
      <c r="IW513"/>
      <c r="IX513"/>
      <c r="IY513"/>
      <c r="IZ513"/>
      <c r="JA513"/>
      <c r="JB513"/>
      <c r="JC513"/>
      <c r="JD513"/>
      <c r="JE513"/>
      <c r="JF513"/>
      <c r="JG513"/>
      <c r="JH513"/>
      <c r="JI513"/>
      <c r="JJ513"/>
      <c r="JK513"/>
      <c r="JL513"/>
      <c r="JM513"/>
      <c r="JN513"/>
    </row>
    <row r="514" spans="1:274" s="27" customFormat="1" ht="12" hidden="1" customHeight="1" outlineLevel="1" x14ac:dyDescent="0.2">
      <c r="A514" s="32" t="s">
        <v>456</v>
      </c>
      <c r="C514" s="242"/>
      <c r="D514" s="242"/>
      <c r="E514" s="242"/>
      <c r="F514" s="242"/>
      <c r="G514" s="242"/>
      <c r="H514" s="242"/>
      <c r="I514" s="242"/>
      <c r="J514" s="242"/>
      <c r="K514" s="242"/>
      <c r="L514" s="242"/>
      <c r="M514" s="242"/>
      <c r="O514" s="272"/>
      <c r="P514" s="272"/>
      <c r="Q514" s="272"/>
      <c r="R514" s="272"/>
      <c r="S514" s="242"/>
      <c r="U514" s="272"/>
      <c r="V514" s="272"/>
      <c r="W514" s="272"/>
      <c r="X514" s="272"/>
      <c r="Y514" s="242"/>
      <c r="AA514" s="272"/>
      <c r="AB514" s="272"/>
      <c r="AC514" s="272"/>
      <c r="AD514" s="272"/>
      <c r="AE514" s="242"/>
      <c r="AG514" s="272"/>
      <c r="AH514" s="272"/>
      <c r="AI514" s="272"/>
      <c r="AJ514" s="272"/>
      <c r="AK514" s="242"/>
      <c r="AM514" s="272"/>
      <c r="AN514" s="272"/>
      <c r="AO514" s="272"/>
      <c r="AP514" s="272"/>
      <c r="AQ514" s="242"/>
      <c r="AS514" s="272"/>
      <c r="AT514" s="272"/>
      <c r="AU514" s="272"/>
      <c r="AV514" s="272"/>
      <c r="AW514" s="242"/>
      <c r="AY514" s="272"/>
      <c r="AZ514" s="272"/>
      <c r="BA514" s="272"/>
      <c r="BB514" s="272"/>
      <c r="BC514" s="242"/>
      <c r="BE514" s="272"/>
      <c r="BF514" s="272"/>
      <c r="BG514" s="272"/>
      <c r="BH514" s="272"/>
      <c r="BI514" s="242"/>
      <c r="BK514" s="272"/>
      <c r="BL514" s="272"/>
      <c r="BM514" s="272"/>
      <c r="BN514" s="272"/>
      <c r="BO514" s="242"/>
      <c r="BQ514" s="937"/>
      <c r="BR514" s="937"/>
      <c r="BS514" s="937"/>
      <c r="BT514" s="937"/>
      <c r="BU514" s="242"/>
      <c r="BW514" s="937"/>
      <c r="BX514" s="937"/>
      <c r="BY514" s="937"/>
      <c r="BZ514" s="937"/>
      <c r="CA514" s="242"/>
      <c r="CC514" s="937"/>
      <c r="CD514" s="272"/>
      <c r="CE514" s="272"/>
      <c r="CF514" s="272"/>
      <c r="CG514" s="347"/>
      <c r="CI514" s="272"/>
      <c r="CJ514" s="272"/>
      <c r="CK514" s="272"/>
      <c r="CL514" s="272"/>
      <c r="CM514" s="347"/>
      <c r="CO514" s="272"/>
      <c r="CP514" s="272"/>
      <c r="CQ514" s="272"/>
      <c r="CR514" s="272"/>
      <c r="CS514" s="347"/>
      <c r="CT514" s="345"/>
      <c r="CU514" s="272"/>
      <c r="CV514" s="272"/>
      <c r="CW514" s="272"/>
      <c r="CX514" s="272"/>
      <c r="CY514" s="347"/>
      <c r="CZ514" s="345"/>
      <c r="DA514" s="272"/>
      <c r="DB514" s="272"/>
      <c r="DC514" s="272"/>
      <c r="DD514" s="272"/>
      <c r="DE514" s="347"/>
      <c r="DF514" s="345"/>
      <c r="DG514" s="272"/>
      <c r="DH514" s="272"/>
      <c r="DI514" s="272"/>
      <c r="DJ514" s="272"/>
      <c r="DK514" s="347"/>
      <c r="DL514" s="345"/>
      <c r="DM514" s="272"/>
      <c r="DN514" s="272"/>
      <c r="DO514" s="272"/>
      <c r="DP514" s="272"/>
      <c r="DQ514" s="347"/>
      <c r="DR514" s="345"/>
      <c r="DS514" s="272"/>
      <c r="DT514" s="272"/>
      <c r="DU514" s="272"/>
      <c r="DV514" s="272"/>
      <c r="DW514" s="347"/>
      <c r="DX514" s="345"/>
      <c r="DY514" s="272"/>
      <c r="DZ514" s="272"/>
      <c r="EA514" s="272"/>
      <c r="EB514" s="272"/>
      <c r="EC514" s="347"/>
      <c r="ED514" s="345"/>
      <c r="EE514" s="272"/>
      <c r="EF514" s="272"/>
      <c r="EG514" s="272"/>
      <c r="EH514" s="272"/>
      <c r="EI514" s="347"/>
      <c r="EJ514" s="345"/>
      <c r="EK514" s="272"/>
      <c r="EL514" s="272"/>
      <c r="EM514" s="272"/>
      <c r="EN514" s="272"/>
      <c r="EO514" s="347"/>
      <c r="EP514" s="345"/>
      <c r="EQ514" s="272"/>
      <c r="ER514" s="272"/>
      <c r="ES514" s="272"/>
      <c r="ET514" s="272"/>
      <c r="EU514" s="347"/>
      <c r="EV514" s="345"/>
      <c r="EW514" s="272"/>
      <c r="EX514" s="272"/>
      <c r="EY514" s="272"/>
      <c r="EZ514" s="272"/>
      <c r="FA514" s="347"/>
      <c r="FB514" s="345"/>
      <c r="FC514" s="272"/>
      <c r="FD514" s="272"/>
      <c r="FE514" s="272"/>
      <c r="FF514" s="272"/>
      <c r="FG514" s="347"/>
      <c r="FH514" s="345"/>
      <c r="FI514" s="272"/>
      <c r="FJ514" s="272"/>
      <c r="FK514" s="272"/>
      <c r="FL514" s="272"/>
      <c r="FM514" s="347"/>
      <c r="FQ514"/>
      <c r="FR514"/>
      <c r="FS514"/>
      <c r="FT514"/>
      <c r="FU514"/>
      <c r="FV514"/>
      <c r="GB514" s="24"/>
      <c r="GC514" s="24"/>
      <c r="GD514" s="24"/>
      <c r="GE514" s="24"/>
      <c r="GF514" s="24"/>
      <c r="GG514" s="24"/>
      <c r="GH514" s="24"/>
      <c r="GI514" s="24"/>
      <c r="GJ514"/>
      <c r="GK514"/>
      <c r="GL514"/>
      <c r="GM514"/>
      <c r="GN514"/>
      <c r="GO514"/>
      <c r="GP514"/>
      <c r="GQ514"/>
      <c r="GR514"/>
      <c r="GS514"/>
      <c r="GT514"/>
      <c r="GU514"/>
      <c r="GV514"/>
      <c r="GW514"/>
      <c r="GX514"/>
      <c r="GY514"/>
      <c r="GZ514"/>
      <c r="HA514"/>
      <c r="HB514"/>
      <c r="HC514"/>
      <c r="HD514"/>
      <c r="HE514"/>
      <c r="HF514"/>
      <c r="HG514"/>
      <c r="HH514"/>
      <c r="HI514"/>
      <c r="HJ514"/>
      <c r="HK514"/>
      <c r="HL514"/>
      <c r="HM514"/>
      <c r="HN514"/>
      <c r="HO514"/>
      <c r="HP514"/>
      <c r="HQ514"/>
      <c r="HR514"/>
      <c r="HS514"/>
      <c r="HT514"/>
      <c r="HU514"/>
      <c r="HV514"/>
      <c r="HW514"/>
      <c r="HX514"/>
      <c r="HY514"/>
      <c r="HZ514"/>
      <c r="IA514"/>
      <c r="IB514"/>
      <c r="IC514"/>
      <c r="ID514"/>
      <c r="IE514"/>
      <c r="IF514"/>
      <c r="IG514"/>
      <c r="IH514"/>
      <c r="II514"/>
      <c r="IJ514"/>
      <c r="IK514"/>
      <c r="IL514"/>
      <c r="IM514"/>
      <c r="IN514"/>
      <c r="IO514"/>
      <c r="IP514"/>
      <c r="IQ514"/>
      <c r="IR514"/>
      <c r="IS514"/>
      <c r="IT514"/>
      <c r="IU514"/>
      <c r="IV514"/>
      <c r="IW514"/>
      <c r="IX514"/>
      <c r="IY514"/>
      <c r="IZ514"/>
      <c r="JA514"/>
      <c r="JB514"/>
      <c r="JC514"/>
      <c r="JD514"/>
      <c r="JE514"/>
      <c r="JF514"/>
      <c r="JG514"/>
      <c r="JH514"/>
      <c r="JI514"/>
      <c r="JJ514"/>
      <c r="JK514"/>
      <c r="JL514"/>
      <c r="JM514"/>
      <c r="JN514"/>
    </row>
    <row r="515" spans="1:274" s="27" customFormat="1" ht="12" hidden="1" customHeight="1" outlineLevel="1" x14ac:dyDescent="0.2">
      <c r="A515" s="27" t="s">
        <v>457</v>
      </c>
      <c r="C515" s="242"/>
      <c r="D515" s="242"/>
      <c r="E515" s="242"/>
      <c r="F515" s="242"/>
      <c r="G515" s="242"/>
      <c r="H515" s="242"/>
      <c r="I515" s="242"/>
      <c r="J515" s="242"/>
      <c r="K515" s="242"/>
      <c r="L515" s="242"/>
      <c r="M515" s="242"/>
      <c r="O515" s="272"/>
      <c r="P515" s="272"/>
      <c r="Q515" s="272"/>
      <c r="R515" s="272"/>
      <c r="S515" s="242"/>
      <c r="U515" s="272"/>
      <c r="V515" s="272"/>
      <c r="W515" s="272"/>
      <c r="X515" s="272"/>
      <c r="Y515" s="242"/>
      <c r="AA515" s="272"/>
      <c r="AB515" s="272"/>
      <c r="AC515" s="272"/>
      <c r="AD515" s="272"/>
      <c r="AE515" s="242"/>
      <c r="AG515" s="272"/>
      <c r="AH515" s="272"/>
      <c r="AI515" s="272"/>
      <c r="AJ515" s="272"/>
      <c r="AK515" s="242"/>
      <c r="AM515" s="272"/>
      <c r="AN515" s="272"/>
      <c r="AO515" s="272"/>
      <c r="AP515" s="272"/>
      <c r="AQ515" s="242"/>
      <c r="AS515" s="272"/>
      <c r="AT515" s="272"/>
      <c r="AU515" s="272"/>
      <c r="AV515" s="272"/>
      <c r="AW515" s="242"/>
      <c r="AY515" s="272"/>
      <c r="AZ515" s="272"/>
      <c r="BA515" s="272"/>
      <c r="BB515" s="272"/>
      <c r="BC515" s="242"/>
      <c r="BE515" s="272"/>
      <c r="BF515" s="272"/>
      <c r="BG515" s="272"/>
      <c r="BH515" s="272"/>
      <c r="BI515" s="242"/>
      <c r="BK515" s="272"/>
      <c r="BL515" s="272"/>
      <c r="BM515" s="272"/>
      <c r="BN515" s="272"/>
      <c r="BO515" s="242"/>
      <c r="BQ515" s="272"/>
      <c r="BR515" s="272"/>
      <c r="BS515" s="272"/>
      <c r="BT515" s="272"/>
      <c r="BU515" s="242"/>
      <c r="BW515" s="272" t="s">
        <v>40</v>
      </c>
      <c r="BX515" s="272" t="s">
        <v>40</v>
      </c>
      <c r="BY515" s="272" t="s">
        <v>40</v>
      </c>
      <c r="BZ515" s="272" t="s">
        <v>40</v>
      </c>
      <c r="CA515" s="242"/>
      <c r="CC515" s="600">
        <f>BW517*1.17</f>
        <v>14179.23</v>
      </c>
      <c r="CD515" s="600" t="s">
        <v>943</v>
      </c>
      <c r="CE515" s="600" t="s">
        <v>943</v>
      </c>
      <c r="CF515" s="600">
        <f>SUM(CC431:CE431,CF429)</f>
        <v>14295.9</v>
      </c>
      <c r="CG515" s="174"/>
      <c r="CH515" s="60"/>
      <c r="CI515" s="600"/>
      <c r="CJ515" s="600"/>
      <c r="CK515" s="600"/>
      <c r="CL515" s="600"/>
      <c r="CM515" s="174"/>
      <c r="CN515" s="60"/>
      <c r="CO515" s="600"/>
      <c r="CP515" s="600"/>
      <c r="CQ515" s="600"/>
      <c r="CR515" s="600"/>
      <c r="CS515" s="557"/>
      <c r="CT515" s="345"/>
      <c r="CU515" s="272"/>
      <c r="CV515" s="272"/>
      <c r="CW515" s="272"/>
      <c r="CX515" s="272"/>
      <c r="CY515" s="347"/>
      <c r="CZ515" s="345"/>
      <c r="DA515" s="272"/>
      <c r="DB515" s="272"/>
      <c r="DC515" s="272"/>
      <c r="DD515" s="272"/>
      <c r="DE515" s="347"/>
      <c r="DF515" s="345"/>
      <c r="DG515" s="272"/>
      <c r="DH515" s="272"/>
      <c r="DI515" s="272"/>
      <c r="DJ515" s="272"/>
      <c r="DK515" s="347"/>
      <c r="DL515" s="345"/>
      <c r="DM515" s="272"/>
      <c r="DN515" s="272"/>
      <c r="DO515" s="272"/>
      <c r="DP515" s="272"/>
      <c r="DQ515" s="347"/>
      <c r="DR515" s="345"/>
      <c r="DS515" s="272"/>
      <c r="DT515" s="272"/>
      <c r="DU515" s="272"/>
      <c r="DV515" s="272"/>
      <c r="DW515" s="347"/>
      <c r="DX515" s="345"/>
      <c r="DY515" s="272"/>
      <c r="DZ515" s="272"/>
      <c r="EA515" s="272"/>
      <c r="EB515" s="272"/>
      <c r="EC515" s="347"/>
      <c r="ED515" s="345"/>
      <c r="EE515" s="272"/>
      <c r="EF515" s="272"/>
      <c r="EG515" s="272"/>
      <c r="EH515" s="272"/>
      <c r="EI515" s="347"/>
      <c r="EJ515" s="345"/>
      <c r="EK515" s="272"/>
      <c r="EL515" s="272"/>
      <c r="EM515" s="272"/>
      <c r="EN515" s="272"/>
      <c r="EO515" s="347"/>
      <c r="EP515" s="345"/>
      <c r="EQ515" s="272"/>
      <c r="ER515" s="272"/>
      <c r="ES515" s="272"/>
      <c r="ET515" s="272"/>
      <c r="EU515" s="347"/>
      <c r="EV515" s="345"/>
      <c r="EW515" s="272"/>
      <c r="EX515" s="272"/>
      <c r="EY515" s="272"/>
      <c r="EZ515" s="272"/>
      <c r="FA515" s="347"/>
      <c r="FB515" s="345"/>
      <c r="FC515" s="272"/>
      <c r="FD515" s="272"/>
      <c r="FE515" s="272"/>
      <c r="FF515" s="272"/>
      <c r="FG515" s="347"/>
      <c r="FH515" s="345"/>
      <c r="FI515" s="272"/>
      <c r="FJ515" s="272"/>
      <c r="FK515" s="272"/>
      <c r="FL515" s="272"/>
      <c r="FM515" s="347"/>
      <c r="FQ515"/>
      <c r="FR515"/>
      <c r="FS515"/>
      <c r="FT515"/>
      <c r="FU515"/>
      <c r="FV515"/>
      <c r="GB515" s="24"/>
      <c r="GC515" s="24"/>
      <c r="GD515" s="24"/>
      <c r="GE515" s="24"/>
      <c r="GF515" s="24"/>
      <c r="GG515" s="24"/>
      <c r="GH515" s="24"/>
      <c r="GI515" s="24"/>
      <c r="GJ515"/>
      <c r="GK515"/>
      <c r="GL515"/>
      <c r="GM515"/>
      <c r="GN515"/>
      <c r="GO515"/>
      <c r="GP515"/>
      <c r="GQ515"/>
      <c r="GR515"/>
      <c r="GS515"/>
      <c r="GT515"/>
      <c r="GU515"/>
      <c r="GV515"/>
      <c r="GW515"/>
      <c r="GX515"/>
      <c r="GY515"/>
      <c r="GZ515"/>
      <c r="HA515"/>
      <c r="HB515"/>
      <c r="HC515"/>
      <c r="HD515"/>
      <c r="HE515"/>
      <c r="HF515"/>
      <c r="HG515"/>
      <c r="HH515"/>
      <c r="HI515"/>
      <c r="HJ515"/>
      <c r="HK515"/>
      <c r="HL515"/>
      <c r="HM515"/>
      <c r="HN515"/>
      <c r="HO515"/>
      <c r="HP515"/>
      <c r="HQ515"/>
      <c r="HR515"/>
      <c r="HS515"/>
      <c r="HT515"/>
      <c r="HU515"/>
      <c r="HV515"/>
      <c r="HW515"/>
      <c r="HX515"/>
      <c r="HY515"/>
      <c r="HZ515"/>
      <c r="IA515"/>
      <c r="IB515"/>
      <c r="IC515"/>
      <c r="ID515"/>
      <c r="IE515"/>
      <c r="IF515"/>
      <c r="IG515"/>
      <c r="IH515"/>
      <c r="II515"/>
      <c r="IJ515"/>
      <c r="IK515"/>
      <c r="IL515"/>
      <c r="IM515"/>
      <c r="IN515"/>
      <c r="IO515"/>
      <c r="IP515"/>
      <c r="IQ515"/>
      <c r="IR515"/>
      <c r="IS515"/>
      <c r="IT515"/>
      <c r="IU515"/>
      <c r="IV515"/>
      <c r="IW515"/>
      <c r="IX515"/>
      <c r="IY515"/>
      <c r="IZ515"/>
      <c r="JA515"/>
      <c r="JB515"/>
      <c r="JC515"/>
      <c r="JD515"/>
      <c r="JE515"/>
      <c r="JF515"/>
      <c r="JG515"/>
      <c r="JH515"/>
      <c r="JI515"/>
      <c r="JJ515"/>
      <c r="JK515"/>
      <c r="JL515"/>
      <c r="JM515"/>
      <c r="JN515"/>
    </row>
    <row r="516" spans="1:274" s="27" customFormat="1" ht="12" hidden="1" customHeight="1" outlineLevel="1" x14ac:dyDescent="0.2">
      <c r="A516" s="27" t="s">
        <v>458</v>
      </c>
      <c r="C516" s="242"/>
      <c r="D516" s="242"/>
      <c r="E516" s="242"/>
      <c r="F516" s="242"/>
      <c r="G516" s="242"/>
      <c r="H516" s="242"/>
      <c r="I516" s="242"/>
      <c r="J516" s="242"/>
      <c r="K516" s="242"/>
      <c r="L516" s="242"/>
      <c r="M516" s="242"/>
      <c r="O516" s="272"/>
      <c r="P516" s="272"/>
      <c r="Q516" s="272"/>
      <c r="R516" s="272"/>
      <c r="S516" s="242"/>
      <c r="U516" s="272"/>
      <c r="V516" s="272"/>
      <c r="W516" s="272"/>
      <c r="X516" s="272"/>
      <c r="Y516" s="242"/>
      <c r="AA516" s="272"/>
      <c r="AB516" s="272"/>
      <c r="AC516" s="272"/>
      <c r="AD516" s="272"/>
      <c r="AE516" s="242"/>
      <c r="AG516" s="272"/>
      <c r="AH516" s="272"/>
      <c r="AI516" s="272"/>
      <c r="AJ516" s="272"/>
      <c r="AK516" s="242"/>
      <c r="AM516" s="272"/>
      <c r="AN516" s="272"/>
      <c r="AO516" s="272"/>
      <c r="AP516" s="272"/>
      <c r="AQ516" s="242"/>
      <c r="AS516" s="272"/>
      <c r="AT516" s="272"/>
      <c r="AU516" s="272"/>
      <c r="AV516" s="272"/>
      <c r="AW516" s="242"/>
      <c r="AY516" s="272"/>
      <c r="AZ516" s="272"/>
      <c r="BA516" s="272"/>
      <c r="BB516" s="272"/>
      <c r="BC516" s="242"/>
      <c r="BE516" s="272"/>
      <c r="BF516" s="272"/>
      <c r="BG516" s="272"/>
      <c r="BH516" s="272"/>
      <c r="BI516" s="242"/>
      <c r="BK516" s="272"/>
      <c r="BL516" s="272"/>
      <c r="BM516" s="272"/>
      <c r="BN516" s="272"/>
      <c r="BO516" s="242"/>
      <c r="BQ516" s="272"/>
      <c r="BR516" s="272"/>
      <c r="BS516" s="272"/>
      <c r="BT516" s="272"/>
      <c r="BU516" s="242"/>
      <c r="BW516" s="272" t="s">
        <v>40</v>
      </c>
      <c r="BX516" s="272" t="s">
        <v>40</v>
      </c>
      <c r="BY516" s="272" t="s">
        <v>40</v>
      </c>
      <c r="BZ516" s="272" t="s">
        <v>40</v>
      </c>
      <c r="CA516" s="242"/>
      <c r="CC516" s="600">
        <f>BW517*1.19</f>
        <v>14421.609999999999</v>
      </c>
      <c r="CD516" s="600" t="s">
        <v>943</v>
      </c>
      <c r="CE516" s="600" t="s">
        <v>943</v>
      </c>
      <c r="CF516" s="600">
        <f>SUM(CC431:CE431,CF430)</f>
        <v>14498.65</v>
      </c>
      <c r="CG516" s="174"/>
      <c r="CH516" s="60"/>
      <c r="CI516" s="600"/>
      <c r="CJ516" s="600"/>
      <c r="CK516" s="600"/>
      <c r="CL516" s="600"/>
      <c r="CM516" s="174"/>
      <c r="CN516" s="60"/>
      <c r="CO516" s="600"/>
      <c r="CP516" s="600"/>
      <c r="CQ516" s="600"/>
      <c r="CR516" s="600"/>
      <c r="CS516" s="557"/>
      <c r="CT516" s="345"/>
      <c r="CU516" s="272"/>
      <c r="CV516" s="272"/>
      <c r="CW516" s="272"/>
      <c r="CX516" s="272"/>
      <c r="CY516" s="347"/>
      <c r="CZ516" s="345"/>
      <c r="DA516" s="272"/>
      <c r="DB516" s="272"/>
      <c r="DC516" s="272"/>
      <c r="DD516" s="272"/>
      <c r="DE516" s="347"/>
      <c r="DF516" s="345"/>
      <c r="DG516" s="272"/>
      <c r="DH516" s="272"/>
      <c r="DI516" s="272"/>
      <c r="DJ516" s="272"/>
      <c r="DK516" s="347"/>
      <c r="DL516" s="345"/>
      <c r="DM516" s="272"/>
      <c r="DN516" s="272"/>
      <c r="DO516" s="272"/>
      <c r="DP516" s="272"/>
      <c r="DQ516" s="347"/>
      <c r="DR516" s="345"/>
      <c r="DS516" s="272"/>
      <c r="DT516" s="272"/>
      <c r="DU516" s="272"/>
      <c r="DV516" s="272"/>
      <c r="DW516" s="347"/>
      <c r="DX516" s="345"/>
      <c r="DY516" s="272"/>
      <c r="DZ516" s="272"/>
      <c r="EA516" s="272"/>
      <c r="EB516" s="272"/>
      <c r="EC516" s="347"/>
      <c r="ED516" s="345"/>
      <c r="EE516" s="272"/>
      <c r="EF516" s="272"/>
      <c r="EG516" s="272"/>
      <c r="EH516" s="272"/>
      <c r="EI516" s="347"/>
      <c r="EJ516" s="345"/>
      <c r="EK516" s="272"/>
      <c r="EL516" s="272"/>
      <c r="EM516" s="272"/>
      <c r="EN516" s="272"/>
      <c r="EO516" s="347"/>
      <c r="EP516" s="345"/>
      <c r="EQ516" s="272"/>
      <c r="ER516" s="272"/>
      <c r="ES516" s="272"/>
      <c r="ET516" s="272"/>
      <c r="EU516" s="347"/>
      <c r="EV516" s="345"/>
      <c r="EW516" s="272"/>
      <c r="EX516" s="272"/>
      <c r="EY516" s="272"/>
      <c r="EZ516" s="272"/>
      <c r="FA516" s="347"/>
      <c r="FB516" s="345"/>
      <c r="FC516" s="272"/>
      <c r="FD516" s="272"/>
      <c r="FE516" s="272"/>
      <c r="FF516" s="272"/>
      <c r="FG516" s="347"/>
      <c r="FH516" s="345"/>
      <c r="FI516" s="272"/>
      <c r="FJ516" s="272"/>
      <c r="FK516" s="272"/>
      <c r="FL516" s="272"/>
      <c r="FM516" s="347"/>
      <c r="FQ516"/>
      <c r="FR516"/>
      <c r="FS516"/>
      <c r="FT516"/>
      <c r="FU516"/>
      <c r="FV516"/>
      <c r="GB516" s="24"/>
      <c r="GC516" s="24"/>
      <c r="GD516" s="24"/>
      <c r="GE516" s="24"/>
      <c r="GF516" s="24"/>
      <c r="GG516" s="24"/>
      <c r="GH516" s="24"/>
      <c r="GI516" s="24"/>
      <c r="GJ516"/>
      <c r="GK516"/>
      <c r="GL516"/>
      <c r="GM516"/>
      <c r="GN516"/>
      <c r="GO516"/>
      <c r="GP516"/>
      <c r="GQ516"/>
      <c r="GR516"/>
      <c r="GS516"/>
      <c r="GT516"/>
      <c r="GU516"/>
      <c r="GV516"/>
      <c r="GW516"/>
      <c r="GX516"/>
      <c r="GY516"/>
      <c r="GZ516"/>
      <c r="HA516"/>
      <c r="HB516"/>
      <c r="HC516"/>
      <c r="HD516"/>
      <c r="HE516"/>
      <c r="HF516"/>
      <c r="HG516"/>
      <c r="HH516"/>
      <c r="HI516"/>
      <c r="HJ516"/>
      <c r="HK516"/>
      <c r="HL516"/>
      <c r="HM516"/>
      <c r="HN516"/>
      <c r="HO516"/>
      <c r="HP516"/>
      <c r="HQ516"/>
      <c r="HR516"/>
      <c r="HS516"/>
      <c r="HT516"/>
      <c r="HU516"/>
      <c r="HV516"/>
      <c r="HW516"/>
      <c r="HX516"/>
      <c r="HY516"/>
      <c r="HZ516"/>
      <c r="IA516"/>
      <c r="IB516"/>
      <c r="IC516"/>
      <c r="ID516"/>
      <c r="IE516"/>
      <c r="IF516"/>
      <c r="IG516"/>
      <c r="IH516"/>
      <c r="II516"/>
      <c r="IJ516"/>
      <c r="IK516"/>
      <c r="IL516"/>
      <c r="IM516"/>
      <c r="IN516"/>
      <c r="IO516"/>
      <c r="IP516"/>
      <c r="IQ516"/>
      <c r="IR516"/>
      <c r="IS516"/>
      <c r="IT516"/>
      <c r="IU516"/>
      <c r="IV516"/>
      <c r="IW516"/>
      <c r="IX516"/>
      <c r="IY516"/>
      <c r="IZ516"/>
      <c r="JA516"/>
      <c r="JB516"/>
      <c r="JC516"/>
      <c r="JD516"/>
      <c r="JE516"/>
      <c r="JF516"/>
      <c r="JG516"/>
      <c r="JH516"/>
      <c r="JI516"/>
      <c r="JJ516"/>
      <c r="JK516"/>
      <c r="JL516"/>
      <c r="JM516"/>
      <c r="JN516"/>
    </row>
    <row r="517" spans="1:274" s="27" customFormat="1" ht="12" hidden="1" customHeight="1" outlineLevel="1" x14ac:dyDescent="0.2">
      <c r="A517" s="897" t="s">
        <v>913</v>
      </c>
      <c r="B517" s="146"/>
      <c r="C517" s="384"/>
      <c r="D517" s="384"/>
      <c r="E517" s="384"/>
      <c r="F517" s="384"/>
      <c r="G517" s="384"/>
      <c r="H517" s="384"/>
      <c r="I517" s="384"/>
      <c r="J517" s="384"/>
      <c r="K517" s="384"/>
      <c r="L517" s="384"/>
      <c r="M517" s="384"/>
      <c r="N517" s="146"/>
      <c r="O517" s="923"/>
      <c r="P517" s="923"/>
      <c r="Q517" s="923"/>
      <c r="R517" s="923"/>
      <c r="S517" s="384"/>
      <c r="T517" s="146"/>
      <c r="U517" s="923"/>
      <c r="V517" s="923"/>
      <c r="W517" s="923"/>
      <c r="X517" s="923"/>
      <c r="Y517" s="384"/>
      <c r="Z517" s="146"/>
      <c r="AA517" s="923"/>
      <c r="AB517" s="923"/>
      <c r="AC517" s="923"/>
      <c r="AD517" s="923"/>
      <c r="AE517" s="384"/>
      <c r="AF517" s="146"/>
      <c r="AG517" s="923"/>
      <c r="AH517" s="923"/>
      <c r="AI517" s="923"/>
      <c r="AJ517" s="923"/>
      <c r="AK517" s="384"/>
      <c r="AL517" s="146"/>
      <c r="AM517" s="923"/>
      <c r="AN517" s="923"/>
      <c r="AO517" s="923"/>
      <c r="AP517" s="923"/>
      <c r="AQ517" s="384"/>
      <c r="AR517" s="146"/>
      <c r="AS517" s="923"/>
      <c r="AT517" s="923"/>
      <c r="AU517" s="923"/>
      <c r="AV517" s="923"/>
      <c r="AW517" s="384"/>
      <c r="AX517" s="146"/>
      <c r="AY517" s="923"/>
      <c r="AZ517" s="923"/>
      <c r="BA517" s="923"/>
      <c r="BB517" s="923"/>
      <c r="BC517" s="384"/>
      <c r="BD517" s="146"/>
      <c r="BE517" s="923"/>
      <c r="BF517" s="923"/>
      <c r="BG517" s="923"/>
      <c r="BH517" s="923"/>
      <c r="BI517" s="384"/>
      <c r="BJ517" s="146"/>
      <c r="BK517" s="923"/>
      <c r="BL517" s="923"/>
      <c r="BM517" s="923"/>
      <c r="BN517" s="923"/>
      <c r="BO517" s="384"/>
      <c r="BP517" s="146"/>
      <c r="BQ517" s="923"/>
      <c r="BR517" s="923"/>
      <c r="BS517" s="923"/>
      <c r="BT517" s="923"/>
      <c r="BU517" s="384"/>
      <c r="BV517" s="146"/>
      <c r="BW517" s="923">
        <f>Model!CA91</f>
        <v>12119</v>
      </c>
      <c r="BX517" s="923">
        <f>Model!CA91</f>
        <v>12119</v>
      </c>
      <c r="BY517" s="923">
        <f>Model!CA91</f>
        <v>12119</v>
      </c>
      <c r="BZ517" s="923">
        <f>Model!CA91</f>
        <v>12119</v>
      </c>
      <c r="CA517" s="384"/>
      <c r="CB517" s="146"/>
      <c r="CC517" s="939">
        <f>Model!CG91</f>
        <v>14772.4</v>
      </c>
      <c r="CD517" s="939">
        <f>Model!$CG91</f>
        <v>14772.4</v>
      </c>
      <c r="CE517" s="939">
        <f>Model!$CG91</f>
        <v>14772.4</v>
      </c>
      <c r="CF517" s="939">
        <f>Model!$CG91</f>
        <v>14772.4</v>
      </c>
      <c r="CG517" s="898"/>
      <c r="CH517" s="924"/>
      <c r="CI517" s="939"/>
      <c r="CJ517" s="939"/>
      <c r="CK517" s="939"/>
      <c r="CL517" s="939"/>
      <c r="CM517" s="898"/>
      <c r="CN517" s="924"/>
      <c r="CO517" s="939"/>
      <c r="CP517" s="939"/>
      <c r="CQ517" s="939"/>
      <c r="CR517" s="939"/>
      <c r="CS517" s="925"/>
      <c r="CT517" s="146"/>
      <c r="CU517" s="923"/>
      <c r="CV517" s="923"/>
      <c r="CW517" s="923"/>
      <c r="CX517" s="923"/>
      <c r="CY517" s="926"/>
      <c r="CZ517" s="146"/>
      <c r="DA517" s="923"/>
      <c r="DB517" s="923"/>
      <c r="DC517" s="923"/>
      <c r="DD517" s="923"/>
      <c r="DE517" s="926"/>
      <c r="DF517" s="146"/>
      <c r="DG517" s="923"/>
      <c r="DH517" s="923"/>
      <c r="DI517" s="923"/>
      <c r="DJ517" s="923"/>
      <c r="DK517" s="926"/>
      <c r="DL517" s="146"/>
      <c r="DM517" s="923"/>
      <c r="DN517" s="923"/>
      <c r="DO517" s="923"/>
      <c r="DP517" s="923"/>
      <c r="DQ517" s="926"/>
      <c r="DR517" s="146"/>
      <c r="DS517" s="923"/>
      <c r="DT517" s="923"/>
      <c r="DU517" s="923"/>
      <c r="DV517" s="923"/>
      <c r="DW517" s="926"/>
      <c r="DX517" s="146"/>
      <c r="DY517" s="923"/>
      <c r="DZ517" s="923"/>
      <c r="EA517" s="923"/>
      <c r="EB517" s="923"/>
      <c r="EC517" s="926"/>
      <c r="ED517" s="146"/>
      <c r="EE517" s="923"/>
      <c r="EF517" s="923"/>
      <c r="EG517" s="923"/>
      <c r="EH517" s="923"/>
      <c r="EI517" s="926"/>
      <c r="EJ517" s="146"/>
      <c r="EK517" s="923"/>
      <c r="EL517" s="923"/>
      <c r="EM517" s="923"/>
      <c r="EN517" s="923"/>
      <c r="EO517" s="926"/>
      <c r="EP517" s="146"/>
      <c r="EQ517" s="923"/>
      <c r="ER517" s="1785"/>
      <c r="ES517" s="1785"/>
      <c r="ET517" s="1785"/>
      <c r="EU517" s="1786"/>
      <c r="EV517" s="1787"/>
      <c r="EW517" s="1785"/>
      <c r="EX517" s="1785"/>
      <c r="EY517" s="1785"/>
      <c r="EZ517" s="1785"/>
      <c r="FA517" s="1786"/>
      <c r="FB517" s="1787"/>
      <c r="FC517" s="1785"/>
      <c r="FD517" s="1785"/>
      <c r="FE517" s="1785"/>
      <c r="FF517" s="1785"/>
      <c r="FG517" s="1786"/>
      <c r="FH517" s="1787"/>
      <c r="FI517" s="1785"/>
      <c r="FJ517" s="1785"/>
      <c r="FK517" s="1785"/>
      <c r="FL517" s="1785"/>
      <c r="FM517" s="1786"/>
      <c r="FQ517"/>
      <c r="FR517"/>
      <c r="FS517"/>
      <c r="FT517"/>
      <c r="FU517"/>
      <c r="FV517"/>
      <c r="GB517" s="24"/>
      <c r="GC517" s="24"/>
      <c r="GD517" s="24"/>
      <c r="GE517" s="24"/>
      <c r="GF517" s="24"/>
      <c r="GG517" s="24"/>
      <c r="GH517" s="24"/>
      <c r="GI517" s="24"/>
      <c r="GJ517"/>
      <c r="GK517"/>
      <c r="GL517"/>
      <c r="GM517"/>
      <c r="GN517"/>
      <c r="GO517"/>
      <c r="GP517"/>
      <c r="GQ517"/>
      <c r="GR517"/>
      <c r="GS517"/>
      <c r="GT517"/>
      <c r="GU517"/>
      <c r="GV517"/>
      <c r="GW517"/>
      <c r="GX517"/>
      <c r="GY517"/>
      <c r="GZ517"/>
      <c r="HA517"/>
      <c r="HB517"/>
      <c r="HC517"/>
      <c r="HD517"/>
      <c r="HE517"/>
      <c r="HF517"/>
      <c r="HG517"/>
      <c r="HH517"/>
      <c r="HI517"/>
      <c r="HJ517"/>
      <c r="HK517"/>
      <c r="HL517"/>
      <c r="HM517"/>
      <c r="HN517"/>
      <c r="HO517"/>
      <c r="HP517"/>
      <c r="HQ517"/>
      <c r="HR517"/>
      <c r="HS517"/>
      <c r="HT517"/>
      <c r="HU517"/>
      <c r="HV517"/>
      <c r="HW517"/>
      <c r="HX517"/>
      <c r="HY517"/>
      <c r="HZ517"/>
      <c r="IA517"/>
      <c r="IB517"/>
      <c r="IC517"/>
      <c r="ID517"/>
      <c r="IE517"/>
      <c r="IF517"/>
      <c r="IG517"/>
      <c r="IH517"/>
      <c r="II517"/>
      <c r="IJ517"/>
      <c r="IK517"/>
      <c r="IL517"/>
      <c r="IM517"/>
      <c r="IN517"/>
      <c r="IO517"/>
      <c r="IP517"/>
      <c r="IQ517"/>
      <c r="IR517"/>
      <c r="IS517"/>
      <c r="IT517"/>
      <c r="IU517"/>
      <c r="IV517"/>
      <c r="IW517"/>
      <c r="IX517"/>
      <c r="IY517"/>
      <c r="IZ517"/>
      <c r="JA517"/>
      <c r="JB517"/>
      <c r="JC517"/>
      <c r="JD517"/>
      <c r="JE517"/>
      <c r="JF517"/>
      <c r="JG517"/>
      <c r="JH517"/>
      <c r="JI517"/>
      <c r="JJ517"/>
      <c r="JK517"/>
      <c r="JL517"/>
      <c r="JM517"/>
      <c r="JN517"/>
    </row>
    <row r="518" spans="1:274" s="27" customFormat="1" ht="12" hidden="1" customHeight="1" outlineLevel="1" x14ac:dyDescent="0.2">
      <c r="C518" s="242"/>
      <c r="D518" s="242"/>
      <c r="E518" s="242"/>
      <c r="F518" s="242"/>
      <c r="G518" s="242"/>
      <c r="H518" s="242"/>
      <c r="I518" s="242"/>
      <c r="J518" s="242"/>
      <c r="K518" s="242"/>
      <c r="L518" s="242"/>
      <c r="M518" s="242"/>
      <c r="O518" s="272"/>
      <c r="P518" s="272"/>
      <c r="Q518" s="272"/>
      <c r="R518" s="272"/>
      <c r="S518" s="242"/>
      <c r="U518" s="272"/>
      <c r="V518" s="272"/>
      <c r="W518" s="272"/>
      <c r="X518" s="272"/>
      <c r="Y518" s="242"/>
      <c r="AA518" s="272"/>
      <c r="AB518" s="272"/>
      <c r="AC518" s="272"/>
      <c r="AD518" s="272"/>
      <c r="AE518" s="242"/>
      <c r="AG518" s="272"/>
      <c r="AH518" s="272"/>
      <c r="AI518" s="272"/>
      <c r="AJ518" s="272"/>
      <c r="AK518" s="242"/>
      <c r="AM518" s="272"/>
      <c r="AN518" s="272"/>
      <c r="AO518" s="272"/>
      <c r="AP518" s="272"/>
      <c r="AQ518" s="242"/>
      <c r="AS518" s="272"/>
      <c r="AT518" s="272"/>
      <c r="AU518" s="272"/>
      <c r="AV518" s="272"/>
      <c r="AW518" s="242"/>
      <c r="AY518" s="272"/>
      <c r="AZ518" s="272"/>
      <c r="BA518" s="272"/>
      <c r="BB518" s="272"/>
      <c r="BC518" s="242"/>
      <c r="BE518" s="272"/>
      <c r="BF518" s="272"/>
      <c r="BG518" s="272"/>
      <c r="BH518" s="272"/>
      <c r="BI518" s="242"/>
      <c r="BK518" s="272"/>
      <c r="BL518" s="272"/>
      <c r="BM518" s="272"/>
      <c r="BN518" s="272"/>
      <c r="BO518" s="242"/>
      <c r="BQ518" s="937"/>
      <c r="BR518" s="937"/>
      <c r="BS518" s="937"/>
      <c r="BT518" s="937"/>
      <c r="BU518" s="242"/>
      <c r="BW518" s="272" t="s">
        <v>40</v>
      </c>
      <c r="BX518" s="272" t="s">
        <v>40</v>
      </c>
      <c r="BY518" s="272" t="s">
        <v>40</v>
      </c>
      <c r="BZ518" s="272" t="s">
        <v>40</v>
      </c>
      <c r="CA518" s="242"/>
      <c r="CC518" s="927">
        <f>CC517/AVERAGE(CC515:CC516)-1</f>
        <v>3.3004625038985047E-2</v>
      </c>
      <c r="CD518" s="927" t="s">
        <v>943</v>
      </c>
      <c r="CE518" s="927" t="s">
        <v>943</v>
      </c>
      <c r="CF518" s="927">
        <f>CF517/AVERAGE(CF515:CF516)-1</f>
        <v>2.6055277821671163E-2</v>
      </c>
      <c r="CG518" s="347"/>
      <c r="CI518" s="272"/>
      <c r="CJ518" s="272"/>
      <c r="CK518" s="272"/>
      <c r="CL518" s="272"/>
      <c r="CM518" s="347"/>
      <c r="CO518" s="272"/>
      <c r="CP518" s="272"/>
      <c r="CQ518" s="272"/>
      <c r="CR518" s="272"/>
      <c r="CS518" s="347"/>
      <c r="CT518" s="345"/>
      <c r="CU518" s="272"/>
      <c r="CV518" s="272"/>
      <c r="CW518" s="272"/>
      <c r="CX518" s="272"/>
      <c r="CY518" s="347"/>
      <c r="CZ518" s="345"/>
      <c r="DA518" s="272"/>
      <c r="DB518" s="272"/>
      <c r="DC518" s="272"/>
      <c r="DD518" s="272"/>
      <c r="DE518" s="347"/>
      <c r="DF518" s="345"/>
      <c r="DG518" s="272"/>
      <c r="DH518" s="272"/>
      <c r="DI518" s="272"/>
      <c r="DJ518" s="272"/>
      <c r="DK518" s="347"/>
      <c r="DL518" s="345"/>
      <c r="DM518" s="272"/>
      <c r="DN518" s="272"/>
      <c r="DO518" s="272"/>
      <c r="DP518" s="272"/>
      <c r="DQ518" s="347"/>
      <c r="DR518" s="345"/>
      <c r="DS518" s="272"/>
      <c r="DT518" s="272"/>
      <c r="DU518" s="272"/>
      <c r="DV518" s="272"/>
      <c r="DW518" s="347"/>
      <c r="DX518" s="345"/>
      <c r="DY518" s="272"/>
      <c r="DZ518" s="272"/>
      <c r="EA518" s="272"/>
      <c r="EB518" s="272"/>
      <c r="EC518" s="347"/>
      <c r="ED518" s="345"/>
      <c r="EE518" s="272"/>
      <c r="EF518" s="272"/>
      <c r="EG518" s="272"/>
      <c r="EH518" s="272"/>
      <c r="EI518" s="347"/>
      <c r="EJ518" s="345"/>
      <c r="EK518" s="272"/>
      <c r="EL518" s="272"/>
      <c r="EM518" s="272"/>
      <c r="EN518" s="272"/>
      <c r="EO518" s="347"/>
      <c r="EP518" s="345"/>
      <c r="EQ518" s="272"/>
      <c r="ER518" s="272"/>
      <c r="ES518" s="272"/>
      <c r="ET518" s="272"/>
      <c r="EU518" s="347"/>
      <c r="EV518" s="345"/>
      <c r="EW518" s="272"/>
      <c r="EX518" s="272"/>
      <c r="EY518" s="272"/>
      <c r="EZ518" s="272"/>
      <c r="FA518" s="347"/>
      <c r="FB518" s="345"/>
      <c r="FC518" s="272"/>
      <c r="FD518" s="272"/>
      <c r="FE518" s="272"/>
      <c r="FF518" s="272"/>
      <c r="FG518" s="347"/>
      <c r="FH518" s="345"/>
      <c r="FI518" s="272"/>
      <c r="FJ518" s="272"/>
      <c r="FK518" s="272"/>
      <c r="FL518" s="272"/>
      <c r="FM518" s="347"/>
      <c r="FQ518"/>
      <c r="FR518"/>
      <c r="FS518"/>
      <c r="FT518"/>
      <c r="FU518"/>
      <c r="FV518"/>
      <c r="GB518" s="24"/>
      <c r="GC518" s="24"/>
      <c r="GD518" s="24"/>
      <c r="GE518" s="24"/>
      <c r="GF518" s="24"/>
      <c r="GG518" s="24"/>
      <c r="GH518" s="24"/>
      <c r="GI518" s="24"/>
      <c r="GJ518"/>
      <c r="GK518"/>
      <c r="GL518"/>
      <c r="GM518"/>
      <c r="GN518"/>
      <c r="GO518"/>
      <c r="GP518"/>
      <c r="GQ518"/>
      <c r="GR518"/>
      <c r="GS518"/>
      <c r="GT518"/>
      <c r="GU518"/>
      <c r="GV518"/>
      <c r="GW518"/>
      <c r="GX518"/>
      <c r="GY518"/>
      <c r="GZ518"/>
      <c r="HA518"/>
      <c r="HB518"/>
      <c r="HC518"/>
      <c r="HD518"/>
      <c r="HE518"/>
      <c r="HF518"/>
      <c r="HG518"/>
      <c r="HH518"/>
      <c r="HI518"/>
      <c r="HJ518"/>
      <c r="HK518"/>
      <c r="HL518"/>
      <c r="HM518"/>
      <c r="HN518"/>
      <c r="HO518"/>
      <c r="HP518"/>
      <c r="HQ518"/>
      <c r="HR518"/>
      <c r="HS518"/>
      <c r="HT518"/>
      <c r="HU518"/>
      <c r="HV518"/>
      <c r="HW518"/>
      <c r="HX518"/>
      <c r="HY518"/>
      <c r="HZ518"/>
      <c r="IA518"/>
      <c r="IB518"/>
      <c r="IC518"/>
      <c r="ID518"/>
      <c r="IE518"/>
      <c r="IF518"/>
      <c r="IG518"/>
      <c r="IH518"/>
      <c r="II518"/>
      <c r="IJ518"/>
      <c r="IK518"/>
      <c r="IL518"/>
      <c r="IM518"/>
      <c r="IN518"/>
      <c r="IO518"/>
      <c r="IP518"/>
      <c r="IQ518"/>
      <c r="IR518"/>
      <c r="IS518"/>
      <c r="IT518"/>
      <c r="IU518"/>
      <c r="IV518"/>
      <c r="IW518"/>
      <c r="IX518"/>
      <c r="IY518"/>
      <c r="IZ518"/>
      <c r="JA518"/>
      <c r="JB518"/>
      <c r="JC518"/>
      <c r="JD518"/>
      <c r="JE518"/>
      <c r="JF518"/>
      <c r="JG518"/>
      <c r="JH518"/>
      <c r="JI518"/>
      <c r="JJ518"/>
      <c r="JK518"/>
      <c r="JL518"/>
      <c r="JM518"/>
      <c r="JN518"/>
    </row>
    <row r="519" spans="1:274" s="27" customFormat="1" hidden="1" outlineLevel="1" x14ac:dyDescent="0.2">
      <c r="A519" s="32" t="s">
        <v>584</v>
      </c>
      <c r="C519" s="242"/>
      <c r="D519" s="242"/>
      <c r="E519" s="242"/>
      <c r="F519" s="242"/>
      <c r="G519" s="242"/>
      <c r="H519" s="242"/>
      <c r="I519" s="242"/>
      <c r="J519" s="242"/>
      <c r="K519" s="242"/>
      <c r="L519" s="242"/>
      <c r="M519" s="242"/>
      <c r="O519" s="272"/>
      <c r="P519" s="272"/>
      <c r="Q519" s="272"/>
      <c r="R519" s="272"/>
      <c r="S519" s="242"/>
      <c r="U519" s="272"/>
      <c r="V519" s="272"/>
      <c r="W519" s="272"/>
      <c r="X519" s="272"/>
      <c r="Y519" s="242"/>
      <c r="AA519" s="272"/>
      <c r="AB519" s="272"/>
      <c r="AC519" s="272"/>
      <c r="AD519" s="272"/>
      <c r="AE519" s="242"/>
      <c r="AG519" s="272"/>
      <c r="AH519" s="272"/>
      <c r="AI519" s="272"/>
      <c r="AJ519" s="272"/>
      <c r="AK519" s="242"/>
      <c r="AM519" s="272"/>
      <c r="AN519" s="272"/>
      <c r="AO519" s="272"/>
      <c r="AP519" s="272"/>
      <c r="AQ519" s="242"/>
      <c r="AS519" s="272"/>
      <c r="AT519" s="272"/>
      <c r="AU519" s="272"/>
      <c r="AV519" s="272"/>
      <c r="AW519" s="242"/>
      <c r="AY519" s="272"/>
      <c r="AZ519" s="272"/>
      <c r="BA519" s="272"/>
      <c r="BB519" s="272"/>
      <c r="BC519" s="242"/>
      <c r="BE519" s="272"/>
      <c r="BF519" s="272"/>
      <c r="BG519" s="272"/>
      <c r="BH519" s="272"/>
      <c r="BI519" s="242"/>
      <c r="BK519" s="272"/>
      <c r="BL519" s="272"/>
      <c r="BM519" s="272"/>
      <c r="BN519" s="272"/>
      <c r="BO519" s="242"/>
      <c r="BQ519" s="937"/>
      <c r="BR519" s="937"/>
      <c r="BS519" s="937"/>
      <c r="BT519" s="937"/>
      <c r="BU519" s="242"/>
      <c r="BW519" s="937"/>
      <c r="BX519" s="937"/>
      <c r="BY519" s="937"/>
      <c r="BZ519" s="937"/>
      <c r="CA519" s="242"/>
      <c r="CC519" s="937"/>
      <c r="CD519" s="272"/>
      <c r="CE519" s="272"/>
      <c r="CF519" s="272"/>
      <c r="CG519" s="347"/>
      <c r="CI519" s="272"/>
      <c r="CJ519" s="272"/>
      <c r="CK519" s="272"/>
      <c r="CL519" s="272"/>
      <c r="CM519" s="347"/>
      <c r="CO519" s="272"/>
      <c r="CP519" s="272"/>
      <c r="CQ519" s="272"/>
      <c r="CR519" s="272"/>
      <c r="CS519" s="347"/>
      <c r="CT519" s="345"/>
      <c r="CU519" s="272"/>
      <c r="CV519" s="272"/>
      <c r="CW519" s="272"/>
      <c r="CX519" s="272"/>
      <c r="CY519" s="347"/>
      <c r="CZ519" s="345"/>
      <c r="DA519" s="272"/>
      <c r="DB519" s="272"/>
      <c r="DC519" s="272"/>
      <c r="DD519" s="272"/>
      <c r="DE519" s="347"/>
      <c r="DF519" s="345"/>
      <c r="DG519" s="272"/>
      <c r="DH519" s="272"/>
      <c r="DI519" s="272"/>
      <c r="DJ519" s="272"/>
      <c r="DK519" s="347"/>
      <c r="DL519" s="345"/>
      <c r="DM519" s="272"/>
      <c r="DN519" s="272"/>
      <c r="DO519" s="272"/>
      <c r="DP519" s="272"/>
      <c r="DQ519" s="347"/>
      <c r="DR519" s="345"/>
      <c r="DS519" s="272"/>
      <c r="DT519" s="272"/>
      <c r="DU519" s="272"/>
      <c r="DV519" s="272"/>
      <c r="DW519" s="347"/>
      <c r="DX519" s="345"/>
      <c r="DY519" s="272"/>
      <c r="DZ519" s="272"/>
      <c r="EA519" s="272"/>
      <c r="EB519" s="272"/>
      <c r="EC519" s="347"/>
      <c r="ED519" s="345"/>
      <c r="EE519" s="272"/>
      <c r="EF519" s="272"/>
      <c r="EG519" s="272"/>
      <c r="EH519" s="272"/>
      <c r="EI519" s="347"/>
      <c r="EJ519" s="345"/>
      <c r="EK519" s="272"/>
      <c r="EL519" s="272"/>
      <c r="EM519" s="272"/>
      <c r="EN519" s="272"/>
      <c r="EO519" s="347"/>
      <c r="EP519" s="345"/>
      <c r="EQ519" s="272"/>
      <c r="ER519" s="272"/>
      <c r="ES519" s="272"/>
      <c r="ET519" s="272"/>
      <c r="EU519" s="347"/>
      <c r="EV519" s="345"/>
      <c r="EW519" s="272"/>
      <c r="EX519" s="272"/>
      <c r="EY519" s="272"/>
      <c r="EZ519" s="272"/>
      <c r="FA519" s="347"/>
      <c r="FB519" s="345"/>
      <c r="FC519" s="272"/>
      <c r="FD519" s="272"/>
      <c r="FE519" s="272"/>
      <c r="FF519" s="272"/>
      <c r="FG519" s="347"/>
      <c r="FH519" s="345"/>
      <c r="FI519" s="272"/>
      <c r="FJ519" s="272"/>
      <c r="FK519" s="272"/>
      <c r="FL519" s="272"/>
      <c r="FM519" s="347"/>
      <c r="FQ519"/>
      <c r="FR519"/>
      <c r="FS519"/>
      <c r="FT519"/>
      <c r="FU519"/>
      <c r="FV519"/>
      <c r="GB519" s="24"/>
      <c r="GC519" s="24"/>
      <c r="GD519" s="24"/>
      <c r="GE519" s="24"/>
      <c r="GF519" s="24"/>
      <c r="GG519" s="24"/>
      <c r="GH519" s="24"/>
      <c r="GI519" s="24"/>
      <c r="GJ519"/>
      <c r="GK519"/>
      <c r="GL519"/>
      <c r="GM519"/>
      <c r="GN519"/>
      <c r="GO519"/>
      <c r="GP519"/>
      <c r="GQ519"/>
      <c r="GR519"/>
      <c r="GS519"/>
      <c r="GT519"/>
      <c r="GU519"/>
      <c r="GV519"/>
      <c r="GW519"/>
      <c r="GX519"/>
      <c r="GY519"/>
      <c r="GZ519"/>
      <c r="HA519"/>
      <c r="HB519"/>
      <c r="HC519"/>
      <c r="HD519"/>
      <c r="HE519"/>
      <c r="HF519"/>
      <c r="HG519"/>
      <c r="HH519"/>
      <c r="HI519"/>
      <c r="HJ519"/>
      <c r="HK519"/>
      <c r="HL519"/>
      <c r="HM519"/>
      <c r="HN519"/>
      <c r="HO519"/>
      <c r="HP519"/>
      <c r="HQ519"/>
      <c r="HR519"/>
      <c r="HS519"/>
      <c r="HT519"/>
      <c r="HU519"/>
      <c r="HV519"/>
      <c r="HW519"/>
      <c r="HX519"/>
      <c r="HY519"/>
      <c r="HZ519"/>
      <c r="IA519"/>
      <c r="IB519"/>
      <c r="IC519"/>
      <c r="ID519"/>
      <c r="IE519"/>
      <c r="IF519"/>
      <c r="IG519"/>
      <c r="IH519"/>
      <c r="II519"/>
      <c r="IJ519"/>
      <c r="IK519"/>
      <c r="IL519"/>
      <c r="IM519"/>
      <c r="IN519"/>
      <c r="IO519"/>
      <c r="IP519"/>
      <c r="IQ519"/>
      <c r="IR519"/>
      <c r="IS519"/>
      <c r="IT519"/>
      <c r="IU519"/>
      <c r="IV519"/>
      <c r="IW519"/>
      <c r="IX519"/>
      <c r="IY519"/>
      <c r="IZ519"/>
      <c r="JA519"/>
      <c r="JB519"/>
      <c r="JC519"/>
      <c r="JD519"/>
      <c r="JE519"/>
      <c r="JF519"/>
      <c r="JG519"/>
      <c r="JH519"/>
      <c r="JI519"/>
      <c r="JJ519"/>
      <c r="JK519"/>
      <c r="JL519"/>
      <c r="JM519"/>
      <c r="JN519"/>
    </row>
    <row r="520" spans="1:274" s="27" customFormat="1" ht="12" hidden="1" customHeight="1" outlineLevel="1" x14ac:dyDescent="0.2">
      <c r="A520" s="27" t="s">
        <v>457</v>
      </c>
      <c r="C520" s="242"/>
      <c r="D520" s="242"/>
      <c r="E520" s="242"/>
      <c r="F520" s="242"/>
      <c r="G520" s="242"/>
      <c r="H520" s="242"/>
      <c r="I520" s="242"/>
      <c r="J520" s="242"/>
      <c r="K520" s="242"/>
      <c r="L520" s="242"/>
      <c r="M520" s="242"/>
      <c r="O520" s="272"/>
      <c r="P520" s="272"/>
      <c r="Q520" s="272"/>
      <c r="R520" s="272"/>
      <c r="S520" s="242"/>
      <c r="U520" s="272"/>
      <c r="V520" s="272"/>
      <c r="W520" s="272"/>
      <c r="X520" s="272"/>
      <c r="Y520" s="242"/>
      <c r="AA520" s="272"/>
      <c r="AB520" s="272"/>
      <c r="AC520" s="272"/>
      <c r="AD520" s="272"/>
      <c r="AE520" s="242"/>
      <c r="AG520" s="272"/>
      <c r="AH520" s="272"/>
      <c r="AI520" s="272"/>
      <c r="AJ520" s="272"/>
      <c r="AK520" s="242"/>
      <c r="AM520" s="272"/>
      <c r="AN520" s="272"/>
      <c r="AO520" s="272"/>
      <c r="AP520" s="272"/>
      <c r="AQ520" s="242"/>
      <c r="AS520" s="272"/>
      <c r="AT520" s="272"/>
      <c r="AU520" s="272"/>
      <c r="AV520" s="272"/>
      <c r="AW520" s="242"/>
      <c r="AY520" s="272"/>
      <c r="AZ520" s="272"/>
      <c r="BA520" s="272"/>
      <c r="BB520" s="272"/>
      <c r="BC520" s="242"/>
      <c r="BE520" s="272"/>
      <c r="BF520" s="272"/>
      <c r="BG520" s="272"/>
      <c r="BH520" s="272"/>
      <c r="BI520" s="242"/>
      <c r="BK520" s="272"/>
      <c r="BL520" s="272"/>
      <c r="BM520" s="272"/>
      <c r="BN520" s="272"/>
      <c r="BO520" s="242"/>
      <c r="BQ520" s="272"/>
      <c r="BR520" s="272"/>
      <c r="BS520" s="272"/>
      <c r="BT520" s="272"/>
      <c r="BU520" s="242"/>
      <c r="BW520" s="272" t="s">
        <v>40</v>
      </c>
      <c r="BX520" s="272" t="s">
        <v>40</v>
      </c>
      <c r="BY520" s="272" t="s">
        <v>40</v>
      </c>
      <c r="BZ520" s="272" t="s">
        <v>40</v>
      </c>
      <c r="CA520" s="242"/>
      <c r="CC520" s="600">
        <f>BW522*1.11</f>
        <v>4539.9000000000005</v>
      </c>
      <c r="CD520" s="600" t="s">
        <v>943</v>
      </c>
      <c r="CE520" s="600" t="s">
        <v>943</v>
      </c>
      <c r="CF520" s="600">
        <f>SUM(CC480:CE480,CF478)</f>
        <v>4521.12</v>
      </c>
      <c r="CG520" s="174"/>
      <c r="CH520" s="60"/>
      <c r="CI520" s="600"/>
      <c r="CJ520" s="600"/>
      <c r="CK520" s="600"/>
      <c r="CL520" s="600"/>
      <c r="CM520" s="174"/>
      <c r="CN520" s="60"/>
      <c r="CO520" s="600"/>
      <c r="CP520" s="600"/>
      <c r="CQ520" s="600"/>
      <c r="CR520" s="600"/>
      <c r="CS520" s="557"/>
      <c r="CT520" s="345"/>
      <c r="CU520" s="272"/>
      <c r="CV520" s="272"/>
      <c r="CW520" s="272"/>
      <c r="CX520" s="272"/>
      <c r="CY520" s="347"/>
      <c r="CZ520" s="345"/>
      <c r="DA520" s="272"/>
      <c r="DB520" s="272"/>
      <c r="DC520" s="272"/>
      <c r="DD520" s="272"/>
      <c r="DE520" s="347"/>
      <c r="DF520" s="345"/>
      <c r="DG520" s="272"/>
      <c r="DH520" s="272"/>
      <c r="DI520" s="272"/>
      <c r="DJ520" s="272"/>
      <c r="DK520" s="347"/>
      <c r="DL520" s="345"/>
      <c r="DM520" s="272"/>
      <c r="DN520" s="272"/>
      <c r="DO520" s="272"/>
      <c r="DP520" s="272"/>
      <c r="DQ520" s="347"/>
      <c r="DR520" s="345"/>
      <c r="DS520" s="272"/>
      <c r="DT520" s="272"/>
      <c r="DU520" s="272"/>
      <c r="DV520" s="272"/>
      <c r="DW520" s="347"/>
      <c r="DX520" s="345"/>
      <c r="DY520" s="272"/>
      <c r="DZ520" s="272"/>
      <c r="EA520" s="272"/>
      <c r="EB520" s="272"/>
      <c r="EC520" s="347"/>
      <c r="ED520" s="345"/>
      <c r="EE520" s="272"/>
      <c r="EF520" s="272"/>
      <c r="EG520" s="272"/>
      <c r="EH520" s="272"/>
      <c r="EI520" s="347"/>
      <c r="EJ520" s="345"/>
      <c r="EK520" s="272"/>
      <c r="EL520" s="272"/>
      <c r="EM520" s="272"/>
      <c r="EN520" s="272"/>
      <c r="EO520" s="347"/>
      <c r="EP520" s="345"/>
      <c r="EQ520" s="272"/>
      <c r="ER520" s="272"/>
      <c r="ES520" s="272"/>
      <c r="ET520" s="272"/>
      <c r="EU520" s="347"/>
      <c r="EV520" s="345"/>
      <c r="EW520" s="272"/>
      <c r="EX520" s="272"/>
      <c r="EY520" s="272"/>
      <c r="EZ520" s="272"/>
      <c r="FA520" s="347"/>
      <c r="FB520" s="345"/>
      <c r="FC520" s="272"/>
      <c r="FD520" s="272"/>
      <c r="FE520" s="272"/>
      <c r="FF520" s="272"/>
      <c r="FG520" s="347"/>
      <c r="FH520" s="345"/>
      <c r="FI520" s="272"/>
      <c r="FJ520" s="272"/>
      <c r="FK520" s="272"/>
      <c r="FL520" s="272"/>
      <c r="FM520" s="347"/>
      <c r="FQ520"/>
      <c r="FR520"/>
      <c r="FS520"/>
      <c r="FT520"/>
      <c r="FU520"/>
      <c r="FV520"/>
      <c r="GB520" s="24"/>
      <c r="GC520" s="24"/>
      <c r="GD520" s="24"/>
      <c r="GE520" s="24"/>
      <c r="GF520" s="24"/>
      <c r="GG520" s="24"/>
      <c r="GH520" s="24"/>
      <c r="GI520" s="24"/>
      <c r="GJ520"/>
      <c r="GK520"/>
      <c r="GL520"/>
      <c r="GM520"/>
      <c r="GN520"/>
      <c r="GO520"/>
      <c r="GP520"/>
      <c r="GQ520"/>
      <c r="GR520"/>
      <c r="GS520"/>
      <c r="GT520"/>
      <c r="GU520"/>
      <c r="GV520"/>
      <c r="GW520"/>
      <c r="GX520"/>
      <c r="GY520"/>
      <c r="GZ520"/>
      <c r="HA520"/>
      <c r="HB520"/>
      <c r="HC520"/>
      <c r="HD520"/>
      <c r="HE520"/>
      <c r="HF520"/>
      <c r="HG520"/>
      <c r="HH520"/>
      <c r="HI520"/>
      <c r="HJ520"/>
      <c r="HK520"/>
      <c r="HL520"/>
      <c r="HM520"/>
      <c r="HN520"/>
      <c r="HO520"/>
      <c r="HP520"/>
      <c r="HQ520"/>
      <c r="HR520"/>
      <c r="HS520"/>
      <c r="HT520"/>
      <c r="HU520"/>
      <c r="HV520"/>
      <c r="HW520"/>
      <c r="HX520"/>
      <c r="HY520"/>
      <c r="HZ520"/>
      <c r="IA520"/>
      <c r="IB520"/>
      <c r="IC520"/>
      <c r="ID520"/>
      <c r="IE520"/>
      <c r="IF520"/>
      <c r="IG520"/>
      <c r="IH520"/>
      <c r="II520"/>
      <c r="IJ520"/>
      <c r="IK520"/>
      <c r="IL520"/>
      <c r="IM520"/>
      <c r="IN520"/>
      <c r="IO520"/>
      <c r="IP520"/>
      <c r="IQ520"/>
      <c r="IR520"/>
      <c r="IS520"/>
      <c r="IT520"/>
      <c r="IU520"/>
      <c r="IV520"/>
      <c r="IW520"/>
      <c r="IX520"/>
      <c r="IY520"/>
      <c r="IZ520"/>
      <c r="JA520"/>
      <c r="JB520"/>
      <c r="JC520"/>
      <c r="JD520"/>
      <c r="JE520"/>
      <c r="JF520"/>
      <c r="JG520"/>
      <c r="JH520"/>
      <c r="JI520"/>
      <c r="JJ520"/>
      <c r="JK520"/>
      <c r="JL520"/>
      <c r="JM520"/>
      <c r="JN520"/>
    </row>
    <row r="521" spans="1:274" s="27" customFormat="1" ht="12" hidden="1" customHeight="1" outlineLevel="1" x14ac:dyDescent="0.2">
      <c r="A521" s="27" t="s">
        <v>458</v>
      </c>
      <c r="C521" s="242"/>
      <c r="D521" s="242"/>
      <c r="E521" s="242"/>
      <c r="F521" s="242"/>
      <c r="G521" s="242"/>
      <c r="H521" s="242"/>
      <c r="I521" s="242"/>
      <c r="J521" s="242"/>
      <c r="K521" s="242"/>
      <c r="L521" s="242"/>
      <c r="M521" s="242"/>
      <c r="O521" s="272"/>
      <c r="P521" s="272"/>
      <c r="Q521" s="272"/>
      <c r="R521" s="272"/>
      <c r="S521" s="242"/>
      <c r="U521" s="272"/>
      <c r="V521" s="272"/>
      <c r="W521" s="272"/>
      <c r="X521" s="272"/>
      <c r="Y521" s="242"/>
      <c r="AA521" s="272"/>
      <c r="AB521" s="272"/>
      <c r="AC521" s="272"/>
      <c r="AD521" s="272"/>
      <c r="AE521" s="242"/>
      <c r="AG521" s="272"/>
      <c r="AH521" s="272"/>
      <c r="AI521" s="272"/>
      <c r="AJ521" s="272"/>
      <c r="AK521" s="242"/>
      <c r="AM521" s="272"/>
      <c r="AN521" s="272"/>
      <c r="AO521" s="272"/>
      <c r="AP521" s="272"/>
      <c r="AQ521" s="242"/>
      <c r="AS521" s="272"/>
      <c r="AT521" s="272"/>
      <c r="AU521" s="272"/>
      <c r="AV521" s="272"/>
      <c r="AW521" s="242"/>
      <c r="AY521" s="272"/>
      <c r="AZ521" s="272"/>
      <c r="BA521" s="272"/>
      <c r="BB521" s="272"/>
      <c r="BC521" s="242"/>
      <c r="BE521" s="272"/>
      <c r="BF521" s="272"/>
      <c r="BG521" s="272"/>
      <c r="BH521" s="272"/>
      <c r="BI521" s="242"/>
      <c r="BK521" s="272"/>
      <c r="BL521" s="272"/>
      <c r="BM521" s="272"/>
      <c r="BN521" s="272"/>
      <c r="BO521" s="242"/>
      <c r="BQ521" s="272"/>
      <c r="BR521" s="272"/>
      <c r="BS521" s="272"/>
      <c r="BT521" s="272"/>
      <c r="BU521" s="242"/>
      <c r="BW521" s="272" t="s">
        <v>40</v>
      </c>
      <c r="BX521" s="272" t="s">
        <v>40</v>
      </c>
      <c r="BY521" s="272" t="s">
        <v>40</v>
      </c>
      <c r="BZ521" s="272" t="s">
        <v>40</v>
      </c>
      <c r="CA521" s="242"/>
      <c r="CC521" s="600">
        <f>BW522*1.16</f>
        <v>4744.3999999999996</v>
      </c>
      <c r="CD521" s="600" t="s">
        <v>943</v>
      </c>
      <c r="CE521" s="600" t="s">
        <v>943</v>
      </c>
      <c r="CF521" s="600">
        <f>SUM(CC480:CE480,CF479)</f>
        <v>4682.0200000000004</v>
      </c>
      <c r="CG521" s="174"/>
      <c r="CH521" s="60"/>
      <c r="CI521" s="600"/>
      <c r="CJ521" s="600"/>
      <c r="CK521" s="600"/>
      <c r="CL521" s="600"/>
      <c r="CM521" s="174"/>
      <c r="CN521" s="60"/>
      <c r="CO521" s="600"/>
      <c r="CP521" s="600"/>
      <c r="CQ521" s="600"/>
      <c r="CR521" s="600"/>
      <c r="CS521" s="557"/>
      <c r="CT521" s="345"/>
      <c r="CU521" s="272"/>
      <c r="CV521" s="272"/>
      <c r="CW521" s="272"/>
      <c r="CX521" s="272"/>
      <c r="CY521" s="347"/>
      <c r="CZ521" s="345"/>
      <c r="DA521" s="272"/>
      <c r="DB521" s="272"/>
      <c r="DC521" s="272"/>
      <c r="DD521" s="272"/>
      <c r="DE521" s="347"/>
      <c r="DF521" s="345"/>
      <c r="DG521" s="272"/>
      <c r="DH521" s="272"/>
      <c r="DI521" s="272"/>
      <c r="DJ521" s="272"/>
      <c r="DK521" s="347"/>
      <c r="DL521" s="345"/>
      <c r="DM521" s="272"/>
      <c r="DN521" s="272"/>
      <c r="DO521" s="272"/>
      <c r="DP521" s="272"/>
      <c r="DQ521" s="347"/>
      <c r="DR521" s="345"/>
      <c r="DS521" s="272"/>
      <c r="DT521" s="272"/>
      <c r="DU521" s="272"/>
      <c r="DV521" s="272"/>
      <c r="DW521" s="347"/>
      <c r="DX521" s="345"/>
      <c r="DY521" s="272"/>
      <c r="DZ521" s="272"/>
      <c r="EA521" s="272"/>
      <c r="EB521" s="272"/>
      <c r="EC521" s="347"/>
      <c r="ED521" s="345"/>
      <c r="EE521" s="272"/>
      <c r="EF521" s="272"/>
      <c r="EG521" s="272"/>
      <c r="EH521" s="272"/>
      <c r="EI521" s="347"/>
      <c r="EJ521" s="345"/>
      <c r="EK521" s="272"/>
      <c r="EL521" s="272"/>
      <c r="EM521" s="272"/>
      <c r="EN521" s="272"/>
      <c r="EO521" s="347"/>
      <c r="EP521" s="345"/>
      <c r="EQ521" s="272"/>
      <c r="ER521" s="272"/>
      <c r="ES521" s="272"/>
      <c r="ET521" s="272"/>
      <c r="EU521" s="347"/>
      <c r="EV521" s="345"/>
      <c r="EW521" s="272"/>
      <c r="EX521" s="272"/>
      <c r="EY521" s="272"/>
      <c r="EZ521" s="272"/>
      <c r="FA521" s="347"/>
      <c r="FB521" s="345"/>
      <c r="FC521" s="272"/>
      <c r="FD521" s="272"/>
      <c r="FE521" s="272"/>
      <c r="FF521" s="272"/>
      <c r="FG521" s="347"/>
      <c r="FH521" s="345"/>
      <c r="FI521" s="272"/>
      <c r="FJ521" s="272"/>
      <c r="FK521" s="272"/>
      <c r="FL521" s="272"/>
      <c r="FM521" s="347"/>
      <c r="FQ521"/>
      <c r="FR521"/>
      <c r="FS521"/>
      <c r="FT521"/>
      <c r="FU521"/>
      <c r="FV521"/>
      <c r="GB521" s="24"/>
      <c r="GC521" s="24"/>
      <c r="GD521" s="24"/>
      <c r="GE521" s="24"/>
      <c r="GF521" s="24"/>
      <c r="GG521" s="24"/>
      <c r="GH521" s="24"/>
      <c r="GI521" s="24"/>
      <c r="GJ521"/>
      <c r="GK521"/>
      <c r="GL521"/>
      <c r="GM521"/>
      <c r="GN521"/>
      <c r="GO521"/>
      <c r="GP521"/>
      <c r="GQ521"/>
      <c r="GR521"/>
      <c r="GS521"/>
      <c r="GT521"/>
      <c r="GU521"/>
      <c r="GV521"/>
      <c r="GW521"/>
      <c r="GX521"/>
      <c r="GY521"/>
      <c r="GZ521"/>
      <c r="HA521"/>
      <c r="HB521"/>
      <c r="HC521"/>
      <c r="HD521"/>
      <c r="HE521"/>
      <c r="HF521"/>
      <c r="HG521"/>
      <c r="HH521"/>
      <c r="HI521"/>
      <c r="HJ521"/>
      <c r="HK521"/>
      <c r="HL521"/>
      <c r="HM521"/>
      <c r="HN521"/>
      <c r="HO521"/>
      <c r="HP521"/>
      <c r="HQ521"/>
      <c r="HR521"/>
      <c r="HS521"/>
      <c r="HT521"/>
      <c r="HU521"/>
      <c r="HV521"/>
      <c r="HW521"/>
      <c r="HX521"/>
      <c r="HY521"/>
      <c r="HZ521"/>
      <c r="IA521"/>
      <c r="IB521"/>
      <c r="IC521"/>
      <c r="ID521"/>
      <c r="IE521"/>
      <c r="IF521"/>
      <c r="IG521"/>
      <c r="IH521"/>
      <c r="II521"/>
      <c r="IJ521"/>
      <c r="IK521"/>
      <c r="IL521"/>
      <c r="IM521"/>
      <c r="IN521"/>
      <c r="IO521"/>
      <c r="IP521"/>
      <c r="IQ521"/>
      <c r="IR521"/>
      <c r="IS521"/>
      <c r="IT521"/>
      <c r="IU521"/>
      <c r="IV521"/>
      <c r="IW521"/>
      <c r="IX521"/>
      <c r="IY521"/>
      <c r="IZ521"/>
      <c r="JA521"/>
      <c r="JB521"/>
      <c r="JC521"/>
      <c r="JD521"/>
      <c r="JE521"/>
      <c r="JF521"/>
      <c r="JG521"/>
      <c r="JH521"/>
      <c r="JI521"/>
      <c r="JJ521"/>
      <c r="JK521"/>
      <c r="JL521"/>
      <c r="JM521"/>
      <c r="JN521"/>
    </row>
    <row r="522" spans="1:274" s="27" customFormat="1" ht="12" hidden="1" customHeight="1" outlineLevel="1" x14ac:dyDescent="0.2">
      <c r="A522" s="897" t="s">
        <v>913</v>
      </c>
      <c r="B522" s="146"/>
      <c r="C522" s="384"/>
      <c r="D522" s="384"/>
      <c r="E522" s="384"/>
      <c r="F522" s="384"/>
      <c r="G522" s="384"/>
      <c r="H522" s="384"/>
      <c r="I522" s="384"/>
      <c r="J522" s="384"/>
      <c r="K522" s="384"/>
      <c r="L522" s="384"/>
      <c r="M522" s="384"/>
      <c r="N522" s="146"/>
      <c r="O522" s="923"/>
      <c r="P522" s="923"/>
      <c r="Q522" s="923"/>
      <c r="R522" s="923"/>
      <c r="S522" s="384"/>
      <c r="T522" s="146"/>
      <c r="U522" s="923"/>
      <c r="V522" s="923"/>
      <c r="W522" s="923"/>
      <c r="X522" s="923"/>
      <c r="Y522" s="384"/>
      <c r="Z522" s="146"/>
      <c r="AA522" s="923"/>
      <c r="AB522" s="923"/>
      <c r="AC522" s="923"/>
      <c r="AD522" s="923"/>
      <c r="AE522" s="384"/>
      <c r="AF522" s="146"/>
      <c r="AG522" s="923"/>
      <c r="AH522" s="923"/>
      <c r="AI522" s="923"/>
      <c r="AJ522" s="923"/>
      <c r="AK522" s="384"/>
      <c r="AL522" s="146"/>
      <c r="AM522" s="923"/>
      <c r="AN522" s="923"/>
      <c r="AO522" s="923"/>
      <c r="AP522" s="923"/>
      <c r="AQ522" s="384"/>
      <c r="AR522" s="146"/>
      <c r="AS522" s="923"/>
      <c r="AT522" s="923"/>
      <c r="AU522" s="923"/>
      <c r="AV522" s="923"/>
      <c r="AW522" s="384"/>
      <c r="AX522" s="146"/>
      <c r="AY522" s="923"/>
      <c r="AZ522" s="923"/>
      <c r="BA522" s="923"/>
      <c r="BB522" s="923"/>
      <c r="BC522" s="384"/>
      <c r="BD522" s="146"/>
      <c r="BE522" s="923"/>
      <c r="BF522" s="923"/>
      <c r="BG522" s="923"/>
      <c r="BH522" s="923"/>
      <c r="BI522" s="384"/>
      <c r="BJ522" s="146"/>
      <c r="BK522" s="923"/>
      <c r="BL522" s="923"/>
      <c r="BM522" s="923"/>
      <c r="BN522" s="923"/>
      <c r="BO522" s="384"/>
      <c r="BP522" s="146"/>
      <c r="BQ522" s="923"/>
      <c r="BR522" s="923"/>
      <c r="BS522" s="923"/>
      <c r="BT522" s="923"/>
      <c r="BU522" s="384"/>
      <c r="BV522" s="146"/>
      <c r="BW522" s="923">
        <f>Model!CA14</f>
        <v>4090</v>
      </c>
      <c r="BX522" s="923">
        <f>Model!CA14</f>
        <v>4090</v>
      </c>
      <c r="BY522" s="923">
        <f>Model!CA14</f>
        <v>4090</v>
      </c>
      <c r="BZ522" s="923">
        <f>Model!CA14</f>
        <v>4090</v>
      </c>
      <c r="CA522" s="384"/>
      <c r="CB522" s="146"/>
      <c r="CC522" s="939">
        <f>Model!$CG14</f>
        <v>4904.3999999999996</v>
      </c>
      <c r="CD522" s="939">
        <f>Model!$CG14</f>
        <v>4904.3999999999996</v>
      </c>
      <c r="CE522" s="939">
        <f>Model!$CG14</f>
        <v>4904.3999999999996</v>
      </c>
      <c r="CF522" s="939">
        <f>Model!$CG14</f>
        <v>4904.3999999999996</v>
      </c>
      <c r="CG522" s="898"/>
      <c r="CH522" s="924"/>
      <c r="CI522" s="939"/>
      <c r="CJ522" s="939"/>
      <c r="CK522" s="939"/>
      <c r="CL522" s="939"/>
      <c r="CM522" s="898"/>
      <c r="CN522" s="924"/>
      <c r="CO522" s="939"/>
      <c r="CP522" s="939"/>
      <c r="CQ522" s="939"/>
      <c r="CR522" s="939"/>
      <c r="CS522" s="925"/>
      <c r="CT522" s="146"/>
      <c r="CU522" s="923"/>
      <c r="CV522" s="923"/>
      <c r="CW522" s="923"/>
      <c r="CX522" s="923"/>
      <c r="CY522" s="926"/>
      <c r="CZ522" s="146"/>
      <c r="DA522" s="923"/>
      <c r="DB522" s="923"/>
      <c r="DC522" s="923"/>
      <c r="DD522" s="923"/>
      <c r="DE522" s="926"/>
      <c r="DF522" s="146"/>
      <c r="DG522" s="923"/>
      <c r="DH522" s="923"/>
      <c r="DI522" s="923"/>
      <c r="DJ522" s="923"/>
      <c r="DK522" s="926"/>
      <c r="DL522" s="146"/>
      <c r="DM522" s="923"/>
      <c r="DN522" s="923"/>
      <c r="DO522" s="923"/>
      <c r="DP522" s="923"/>
      <c r="DQ522" s="926"/>
      <c r="DR522" s="146"/>
      <c r="DS522" s="923"/>
      <c r="DT522" s="923"/>
      <c r="DU522" s="923"/>
      <c r="DV522" s="923"/>
      <c r="DW522" s="926"/>
      <c r="DX522" s="146"/>
      <c r="DY522" s="923"/>
      <c r="DZ522" s="923"/>
      <c r="EA522" s="923"/>
      <c r="EB522" s="923"/>
      <c r="EC522" s="926"/>
      <c r="ED522" s="146"/>
      <c r="EE522" s="923"/>
      <c r="EF522" s="923"/>
      <c r="EG522" s="923"/>
      <c r="EH522" s="923"/>
      <c r="EI522" s="926"/>
      <c r="EJ522" s="146"/>
      <c r="EK522" s="923"/>
      <c r="EL522" s="923"/>
      <c r="EM522" s="923"/>
      <c r="EN522" s="923"/>
      <c r="EO522" s="926"/>
      <c r="EP522" s="146"/>
      <c r="EQ522" s="1785"/>
      <c r="ER522" s="1785"/>
      <c r="ES522" s="1785"/>
      <c r="ET522" s="1785"/>
      <c r="EU522" s="1786"/>
      <c r="EV522" s="1787"/>
      <c r="EW522" s="1785"/>
      <c r="EX522" s="1785"/>
      <c r="EY522" s="1785"/>
      <c r="EZ522" s="1785"/>
      <c r="FA522" s="1786"/>
      <c r="FB522" s="1787"/>
      <c r="FC522" s="1785"/>
      <c r="FD522" s="1785"/>
      <c r="FE522" s="1785"/>
      <c r="FF522" s="1785"/>
      <c r="FG522" s="1786"/>
      <c r="FH522" s="1787"/>
      <c r="FI522" s="1785"/>
      <c r="FJ522" s="1785"/>
      <c r="FK522" s="1785"/>
      <c r="FL522" s="1785"/>
      <c r="FM522" s="1786"/>
      <c r="FQ522"/>
      <c r="FR522"/>
      <c r="FS522"/>
      <c r="FT522"/>
      <c r="FU522"/>
      <c r="FV522"/>
      <c r="GB522" s="24"/>
      <c r="GC522" s="24"/>
      <c r="GD522" s="24"/>
      <c r="GE522" s="24"/>
      <c r="GF522" s="24"/>
      <c r="GG522" s="24"/>
      <c r="GH522" s="24"/>
      <c r="GI522" s="24"/>
      <c r="GJ522"/>
      <c r="GK522"/>
      <c r="GL522"/>
      <c r="GM522"/>
      <c r="GN522"/>
      <c r="GO522"/>
      <c r="GP522"/>
      <c r="GQ522"/>
      <c r="GR522"/>
      <c r="GS522"/>
      <c r="GT522"/>
      <c r="GU522"/>
      <c r="GV522"/>
      <c r="GW522"/>
      <c r="GX522"/>
      <c r="GY522"/>
      <c r="GZ522"/>
      <c r="HA522"/>
      <c r="HB522"/>
      <c r="HC522"/>
      <c r="HD522"/>
      <c r="HE522"/>
      <c r="HF522"/>
      <c r="HG522"/>
      <c r="HH522"/>
      <c r="HI522"/>
      <c r="HJ522"/>
      <c r="HK522"/>
      <c r="HL522"/>
      <c r="HM522"/>
      <c r="HN522"/>
      <c r="HO522"/>
      <c r="HP522"/>
      <c r="HQ522"/>
      <c r="HR522"/>
      <c r="HS522"/>
      <c r="HT522"/>
      <c r="HU522"/>
      <c r="HV522"/>
      <c r="HW522"/>
      <c r="HX522"/>
      <c r="HY522"/>
      <c r="HZ522"/>
      <c r="IA522"/>
      <c r="IB522"/>
      <c r="IC522"/>
      <c r="ID522"/>
      <c r="IE522"/>
      <c r="IF522"/>
      <c r="IG522"/>
      <c r="IH522"/>
      <c r="II522"/>
      <c r="IJ522"/>
      <c r="IK522"/>
      <c r="IL522"/>
      <c r="IM522"/>
      <c r="IN522"/>
      <c r="IO522"/>
      <c r="IP522"/>
      <c r="IQ522"/>
      <c r="IR522"/>
      <c r="IS522"/>
      <c r="IT522"/>
      <c r="IU522"/>
      <c r="IV522"/>
      <c r="IW522"/>
      <c r="IX522"/>
      <c r="IY522"/>
      <c r="IZ522"/>
      <c r="JA522"/>
      <c r="JB522"/>
      <c r="JC522"/>
      <c r="JD522"/>
      <c r="JE522"/>
      <c r="JF522"/>
      <c r="JG522"/>
      <c r="JH522"/>
      <c r="JI522"/>
      <c r="JJ522"/>
      <c r="JK522"/>
      <c r="JL522"/>
      <c r="JM522"/>
      <c r="JN522"/>
    </row>
    <row r="523" spans="1:274" s="27" customFormat="1" ht="12" hidden="1" customHeight="1" outlineLevel="1" x14ac:dyDescent="0.2">
      <c r="C523" s="242"/>
      <c r="D523" s="242"/>
      <c r="E523" s="242"/>
      <c r="F523" s="242"/>
      <c r="G523" s="242"/>
      <c r="H523" s="242"/>
      <c r="I523" s="242"/>
      <c r="J523" s="242"/>
      <c r="K523" s="242"/>
      <c r="L523" s="242"/>
      <c r="M523" s="242"/>
      <c r="O523" s="272"/>
      <c r="P523" s="272"/>
      <c r="Q523" s="272"/>
      <c r="R523" s="272"/>
      <c r="S523" s="242"/>
      <c r="U523" s="272"/>
      <c r="V523" s="272"/>
      <c r="W523" s="272"/>
      <c r="X523" s="272"/>
      <c r="Y523" s="242"/>
      <c r="AA523" s="272"/>
      <c r="AB523" s="272"/>
      <c r="AC523" s="272"/>
      <c r="AD523" s="272"/>
      <c r="AE523" s="242"/>
      <c r="AG523" s="272"/>
      <c r="AH523" s="272"/>
      <c r="AI523" s="272"/>
      <c r="AJ523" s="272"/>
      <c r="AK523" s="242"/>
      <c r="AM523" s="272"/>
      <c r="AN523" s="272"/>
      <c r="AO523" s="272"/>
      <c r="AP523" s="272"/>
      <c r="AQ523" s="242"/>
      <c r="AS523" s="272"/>
      <c r="AT523" s="272"/>
      <c r="AU523" s="272"/>
      <c r="AV523" s="272"/>
      <c r="AW523" s="242"/>
      <c r="AY523" s="272"/>
      <c r="AZ523" s="272"/>
      <c r="BA523" s="272"/>
      <c r="BB523" s="272"/>
      <c r="BC523" s="242"/>
      <c r="BE523" s="272"/>
      <c r="BF523" s="272"/>
      <c r="BG523" s="272"/>
      <c r="BH523" s="272"/>
      <c r="BI523" s="242"/>
      <c r="BK523" s="272"/>
      <c r="BL523" s="272"/>
      <c r="BM523" s="272"/>
      <c r="BN523" s="272"/>
      <c r="BO523" s="242"/>
      <c r="BQ523" s="272"/>
      <c r="BR523" s="272"/>
      <c r="BS523" s="272"/>
      <c r="BT523" s="272"/>
      <c r="BU523" s="242"/>
      <c r="BW523" s="272" t="s">
        <v>40</v>
      </c>
      <c r="BX523" s="272" t="s">
        <v>40</v>
      </c>
      <c r="BY523" s="272" t="s">
        <v>40</v>
      </c>
      <c r="BZ523" s="272" t="s">
        <v>40</v>
      </c>
      <c r="CA523" s="242"/>
      <c r="CC523" s="927">
        <f>CC522/AVERAGE(CC520:CC521)-1</f>
        <v>5.649321973654442E-2</v>
      </c>
      <c r="CD523" s="272" t="s">
        <v>40</v>
      </c>
      <c r="CE523" s="272" t="s">
        <v>40</v>
      </c>
      <c r="CF523" s="272" t="s">
        <v>40</v>
      </c>
      <c r="CG523" s="347"/>
      <c r="CI523" s="272"/>
      <c r="CJ523" s="272"/>
      <c r="CK523" s="272"/>
      <c r="CL523" s="272"/>
      <c r="CM523" s="347"/>
      <c r="CO523" s="272"/>
      <c r="CP523" s="272"/>
      <c r="CQ523" s="272"/>
      <c r="CR523" s="272"/>
      <c r="CS523" s="347"/>
      <c r="CT523" s="345"/>
      <c r="CU523" s="272"/>
      <c r="CV523" s="272"/>
      <c r="CW523" s="272"/>
      <c r="CX523" s="272"/>
      <c r="CY523" s="347"/>
      <c r="CZ523" s="345"/>
      <c r="DA523" s="272"/>
      <c r="DB523" s="272"/>
      <c r="DC523" s="272"/>
      <c r="DD523" s="272"/>
      <c r="DE523" s="347"/>
      <c r="DF523" s="345"/>
      <c r="DG523" s="272"/>
      <c r="DH523" s="272"/>
      <c r="DI523" s="272"/>
      <c r="DJ523" s="272"/>
      <c r="DK523" s="347"/>
      <c r="DL523" s="345"/>
      <c r="DM523" s="272"/>
      <c r="DN523" s="272"/>
      <c r="DO523" s="272"/>
      <c r="DP523" s="272"/>
      <c r="DQ523" s="347"/>
      <c r="DR523" s="345"/>
      <c r="DS523" s="272"/>
      <c r="DT523" s="272"/>
      <c r="DU523" s="272"/>
      <c r="DV523" s="272"/>
      <c r="DW523" s="347"/>
      <c r="DX523" s="345"/>
      <c r="DY523" s="272"/>
      <c r="DZ523" s="272"/>
      <c r="EA523" s="272"/>
      <c r="EB523" s="272"/>
      <c r="EC523" s="347"/>
      <c r="ED523" s="345"/>
      <c r="EE523" s="272"/>
      <c r="EF523" s="272"/>
      <c r="EG523" s="272"/>
      <c r="EH523" s="272"/>
      <c r="EI523" s="347"/>
      <c r="EJ523" s="345"/>
      <c r="EK523" s="272"/>
      <c r="EL523" s="272"/>
      <c r="EM523" s="272"/>
      <c r="EN523" s="272"/>
      <c r="EO523" s="347"/>
      <c r="EP523" s="345"/>
      <c r="EQ523" s="272"/>
      <c r="ER523" s="272"/>
      <c r="ES523" s="272"/>
      <c r="ET523" s="272"/>
      <c r="EU523" s="347"/>
      <c r="EV523" s="345"/>
      <c r="EW523" s="272"/>
      <c r="EX523" s="272"/>
      <c r="EY523" s="272"/>
      <c r="EZ523" s="272"/>
      <c r="FA523" s="347"/>
      <c r="FB523" s="345"/>
      <c r="FC523" s="272"/>
      <c r="FD523" s="272"/>
      <c r="FE523" s="272"/>
      <c r="FF523" s="272"/>
      <c r="FG523" s="347"/>
      <c r="FH523" s="345"/>
      <c r="FI523" s="272"/>
      <c r="FJ523" s="272"/>
      <c r="FK523" s="272"/>
      <c r="FL523" s="272"/>
      <c r="FM523" s="347"/>
      <c r="FQ523"/>
      <c r="FR523"/>
      <c r="FS523"/>
      <c r="FT523"/>
      <c r="FU523"/>
      <c r="FV523"/>
      <c r="GB523" s="24"/>
      <c r="GC523" s="24"/>
      <c r="GD523" s="24"/>
      <c r="GE523" s="24"/>
      <c r="GF523" s="24"/>
      <c r="GG523" s="24"/>
      <c r="GH523" s="24"/>
      <c r="GI523" s="24"/>
      <c r="GJ523"/>
      <c r="GK523"/>
      <c r="GL523"/>
      <c r="GM523"/>
      <c r="GN523"/>
      <c r="GO523"/>
      <c r="GP523"/>
      <c r="GQ523"/>
      <c r="GR523"/>
      <c r="GS523"/>
      <c r="GT523"/>
      <c r="GU523"/>
      <c r="GV523"/>
      <c r="GW523"/>
      <c r="GX523"/>
      <c r="GY523"/>
      <c r="GZ523"/>
      <c r="HA523"/>
      <c r="HB523"/>
      <c r="HC523"/>
      <c r="HD523"/>
      <c r="HE523"/>
      <c r="HF523"/>
      <c r="HG523"/>
      <c r="HH523"/>
      <c r="HI523"/>
      <c r="HJ523"/>
      <c r="HK523"/>
      <c r="HL523"/>
      <c r="HM523"/>
      <c r="HN523"/>
      <c r="HO523"/>
      <c r="HP523"/>
      <c r="HQ523"/>
      <c r="HR523"/>
      <c r="HS523"/>
      <c r="HT523"/>
      <c r="HU523"/>
      <c r="HV523"/>
      <c r="HW523"/>
      <c r="HX523"/>
      <c r="HY523"/>
      <c r="HZ523"/>
      <c r="IA523"/>
      <c r="IB523"/>
      <c r="IC523"/>
      <c r="ID523"/>
      <c r="IE523"/>
      <c r="IF523"/>
      <c r="IG523"/>
      <c r="IH523"/>
      <c r="II523"/>
      <c r="IJ523"/>
      <c r="IK523"/>
      <c r="IL523"/>
      <c r="IM523"/>
      <c r="IN523"/>
      <c r="IO523"/>
      <c r="IP523"/>
      <c r="IQ523"/>
      <c r="IR523"/>
      <c r="IS523"/>
      <c r="IT523"/>
      <c r="IU523"/>
      <c r="IV523"/>
      <c r="IW523"/>
      <c r="IX523"/>
      <c r="IY523"/>
      <c r="IZ523"/>
      <c r="JA523"/>
      <c r="JB523"/>
      <c r="JC523"/>
      <c r="JD523"/>
      <c r="JE523"/>
      <c r="JF523"/>
      <c r="JG523"/>
      <c r="JH523"/>
      <c r="JI523"/>
      <c r="JJ523"/>
      <c r="JK523"/>
      <c r="JL523"/>
      <c r="JM523"/>
      <c r="JN523"/>
    </row>
    <row r="524" spans="1:274" s="27" customFormat="1" hidden="1" outlineLevel="1" x14ac:dyDescent="0.2">
      <c r="A524" s="32" t="s">
        <v>1033</v>
      </c>
      <c r="C524" s="242"/>
      <c r="D524" s="242"/>
      <c r="E524" s="242"/>
      <c r="F524" s="242"/>
      <c r="G524" s="242"/>
      <c r="H524" s="242"/>
      <c r="I524" s="242"/>
      <c r="J524" s="242"/>
      <c r="K524" s="242"/>
      <c r="L524" s="242"/>
      <c r="M524" s="242"/>
      <c r="O524" s="272"/>
      <c r="P524" s="272"/>
      <c r="Q524" s="272"/>
      <c r="R524" s="272"/>
      <c r="S524" s="242"/>
      <c r="U524" s="272"/>
      <c r="V524" s="272"/>
      <c r="W524" s="272"/>
      <c r="X524" s="272"/>
      <c r="Y524" s="242"/>
      <c r="AA524" s="272"/>
      <c r="AB524" s="272"/>
      <c r="AC524" s="272"/>
      <c r="AD524" s="272"/>
      <c r="AE524" s="242"/>
      <c r="AG524" s="272"/>
      <c r="AH524" s="272"/>
      <c r="AI524" s="272"/>
      <c r="AJ524" s="272"/>
      <c r="AK524" s="242"/>
      <c r="AM524" s="272"/>
      <c r="AN524" s="272"/>
      <c r="AO524" s="272"/>
      <c r="AP524" s="272"/>
      <c r="AQ524" s="242"/>
      <c r="AS524" s="272"/>
      <c r="AT524" s="272"/>
      <c r="AU524" s="272"/>
      <c r="AV524" s="272"/>
      <c r="AW524" s="242"/>
      <c r="AY524" s="272"/>
      <c r="AZ524" s="272"/>
      <c r="BA524" s="272"/>
      <c r="BB524" s="272"/>
      <c r="BC524" s="242"/>
      <c r="BE524" s="272"/>
      <c r="BF524" s="272"/>
      <c r="BG524" s="272"/>
      <c r="BH524" s="272"/>
      <c r="BI524" s="242"/>
      <c r="BK524" s="272"/>
      <c r="BL524" s="272"/>
      <c r="BM524" s="272"/>
      <c r="BN524" s="272"/>
      <c r="BO524" s="242"/>
      <c r="BQ524" s="937"/>
      <c r="BR524" s="937"/>
      <c r="BS524" s="937"/>
      <c r="BT524" s="937"/>
      <c r="BU524" s="242"/>
      <c r="BW524" s="937"/>
      <c r="BX524" s="937"/>
      <c r="BY524" s="937"/>
      <c r="BZ524" s="937"/>
      <c r="CA524" s="242"/>
      <c r="CC524" s="937"/>
      <c r="CD524" s="272"/>
      <c r="CE524" s="272"/>
      <c r="CF524" s="272"/>
      <c r="CG524" s="347"/>
      <c r="CI524" s="272"/>
      <c r="CJ524" s="272"/>
      <c r="CK524" s="272"/>
      <c r="CL524" s="272"/>
      <c r="CM524" s="347"/>
      <c r="CO524" s="272"/>
      <c r="CP524" s="272"/>
      <c r="CQ524" s="272"/>
      <c r="CR524" s="272"/>
      <c r="CS524" s="347"/>
      <c r="CT524" s="345"/>
      <c r="CU524" s="272"/>
      <c r="CV524" s="272"/>
      <c r="CW524" s="272"/>
      <c r="CX524" s="272"/>
      <c r="CY524" s="347"/>
      <c r="CZ524" s="345"/>
      <c r="DA524" s="272"/>
      <c r="DB524" s="272"/>
      <c r="DC524" s="272"/>
      <c r="DD524" s="272"/>
      <c r="DE524" s="347"/>
      <c r="DF524" s="345"/>
      <c r="DG524" s="272"/>
      <c r="DH524" s="272"/>
      <c r="DI524" s="272"/>
      <c r="DJ524" s="272"/>
      <c r="DK524" s="347"/>
      <c r="DL524" s="345"/>
      <c r="DM524" s="272"/>
      <c r="DN524" s="272"/>
      <c r="DO524" s="272"/>
      <c r="DP524" s="272"/>
      <c r="DQ524" s="347"/>
      <c r="DR524" s="345"/>
      <c r="DS524" s="272"/>
      <c r="DT524" s="272"/>
      <c r="DU524" s="272"/>
      <c r="DV524" s="272"/>
      <c r="DW524" s="347"/>
      <c r="DX524" s="345"/>
      <c r="DY524" s="272"/>
      <c r="DZ524" s="272"/>
      <c r="EA524" s="272"/>
      <c r="EB524" s="272"/>
      <c r="EC524" s="347"/>
      <c r="ED524" s="345"/>
      <c r="EE524" s="272"/>
      <c r="EF524" s="272"/>
      <c r="EG524" s="272"/>
      <c r="EH524" s="272"/>
      <c r="EI524" s="347"/>
      <c r="EJ524" s="345"/>
      <c r="EK524" s="272"/>
      <c r="EL524" s="272"/>
      <c r="EM524" s="272"/>
      <c r="EN524" s="272"/>
      <c r="EO524" s="347"/>
      <c r="EP524" s="345"/>
      <c r="EQ524" s="272"/>
      <c r="ER524" s="272"/>
      <c r="ES524" s="272"/>
      <c r="ET524" s="272"/>
      <c r="EU524" s="347"/>
      <c r="EV524" s="345"/>
      <c r="EW524" s="272"/>
      <c r="EX524" s="272"/>
      <c r="EY524" s="272"/>
      <c r="EZ524" s="272"/>
      <c r="FA524" s="347"/>
      <c r="FB524" s="345"/>
      <c r="FC524" s="272"/>
      <c r="FD524" s="272"/>
      <c r="FE524" s="272"/>
      <c r="FF524" s="272"/>
      <c r="FG524" s="347"/>
      <c r="FH524" s="345"/>
      <c r="FI524" s="272"/>
      <c r="FJ524" s="272"/>
      <c r="FK524" s="272"/>
      <c r="FL524" s="272"/>
      <c r="FM524" s="347"/>
      <c r="FQ524"/>
      <c r="FR524"/>
      <c r="FS524"/>
      <c r="FT524"/>
      <c r="FU524"/>
      <c r="FV524"/>
      <c r="GB524" s="24"/>
      <c r="GC524" s="24"/>
      <c r="GD524" s="24"/>
      <c r="GE524" s="24"/>
      <c r="GF524" s="24"/>
      <c r="GG524" s="24"/>
      <c r="GH524" s="24"/>
      <c r="GI524" s="24"/>
      <c r="GJ524"/>
      <c r="GK524"/>
      <c r="GL524"/>
      <c r="GM524"/>
      <c r="GN524"/>
      <c r="GO524"/>
      <c r="GP524"/>
      <c r="GQ524"/>
      <c r="GR524"/>
      <c r="GS524"/>
      <c r="GT524"/>
      <c r="GU524"/>
      <c r="GV524"/>
      <c r="GW524"/>
      <c r="GX524"/>
      <c r="GY524"/>
      <c r="GZ524"/>
      <c r="HA524"/>
      <c r="HB524"/>
      <c r="HC524"/>
      <c r="HD524"/>
      <c r="HE524"/>
      <c r="HF524"/>
      <c r="HG524"/>
      <c r="HH524"/>
      <c r="HI524"/>
      <c r="HJ524"/>
      <c r="HK524"/>
      <c r="HL524"/>
      <c r="HM524"/>
      <c r="HN524"/>
      <c r="HO524"/>
      <c r="HP524"/>
      <c r="HQ524"/>
      <c r="HR524"/>
      <c r="HS524"/>
      <c r="HT524"/>
      <c r="HU524"/>
      <c r="HV524"/>
      <c r="HW524"/>
      <c r="HX524"/>
      <c r="HY524"/>
      <c r="HZ524"/>
      <c r="IA524"/>
      <c r="IB524"/>
      <c r="IC524"/>
      <c r="ID524"/>
      <c r="IE524"/>
      <c r="IF524"/>
      <c r="IG524"/>
      <c r="IH524"/>
      <c r="II524"/>
      <c r="IJ524"/>
      <c r="IK524"/>
      <c r="IL524"/>
      <c r="IM524"/>
      <c r="IN524"/>
      <c r="IO524"/>
      <c r="IP524"/>
      <c r="IQ524"/>
      <c r="IR524"/>
      <c r="IS524"/>
      <c r="IT524"/>
      <c r="IU524"/>
      <c r="IV524"/>
      <c r="IW524"/>
      <c r="IX524"/>
      <c r="IY524"/>
      <c r="IZ524"/>
      <c r="JA524"/>
      <c r="JB524"/>
      <c r="JC524"/>
      <c r="JD524"/>
      <c r="JE524"/>
      <c r="JF524"/>
      <c r="JG524"/>
      <c r="JH524"/>
      <c r="JI524"/>
      <c r="JJ524"/>
      <c r="JK524"/>
      <c r="JL524"/>
      <c r="JM524"/>
      <c r="JN524"/>
    </row>
    <row r="525" spans="1:274" s="27" customFormat="1" ht="12" hidden="1" customHeight="1" outlineLevel="1" x14ac:dyDescent="0.2">
      <c r="A525" s="27" t="s">
        <v>457</v>
      </c>
      <c r="C525" s="242"/>
      <c r="D525" s="242"/>
      <c r="E525" s="242"/>
      <c r="F525" s="242"/>
      <c r="G525" s="242"/>
      <c r="H525" s="242"/>
      <c r="I525" s="242"/>
      <c r="J525" s="242"/>
      <c r="K525" s="242"/>
      <c r="L525" s="242"/>
      <c r="M525" s="242"/>
      <c r="O525" s="272"/>
      <c r="P525" s="272"/>
      <c r="Q525" s="272"/>
      <c r="R525" s="272"/>
      <c r="S525" s="242"/>
      <c r="U525" s="272"/>
      <c r="V525" s="272"/>
      <c r="W525" s="272"/>
      <c r="X525" s="272"/>
      <c r="Y525" s="242"/>
      <c r="AA525" s="272"/>
      <c r="AB525" s="272"/>
      <c r="AC525" s="272"/>
      <c r="AD525" s="272"/>
      <c r="AE525" s="242"/>
      <c r="AG525" s="272"/>
      <c r="AH525" s="272"/>
      <c r="AI525" s="272"/>
      <c r="AJ525" s="272"/>
      <c r="AK525" s="242"/>
      <c r="AM525" s="272"/>
      <c r="AN525" s="272"/>
      <c r="AO525" s="272"/>
      <c r="AP525" s="272"/>
      <c r="AQ525" s="242"/>
      <c r="AS525" s="272"/>
      <c r="AT525" s="272"/>
      <c r="AU525" s="272"/>
      <c r="AV525" s="272"/>
      <c r="AW525" s="242"/>
      <c r="AY525" s="272"/>
      <c r="AZ525" s="272"/>
      <c r="BA525" s="272"/>
      <c r="BB525" s="272"/>
      <c r="BC525" s="242"/>
      <c r="BE525" s="272"/>
      <c r="BF525" s="272"/>
      <c r="BG525" s="272"/>
      <c r="BH525" s="272"/>
      <c r="BI525" s="242"/>
      <c r="BK525" s="272"/>
      <c r="BL525" s="272"/>
      <c r="BM525" s="272"/>
      <c r="BN525" s="272"/>
      <c r="BO525" s="242"/>
      <c r="BQ525" s="937"/>
      <c r="BR525" s="937"/>
      <c r="BS525" s="937"/>
      <c r="BT525" s="937"/>
      <c r="BU525" s="242"/>
      <c r="BW525" s="272" t="s">
        <v>40</v>
      </c>
      <c r="BX525" s="272" t="s">
        <v>40</v>
      </c>
      <c r="BY525" s="272" t="s">
        <v>40</v>
      </c>
      <c r="BZ525" s="272" t="s">
        <v>40</v>
      </c>
      <c r="CA525" s="242"/>
      <c r="CC525" s="937">
        <v>0.78</v>
      </c>
      <c r="CD525" s="937">
        <v>0.78</v>
      </c>
      <c r="CE525" s="272" t="s">
        <v>40</v>
      </c>
      <c r="CF525" s="352">
        <f>SUM(CC487:CE487,CF485)</f>
        <v>0.77476</v>
      </c>
      <c r="CG525" s="347"/>
      <c r="CI525" s="272"/>
      <c r="CJ525" s="272"/>
      <c r="CK525" s="272"/>
      <c r="CL525" s="272"/>
      <c r="CM525" s="347"/>
      <c r="CO525" s="272"/>
      <c r="CP525" s="272"/>
      <c r="CQ525" s="272"/>
      <c r="CR525" s="272"/>
      <c r="CS525" s="347"/>
      <c r="CT525" s="345"/>
      <c r="CU525" s="272"/>
      <c r="CV525" s="272"/>
      <c r="CW525" s="272"/>
      <c r="CX525" s="272"/>
      <c r="CY525" s="347"/>
      <c r="CZ525" s="345"/>
      <c r="DA525" s="272"/>
      <c r="DB525" s="272"/>
      <c r="DC525" s="272"/>
      <c r="DD525" s="272"/>
      <c r="DE525" s="347"/>
      <c r="DF525" s="345"/>
      <c r="DG525" s="272"/>
      <c r="DH525" s="272"/>
      <c r="DI525" s="272"/>
      <c r="DJ525" s="272"/>
      <c r="DK525" s="347"/>
      <c r="DL525" s="345"/>
      <c r="DM525" s="272"/>
      <c r="DN525" s="272"/>
      <c r="DO525" s="272"/>
      <c r="DP525" s="272"/>
      <c r="DQ525" s="347"/>
      <c r="DR525" s="345"/>
      <c r="DS525" s="272"/>
      <c r="DT525" s="272"/>
      <c r="DU525" s="272"/>
      <c r="DV525" s="272"/>
      <c r="DW525" s="347"/>
      <c r="DX525" s="345"/>
      <c r="DY525" s="272"/>
      <c r="DZ525" s="272"/>
      <c r="EA525" s="272"/>
      <c r="EB525" s="272"/>
      <c r="EC525" s="347"/>
      <c r="ED525" s="345"/>
      <c r="EE525" s="272"/>
      <c r="EF525" s="272"/>
      <c r="EG525" s="272"/>
      <c r="EH525" s="272"/>
      <c r="EI525" s="347"/>
      <c r="EJ525" s="345"/>
      <c r="EK525" s="272"/>
      <c r="EL525" s="272"/>
      <c r="EM525" s="272"/>
      <c r="EN525" s="272"/>
      <c r="EO525" s="347"/>
      <c r="EP525" s="345"/>
      <c r="EQ525" s="272"/>
      <c r="ER525" s="272"/>
      <c r="ES525" s="272"/>
      <c r="ET525" s="272"/>
      <c r="EU525" s="347"/>
      <c r="EV525" s="345"/>
      <c r="EW525" s="272"/>
      <c r="EX525" s="272"/>
      <c r="EY525" s="272"/>
      <c r="EZ525" s="272"/>
      <c r="FA525" s="347"/>
      <c r="FB525" s="345"/>
      <c r="FC525" s="272"/>
      <c r="FD525" s="272"/>
      <c r="FE525" s="272"/>
      <c r="FF525" s="272"/>
      <c r="FG525" s="347"/>
      <c r="FH525" s="345"/>
      <c r="FI525" s="272"/>
      <c r="FJ525" s="272"/>
      <c r="FK525" s="272"/>
      <c r="FL525" s="272"/>
      <c r="FM525" s="347"/>
      <c r="FQ525"/>
      <c r="FR525"/>
      <c r="FS525"/>
      <c r="FT525"/>
      <c r="FU525"/>
      <c r="FV525"/>
      <c r="GB525" s="24"/>
      <c r="GC525" s="24"/>
      <c r="GD525" s="24"/>
      <c r="GE525" s="24"/>
      <c r="GF525" s="24"/>
      <c r="GG525" s="24"/>
      <c r="GH525" s="24"/>
      <c r="GI525" s="24"/>
      <c r="GJ525"/>
      <c r="GK525"/>
      <c r="GL525"/>
      <c r="GM525"/>
      <c r="GN525"/>
      <c r="GO525"/>
      <c r="GP525"/>
      <c r="GQ525"/>
      <c r="GR525"/>
      <c r="GS525"/>
      <c r="GT525"/>
      <c r="GU525"/>
      <c r="GV525"/>
      <c r="GW525"/>
      <c r="GX525"/>
      <c r="GY525"/>
      <c r="GZ525"/>
      <c r="HA525"/>
      <c r="HB525"/>
      <c r="HC525"/>
      <c r="HD525"/>
      <c r="HE525"/>
      <c r="HF525"/>
      <c r="HG525"/>
      <c r="HH525"/>
      <c r="HI525"/>
      <c r="HJ525"/>
      <c r="HK525"/>
      <c r="HL525"/>
      <c r="HM525"/>
      <c r="HN525"/>
      <c r="HO525"/>
      <c r="HP525"/>
      <c r="HQ525"/>
      <c r="HR525"/>
      <c r="HS525"/>
      <c r="HT525"/>
      <c r="HU525"/>
      <c r="HV525"/>
      <c r="HW525"/>
      <c r="HX525"/>
      <c r="HY525"/>
      <c r="HZ525"/>
      <c r="IA525"/>
      <c r="IB525"/>
      <c r="IC525"/>
      <c r="ID525"/>
      <c r="IE525"/>
      <c r="IF525"/>
      <c r="IG525"/>
      <c r="IH525"/>
      <c r="II525"/>
      <c r="IJ525"/>
      <c r="IK525"/>
      <c r="IL525"/>
      <c r="IM525"/>
      <c r="IN525"/>
      <c r="IO525"/>
      <c r="IP525"/>
      <c r="IQ525"/>
      <c r="IR525"/>
      <c r="IS525"/>
      <c r="IT525"/>
      <c r="IU525"/>
      <c r="IV525"/>
      <c r="IW525"/>
      <c r="IX525"/>
      <c r="IY525"/>
      <c r="IZ525"/>
      <c r="JA525"/>
      <c r="JB525"/>
      <c r="JC525"/>
      <c r="JD525"/>
      <c r="JE525"/>
      <c r="JF525"/>
      <c r="JG525"/>
      <c r="JH525"/>
      <c r="JI525"/>
      <c r="JJ525"/>
      <c r="JK525"/>
      <c r="JL525"/>
      <c r="JM525"/>
      <c r="JN525"/>
    </row>
    <row r="526" spans="1:274" s="27" customFormat="1" ht="12" hidden="1" customHeight="1" outlineLevel="1" x14ac:dyDescent="0.2">
      <c r="A526" s="27" t="s">
        <v>458</v>
      </c>
      <c r="C526" s="242"/>
      <c r="D526" s="242"/>
      <c r="E526" s="242"/>
      <c r="F526" s="242"/>
      <c r="G526" s="242"/>
      <c r="H526" s="242"/>
      <c r="I526" s="242"/>
      <c r="J526" s="242"/>
      <c r="K526" s="242"/>
      <c r="L526" s="242"/>
      <c r="M526" s="242"/>
      <c r="O526" s="272"/>
      <c r="P526" s="272"/>
      <c r="Q526" s="272"/>
      <c r="R526" s="272"/>
      <c r="S526" s="242"/>
      <c r="U526" s="272"/>
      <c r="V526" s="272"/>
      <c r="W526" s="272"/>
      <c r="X526" s="272"/>
      <c r="Y526" s="242"/>
      <c r="AA526" s="272"/>
      <c r="AB526" s="272"/>
      <c r="AC526" s="272"/>
      <c r="AD526" s="272"/>
      <c r="AE526" s="242"/>
      <c r="AG526" s="272"/>
      <c r="AH526" s="272"/>
      <c r="AI526" s="272"/>
      <c r="AJ526" s="272"/>
      <c r="AK526" s="242"/>
      <c r="AM526" s="272"/>
      <c r="AN526" s="272"/>
      <c r="AO526" s="272"/>
      <c r="AP526" s="272"/>
      <c r="AQ526" s="242"/>
      <c r="AS526" s="272"/>
      <c r="AT526" s="272"/>
      <c r="AU526" s="272"/>
      <c r="AV526" s="272"/>
      <c r="AW526" s="242"/>
      <c r="AY526" s="272"/>
      <c r="AZ526" s="272"/>
      <c r="BA526" s="272"/>
      <c r="BB526" s="272"/>
      <c r="BC526" s="242"/>
      <c r="BE526" s="272"/>
      <c r="BF526" s="272"/>
      <c r="BG526" s="272"/>
      <c r="BH526" s="272"/>
      <c r="BI526" s="242"/>
      <c r="BK526" s="272"/>
      <c r="BL526" s="272"/>
      <c r="BM526" s="272"/>
      <c r="BN526" s="272"/>
      <c r="BO526" s="242"/>
      <c r="BQ526" s="937"/>
      <c r="BR526" s="937"/>
      <c r="BS526" s="937"/>
      <c r="BT526" s="937"/>
      <c r="BU526" s="242"/>
      <c r="BW526" s="272" t="s">
        <v>40</v>
      </c>
      <c r="BX526" s="272" t="s">
        <v>40</v>
      </c>
      <c r="BY526" s="272" t="s">
        <v>40</v>
      </c>
      <c r="BZ526" s="272" t="s">
        <v>40</v>
      </c>
      <c r="CA526" s="242"/>
      <c r="CC526" s="937">
        <v>0.81</v>
      </c>
      <c r="CD526" s="937">
        <v>0.81</v>
      </c>
      <c r="CE526" s="272" t="s">
        <v>40</v>
      </c>
      <c r="CF526" s="352">
        <f>SUM(CC487:CE487,CF486)</f>
        <v>0.79476000000000002</v>
      </c>
      <c r="CG526" s="347"/>
      <c r="CI526" s="272"/>
      <c r="CJ526" s="272"/>
      <c r="CK526" s="272"/>
      <c r="CL526" s="272"/>
      <c r="CM526" s="347"/>
      <c r="CO526" s="272"/>
      <c r="CP526" s="272"/>
      <c r="CQ526" s="272"/>
      <c r="CR526" s="272"/>
      <c r="CS526" s="347"/>
      <c r="CT526" s="345"/>
      <c r="CU526" s="272"/>
      <c r="CV526" s="272"/>
      <c r="CW526" s="272"/>
      <c r="CX526" s="272"/>
      <c r="CY526" s="347"/>
      <c r="CZ526" s="345"/>
      <c r="DA526" s="272"/>
      <c r="DB526" s="272"/>
      <c r="DC526" s="272"/>
      <c r="DD526" s="272"/>
      <c r="DE526" s="347"/>
      <c r="DF526" s="345"/>
      <c r="DG526" s="272"/>
      <c r="DH526" s="272"/>
      <c r="DI526" s="272"/>
      <c r="DJ526" s="272"/>
      <c r="DK526" s="347"/>
      <c r="DL526" s="345"/>
      <c r="DM526" s="272"/>
      <c r="DN526" s="272"/>
      <c r="DO526" s="272"/>
      <c r="DP526" s="272"/>
      <c r="DQ526" s="347"/>
      <c r="DR526" s="345"/>
      <c r="DS526" s="272"/>
      <c r="DT526" s="272"/>
      <c r="DU526" s="272"/>
      <c r="DV526" s="272"/>
      <c r="DW526" s="347"/>
      <c r="DX526" s="345"/>
      <c r="DY526" s="272"/>
      <c r="DZ526" s="272"/>
      <c r="EA526" s="272"/>
      <c r="EB526" s="272"/>
      <c r="EC526" s="347"/>
      <c r="ED526" s="345"/>
      <c r="EE526" s="272"/>
      <c r="EF526" s="272"/>
      <c r="EG526" s="272"/>
      <c r="EH526" s="272"/>
      <c r="EI526" s="347"/>
      <c r="EJ526" s="345"/>
      <c r="EK526" s="272"/>
      <c r="EL526" s="272"/>
      <c r="EM526" s="272"/>
      <c r="EN526" s="272"/>
      <c r="EO526" s="347"/>
      <c r="EP526" s="345"/>
      <c r="EQ526" s="272"/>
      <c r="ER526" s="272"/>
      <c r="ES526" s="272"/>
      <c r="ET526" s="272"/>
      <c r="EU526" s="347"/>
      <c r="EV526" s="345"/>
      <c r="EW526" s="272"/>
      <c r="EX526" s="272"/>
      <c r="EY526" s="272"/>
      <c r="EZ526" s="272"/>
      <c r="FA526" s="347"/>
      <c r="FB526" s="345"/>
      <c r="FC526" s="272"/>
      <c r="FD526" s="272"/>
      <c r="FE526" s="272"/>
      <c r="FF526" s="272"/>
      <c r="FG526" s="347"/>
      <c r="FH526" s="345"/>
      <c r="FI526" s="272"/>
      <c r="FJ526" s="272"/>
      <c r="FK526" s="272"/>
      <c r="FL526" s="272"/>
      <c r="FM526" s="347"/>
      <c r="FQ526"/>
      <c r="FR526"/>
      <c r="FS526"/>
      <c r="FT526"/>
      <c r="FU526"/>
      <c r="FV526"/>
      <c r="GB526" s="24"/>
      <c r="GC526" s="24"/>
      <c r="GD526" s="24"/>
      <c r="GE526" s="24"/>
      <c r="GF526" s="24"/>
      <c r="GG526" s="24"/>
      <c r="GH526" s="24"/>
      <c r="GI526" s="24"/>
      <c r="GJ526"/>
      <c r="GK526"/>
      <c r="GL526"/>
      <c r="GM526"/>
      <c r="GN526"/>
      <c r="GO526"/>
      <c r="GP526"/>
      <c r="GQ526"/>
      <c r="GR526"/>
      <c r="GS526"/>
      <c r="GT526"/>
      <c r="GU526"/>
      <c r="GV526"/>
      <c r="GW526"/>
      <c r="GX526"/>
      <c r="GY526"/>
      <c r="GZ526"/>
      <c r="HA526"/>
      <c r="HB526"/>
      <c r="HC526"/>
      <c r="HD526"/>
      <c r="HE526"/>
      <c r="HF526"/>
      <c r="HG526"/>
      <c r="HH526"/>
      <c r="HI526"/>
      <c r="HJ526"/>
      <c r="HK526"/>
      <c r="HL526"/>
      <c r="HM526"/>
      <c r="HN526"/>
      <c r="HO526"/>
      <c r="HP526"/>
      <c r="HQ526"/>
      <c r="HR526"/>
      <c r="HS526"/>
      <c r="HT526"/>
      <c r="HU526"/>
      <c r="HV526"/>
      <c r="HW526"/>
      <c r="HX526"/>
      <c r="HY526"/>
      <c r="HZ526"/>
      <c r="IA526"/>
      <c r="IB526"/>
      <c r="IC526"/>
      <c r="ID526"/>
      <c r="IE526"/>
      <c r="IF526"/>
      <c r="IG526"/>
      <c r="IH526"/>
      <c r="II526"/>
      <c r="IJ526"/>
      <c r="IK526"/>
      <c r="IL526"/>
      <c r="IM526"/>
      <c r="IN526"/>
      <c r="IO526"/>
      <c r="IP526"/>
      <c r="IQ526"/>
      <c r="IR526"/>
      <c r="IS526"/>
      <c r="IT526"/>
      <c r="IU526"/>
      <c r="IV526"/>
      <c r="IW526"/>
      <c r="IX526"/>
      <c r="IY526"/>
      <c r="IZ526"/>
      <c r="JA526"/>
      <c r="JB526"/>
      <c r="JC526"/>
      <c r="JD526"/>
      <c r="JE526"/>
      <c r="JF526"/>
      <c r="JG526"/>
      <c r="JH526"/>
      <c r="JI526"/>
      <c r="JJ526"/>
      <c r="JK526"/>
      <c r="JL526"/>
      <c r="JM526"/>
      <c r="JN526"/>
    </row>
    <row r="527" spans="1:274" s="27" customFormat="1" ht="12" hidden="1" customHeight="1" outlineLevel="1" x14ac:dyDescent="0.2">
      <c r="A527" s="897" t="s">
        <v>913</v>
      </c>
      <c r="B527" s="146"/>
      <c r="C527" s="384"/>
      <c r="D527" s="384"/>
      <c r="E527" s="384"/>
      <c r="F527" s="384"/>
      <c r="G527" s="384"/>
      <c r="H527" s="384"/>
      <c r="I527" s="384"/>
      <c r="J527" s="384"/>
      <c r="K527" s="384"/>
      <c r="L527" s="384"/>
      <c r="M527" s="384"/>
      <c r="N527" s="146"/>
      <c r="O527" s="923"/>
      <c r="P527" s="923"/>
      <c r="Q527" s="923"/>
      <c r="R527" s="923"/>
      <c r="S527" s="384"/>
      <c r="T527" s="146"/>
      <c r="U527" s="923"/>
      <c r="V527" s="923"/>
      <c r="W527" s="923"/>
      <c r="X527" s="923"/>
      <c r="Y527" s="384"/>
      <c r="Z527" s="146"/>
      <c r="AA527" s="923"/>
      <c r="AB527" s="923"/>
      <c r="AC527" s="923"/>
      <c r="AD527" s="923"/>
      <c r="AE527" s="384"/>
      <c r="AF527" s="146"/>
      <c r="AG527" s="923"/>
      <c r="AH527" s="923"/>
      <c r="AI527" s="923"/>
      <c r="AJ527" s="923"/>
      <c r="AK527" s="384"/>
      <c r="AL527" s="146"/>
      <c r="AM527" s="923"/>
      <c r="AN527" s="923"/>
      <c r="AO527" s="923"/>
      <c r="AP527" s="923"/>
      <c r="AQ527" s="384"/>
      <c r="AR527" s="146"/>
      <c r="AS527" s="923"/>
      <c r="AT527" s="923"/>
      <c r="AU527" s="923"/>
      <c r="AV527" s="923"/>
      <c r="AW527" s="384"/>
      <c r="AX527" s="146"/>
      <c r="AY527" s="923"/>
      <c r="AZ527" s="923"/>
      <c r="BA527" s="923"/>
      <c r="BB527" s="923"/>
      <c r="BC527" s="384"/>
      <c r="BD527" s="146"/>
      <c r="BE527" s="923"/>
      <c r="BF527" s="923"/>
      <c r="BG527" s="923"/>
      <c r="BH527" s="923"/>
      <c r="BI527" s="384"/>
      <c r="BJ527" s="146"/>
      <c r="BK527" s="923"/>
      <c r="BL527" s="923"/>
      <c r="BM527" s="923"/>
      <c r="BN527" s="923"/>
      <c r="BO527" s="384"/>
      <c r="BP527" s="146"/>
      <c r="BQ527" s="940"/>
      <c r="BR527" s="940"/>
      <c r="BS527" s="940"/>
      <c r="BT527" s="940"/>
      <c r="BU527" s="384"/>
      <c r="BV527" s="146"/>
      <c r="BW527" s="940">
        <f>Model!CA189</f>
        <v>0.67698000000000003</v>
      </c>
      <c r="BX527" s="940">
        <f>Model!CA189</f>
        <v>0.67698000000000003</v>
      </c>
      <c r="BY527" s="940">
        <f>Model!CA189</f>
        <v>0.67698000000000003</v>
      </c>
      <c r="BZ527" s="940">
        <f>Model!CA189</f>
        <v>0.67698000000000003</v>
      </c>
      <c r="CA527" s="384"/>
      <c r="CB527" s="146"/>
      <c r="CC527" s="940">
        <f>Model!CG189</f>
        <v>0.80288999999999999</v>
      </c>
      <c r="CD527" s="940">
        <f>Model!CG189</f>
        <v>0.80288999999999999</v>
      </c>
      <c r="CE527" s="940">
        <f>Model!CG189</f>
        <v>0.80288999999999999</v>
      </c>
      <c r="CF527" s="940">
        <f>Model!CG189</f>
        <v>0.80288999999999999</v>
      </c>
      <c r="CG527" s="926"/>
      <c r="CH527" s="146"/>
      <c r="CI527" s="923"/>
      <c r="CJ527" s="923"/>
      <c r="CK527" s="923"/>
      <c r="CL527" s="923"/>
      <c r="CM527" s="926"/>
      <c r="CN527" s="146"/>
      <c r="CO527" s="923"/>
      <c r="CP527" s="923"/>
      <c r="CQ527" s="923"/>
      <c r="CR527" s="923"/>
      <c r="CS527" s="926"/>
      <c r="CT527" s="146"/>
      <c r="CU527" s="923"/>
      <c r="CV527" s="923"/>
      <c r="CW527" s="923"/>
      <c r="CX527" s="923"/>
      <c r="CY527" s="926"/>
      <c r="CZ527" s="146"/>
      <c r="DA527" s="923"/>
      <c r="DB527" s="923"/>
      <c r="DC527" s="923"/>
      <c r="DD527" s="923"/>
      <c r="DE527" s="926"/>
      <c r="DF527" s="146"/>
      <c r="DG527" s="923"/>
      <c r="DH527" s="923"/>
      <c r="DI527" s="923"/>
      <c r="DJ527" s="923"/>
      <c r="DK527" s="926"/>
      <c r="DL527" s="146"/>
      <c r="DM527" s="923"/>
      <c r="DN527" s="923"/>
      <c r="DO527" s="923"/>
      <c r="DP527" s="923"/>
      <c r="DQ527" s="926"/>
      <c r="DR527" s="146"/>
      <c r="DS527" s="923"/>
      <c r="DT527" s="923"/>
      <c r="DU527" s="923"/>
      <c r="DV527" s="923"/>
      <c r="DW527" s="926"/>
      <c r="DX527" s="146"/>
      <c r="DY527" s="923"/>
      <c r="DZ527" s="923"/>
      <c r="EA527" s="923"/>
      <c r="EB527" s="923"/>
      <c r="EC527" s="926"/>
      <c r="ED527" s="146"/>
      <c r="EE527" s="923"/>
      <c r="EF527" s="923"/>
      <c r="EG527" s="923"/>
      <c r="EH527" s="923"/>
      <c r="EI527" s="926"/>
      <c r="EJ527" s="146"/>
      <c r="EK527" s="923"/>
      <c r="EL527" s="923"/>
      <c r="EM527" s="923"/>
      <c r="EN527" s="923"/>
      <c r="EO527" s="926"/>
      <c r="EP527" s="146"/>
      <c r="EQ527" s="1785"/>
      <c r="ER527" s="1785"/>
      <c r="ES527" s="1785"/>
      <c r="ET527" s="1785"/>
      <c r="EU527" s="1786"/>
      <c r="EV527" s="1787"/>
      <c r="EW527" s="1785"/>
      <c r="EX527" s="1785"/>
      <c r="EY527" s="1785"/>
      <c r="EZ527" s="1785"/>
      <c r="FA527" s="1786"/>
      <c r="FB527" s="1787"/>
      <c r="FC527" s="1785"/>
      <c r="FD527" s="1785"/>
      <c r="FE527" s="1785"/>
      <c r="FF527" s="1785"/>
      <c r="FG527" s="1786"/>
      <c r="FH527" s="1787"/>
      <c r="FI527" s="1785"/>
      <c r="FJ527" s="1785"/>
      <c r="FK527" s="1785"/>
      <c r="FL527" s="1785"/>
      <c r="FM527" s="1786"/>
      <c r="FQ527"/>
      <c r="FR527"/>
      <c r="FS527"/>
      <c r="FT527"/>
      <c r="FU527"/>
      <c r="FV527"/>
      <c r="GB527" s="24"/>
      <c r="GC527" s="24"/>
      <c r="GD527" s="24"/>
      <c r="GE527" s="24"/>
      <c r="GF527" s="24"/>
      <c r="GG527" s="24"/>
      <c r="GH527" s="24"/>
      <c r="GI527" s="24"/>
      <c r="GJ527"/>
      <c r="GK527"/>
      <c r="GL527"/>
      <c r="GM527"/>
      <c r="GN527"/>
      <c r="GO527"/>
      <c r="GP527"/>
      <c r="GQ527"/>
      <c r="GR527"/>
      <c r="GS527"/>
      <c r="GT527"/>
      <c r="GU527"/>
      <c r="GV527"/>
      <c r="GW527"/>
      <c r="GX527"/>
      <c r="GY527"/>
      <c r="GZ527"/>
      <c r="HA527"/>
      <c r="HB527"/>
      <c r="HC527"/>
      <c r="HD527"/>
      <c r="HE527"/>
      <c r="HF527"/>
      <c r="HG527"/>
      <c r="HH527"/>
      <c r="HI527"/>
      <c r="HJ527"/>
      <c r="HK527"/>
      <c r="HL527"/>
      <c r="HM527"/>
      <c r="HN527"/>
      <c r="HO527"/>
      <c r="HP527"/>
      <c r="HQ527"/>
      <c r="HR527"/>
      <c r="HS527"/>
      <c r="HT527"/>
      <c r="HU527"/>
      <c r="HV527"/>
      <c r="HW527"/>
      <c r="HX527"/>
      <c r="HY527"/>
      <c r="HZ527"/>
      <c r="IA527"/>
      <c r="IB527"/>
      <c r="IC527"/>
      <c r="ID527"/>
      <c r="IE527"/>
      <c r="IF527"/>
      <c r="IG527"/>
      <c r="IH527"/>
      <c r="II527"/>
      <c r="IJ527"/>
      <c r="IK527"/>
      <c r="IL527"/>
      <c r="IM527"/>
      <c r="IN527"/>
      <c r="IO527"/>
      <c r="IP527"/>
      <c r="IQ527"/>
      <c r="IR527"/>
      <c r="IS527"/>
      <c r="IT527"/>
      <c r="IU527"/>
      <c r="IV527"/>
      <c r="IW527"/>
      <c r="IX527"/>
      <c r="IY527"/>
      <c r="IZ527"/>
      <c r="JA527"/>
      <c r="JB527"/>
      <c r="JC527"/>
      <c r="JD527"/>
      <c r="JE527"/>
      <c r="JF527"/>
      <c r="JG527"/>
      <c r="JH527"/>
      <c r="JI527"/>
      <c r="JJ527"/>
      <c r="JK527"/>
      <c r="JL527"/>
      <c r="JM527"/>
      <c r="JN527"/>
    </row>
    <row r="528" spans="1:274" s="27" customFormat="1" ht="12" hidden="1" customHeight="1" outlineLevel="1" x14ac:dyDescent="0.2">
      <c r="C528" s="242"/>
      <c r="D528" s="242"/>
      <c r="E528" s="242"/>
      <c r="F528" s="242"/>
      <c r="G528" s="242"/>
      <c r="H528" s="242"/>
      <c r="I528" s="242"/>
      <c r="J528" s="242"/>
      <c r="K528" s="242"/>
      <c r="L528" s="242"/>
      <c r="M528" s="242"/>
      <c r="O528" s="272"/>
      <c r="P528" s="272"/>
      <c r="Q528" s="272"/>
      <c r="R528" s="272"/>
      <c r="S528" s="242"/>
      <c r="U528" s="272"/>
      <c r="V528" s="272"/>
      <c r="W528" s="272"/>
      <c r="X528" s="272"/>
      <c r="Y528" s="242"/>
      <c r="AA528" s="272"/>
      <c r="AB528" s="272"/>
      <c r="AC528" s="272"/>
      <c r="AD528" s="272"/>
      <c r="AE528" s="242"/>
      <c r="AG528" s="272"/>
      <c r="AH528" s="272"/>
      <c r="AI528" s="272"/>
      <c r="AJ528" s="272"/>
      <c r="AK528" s="242"/>
      <c r="AM528" s="272"/>
      <c r="AN528" s="272"/>
      <c r="AO528" s="272"/>
      <c r="AP528" s="272"/>
      <c r="AQ528" s="242"/>
      <c r="AS528" s="272"/>
      <c r="AT528" s="272"/>
      <c r="AU528" s="272"/>
      <c r="AV528" s="272"/>
      <c r="AW528" s="242"/>
      <c r="AY528" s="272"/>
      <c r="AZ528" s="272"/>
      <c r="BA528" s="272"/>
      <c r="BB528" s="272"/>
      <c r="BC528" s="242"/>
      <c r="BE528" s="272"/>
      <c r="BF528" s="272"/>
      <c r="BG528" s="272"/>
      <c r="BH528" s="272"/>
      <c r="BI528" s="242"/>
      <c r="BK528" s="272"/>
      <c r="BL528" s="272"/>
      <c r="BM528" s="272"/>
      <c r="BN528" s="272"/>
      <c r="BO528" s="242"/>
      <c r="BQ528" s="937"/>
      <c r="BR528" s="937"/>
      <c r="BS528" s="937"/>
      <c r="BT528" s="937"/>
      <c r="BU528" s="242"/>
      <c r="BW528" s="272" t="s">
        <v>40</v>
      </c>
      <c r="BX528" s="272" t="s">
        <v>40</v>
      </c>
      <c r="BY528" s="272" t="s">
        <v>40</v>
      </c>
      <c r="BZ528" s="272" t="s">
        <v>40</v>
      </c>
      <c r="CA528" s="242"/>
      <c r="CC528" s="927">
        <f>CC527/AVERAGE(CC525:CC526)-1</f>
        <v>9.9245283018867259E-3</v>
      </c>
      <c r="CD528" s="927">
        <f>CD527/AVERAGE(CD525:CD526)-1</f>
        <v>9.9245283018867259E-3</v>
      </c>
      <c r="CE528" s="272" t="s">
        <v>40</v>
      </c>
      <c r="CF528" s="272" t="s">
        <v>40</v>
      </c>
      <c r="CG528" s="347"/>
      <c r="CI528" s="272"/>
      <c r="CJ528" s="272"/>
      <c r="CK528" s="272"/>
      <c r="CL528" s="272"/>
      <c r="CM528" s="347"/>
      <c r="CO528" s="272"/>
      <c r="CP528" s="272"/>
      <c r="CQ528" s="272"/>
      <c r="CR528" s="272"/>
      <c r="CS528" s="347"/>
      <c r="CT528" s="345"/>
      <c r="CU528" s="272"/>
      <c r="CV528" s="272"/>
      <c r="CW528" s="272"/>
      <c r="CX528" s="272"/>
      <c r="CY528" s="347"/>
      <c r="CZ528" s="345"/>
      <c r="DA528" s="272"/>
      <c r="DB528" s="272"/>
      <c r="DC528" s="272"/>
      <c r="DD528" s="272"/>
      <c r="DE528" s="347"/>
      <c r="DF528" s="345"/>
      <c r="DG528" s="272"/>
      <c r="DH528" s="272"/>
      <c r="DI528" s="272"/>
      <c r="DJ528" s="272"/>
      <c r="DK528" s="347"/>
      <c r="DL528" s="345"/>
      <c r="DM528" s="272"/>
      <c r="DN528" s="272"/>
      <c r="DO528" s="272"/>
      <c r="DP528" s="272"/>
      <c r="DQ528" s="347"/>
      <c r="DR528" s="345"/>
      <c r="DS528" s="272"/>
      <c r="DT528" s="272"/>
      <c r="DU528" s="272"/>
      <c r="DV528" s="272"/>
      <c r="DW528" s="347"/>
      <c r="DX528" s="345"/>
      <c r="DY528" s="272"/>
      <c r="DZ528" s="272"/>
      <c r="EA528" s="272"/>
      <c r="EB528" s="272"/>
      <c r="EC528" s="347"/>
      <c r="ED528" s="345"/>
      <c r="EE528" s="272"/>
      <c r="EF528" s="272"/>
      <c r="EG528" s="272"/>
      <c r="EH528" s="272"/>
      <c r="EI528" s="347"/>
      <c r="EJ528" s="345"/>
      <c r="EK528" s="272"/>
      <c r="EL528" s="272"/>
      <c r="EM528" s="272"/>
      <c r="EN528" s="272"/>
      <c r="EO528" s="347"/>
      <c r="EP528" s="345"/>
      <c r="EQ528" s="272"/>
      <c r="ER528" s="272"/>
      <c r="ES528" s="272"/>
      <c r="ET528" s="272"/>
      <c r="EU528" s="347"/>
      <c r="EV528" s="345"/>
      <c r="EW528" s="272"/>
      <c r="EX528" s="272"/>
      <c r="EY528" s="272"/>
      <c r="EZ528" s="272"/>
      <c r="FA528" s="347"/>
      <c r="FB528" s="345"/>
      <c r="FC528" s="272"/>
      <c r="FD528" s="272"/>
      <c r="FE528" s="272"/>
      <c r="FF528" s="272"/>
      <c r="FG528" s="347"/>
      <c r="FH528" s="345"/>
      <c r="FI528" s="272"/>
      <c r="FJ528" s="272"/>
      <c r="FK528" s="272"/>
      <c r="FL528" s="272"/>
      <c r="FM528" s="347"/>
      <c r="FQ528"/>
      <c r="FR528"/>
      <c r="FS528"/>
      <c r="FT528"/>
      <c r="FU528"/>
      <c r="FV528"/>
      <c r="GB528" s="24"/>
      <c r="GC528" s="24"/>
      <c r="GD528" s="24"/>
      <c r="GE528" s="24"/>
      <c r="GF528" s="24"/>
      <c r="GG528" s="24"/>
      <c r="GH528" s="24"/>
      <c r="GI528" s="24"/>
      <c r="GJ528"/>
      <c r="GK528"/>
      <c r="GL528"/>
      <c r="GM528"/>
      <c r="GN528"/>
      <c r="GO528"/>
      <c r="GP528"/>
      <c r="GQ528"/>
      <c r="GR528"/>
      <c r="GS528"/>
      <c r="GT528"/>
      <c r="GU528"/>
      <c r="GV528"/>
      <c r="GW528"/>
      <c r="GX528"/>
      <c r="GY528"/>
      <c r="GZ528"/>
      <c r="HA528"/>
      <c r="HB528"/>
      <c r="HC528"/>
      <c r="HD528"/>
      <c r="HE528"/>
      <c r="HF528"/>
      <c r="HG528"/>
      <c r="HH528"/>
      <c r="HI528"/>
      <c r="HJ528"/>
      <c r="HK528"/>
      <c r="HL528"/>
      <c r="HM528"/>
      <c r="HN528"/>
      <c r="HO528"/>
      <c r="HP528"/>
      <c r="HQ528"/>
      <c r="HR528"/>
      <c r="HS528"/>
      <c r="HT528"/>
      <c r="HU528"/>
      <c r="HV528"/>
      <c r="HW528"/>
      <c r="HX528"/>
      <c r="HY528"/>
      <c r="HZ528"/>
      <c r="IA528"/>
      <c r="IB528"/>
      <c r="IC528"/>
      <c r="ID528"/>
      <c r="IE528"/>
      <c r="IF528"/>
      <c r="IG528"/>
      <c r="IH528"/>
      <c r="II528"/>
      <c r="IJ528"/>
      <c r="IK528"/>
      <c r="IL528"/>
      <c r="IM528"/>
      <c r="IN528"/>
      <c r="IO528"/>
      <c r="IP528"/>
      <c r="IQ528"/>
      <c r="IR528"/>
      <c r="IS528"/>
      <c r="IT528"/>
      <c r="IU528"/>
      <c r="IV528"/>
      <c r="IW528"/>
      <c r="IX528"/>
      <c r="IY528"/>
      <c r="IZ528"/>
      <c r="JA528"/>
      <c r="JB528"/>
      <c r="JC528"/>
      <c r="JD528"/>
      <c r="JE528"/>
      <c r="JF528"/>
      <c r="JG528"/>
      <c r="JH528"/>
      <c r="JI528"/>
      <c r="JJ528"/>
      <c r="JK528"/>
      <c r="JL528"/>
      <c r="JM528"/>
      <c r="JN528"/>
    </row>
    <row r="529" spans="1:274" s="27" customFormat="1" hidden="1" outlineLevel="1" x14ac:dyDescent="0.2">
      <c r="A529" s="32" t="s">
        <v>1076</v>
      </c>
      <c r="C529" s="242"/>
      <c r="D529" s="242"/>
      <c r="E529" s="242"/>
      <c r="F529" s="242"/>
      <c r="G529" s="242"/>
      <c r="H529" s="242"/>
      <c r="I529" s="242"/>
      <c r="J529" s="242"/>
      <c r="K529" s="242"/>
      <c r="L529" s="242"/>
      <c r="M529" s="242"/>
      <c r="O529" s="272"/>
      <c r="P529" s="272"/>
      <c r="Q529" s="272"/>
      <c r="R529" s="272"/>
      <c r="S529" s="242"/>
      <c r="U529" s="272"/>
      <c r="V529" s="272"/>
      <c r="W529" s="272"/>
      <c r="X529" s="272"/>
      <c r="Y529" s="242"/>
      <c r="AA529" s="272"/>
      <c r="AB529" s="272"/>
      <c r="AC529" s="272"/>
      <c r="AD529" s="272"/>
      <c r="AE529" s="242"/>
      <c r="AG529" s="272"/>
      <c r="AH529" s="272"/>
      <c r="AI529" s="272"/>
      <c r="AJ529" s="272"/>
      <c r="AK529" s="242"/>
      <c r="AM529" s="272"/>
      <c r="AN529" s="272"/>
      <c r="AO529" s="272"/>
      <c r="AP529" s="272"/>
      <c r="AQ529" s="242"/>
      <c r="AS529" s="272"/>
      <c r="AT529" s="272"/>
      <c r="AU529" s="272"/>
      <c r="AV529" s="272"/>
      <c r="AW529" s="242"/>
      <c r="AY529" s="272"/>
      <c r="AZ529" s="272"/>
      <c r="BA529" s="272"/>
      <c r="BB529" s="272"/>
      <c r="BC529" s="242"/>
      <c r="BE529" s="272"/>
      <c r="BF529" s="272"/>
      <c r="BG529" s="272"/>
      <c r="BH529" s="272"/>
      <c r="BI529" s="242"/>
      <c r="BK529" s="272"/>
      <c r="BL529" s="272"/>
      <c r="BM529" s="272"/>
      <c r="BN529" s="272"/>
      <c r="BO529" s="242"/>
      <c r="BQ529" s="937"/>
      <c r="BR529" s="937"/>
      <c r="BS529" s="937"/>
      <c r="BT529" s="937"/>
      <c r="BU529" s="242"/>
      <c r="BW529" s="937"/>
      <c r="BX529" s="937"/>
      <c r="BY529" s="937"/>
      <c r="BZ529" s="937"/>
      <c r="CA529" s="242"/>
      <c r="CC529" s="937"/>
      <c r="CD529" s="272"/>
      <c r="CE529" s="272"/>
      <c r="CF529" s="272"/>
      <c r="CG529" s="347"/>
      <c r="CI529" s="272"/>
      <c r="CJ529" s="272"/>
      <c r="CK529" s="272"/>
      <c r="CL529" s="272"/>
      <c r="CM529" s="347"/>
      <c r="CO529" s="272"/>
      <c r="CP529" s="272"/>
      <c r="CQ529" s="272"/>
      <c r="CR529" s="272"/>
      <c r="CS529" s="347"/>
      <c r="CT529" s="345"/>
      <c r="CU529" s="272"/>
      <c r="CV529" s="272"/>
      <c r="CW529" s="272"/>
      <c r="CX529" s="272"/>
      <c r="CY529" s="347"/>
      <c r="CZ529" s="345"/>
      <c r="DA529" s="272"/>
      <c r="DB529" s="272"/>
      <c r="DC529" s="272"/>
      <c r="DD529" s="272"/>
      <c r="DE529" s="347"/>
      <c r="DF529" s="345"/>
      <c r="DG529" s="272"/>
      <c r="DH529" s="272"/>
      <c r="DI529" s="272"/>
      <c r="DJ529" s="272"/>
      <c r="DK529" s="347"/>
      <c r="DL529" s="345"/>
      <c r="DM529" s="272"/>
      <c r="DN529" s="272"/>
      <c r="DO529" s="272"/>
      <c r="DP529" s="272"/>
      <c r="DQ529" s="347"/>
      <c r="DR529" s="345"/>
      <c r="DS529" s="272"/>
      <c r="DT529" s="272"/>
      <c r="DU529" s="272"/>
      <c r="DV529" s="272"/>
      <c r="DW529" s="347"/>
      <c r="DX529" s="345"/>
      <c r="DY529" s="272"/>
      <c r="DZ529" s="272"/>
      <c r="EA529" s="272"/>
      <c r="EB529" s="272"/>
      <c r="EC529" s="347"/>
      <c r="ED529" s="345"/>
      <c r="EE529" s="272"/>
      <c r="EF529" s="272"/>
      <c r="EG529" s="272"/>
      <c r="EH529" s="272"/>
      <c r="EI529" s="347"/>
      <c r="EJ529" s="345"/>
      <c r="EK529" s="272"/>
      <c r="EL529" s="272"/>
      <c r="EM529" s="272"/>
      <c r="EN529" s="272"/>
      <c r="EO529" s="347"/>
      <c r="EP529" s="345"/>
      <c r="EQ529" s="272"/>
      <c r="ER529" s="272"/>
      <c r="ES529" s="272"/>
      <c r="ET529" s="272"/>
      <c r="EU529" s="347"/>
      <c r="EV529" s="345"/>
      <c r="EW529" s="272"/>
      <c r="EX529" s="272"/>
      <c r="EY529" s="272"/>
      <c r="EZ529" s="272"/>
      <c r="FA529" s="347"/>
      <c r="FB529" s="345"/>
      <c r="FC529" s="272"/>
      <c r="FD529" s="272"/>
      <c r="FE529" s="272"/>
      <c r="FF529" s="272"/>
      <c r="FG529" s="347"/>
      <c r="FH529" s="345"/>
      <c r="FI529" s="272"/>
      <c r="FJ529" s="272"/>
      <c r="FK529" s="272"/>
      <c r="FL529" s="272"/>
      <c r="FM529" s="347"/>
      <c r="FQ529"/>
      <c r="FR529"/>
      <c r="FS529"/>
      <c r="FT529"/>
      <c r="FU529"/>
      <c r="FV529"/>
      <c r="GB529" s="24"/>
      <c r="GC529" s="24"/>
      <c r="GD529" s="24"/>
      <c r="GE529" s="24"/>
      <c r="GF529" s="24"/>
      <c r="GG529" s="24"/>
      <c r="GH529" s="24"/>
      <c r="GI529" s="24"/>
      <c r="GJ529"/>
      <c r="GK529"/>
      <c r="GL529"/>
      <c r="GM529"/>
      <c r="GN529"/>
      <c r="GO529"/>
      <c r="GP529"/>
      <c r="GQ529"/>
      <c r="GR529"/>
      <c r="GS529"/>
      <c r="GT529"/>
      <c r="GU529"/>
      <c r="GV529"/>
      <c r="GW529"/>
      <c r="GX529"/>
      <c r="GY529"/>
      <c r="GZ529"/>
      <c r="HA529"/>
      <c r="HB529"/>
      <c r="HC529"/>
      <c r="HD529"/>
      <c r="HE529"/>
      <c r="HF529"/>
      <c r="HG529"/>
      <c r="HH529"/>
      <c r="HI529"/>
      <c r="HJ529"/>
      <c r="HK529"/>
      <c r="HL529"/>
      <c r="HM529"/>
      <c r="HN529"/>
      <c r="HO529"/>
      <c r="HP529"/>
      <c r="HQ529"/>
      <c r="HR529"/>
      <c r="HS529"/>
      <c r="HT529"/>
      <c r="HU529"/>
      <c r="HV529"/>
      <c r="HW529"/>
      <c r="HX529"/>
      <c r="HY529"/>
      <c r="HZ529"/>
      <c r="IA529"/>
      <c r="IB529"/>
      <c r="IC529"/>
      <c r="ID529"/>
      <c r="IE529"/>
      <c r="IF529"/>
      <c r="IG529"/>
      <c r="IH529"/>
      <c r="II529"/>
      <c r="IJ529"/>
      <c r="IK529"/>
      <c r="IL529"/>
      <c r="IM529"/>
      <c r="IN529"/>
      <c r="IO529"/>
      <c r="IP529"/>
      <c r="IQ529"/>
      <c r="IR529"/>
      <c r="IS529"/>
      <c r="IT529"/>
      <c r="IU529"/>
      <c r="IV529"/>
      <c r="IW529"/>
      <c r="IX529"/>
      <c r="IY529"/>
      <c r="IZ529"/>
      <c r="JA529"/>
      <c r="JB529"/>
      <c r="JC529"/>
      <c r="JD529"/>
      <c r="JE529"/>
      <c r="JF529"/>
      <c r="JG529"/>
      <c r="JH529"/>
      <c r="JI529"/>
      <c r="JJ529"/>
      <c r="JK529"/>
      <c r="JL529"/>
      <c r="JM529"/>
      <c r="JN529"/>
    </row>
    <row r="530" spans="1:274" s="27" customFormat="1" ht="12" hidden="1" customHeight="1" outlineLevel="1" x14ac:dyDescent="0.2">
      <c r="A530" s="27" t="s">
        <v>1036</v>
      </c>
      <c r="C530" s="242"/>
      <c r="D530" s="242"/>
      <c r="E530" s="242"/>
      <c r="F530" s="242"/>
      <c r="G530" s="242"/>
      <c r="H530" s="242"/>
      <c r="I530" s="242"/>
      <c r="J530" s="242"/>
      <c r="K530" s="242"/>
      <c r="L530" s="242"/>
      <c r="M530" s="242"/>
      <c r="O530" s="272"/>
      <c r="P530" s="272"/>
      <c r="Q530" s="272"/>
      <c r="R530" s="272"/>
      <c r="S530" s="242"/>
      <c r="U530" s="272"/>
      <c r="V530" s="272"/>
      <c r="W530" s="272"/>
      <c r="X530" s="272"/>
      <c r="Y530" s="242"/>
      <c r="AA530" s="272"/>
      <c r="AB530" s="272"/>
      <c r="AC530" s="272"/>
      <c r="AD530" s="272"/>
      <c r="AE530" s="242"/>
      <c r="AG530" s="272"/>
      <c r="AH530" s="272"/>
      <c r="AI530" s="272"/>
      <c r="AJ530" s="272"/>
      <c r="AK530" s="242"/>
      <c r="AM530" s="272"/>
      <c r="AN530" s="272"/>
      <c r="AO530" s="272"/>
      <c r="AP530" s="272"/>
      <c r="AQ530" s="242"/>
      <c r="AS530" s="272"/>
      <c r="AT530" s="272"/>
      <c r="AU530" s="272"/>
      <c r="AV530" s="272"/>
      <c r="AW530" s="242"/>
      <c r="AY530" s="272"/>
      <c r="AZ530" s="272"/>
      <c r="BA530" s="272"/>
      <c r="BB530" s="272"/>
      <c r="BC530" s="242"/>
      <c r="BE530" s="272"/>
      <c r="BF530" s="272"/>
      <c r="BG530" s="272"/>
      <c r="BH530" s="272"/>
      <c r="BI530" s="242"/>
      <c r="BK530" s="272"/>
      <c r="BL530" s="272"/>
      <c r="BM530" s="272"/>
      <c r="BN530" s="272"/>
      <c r="BO530" s="242"/>
      <c r="BQ530" s="937"/>
      <c r="BR530" s="937"/>
      <c r="BS530" s="937"/>
      <c r="BT530" s="937"/>
      <c r="BU530" s="242"/>
      <c r="BW530" s="272" t="s">
        <v>40</v>
      </c>
      <c r="BX530" s="272" t="s">
        <v>40</v>
      </c>
      <c r="BY530" s="272" t="s">
        <v>40</v>
      </c>
      <c r="BZ530" s="272" t="s">
        <v>40</v>
      </c>
      <c r="CA530" s="242"/>
      <c r="CC530" s="272" t="s">
        <v>40</v>
      </c>
      <c r="CD530" s="272" t="s">
        <v>40</v>
      </c>
      <c r="CE530" s="272" t="s">
        <v>40</v>
      </c>
      <c r="CF530" s="272" t="s">
        <v>40</v>
      </c>
      <c r="CG530" s="347"/>
      <c r="CI530" s="272"/>
      <c r="CJ530" s="272"/>
      <c r="CK530" s="272"/>
      <c r="CL530" s="272"/>
      <c r="CM530" s="347"/>
      <c r="CO530" s="272"/>
      <c r="CP530" s="272"/>
      <c r="CQ530" s="272"/>
      <c r="CR530" s="272"/>
      <c r="CS530" s="347"/>
      <c r="CT530" s="345"/>
      <c r="CU530" s="272"/>
      <c r="CV530" s="272"/>
      <c r="CW530" s="272"/>
      <c r="CX530" s="272"/>
      <c r="CY530" s="347"/>
      <c r="CZ530" s="345"/>
      <c r="DA530" s="272"/>
      <c r="DB530" s="272"/>
      <c r="DC530" s="272"/>
      <c r="DD530" s="272"/>
      <c r="DE530" s="347"/>
      <c r="DF530" s="345"/>
      <c r="DG530" s="272"/>
      <c r="DH530" s="272"/>
      <c r="DI530" s="272"/>
      <c r="DJ530" s="272"/>
      <c r="DK530" s="347"/>
      <c r="DL530" s="345"/>
      <c r="DM530" s="272"/>
      <c r="DN530" s="272"/>
      <c r="DO530" s="272"/>
      <c r="DP530" s="272"/>
      <c r="DQ530" s="347"/>
      <c r="DR530" s="345"/>
      <c r="DS530" s="272"/>
      <c r="DT530" s="272"/>
      <c r="DU530" s="272"/>
      <c r="DV530" s="272"/>
      <c r="DW530" s="347"/>
      <c r="DX530" s="345"/>
      <c r="DY530" s="272"/>
      <c r="DZ530" s="272"/>
      <c r="EA530" s="272"/>
      <c r="EB530" s="272"/>
      <c r="EC530" s="347"/>
      <c r="ED530" s="345"/>
      <c r="EE530" s="272"/>
      <c r="EF530" s="272"/>
      <c r="EG530" s="272"/>
      <c r="EH530" s="272"/>
      <c r="EI530" s="347"/>
      <c r="EJ530" s="345"/>
      <c r="EK530" s="272"/>
      <c r="EL530" s="272"/>
      <c r="EM530" s="272"/>
      <c r="EN530" s="272"/>
      <c r="EO530" s="347"/>
      <c r="EP530" s="345"/>
      <c r="EQ530" s="272"/>
      <c r="ER530" s="272"/>
      <c r="ES530" s="272"/>
      <c r="ET530" s="272"/>
      <c r="EU530" s="347"/>
      <c r="EV530" s="345"/>
      <c r="EW530" s="272"/>
      <c r="EX530" s="272"/>
      <c r="EY530" s="272"/>
      <c r="EZ530" s="272"/>
      <c r="FA530" s="347"/>
      <c r="FB530" s="345"/>
      <c r="FC530" s="272"/>
      <c r="FD530" s="272"/>
      <c r="FE530" s="272"/>
      <c r="FF530" s="272"/>
      <c r="FG530" s="347"/>
      <c r="FH530" s="345"/>
      <c r="FI530" s="272"/>
      <c r="FJ530" s="272"/>
      <c r="FK530" s="272"/>
      <c r="FL530" s="272"/>
      <c r="FM530" s="347"/>
      <c r="FQ530"/>
      <c r="FR530"/>
      <c r="FS530"/>
      <c r="FT530"/>
      <c r="FU530"/>
      <c r="FV530"/>
      <c r="GB530" s="24"/>
      <c r="GC530" s="24"/>
      <c r="GD530" s="24"/>
      <c r="GE530" s="24"/>
      <c r="GF530" s="24"/>
      <c r="GG530" s="24"/>
      <c r="GH530" s="24"/>
      <c r="GI530" s="24"/>
      <c r="GJ530"/>
      <c r="GK530"/>
      <c r="GL530"/>
      <c r="GM530"/>
      <c r="GN530"/>
      <c r="GO530"/>
      <c r="GP530"/>
      <c r="GQ530"/>
      <c r="GR530"/>
      <c r="GS530"/>
      <c r="GT530"/>
      <c r="GU530"/>
      <c r="GV530"/>
      <c r="GW530"/>
      <c r="GX530"/>
      <c r="GY530"/>
      <c r="GZ530"/>
      <c r="HA530"/>
      <c r="HB530"/>
      <c r="HC530"/>
      <c r="HD530"/>
      <c r="HE530"/>
      <c r="HF530"/>
      <c r="HG530"/>
      <c r="HH530"/>
      <c r="HI530"/>
      <c r="HJ530"/>
      <c r="HK530"/>
      <c r="HL530"/>
      <c r="HM530"/>
      <c r="HN530"/>
      <c r="HO530"/>
      <c r="HP530"/>
      <c r="HQ530"/>
      <c r="HR530"/>
      <c r="HS530"/>
      <c r="HT530"/>
      <c r="HU530"/>
      <c r="HV530"/>
      <c r="HW530"/>
      <c r="HX530"/>
      <c r="HY530"/>
      <c r="HZ530"/>
      <c r="IA530"/>
      <c r="IB530"/>
      <c r="IC530"/>
      <c r="ID530"/>
      <c r="IE530"/>
      <c r="IF530"/>
      <c r="IG530"/>
      <c r="IH530"/>
      <c r="II530"/>
      <c r="IJ530"/>
      <c r="IK530"/>
      <c r="IL530"/>
      <c r="IM530"/>
      <c r="IN530"/>
      <c r="IO530"/>
      <c r="IP530"/>
      <c r="IQ530"/>
      <c r="IR530"/>
      <c r="IS530"/>
      <c r="IT530"/>
      <c r="IU530"/>
      <c r="IV530"/>
      <c r="IW530"/>
      <c r="IX530"/>
      <c r="IY530"/>
      <c r="IZ530"/>
      <c r="JA530"/>
      <c r="JB530"/>
      <c r="JC530"/>
      <c r="JD530"/>
      <c r="JE530"/>
      <c r="JF530"/>
      <c r="JG530"/>
      <c r="JH530"/>
      <c r="JI530"/>
      <c r="JJ530"/>
      <c r="JK530"/>
      <c r="JL530"/>
      <c r="JM530"/>
      <c r="JN530"/>
    </row>
    <row r="531" spans="1:274" s="27" customFormat="1" ht="12" hidden="1" customHeight="1" outlineLevel="1" x14ac:dyDescent="0.2">
      <c r="A531" s="897" t="s">
        <v>913</v>
      </c>
      <c r="B531" s="146"/>
      <c r="C531" s="384"/>
      <c r="D531" s="384"/>
      <c r="E531" s="384"/>
      <c r="F531" s="384"/>
      <c r="G531" s="384"/>
      <c r="H531" s="384"/>
      <c r="I531" s="384"/>
      <c r="J531" s="384"/>
      <c r="K531" s="384"/>
      <c r="L531" s="384"/>
      <c r="M531" s="384"/>
      <c r="N531" s="146"/>
      <c r="O531" s="923"/>
      <c r="P531" s="923"/>
      <c r="Q531" s="923"/>
      <c r="R531" s="923"/>
      <c r="S531" s="384"/>
      <c r="T531" s="146"/>
      <c r="U531" s="923"/>
      <c r="V531" s="923"/>
      <c r="W531" s="923"/>
      <c r="X531" s="923"/>
      <c r="Y531" s="384"/>
      <c r="Z531" s="146"/>
      <c r="AA531" s="923"/>
      <c r="AB531" s="923"/>
      <c r="AC531" s="923"/>
      <c r="AD531" s="923"/>
      <c r="AE531" s="384"/>
      <c r="AF531" s="146"/>
      <c r="AG531" s="923"/>
      <c r="AH531" s="923"/>
      <c r="AI531" s="923"/>
      <c r="AJ531" s="923"/>
      <c r="AK531" s="384"/>
      <c r="AL531" s="146"/>
      <c r="AM531" s="923"/>
      <c r="AN531" s="923"/>
      <c r="AO531" s="923"/>
      <c r="AP531" s="923"/>
      <c r="AQ531" s="384"/>
      <c r="AR531" s="146"/>
      <c r="AS531" s="923"/>
      <c r="AT531" s="923"/>
      <c r="AU531" s="923"/>
      <c r="AV531" s="923"/>
      <c r="AW531" s="384"/>
      <c r="AX531" s="146"/>
      <c r="AY531" s="923"/>
      <c r="AZ531" s="923"/>
      <c r="BA531" s="923"/>
      <c r="BB531" s="923"/>
      <c r="BC531" s="384"/>
      <c r="BD531" s="146"/>
      <c r="BE531" s="923"/>
      <c r="BF531" s="923"/>
      <c r="BG531" s="923"/>
      <c r="BH531" s="923"/>
      <c r="BI531" s="384"/>
      <c r="BJ531" s="146"/>
      <c r="BK531" s="923"/>
      <c r="BL531" s="923"/>
      <c r="BM531" s="923"/>
      <c r="BN531" s="923"/>
      <c r="BO531" s="384"/>
      <c r="BP531" s="146"/>
      <c r="BQ531" s="932"/>
      <c r="BR531" s="932"/>
      <c r="BS531" s="932"/>
      <c r="BT531" s="932"/>
      <c r="BU531" s="384"/>
      <c r="BV531" s="146"/>
      <c r="BW531" s="932">
        <f>Model!CA170</f>
        <v>0.4076904034986385</v>
      </c>
      <c r="BX531" s="932">
        <f>Model!CA170</f>
        <v>0.4076904034986385</v>
      </c>
      <c r="BY531" s="932">
        <f>Model!CA170</f>
        <v>0.4076904034986385</v>
      </c>
      <c r="BZ531" s="932">
        <f>Model!CA170</f>
        <v>0.4076904034986385</v>
      </c>
      <c r="CA531" s="384"/>
      <c r="CB531" s="146"/>
      <c r="CC531" s="932">
        <f>Model!CG170</f>
        <v>0.40394587203162657</v>
      </c>
      <c r="CD531" s="932">
        <f>Model!$CG170</f>
        <v>0.40394587203162657</v>
      </c>
      <c r="CE531" s="932">
        <f>Model!$CG170</f>
        <v>0.40394587203162657</v>
      </c>
      <c r="CF531" s="932">
        <f>Model!$CG170</f>
        <v>0.40394587203162657</v>
      </c>
      <c r="CG531" s="926"/>
      <c r="CH531" s="146"/>
      <c r="CI531" s="923"/>
      <c r="CJ531" s="923"/>
      <c r="CK531" s="923"/>
      <c r="CL531" s="923"/>
      <c r="CM531" s="926"/>
      <c r="CN531" s="146"/>
      <c r="CO531" s="923"/>
      <c r="CP531" s="923"/>
      <c r="CQ531" s="923"/>
      <c r="CR531" s="923"/>
      <c r="CS531" s="926"/>
      <c r="CT531" s="146"/>
      <c r="CU531" s="923"/>
      <c r="CV531" s="923"/>
      <c r="CW531" s="923"/>
      <c r="CX531" s="923"/>
      <c r="CY531" s="926"/>
      <c r="CZ531" s="146"/>
      <c r="DA531" s="923"/>
      <c r="DB531" s="923"/>
      <c r="DC531" s="923"/>
      <c r="DD531" s="923"/>
      <c r="DE531" s="926"/>
      <c r="DF531" s="146"/>
      <c r="DG531" s="923"/>
      <c r="DH531" s="923"/>
      <c r="DI531" s="923"/>
      <c r="DJ531" s="923"/>
      <c r="DK531" s="926"/>
      <c r="DL531" s="146"/>
      <c r="DM531" s="923"/>
      <c r="DN531" s="923"/>
      <c r="DO531" s="923"/>
      <c r="DP531" s="923"/>
      <c r="DQ531" s="926"/>
      <c r="DR531" s="146"/>
      <c r="DS531" s="923"/>
      <c r="DT531" s="923"/>
      <c r="DU531" s="923"/>
      <c r="DV531" s="923"/>
      <c r="DW531" s="926"/>
      <c r="DX531" s="146"/>
      <c r="DY531" s="923"/>
      <c r="DZ531" s="923"/>
      <c r="EA531" s="923"/>
      <c r="EB531" s="923"/>
      <c r="EC531" s="926"/>
      <c r="ED531" s="146"/>
      <c r="EE531" s="923"/>
      <c r="EF531" s="923"/>
      <c r="EG531" s="923"/>
      <c r="EH531" s="923"/>
      <c r="EI531" s="926"/>
      <c r="EJ531" s="146"/>
      <c r="EK531" s="923"/>
      <c r="EL531" s="923"/>
      <c r="EM531" s="923"/>
      <c r="EN531" s="923"/>
      <c r="EO531" s="926"/>
      <c r="EP531" s="146"/>
      <c r="EQ531" s="1785"/>
      <c r="ER531" s="1785"/>
      <c r="ES531" s="1785"/>
      <c r="ET531" s="1785"/>
      <c r="EU531" s="1786"/>
      <c r="EV531" s="1787"/>
      <c r="EW531" s="1785"/>
      <c r="EX531" s="1785"/>
      <c r="EY531" s="1785"/>
      <c r="EZ531" s="1785"/>
      <c r="FA531" s="1786"/>
      <c r="FB531" s="1787"/>
      <c r="FC531" s="1785"/>
      <c r="FD531" s="1785"/>
      <c r="FE531" s="1785"/>
      <c r="FF531" s="1785"/>
      <c r="FG531" s="1786"/>
      <c r="FH531" s="1787"/>
      <c r="FI531" s="1785"/>
      <c r="FJ531" s="1785"/>
      <c r="FK531" s="1785"/>
      <c r="FL531" s="1785"/>
      <c r="FM531" s="1786"/>
      <c r="FQ531"/>
      <c r="FR531"/>
      <c r="FS531"/>
      <c r="FT531"/>
      <c r="FU531"/>
      <c r="FV531"/>
      <c r="GB531" s="24"/>
      <c r="GC531" s="24"/>
      <c r="GD531" s="24"/>
      <c r="GE531" s="24"/>
      <c r="GF531" s="24"/>
      <c r="GG531" s="24"/>
      <c r="GH531" s="24"/>
      <c r="GI531" s="24"/>
      <c r="GJ531"/>
      <c r="GK531"/>
      <c r="GL531"/>
      <c r="GM531"/>
      <c r="GN531"/>
      <c r="GO531"/>
      <c r="GP531"/>
      <c r="GQ531"/>
      <c r="GR531"/>
      <c r="GS531"/>
      <c r="GT531"/>
      <c r="GU531"/>
      <c r="GV531"/>
      <c r="GW531"/>
      <c r="GX531"/>
      <c r="GY531"/>
      <c r="GZ531"/>
      <c r="HA531"/>
      <c r="HB531"/>
      <c r="HC531"/>
      <c r="HD531"/>
      <c r="HE531"/>
      <c r="HF531"/>
      <c r="HG531"/>
      <c r="HH531"/>
      <c r="HI531"/>
      <c r="HJ531"/>
      <c r="HK531"/>
      <c r="HL531"/>
      <c r="HM531"/>
      <c r="HN531"/>
      <c r="HO531"/>
      <c r="HP531"/>
      <c r="HQ531"/>
      <c r="HR531"/>
      <c r="HS531"/>
      <c r="HT531"/>
      <c r="HU531"/>
      <c r="HV531"/>
      <c r="HW531"/>
      <c r="HX531"/>
      <c r="HY531"/>
      <c r="HZ531"/>
      <c r="IA531"/>
      <c r="IB531"/>
      <c r="IC531"/>
      <c r="ID531"/>
      <c r="IE531"/>
      <c r="IF531"/>
      <c r="IG531"/>
      <c r="IH531"/>
      <c r="II531"/>
      <c r="IJ531"/>
      <c r="IK531"/>
      <c r="IL531"/>
      <c r="IM531"/>
      <c r="IN531"/>
      <c r="IO531"/>
      <c r="IP531"/>
      <c r="IQ531"/>
      <c r="IR531"/>
      <c r="IS531"/>
      <c r="IT531"/>
      <c r="IU531"/>
      <c r="IV531"/>
      <c r="IW531"/>
      <c r="IX531"/>
      <c r="IY531"/>
      <c r="IZ531"/>
      <c r="JA531"/>
      <c r="JB531"/>
      <c r="JC531"/>
      <c r="JD531"/>
      <c r="JE531"/>
      <c r="JF531"/>
      <c r="JG531"/>
      <c r="JH531"/>
      <c r="JI531"/>
      <c r="JJ531"/>
      <c r="JK531"/>
      <c r="JL531"/>
      <c r="JM531"/>
      <c r="JN531"/>
    </row>
    <row r="532" spans="1:274" s="27" customFormat="1" ht="12" hidden="1" customHeight="1" outlineLevel="1" x14ac:dyDescent="0.2">
      <c r="C532" s="242"/>
      <c r="D532" s="242"/>
      <c r="E532" s="242"/>
      <c r="F532" s="242"/>
      <c r="G532" s="242"/>
      <c r="H532" s="242"/>
      <c r="I532" s="242"/>
      <c r="J532" s="242"/>
      <c r="K532" s="242"/>
      <c r="L532" s="242"/>
      <c r="M532" s="242"/>
      <c r="O532" s="272"/>
      <c r="P532" s="272"/>
      <c r="Q532" s="272"/>
      <c r="R532" s="272"/>
      <c r="S532" s="242"/>
      <c r="U532" s="272"/>
      <c r="V532" s="272"/>
      <c r="W532" s="272"/>
      <c r="X532" s="272"/>
      <c r="Y532" s="242"/>
      <c r="AA532" s="272"/>
      <c r="AB532" s="272"/>
      <c r="AC532" s="272"/>
      <c r="AD532" s="272"/>
      <c r="AE532" s="242"/>
      <c r="AG532" s="272"/>
      <c r="AH532" s="272"/>
      <c r="AI532" s="272"/>
      <c r="AJ532" s="272"/>
      <c r="AK532" s="242"/>
      <c r="AM532" s="272"/>
      <c r="AN532" s="272"/>
      <c r="AO532" s="272"/>
      <c r="AP532" s="272"/>
      <c r="AQ532" s="242"/>
      <c r="AS532" s="272"/>
      <c r="AT532" s="272"/>
      <c r="AU532" s="272"/>
      <c r="AV532" s="272"/>
      <c r="AW532" s="242"/>
      <c r="AY532" s="272"/>
      <c r="AZ532" s="272"/>
      <c r="BA532" s="272"/>
      <c r="BB532" s="272"/>
      <c r="BC532" s="242"/>
      <c r="BE532" s="272"/>
      <c r="BF532" s="272"/>
      <c r="BG532" s="272"/>
      <c r="BH532" s="272"/>
      <c r="BI532" s="242"/>
      <c r="BK532" s="272"/>
      <c r="BL532" s="272"/>
      <c r="BM532" s="272"/>
      <c r="BN532" s="272"/>
      <c r="BO532" s="242"/>
      <c r="BQ532" s="937"/>
      <c r="BR532" s="937"/>
      <c r="BS532" s="937"/>
      <c r="BT532" s="937"/>
      <c r="BU532" s="242"/>
      <c r="BW532" s="927"/>
      <c r="BX532" s="927"/>
      <c r="BY532" s="927"/>
      <c r="BZ532" s="927"/>
      <c r="CA532" s="242"/>
      <c r="CC532" s="927"/>
      <c r="CD532" s="272"/>
      <c r="CE532" s="272"/>
      <c r="CF532" s="272"/>
      <c r="CG532" s="347"/>
      <c r="CI532" s="272"/>
      <c r="CJ532" s="272"/>
      <c r="CK532" s="272"/>
      <c r="CL532" s="272"/>
      <c r="CM532" s="347"/>
      <c r="CO532" s="272"/>
      <c r="CP532" s="272"/>
      <c r="CQ532" s="272"/>
      <c r="CR532" s="272"/>
      <c r="CS532" s="347"/>
      <c r="CT532" s="345"/>
      <c r="CU532" s="272"/>
      <c r="CV532" s="272"/>
      <c r="CW532" s="272"/>
      <c r="CX532" s="272"/>
      <c r="CY532" s="347"/>
      <c r="CZ532" s="345"/>
      <c r="DA532" s="272"/>
      <c r="DB532" s="272"/>
      <c r="DC532" s="272"/>
      <c r="DD532" s="272"/>
      <c r="DE532" s="347"/>
      <c r="DF532" s="345"/>
      <c r="DG532" s="272"/>
      <c r="DH532" s="272"/>
      <c r="DI532" s="272"/>
      <c r="DJ532" s="272"/>
      <c r="DK532" s="347"/>
      <c r="DL532" s="345"/>
      <c r="DM532" s="272"/>
      <c r="DN532" s="272"/>
      <c r="DO532" s="272"/>
      <c r="DP532" s="272"/>
      <c r="DQ532" s="347"/>
      <c r="DR532" s="345"/>
      <c r="DS532" s="272"/>
      <c r="DT532" s="272"/>
      <c r="DU532" s="272"/>
      <c r="DV532" s="272"/>
      <c r="DW532" s="347"/>
      <c r="DX532" s="345"/>
      <c r="DY532" s="272"/>
      <c r="DZ532" s="272"/>
      <c r="EA532" s="272"/>
      <c r="EB532" s="272"/>
      <c r="EC532" s="347"/>
      <c r="ED532" s="345"/>
      <c r="EE532" s="272"/>
      <c r="EF532" s="272"/>
      <c r="EG532" s="272"/>
      <c r="EH532" s="272"/>
      <c r="EI532" s="347"/>
      <c r="EJ532" s="345"/>
      <c r="EK532" s="272"/>
      <c r="EL532" s="272"/>
      <c r="EM532" s="272"/>
      <c r="EN532" s="272"/>
      <c r="EO532" s="347"/>
      <c r="EP532" s="345"/>
      <c r="EQ532" s="272"/>
      <c r="ER532" s="272"/>
      <c r="ES532" s="272"/>
      <c r="ET532" s="272"/>
      <c r="EU532" s="347"/>
      <c r="EV532" s="345"/>
      <c r="EW532" s="272"/>
      <c r="EX532" s="272"/>
      <c r="EY532" s="272"/>
      <c r="EZ532" s="272"/>
      <c r="FA532" s="347"/>
      <c r="FB532" s="345"/>
      <c r="FC532" s="272"/>
      <c r="FD532" s="272"/>
      <c r="FE532" s="272"/>
      <c r="FF532" s="272"/>
      <c r="FG532" s="347"/>
      <c r="FH532" s="345"/>
      <c r="FI532" s="272"/>
      <c r="FJ532" s="272"/>
      <c r="FK532" s="272"/>
      <c r="FL532" s="272"/>
      <c r="FM532" s="347"/>
      <c r="FQ532"/>
      <c r="FR532"/>
      <c r="FS532"/>
      <c r="FT532"/>
      <c r="FU532"/>
      <c r="FV532"/>
      <c r="GB532" s="24"/>
      <c r="GC532" s="24"/>
      <c r="GD532" s="24"/>
      <c r="GE532" s="24"/>
      <c r="GF532" s="24"/>
      <c r="GG532" s="24"/>
      <c r="GH532" s="24"/>
      <c r="GI532" s="24"/>
      <c r="GJ532"/>
      <c r="GK532"/>
      <c r="GL532"/>
      <c r="GM532"/>
      <c r="GN532"/>
      <c r="GO532"/>
      <c r="GP532"/>
      <c r="GQ532"/>
      <c r="GR532"/>
      <c r="GS532"/>
      <c r="GT532"/>
      <c r="GU532"/>
      <c r="GV532"/>
      <c r="GW532"/>
      <c r="GX532"/>
      <c r="GY532"/>
      <c r="GZ532"/>
      <c r="HA532"/>
      <c r="HB532"/>
      <c r="HC532"/>
      <c r="HD532"/>
      <c r="HE532"/>
      <c r="HF532"/>
      <c r="HG532"/>
      <c r="HH532"/>
      <c r="HI532"/>
      <c r="HJ532"/>
      <c r="HK532"/>
      <c r="HL532"/>
      <c r="HM532"/>
      <c r="HN532"/>
      <c r="HO532"/>
      <c r="HP532"/>
      <c r="HQ532"/>
      <c r="HR532"/>
      <c r="HS532"/>
      <c r="HT532"/>
      <c r="HU532"/>
      <c r="HV532"/>
      <c r="HW532"/>
      <c r="HX532"/>
      <c r="HY532"/>
      <c r="HZ532"/>
      <c r="IA532"/>
      <c r="IB532"/>
      <c r="IC532"/>
      <c r="ID532"/>
      <c r="IE532"/>
      <c r="IF532"/>
      <c r="IG532"/>
      <c r="IH532"/>
      <c r="II532"/>
      <c r="IJ532"/>
      <c r="IK532"/>
      <c r="IL532"/>
      <c r="IM532"/>
      <c r="IN532"/>
      <c r="IO532"/>
      <c r="IP532"/>
      <c r="IQ532"/>
      <c r="IR532"/>
      <c r="IS532"/>
      <c r="IT532"/>
      <c r="IU532"/>
      <c r="IV532"/>
      <c r="IW532"/>
      <c r="IX532"/>
      <c r="IY532"/>
      <c r="IZ532"/>
      <c r="JA532"/>
      <c r="JB532"/>
      <c r="JC532"/>
      <c r="JD532"/>
      <c r="JE532"/>
      <c r="JF532"/>
      <c r="JG532"/>
      <c r="JH532"/>
      <c r="JI532"/>
      <c r="JJ532"/>
      <c r="JK532"/>
      <c r="JL532"/>
      <c r="JM532"/>
      <c r="JN532"/>
    </row>
    <row r="533" spans="1:274" s="27" customFormat="1" hidden="1" outlineLevel="1" x14ac:dyDescent="0.2">
      <c r="A533" s="32" t="s">
        <v>24</v>
      </c>
      <c r="C533" s="242"/>
      <c r="D533" s="242"/>
      <c r="E533" s="242"/>
      <c r="F533" s="242"/>
      <c r="G533" s="242"/>
      <c r="H533" s="242"/>
      <c r="I533" s="242"/>
      <c r="J533" s="242"/>
      <c r="K533" s="242"/>
      <c r="L533" s="242"/>
      <c r="M533" s="242"/>
      <c r="O533" s="272"/>
      <c r="P533" s="272"/>
      <c r="Q533" s="272"/>
      <c r="R533" s="272"/>
      <c r="S533" s="242"/>
      <c r="U533" s="272"/>
      <c r="V533" s="272"/>
      <c r="W533" s="272"/>
      <c r="X533" s="272"/>
      <c r="Y533" s="242"/>
      <c r="AA533" s="272"/>
      <c r="AB533" s="272"/>
      <c r="AC533" s="272"/>
      <c r="AD533" s="272"/>
      <c r="AE533" s="242"/>
      <c r="AG533" s="272"/>
      <c r="AH533" s="272"/>
      <c r="AI533" s="272"/>
      <c r="AJ533" s="272"/>
      <c r="AK533" s="242"/>
      <c r="AM533" s="272"/>
      <c r="AN533" s="272"/>
      <c r="AO533" s="272"/>
      <c r="AP533" s="272"/>
      <c r="AQ533" s="242"/>
      <c r="AS533" s="272"/>
      <c r="AT533" s="272"/>
      <c r="AU533" s="272"/>
      <c r="AV533" s="272"/>
      <c r="AW533" s="242"/>
      <c r="AY533" s="272"/>
      <c r="AZ533" s="272"/>
      <c r="BA533" s="272"/>
      <c r="BB533" s="272"/>
      <c r="BC533" s="242"/>
      <c r="BE533" s="272"/>
      <c r="BF533" s="272"/>
      <c r="BG533" s="272"/>
      <c r="BH533" s="272"/>
      <c r="BI533" s="242"/>
      <c r="BK533" s="272"/>
      <c r="BL533" s="272"/>
      <c r="BM533" s="272"/>
      <c r="BN533" s="272"/>
      <c r="BO533" s="242"/>
      <c r="BQ533" s="272"/>
      <c r="BR533" s="272"/>
      <c r="BS533" s="272"/>
      <c r="BT533" s="272"/>
      <c r="BU533" s="242"/>
      <c r="BW533" s="272"/>
      <c r="BX533" s="272"/>
      <c r="BY533" s="272"/>
      <c r="BZ533" s="272"/>
      <c r="CA533" s="242"/>
      <c r="CC533" s="272"/>
      <c r="CD533" s="272"/>
      <c r="CE533" s="272"/>
      <c r="CF533" s="272"/>
      <c r="CG533" s="347"/>
      <c r="CI533" s="272"/>
      <c r="CJ533" s="272"/>
      <c r="CK533" s="272"/>
      <c r="CL533" s="272"/>
      <c r="CM533" s="347"/>
      <c r="CO533" s="272"/>
      <c r="CP533" s="272"/>
      <c r="CQ533" s="272"/>
      <c r="CR533" s="272"/>
      <c r="CS533" s="347"/>
      <c r="CT533" s="345"/>
      <c r="CU533" s="272"/>
      <c r="CV533" s="272"/>
      <c r="CW533" s="272"/>
      <c r="CX533" s="272"/>
      <c r="CY533" s="347"/>
      <c r="CZ533" s="345"/>
      <c r="DA533" s="272"/>
      <c r="DB533" s="272"/>
      <c r="DC533" s="272"/>
      <c r="DD533" s="272"/>
      <c r="DE533" s="347"/>
      <c r="DF533" s="345"/>
      <c r="DG533" s="272"/>
      <c r="DH533" s="272"/>
      <c r="DI533" s="272"/>
      <c r="DJ533" s="272"/>
      <c r="DK533" s="347"/>
      <c r="DL533" s="345"/>
      <c r="DM533" s="272"/>
      <c r="DN533" s="272"/>
      <c r="DO533" s="272"/>
      <c r="DP533" s="272"/>
      <c r="DQ533" s="347"/>
      <c r="DR533" s="345"/>
      <c r="DS533" s="272"/>
      <c r="DT533" s="272"/>
      <c r="DU533" s="272"/>
      <c r="DV533" s="272"/>
      <c r="DW533" s="347"/>
      <c r="DX533" s="345"/>
      <c r="DY533" s="272"/>
      <c r="DZ533" s="272"/>
      <c r="EA533" s="272"/>
      <c r="EB533" s="272"/>
      <c r="EC533" s="347"/>
      <c r="ED533" s="345"/>
      <c r="EE533" s="272"/>
      <c r="EF533" s="272"/>
      <c r="EG533" s="272"/>
      <c r="EH533" s="272"/>
      <c r="EI533" s="347"/>
      <c r="EJ533" s="345"/>
      <c r="EK533" s="272"/>
      <c r="EL533" s="272"/>
      <c r="EM533" s="272"/>
      <c r="EN533" s="272"/>
      <c r="EO533" s="347"/>
      <c r="EP533" s="345"/>
      <c r="EQ533" s="272"/>
      <c r="ER533" s="272"/>
      <c r="ES533" s="272"/>
      <c r="ET533" s="272"/>
      <c r="EU533" s="347"/>
      <c r="EV533" s="345"/>
      <c r="EW533" s="272"/>
      <c r="EX533" s="272"/>
      <c r="EY533" s="272"/>
      <c r="EZ533" s="272"/>
      <c r="FA533" s="347"/>
      <c r="FB533" s="345"/>
      <c r="FC533" s="272"/>
      <c r="FD533" s="272"/>
      <c r="FE533" s="272"/>
      <c r="FF533" s="272"/>
      <c r="FG533" s="347"/>
      <c r="FH533" s="345"/>
      <c r="FI533" s="272"/>
      <c r="FJ533" s="272"/>
      <c r="FK533" s="272"/>
      <c r="FL533" s="272"/>
      <c r="FM533" s="347"/>
      <c r="FQ533"/>
      <c r="FR533"/>
      <c r="FS533"/>
      <c r="FT533"/>
      <c r="FU533"/>
      <c r="FV533"/>
      <c r="GB533" s="24"/>
      <c r="GC533" s="24"/>
      <c r="GD533" s="24"/>
      <c r="GE533" s="24"/>
      <c r="GF533" s="24"/>
      <c r="GG533" s="24"/>
      <c r="GH533" s="24"/>
      <c r="GI533" s="24"/>
      <c r="GJ533"/>
      <c r="GK533"/>
      <c r="GL533"/>
      <c r="GM533"/>
      <c r="GN533"/>
      <c r="GO533"/>
      <c r="GP533"/>
      <c r="GQ533"/>
      <c r="GR533"/>
      <c r="GS533"/>
      <c r="GT533"/>
      <c r="GU533"/>
      <c r="GV533"/>
      <c r="GW533"/>
      <c r="GX533"/>
      <c r="GY533"/>
      <c r="GZ533"/>
      <c r="HA533"/>
      <c r="HB533"/>
      <c r="HC533"/>
      <c r="HD533"/>
      <c r="HE533"/>
      <c r="HF533"/>
      <c r="HG533"/>
      <c r="HH533"/>
      <c r="HI533"/>
      <c r="HJ533"/>
      <c r="HK533"/>
      <c r="HL533"/>
      <c r="HM533"/>
      <c r="HN533"/>
      <c r="HO533"/>
      <c r="HP533"/>
      <c r="HQ533"/>
      <c r="HR533"/>
      <c r="HS533"/>
      <c r="HT533"/>
      <c r="HU533"/>
      <c r="HV533"/>
      <c r="HW533"/>
      <c r="HX533"/>
      <c r="HY533"/>
      <c r="HZ533"/>
      <c r="IA533"/>
      <c r="IB533"/>
      <c r="IC533"/>
      <c r="ID533"/>
      <c r="IE533"/>
      <c r="IF533"/>
      <c r="IG533"/>
      <c r="IH533"/>
      <c r="II533"/>
      <c r="IJ533"/>
      <c r="IK533"/>
      <c r="IL533"/>
      <c r="IM533"/>
      <c r="IN533"/>
      <c r="IO533"/>
      <c r="IP533"/>
      <c r="IQ533"/>
      <c r="IR533"/>
      <c r="IS533"/>
      <c r="IT533"/>
      <c r="IU533"/>
      <c r="IV533"/>
      <c r="IW533"/>
      <c r="IX533"/>
      <c r="IY533"/>
      <c r="IZ533"/>
      <c r="JA533"/>
      <c r="JB533"/>
      <c r="JC533"/>
      <c r="JD533"/>
      <c r="JE533"/>
      <c r="JF533"/>
      <c r="JG533"/>
      <c r="JH533"/>
      <c r="JI533"/>
      <c r="JJ533"/>
      <c r="JK533"/>
      <c r="JL533"/>
      <c r="JM533"/>
      <c r="JN533"/>
    </row>
    <row r="534" spans="1:274" s="27" customFormat="1" ht="12" hidden="1" customHeight="1" outlineLevel="1" x14ac:dyDescent="0.2">
      <c r="A534" s="27" t="s">
        <v>1036</v>
      </c>
      <c r="C534" s="242"/>
      <c r="D534" s="242"/>
      <c r="E534" s="242"/>
      <c r="F534" s="242"/>
      <c r="G534" s="242"/>
      <c r="H534" s="242"/>
      <c r="I534" s="242"/>
      <c r="J534" s="242"/>
      <c r="K534" s="242"/>
      <c r="L534" s="242"/>
      <c r="M534" s="242"/>
      <c r="O534" s="272"/>
      <c r="P534" s="272"/>
      <c r="Q534" s="272"/>
      <c r="R534" s="272"/>
      <c r="S534" s="242"/>
      <c r="U534" s="272"/>
      <c r="V534" s="272"/>
      <c r="W534" s="272"/>
      <c r="X534" s="272"/>
      <c r="Y534" s="242"/>
      <c r="AA534" s="272"/>
      <c r="AB534" s="272"/>
      <c r="AC534" s="272"/>
      <c r="AD534" s="272"/>
      <c r="AE534" s="242"/>
      <c r="AG534" s="272"/>
      <c r="AH534" s="272"/>
      <c r="AI534" s="272"/>
      <c r="AJ534" s="272"/>
      <c r="AK534" s="242"/>
      <c r="AM534" s="272"/>
      <c r="AN534" s="272"/>
      <c r="AO534" s="272"/>
      <c r="AP534" s="272"/>
      <c r="AQ534" s="242"/>
      <c r="AS534" s="272"/>
      <c r="AT534" s="272"/>
      <c r="AU534" s="272"/>
      <c r="AV534" s="272"/>
      <c r="AW534" s="242"/>
      <c r="AY534" s="272"/>
      <c r="AZ534" s="272"/>
      <c r="BA534" s="272"/>
      <c r="BB534" s="272"/>
      <c r="BC534" s="242"/>
      <c r="BE534" s="272"/>
      <c r="BF534" s="272"/>
      <c r="BG534" s="272"/>
      <c r="BH534" s="272"/>
      <c r="BI534" s="242"/>
      <c r="BK534" s="272"/>
      <c r="BL534" s="272"/>
      <c r="BM534" s="272"/>
      <c r="BN534" s="272"/>
      <c r="BO534" s="242"/>
      <c r="BQ534" s="928"/>
      <c r="BR534" s="928"/>
      <c r="BS534" s="928"/>
      <c r="BT534" s="928"/>
      <c r="BU534" s="928"/>
      <c r="BV534" s="928"/>
      <c r="BW534" s="272" t="s">
        <v>40</v>
      </c>
      <c r="BX534" s="272" t="s">
        <v>40</v>
      </c>
      <c r="BY534" s="272" t="s">
        <v>40</v>
      </c>
      <c r="BZ534" s="272" t="s">
        <v>40</v>
      </c>
      <c r="CA534" s="242"/>
      <c r="CC534" s="928">
        <v>0.28999999999999998</v>
      </c>
      <c r="CD534" s="928">
        <v>0.28999999999999998</v>
      </c>
      <c r="CE534" s="272" t="s">
        <v>40</v>
      </c>
      <c r="CF534" s="272"/>
      <c r="CG534" s="347"/>
      <c r="CI534" s="272"/>
      <c r="CJ534" s="272"/>
      <c r="CK534" s="272"/>
      <c r="CL534" s="272"/>
      <c r="CM534" s="347"/>
      <c r="CO534" s="272"/>
      <c r="CP534" s="272"/>
      <c r="CQ534" s="272"/>
      <c r="CR534" s="272"/>
      <c r="CS534" s="347"/>
      <c r="CT534" s="345"/>
      <c r="CU534" s="272"/>
      <c r="CV534" s="272"/>
      <c r="CW534" s="272"/>
      <c r="CX534" s="272"/>
      <c r="CY534" s="347"/>
      <c r="CZ534" s="345"/>
      <c r="DA534" s="272"/>
      <c r="DB534" s="272"/>
      <c r="DC534" s="272"/>
      <c r="DD534" s="272"/>
      <c r="DE534" s="347"/>
      <c r="DF534" s="345"/>
      <c r="DG534" s="272"/>
      <c r="DH534" s="272"/>
      <c r="DI534" s="272"/>
      <c r="DJ534" s="272"/>
      <c r="DK534" s="347"/>
      <c r="DL534" s="345"/>
      <c r="DM534" s="272"/>
      <c r="DN534" s="272"/>
      <c r="DO534" s="272"/>
      <c r="DP534" s="272"/>
      <c r="DQ534" s="347"/>
      <c r="DR534" s="345"/>
      <c r="DS534" s="272"/>
      <c r="DT534" s="272"/>
      <c r="DU534" s="272"/>
      <c r="DV534" s="272"/>
      <c r="DW534" s="347"/>
      <c r="DX534" s="345"/>
      <c r="DY534" s="272"/>
      <c r="DZ534" s="272"/>
      <c r="EA534" s="272"/>
      <c r="EB534" s="272"/>
      <c r="EC534" s="347"/>
      <c r="ED534" s="345"/>
      <c r="EE534" s="272"/>
      <c r="EF534" s="272"/>
      <c r="EG534" s="272"/>
      <c r="EH534" s="272"/>
      <c r="EI534" s="347"/>
      <c r="EJ534" s="345"/>
      <c r="EK534" s="272"/>
      <c r="EL534" s="272"/>
      <c r="EM534" s="272"/>
      <c r="EN534" s="272"/>
      <c r="EO534" s="347"/>
      <c r="EP534" s="345"/>
      <c r="EQ534" s="272"/>
      <c r="ER534" s="272"/>
      <c r="ES534" s="272"/>
      <c r="ET534" s="272"/>
      <c r="EU534" s="347"/>
      <c r="EV534" s="345"/>
      <c r="EW534" s="272"/>
      <c r="EX534" s="272"/>
      <c r="EY534" s="272"/>
      <c r="EZ534" s="272"/>
      <c r="FA534" s="347"/>
      <c r="FB534" s="345"/>
      <c r="FC534" s="272"/>
      <c r="FD534" s="272"/>
      <c r="FE534" s="272"/>
      <c r="FF534" s="272"/>
      <c r="FG534" s="347"/>
      <c r="FH534" s="345"/>
      <c r="FI534" s="272"/>
      <c r="FJ534" s="272"/>
      <c r="FK534" s="272"/>
      <c r="FL534" s="272"/>
      <c r="FM534" s="347"/>
      <c r="FQ534"/>
      <c r="FR534"/>
      <c r="FS534"/>
      <c r="FT534"/>
      <c r="FU534"/>
      <c r="FV534"/>
      <c r="GB534" s="24"/>
      <c r="GC534" s="24"/>
      <c r="GD534" s="24"/>
      <c r="GE534" s="24"/>
      <c r="GF534" s="24"/>
      <c r="GG534" s="24"/>
      <c r="GH534" s="24"/>
      <c r="GI534" s="24"/>
      <c r="GJ534"/>
      <c r="GK534"/>
      <c r="GL534"/>
      <c r="GM534"/>
      <c r="GN534"/>
      <c r="GO534"/>
      <c r="GP534"/>
      <c r="GQ534"/>
      <c r="GR534"/>
      <c r="GS534"/>
      <c r="GT534"/>
      <c r="GU534"/>
      <c r="GV534"/>
      <c r="GW534"/>
      <c r="GX534"/>
      <c r="GY534"/>
      <c r="GZ534"/>
      <c r="HA534"/>
      <c r="HB534"/>
      <c r="HC534"/>
      <c r="HD534"/>
      <c r="HE534"/>
      <c r="HF534"/>
      <c r="HG534"/>
      <c r="HH534"/>
      <c r="HI534"/>
      <c r="HJ534"/>
      <c r="HK534"/>
      <c r="HL534"/>
      <c r="HM534"/>
      <c r="HN534"/>
      <c r="HO534"/>
      <c r="HP534"/>
      <c r="HQ534"/>
      <c r="HR534"/>
      <c r="HS534"/>
      <c r="HT534"/>
      <c r="HU534"/>
      <c r="HV534"/>
      <c r="HW534"/>
      <c r="HX534"/>
      <c r="HY534"/>
      <c r="HZ534"/>
      <c r="IA534"/>
      <c r="IB534"/>
      <c r="IC534"/>
      <c r="ID534"/>
      <c r="IE534"/>
      <c r="IF534"/>
      <c r="IG534"/>
      <c r="IH534"/>
      <c r="II534"/>
      <c r="IJ534"/>
      <c r="IK534"/>
      <c r="IL534"/>
      <c r="IM534"/>
      <c r="IN534"/>
      <c r="IO534"/>
      <c r="IP534"/>
      <c r="IQ534"/>
      <c r="IR534"/>
      <c r="IS534"/>
      <c r="IT534"/>
      <c r="IU534"/>
      <c r="IV534"/>
      <c r="IW534"/>
      <c r="IX534"/>
      <c r="IY534"/>
      <c r="IZ534"/>
      <c r="JA534"/>
      <c r="JB534"/>
      <c r="JC534"/>
      <c r="JD534"/>
      <c r="JE534"/>
      <c r="JF534"/>
      <c r="JG534"/>
      <c r="JH534"/>
      <c r="JI534"/>
      <c r="JJ534"/>
      <c r="JK534"/>
      <c r="JL534"/>
      <c r="JM534"/>
      <c r="JN534"/>
    </row>
    <row r="535" spans="1:274" s="27" customFormat="1" ht="12" hidden="1" customHeight="1" outlineLevel="1" x14ac:dyDescent="0.2">
      <c r="A535" s="897" t="s">
        <v>913</v>
      </c>
      <c r="B535" s="146"/>
      <c r="C535" s="384"/>
      <c r="D535" s="384"/>
      <c r="E535" s="384"/>
      <c r="F535" s="384"/>
      <c r="G535" s="384"/>
      <c r="H535" s="384"/>
      <c r="I535" s="384"/>
      <c r="J535" s="384"/>
      <c r="K535" s="384"/>
      <c r="L535" s="384"/>
      <c r="M535" s="384"/>
      <c r="N535" s="146"/>
      <c r="O535" s="923"/>
      <c r="P535" s="923"/>
      <c r="Q535" s="923"/>
      <c r="R535" s="923"/>
      <c r="S535" s="384"/>
      <c r="T535" s="146"/>
      <c r="U535" s="923"/>
      <c r="V535" s="923"/>
      <c r="W535" s="923"/>
      <c r="X535" s="923"/>
      <c r="Y535" s="384"/>
      <c r="Z535" s="146"/>
      <c r="AA535" s="923"/>
      <c r="AB535" s="923"/>
      <c r="AC535" s="923"/>
      <c r="AD535" s="923"/>
      <c r="AE535" s="384"/>
      <c r="AF535" s="146"/>
      <c r="AG535" s="923"/>
      <c r="AH535" s="923"/>
      <c r="AI535" s="923"/>
      <c r="AJ535" s="923"/>
      <c r="AK535" s="384"/>
      <c r="AL535" s="146"/>
      <c r="AM535" s="923"/>
      <c r="AN535" s="923"/>
      <c r="AO535" s="923"/>
      <c r="AP535" s="923"/>
      <c r="AQ535" s="384"/>
      <c r="AR535" s="146"/>
      <c r="AS535" s="923"/>
      <c r="AT535" s="923"/>
      <c r="AU535" s="923"/>
      <c r="AV535" s="923"/>
      <c r="AW535" s="384"/>
      <c r="AX535" s="146"/>
      <c r="AY535" s="923"/>
      <c r="AZ535" s="923"/>
      <c r="BA535" s="923"/>
      <c r="BB535" s="923"/>
      <c r="BC535" s="384"/>
      <c r="BD535" s="146"/>
      <c r="BE535" s="923"/>
      <c r="BF535" s="923"/>
      <c r="BG535" s="923"/>
      <c r="BH535" s="923"/>
      <c r="BI535" s="384"/>
      <c r="BJ535" s="146"/>
      <c r="BK535" s="923"/>
      <c r="BL535" s="923"/>
      <c r="BM535" s="923"/>
      <c r="BN535" s="923"/>
      <c r="BO535" s="384"/>
      <c r="BP535" s="146"/>
      <c r="BQ535" s="932"/>
      <c r="BR535" s="932"/>
      <c r="BS535" s="932"/>
      <c r="BT535" s="932"/>
      <c r="BU535" s="384"/>
      <c r="BV535" s="146"/>
      <c r="BW535" s="932">
        <f>Model!CA185</f>
        <v>0.28747396742685316</v>
      </c>
      <c r="BX535" s="932">
        <f>Model!CA185</f>
        <v>0.28747396742685316</v>
      </c>
      <c r="BY535" s="932">
        <f>Model!CA185</f>
        <v>0.28747396742685316</v>
      </c>
      <c r="BZ535" s="932">
        <f>Model!CA185</f>
        <v>0.28747396742685316</v>
      </c>
      <c r="CA535" s="384"/>
      <c r="CB535" s="146"/>
      <c r="CC535" s="932">
        <f>Model!CG185</f>
        <v>0.29688027760964991</v>
      </c>
      <c r="CD535" s="932">
        <f>Model!$CG185</f>
        <v>0.29688027760964991</v>
      </c>
      <c r="CE535" s="932">
        <f>Model!$CG185</f>
        <v>0.29688027760964991</v>
      </c>
      <c r="CF535" s="932">
        <v>0.28999999999999998</v>
      </c>
      <c r="CG535" s="926"/>
      <c r="CH535" s="146"/>
      <c r="CI535" s="923"/>
      <c r="CJ535" s="923"/>
      <c r="CK535" s="923"/>
      <c r="CL535" s="923"/>
      <c r="CM535" s="926"/>
      <c r="CN535" s="146"/>
      <c r="CO535" s="923"/>
      <c r="CP535" s="923"/>
      <c r="CQ535" s="923"/>
      <c r="CR535" s="923"/>
      <c r="CS535" s="926"/>
      <c r="CT535" s="146"/>
      <c r="CU535" s="923"/>
      <c r="CV535" s="923"/>
      <c r="CW535" s="923"/>
      <c r="CX535" s="923"/>
      <c r="CY535" s="926"/>
      <c r="CZ535" s="146"/>
      <c r="DA535" s="923"/>
      <c r="DB535" s="923"/>
      <c r="DC535" s="923"/>
      <c r="DD535" s="923"/>
      <c r="DE535" s="926"/>
      <c r="DF535" s="146"/>
      <c r="DG535" s="923"/>
      <c r="DH535" s="923"/>
      <c r="DI535" s="923"/>
      <c r="DJ535" s="923"/>
      <c r="DK535" s="926"/>
      <c r="DL535" s="146"/>
      <c r="DM535" s="923"/>
      <c r="DN535" s="923"/>
      <c r="DO535" s="923"/>
      <c r="DP535" s="923"/>
      <c r="DQ535" s="926"/>
      <c r="DR535" s="146"/>
      <c r="DS535" s="923"/>
      <c r="DT535" s="923"/>
      <c r="DU535" s="923"/>
      <c r="DV535" s="923"/>
      <c r="DW535" s="926"/>
      <c r="DX535" s="146"/>
      <c r="DY535" s="923"/>
      <c r="DZ535" s="923"/>
      <c r="EA535" s="923"/>
      <c r="EB535" s="923"/>
      <c r="EC535" s="926"/>
      <c r="ED535" s="146"/>
      <c r="EE535" s="923"/>
      <c r="EF535" s="923"/>
      <c r="EG535" s="923"/>
      <c r="EH535" s="923"/>
      <c r="EI535" s="926"/>
      <c r="EJ535" s="146"/>
      <c r="EK535" s="923"/>
      <c r="EL535" s="923"/>
      <c r="EM535" s="923"/>
      <c r="EN535" s="923"/>
      <c r="EO535" s="926"/>
      <c r="EP535" s="146"/>
      <c r="EQ535" s="1785"/>
      <c r="ER535" s="1785"/>
      <c r="ES535" s="1785"/>
      <c r="ET535" s="1785"/>
      <c r="EU535" s="1786"/>
      <c r="EV535" s="1787"/>
      <c r="EW535" s="1785"/>
      <c r="EX535" s="1785"/>
      <c r="EY535" s="1785"/>
      <c r="EZ535" s="1785"/>
      <c r="FA535" s="1786"/>
      <c r="FB535" s="1787"/>
      <c r="FC535" s="1785"/>
      <c r="FD535" s="1785"/>
      <c r="FE535" s="1785"/>
      <c r="FF535" s="1785"/>
      <c r="FG535" s="1786"/>
      <c r="FH535" s="1787"/>
      <c r="FI535" s="1785"/>
      <c r="FJ535" s="1785"/>
      <c r="FK535" s="1785"/>
      <c r="FL535" s="1785"/>
      <c r="FM535" s="1786"/>
      <c r="FQ535"/>
      <c r="FR535"/>
      <c r="FS535"/>
      <c r="FT535"/>
      <c r="FU535"/>
      <c r="FV535"/>
      <c r="GB535" s="24"/>
      <c r="GC535" s="24"/>
      <c r="GD535" s="24"/>
      <c r="GE535" s="24"/>
      <c r="GF535" s="24"/>
      <c r="GG535" s="24"/>
      <c r="GH535" s="24"/>
      <c r="GI535" s="24"/>
      <c r="GJ535"/>
      <c r="GK535"/>
      <c r="GL535"/>
      <c r="GM535"/>
      <c r="GN535"/>
      <c r="GO535"/>
      <c r="GP535"/>
      <c r="GQ535"/>
      <c r="GR535"/>
      <c r="GS535"/>
      <c r="GT535"/>
      <c r="GU535"/>
      <c r="GV535"/>
      <c r="GW535"/>
      <c r="GX535"/>
      <c r="GY535"/>
      <c r="GZ535"/>
      <c r="HA535"/>
      <c r="HB535"/>
      <c r="HC535"/>
      <c r="HD535"/>
      <c r="HE535"/>
      <c r="HF535"/>
      <c r="HG535"/>
      <c r="HH535"/>
      <c r="HI535"/>
      <c r="HJ535"/>
      <c r="HK535"/>
      <c r="HL535"/>
      <c r="HM535"/>
      <c r="HN535"/>
      <c r="HO535"/>
      <c r="HP535"/>
      <c r="HQ535"/>
      <c r="HR535"/>
      <c r="HS535"/>
      <c r="HT535"/>
      <c r="HU535"/>
      <c r="HV535"/>
      <c r="HW535"/>
      <c r="HX535"/>
      <c r="HY535"/>
      <c r="HZ535"/>
      <c r="IA535"/>
      <c r="IB535"/>
      <c r="IC535"/>
      <c r="ID535"/>
      <c r="IE535"/>
      <c r="IF535"/>
      <c r="IG535"/>
      <c r="IH535"/>
      <c r="II535"/>
      <c r="IJ535"/>
      <c r="IK535"/>
      <c r="IL535"/>
      <c r="IM535"/>
      <c r="IN535"/>
      <c r="IO535"/>
      <c r="IP535"/>
      <c r="IQ535"/>
      <c r="IR535"/>
      <c r="IS535"/>
      <c r="IT535"/>
      <c r="IU535"/>
      <c r="IV535"/>
      <c r="IW535"/>
      <c r="IX535"/>
      <c r="IY535"/>
      <c r="IZ535"/>
      <c r="JA535"/>
      <c r="JB535"/>
      <c r="JC535"/>
      <c r="JD535"/>
      <c r="JE535"/>
      <c r="JF535"/>
      <c r="JG535"/>
      <c r="JH535"/>
      <c r="JI535"/>
      <c r="JJ535"/>
      <c r="JK535"/>
      <c r="JL535"/>
      <c r="JM535"/>
      <c r="JN535"/>
    </row>
    <row r="536" spans="1:274" s="27" customFormat="1" ht="12" hidden="1" customHeight="1" outlineLevel="1" x14ac:dyDescent="0.2">
      <c r="C536" s="242"/>
      <c r="D536" s="242"/>
      <c r="E536" s="242"/>
      <c r="F536" s="242"/>
      <c r="G536" s="242"/>
      <c r="H536" s="242"/>
      <c r="I536" s="242"/>
      <c r="J536" s="242"/>
      <c r="K536" s="242"/>
      <c r="L536" s="242"/>
      <c r="M536" s="242"/>
      <c r="O536" s="272"/>
      <c r="P536" s="272"/>
      <c r="Q536" s="272"/>
      <c r="R536" s="272"/>
      <c r="S536" s="242"/>
      <c r="U536" s="272"/>
      <c r="V536" s="272"/>
      <c r="W536" s="272"/>
      <c r="X536" s="272"/>
      <c r="Y536" s="242"/>
      <c r="AA536" s="272"/>
      <c r="AB536" s="272"/>
      <c r="AC536" s="272"/>
      <c r="AD536" s="272"/>
      <c r="AE536" s="242"/>
      <c r="AG536" s="272"/>
      <c r="AH536" s="272"/>
      <c r="AI536" s="272"/>
      <c r="AJ536" s="272"/>
      <c r="AK536" s="242"/>
      <c r="AM536" s="272"/>
      <c r="AN536" s="272"/>
      <c r="AO536" s="272"/>
      <c r="AP536" s="272"/>
      <c r="AQ536" s="242"/>
      <c r="AS536" s="272"/>
      <c r="AT536" s="272"/>
      <c r="AU536" s="272"/>
      <c r="AV536" s="272"/>
      <c r="AW536" s="242"/>
      <c r="AY536" s="272"/>
      <c r="AZ536" s="272"/>
      <c r="BA536" s="272"/>
      <c r="BB536" s="272"/>
      <c r="BC536" s="242"/>
      <c r="BE536" s="272"/>
      <c r="BF536" s="272"/>
      <c r="BG536" s="272"/>
      <c r="BH536" s="272"/>
      <c r="BI536" s="242"/>
      <c r="BK536" s="272"/>
      <c r="BL536" s="272"/>
      <c r="BM536" s="272"/>
      <c r="BN536" s="272"/>
      <c r="BO536" s="242"/>
      <c r="BQ536" s="272"/>
      <c r="BR536" s="272"/>
      <c r="BS536" s="272"/>
      <c r="BT536" s="272"/>
      <c r="BU536" s="242"/>
      <c r="BW536" s="927"/>
      <c r="BX536" s="927"/>
      <c r="BY536" s="927"/>
      <c r="BZ536" s="927"/>
      <c r="CA536" s="242"/>
      <c r="CC536" s="272"/>
      <c r="CD536" s="272"/>
      <c r="CE536" s="272"/>
      <c r="CF536" s="272"/>
      <c r="CG536" s="347"/>
      <c r="CI536" s="272"/>
      <c r="CJ536" s="272"/>
      <c r="CK536" s="272"/>
      <c r="CL536" s="272"/>
      <c r="CM536" s="347"/>
      <c r="CO536" s="272"/>
      <c r="CP536" s="272"/>
      <c r="CQ536" s="272"/>
      <c r="CR536" s="272"/>
      <c r="CS536" s="347"/>
      <c r="CT536" s="345"/>
      <c r="CU536" s="272"/>
      <c r="CV536" s="272"/>
      <c r="CW536" s="272"/>
      <c r="CX536" s="272"/>
      <c r="CY536" s="347"/>
      <c r="CZ536" s="345"/>
      <c r="DA536" s="272"/>
      <c r="DB536" s="272"/>
      <c r="DC536" s="272"/>
      <c r="DD536" s="272"/>
      <c r="DE536" s="347"/>
      <c r="DF536" s="345"/>
      <c r="DG536" s="272"/>
      <c r="DH536" s="272"/>
      <c r="DI536" s="272"/>
      <c r="DJ536" s="272"/>
      <c r="DK536" s="347"/>
      <c r="DL536" s="345"/>
      <c r="DM536" s="272"/>
      <c r="DN536" s="272"/>
      <c r="DO536" s="272"/>
      <c r="DP536" s="272"/>
      <c r="DQ536" s="347"/>
      <c r="DR536" s="345"/>
      <c r="DS536" s="272"/>
      <c r="DT536" s="272"/>
      <c r="DU536" s="272"/>
      <c r="DV536" s="272"/>
      <c r="DW536" s="347"/>
      <c r="DX536" s="345"/>
      <c r="DY536" s="272"/>
      <c r="DZ536" s="272"/>
      <c r="EA536" s="272"/>
      <c r="EB536" s="272"/>
      <c r="EC536" s="347"/>
      <c r="ED536" s="345"/>
      <c r="EE536" s="272"/>
      <c r="EF536" s="272"/>
      <c r="EG536" s="272"/>
      <c r="EH536" s="272"/>
      <c r="EI536" s="347"/>
      <c r="EJ536" s="345"/>
      <c r="EK536" s="272"/>
      <c r="EL536" s="272"/>
      <c r="EM536" s="272"/>
      <c r="EN536" s="272"/>
      <c r="EO536" s="347"/>
      <c r="EP536" s="345"/>
      <c r="EQ536" s="272"/>
      <c r="ER536" s="272"/>
      <c r="ES536" s="272"/>
      <c r="ET536" s="272"/>
      <c r="EU536" s="347"/>
      <c r="EV536" s="345"/>
      <c r="EW536" s="272"/>
      <c r="EX536" s="272"/>
      <c r="EY536" s="272"/>
      <c r="EZ536" s="272"/>
      <c r="FA536" s="347"/>
      <c r="FB536" s="345"/>
      <c r="FC536" s="272"/>
      <c r="FD536" s="272"/>
      <c r="FE536" s="272"/>
      <c r="FF536" s="272"/>
      <c r="FG536" s="347"/>
      <c r="FH536" s="345"/>
      <c r="FI536" s="272"/>
      <c r="FJ536" s="272"/>
      <c r="FK536" s="272"/>
      <c r="FL536" s="272"/>
      <c r="FM536" s="347"/>
      <c r="FQ536"/>
      <c r="FR536"/>
      <c r="FS536"/>
      <c r="FT536"/>
      <c r="FU536"/>
      <c r="FV536"/>
      <c r="GB536" s="24"/>
      <c r="GC536" s="24"/>
      <c r="GD536" s="24"/>
      <c r="GE536" s="24"/>
      <c r="GF536" s="24"/>
      <c r="GG536" s="24"/>
      <c r="GH536" s="24"/>
      <c r="GI536" s="24"/>
      <c r="GJ536"/>
      <c r="GK536"/>
      <c r="GL536"/>
      <c r="GM536"/>
      <c r="GN536"/>
      <c r="GO536"/>
      <c r="GP536"/>
      <c r="GQ536"/>
      <c r="GR536"/>
      <c r="GS536"/>
      <c r="GT536"/>
      <c r="GU536"/>
      <c r="GV536"/>
      <c r="GW536"/>
      <c r="GX536"/>
      <c r="GY536"/>
      <c r="GZ536"/>
      <c r="HA536"/>
      <c r="HB536"/>
      <c r="HC536"/>
      <c r="HD536"/>
      <c r="HE536"/>
      <c r="HF536"/>
      <c r="HG536"/>
      <c r="HH536"/>
      <c r="HI536"/>
      <c r="HJ536"/>
      <c r="HK536"/>
      <c r="HL536"/>
      <c r="HM536"/>
      <c r="HN536"/>
      <c r="HO536"/>
      <c r="HP536"/>
      <c r="HQ536"/>
      <c r="HR536"/>
      <c r="HS536"/>
      <c r="HT536"/>
      <c r="HU536"/>
      <c r="HV536"/>
      <c r="HW536"/>
      <c r="HX536"/>
      <c r="HY536"/>
      <c r="HZ536"/>
      <c r="IA536"/>
      <c r="IB536"/>
      <c r="IC536"/>
      <c r="ID536"/>
      <c r="IE536"/>
      <c r="IF536"/>
      <c r="IG536"/>
      <c r="IH536"/>
      <c r="II536"/>
      <c r="IJ536"/>
      <c r="IK536"/>
      <c r="IL536"/>
      <c r="IM536"/>
      <c r="IN536"/>
      <c r="IO536"/>
      <c r="IP536"/>
      <c r="IQ536"/>
      <c r="IR536"/>
      <c r="IS536"/>
      <c r="IT536"/>
      <c r="IU536"/>
      <c r="IV536"/>
      <c r="IW536"/>
      <c r="IX536"/>
      <c r="IY536"/>
      <c r="IZ536"/>
      <c r="JA536"/>
      <c r="JB536"/>
      <c r="JC536"/>
      <c r="JD536"/>
      <c r="JE536"/>
      <c r="JF536"/>
      <c r="JG536"/>
      <c r="JH536"/>
      <c r="JI536"/>
      <c r="JJ536"/>
      <c r="JK536"/>
      <c r="JL536"/>
      <c r="JM536"/>
      <c r="JN536"/>
    </row>
    <row r="537" spans="1:274" s="27" customFormat="1" hidden="1" outlineLevel="1" x14ac:dyDescent="0.2">
      <c r="A537" s="32" t="s">
        <v>668</v>
      </c>
      <c r="C537" s="242"/>
      <c r="D537" s="242"/>
      <c r="E537" s="242"/>
      <c r="F537" s="242"/>
      <c r="G537" s="242"/>
      <c r="H537" s="242"/>
      <c r="I537" s="242"/>
      <c r="J537" s="242"/>
      <c r="K537" s="242"/>
      <c r="L537" s="242"/>
      <c r="M537" s="242"/>
      <c r="O537" s="272"/>
      <c r="P537" s="272"/>
      <c r="Q537" s="272"/>
      <c r="R537" s="272"/>
      <c r="S537" s="242"/>
      <c r="U537" s="272"/>
      <c r="V537" s="272"/>
      <c r="W537" s="272"/>
      <c r="X537" s="272"/>
      <c r="Y537" s="242"/>
      <c r="AA537" s="272"/>
      <c r="AB537" s="272"/>
      <c r="AC537" s="272"/>
      <c r="AD537" s="272"/>
      <c r="AE537" s="242"/>
      <c r="AG537" s="272"/>
      <c r="AH537" s="272"/>
      <c r="AI537" s="272"/>
      <c r="AJ537" s="272"/>
      <c r="AK537" s="242"/>
      <c r="AM537" s="272"/>
      <c r="AN537" s="272"/>
      <c r="AO537" s="272"/>
      <c r="AP537" s="272"/>
      <c r="AQ537" s="242"/>
      <c r="AS537" s="272"/>
      <c r="AT537" s="272"/>
      <c r="AU537" s="272"/>
      <c r="AV537" s="272"/>
      <c r="AW537" s="242"/>
      <c r="AY537" s="272"/>
      <c r="AZ537" s="272"/>
      <c r="BA537" s="272"/>
      <c r="BB537" s="272"/>
      <c r="BC537" s="242"/>
      <c r="BE537" s="272"/>
      <c r="BF537" s="272"/>
      <c r="BG537" s="272"/>
      <c r="BH537" s="272"/>
      <c r="BI537" s="242"/>
      <c r="BK537" s="272"/>
      <c r="BL537" s="272"/>
      <c r="BM537" s="272"/>
      <c r="BN537" s="272"/>
      <c r="BO537" s="242"/>
      <c r="BQ537" s="272"/>
      <c r="BR537" s="272"/>
      <c r="BS537" s="272"/>
      <c r="BT537" s="272"/>
      <c r="BU537" s="242"/>
      <c r="BW537" s="272"/>
      <c r="BX537" s="272"/>
      <c r="BY537" s="272"/>
      <c r="BZ537" s="272"/>
      <c r="CA537" s="242"/>
      <c r="CC537" s="272"/>
      <c r="CD537" s="272"/>
      <c r="CE537" s="272"/>
      <c r="CF537" s="272"/>
      <c r="CG537" s="347"/>
      <c r="CI537" s="272"/>
      <c r="CJ537" s="272"/>
      <c r="CK537" s="272"/>
      <c r="CL537" s="272"/>
      <c r="CM537" s="347"/>
      <c r="CO537" s="272"/>
      <c r="CP537" s="272"/>
      <c r="CQ537" s="272"/>
      <c r="CR537" s="272"/>
      <c r="CS537" s="347"/>
      <c r="CT537" s="345"/>
      <c r="CU537" s="272"/>
      <c r="CV537" s="272"/>
      <c r="CW537" s="272"/>
      <c r="CX537" s="272"/>
      <c r="CY537" s="347"/>
      <c r="CZ537" s="345"/>
      <c r="DA537" s="272"/>
      <c r="DB537" s="272"/>
      <c r="DC537" s="272"/>
      <c r="DD537" s="272"/>
      <c r="DE537" s="347"/>
      <c r="DF537" s="345"/>
      <c r="DG537" s="272"/>
      <c r="DH537" s="272"/>
      <c r="DI537" s="272"/>
      <c r="DJ537" s="272"/>
      <c r="DK537" s="347"/>
      <c r="DL537" s="345"/>
      <c r="DM537" s="272"/>
      <c r="DN537" s="272"/>
      <c r="DO537" s="272"/>
      <c r="DP537" s="272"/>
      <c r="DQ537" s="347"/>
      <c r="DR537" s="345"/>
      <c r="DS537" s="272"/>
      <c r="DT537" s="272"/>
      <c r="DU537" s="272"/>
      <c r="DV537" s="272"/>
      <c r="DW537" s="347"/>
      <c r="DX537" s="345"/>
      <c r="DY537" s="272"/>
      <c r="DZ537" s="272"/>
      <c r="EA537" s="272"/>
      <c r="EB537" s="272"/>
      <c r="EC537" s="347"/>
      <c r="ED537" s="345"/>
      <c r="EE537" s="272"/>
      <c r="EF537" s="272"/>
      <c r="EG537" s="272"/>
      <c r="EH537" s="272"/>
      <c r="EI537" s="347"/>
      <c r="EJ537" s="345"/>
      <c r="EK537" s="272"/>
      <c r="EL537" s="272"/>
      <c r="EM537" s="272"/>
      <c r="EN537" s="272"/>
      <c r="EO537" s="347"/>
      <c r="EP537" s="345"/>
      <c r="EQ537" s="272"/>
      <c r="ER537" s="272"/>
      <c r="ES537" s="272"/>
      <c r="ET537" s="272"/>
      <c r="EU537" s="347"/>
      <c r="EV537" s="345"/>
      <c r="EW537" s="272"/>
      <c r="EX537" s="272"/>
      <c r="EY537" s="272"/>
      <c r="EZ537" s="272"/>
      <c r="FA537" s="347"/>
      <c r="FB537" s="345"/>
      <c r="FC537" s="272"/>
      <c r="FD537" s="272"/>
      <c r="FE537" s="272"/>
      <c r="FF537" s="272"/>
      <c r="FG537" s="347"/>
      <c r="FH537" s="345"/>
      <c r="FI537" s="272"/>
      <c r="FJ537" s="272"/>
      <c r="FK537" s="272"/>
      <c r="FL537" s="272"/>
      <c r="FM537" s="347"/>
      <c r="FQ537"/>
      <c r="FR537"/>
      <c r="FS537"/>
      <c r="FT537"/>
      <c r="FU537"/>
      <c r="FV537"/>
      <c r="GB537" s="24"/>
      <c r="GC537" s="24"/>
      <c r="GD537" s="24"/>
      <c r="GE537" s="24"/>
      <c r="GF537" s="24"/>
      <c r="GG537" s="24"/>
      <c r="GH537" s="24"/>
      <c r="GI537" s="24"/>
      <c r="GJ537"/>
      <c r="GK537"/>
      <c r="GL537"/>
      <c r="GM537"/>
      <c r="GN537"/>
      <c r="GO537"/>
      <c r="GP537"/>
      <c r="GQ537"/>
      <c r="GR537"/>
      <c r="GS537"/>
      <c r="GT537"/>
      <c r="GU537"/>
      <c r="GV537"/>
      <c r="GW537"/>
      <c r="GX537"/>
      <c r="GY537"/>
      <c r="GZ537"/>
      <c r="HA537"/>
      <c r="HB537"/>
      <c r="HC537"/>
      <c r="HD537"/>
      <c r="HE537"/>
      <c r="HF537"/>
      <c r="HG537"/>
      <c r="HH537"/>
      <c r="HI537"/>
      <c r="HJ537"/>
      <c r="HK537"/>
      <c r="HL537"/>
      <c r="HM537"/>
      <c r="HN537"/>
      <c r="HO537"/>
      <c r="HP537"/>
      <c r="HQ537"/>
      <c r="HR537"/>
      <c r="HS537"/>
      <c r="HT537"/>
      <c r="HU537"/>
      <c r="HV537"/>
      <c r="HW537"/>
      <c r="HX537"/>
      <c r="HY537"/>
      <c r="HZ537"/>
      <c r="IA537"/>
      <c r="IB537"/>
      <c r="IC537"/>
      <c r="ID537"/>
      <c r="IE537"/>
      <c r="IF537"/>
      <c r="IG537"/>
      <c r="IH537"/>
      <c r="II537"/>
      <c r="IJ537"/>
      <c r="IK537"/>
      <c r="IL537"/>
      <c r="IM537"/>
      <c r="IN537"/>
      <c r="IO537"/>
      <c r="IP537"/>
      <c r="IQ537"/>
      <c r="IR537"/>
      <c r="IS537"/>
      <c r="IT537"/>
      <c r="IU537"/>
      <c r="IV537"/>
      <c r="IW537"/>
      <c r="IX537"/>
      <c r="IY537"/>
      <c r="IZ537"/>
      <c r="JA537"/>
      <c r="JB537"/>
      <c r="JC537"/>
      <c r="JD537"/>
      <c r="JE537"/>
      <c r="JF537"/>
      <c r="JG537"/>
      <c r="JH537"/>
      <c r="JI537"/>
      <c r="JJ537"/>
      <c r="JK537"/>
      <c r="JL537"/>
      <c r="JM537"/>
      <c r="JN537"/>
    </row>
    <row r="538" spans="1:274" s="27" customFormat="1" ht="12" hidden="1" customHeight="1" outlineLevel="1" x14ac:dyDescent="0.2">
      <c r="A538" s="27" t="s">
        <v>1036</v>
      </c>
      <c r="C538" s="242"/>
      <c r="D538" s="242"/>
      <c r="E538" s="242"/>
      <c r="F538" s="242"/>
      <c r="G538" s="242"/>
      <c r="H538" s="242"/>
      <c r="I538" s="242"/>
      <c r="J538" s="242"/>
      <c r="K538" s="242"/>
      <c r="L538" s="242"/>
      <c r="M538" s="242"/>
      <c r="O538" s="272"/>
      <c r="P538" s="272"/>
      <c r="Q538" s="272"/>
      <c r="R538" s="272"/>
      <c r="S538" s="242"/>
      <c r="U538" s="272"/>
      <c r="V538" s="272"/>
      <c r="W538" s="272"/>
      <c r="X538" s="272"/>
      <c r="Y538" s="242"/>
      <c r="AA538" s="272"/>
      <c r="AB538" s="272"/>
      <c r="AC538" s="272"/>
      <c r="AD538" s="272"/>
      <c r="AE538" s="242"/>
      <c r="AG538" s="272"/>
      <c r="AH538" s="272"/>
      <c r="AI538" s="272"/>
      <c r="AJ538" s="272"/>
      <c r="AK538" s="242"/>
      <c r="AM538" s="272"/>
      <c r="AN538" s="272"/>
      <c r="AO538" s="272"/>
      <c r="AP538" s="272"/>
      <c r="AQ538" s="242"/>
      <c r="AS538" s="272"/>
      <c r="AT538" s="272"/>
      <c r="AU538" s="272"/>
      <c r="AV538" s="272"/>
      <c r="AW538" s="242"/>
      <c r="AY538" s="272"/>
      <c r="AZ538" s="272"/>
      <c r="BA538" s="272"/>
      <c r="BB538" s="272"/>
      <c r="BC538" s="242"/>
      <c r="BE538" s="272"/>
      <c r="BF538" s="272"/>
      <c r="BG538" s="272"/>
      <c r="BH538" s="272"/>
      <c r="BI538" s="242"/>
      <c r="BK538" s="272"/>
      <c r="BL538" s="272"/>
      <c r="BM538" s="272"/>
      <c r="BN538" s="272"/>
      <c r="BO538" s="242"/>
      <c r="BQ538" s="272"/>
      <c r="BR538" s="272"/>
      <c r="BS538" s="272"/>
      <c r="BT538" s="272"/>
      <c r="BU538" s="242"/>
      <c r="BW538" s="272" t="s">
        <v>40</v>
      </c>
      <c r="BX538" s="272" t="s">
        <v>40</v>
      </c>
      <c r="BY538" s="272" t="s">
        <v>40</v>
      </c>
      <c r="BZ538" s="272" t="s">
        <v>40</v>
      </c>
      <c r="CA538" s="242"/>
      <c r="CC538" s="936">
        <v>-0.02</v>
      </c>
      <c r="CD538" s="272" t="s">
        <v>40</v>
      </c>
      <c r="CE538" s="272" t="s">
        <v>40</v>
      </c>
      <c r="CF538" s="272" t="s">
        <v>40</v>
      </c>
      <c r="CG538" s="347"/>
      <c r="CI538" s="272"/>
      <c r="CJ538" s="272"/>
      <c r="CK538" s="272"/>
      <c r="CL538" s="272"/>
      <c r="CM538" s="347"/>
      <c r="CO538" s="272"/>
      <c r="CP538" s="272"/>
      <c r="CQ538" s="272"/>
      <c r="CR538" s="272"/>
      <c r="CS538" s="347"/>
      <c r="CT538" s="345"/>
      <c r="CU538" s="272"/>
      <c r="CV538" s="272"/>
      <c r="CW538" s="272"/>
      <c r="CX538" s="272"/>
      <c r="CY538" s="347"/>
      <c r="CZ538" s="345"/>
      <c r="DA538" s="272"/>
      <c r="DB538" s="272"/>
      <c r="DC538" s="272"/>
      <c r="DD538" s="272"/>
      <c r="DE538" s="347"/>
      <c r="DF538" s="345"/>
      <c r="DG538" s="272"/>
      <c r="DH538" s="272"/>
      <c r="DI538" s="272"/>
      <c r="DJ538" s="272"/>
      <c r="DK538" s="347"/>
      <c r="DL538" s="345"/>
      <c r="DM538" s="272"/>
      <c r="DN538" s="272"/>
      <c r="DO538" s="272"/>
      <c r="DP538" s="272"/>
      <c r="DQ538" s="347"/>
      <c r="DR538" s="345"/>
      <c r="DS538" s="272"/>
      <c r="DT538" s="272"/>
      <c r="DU538" s="272"/>
      <c r="DV538" s="272"/>
      <c r="DW538" s="347"/>
      <c r="DX538" s="345"/>
      <c r="DY538" s="272"/>
      <c r="DZ538" s="272"/>
      <c r="EA538" s="272"/>
      <c r="EB538" s="272"/>
      <c r="EC538" s="347"/>
      <c r="ED538" s="345"/>
      <c r="EE538" s="272"/>
      <c r="EF538" s="272"/>
      <c r="EG538" s="272"/>
      <c r="EH538" s="272"/>
      <c r="EI538" s="347"/>
      <c r="EJ538" s="345"/>
      <c r="EK538" s="272"/>
      <c r="EL538" s="272"/>
      <c r="EM538" s="272"/>
      <c r="EN538" s="272"/>
      <c r="EO538" s="347"/>
      <c r="EP538" s="345"/>
      <c r="EQ538" s="272"/>
      <c r="ER538" s="272"/>
      <c r="ES538" s="272"/>
      <c r="ET538" s="272"/>
      <c r="EU538" s="347"/>
      <c r="EV538" s="345"/>
      <c r="EW538" s="272"/>
      <c r="EX538" s="272"/>
      <c r="EY538" s="272"/>
      <c r="EZ538" s="272"/>
      <c r="FA538" s="347"/>
      <c r="FB538" s="345"/>
      <c r="FC538" s="272"/>
      <c r="FD538" s="272"/>
      <c r="FE538" s="272"/>
      <c r="FF538" s="272"/>
      <c r="FG538" s="347"/>
      <c r="FH538" s="345"/>
      <c r="FI538" s="272"/>
      <c r="FJ538" s="272"/>
      <c r="FK538" s="272"/>
      <c r="FL538" s="272"/>
      <c r="FM538" s="347"/>
      <c r="FQ538"/>
      <c r="FR538"/>
      <c r="FS538"/>
      <c r="FT538"/>
      <c r="FU538"/>
      <c r="FV538"/>
      <c r="GB538" s="24"/>
      <c r="GC538" s="24"/>
      <c r="GD538" s="24"/>
      <c r="GE538" s="24"/>
      <c r="GF538" s="24"/>
      <c r="GG538" s="24"/>
      <c r="GH538" s="24"/>
      <c r="GI538" s="24"/>
      <c r="GJ538"/>
      <c r="GK538"/>
      <c r="GL538"/>
      <c r="GM538"/>
      <c r="GN538"/>
      <c r="GO538"/>
      <c r="GP538"/>
      <c r="GQ538"/>
      <c r="GR538"/>
      <c r="GS538"/>
      <c r="GT538"/>
      <c r="GU538"/>
      <c r="GV538"/>
      <c r="GW538"/>
      <c r="GX538"/>
      <c r="GY538"/>
      <c r="GZ538"/>
      <c r="HA538"/>
      <c r="HB538"/>
      <c r="HC538"/>
      <c r="HD538"/>
      <c r="HE538"/>
      <c r="HF538"/>
      <c r="HG538"/>
      <c r="HH538"/>
      <c r="HI538"/>
      <c r="HJ538"/>
      <c r="HK538"/>
      <c r="HL538"/>
      <c r="HM538"/>
      <c r="HN538"/>
      <c r="HO538"/>
      <c r="HP538"/>
      <c r="HQ538"/>
      <c r="HR538"/>
      <c r="HS538"/>
      <c r="HT538"/>
      <c r="HU538"/>
      <c r="HV538"/>
      <c r="HW538"/>
      <c r="HX538"/>
      <c r="HY538"/>
      <c r="HZ538"/>
      <c r="IA538"/>
      <c r="IB538"/>
      <c r="IC538"/>
      <c r="ID538"/>
      <c r="IE538"/>
      <c r="IF538"/>
      <c r="IG538"/>
      <c r="IH538"/>
      <c r="II538"/>
      <c r="IJ538"/>
      <c r="IK538"/>
      <c r="IL538"/>
      <c r="IM538"/>
      <c r="IN538"/>
      <c r="IO538"/>
      <c r="IP538"/>
      <c r="IQ538"/>
      <c r="IR538"/>
      <c r="IS538"/>
      <c r="IT538"/>
      <c r="IU538"/>
      <c r="IV538"/>
      <c r="IW538"/>
      <c r="IX538"/>
      <c r="IY538"/>
      <c r="IZ538"/>
      <c r="JA538"/>
      <c r="JB538"/>
      <c r="JC538"/>
      <c r="JD538"/>
      <c r="JE538"/>
      <c r="JF538"/>
      <c r="JG538"/>
      <c r="JH538"/>
      <c r="JI538"/>
      <c r="JJ538"/>
      <c r="JK538"/>
      <c r="JL538"/>
      <c r="JM538"/>
      <c r="JN538"/>
    </row>
    <row r="539" spans="1:274" s="27" customFormat="1" ht="12" hidden="1" customHeight="1" outlineLevel="1" x14ac:dyDescent="0.2">
      <c r="A539" s="897" t="s">
        <v>913</v>
      </c>
      <c r="C539" s="242"/>
      <c r="D539" s="242"/>
      <c r="E539" s="242"/>
      <c r="F539" s="242"/>
      <c r="G539" s="242"/>
      <c r="H539" s="242"/>
      <c r="I539" s="242"/>
      <c r="J539" s="242"/>
      <c r="K539" s="242"/>
      <c r="L539" s="242"/>
      <c r="M539" s="242"/>
      <c r="O539" s="272"/>
      <c r="P539" s="272"/>
      <c r="Q539" s="272"/>
      <c r="R539" s="272"/>
      <c r="S539" s="242"/>
      <c r="U539" s="272"/>
      <c r="V539" s="272"/>
      <c r="W539" s="272"/>
      <c r="X539" s="272"/>
      <c r="Y539" s="242"/>
      <c r="AA539" s="272"/>
      <c r="AB539" s="272"/>
      <c r="AC539" s="272"/>
      <c r="AD539" s="272"/>
      <c r="AE539" s="242"/>
      <c r="AG539" s="272"/>
      <c r="AH539" s="272"/>
      <c r="AI539" s="272"/>
      <c r="AJ539" s="272"/>
      <c r="AK539" s="242"/>
      <c r="AM539" s="272"/>
      <c r="AN539" s="272"/>
      <c r="AO539" s="272"/>
      <c r="AP539" s="272"/>
      <c r="AQ539" s="242"/>
      <c r="AS539" s="272"/>
      <c r="AT539" s="272"/>
      <c r="AU539" s="272"/>
      <c r="AV539" s="272"/>
      <c r="AW539" s="242"/>
      <c r="AY539" s="272"/>
      <c r="AZ539" s="272"/>
      <c r="BA539" s="272"/>
      <c r="BB539" s="272"/>
      <c r="BC539" s="242"/>
      <c r="BE539" s="272"/>
      <c r="BF539" s="272"/>
      <c r="BG539" s="272"/>
      <c r="BH539" s="272"/>
      <c r="BI539" s="242"/>
      <c r="BK539" s="272"/>
      <c r="BL539" s="272"/>
      <c r="BM539" s="272"/>
      <c r="BN539" s="272"/>
      <c r="BO539" s="242"/>
      <c r="BQ539" s="936"/>
      <c r="BR539" s="936"/>
      <c r="BS539" s="936"/>
      <c r="BT539" s="936"/>
      <c r="BU539" s="242"/>
      <c r="BW539" s="936">
        <v>3.78E-2</v>
      </c>
      <c r="BX539" s="936">
        <v>3.78E-2</v>
      </c>
      <c r="BY539" s="936">
        <v>3.78E-2</v>
      </c>
      <c r="BZ539" s="936">
        <v>3.78E-2</v>
      </c>
      <c r="CA539" s="242"/>
      <c r="CC539" s="936">
        <f>CG162</f>
        <v>-3.4086918055948212E-2</v>
      </c>
      <c r="CD539" s="936">
        <f>$CG162</f>
        <v>-3.4086918055948212E-2</v>
      </c>
      <c r="CE539" s="936">
        <f>$CG162</f>
        <v>-3.4086918055948212E-2</v>
      </c>
      <c r="CF539" s="936">
        <f>$CG162</f>
        <v>-3.4086918055948212E-2</v>
      </c>
      <c r="CG539" s="605"/>
      <c r="CI539" s="272"/>
      <c r="CJ539" s="272"/>
      <c r="CK539" s="272"/>
      <c r="CL539" s="272"/>
      <c r="CM539" s="605"/>
      <c r="CO539" s="272"/>
      <c r="CP539" s="272"/>
      <c r="CQ539" s="272"/>
      <c r="CR539" s="272"/>
      <c r="CS539" s="605"/>
      <c r="CT539" s="345"/>
      <c r="CU539" s="272"/>
      <c r="CV539" s="272"/>
      <c r="CW539" s="272"/>
      <c r="CX539" s="272"/>
      <c r="CY539" s="605"/>
      <c r="CZ539" s="345"/>
      <c r="DA539" s="272"/>
      <c r="DB539" s="272"/>
      <c r="DC539" s="272"/>
      <c r="DD539" s="272"/>
      <c r="DE539" s="605"/>
      <c r="DF539" s="345"/>
      <c r="DG539" s="272"/>
      <c r="DH539" s="272"/>
      <c r="DI539" s="272"/>
      <c r="DJ539" s="272"/>
      <c r="DK539" s="605"/>
      <c r="DL539" s="345"/>
      <c r="DM539" s="272"/>
      <c r="DN539" s="272"/>
      <c r="DO539" s="272"/>
      <c r="DP539" s="272"/>
      <c r="DQ539" s="605"/>
      <c r="DR539" s="345"/>
      <c r="DS539" s="272"/>
      <c r="DT539" s="272"/>
      <c r="DU539" s="272"/>
      <c r="DV539" s="272"/>
      <c r="DW539" s="605"/>
      <c r="DX539" s="345"/>
      <c r="DY539" s="272"/>
      <c r="DZ539" s="272"/>
      <c r="EA539" s="272"/>
      <c r="EB539" s="272"/>
      <c r="EC539" s="605"/>
      <c r="ED539" s="345"/>
      <c r="EE539" s="272"/>
      <c r="EF539" s="272"/>
      <c r="EG539" s="272"/>
      <c r="EH539" s="272"/>
      <c r="EI539" s="605"/>
      <c r="EJ539" s="345"/>
      <c r="EK539" s="272"/>
      <c r="EL539" s="272"/>
      <c r="EM539" s="272"/>
      <c r="EN539" s="272"/>
      <c r="EO539" s="605"/>
      <c r="EP539" s="345"/>
      <c r="EQ539" s="272"/>
      <c r="ER539" s="272"/>
      <c r="ES539" s="272"/>
      <c r="ET539" s="272"/>
      <c r="EU539" s="605"/>
      <c r="EV539" s="345"/>
      <c r="EW539" s="272"/>
      <c r="EX539" s="272"/>
      <c r="EY539" s="272"/>
      <c r="EZ539" s="272"/>
      <c r="FA539" s="605"/>
      <c r="FB539" s="345"/>
      <c r="FC539" s="272"/>
      <c r="FD539" s="272"/>
      <c r="FE539" s="272"/>
      <c r="FF539" s="272"/>
      <c r="FG539" s="605"/>
      <c r="FH539" s="345"/>
      <c r="FI539" s="272"/>
      <c r="FJ539" s="272"/>
      <c r="FK539" s="272"/>
      <c r="FL539" s="272"/>
      <c r="FM539" s="605"/>
      <c r="FQ539"/>
      <c r="FR539"/>
      <c r="FS539"/>
      <c r="FT539"/>
      <c r="FU539"/>
      <c r="FV539"/>
      <c r="GB539" s="24"/>
      <c r="GC539" s="24"/>
      <c r="GD539" s="24"/>
      <c r="GE539" s="24"/>
      <c r="GF539" s="24"/>
      <c r="GG539" s="24"/>
      <c r="GH539" s="24"/>
      <c r="GI539" s="24"/>
      <c r="GJ539"/>
      <c r="GK539"/>
      <c r="GL539"/>
      <c r="GM539"/>
      <c r="GN539"/>
      <c r="GO539"/>
      <c r="GP539"/>
      <c r="GQ539"/>
      <c r="GR539"/>
      <c r="GS539"/>
      <c r="GT539"/>
      <c r="GU539"/>
      <c r="GV539"/>
      <c r="GW539"/>
      <c r="GX539"/>
      <c r="GY539"/>
      <c r="GZ539"/>
      <c r="HA539"/>
      <c r="HB539"/>
      <c r="HC539"/>
      <c r="HD539"/>
      <c r="HE539"/>
      <c r="HF539"/>
      <c r="HG539"/>
      <c r="HH539"/>
      <c r="HI539"/>
      <c r="HJ539"/>
      <c r="HK539"/>
      <c r="HL539"/>
      <c r="HM539"/>
      <c r="HN539"/>
      <c r="HO539"/>
      <c r="HP539"/>
      <c r="HQ539"/>
      <c r="HR539"/>
      <c r="HS539"/>
      <c r="HT539"/>
      <c r="HU539"/>
      <c r="HV539"/>
      <c r="HW539"/>
      <c r="HX539"/>
      <c r="HY539"/>
      <c r="HZ539"/>
      <c r="IA539"/>
      <c r="IB539"/>
      <c r="IC539"/>
      <c r="ID539"/>
      <c r="IE539"/>
      <c r="IF539"/>
      <c r="IG539"/>
      <c r="IH539"/>
      <c r="II539"/>
      <c r="IJ539"/>
      <c r="IK539"/>
      <c r="IL539"/>
      <c r="IM539"/>
      <c r="IN539"/>
      <c r="IO539"/>
      <c r="IP539"/>
      <c r="IQ539"/>
      <c r="IR539"/>
      <c r="IS539"/>
      <c r="IT539"/>
      <c r="IU539"/>
      <c r="IV539"/>
      <c r="IW539"/>
      <c r="IX539"/>
      <c r="IY539"/>
      <c r="IZ539"/>
      <c r="JA539"/>
      <c r="JB539"/>
      <c r="JC539"/>
      <c r="JD539"/>
      <c r="JE539"/>
      <c r="JF539"/>
      <c r="JG539"/>
      <c r="JH539"/>
      <c r="JI539"/>
      <c r="JJ539"/>
      <c r="JK539"/>
      <c r="JL539"/>
      <c r="JM539"/>
      <c r="JN539"/>
    </row>
    <row r="540" spans="1:274" s="27" customFormat="1" ht="12" hidden="1" customHeight="1" outlineLevel="1" x14ac:dyDescent="0.2">
      <c r="A540" s="342"/>
      <c r="B540" s="20"/>
      <c r="C540" s="34"/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2"/>
      <c r="O540" s="259"/>
      <c r="P540" s="259"/>
      <c r="Q540" s="259"/>
      <c r="R540" s="259"/>
      <c r="S540" s="34"/>
      <c r="T540" s="342"/>
      <c r="U540" s="259"/>
      <c r="V540" s="259"/>
      <c r="W540" s="259"/>
      <c r="X540" s="259"/>
      <c r="Y540" s="34"/>
      <c r="Z540" s="342"/>
      <c r="AA540" s="259"/>
      <c r="AB540" s="259"/>
      <c r="AC540" s="259"/>
      <c r="AD540" s="259"/>
      <c r="AE540" s="34"/>
      <c r="AF540" s="342"/>
      <c r="AG540" s="259"/>
      <c r="AH540" s="259"/>
      <c r="AI540" s="259"/>
      <c r="AJ540" s="259"/>
      <c r="AK540" s="34"/>
      <c r="AL540" s="342"/>
      <c r="AM540" s="259"/>
      <c r="AN540" s="259"/>
      <c r="AO540" s="259"/>
      <c r="AP540" s="259"/>
      <c r="AQ540" s="34"/>
      <c r="AR540" s="342"/>
      <c r="AS540" s="259"/>
      <c r="AT540" s="259"/>
      <c r="AU540" s="259"/>
      <c r="AV540" s="259"/>
      <c r="AW540" s="34"/>
      <c r="AX540" s="342"/>
      <c r="AY540" s="259"/>
      <c r="AZ540" s="259"/>
      <c r="BA540" s="259"/>
      <c r="BB540" s="259"/>
      <c r="BC540" s="34"/>
      <c r="BD540" s="342"/>
      <c r="BE540" s="259"/>
      <c r="BF540" s="259"/>
      <c r="BG540" s="259"/>
      <c r="BH540" s="259"/>
      <c r="BI540" s="34"/>
      <c r="BJ540" s="342"/>
      <c r="BK540" s="259"/>
      <c r="BL540" s="259"/>
      <c r="BM540" s="259"/>
      <c r="BN540" s="259"/>
      <c r="BO540" s="34"/>
      <c r="BP540" s="342"/>
      <c r="BQ540" s="408"/>
      <c r="BR540" s="408"/>
      <c r="BS540" s="408"/>
      <c r="BT540" s="408"/>
      <c r="BU540" s="34"/>
      <c r="BV540" s="342"/>
      <c r="BW540" s="693"/>
      <c r="BX540" s="693"/>
      <c r="BY540" s="693"/>
      <c r="BZ540" s="693"/>
      <c r="CA540" s="34"/>
      <c r="CB540" s="342"/>
      <c r="CC540" s="693"/>
      <c r="CD540" s="259"/>
      <c r="CE540" s="259"/>
      <c r="CF540" s="259"/>
      <c r="CG540" s="34"/>
      <c r="CH540" s="342"/>
      <c r="CI540" s="259"/>
      <c r="CJ540" s="259"/>
      <c r="CK540" s="259"/>
      <c r="CL540" s="259"/>
      <c r="CM540" s="34"/>
      <c r="CN540" s="342"/>
      <c r="CO540" s="259"/>
      <c r="CP540" s="259"/>
      <c r="CQ540" s="259"/>
      <c r="CR540" s="259"/>
      <c r="CS540" s="34"/>
      <c r="CT540" s="475"/>
      <c r="CU540" s="259"/>
      <c r="CV540" s="259"/>
      <c r="CW540" s="259"/>
      <c r="CX540" s="259"/>
      <c r="CY540" s="34"/>
      <c r="CZ540" s="475"/>
      <c r="DA540" s="259"/>
      <c r="DB540" s="259"/>
      <c r="DC540" s="259"/>
      <c r="DD540" s="259"/>
      <c r="DE540" s="91"/>
      <c r="DF540" s="475"/>
      <c r="DG540" s="259"/>
      <c r="DH540" s="259"/>
      <c r="DI540" s="259"/>
      <c r="DJ540" s="259"/>
      <c r="DK540" s="91"/>
      <c r="DL540" s="475"/>
      <c r="DM540" s="259"/>
      <c r="DN540" s="259"/>
      <c r="DO540" s="259"/>
      <c r="DP540" s="259"/>
      <c r="DQ540" s="91"/>
      <c r="DR540" s="475"/>
      <c r="DS540" s="259"/>
      <c r="DT540" s="259"/>
      <c r="DU540" s="259"/>
      <c r="DV540" s="259"/>
      <c r="DW540" s="91"/>
      <c r="DX540" s="475"/>
      <c r="DY540" s="259"/>
      <c r="DZ540" s="259"/>
      <c r="EA540" s="259"/>
      <c r="EB540" s="259"/>
      <c r="EC540" s="91"/>
      <c r="ED540" s="475"/>
      <c r="EE540" s="259"/>
      <c r="EF540" s="259"/>
      <c r="EG540" s="259"/>
      <c r="EH540" s="259"/>
      <c r="EI540" s="91"/>
      <c r="EJ540" s="475"/>
      <c r="EK540" s="259"/>
      <c r="EL540" s="259"/>
      <c r="EM540" s="259"/>
      <c r="EN540" s="259"/>
      <c r="EO540" s="91"/>
      <c r="EP540" s="475"/>
      <c r="EQ540" s="259"/>
      <c r="ER540" s="259"/>
      <c r="ES540" s="259"/>
      <c r="ET540" s="259"/>
      <c r="EU540" s="91"/>
      <c r="EV540" s="475"/>
      <c r="EW540" s="259"/>
      <c r="EX540" s="259"/>
      <c r="EY540" s="259"/>
      <c r="EZ540" s="259"/>
      <c r="FA540" s="91"/>
      <c r="FB540" s="475"/>
      <c r="FC540" s="259"/>
      <c r="FD540" s="259"/>
      <c r="FE540" s="259"/>
      <c r="FF540" s="259"/>
      <c r="FG540" s="91"/>
      <c r="FH540" s="475"/>
      <c r="FI540" s="259"/>
      <c r="FJ540" s="259"/>
      <c r="FK540" s="259"/>
      <c r="FL540" s="259"/>
      <c r="FM540" s="91"/>
      <c r="FQ540"/>
      <c r="FR540"/>
      <c r="FS540"/>
      <c r="FT540"/>
      <c r="FU540"/>
      <c r="FV540"/>
      <c r="GB540" s="24"/>
      <c r="GC540" s="24"/>
      <c r="GD540" s="24"/>
      <c r="GE540" s="24"/>
      <c r="GF540" s="24"/>
      <c r="GG540" s="24"/>
      <c r="GH540" s="24"/>
      <c r="GI540" s="24"/>
      <c r="GJ540"/>
      <c r="GK540"/>
      <c r="GL540"/>
      <c r="GM540"/>
      <c r="GN540"/>
      <c r="GO540"/>
      <c r="GP540"/>
      <c r="GQ540"/>
      <c r="GR540"/>
      <c r="GS540"/>
      <c r="GT540"/>
      <c r="GU540"/>
      <c r="GV540"/>
      <c r="GW540"/>
      <c r="GX540"/>
      <c r="GY540"/>
      <c r="GZ540"/>
      <c r="HA540"/>
      <c r="HB540"/>
      <c r="HC540"/>
      <c r="HD540"/>
      <c r="HE540"/>
      <c r="HF540"/>
      <c r="HG540"/>
      <c r="HH540"/>
      <c r="HI540"/>
      <c r="HJ540"/>
      <c r="HK540"/>
      <c r="HL540"/>
      <c r="HM540"/>
      <c r="HN540"/>
      <c r="HO540"/>
      <c r="HP540"/>
      <c r="HQ540"/>
      <c r="HR540"/>
      <c r="HS540"/>
      <c r="HT540"/>
      <c r="HU540"/>
      <c r="HV540"/>
      <c r="HW540"/>
      <c r="HX540"/>
      <c r="HY540"/>
      <c r="HZ540"/>
      <c r="IA540"/>
      <c r="IB540"/>
      <c r="IC540"/>
      <c r="ID540"/>
      <c r="IE540"/>
      <c r="IF540"/>
      <c r="IG540"/>
      <c r="IH540"/>
      <c r="II540"/>
      <c r="IJ540"/>
      <c r="IK540"/>
      <c r="IL540"/>
      <c r="IM540"/>
      <c r="IN540"/>
      <c r="IO540"/>
      <c r="IP540"/>
      <c r="IQ540"/>
      <c r="IR540"/>
      <c r="IS540"/>
      <c r="IT540"/>
      <c r="IU540"/>
      <c r="IV540"/>
      <c r="IW540"/>
      <c r="IX540"/>
      <c r="IY540"/>
      <c r="IZ540"/>
      <c r="JA540"/>
      <c r="JB540"/>
      <c r="JC540"/>
      <c r="JD540"/>
      <c r="JE540"/>
      <c r="JF540"/>
      <c r="JG540"/>
      <c r="JH540"/>
      <c r="JI540"/>
      <c r="JJ540"/>
      <c r="JK540"/>
      <c r="JL540"/>
      <c r="JM540"/>
      <c r="JN540"/>
    </row>
    <row r="541" spans="1:274" s="27" customFormat="1" hidden="1" outlineLevel="1" x14ac:dyDescent="0.2">
      <c r="A541" s="342"/>
      <c r="B541" s="20"/>
      <c r="C541" s="34"/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2"/>
      <c r="O541" s="259"/>
      <c r="P541" s="259"/>
      <c r="Q541" s="259"/>
      <c r="R541" s="259"/>
      <c r="S541" s="34"/>
      <c r="T541" s="342"/>
      <c r="U541" s="259"/>
      <c r="V541" s="259"/>
      <c r="W541" s="259"/>
      <c r="X541" s="259"/>
      <c r="Y541" s="34"/>
      <c r="Z541" s="342"/>
      <c r="AA541" s="259"/>
      <c r="AB541" s="259"/>
      <c r="AC541" s="259"/>
      <c r="AD541" s="259"/>
      <c r="AE541" s="34"/>
      <c r="AF541" s="342"/>
      <c r="AG541" s="259"/>
      <c r="AH541" s="259"/>
      <c r="AI541" s="259"/>
      <c r="AJ541" s="259"/>
      <c r="AK541" s="34"/>
      <c r="AL541" s="342"/>
      <c r="AM541" s="259"/>
      <c r="AN541" s="259"/>
      <c r="AO541" s="259"/>
      <c r="AP541" s="259"/>
      <c r="AQ541" s="34"/>
      <c r="AR541" s="342"/>
      <c r="AS541" s="259"/>
      <c r="AT541" s="259"/>
      <c r="AU541" s="259"/>
      <c r="AV541" s="259"/>
      <c r="AW541" s="34"/>
      <c r="AX541" s="342"/>
      <c r="AY541" s="259"/>
      <c r="AZ541" s="259"/>
      <c r="BA541" s="259"/>
      <c r="BB541" s="259"/>
      <c r="BC541" s="34"/>
      <c r="BD541" s="342"/>
      <c r="BE541" s="259"/>
      <c r="BF541" s="259"/>
      <c r="BG541" s="259"/>
      <c r="BH541" s="259"/>
      <c r="BI541" s="34"/>
      <c r="BJ541" s="342"/>
      <c r="BK541" s="259"/>
      <c r="BL541" s="259"/>
      <c r="BM541" s="259"/>
      <c r="BN541" s="259"/>
      <c r="BO541" s="34"/>
      <c r="BP541" s="342"/>
      <c r="BQ541" s="694"/>
      <c r="BR541" s="694"/>
      <c r="BS541" s="694"/>
      <c r="BT541" s="694"/>
      <c r="BU541" s="34"/>
      <c r="BV541" s="342"/>
      <c r="BW541" s="694"/>
      <c r="BX541" s="694"/>
      <c r="BY541" s="694"/>
      <c r="BZ541" s="694"/>
      <c r="CA541" s="34"/>
      <c r="CB541" s="342"/>
      <c r="CC541" s="259"/>
      <c r="CD541" s="259"/>
      <c r="CE541" s="259"/>
      <c r="CF541" s="259"/>
      <c r="CG541" s="34"/>
      <c r="CH541" s="342"/>
      <c r="CI541" s="259"/>
      <c r="CJ541" s="259"/>
      <c r="CK541" s="259"/>
      <c r="CL541" s="259"/>
      <c r="CM541" s="34"/>
      <c r="CN541" s="342"/>
      <c r="CO541" s="259"/>
      <c r="CP541" s="259"/>
      <c r="CQ541" s="259"/>
      <c r="CR541" s="259"/>
      <c r="CS541" s="34"/>
      <c r="CT541" s="475"/>
      <c r="CU541" s="259"/>
      <c r="CV541" s="259"/>
      <c r="CW541" s="259"/>
      <c r="CX541" s="259"/>
      <c r="CY541" s="34"/>
      <c r="CZ541" s="475"/>
      <c r="DA541" s="259"/>
      <c r="DB541" s="259"/>
      <c r="DC541" s="259"/>
      <c r="DD541" s="259"/>
      <c r="DE541" s="91"/>
      <c r="DF541" s="475"/>
      <c r="DG541" s="259"/>
      <c r="DH541" s="259"/>
      <c r="DI541" s="259"/>
      <c r="DJ541" s="259"/>
      <c r="DK541" s="91"/>
      <c r="DL541" s="475"/>
      <c r="DM541" s="259"/>
      <c r="DN541" s="259"/>
      <c r="DO541" s="259"/>
      <c r="DP541" s="259"/>
      <c r="DQ541" s="91"/>
      <c r="DR541" s="475"/>
      <c r="DS541" s="259"/>
      <c r="DT541" s="259"/>
      <c r="DU541" s="259"/>
      <c r="DV541" s="259"/>
      <c r="DW541" s="91"/>
      <c r="DX541" s="475"/>
      <c r="DY541" s="259"/>
      <c r="DZ541" s="259"/>
      <c r="EA541" s="259"/>
      <c r="EB541" s="259"/>
      <c r="EC541" s="91"/>
      <c r="ED541" s="475"/>
      <c r="EE541" s="259"/>
      <c r="EF541" s="259"/>
      <c r="EG541" s="259"/>
      <c r="EH541" s="259"/>
      <c r="EI541" s="91"/>
      <c r="EJ541" s="475"/>
      <c r="EK541" s="259"/>
      <c r="EL541" s="259"/>
      <c r="EM541" s="259"/>
      <c r="EN541" s="259"/>
      <c r="EO541" s="91"/>
      <c r="EP541" s="475"/>
      <c r="EQ541" s="259"/>
      <c r="ER541" s="259"/>
      <c r="ES541" s="259"/>
      <c r="ET541" s="259"/>
      <c r="EU541" s="91"/>
      <c r="EV541" s="475"/>
      <c r="EW541" s="259"/>
      <c r="EX541" s="259"/>
      <c r="EY541" s="259"/>
      <c r="EZ541" s="259"/>
      <c r="FA541" s="91"/>
      <c r="FB541" s="475"/>
      <c r="FC541" s="259"/>
      <c r="FD541" s="259"/>
      <c r="FE541" s="259"/>
      <c r="FF541" s="259"/>
      <c r="FG541" s="91"/>
      <c r="FH541" s="475"/>
      <c r="FI541" s="259"/>
      <c r="FJ541" s="259"/>
      <c r="FK541" s="259"/>
      <c r="FL541" s="259"/>
      <c r="FM541" s="91"/>
      <c r="FQ541"/>
      <c r="FR541"/>
      <c r="FS541"/>
      <c r="FT541"/>
      <c r="FU541"/>
      <c r="FV541"/>
      <c r="GB541" s="24"/>
      <c r="GC541" s="24"/>
      <c r="GD541" s="24"/>
      <c r="GE541" s="24"/>
      <c r="GF541" s="24"/>
      <c r="GG541" s="24"/>
      <c r="GH541" s="24"/>
      <c r="GI541" s="24"/>
      <c r="GJ541"/>
      <c r="GK541"/>
      <c r="GL541"/>
      <c r="GM541"/>
      <c r="GN541"/>
      <c r="GO541"/>
      <c r="GP541"/>
      <c r="GQ541"/>
      <c r="GR541"/>
      <c r="GS541"/>
      <c r="GT541"/>
      <c r="GU541"/>
      <c r="GV541"/>
      <c r="GW541"/>
      <c r="GX541"/>
      <c r="GY541"/>
      <c r="GZ541"/>
      <c r="HA541"/>
      <c r="HB541"/>
      <c r="HC541"/>
      <c r="HD541"/>
      <c r="HE541"/>
      <c r="HF541"/>
      <c r="HG541"/>
      <c r="HH541"/>
      <c r="HI541"/>
      <c r="HJ541"/>
      <c r="HK541"/>
      <c r="HL541"/>
      <c r="HM541"/>
      <c r="HN541"/>
      <c r="HO541"/>
      <c r="HP541"/>
      <c r="HQ541"/>
      <c r="HR541"/>
      <c r="HS541"/>
      <c r="HT541"/>
      <c r="HU541"/>
      <c r="HV541"/>
      <c r="HW541"/>
      <c r="HX541"/>
      <c r="HY541"/>
      <c r="HZ541"/>
      <c r="IA541"/>
      <c r="IB541"/>
      <c r="IC541"/>
      <c r="ID541"/>
      <c r="IE541"/>
      <c r="IF541"/>
      <c r="IG541"/>
      <c r="IH541"/>
      <c r="II541"/>
      <c r="IJ541"/>
      <c r="IK541"/>
      <c r="IL541"/>
      <c r="IM541"/>
      <c r="IN541"/>
      <c r="IO541"/>
      <c r="IP541"/>
      <c r="IQ541"/>
      <c r="IR541"/>
      <c r="IS541"/>
      <c r="IT541"/>
      <c r="IU541"/>
      <c r="IV541"/>
      <c r="IW541"/>
      <c r="IX541"/>
      <c r="IY541"/>
      <c r="IZ541"/>
      <c r="JA541"/>
      <c r="JB541"/>
      <c r="JC541"/>
      <c r="JD541"/>
      <c r="JE541"/>
      <c r="JF541"/>
      <c r="JG541"/>
      <c r="JH541"/>
      <c r="JI541"/>
      <c r="JJ541"/>
      <c r="JK541"/>
      <c r="JL541"/>
      <c r="JM541"/>
      <c r="JN541"/>
    </row>
    <row r="542" spans="1:274" s="27" customFormat="1" hidden="1" outlineLevel="1" x14ac:dyDescent="0.2">
      <c r="A542" s="342"/>
      <c r="B542" s="20"/>
      <c r="C542" s="34"/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2"/>
      <c r="O542" s="259"/>
      <c r="P542" s="259"/>
      <c r="Q542" s="259"/>
      <c r="R542" s="259"/>
      <c r="S542" s="34"/>
      <c r="T542" s="342"/>
      <c r="U542" s="259"/>
      <c r="V542" s="259"/>
      <c r="W542" s="259"/>
      <c r="X542" s="259"/>
      <c r="Y542" s="34"/>
      <c r="Z542" s="342"/>
      <c r="AA542" s="259"/>
      <c r="AB542" s="259"/>
      <c r="AC542" s="259"/>
      <c r="AD542" s="259"/>
      <c r="AE542" s="34"/>
      <c r="AF542" s="342"/>
      <c r="AG542" s="259"/>
      <c r="AH542" s="259"/>
      <c r="AI542" s="259"/>
      <c r="AJ542" s="259"/>
      <c r="AK542" s="34"/>
      <c r="AL542" s="342"/>
      <c r="AM542" s="259"/>
      <c r="AN542" s="259"/>
      <c r="AO542" s="259"/>
      <c r="AP542" s="259"/>
      <c r="AQ542" s="34"/>
      <c r="AR542" s="342"/>
      <c r="AS542" s="259"/>
      <c r="AT542" s="259"/>
      <c r="AU542" s="259"/>
      <c r="AV542" s="259"/>
      <c r="AW542" s="34"/>
      <c r="AX542" s="342"/>
      <c r="AY542" s="259"/>
      <c r="AZ542" s="259"/>
      <c r="BA542" s="259"/>
      <c r="BB542" s="259"/>
      <c r="BC542" s="34"/>
      <c r="BD542" s="342"/>
      <c r="BE542" s="259"/>
      <c r="BF542" s="259"/>
      <c r="BG542" s="259"/>
      <c r="BH542" s="259"/>
      <c r="BI542" s="34"/>
      <c r="BJ542" s="342"/>
      <c r="BK542" s="259"/>
      <c r="BL542" s="259"/>
      <c r="BM542" s="259"/>
      <c r="BN542" s="259"/>
      <c r="BO542" s="34"/>
      <c r="BP542" s="342"/>
      <c r="BQ542" s="694"/>
      <c r="BR542" s="694"/>
      <c r="BS542" s="694"/>
      <c r="BT542" s="694"/>
      <c r="BU542" s="34"/>
      <c r="BV542" s="342"/>
      <c r="BW542" s="694"/>
      <c r="BX542" s="694"/>
      <c r="BY542" s="694"/>
      <c r="BZ542" s="694"/>
      <c r="CA542" s="34"/>
      <c r="CB542" s="342"/>
      <c r="CC542" s="259"/>
      <c r="CD542" s="259"/>
      <c r="CE542" s="259"/>
      <c r="CF542" s="259"/>
      <c r="CG542" s="34"/>
      <c r="CH542" s="342"/>
      <c r="CI542" s="259"/>
      <c r="CJ542" s="259"/>
      <c r="CK542" s="259"/>
      <c r="CL542" s="259"/>
      <c r="CM542" s="34"/>
      <c r="CN542" s="342"/>
      <c r="CO542" s="259"/>
      <c r="CP542" s="259"/>
      <c r="CQ542" s="259"/>
      <c r="CR542" s="259"/>
      <c r="CS542" s="34"/>
      <c r="CT542" s="475"/>
      <c r="CU542" s="259"/>
      <c r="CV542" s="259"/>
      <c r="CW542" s="259"/>
      <c r="CX542" s="259"/>
      <c r="CY542" s="34"/>
      <c r="CZ542" s="475"/>
      <c r="DA542" s="259"/>
      <c r="DB542" s="259"/>
      <c r="DC542" s="259"/>
      <c r="DD542" s="259"/>
      <c r="DE542" s="91"/>
      <c r="DF542" s="475"/>
      <c r="DG542" s="259"/>
      <c r="DH542" s="259"/>
      <c r="DI542" s="259"/>
      <c r="DJ542" s="259"/>
      <c r="DK542" s="91"/>
      <c r="DL542" s="475"/>
      <c r="DM542" s="259"/>
      <c r="DN542" s="259"/>
      <c r="DO542" s="259"/>
      <c r="DP542" s="259"/>
      <c r="DQ542" s="91"/>
      <c r="DR542" s="475"/>
      <c r="DS542" s="259"/>
      <c r="DT542" s="259"/>
      <c r="DU542" s="259"/>
      <c r="DV542" s="259"/>
      <c r="DW542" s="91"/>
      <c r="DX542" s="475"/>
      <c r="DY542" s="259"/>
      <c r="DZ542" s="259"/>
      <c r="EA542" s="259"/>
      <c r="EB542" s="259"/>
      <c r="EC542" s="91"/>
      <c r="ED542" s="475"/>
      <c r="EE542" s="259"/>
      <c r="EF542" s="259"/>
      <c r="EG542" s="259"/>
      <c r="EH542" s="259"/>
      <c r="EI542" s="91"/>
      <c r="EJ542" s="475"/>
      <c r="EK542" s="259"/>
      <c r="EL542" s="259"/>
      <c r="EM542" s="259"/>
      <c r="EN542" s="259"/>
      <c r="EO542" s="91"/>
      <c r="EP542" s="475"/>
      <c r="EQ542" s="259"/>
      <c r="ER542" s="259"/>
      <c r="ES542" s="259"/>
      <c r="ET542" s="259"/>
      <c r="EU542" s="91"/>
      <c r="EV542" s="475"/>
      <c r="EW542" s="259"/>
      <c r="EX542" s="259"/>
      <c r="EY542" s="259"/>
      <c r="EZ542" s="259"/>
      <c r="FA542" s="91"/>
      <c r="FB542" s="475"/>
      <c r="FC542" s="259"/>
      <c r="FD542" s="259"/>
      <c r="FE542" s="259"/>
      <c r="FF542" s="259"/>
      <c r="FG542" s="91"/>
      <c r="FH542" s="475"/>
      <c r="FI542" s="259"/>
      <c r="FJ542" s="259"/>
      <c r="FK542" s="259"/>
      <c r="FL542" s="259"/>
      <c r="FM542" s="91"/>
      <c r="FQ542"/>
      <c r="FR542"/>
      <c r="FS542"/>
      <c r="FT542"/>
      <c r="FU542"/>
      <c r="FV542"/>
      <c r="GB542" s="24"/>
      <c r="GC542" s="24"/>
      <c r="GD542" s="24"/>
      <c r="GE542" s="24"/>
      <c r="GF542" s="24"/>
      <c r="GG542" s="24"/>
      <c r="GH542" s="24"/>
      <c r="GI542" s="24"/>
      <c r="GJ542"/>
      <c r="GK542"/>
      <c r="GL542"/>
      <c r="GM542"/>
      <c r="GN542"/>
      <c r="GO542"/>
      <c r="GP542"/>
      <c r="GQ542"/>
      <c r="GR542"/>
      <c r="GS542"/>
      <c r="GT542"/>
      <c r="GU542"/>
      <c r="GV542"/>
      <c r="GW542"/>
      <c r="GX542"/>
      <c r="GY542"/>
      <c r="GZ542"/>
      <c r="HA542"/>
      <c r="HB542"/>
      <c r="HC542"/>
      <c r="HD542"/>
      <c r="HE542"/>
      <c r="HF542"/>
      <c r="HG542"/>
      <c r="HH542"/>
      <c r="HI542"/>
      <c r="HJ542"/>
      <c r="HK542"/>
      <c r="HL542"/>
      <c r="HM542"/>
      <c r="HN542"/>
      <c r="HO542"/>
      <c r="HP542"/>
      <c r="HQ542"/>
      <c r="HR542"/>
      <c r="HS542"/>
      <c r="HT542"/>
      <c r="HU542"/>
      <c r="HV542"/>
      <c r="HW542"/>
      <c r="HX542"/>
      <c r="HY542"/>
      <c r="HZ542"/>
      <c r="IA542"/>
      <c r="IB542"/>
      <c r="IC542"/>
      <c r="ID542"/>
      <c r="IE542"/>
      <c r="IF542"/>
      <c r="IG542"/>
      <c r="IH542"/>
      <c r="II542"/>
      <c r="IJ542"/>
      <c r="IK542"/>
      <c r="IL542"/>
      <c r="IM542"/>
      <c r="IN542"/>
      <c r="IO542"/>
      <c r="IP542"/>
      <c r="IQ542"/>
      <c r="IR542"/>
      <c r="IS542"/>
      <c r="IT542"/>
      <c r="IU542"/>
      <c r="IV542"/>
      <c r="IW542"/>
      <c r="IX542"/>
      <c r="IY542"/>
      <c r="IZ542"/>
      <c r="JA542"/>
      <c r="JB542"/>
      <c r="JC542"/>
      <c r="JD542"/>
      <c r="JE542"/>
      <c r="JF542"/>
      <c r="JG542"/>
      <c r="JH542"/>
      <c r="JI542"/>
      <c r="JJ542"/>
      <c r="JK542"/>
      <c r="JL542"/>
      <c r="JM542"/>
      <c r="JN542"/>
    </row>
    <row r="543" spans="1:274" s="27" customFormat="1" collapsed="1" x14ac:dyDescent="0.2">
      <c r="A543" s="342"/>
      <c r="B543" s="20"/>
      <c r="C543" s="34"/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2"/>
      <c r="O543" s="259"/>
      <c r="P543" s="259"/>
      <c r="Q543" s="259"/>
      <c r="R543" s="259"/>
      <c r="S543" s="34"/>
      <c r="T543" s="342"/>
      <c r="U543" s="259"/>
      <c r="V543" s="259"/>
      <c r="W543" s="259"/>
      <c r="X543" s="259"/>
      <c r="Y543" s="34"/>
      <c r="Z543" s="342"/>
      <c r="AA543" s="259"/>
      <c r="AB543" s="259"/>
      <c r="AC543" s="259"/>
      <c r="AD543" s="259"/>
      <c r="AE543" s="34"/>
      <c r="AF543" s="342"/>
      <c r="AG543" s="259"/>
      <c r="AH543" s="259"/>
      <c r="AI543" s="259"/>
      <c r="AJ543" s="259"/>
      <c r="AK543" s="34"/>
      <c r="AL543" s="342"/>
      <c r="AM543" s="259"/>
      <c r="AN543" s="259"/>
      <c r="AO543" s="259"/>
      <c r="AP543" s="259"/>
      <c r="AQ543" s="34"/>
      <c r="AR543" s="342"/>
      <c r="AS543" s="259"/>
      <c r="AT543" s="259"/>
      <c r="AU543" s="259"/>
      <c r="AV543" s="259"/>
      <c r="AW543" s="34"/>
      <c r="AX543" s="342"/>
      <c r="AY543" s="259"/>
      <c r="AZ543" s="259"/>
      <c r="BA543" s="259"/>
      <c r="BB543" s="259"/>
      <c r="BC543" s="34"/>
      <c r="BD543" s="342"/>
      <c r="BE543" s="259"/>
      <c r="BF543" s="259"/>
      <c r="BG543" s="259"/>
      <c r="BH543" s="259"/>
      <c r="BI543" s="34"/>
      <c r="BJ543" s="342"/>
      <c r="BK543" s="259"/>
      <c r="BL543" s="259"/>
      <c r="BM543" s="259"/>
      <c r="BN543" s="259"/>
      <c r="BO543" s="34"/>
      <c r="BP543" s="342"/>
      <c r="BQ543" s="259"/>
      <c r="BR543" s="259"/>
      <c r="BS543" s="259"/>
      <c r="BT543" s="259"/>
      <c r="BU543" s="34"/>
      <c r="BV543" s="342"/>
      <c r="BW543" s="259"/>
      <c r="BX543" s="259"/>
      <c r="BY543" s="259"/>
      <c r="BZ543" s="259"/>
      <c r="CA543" s="34"/>
      <c r="CB543" s="342"/>
      <c r="CC543" s="259"/>
      <c r="CD543" s="259"/>
      <c r="CE543" s="259"/>
      <c r="CF543" s="259"/>
      <c r="CG543" s="34"/>
      <c r="CH543" s="342"/>
      <c r="CI543" s="259"/>
      <c r="CJ543" s="259"/>
      <c r="CK543" s="259"/>
      <c r="CL543" s="259"/>
      <c r="CM543" s="34"/>
      <c r="CN543" s="342"/>
      <c r="CO543" s="259"/>
      <c r="CP543" s="259"/>
      <c r="CQ543" s="259"/>
      <c r="CR543" s="259"/>
      <c r="CS543" s="34"/>
      <c r="CT543" s="475"/>
      <c r="CU543" s="259"/>
      <c r="CV543" s="259"/>
      <c r="CW543" s="259"/>
      <c r="CX543" s="259"/>
      <c r="CY543" s="34"/>
      <c r="CZ543" s="475"/>
      <c r="DA543" s="259"/>
      <c r="DB543" s="259"/>
      <c r="DC543" s="259"/>
      <c r="DD543" s="259"/>
      <c r="DE543" s="91"/>
      <c r="DF543" s="475"/>
      <c r="DG543" s="259"/>
      <c r="DH543" s="259"/>
      <c r="DI543" s="259"/>
      <c r="DJ543" s="259"/>
      <c r="DK543" s="91"/>
      <c r="DL543" s="475"/>
      <c r="DM543" s="259"/>
      <c r="DN543" s="259"/>
      <c r="DO543" s="259"/>
      <c r="DP543" s="259"/>
      <c r="DQ543" s="91"/>
      <c r="DR543" s="475"/>
      <c r="DS543" s="259"/>
      <c r="DT543" s="259"/>
      <c r="DU543" s="259"/>
      <c r="DV543" s="259"/>
      <c r="DW543" s="91"/>
      <c r="DX543" s="475"/>
      <c r="DY543" s="259"/>
      <c r="DZ543" s="259"/>
      <c r="EA543" s="259"/>
      <c r="EB543" s="259"/>
      <c r="EC543" s="91"/>
      <c r="ED543" s="475"/>
      <c r="EE543" s="259"/>
      <c r="EF543" s="259"/>
      <c r="EG543" s="259"/>
      <c r="EH543" s="259"/>
      <c r="EI543" s="91"/>
      <c r="EJ543" s="475"/>
      <c r="EK543" s="259"/>
      <c r="EL543" s="259"/>
      <c r="EM543" s="259"/>
      <c r="EN543" s="259"/>
      <c r="EO543" s="91"/>
      <c r="EP543" s="475"/>
      <c r="EQ543" s="259"/>
      <c r="ER543" s="259"/>
      <c r="ES543" s="259"/>
      <c r="ET543" s="259"/>
      <c r="EU543" s="91"/>
      <c r="EV543" s="475"/>
      <c r="EW543" s="259"/>
      <c r="EX543" s="259"/>
      <c r="EY543" s="259"/>
      <c r="EZ543" s="259"/>
      <c r="FA543" s="91"/>
      <c r="FB543" s="475"/>
      <c r="FC543" s="259"/>
      <c r="FD543" s="259"/>
      <c r="FE543" s="259"/>
      <c r="FF543" s="259"/>
      <c r="FG543" s="91"/>
      <c r="FH543" s="475"/>
      <c r="FI543" s="259"/>
      <c r="FJ543" s="259"/>
      <c r="FK543" s="259"/>
      <c r="FL543" s="259"/>
      <c r="FM543" s="91"/>
      <c r="FQ543"/>
      <c r="FR543"/>
      <c r="FS543"/>
      <c r="FT543"/>
      <c r="FU543"/>
      <c r="FV543"/>
      <c r="GB543" s="24"/>
      <c r="GC543" s="24"/>
      <c r="GD543" s="24"/>
      <c r="GE543" s="24"/>
      <c r="GF543" s="24"/>
      <c r="GG543" s="24"/>
      <c r="GH543" s="24"/>
      <c r="GI543" s="24"/>
      <c r="GJ543"/>
      <c r="GK543"/>
      <c r="GL543"/>
      <c r="GM543"/>
      <c r="GN543"/>
      <c r="GO543"/>
      <c r="GP543"/>
      <c r="GQ543"/>
      <c r="GR543"/>
      <c r="GS543"/>
      <c r="GT543"/>
      <c r="GU543"/>
      <c r="GV543"/>
      <c r="GW543"/>
      <c r="GX543"/>
      <c r="GY543"/>
      <c r="GZ543"/>
      <c r="HA543"/>
      <c r="HB543"/>
      <c r="HC543"/>
      <c r="HD543"/>
      <c r="HE543"/>
      <c r="HF543"/>
      <c r="HG543"/>
      <c r="HH543"/>
      <c r="HI543"/>
      <c r="HJ543"/>
      <c r="HK543"/>
      <c r="HL543"/>
      <c r="HM543"/>
      <c r="HN543"/>
      <c r="HO543"/>
      <c r="HP543"/>
      <c r="HQ543"/>
      <c r="HR543"/>
      <c r="HS543"/>
      <c r="HT543"/>
      <c r="HU543"/>
      <c r="HV543"/>
      <c r="HW543"/>
      <c r="HX543"/>
      <c r="HY543"/>
      <c r="HZ543"/>
      <c r="IA543"/>
      <c r="IB543"/>
      <c r="IC543"/>
      <c r="ID543"/>
      <c r="IE543"/>
      <c r="IF543"/>
      <c r="IG543"/>
      <c r="IH543"/>
      <c r="II543"/>
      <c r="IJ543"/>
      <c r="IK543"/>
      <c r="IL543"/>
      <c r="IM543"/>
      <c r="IN543"/>
      <c r="IO543"/>
      <c r="IP543"/>
      <c r="IQ543"/>
      <c r="IR543"/>
      <c r="IS543"/>
      <c r="IT543"/>
      <c r="IU543"/>
      <c r="IV543"/>
      <c r="IW543"/>
      <c r="IX543"/>
      <c r="IY543"/>
      <c r="IZ543"/>
      <c r="JA543"/>
      <c r="JB543"/>
      <c r="JC543"/>
      <c r="JD543"/>
      <c r="JE543"/>
      <c r="JF543"/>
      <c r="JG543"/>
      <c r="JH543"/>
      <c r="JI543"/>
      <c r="JJ543"/>
      <c r="JK543"/>
      <c r="JL543"/>
      <c r="JM543"/>
      <c r="JN543"/>
    </row>
    <row r="544" spans="1:274" s="27" customFormat="1" x14ac:dyDescent="0.2">
      <c r="A544" s="342"/>
      <c r="B544" s="20"/>
      <c r="C544" s="342"/>
      <c r="D544" s="342"/>
      <c r="E544" s="342"/>
      <c r="F544" s="342"/>
      <c r="G544" s="342"/>
      <c r="H544" s="342"/>
      <c r="I544" s="342"/>
      <c r="J544" s="342"/>
      <c r="K544" s="342"/>
      <c r="L544" s="342"/>
      <c r="M544" s="342"/>
      <c r="N544" s="342"/>
      <c r="O544" s="342"/>
      <c r="P544" s="342"/>
      <c r="Q544" s="342"/>
      <c r="R544" s="342"/>
      <c r="S544" s="342"/>
      <c r="T544" s="342"/>
      <c r="U544" s="342"/>
      <c r="V544" s="342"/>
      <c r="W544" s="342"/>
      <c r="X544" s="342"/>
      <c r="Y544" s="342"/>
      <c r="Z544" s="342"/>
      <c r="AA544" s="342"/>
      <c r="AB544" s="342"/>
      <c r="AC544" s="342"/>
      <c r="AD544" s="342"/>
      <c r="AE544" s="342"/>
      <c r="AF544" s="342"/>
      <c r="AG544" s="342"/>
      <c r="AH544" s="342"/>
      <c r="AI544" s="342"/>
      <c r="AJ544" s="342"/>
      <c r="AK544" s="342"/>
      <c r="AL544" s="342"/>
      <c r="AM544" s="342"/>
      <c r="AN544" s="342"/>
      <c r="AO544" s="342"/>
      <c r="AP544" s="342"/>
      <c r="AQ544" s="342"/>
      <c r="AR544" s="342"/>
      <c r="AS544" s="342"/>
      <c r="AT544" s="342"/>
      <c r="AU544" s="342"/>
      <c r="AV544" s="342"/>
      <c r="AW544" s="342"/>
      <c r="AX544" s="342"/>
      <c r="AY544" s="342"/>
      <c r="AZ544" s="342"/>
      <c r="BA544" s="342"/>
      <c r="BB544" s="342"/>
      <c r="BC544" s="342"/>
      <c r="BD544" s="342"/>
      <c r="BE544" s="342"/>
      <c r="BF544" s="342"/>
      <c r="BG544" s="342"/>
      <c r="BH544" s="342"/>
      <c r="BI544" s="342"/>
      <c r="BJ544" s="342"/>
      <c r="BK544" s="342"/>
      <c r="BL544" s="342"/>
      <c r="BM544" s="342"/>
      <c r="BN544" s="342"/>
      <c r="BO544" s="342"/>
      <c r="BP544" s="342"/>
      <c r="BQ544" s="342"/>
      <c r="BR544" s="342"/>
      <c r="BS544" s="342"/>
      <c r="BT544" s="342"/>
      <c r="BU544" s="342"/>
      <c r="BV544" s="342"/>
      <c r="BW544" s="342"/>
      <c r="BX544" s="342"/>
      <c r="BY544" s="342"/>
      <c r="BZ544" s="342"/>
      <c r="CA544" s="342"/>
      <c r="CB544" s="342"/>
      <c r="CC544" s="342"/>
      <c r="CD544" s="342"/>
      <c r="CE544" s="342"/>
      <c r="CF544" s="342"/>
      <c r="CG544" s="342"/>
      <c r="CH544" s="342"/>
      <c r="CI544" s="342"/>
      <c r="CJ544" s="342"/>
      <c r="CK544" s="342"/>
      <c r="CL544" s="342"/>
      <c r="CM544" s="342"/>
      <c r="CN544" s="342"/>
      <c r="CO544" s="342"/>
      <c r="CP544" s="342"/>
      <c r="CQ544" s="342"/>
      <c r="CR544" s="342"/>
      <c r="CS544" s="342"/>
      <c r="CT544" s="475"/>
      <c r="CU544" s="342"/>
      <c r="CV544" s="342"/>
      <c r="CW544" s="342"/>
      <c r="CX544" s="342"/>
      <c r="CY544" s="342"/>
      <c r="CZ544" s="475"/>
      <c r="DA544" s="342"/>
      <c r="DB544" s="342"/>
      <c r="DC544" s="342"/>
      <c r="DD544" s="342"/>
      <c r="DE544" s="475"/>
      <c r="DF544" s="475"/>
      <c r="DG544" s="342"/>
      <c r="DH544" s="342"/>
      <c r="DI544" s="342"/>
      <c r="DJ544" s="342"/>
      <c r="DK544" s="475"/>
      <c r="DL544" s="475"/>
      <c r="DM544" s="342"/>
      <c r="DN544" s="342"/>
      <c r="DO544" s="342"/>
      <c r="DP544" s="342"/>
      <c r="DQ544" s="475"/>
      <c r="DR544" s="475"/>
      <c r="DS544" s="342"/>
      <c r="DT544" s="342"/>
      <c r="DU544" s="342"/>
      <c r="DV544" s="342"/>
      <c r="DW544" s="475"/>
      <c r="DX544" s="475"/>
      <c r="DY544" s="342"/>
      <c r="DZ544" s="342"/>
      <c r="EA544" s="342"/>
      <c r="EB544" s="342"/>
      <c r="EC544" s="475"/>
      <c r="ED544" s="475"/>
      <c r="EE544" s="342"/>
      <c r="EF544" s="342"/>
      <c r="EG544" s="342"/>
      <c r="EH544" s="342"/>
      <c r="EI544" s="475"/>
      <c r="EJ544" s="475"/>
      <c r="EK544" s="342"/>
      <c r="EL544" s="342"/>
      <c r="EM544" s="342"/>
      <c r="EN544" s="342"/>
      <c r="EO544" s="475"/>
      <c r="EP544" s="475"/>
      <c r="EQ544" s="342"/>
      <c r="ER544" s="342"/>
      <c r="ES544" s="342"/>
      <c r="ET544" s="342"/>
      <c r="EU544" s="475"/>
      <c r="EV544" s="475"/>
      <c r="EW544" s="342"/>
      <c r="EX544" s="342"/>
      <c r="EY544" s="342"/>
      <c r="EZ544" s="342"/>
      <c r="FA544" s="475"/>
      <c r="FB544" s="475"/>
      <c r="FC544" s="342"/>
      <c r="FD544" s="342"/>
      <c r="FE544" s="342"/>
      <c r="FF544" s="342"/>
      <c r="FG544" s="475"/>
      <c r="FH544" s="475"/>
      <c r="FI544" s="342"/>
      <c r="FJ544" s="342"/>
      <c r="FK544" s="342"/>
      <c r="FL544" s="342"/>
      <c r="FM544" s="475"/>
      <c r="FQ544"/>
      <c r="FR544"/>
      <c r="FS544"/>
      <c r="FT544"/>
      <c r="FU544"/>
      <c r="FV544"/>
      <c r="GB544" s="24"/>
      <c r="GC544" s="24"/>
      <c r="GD544" s="24"/>
      <c r="GE544" s="24"/>
      <c r="GF544" s="24"/>
      <c r="GG544" s="24"/>
      <c r="GH544" s="24"/>
      <c r="GI544" s="24"/>
      <c r="GJ544"/>
      <c r="GK544"/>
      <c r="GL544"/>
      <c r="GM544"/>
      <c r="GN544"/>
      <c r="GO544"/>
      <c r="GP544"/>
      <c r="GQ544"/>
      <c r="GR544"/>
      <c r="GS544"/>
      <c r="GT544"/>
      <c r="GU544"/>
      <c r="GV544"/>
      <c r="GW544"/>
      <c r="GX544"/>
      <c r="GY544"/>
      <c r="GZ544"/>
      <c r="HA544"/>
      <c r="HB544"/>
      <c r="HC544"/>
      <c r="HD544"/>
      <c r="HE544"/>
      <c r="HF544"/>
      <c r="HG544"/>
      <c r="HH544"/>
      <c r="HI544"/>
      <c r="HJ544"/>
      <c r="HK544"/>
      <c r="HL544"/>
      <c r="HM544"/>
      <c r="HN544"/>
      <c r="HO544"/>
      <c r="HP544"/>
      <c r="HQ544"/>
      <c r="HR544"/>
      <c r="HS544"/>
      <c r="HT544"/>
      <c r="HU544"/>
      <c r="HV544"/>
      <c r="HW544"/>
      <c r="HX544"/>
      <c r="HY544"/>
      <c r="HZ544"/>
      <c r="IA544"/>
      <c r="IB544"/>
      <c r="IC544"/>
      <c r="ID544"/>
      <c r="IE544"/>
      <c r="IF544"/>
      <c r="IG544"/>
      <c r="IH544"/>
      <c r="II544"/>
      <c r="IJ544"/>
      <c r="IK544"/>
      <c r="IL544"/>
      <c r="IM544"/>
      <c r="IN544"/>
      <c r="IO544"/>
      <c r="IP544"/>
      <c r="IQ544"/>
      <c r="IR544"/>
      <c r="IS544"/>
      <c r="IT544"/>
      <c r="IU544"/>
      <c r="IV544"/>
      <c r="IW544"/>
      <c r="IX544"/>
      <c r="IY544"/>
      <c r="IZ544"/>
      <c r="JA544"/>
      <c r="JB544"/>
      <c r="JC544"/>
      <c r="JD544"/>
      <c r="JE544"/>
      <c r="JF544"/>
      <c r="JG544"/>
      <c r="JH544"/>
      <c r="JI544"/>
      <c r="JJ544"/>
      <c r="JK544"/>
      <c r="JL544"/>
      <c r="JM544"/>
      <c r="JN544"/>
    </row>
    <row r="545" spans="1:274" s="12" customFormat="1" ht="20.100000000000001" customHeight="1" x14ac:dyDescent="0.2">
      <c r="A545" s="193" t="str">
        <f>Model!A1</f>
        <v>Oracle</v>
      </c>
      <c r="B545" s="1021"/>
      <c r="C545" s="1014"/>
      <c r="D545" s="1014"/>
      <c r="E545" s="1014"/>
      <c r="F545" s="1014"/>
      <c r="G545" s="1014"/>
      <c r="H545" s="1014"/>
      <c r="I545" s="1014"/>
      <c r="J545" s="1014"/>
      <c r="K545" s="1014"/>
      <c r="L545" s="1014"/>
      <c r="M545" s="1014"/>
      <c r="N545" s="1014"/>
      <c r="O545" s="1014"/>
      <c r="P545" s="1014"/>
      <c r="Q545" s="1014"/>
      <c r="R545" s="1014"/>
      <c r="S545" s="1014"/>
      <c r="T545" s="1014"/>
      <c r="U545" s="1014"/>
      <c r="V545" s="1014"/>
      <c r="W545" s="1014"/>
      <c r="X545" s="1014"/>
      <c r="Y545" s="1014"/>
      <c r="Z545" s="1014"/>
      <c r="AA545" s="1014"/>
      <c r="AB545" s="1014"/>
      <c r="AC545" s="1014"/>
      <c r="AD545" s="1014"/>
      <c r="AE545" s="1014"/>
      <c r="AF545" s="1014"/>
      <c r="AG545" s="1014"/>
      <c r="AH545" s="1014"/>
      <c r="AI545" s="1014"/>
      <c r="AJ545" s="1014"/>
      <c r="AK545" s="1014"/>
      <c r="AL545" s="1014"/>
      <c r="AM545" s="1014"/>
      <c r="AN545" s="1014"/>
      <c r="AO545" s="1014"/>
      <c r="AP545" s="1014"/>
      <c r="AQ545" s="1014"/>
      <c r="AR545" s="1014"/>
      <c r="AS545" s="1014"/>
      <c r="AT545" s="1014"/>
      <c r="AU545" s="1014"/>
      <c r="AV545" s="1014"/>
      <c r="AW545" s="1014"/>
      <c r="AX545" s="1014"/>
      <c r="AY545" s="1014"/>
      <c r="AZ545" s="1014"/>
      <c r="BA545" s="1014"/>
      <c r="BB545" s="1014"/>
      <c r="BC545" s="1014"/>
      <c r="BD545" s="1014"/>
      <c r="BE545" s="1014"/>
      <c r="BF545" s="1014"/>
      <c r="BG545" s="1014"/>
      <c r="BH545" s="1014"/>
      <c r="BI545" s="1014"/>
      <c r="BJ545" s="1014"/>
      <c r="BK545" s="1014"/>
      <c r="BL545" s="1014"/>
      <c r="BM545" s="1037"/>
      <c r="BN545" s="1014"/>
      <c r="BO545" s="1014"/>
      <c r="BP545" s="1014"/>
      <c r="BQ545" s="1014"/>
      <c r="BR545" s="1014"/>
      <c r="BS545" s="1014"/>
      <c r="BT545" s="1014"/>
      <c r="BU545" s="1014"/>
      <c r="BV545" s="1014"/>
      <c r="BW545" s="1014"/>
      <c r="BX545" s="1014"/>
      <c r="BY545" s="1014"/>
      <c r="BZ545" s="1014"/>
      <c r="CA545" s="1014"/>
      <c r="CB545" s="1014"/>
      <c r="CC545" s="1014"/>
      <c r="CD545" s="1014"/>
      <c r="CE545" s="1014"/>
      <c r="CF545" s="1014"/>
      <c r="CG545" s="1014"/>
      <c r="CH545" s="1014"/>
      <c r="CI545" s="1014"/>
      <c r="CJ545" s="1014"/>
      <c r="CK545" s="1014"/>
      <c r="CL545" s="1014"/>
      <c r="CM545" s="1014"/>
      <c r="CN545" s="1014"/>
      <c r="CO545" s="1014"/>
      <c r="CP545" s="1014"/>
      <c r="CQ545" s="1014"/>
      <c r="CR545" s="1014"/>
      <c r="CS545" s="1014"/>
      <c r="CT545" s="1014"/>
      <c r="CU545" s="1014"/>
      <c r="CV545" s="1014"/>
      <c r="CW545" s="1014"/>
      <c r="CX545" s="1014"/>
      <c r="CY545" s="1014"/>
      <c r="CZ545" s="1014"/>
      <c r="DA545" s="1014"/>
      <c r="DB545" s="1014"/>
      <c r="DC545" s="1014"/>
      <c r="DD545" s="1014"/>
      <c r="DE545" s="1014"/>
      <c r="DF545" s="1014"/>
      <c r="DG545" s="1014"/>
      <c r="DH545" s="1014"/>
      <c r="DI545" s="1014"/>
      <c r="DJ545" s="1014"/>
      <c r="DK545" s="1014"/>
      <c r="DL545" s="1014"/>
      <c r="DM545" s="1014"/>
      <c r="DN545" s="1014"/>
      <c r="DO545" s="1014"/>
      <c r="DP545" s="1014"/>
      <c r="DQ545" s="1014"/>
      <c r="DR545" s="1014"/>
      <c r="DS545" s="1014"/>
      <c r="DT545" s="1014"/>
      <c r="DU545" s="1014"/>
      <c r="DV545" s="1014"/>
      <c r="DW545" s="1014"/>
      <c r="DX545" s="1014"/>
      <c r="DY545" s="1014"/>
      <c r="DZ545" s="1014"/>
      <c r="EA545" s="1687"/>
      <c r="EB545" s="1014"/>
      <c r="EC545" s="1014"/>
      <c r="ED545" s="1014"/>
      <c r="EE545" s="1739"/>
      <c r="EF545" s="1739"/>
      <c r="EG545" s="1739"/>
      <c r="EH545" s="1014"/>
      <c r="EI545" s="1014"/>
      <c r="EJ545" s="1014"/>
      <c r="EK545" s="1014"/>
      <c r="EL545" s="1014"/>
      <c r="EM545" s="1014"/>
      <c r="EN545" s="1014"/>
      <c r="EO545" s="1014"/>
      <c r="EP545" s="1014"/>
      <c r="EQ545" s="1788"/>
      <c r="ER545" s="1788"/>
      <c r="ES545" s="1788"/>
      <c r="ET545" s="1788"/>
      <c r="EU545" s="1788"/>
      <c r="EV545" s="1788"/>
      <c r="EW545" s="1788"/>
      <c r="EX545" s="1788"/>
      <c r="EY545" s="1788"/>
      <c r="EZ545" s="1788"/>
      <c r="FA545" s="1788"/>
      <c r="FB545" s="1788"/>
      <c r="FC545" s="1788"/>
      <c r="FD545" s="1788"/>
      <c r="FE545" s="1788"/>
      <c r="FF545" s="1788"/>
      <c r="FG545" s="1788"/>
      <c r="FH545" s="1788"/>
      <c r="FI545" s="1788"/>
      <c r="FJ545" s="1788"/>
      <c r="FK545" s="1788"/>
      <c r="FL545" s="1788"/>
      <c r="FM545" s="1788"/>
      <c r="FQ545"/>
      <c r="FR545"/>
      <c r="FS545"/>
      <c r="FT545"/>
      <c r="FU545"/>
      <c r="FV545"/>
      <c r="GB545" s="24"/>
      <c r="GC545" s="24"/>
      <c r="GD545" s="24"/>
      <c r="GE545" s="24"/>
      <c r="GF545" s="24"/>
      <c r="GG545" s="24"/>
      <c r="GH545" s="24"/>
      <c r="GI545" s="24"/>
      <c r="GJ545"/>
      <c r="GK545"/>
      <c r="GL545"/>
      <c r="GM545"/>
      <c r="GN545"/>
      <c r="GO545"/>
      <c r="GP545"/>
      <c r="GQ545"/>
      <c r="GR545"/>
      <c r="GS545"/>
      <c r="GT545"/>
      <c r="GU545"/>
      <c r="GV545"/>
      <c r="GW545"/>
      <c r="GX545"/>
      <c r="GY545"/>
      <c r="GZ545"/>
      <c r="HA545"/>
      <c r="HB545"/>
      <c r="HC545"/>
      <c r="HD545"/>
      <c r="HE545"/>
      <c r="HF545"/>
      <c r="HG545"/>
      <c r="HH545"/>
      <c r="HI545"/>
      <c r="HJ545"/>
      <c r="HK545"/>
      <c r="HL545"/>
      <c r="HM545"/>
      <c r="HN545"/>
      <c r="HO545"/>
      <c r="HP545"/>
      <c r="HQ545"/>
      <c r="HR545"/>
      <c r="HS545"/>
      <c r="HT545"/>
      <c r="HU545"/>
      <c r="HV545"/>
      <c r="HW545"/>
      <c r="HX545"/>
      <c r="HY545"/>
      <c r="HZ545"/>
      <c r="IA545"/>
      <c r="IB545"/>
      <c r="IC545"/>
      <c r="ID545"/>
      <c r="IE545"/>
      <c r="IF545"/>
      <c r="IG545"/>
      <c r="IH545"/>
      <c r="II545"/>
      <c r="IJ545"/>
      <c r="IK545"/>
      <c r="IL545"/>
      <c r="IM545"/>
      <c r="IN545"/>
      <c r="IO545"/>
      <c r="IP545"/>
      <c r="IQ545"/>
      <c r="IR545"/>
      <c r="IS545"/>
      <c r="IT545"/>
      <c r="IU545"/>
      <c r="IV545"/>
      <c r="IW545"/>
      <c r="IX545"/>
      <c r="IY545"/>
      <c r="IZ545"/>
      <c r="JA545"/>
      <c r="JB545"/>
      <c r="JC545"/>
      <c r="JD545"/>
      <c r="JE545"/>
      <c r="JF545"/>
      <c r="JG545"/>
      <c r="JH545"/>
      <c r="JI545"/>
      <c r="JJ545"/>
      <c r="JK545"/>
      <c r="JL545"/>
      <c r="JM545"/>
      <c r="JN545"/>
    </row>
    <row r="546" spans="1:274" s="12" customFormat="1" ht="20.100000000000001" customHeight="1" x14ac:dyDescent="0.2">
      <c r="A546" s="5" t="s">
        <v>1077</v>
      </c>
      <c r="B546" s="1023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/>
      <c r="V546" s="8"/>
      <c r="W546" s="8"/>
      <c r="X546" s="8"/>
      <c r="Y546" s="8"/>
      <c r="Z546" s="8"/>
      <c r="AA546" s="8"/>
      <c r="AB546" s="8"/>
      <c r="AC546" s="8"/>
      <c r="AD546" s="8"/>
      <c r="AE546" s="8"/>
      <c r="AF546" s="8"/>
      <c r="AG546" s="8"/>
      <c r="AH546" s="8"/>
      <c r="AI546" s="8"/>
      <c r="AJ546" s="8"/>
      <c r="AK546" s="8"/>
      <c r="AL546" s="8"/>
      <c r="AM546" s="8"/>
      <c r="AN546" s="8"/>
      <c r="AO546" s="8"/>
      <c r="AP546" s="8"/>
      <c r="AQ546" s="8"/>
      <c r="AR546" s="8"/>
      <c r="AS546" s="8"/>
      <c r="AT546" s="8"/>
      <c r="AU546" s="8"/>
      <c r="AV546" s="8"/>
      <c r="AW546" s="8"/>
      <c r="AX546" s="8"/>
      <c r="AY546" s="8"/>
      <c r="AZ546" s="8"/>
      <c r="BA546" s="8"/>
      <c r="BB546" s="8"/>
      <c r="BC546" s="8"/>
      <c r="BD546" s="8"/>
      <c r="BE546" s="8"/>
      <c r="BF546" s="8"/>
      <c r="BG546" s="8"/>
      <c r="BH546" s="8"/>
      <c r="BI546" s="8"/>
      <c r="BJ546" s="8"/>
      <c r="BK546" s="8"/>
      <c r="BL546" s="8"/>
      <c r="BM546" s="8"/>
      <c r="BN546" s="8"/>
      <c r="BO546" s="8"/>
      <c r="BP546" s="8"/>
      <c r="BQ546" s="8"/>
      <c r="BR546" s="8"/>
      <c r="BS546" s="8"/>
      <c r="BT546" s="1024"/>
      <c r="BU546" s="8"/>
      <c r="BV546" s="8"/>
      <c r="BW546" s="8"/>
      <c r="BX546" s="8"/>
      <c r="BY546" s="8"/>
      <c r="BZ546" s="8"/>
      <c r="CA546" s="8"/>
      <c r="CB546" s="8"/>
      <c r="CC546" s="8"/>
      <c r="CD546" s="8"/>
      <c r="CE546" s="8"/>
      <c r="CF546" s="8"/>
      <c r="CG546" s="8"/>
      <c r="CH546" s="8"/>
      <c r="CI546" s="8"/>
      <c r="CJ546" s="8"/>
      <c r="CK546" s="8"/>
      <c r="CL546" s="8"/>
      <c r="CM546" s="8"/>
      <c r="CN546" s="8"/>
      <c r="CO546" s="8"/>
      <c r="CP546" s="8"/>
      <c r="CQ546" s="8"/>
      <c r="CR546" s="8"/>
      <c r="CS546" s="8"/>
      <c r="CT546" s="8"/>
      <c r="CU546" s="8"/>
      <c r="CV546" s="8"/>
      <c r="CW546" s="8"/>
      <c r="CX546" s="8"/>
      <c r="CY546" s="8"/>
      <c r="CZ546" s="8"/>
      <c r="DA546" s="8"/>
      <c r="DB546" s="8"/>
      <c r="DC546" s="8"/>
      <c r="DD546" s="8"/>
      <c r="DE546" s="8"/>
      <c r="DF546" s="8"/>
      <c r="DG546" s="8"/>
      <c r="DH546" s="8"/>
      <c r="DI546" s="8"/>
      <c r="DJ546" s="8"/>
      <c r="DK546" s="8"/>
      <c r="DL546" s="8"/>
      <c r="DM546" s="8"/>
      <c r="DN546" s="8"/>
      <c r="DO546" s="8"/>
      <c r="DP546" s="8"/>
      <c r="DQ546" s="8"/>
      <c r="DR546" s="8"/>
      <c r="DS546" s="8"/>
      <c r="DT546" s="8"/>
      <c r="DU546" s="8"/>
      <c r="DV546" s="8"/>
      <c r="DW546" s="8"/>
      <c r="DX546" s="8"/>
      <c r="DY546" s="8"/>
      <c r="DZ546" s="8"/>
      <c r="EA546" s="8"/>
      <c r="EB546" s="1025"/>
      <c r="EC546" s="1025"/>
      <c r="ED546" s="1025"/>
      <c r="EE546" s="1025"/>
      <c r="EF546" s="1025"/>
      <c r="EG546" s="1025"/>
      <c r="EH546" s="1025"/>
      <c r="EI546" s="1025"/>
      <c r="EJ546" s="8"/>
      <c r="EK546" s="8"/>
      <c r="EL546" s="8"/>
      <c r="EM546" s="8"/>
      <c r="EN546" s="8"/>
      <c r="EO546" s="8"/>
      <c r="EP546" s="8"/>
      <c r="EQ546" s="1781"/>
      <c r="ER546" s="1781"/>
      <c r="ES546" s="1781"/>
      <c r="ET546" s="1781"/>
      <c r="EU546" s="1781"/>
      <c r="EV546" s="1781"/>
      <c r="EW546" s="1781"/>
      <c r="EX546" s="1781"/>
      <c r="EY546" s="1781"/>
      <c r="EZ546" s="1781"/>
      <c r="FA546" s="1781"/>
      <c r="FB546" s="1781"/>
      <c r="FC546" s="1781"/>
      <c r="FD546" s="1781"/>
      <c r="FE546" s="1781"/>
      <c r="FF546" s="1781"/>
      <c r="FG546" s="1781"/>
      <c r="FH546" s="1781"/>
      <c r="FI546" s="1781"/>
      <c r="FJ546" s="1781"/>
      <c r="FK546" s="1781"/>
      <c r="FL546" s="1781"/>
      <c r="FM546" s="1781"/>
      <c r="FQ546"/>
      <c r="FR546"/>
      <c r="FS546"/>
      <c r="FT546"/>
      <c r="FU546"/>
      <c r="FV546"/>
      <c r="GB546" s="24"/>
      <c r="GC546" s="24"/>
      <c r="GD546" s="24"/>
      <c r="GE546" s="24"/>
      <c r="GF546" s="24"/>
      <c r="GG546" s="24"/>
      <c r="GH546" s="24"/>
      <c r="GI546" s="24"/>
      <c r="GJ546"/>
      <c r="GK546"/>
      <c r="GL546"/>
      <c r="GM546"/>
      <c r="GN546"/>
      <c r="GO546"/>
      <c r="GP546"/>
      <c r="GQ546"/>
      <c r="GR546"/>
      <c r="GS546"/>
      <c r="GT546"/>
      <c r="GU546"/>
      <c r="GV546"/>
      <c r="GW546"/>
      <c r="GX546"/>
      <c r="GY546"/>
      <c r="GZ546"/>
      <c r="HA546"/>
      <c r="HB546"/>
      <c r="HC546"/>
      <c r="HD546"/>
      <c r="HE546"/>
      <c r="HF546"/>
      <c r="HG546"/>
      <c r="HH546"/>
      <c r="HI546"/>
      <c r="HJ546"/>
      <c r="HK546"/>
      <c r="HL546"/>
      <c r="HM546"/>
      <c r="HN546"/>
      <c r="HO546"/>
      <c r="HP546"/>
      <c r="HQ546"/>
      <c r="HR546"/>
      <c r="HS546"/>
      <c r="HT546"/>
      <c r="HU546"/>
      <c r="HV546"/>
      <c r="HW546"/>
      <c r="HX546"/>
      <c r="HY546"/>
      <c r="HZ546"/>
      <c r="IA546"/>
      <c r="IB546"/>
      <c r="IC546"/>
      <c r="ID546"/>
      <c r="IE546"/>
      <c r="IF546"/>
      <c r="IG546"/>
      <c r="IH546"/>
      <c r="II546"/>
      <c r="IJ546"/>
      <c r="IK546"/>
      <c r="IL546"/>
      <c r="IM546"/>
      <c r="IN546"/>
      <c r="IO546"/>
      <c r="IP546"/>
      <c r="IQ546"/>
      <c r="IR546"/>
      <c r="IS546"/>
      <c r="IT546"/>
      <c r="IU546"/>
      <c r="IV546"/>
      <c r="IW546"/>
      <c r="IX546"/>
      <c r="IY546"/>
      <c r="IZ546"/>
      <c r="JA546"/>
      <c r="JB546"/>
      <c r="JC546"/>
      <c r="JD546"/>
      <c r="JE546"/>
      <c r="JF546"/>
      <c r="JG546"/>
      <c r="JH546"/>
      <c r="JI546"/>
      <c r="JJ546"/>
      <c r="JK546"/>
      <c r="JL546"/>
      <c r="JM546"/>
      <c r="JN546"/>
    </row>
    <row r="547" spans="1:274" s="12" customFormat="1" ht="5.25" customHeight="1" x14ac:dyDescent="0.2">
      <c r="A547" s="9"/>
      <c r="B547" s="628"/>
      <c r="BC547" s="1038"/>
      <c r="BI547" s="1038"/>
      <c r="BO547" s="1038"/>
      <c r="BU547" s="1038"/>
      <c r="CA547" s="1038"/>
      <c r="CG547" s="1038"/>
      <c r="CM547" s="1038"/>
      <c r="CO547" s="679"/>
      <c r="CP547" s="679"/>
      <c r="CQ547" s="679"/>
      <c r="CR547" s="679"/>
      <c r="CS547" s="1039"/>
      <c r="CT547" s="679"/>
      <c r="CU547" s="679"/>
      <c r="CV547" s="679"/>
      <c r="CW547" s="679"/>
      <c r="CX547" s="679"/>
      <c r="CY547" s="1039"/>
      <c r="CZ547" s="679"/>
      <c r="DA547" s="679"/>
      <c r="DB547" s="679"/>
      <c r="DC547" s="679"/>
      <c r="DD547" s="679"/>
      <c r="DE547" s="1039"/>
      <c r="DF547" s="679"/>
      <c r="DG547" s="679"/>
      <c r="DH547" s="679"/>
      <c r="DI547" s="679"/>
      <c r="DJ547" s="679"/>
      <c r="DK547" s="1039"/>
      <c r="DL547" s="679"/>
      <c r="DM547" s="679"/>
      <c r="DN547" s="679"/>
      <c r="DO547" s="679"/>
      <c r="DP547" s="679"/>
      <c r="DQ547" s="1039"/>
      <c r="DR547" s="679"/>
      <c r="DS547" s="679"/>
      <c r="DT547" s="679"/>
      <c r="DU547" s="679"/>
      <c r="DV547" s="679"/>
      <c r="DW547" s="1039"/>
      <c r="DX547" s="679"/>
      <c r="DY547" s="679"/>
      <c r="DZ547" s="679"/>
      <c r="EA547" s="679"/>
      <c r="EB547" s="679"/>
      <c r="EC547" s="1039"/>
      <c r="ED547" s="679"/>
      <c r="EE547" s="679"/>
      <c r="EF547" s="679"/>
      <c r="EG547" s="679"/>
      <c r="EH547" s="679"/>
      <c r="EI547" s="1039"/>
      <c r="EJ547" s="679"/>
      <c r="EK547" s="679"/>
      <c r="EL547" s="679"/>
      <c r="EM547" s="679"/>
      <c r="EN547" s="679"/>
      <c r="EO547" s="1039"/>
      <c r="EP547" s="679"/>
      <c r="EQ547" s="679"/>
      <c r="ER547" s="679"/>
      <c r="ES547" s="679"/>
      <c r="ET547" s="679"/>
      <c r="EU547" s="1039"/>
      <c r="EV547" s="679"/>
      <c r="EW547" s="679"/>
      <c r="EX547" s="679"/>
      <c r="EY547" s="679"/>
      <c r="EZ547" s="679"/>
      <c r="FA547" s="1039"/>
      <c r="FB547" s="679"/>
      <c r="FC547" s="679"/>
      <c r="FD547" s="679"/>
      <c r="FE547" s="679"/>
      <c r="FF547" s="679"/>
      <c r="FG547" s="1039"/>
      <c r="FH547" s="679"/>
      <c r="FI547" s="679"/>
      <c r="FJ547" s="679"/>
      <c r="FK547" s="679"/>
      <c r="FL547" s="679"/>
      <c r="FM547" s="1039"/>
      <c r="FN547" s="679"/>
      <c r="FQ547"/>
      <c r="FR547"/>
      <c r="FS547"/>
      <c r="FT547"/>
      <c r="FU547"/>
      <c r="FV547"/>
      <c r="GB547" s="24"/>
      <c r="GC547" s="24"/>
      <c r="GD547" s="24"/>
      <c r="GE547" s="24"/>
      <c r="GF547" s="24"/>
      <c r="GG547" s="24"/>
      <c r="GH547" s="24"/>
      <c r="GI547" s="24"/>
      <c r="GJ547"/>
      <c r="GK547"/>
      <c r="GL547"/>
      <c r="GM547"/>
      <c r="GN547"/>
      <c r="GO547"/>
      <c r="GP547"/>
      <c r="GQ547"/>
      <c r="GR547"/>
      <c r="GS547"/>
      <c r="GT547"/>
      <c r="GU547"/>
      <c r="GV547"/>
      <c r="GW547"/>
      <c r="GX547"/>
      <c r="GY547"/>
      <c r="GZ547"/>
      <c r="HA547"/>
      <c r="HB547"/>
      <c r="HC547"/>
      <c r="HD547"/>
      <c r="HE547"/>
      <c r="HF547"/>
      <c r="HG547"/>
      <c r="HH547"/>
      <c r="HI547"/>
      <c r="HJ547"/>
      <c r="HK547"/>
      <c r="HL547"/>
      <c r="HM547"/>
      <c r="HN547"/>
      <c r="HO547"/>
      <c r="HP547"/>
      <c r="HQ547"/>
      <c r="HR547"/>
      <c r="HS547"/>
      <c r="HT547"/>
      <c r="HU547"/>
      <c r="HV547"/>
      <c r="HW547"/>
      <c r="HX547"/>
      <c r="HY547"/>
      <c r="HZ547"/>
      <c r="IA547"/>
      <c r="IB547"/>
      <c r="IC547"/>
      <c r="ID547"/>
      <c r="IE547"/>
      <c r="IF547"/>
      <c r="IG547"/>
      <c r="IH547"/>
      <c r="II547"/>
      <c r="IJ547"/>
      <c r="IK547"/>
      <c r="IL547"/>
      <c r="IM547"/>
      <c r="IN547"/>
      <c r="IO547"/>
      <c r="IP547"/>
      <c r="IQ547"/>
      <c r="IR547"/>
      <c r="IS547"/>
      <c r="IT547"/>
      <c r="IU547"/>
      <c r="IV547"/>
      <c r="IW547"/>
      <c r="IX547"/>
      <c r="IY547"/>
      <c r="IZ547"/>
      <c r="JA547"/>
      <c r="JB547"/>
      <c r="JC547"/>
      <c r="JD547"/>
      <c r="JE547"/>
      <c r="JF547"/>
      <c r="JG547"/>
      <c r="JH547"/>
      <c r="JI547"/>
      <c r="JJ547"/>
      <c r="JK547"/>
      <c r="JL547"/>
      <c r="JM547"/>
      <c r="JN547"/>
    </row>
    <row r="548" spans="1:274" s="12" customFormat="1" ht="11.25" customHeight="1" x14ac:dyDescent="0.2">
      <c r="A548" s="11" t="s">
        <v>408</v>
      </c>
      <c r="B548" s="628"/>
      <c r="L548" s="13"/>
      <c r="M548" s="13"/>
      <c r="R548" s="13"/>
      <c r="S548" s="13"/>
      <c r="T548" s="13"/>
      <c r="X548" s="13"/>
      <c r="Y548" s="13"/>
      <c r="Z548" s="13"/>
      <c r="AD548" s="13"/>
      <c r="AE548" s="13"/>
      <c r="AF548" s="13"/>
      <c r="AJ548" s="13"/>
      <c r="AK548" s="13"/>
      <c r="AL548" s="13"/>
      <c r="AP548" s="13"/>
      <c r="AQ548" s="13"/>
      <c r="AR548" s="13"/>
      <c r="AV548" s="13"/>
      <c r="AW548" s="13"/>
      <c r="AX548" s="13"/>
      <c r="BB548" s="13"/>
      <c r="BC548" s="678"/>
      <c r="BD548" s="13"/>
      <c r="BH548" s="13"/>
      <c r="BI548" s="678"/>
      <c r="BJ548" s="13"/>
      <c r="BN548" s="13"/>
      <c r="BO548" s="678"/>
      <c r="BP548" s="13"/>
      <c r="BT548" s="13"/>
      <c r="BU548" s="678"/>
      <c r="BV548" s="13"/>
      <c r="BZ548" s="13"/>
      <c r="CA548" s="678"/>
      <c r="CB548" s="13"/>
      <c r="CF548" s="13"/>
      <c r="CG548" s="678"/>
      <c r="CH548" s="13"/>
      <c r="CL548" s="13"/>
      <c r="CM548" s="678"/>
      <c r="CN548" s="13"/>
      <c r="CO548" s="679"/>
      <c r="CP548" s="679"/>
      <c r="CQ548" s="679"/>
      <c r="CR548" s="680"/>
      <c r="CS548" s="681"/>
      <c r="CT548" s="679"/>
      <c r="CU548" s="679"/>
      <c r="CV548" s="679"/>
      <c r="CW548" s="679"/>
      <c r="CX548" s="680"/>
      <c r="CY548" s="681"/>
      <c r="CZ548" s="679"/>
      <c r="DA548" s="679"/>
      <c r="DB548" s="679"/>
      <c r="DC548" s="679"/>
      <c r="DD548" s="680"/>
      <c r="DE548" s="681"/>
      <c r="DF548" s="679"/>
      <c r="DG548" s="679"/>
      <c r="DH548" s="679"/>
      <c r="DI548" s="679"/>
      <c r="DJ548" s="680"/>
      <c r="DK548" s="681"/>
      <c r="DL548" s="679"/>
      <c r="DM548" s="679"/>
      <c r="DN548" s="679"/>
      <c r="DO548" s="679"/>
      <c r="DP548" s="680"/>
      <c r="DQ548" s="681"/>
      <c r="DR548" s="679"/>
      <c r="DS548" s="679"/>
      <c r="DT548" s="679"/>
      <c r="DU548" s="679"/>
      <c r="DV548" s="680"/>
      <c r="DW548" s="681"/>
      <c r="DX548" s="679"/>
      <c r="DY548" s="679"/>
      <c r="DZ548" s="679"/>
      <c r="EA548" s="679"/>
      <c r="EB548" s="680"/>
      <c r="EC548" s="681"/>
      <c r="ED548" s="679"/>
      <c r="EE548" s="679"/>
      <c r="EF548" s="679"/>
      <c r="EG548" s="679"/>
      <c r="EH548" s="680"/>
      <c r="EI548" s="681"/>
      <c r="EJ548" s="679"/>
      <c r="EK548" s="679"/>
      <c r="EL548" s="679"/>
      <c r="EM548" s="679"/>
      <c r="EN548" s="680"/>
      <c r="EO548" s="681"/>
      <c r="EP548" s="679"/>
      <c r="EQ548" s="679"/>
      <c r="ER548" s="679"/>
      <c r="ES548" s="679"/>
      <c r="ET548" s="680"/>
      <c r="EU548" s="681"/>
      <c r="EV548" s="679"/>
      <c r="EW548" s="679"/>
      <c r="EX548" s="679"/>
      <c r="EY548" s="679"/>
      <c r="EZ548" s="680"/>
      <c r="FA548" s="681"/>
      <c r="FB548" s="679"/>
      <c r="FC548" s="679"/>
      <c r="FD548" s="679"/>
      <c r="FE548" s="679"/>
      <c r="FF548" s="680"/>
      <c r="FG548" s="681"/>
      <c r="FH548" s="679"/>
      <c r="FI548" s="679"/>
      <c r="FJ548" s="679"/>
      <c r="FK548" s="679"/>
      <c r="FL548" s="680"/>
      <c r="FM548" s="681"/>
      <c r="FN548" s="679"/>
      <c r="FQ548"/>
      <c r="FR548"/>
      <c r="FS548"/>
      <c r="FT548"/>
      <c r="FU548"/>
      <c r="FV548"/>
      <c r="GB548" s="24"/>
      <c r="GC548" s="24"/>
      <c r="GD548" s="24"/>
      <c r="GE548" s="24"/>
      <c r="GF548" s="24"/>
      <c r="GG548" s="24"/>
      <c r="GH548" s="24"/>
      <c r="GI548" s="24"/>
      <c r="GJ548"/>
      <c r="GK548"/>
      <c r="GL548"/>
      <c r="GM548"/>
      <c r="GN548"/>
      <c r="GO548"/>
      <c r="GP548"/>
      <c r="GQ548"/>
      <c r="GR548"/>
      <c r="GS548"/>
      <c r="GT548"/>
      <c r="GU548"/>
      <c r="GV548"/>
      <c r="GW548"/>
      <c r="GX548"/>
      <c r="GY548"/>
      <c r="GZ548"/>
      <c r="HA548"/>
      <c r="HB548"/>
      <c r="HC548"/>
      <c r="HD548"/>
      <c r="HE548"/>
      <c r="HF548"/>
      <c r="HG548"/>
      <c r="HH548"/>
      <c r="HI548"/>
      <c r="HJ548"/>
      <c r="HK548"/>
      <c r="HL548"/>
      <c r="HM548"/>
      <c r="HN548"/>
      <c r="HO548"/>
      <c r="HP548"/>
      <c r="HQ548"/>
      <c r="HR548"/>
      <c r="HS548"/>
      <c r="HT548"/>
      <c r="HU548"/>
      <c r="HV548"/>
      <c r="HW548"/>
      <c r="HX548"/>
      <c r="HY548"/>
      <c r="HZ548"/>
      <c r="IA548"/>
      <c r="IB548"/>
      <c r="IC548"/>
      <c r="ID548"/>
      <c r="IE548"/>
      <c r="IF548"/>
      <c r="IG548"/>
      <c r="IH548"/>
      <c r="II548"/>
      <c r="IJ548"/>
      <c r="IK548"/>
      <c r="IL548"/>
      <c r="IM548"/>
      <c r="IN548"/>
      <c r="IO548"/>
      <c r="IP548"/>
      <c r="IQ548"/>
      <c r="IR548"/>
      <c r="IS548"/>
      <c r="IT548"/>
      <c r="IU548"/>
      <c r="IV548"/>
      <c r="IW548"/>
      <c r="IX548"/>
      <c r="IY548"/>
      <c r="IZ548"/>
      <c r="JA548"/>
      <c r="JB548"/>
      <c r="JC548"/>
      <c r="JD548"/>
      <c r="JE548"/>
      <c r="JF548"/>
      <c r="JG548"/>
      <c r="JH548"/>
      <c r="JI548"/>
      <c r="JJ548"/>
      <c r="JK548"/>
      <c r="JL548"/>
      <c r="JM548"/>
      <c r="JN548"/>
    </row>
    <row r="549" spans="1:274" s="27" customFormat="1" ht="10.5" hidden="1" customHeight="1" outlineLevel="1" collapsed="1" x14ac:dyDescent="0.2">
      <c r="A549" s="32"/>
      <c r="B549" s="57"/>
      <c r="C549" s="14" t="s">
        <v>8</v>
      </c>
      <c r="D549" s="14"/>
      <c r="E549" s="14"/>
      <c r="F549" s="14"/>
      <c r="G549" s="14"/>
      <c r="H549" s="682"/>
      <c r="I549" s="682"/>
      <c r="J549" s="682"/>
      <c r="K549" s="682"/>
      <c r="L549" s="682"/>
      <c r="M549" s="683"/>
      <c r="N549" s="215"/>
      <c r="O549" s="14" t="s">
        <v>216</v>
      </c>
      <c r="P549" s="15"/>
      <c r="Q549" s="15"/>
      <c r="R549" s="15"/>
      <c r="S549" s="15"/>
      <c r="T549" s="215"/>
      <c r="U549" s="14" t="s">
        <v>1073</v>
      </c>
      <c r="V549" s="15"/>
      <c r="W549" s="15"/>
      <c r="X549" s="15"/>
      <c r="Y549" s="15"/>
      <c r="Z549" s="215"/>
      <c r="AA549" s="14" t="s">
        <v>708</v>
      </c>
      <c r="AB549" s="15"/>
      <c r="AC549" s="15"/>
      <c r="AD549" s="15"/>
      <c r="AE549" s="15"/>
      <c r="AF549" s="215"/>
      <c r="AG549" s="14" t="s">
        <v>709</v>
      </c>
      <c r="AH549" s="15"/>
      <c r="AI549" s="15"/>
      <c r="AJ549" s="15"/>
      <c r="AK549" s="15"/>
      <c r="AL549" s="215"/>
      <c r="AM549" s="14" t="s">
        <v>428</v>
      </c>
      <c r="AN549" s="15"/>
      <c r="AO549" s="15"/>
      <c r="AP549" s="15"/>
      <c r="AQ549" s="15"/>
      <c r="AR549" s="215"/>
      <c r="AS549" s="14" t="s">
        <v>429</v>
      </c>
      <c r="AT549" s="15"/>
      <c r="AU549" s="15"/>
      <c r="AV549" s="15"/>
      <c r="AW549" s="15"/>
      <c r="AX549" s="215"/>
      <c r="AY549" s="14" t="s">
        <v>1044</v>
      </c>
      <c r="AZ549" s="15"/>
      <c r="BA549" s="15"/>
      <c r="BB549" s="15"/>
      <c r="BC549" s="684"/>
      <c r="BD549" s="190"/>
      <c r="BE549" s="15" t="s">
        <v>35</v>
      </c>
      <c r="BF549" s="15"/>
      <c r="BG549" s="15"/>
      <c r="BH549" s="685"/>
      <c r="BI549" s="684"/>
      <c r="BJ549" s="686"/>
      <c r="BK549" s="15" t="s">
        <v>217</v>
      </c>
      <c r="BL549" s="15"/>
      <c r="BM549" s="15"/>
      <c r="BN549" s="15"/>
      <c r="BO549" s="684"/>
      <c r="BP549" s="637"/>
      <c r="BQ549" s="15" t="s">
        <v>872</v>
      </c>
      <c r="BR549" s="15"/>
      <c r="BS549" s="15"/>
      <c r="BT549" s="15"/>
      <c r="BU549" s="684"/>
      <c r="BW549" s="14" t="s">
        <v>462</v>
      </c>
      <c r="BX549" s="15"/>
      <c r="BY549" s="15"/>
      <c r="BZ549" s="15"/>
      <c r="CA549" s="684"/>
      <c r="CC549" s="14" t="s">
        <v>420</v>
      </c>
      <c r="CD549" s="15"/>
      <c r="CE549" s="15"/>
      <c r="CF549" s="15"/>
      <c r="CG549" s="684"/>
      <c r="CI549" s="14" t="s">
        <v>388</v>
      </c>
      <c r="CJ549" s="15"/>
      <c r="CK549" s="15"/>
      <c r="CL549" s="15"/>
      <c r="CM549" s="684"/>
      <c r="CO549" s="14" t="s">
        <v>693</v>
      </c>
      <c r="CP549" s="15"/>
      <c r="CQ549" s="15"/>
      <c r="CR549" s="15"/>
      <c r="CS549" s="684"/>
      <c r="CT549" s="345"/>
      <c r="CU549" s="14" t="s">
        <v>207</v>
      </c>
      <c r="CV549" s="15"/>
      <c r="CW549" s="15"/>
      <c r="CX549" s="15"/>
      <c r="CY549" s="684"/>
      <c r="CZ549" s="345"/>
      <c r="DA549" s="14" t="str">
        <f>DA5</f>
        <v>F2010</v>
      </c>
      <c r="DB549" s="15"/>
      <c r="DC549" s="15"/>
      <c r="DD549" s="15"/>
      <c r="DE549" s="684"/>
      <c r="DF549" s="345"/>
      <c r="DG549" s="14" t="str">
        <f>DG5</f>
        <v>F2011</v>
      </c>
      <c r="DH549" s="15"/>
      <c r="DI549" s="15"/>
      <c r="DJ549" s="15"/>
      <c r="DK549" s="684"/>
      <c r="DL549" s="345"/>
      <c r="DM549" s="14" t="str">
        <f>DM5</f>
        <v>F2012</v>
      </c>
      <c r="DN549" s="15"/>
      <c r="DO549" s="15"/>
      <c r="DP549" s="15"/>
      <c r="DQ549" s="684"/>
      <c r="DR549" s="345"/>
      <c r="DS549" s="14" t="str">
        <f>DS5</f>
        <v>F2013</v>
      </c>
      <c r="DT549" s="15"/>
      <c r="DU549" s="15"/>
      <c r="DV549" s="15"/>
      <c r="DW549" s="684"/>
      <c r="DX549" s="345"/>
      <c r="DY549" s="14" t="str">
        <f>DY5</f>
        <v>F2014</v>
      </c>
      <c r="DZ549" s="15"/>
      <c r="EA549" s="15"/>
      <c r="EB549" s="15"/>
      <c r="EC549" s="684"/>
      <c r="ED549" s="345"/>
      <c r="EE549" s="14" t="str">
        <f>EE5</f>
        <v>F2015</v>
      </c>
      <c r="EF549" s="15"/>
      <c r="EG549" s="15"/>
      <c r="EH549" s="15"/>
      <c r="EI549" s="684"/>
      <c r="EJ549" s="345"/>
      <c r="EK549" s="14" t="str">
        <f>EK5</f>
        <v>F2016</v>
      </c>
      <c r="EL549" s="15"/>
      <c r="EM549" s="15"/>
      <c r="EN549" s="15"/>
      <c r="EO549" s="684"/>
      <c r="EP549" s="345"/>
      <c r="EQ549" s="14" t="str">
        <f>EQ5</f>
        <v>F2017</v>
      </c>
      <c r="ER549" s="15"/>
      <c r="ES549" s="15"/>
      <c r="ET549" s="15"/>
      <c r="EU549" s="1782"/>
      <c r="EV549" s="345"/>
      <c r="EW549" s="14" t="str">
        <f>EW5</f>
        <v>F2018E</v>
      </c>
      <c r="EX549" s="15"/>
      <c r="EY549" s="15"/>
      <c r="EZ549" s="15"/>
      <c r="FA549" s="1782"/>
      <c r="FB549" s="345"/>
      <c r="FC549" s="14" t="str">
        <f>FC5</f>
        <v>F2019E</v>
      </c>
      <c r="FD549" s="15"/>
      <c r="FE549" s="15"/>
      <c r="FF549" s="15"/>
      <c r="FG549" s="1782"/>
      <c r="FH549" s="345"/>
      <c r="FI549" s="14" t="str">
        <f>FI5</f>
        <v>F2020E</v>
      </c>
      <c r="FJ549" s="15"/>
      <c r="FK549" s="15"/>
      <c r="FL549" s="15"/>
      <c r="FM549" s="1782"/>
      <c r="FN549" s="32"/>
      <c r="FQ549"/>
      <c r="FR549"/>
      <c r="FS549"/>
      <c r="FT549"/>
      <c r="FU549"/>
      <c r="FV549"/>
      <c r="GB549" s="24"/>
      <c r="GC549" s="24"/>
      <c r="GD549" s="24"/>
      <c r="GE549" s="24"/>
      <c r="GF549" s="24"/>
      <c r="GG549" s="24"/>
      <c r="GH549" s="24"/>
      <c r="GI549" s="24"/>
      <c r="GJ549"/>
      <c r="GK549"/>
      <c r="GL549"/>
      <c r="GM549"/>
      <c r="GN549"/>
      <c r="GO549"/>
      <c r="GP549"/>
      <c r="GQ549"/>
      <c r="GR549"/>
      <c r="GS549"/>
      <c r="GT549"/>
      <c r="GU549"/>
      <c r="GV549"/>
      <c r="GW549"/>
      <c r="GX549"/>
      <c r="GY549"/>
      <c r="GZ549"/>
      <c r="HA549"/>
      <c r="HB549"/>
      <c r="HC549"/>
      <c r="HD549"/>
      <c r="HE549"/>
      <c r="HF549"/>
      <c r="HG549"/>
      <c r="HH549"/>
      <c r="HI549"/>
      <c r="HJ549"/>
      <c r="HK549"/>
      <c r="HL549"/>
      <c r="HM549"/>
      <c r="HN549"/>
      <c r="HO549"/>
      <c r="HP549"/>
      <c r="HQ549"/>
      <c r="HR549"/>
      <c r="HS549"/>
      <c r="HT549"/>
      <c r="HU549"/>
      <c r="HV549"/>
      <c r="HW549"/>
      <c r="HX549"/>
      <c r="HY549"/>
      <c r="HZ549"/>
      <c r="IA549"/>
      <c r="IB549"/>
      <c r="IC549"/>
      <c r="ID549"/>
      <c r="IE549"/>
      <c r="IF549"/>
      <c r="IG549"/>
      <c r="IH549"/>
      <c r="II549"/>
      <c r="IJ549"/>
      <c r="IK549"/>
      <c r="IL549"/>
      <c r="IM549"/>
      <c r="IN549"/>
      <c r="IO549"/>
      <c r="IP549"/>
      <c r="IQ549"/>
      <c r="IR549"/>
      <c r="IS549"/>
      <c r="IT549"/>
      <c r="IU549"/>
      <c r="IV549"/>
      <c r="IW549"/>
      <c r="IX549"/>
      <c r="IY549"/>
      <c r="IZ549"/>
      <c r="JA549"/>
      <c r="JB549"/>
      <c r="JC549"/>
      <c r="JD549"/>
      <c r="JE549"/>
      <c r="JF549"/>
      <c r="JG549"/>
      <c r="JH549"/>
      <c r="JI549"/>
      <c r="JJ549"/>
      <c r="JK549"/>
      <c r="JL549"/>
      <c r="JM549"/>
      <c r="JN549"/>
    </row>
    <row r="550" spans="1:274" s="27" customFormat="1" ht="10.5" hidden="1" customHeight="1" outlineLevel="1" x14ac:dyDescent="0.2">
      <c r="A550" s="25"/>
      <c r="B550" s="730"/>
      <c r="C550" s="16" t="s">
        <v>947</v>
      </c>
      <c r="D550" s="16" t="s">
        <v>946</v>
      </c>
      <c r="E550" s="16" t="s">
        <v>406</v>
      </c>
      <c r="F550" s="16" t="s">
        <v>302</v>
      </c>
      <c r="G550" s="16" t="s">
        <v>303</v>
      </c>
      <c r="H550" s="16" t="s">
        <v>304</v>
      </c>
      <c r="I550" s="16" t="s">
        <v>305</v>
      </c>
      <c r="J550" s="16" t="s">
        <v>639</v>
      </c>
      <c r="K550" s="16" t="s">
        <v>640</v>
      </c>
      <c r="L550" s="16" t="s">
        <v>641</v>
      </c>
      <c r="M550" s="16" t="s">
        <v>550</v>
      </c>
      <c r="N550" s="16"/>
      <c r="O550" s="16" t="s">
        <v>292</v>
      </c>
      <c r="P550" s="16" t="s">
        <v>293</v>
      </c>
      <c r="Q550" s="16" t="s">
        <v>290</v>
      </c>
      <c r="R550" s="16" t="s">
        <v>291</v>
      </c>
      <c r="S550" s="16" t="s">
        <v>551</v>
      </c>
      <c r="T550" s="16"/>
      <c r="U550" s="16" t="s">
        <v>288</v>
      </c>
      <c r="V550" s="16" t="s">
        <v>289</v>
      </c>
      <c r="W550" s="16" t="s">
        <v>294</v>
      </c>
      <c r="X550" s="16" t="s">
        <v>930</v>
      </c>
      <c r="Y550" s="16" t="s">
        <v>402</v>
      </c>
      <c r="Z550" s="16"/>
      <c r="AA550" s="16" t="s">
        <v>931</v>
      </c>
      <c r="AB550" s="16" t="s">
        <v>932</v>
      </c>
      <c r="AC550" s="16" t="s">
        <v>933</v>
      </c>
      <c r="AD550" s="16" t="s">
        <v>934</v>
      </c>
      <c r="AE550" s="16" t="s">
        <v>403</v>
      </c>
      <c r="AF550" s="16"/>
      <c r="AG550" s="16" t="s">
        <v>935</v>
      </c>
      <c r="AH550" s="16" t="s">
        <v>936</v>
      </c>
      <c r="AI550" s="16" t="s">
        <v>937</v>
      </c>
      <c r="AJ550" s="16" t="s">
        <v>938</v>
      </c>
      <c r="AK550" s="16" t="s">
        <v>404</v>
      </c>
      <c r="AL550" s="16"/>
      <c r="AM550" s="16" t="s">
        <v>939</v>
      </c>
      <c r="AN550" s="16" t="s">
        <v>144</v>
      </c>
      <c r="AO550" s="16" t="s">
        <v>145</v>
      </c>
      <c r="AP550" s="16" t="s">
        <v>146</v>
      </c>
      <c r="AQ550" s="16" t="s">
        <v>405</v>
      </c>
      <c r="AR550" s="16"/>
      <c r="AS550" s="16" t="s">
        <v>147</v>
      </c>
      <c r="AT550" s="16" t="s">
        <v>148</v>
      </c>
      <c r="AU550" s="16" t="s">
        <v>149</v>
      </c>
      <c r="AV550" s="16" t="s">
        <v>150</v>
      </c>
      <c r="AW550" s="16" t="s">
        <v>552</v>
      </c>
      <c r="AX550" s="16"/>
      <c r="AY550" s="16" t="s">
        <v>151</v>
      </c>
      <c r="AZ550" s="16" t="s">
        <v>152</v>
      </c>
      <c r="BA550" s="16" t="s">
        <v>153</v>
      </c>
      <c r="BB550" s="16" t="s">
        <v>154</v>
      </c>
      <c r="BC550" s="393" t="s">
        <v>553</v>
      </c>
      <c r="BD550" s="16"/>
      <c r="BE550" s="16" t="s">
        <v>917</v>
      </c>
      <c r="BF550" s="16" t="s">
        <v>586</v>
      </c>
      <c r="BG550" s="16" t="s">
        <v>587</v>
      </c>
      <c r="BH550" s="16" t="s">
        <v>588</v>
      </c>
      <c r="BI550" s="393" t="s">
        <v>554</v>
      </c>
      <c r="BJ550" s="16"/>
      <c r="BK550" s="16" t="s">
        <v>589</v>
      </c>
      <c r="BL550" s="16" t="s">
        <v>590</v>
      </c>
      <c r="BM550" s="16" t="s">
        <v>591</v>
      </c>
      <c r="BN550" s="16" t="s">
        <v>592</v>
      </c>
      <c r="BO550" s="393" t="s">
        <v>555</v>
      </c>
      <c r="BQ550" s="16" t="s">
        <v>28</v>
      </c>
      <c r="BR550" s="16" t="s">
        <v>1092</v>
      </c>
      <c r="BS550" s="16" t="s">
        <v>252</v>
      </c>
      <c r="BT550" s="16" t="s">
        <v>873</v>
      </c>
      <c r="BU550" s="393" t="s">
        <v>874</v>
      </c>
      <c r="BW550" s="16" t="s">
        <v>366</v>
      </c>
      <c r="BX550" s="16" t="s">
        <v>163</v>
      </c>
      <c r="BY550" s="16" t="s">
        <v>526</v>
      </c>
      <c r="BZ550" s="880" t="s">
        <v>347</v>
      </c>
      <c r="CA550" s="393" t="s">
        <v>77</v>
      </c>
      <c r="CC550" s="16" t="s">
        <v>306</v>
      </c>
      <c r="CD550" s="16" t="s">
        <v>696</v>
      </c>
      <c r="CE550" s="16" t="s">
        <v>711</v>
      </c>
      <c r="CF550" s="16" t="s">
        <v>421</v>
      </c>
      <c r="CG550" s="393" t="s">
        <v>434</v>
      </c>
      <c r="CI550" s="16" t="s">
        <v>39</v>
      </c>
      <c r="CJ550" s="16" t="s">
        <v>251</v>
      </c>
      <c r="CK550" s="16" t="s">
        <v>389</v>
      </c>
      <c r="CL550" s="16" t="s">
        <v>528</v>
      </c>
      <c r="CM550" s="393" t="s">
        <v>656</v>
      </c>
      <c r="CO550" s="16" t="s">
        <v>574</v>
      </c>
      <c r="CP550" s="16" t="s">
        <v>650</v>
      </c>
      <c r="CQ550" s="16" t="s">
        <v>357</v>
      </c>
      <c r="CR550" s="16" t="s">
        <v>694</v>
      </c>
      <c r="CS550" s="393" t="s">
        <v>797</v>
      </c>
      <c r="CT550" s="102"/>
      <c r="CU550" s="16" t="s">
        <v>818</v>
      </c>
      <c r="CV550" s="16" t="s">
        <v>952</v>
      </c>
      <c r="CW550" s="16" t="s">
        <v>677</v>
      </c>
      <c r="CX550" s="880" t="s">
        <v>348</v>
      </c>
      <c r="CY550" s="393" t="s">
        <v>36</v>
      </c>
      <c r="CZ550" s="102"/>
      <c r="DA550" s="880" t="str">
        <f>DA6</f>
        <v>8/09</v>
      </c>
      <c r="DB550" s="880" t="str">
        <f>DB6</f>
        <v>11/09</v>
      </c>
      <c r="DC550" s="880" t="str">
        <f>DC6</f>
        <v>2/10</v>
      </c>
      <c r="DD550" s="880" t="str">
        <f>DD6</f>
        <v>5/10</v>
      </c>
      <c r="DE550" s="393" t="str">
        <f>DE6</f>
        <v>FY10</v>
      </c>
      <c r="DF550" s="102"/>
      <c r="DG550" s="880" t="str">
        <f>DG6</f>
        <v>8/10</v>
      </c>
      <c r="DH550" s="880" t="str">
        <f>DH6</f>
        <v>11/10</v>
      </c>
      <c r="DI550" s="880" t="str">
        <f>DI6</f>
        <v>2/11</v>
      </c>
      <c r="DJ550" s="880" t="str">
        <f>DJ6</f>
        <v>5/11</v>
      </c>
      <c r="DK550" s="393" t="str">
        <f>DK6</f>
        <v>FY11</v>
      </c>
      <c r="DL550" s="102"/>
      <c r="DM550" s="880" t="str">
        <f>DM6</f>
        <v>8/11</v>
      </c>
      <c r="DN550" s="880" t="str">
        <f>DN6</f>
        <v>11/11</v>
      </c>
      <c r="DO550" s="880" t="str">
        <f>DO6</f>
        <v xml:space="preserve"> 2/12</v>
      </c>
      <c r="DP550" s="880" t="str">
        <f>DP6</f>
        <v>5/12</v>
      </c>
      <c r="DQ550" s="393" t="str">
        <f>DQ6</f>
        <v>FY12</v>
      </c>
      <c r="DR550" s="102"/>
      <c r="DS550" s="880" t="str">
        <f>DS6</f>
        <v>8/12</v>
      </c>
      <c r="DT550" s="880" t="str">
        <f>DT6</f>
        <v>11/12</v>
      </c>
      <c r="DU550" s="880" t="str">
        <f>DU6</f>
        <v xml:space="preserve"> 2/13</v>
      </c>
      <c r="DV550" s="880" t="str">
        <f>DV6</f>
        <v>5/13</v>
      </c>
      <c r="DW550" s="393" t="str">
        <f>DW6</f>
        <v>FY13</v>
      </c>
      <c r="DX550" s="102"/>
      <c r="DY550" s="880" t="str">
        <f>DY6</f>
        <v>8/13</v>
      </c>
      <c r="DZ550" s="880" t="str">
        <f>DZ6</f>
        <v>11/13</v>
      </c>
      <c r="EA550" s="880" t="str">
        <f>EA6</f>
        <v>2/14</v>
      </c>
      <c r="EB550" s="880" t="str">
        <f>EB6</f>
        <v>5/14</v>
      </c>
      <c r="EC550" s="393" t="str">
        <f>EC6</f>
        <v>FY14</v>
      </c>
      <c r="ED550" s="102"/>
      <c r="EE550" s="880" t="str">
        <f>EE6</f>
        <v>8/14</v>
      </c>
      <c r="EF550" s="880" t="str">
        <f>EF6</f>
        <v>11/14</v>
      </c>
      <c r="EG550" s="880" t="str">
        <f>EG6</f>
        <v>2/15</v>
      </c>
      <c r="EH550" s="880" t="str">
        <f>EH6</f>
        <v>5/15</v>
      </c>
      <c r="EI550" s="393" t="str">
        <f>EI6</f>
        <v>FY15</v>
      </c>
      <c r="EJ550" s="102"/>
      <c r="EK550" s="880" t="str">
        <f>EK6</f>
        <v xml:space="preserve"> 8/15</v>
      </c>
      <c r="EL550" s="880" t="str">
        <f>EL6</f>
        <v xml:space="preserve"> 11/15</v>
      </c>
      <c r="EM550" s="880" t="str">
        <f>EM6</f>
        <v>2/16</v>
      </c>
      <c r="EN550" s="880" t="str">
        <f>EN6</f>
        <v>5/16</v>
      </c>
      <c r="EO550" s="393" t="str">
        <f>EO6</f>
        <v>FY16</v>
      </c>
      <c r="EP550" s="102"/>
      <c r="EQ550" s="880" t="str">
        <f>EQ6</f>
        <v xml:space="preserve"> 8/16</v>
      </c>
      <c r="ER550" s="880" t="str">
        <f>ER6</f>
        <v xml:space="preserve"> 11/16</v>
      </c>
      <c r="ES550" s="880" t="str">
        <f>ES6</f>
        <v xml:space="preserve"> 2/17</v>
      </c>
      <c r="ET550" s="880" t="str">
        <f>ET6</f>
        <v>5/17</v>
      </c>
      <c r="EU550" s="393" t="str">
        <f>EU6</f>
        <v>FY17</v>
      </c>
      <c r="EV550" s="102"/>
      <c r="EW550" s="880" t="str">
        <f>EW6</f>
        <v xml:space="preserve"> 8/17</v>
      </c>
      <c r="EX550" s="880" t="str">
        <f>EX6</f>
        <v xml:space="preserve"> 11/17</v>
      </c>
      <c r="EY550" s="880" t="str">
        <f>EY6</f>
        <v xml:space="preserve"> 2/18</v>
      </c>
      <c r="EZ550" s="880" t="str">
        <f>EZ6</f>
        <v>5/18E</v>
      </c>
      <c r="FA550" s="393" t="str">
        <f>FA6</f>
        <v>FY18E</v>
      </c>
      <c r="FB550" s="102"/>
      <c r="FC550" s="880" t="str">
        <f>FC6</f>
        <v xml:space="preserve"> 8/18E</v>
      </c>
      <c r="FD550" s="880" t="str">
        <f>FD6</f>
        <v xml:space="preserve"> 11/18E</v>
      </c>
      <c r="FE550" s="880" t="str">
        <f>FE6</f>
        <v xml:space="preserve"> 2/19E</v>
      </c>
      <c r="FF550" s="880" t="str">
        <f>FF6</f>
        <v>5/19E</v>
      </c>
      <c r="FG550" s="393" t="str">
        <f>FG6</f>
        <v>FY19E</v>
      </c>
      <c r="FH550" s="102"/>
      <c r="FI550" s="880" t="str">
        <f>FI6</f>
        <v xml:space="preserve"> 8/19E</v>
      </c>
      <c r="FJ550" s="880" t="str">
        <f>FJ6</f>
        <v xml:space="preserve"> 11/19E</v>
      </c>
      <c r="FK550" s="880" t="str">
        <f>FK6</f>
        <v xml:space="preserve"> 2/20E</v>
      </c>
      <c r="FL550" s="880" t="str">
        <f>FL6</f>
        <v>5/20E</v>
      </c>
      <c r="FM550" s="393" t="str">
        <f>FM6</f>
        <v>FY20E</v>
      </c>
      <c r="FN550" s="434"/>
      <c r="FO550" s="580"/>
      <c r="FQ550"/>
      <c r="FR550"/>
      <c r="FS550"/>
      <c r="FT550"/>
      <c r="FU550"/>
      <c r="FV550"/>
      <c r="GB550" s="24"/>
      <c r="GC550" s="24"/>
      <c r="GD550" s="24"/>
      <c r="GE550" s="24"/>
      <c r="GF550" s="24"/>
      <c r="GG550" s="24"/>
      <c r="GH550" s="24"/>
      <c r="GI550" s="24"/>
      <c r="GJ550"/>
      <c r="GK550"/>
      <c r="GL550"/>
      <c r="GM550"/>
      <c r="GN550"/>
      <c r="GO550"/>
      <c r="GP550"/>
      <c r="GQ550"/>
      <c r="GR550"/>
      <c r="GS550"/>
      <c r="GT550"/>
      <c r="GU550"/>
      <c r="GV550"/>
      <c r="GW550"/>
      <c r="GX550"/>
      <c r="GY550"/>
      <c r="GZ550"/>
      <c r="HA550"/>
      <c r="HB550"/>
      <c r="HC550"/>
      <c r="HD550"/>
      <c r="HE550"/>
      <c r="HF550"/>
      <c r="HG550"/>
      <c r="HH550"/>
      <c r="HI550"/>
      <c r="HJ550"/>
      <c r="HK550"/>
      <c r="HL550"/>
      <c r="HM550"/>
      <c r="HN550"/>
      <c r="HO550"/>
      <c r="HP550"/>
      <c r="HQ550"/>
      <c r="HR550"/>
      <c r="HS550"/>
      <c r="HT550"/>
      <c r="HU550"/>
      <c r="HV550"/>
      <c r="HW550"/>
      <c r="HX550"/>
      <c r="HY550"/>
      <c r="HZ550"/>
      <c r="IA550"/>
      <c r="IB550"/>
      <c r="IC550"/>
      <c r="ID550"/>
      <c r="IE550"/>
      <c r="IF550"/>
      <c r="IG550"/>
      <c r="IH550"/>
      <c r="II550"/>
      <c r="IJ550"/>
      <c r="IK550"/>
      <c r="IL550"/>
      <c r="IM550"/>
      <c r="IN550"/>
      <c r="IO550"/>
      <c r="IP550"/>
      <c r="IQ550"/>
      <c r="IR550"/>
      <c r="IS550"/>
      <c r="IT550"/>
      <c r="IU550"/>
      <c r="IV550"/>
      <c r="IW550"/>
      <c r="IX550"/>
      <c r="IY550"/>
      <c r="IZ550"/>
      <c r="JA550"/>
      <c r="JB550"/>
      <c r="JC550"/>
      <c r="JD550"/>
      <c r="JE550"/>
      <c r="JF550"/>
      <c r="JG550"/>
      <c r="JH550"/>
      <c r="JI550"/>
      <c r="JJ550"/>
      <c r="JK550"/>
      <c r="JL550"/>
      <c r="JM550"/>
      <c r="JN550"/>
    </row>
    <row r="551" spans="1:274" s="32" customFormat="1" hidden="1" outlineLevel="1" x14ac:dyDescent="0.2">
      <c r="A551" s="1221" t="s">
        <v>1077</v>
      </c>
      <c r="B551" s="1474"/>
      <c r="C551" s="1221"/>
      <c r="D551" s="1221"/>
      <c r="E551" s="1221"/>
      <c r="F551" s="1221"/>
      <c r="G551" s="1221"/>
      <c r="H551" s="1221"/>
      <c r="I551" s="1221"/>
      <c r="J551" s="1221"/>
      <c r="K551" s="1221"/>
      <c r="L551" s="1221"/>
      <c r="M551" s="1221"/>
      <c r="N551" s="1221"/>
      <c r="O551" s="1221"/>
      <c r="P551" s="1221"/>
      <c r="Q551" s="1221"/>
      <c r="R551" s="1221"/>
      <c r="S551" s="1221"/>
      <c r="T551" s="1221"/>
      <c r="U551" s="1221"/>
      <c r="V551" s="1221"/>
      <c r="W551" s="1221"/>
      <c r="X551" s="1221"/>
      <c r="Y551" s="1221"/>
      <c r="Z551" s="1221"/>
      <c r="AA551" s="1221"/>
      <c r="AB551" s="1221"/>
      <c r="AC551" s="1221"/>
      <c r="AD551" s="1221"/>
      <c r="AE551" s="1221"/>
      <c r="AF551" s="1221"/>
      <c r="AG551" s="1221"/>
      <c r="AH551" s="1221"/>
      <c r="AI551" s="1221"/>
      <c r="AJ551" s="1221"/>
      <c r="AK551" s="1221"/>
      <c r="AL551" s="1221"/>
      <c r="AM551" s="1221"/>
      <c r="AN551" s="1221"/>
      <c r="AO551" s="1221"/>
      <c r="AP551" s="1221"/>
      <c r="AQ551" s="1221"/>
      <c r="AR551" s="1221"/>
      <c r="AS551" s="1221"/>
      <c r="AT551" s="1221"/>
      <c r="AU551" s="1221"/>
      <c r="AV551" s="1221"/>
      <c r="AW551" s="1221"/>
      <c r="AX551" s="1221"/>
      <c r="AY551" s="1221"/>
      <c r="AZ551" s="1221"/>
      <c r="BA551" s="1221"/>
      <c r="BB551" s="1221"/>
      <c r="BC551" s="1374"/>
      <c r="BD551" s="1221"/>
      <c r="BE551" s="1221"/>
      <c r="BF551" s="1221"/>
      <c r="BG551" s="1221"/>
      <c r="BH551" s="1221"/>
      <c r="BI551" s="1374"/>
      <c r="BJ551" s="1221"/>
      <c r="BK551" s="1221"/>
      <c r="BL551" s="1221"/>
      <c r="BM551" s="1221"/>
      <c r="BN551" s="1221"/>
      <c r="BO551" s="1374"/>
      <c r="BP551" s="1221"/>
      <c r="BQ551" s="1221"/>
      <c r="BR551" s="1221"/>
      <c r="BS551" s="1221"/>
      <c r="BT551" s="1221"/>
      <c r="BU551" s="1374"/>
      <c r="BV551" s="1221"/>
      <c r="BW551" s="1221"/>
      <c r="BX551" s="1221"/>
      <c r="BY551" s="1221"/>
      <c r="BZ551" s="1221"/>
      <c r="CA551" s="1374"/>
      <c r="CB551" s="1221"/>
      <c r="CC551" s="1221"/>
      <c r="CD551" s="1221"/>
      <c r="CE551" s="1221"/>
      <c r="CF551" s="1221"/>
      <c r="CG551" s="1374"/>
      <c r="CH551" s="1221"/>
      <c r="CI551" s="1221"/>
      <c r="CJ551" s="1221"/>
      <c r="CK551" s="1221"/>
      <c r="CL551" s="1221"/>
      <c r="CM551" s="1374"/>
      <c r="CN551" s="1221"/>
      <c r="CO551" s="1475"/>
      <c r="CP551" s="1475"/>
      <c r="CQ551" s="1475"/>
      <c r="CR551" s="1475"/>
      <c r="CS551" s="1374"/>
      <c r="CT551" s="1476"/>
      <c r="CU551" s="1475"/>
      <c r="CV551" s="1475"/>
      <c r="CW551" s="1475"/>
      <c r="CX551" s="1475"/>
      <c r="CY551" s="1477"/>
      <c r="CZ551" s="1476"/>
      <c r="DA551" s="1475"/>
      <c r="DB551" s="1475"/>
      <c r="DC551" s="1475"/>
      <c r="DD551" s="1475"/>
      <c r="DE551" s="1477"/>
      <c r="DF551" s="1476"/>
      <c r="DG551" s="1475"/>
      <c r="DH551" s="1475"/>
      <c r="DI551" s="1475"/>
      <c r="DJ551" s="1475"/>
      <c r="DK551" s="1477"/>
      <c r="DL551" s="1476"/>
      <c r="DM551" s="1475"/>
      <c r="DN551" s="1475"/>
      <c r="DO551" s="1475"/>
      <c r="DP551" s="1475"/>
      <c r="DQ551" s="1477"/>
      <c r="DR551" s="1476"/>
      <c r="DS551" s="1475"/>
      <c r="DT551" s="1475"/>
      <c r="DU551" s="1475"/>
      <c r="DV551" s="1475"/>
      <c r="DW551" s="1477"/>
      <c r="DX551" s="1476"/>
      <c r="DY551" s="1475"/>
      <c r="DZ551" s="1475"/>
      <c r="EA551" s="1475"/>
      <c r="EB551" s="1475"/>
      <c r="EC551" s="1477"/>
      <c r="ED551" s="1476"/>
      <c r="EE551" s="1475"/>
      <c r="EF551" s="1475"/>
      <c r="EG551" s="1475"/>
      <c r="EH551" s="1475"/>
      <c r="EI551" s="1477"/>
      <c r="EJ551" s="1476"/>
      <c r="EK551" s="1475"/>
      <c r="EL551" s="1475"/>
      <c r="EM551" s="1475"/>
      <c r="EN551" s="1475"/>
      <c r="EO551" s="1477"/>
      <c r="EP551" s="1476"/>
      <c r="EQ551" s="1475"/>
      <c r="ER551" s="1475"/>
      <c r="ES551" s="1475"/>
      <c r="ET551" s="1475"/>
      <c r="EU551" s="1477"/>
      <c r="EV551" s="1476"/>
      <c r="EW551" s="1475"/>
      <c r="EX551" s="1475"/>
      <c r="EY551" s="1475"/>
      <c r="EZ551" s="1475"/>
      <c r="FA551" s="1477"/>
      <c r="FB551" s="1476"/>
      <c r="FC551" s="1475"/>
      <c r="FD551" s="1475"/>
      <c r="FE551" s="1475"/>
      <c r="FF551" s="1475"/>
      <c r="FG551" s="1477"/>
      <c r="FH551" s="1476"/>
      <c r="FI551" s="1475"/>
      <c r="FJ551" s="1475"/>
      <c r="FK551" s="1475"/>
      <c r="FL551" s="1475"/>
      <c r="FM551" s="1477"/>
      <c r="FN551" s="433"/>
      <c r="FQ551"/>
      <c r="FR551"/>
      <c r="FS551"/>
      <c r="FT551"/>
      <c r="FU551"/>
      <c r="FV551"/>
      <c r="GB551" s="24"/>
      <c r="GC551" s="24"/>
      <c r="GD551" s="24"/>
      <c r="GE551" s="24"/>
      <c r="GF551" s="24"/>
      <c r="GG551" s="24"/>
      <c r="GH551" s="24"/>
      <c r="GI551" s="24"/>
      <c r="GJ551"/>
      <c r="GK551"/>
      <c r="GL551"/>
      <c r="GM551"/>
      <c r="GN551"/>
      <c r="GO551"/>
      <c r="GP551"/>
      <c r="GQ551"/>
      <c r="GR551"/>
      <c r="GS551"/>
      <c r="GT551"/>
      <c r="GU551"/>
      <c r="GV551"/>
      <c r="GW551"/>
      <c r="GX551"/>
      <c r="GY551"/>
      <c r="GZ551"/>
      <c r="HA551"/>
      <c r="HB551"/>
      <c r="HC551"/>
      <c r="HD551"/>
      <c r="HE551"/>
      <c r="HF551"/>
      <c r="HG551"/>
      <c r="HH551"/>
      <c r="HI551"/>
      <c r="HJ551"/>
      <c r="HK551"/>
      <c r="HL551"/>
      <c r="HM551"/>
      <c r="HN551"/>
      <c r="HO551"/>
      <c r="HP551"/>
      <c r="HQ551"/>
      <c r="HR551"/>
      <c r="HS551"/>
      <c r="HT551"/>
      <c r="HU551"/>
      <c r="HV551"/>
      <c r="HW551"/>
      <c r="HX551"/>
      <c r="HY551"/>
      <c r="HZ551"/>
      <c r="IA551"/>
      <c r="IB551"/>
      <c r="IC551"/>
      <c r="ID551"/>
      <c r="IE551"/>
      <c r="IF551"/>
      <c r="IG551"/>
      <c r="IH551"/>
      <c r="II551"/>
      <c r="IJ551"/>
      <c r="IK551"/>
      <c r="IL551"/>
      <c r="IM551"/>
      <c r="IN551"/>
      <c r="IO551"/>
      <c r="IP551"/>
      <c r="IQ551"/>
      <c r="IR551"/>
      <c r="IS551"/>
      <c r="IT551"/>
      <c r="IU551"/>
      <c r="IV551"/>
      <c r="IW551"/>
      <c r="IX551"/>
      <c r="IY551"/>
      <c r="IZ551"/>
      <c r="JA551"/>
      <c r="JB551"/>
      <c r="JC551"/>
      <c r="JD551"/>
      <c r="JE551"/>
      <c r="JF551"/>
      <c r="JG551"/>
      <c r="JH551"/>
      <c r="JI551"/>
      <c r="JJ551"/>
      <c r="JK551"/>
      <c r="JL551"/>
      <c r="JM551"/>
      <c r="JN551"/>
    </row>
    <row r="552" spans="1:274" s="698" customFormat="1" ht="12.75" hidden="1" customHeight="1" outlineLevel="1" x14ac:dyDescent="0.2">
      <c r="A552" s="696" t="s">
        <v>1280</v>
      </c>
      <c r="B552" s="697"/>
      <c r="BC552" s="699"/>
      <c r="BI552" s="699"/>
      <c r="BO552" s="699"/>
      <c r="BU552" s="699"/>
      <c r="BZ552" s="1118"/>
      <c r="CA552" s="678"/>
      <c r="CF552" s="1118"/>
      <c r="CG552" s="678"/>
      <c r="CL552" s="1118"/>
      <c r="CM552" s="143"/>
      <c r="CO552" s="700"/>
      <c r="CP552" s="700"/>
      <c r="CQ552" s="700"/>
      <c r="CR552" s="1118"/>
      <c r="CS552" s="143"/>
      <c r="CT552" s="700"/>
      <c r="CU552" s="700"/>
      <c r="CV552" s="700"/>
      <c r="CW552" s="700"/>
      <c r="CX552" s="1118"/>
      <c r="CY552" s="701"/>
      <c r="CZ552" s="700"/>
      <c r="DA552" s="700"/>
      <c r="DB552" s="700"/>
      <c r="DC552" s="700"/>
      <c r="DD552" s="700"/>
      <c r="DE552" s="701"/>
      <c r="DF552" s="700"/>
      <c r="DG552" s="700"/>
      <c r="DH552" s="700"/>
      <c r="DI552" s="700"/>
      <c r="DJ552" s="700"/>
      <c r="DK552" s="701"/>
      <c r="DL552" s="700"/>
      <c r="DM552" s="700"/>
      <c r="DN552" s="1118">
        <f>DN554/DH554-1</f>
        <v>9.9250936329587924E-2</v>
      </c>
      <c r="DO552" s="1118">
        <f>DO554/DI554-1</f>
        <v>5.555555555555558E-2</v>
      </c>
      <c r="DP552" s="1118">
        <f>DP554/DJ554-1</f>
        <v>6.5189873417721422E-2</v>
      </c>
      <c r="DQ552" s="701"/>
      <c r="DR552" s="700"/>
      <c r="DS552" s="1118">
        <f>DS554/DM554-1</f>
        <v>-2.1853146853146876E-2</v>
      </c>
      <c r="DT552" s="1118">
        <f>DT554/DN554-1</f>
        <v>7.5809199318568998E-2</v>
      </c>
      <c r="DU552" s="1118">
        <f>DU554/DT554-1</f>
        <v>9.1844813935075154E-2</v>
      </c>
      <c r="DV552" s="1118">
        <f>DV554/DP554-1</f>
        <v>5.7040998217468886E-2</v>
      </c>
      <c r="DW552" s="701"/>
      <c r="DX552" s="700"/>
      <c r="DY552" s="1118">
        <f>DY554/DS554-1</f>
        <v>5.2725647899910744E-2</v>
      </c>
      <c r="DZ552" s="1118">
        <f>DZ554/DT554-1</f>
        <v>0.10055423594615998</v>
      </c>
      <c r="EA552" s="1118">
        <f>EA554/DZ554-1</f>
        <v>-8.6330935251798246E-3</v>
      </c>
      <c r="EB552" s="1118">
        <f>EB554/DV554-1</f>
        <v>-3.3164699269252362E-2</v>
      </c>
      <c r="EC552" s="701"/>
      <c r="ED552" s="700"/>
      <c r="EE552" s="1118">
        <f>EE554/DY554-1</f>
        <v>0.10101867572156187</v>
      </c>
      <c r="EF552" s="1118">
        <f>EF554/DZ554-1</f>
        <v>4.6043165467625879E-2</v>
      </c>
      <c r="EG552" s="1118">
        <f>EG554/EA554-1</f>
        <v>2.6850507982583371E-2</v>
      </c>
      <c r="EH552" s="1118">
        <f>EH554/EB554-1</f>
        <v>0.29767441860465116</v>
      </c>
      <c r="EI552" s="701"/>
      <c r="EJ552" s="700"/>
      <c r="EK552" s="1118"/>
      <c r="EL552" s="1118"/>
      <c r="EM552" s="1118"/>
      <c r="EN552" s="1118"/>
      <c r="EO552" s="701"/>
      <c r="EP552" s="700"/>
      <c r="EQ552" s="1118"/>
      <c r="ER552" s="1118"/>
      <c r="ES552" s="1118"/>
      <c r="ET552" s="1118"/>
      <c r="EU552" s="701"/>
      <c r="EV552" s="700"/>
      <c r="EW552" s="700"/>
      <c r="EX552" s="700"/>
      <c r="EY552" s="700"/>
      <c r="EZ552" s="700"/>
      <c r="FA552" s="701"/>
      <c r="FB552" s="700"/>
      <c r="FC552" s="700"/>
      <c r="FD552" s="700"/>
      <c r="FE552" s="700"/>
      <c r="FF552" s="700"/>
      <c r="FG552" s="701"/>
      <c r="FH552" s="700"/>
      <c r="FI552" s="700"/>
      <c r="FJ552" s="700"/>
      <c r="FK552" s="700"/>
      <c r="FL552" s="700"/>
      <c r="FM552" s="701"/>
      <c r="FN552" s="700"/>
      <c r="FQ552"/>
      <c r="FR552"/>
      <c r="FS552"/>
      <c r="FT552"/>
      <c r="FU552"/>
      <c r="FV552"/>
      <c r="GB552" s="24"/>
      <c r="GC552" s="24"/>
      <c r="GD552" s="24"/>
      <c r="GE552" s="24"/>
      <c r="GF552" s="24"/>
      <c r="GG552" s="24"/>
      <c r="GH552" s="24"/>
      <c r="GI552" s="24"/>
      <c r="GJ552"/>
      <c r="GK552"/>
      <c r="GL552"/>
      <c r="GM552"/>
      <c r="GN552"/>
      <c r="GO552"/>
      <c r="GP552"/>
      <c r="GQ552"/>
      <c r="GR552"/>
      <c r="GS552"/>
      <c r="GT552"/>
      <c r="GU552"/>
      <c r="GV552"/>
      <c r="GW552"/>
      <c r="GX552"/>
      <c r="GY552"/>
      <c r="GZ552"/>
      <c r="HA552"/>
      <c r="HB552"/>
      <c r="HC552"/>
      <c r="HD552"/>
      <c r="HE552"/>
      <c r="HF552"/>
      <c r="HG552"/>
      <c r="HH552"/>
      <c r="HI552"/>
      <c r="HJ552"/>
      <c r="HK552"/>
      <c r="HL552"/>
      <c r="HM552"/>
      <c r="HN552"/>
      <c r="HO552"/>
      <c r="HP552"/>
      <c r="HQ552"/>
      <c r="HR552"/>
      <c r="HS552"/>
      <c r="HT552"/>
      <c r="HU552"/>
      <c r="HV552"/>
      <c r="HW552"/>
      <c r="HX552"/>
      <c r="HY552"/>
      <c r="HZ552"/>
      <c r="IA552"/>
      <c r="IB552"/>
      <c r="IC552"/>
      <c r="ID552"/>
      <c r="IE552"/>
      <c r="IF552"/>
      <c r="IG552"/>
      <c r="IH552"/>
      <c r="II552"/>
      <c r="IJ552"/>
      <c r="IK552"/>
      <c r="IL552"/>
      <c r="IM552"/>
      <c r="IN552"/>
      <c r="IO552"/>
      <c r="IP552"/>
      <c r="IQ552"/>
      <c r="IR552"/>
      <c r="IS552"/>
      <c r="IT552"/>
      <c r="IU552"/>
      <c r="IV552"/>
      <c r="IW552"/>
      <c r="IX552"/>
      <c r="IY552"/>
      <c r="IZ552"/>
      <c r="JA552"/>
      <c r="JB552"/>
      <c r="JC552"/>
      <c r="JD552"/>
      <c r="JE552"/>
      <c r="JF552"/>
      <c r="JG552"/>
      <c r="JH552"/>
      <c r="JI552"/>
      <c r="JJ552"/>
      <c r="JK552"/>
      <c r="JL552"/>
      <c r="JM552"/>
      <c r="JN552"/>
    </row>
    <row r="553" spans="1:274" s="698" customFormat="1" ht="12.75" hidden="1" customHeight="1" outlineLevel="1" x14ac:dyDescent="0.2">
      <c r="A553" s="702" t="s">
        <v>1078</v>
      </c>
      <c r="B553" s="697"/>
      <c r="AZ553" s="698">
        <v>1106.8710000000001</v>
      </c>
      <c r="BA553" s="698">
        <v>1119.905</v>
      </c>
      <c r="BC553" s="436">
        <v>4657</v>
      </c>
      <c r="BE553" s="243">
        <v>721</v>
      </c>
      <c r="BF553" s="243">
        <v>806</v>
      </c>
      <c r="BG553" s="243">
        <v>779</v>
      </c>
      <c r="BH553" s="243">
        <f>BI553-BG553-BF553-BE553</f>
        <v>1171</v>
      </c>
      <c r="BI553" s="436">
        <v>3477</v>
      </c>
      <c r="BJ553" s="243"/>
      <c r="BK553" s="243">
        <v>557</v>
      </c>
      <c r="BL553" s="243">
        <v>759</v>
      </c>
      <c r="BM553" s="243">
        <v>749</v>
      </c>
      <c r="BN553" s="243">
        <f>BO553-BM553-BL553-BK553</f>
        <v>1186</v>
      </c>
      <c r="BO553" s="436">
        <v>3251</v>
      </c>
      <c r="BP553" s="243"/>
      <c r="BQ553" s="243">
        <v>524</v>
      </c>
      <c r="BR553" s="243">
        <v>852</v>
      </c>
      <c r="BS553" s="243">
        <v>845</v>
      </c>
      <c r="BT553" s="243">
        <f>BU553-BS553-BR553-BQ553</f>
        <v>1312</v>
      </c>
      <c r="BU553" s="436">
        <v>3533</v>
      </c>
      <c r="BW553" s="243">
        <v>561</v>
      </c>
      <c r="BX553" s="243">
        <v>969</v>
      </c>
      <c r="BY553" s="243">
        <v>946</v>
      </c>
      <c r="BZ553" s="243">
        <f>CA553-BY553-BX553-BW553</f>
        <v>1606</v>
      </c>
      <c r="CA553" s="436">
        <v>4082</v>
      </c>
      <c r="CC553" s="243">
        <v>628</v>
      </c>
      <c r="CD553" s="243">
        <v>1056</v>
      </c>
      <c r="CE553" s="243">
        <v>1095</v>
      </c>
      <c r="CF553" s="243">
        <f>CG553-CE553-CD553-CC553</f>
        <v>2118</v>
      </c>
      <c r="CG553" s="436">
        <v>4897</v>
      </c>
      <c r="CI553" s="243">
        <v>802</v>
      </c>
      <c r="CJ553" s="243">
        <v>1205</v>
      </c>
      <c r="CK553" s="243">
        <v>1388</v>
      </c>
      <c r="CL553" s="243">
        <f>CM553-CK553-CJ553-CI553</f>
        <v>2479</v>
      </c>
      <c r="CM553" s="1077">
        <v>5874</v>
      </c>
      <c r="CO553" s="243">
        <v>1084</v>
      </c>
      <c r="CP553" s="243">
        <v>1665</v>
      </c>
      <c r="CQ553" s="243">
        <v>1612</v>
      </c>
      <c r="CR553" s="243">
        <f>CS553-CQ553-CP553-CO553</f>
        <v>3140</v>
      </c>
      <c r="CS553" s="1077">
        <v>7501</v>
      </c>
      <c r="CU553" s="243">
        <v>1234</v>
      </c>
      <c r="CV553" s="243">
        <v>1623</v>
      </c>
      <c r="CW553" s="243">
        <v>1513</v>
      </c>
      <c r="CX553" s="243">
        <f>CY553-CW553-CV553-CU553</f>
        <v>2742</v>
      </c>
      <c r="CY553" s="1077">
        <v>7112</v>
      </c>
      <c r="DA553" s="243">
        <v>1026</v>
      </c>
      <c r="DB553" s="243">
        <v>1649</v>
      </c>
      <c r="DC553" s="243">
        <v>1725</v>
      </c>
      <c r="DD553" s="243">
        <f>DE553-DC553-DB553-DA553</f>
        <v>3125</v>
      </c>
      <c r="DE553" s="1077">
        <v>7525</v>
      </c>
      <c r="DG553" s="243">
        <v>1282</v>
      </c>
      <c r="DH553" s="243">
        <v>1991</v>
      </c>
      <c r="DI553" s="243">
        <v>2212</v>
      </c>
      <c r="DJ553" s="243">
        <f>DK553-DI553-DH553-DG553</f>
        <v>3735</v>
      </c>
      <c r="DK553" s="1077">
        <v>9220</v>
      </c>
      <c r="DM553" s="243">
        <v>1493</v>
      </c>
      <c r="DN553" s="243">
        <v>2044</v>
      </c>
      <c r="DO553" s="243">
        <v>2370</v>
      </c>
      <c r="DP553" s="243">
        <f>DQ553-DO553-DN553-DM553</f>
        <v>4003</v>
      </c>
      <c r="DQ553" s="1077">
        <v>9910</v>
      </c>
      <c r="DS553" s="243">
        <v>1589</v>
      </c>
      <c r="DT553" s="243">
        <v>2398</v>
      </c>
      <c r="DU553" s="243">
        <v>2334</v>
      </c>
      <c r="DV553" s="243">
        <f>DW553-DU553-DT553-DS553</f>
        <v>4029</v>
      </c>
      <c r="DW553" s="1077">
        <v>10350</v>
      </c>
      <c r="DY553" s="243">
        <v>1653</v>
      </c>
      <c r="DZ553" s="243">
        <v>2378</v>
      </c>
      <c r="EA553" s="243">
        <v>2418</v>
      </c>
      <c r="EB553" s="243">
        <f>EC553-EA553-DZ553-DY553</f>
        <v>4093</v>
      </c>
      <c r="EC553" s="1077">
        <v>10542</v>
      </c>
      <c r="EE553" s="243">
        <f>Model!EE14</f>
        <v>1847</v>
      </c>
      <c r="EF553" s="243">
        <f>Model!EF14</f>
        <v>2564</v>
      </c>
      <c r="EG553" s="243">
        <f>Model!EG14</f>
        <v>2512</v>
      </c>
      <c r="EH553" s="33">
        <f>Model!EH14</f>
        <v>3717</v>
      </c>
      <c r="EI553" s="1077">
        <f>Model!EI14</f>
        <v>10640</v>
      </c>
      <c r="EK553" s="243">
        <f>Model!EK14</f>
        <v>1763</v>
      </c>
      <c r="EL553" s="243">
        <f>Model!EL14</f>
        <v>2329</v>
      </c>
      <c r="EM553" s="243">
        <f>Model!EM14</f>
        <v>2417</v>
      </c>
      <c r="EN553" s="33">
        <f>Model!EN14</f>
        <v>3626</v>
      </c>
      <c r="EO553" s="1077">
        <f>Model!EO14</f>
        <v>10135</v>
      </c>
      <c r="EQ553" s="243">
        <f>Model!EQ14</f>
        <v>2016</v>
      </c>
      <c r="ER553" s="243">
        <f>Model!ER14</f>
        <v>2434</v>
      </c>
      <c r="ES553" s="243">
        <f>Model!ES14</f>
        <v>2672</v>
      </c>
      <c r="ET553" s="33">
        <f>Model!ET14</f>
        <v>4036</v>
      </c>
      <c r="EU553" s="1077">
        <f>Model!EU14</f>
        <v>11158</v>
      </c>
      <c r="EW553" s="33">
        <f>Model!EW14</f>
        <v>2458</v>
      </c>
      <c r="FA553" s="699"/>
      <c r="FG553" s="699"/>
      <c r="FM553" s="699"/>
      <c r="FO553" s="243"/>
      <c r="FQ553"/>
      <c r="FR553"/>
      <c r="FS553"/>
      <c r="FT553"/>
      <c r="FU553"/>
      <c r="FV553"/>
      <c r="GB553" s="24"/>
      <c r="GC553" s="24"/>
      <c r="GD553" s="24"/>
      <c r="GE553" s="24"/>
      <c r="GF553" s="24"/>
      <c r="GG553" s="24"/>
      <c r="GH553" s="24"/>
      <c r="GI553" s="24"/>
      <c r="GJ553"/>
      <c r="GK553"/>
      <c r="GL553"/>
      <c r="GM553"/>
      <c r="GN553"/>
      <c r="GO553"/>
      <c r="GP553"/>
      <c r="GQ553"/>
      <c r="GR553"/>
      <c r="GS553"/>
      <c r="GT553"/>
      <c r="GU553"/>
      <c r="GV553"/>
      <c r="GW553"/>
      <c r="GX553"/>
      <c r="GY553"/>
      <c r="GZ553"/>
      <c r="HA553"/>
      <c r="HB553"/>
      <c r="HC553"/>
      <c r="HD553"/>
      <c r="HE553"/>
      <c r="HF553"/>
      <c r="HG553"/>
      <c r="HH553"/>
      <c r="HI553"/>
      <c r="HJ553"/>
      <c r="HK553"/>
      <c r="HL553"/>
      <c r="HM553"/>
      <c r="HN553"/>
      <c r="HO553"/>
      <c r="HP553"/>
      <c r="HQ553"/>
      <c r="HR553"/>
      <c r="HS553"/>
      <c r="HT553"/>
      <c r="HU553"/>
      <c r="HV553"/>
      <c r="HW553"/>
      <c r="HX553"/>
      <c r="HY553"/>
      <c r="HZ553"/>
      <c r="IA553"/>
      <c r="IB553"/>
      <c r="IC553"/>
      <c r="ID553"/>
      <c r="IE553"/>
      <c r="IF553"/>
      <c r="IG553"/>
      <c r="IH553"/>
      <c r="II553"/>
      <c r="IJ553"/>
      <c r="IK553"/>
      <c r="IL553"/>
      <c r="IM553"/>
      <c r="IN553"/>
      <c r="IO553"/>
      <c r="IP553"/>
      <c r="IQ553"/>
      <c r="IR553"/>
      <c r="IS553"/>
      <c r="IT553"/>
      <c r="IU553"/>
      <c r="IV553"/>
      <c r="IW553"/>
      <c r="IX553"/>
      <c r="IY553"/>
      <c r="IZ553"/>
      <c r="JA553"/>
      <c r="JB553"/>
      <c r="JC553"/>
      <c r="JD553"/>
      <c r="JE553"/>
      <c r="JF553"/>
      <c r="JG553"/>
      <c r="JH553"/>
      <c r="JI553"/>
      <c r="JJ553"/>
      <c r="JK553"/>
      <c r="JL553"/>
      <c r="JM553"/>
      <c r="JN553"/>
    </row>
    <row r="554" spans="1:274" s="698" customFormat="1" ht="12.75" hidden="1" customHeight="1" outlineLevel="1" x14ac:dyDescent="0.2">
      <c r="A554" s="702" t="s">
        <v>1079</v>
      </c>
      <c r="B554" s="697"/>
      <c r="AZ554" s="698">
        <v>492.23200000000003</v>
      </c>
      <c r="BA554" s="698">
        <v>510.99099999999999</v>
      </c>
      <c r="BC554" s="436">
        <v>2080</v>
      </c>
      <c r="BE554" s="243">
        <v>405</v>
      </c>
      <c r="BF554" s="243">
        <v>427</v>
      </c>
      <c r="BG554" s="243">
        <v>385</v>
      </c>
      <c r="BH554" s="243">
        <f>BI554-BG554-BF554-BE554</f>
        <v>461</v>
      </c>
      <c r="BI554" s="436">
        <v>1678</v>
      </c>
      <c r="BJ554" s="243"/>
      <c r="BK554" s="243">
        <v>367</v>
      </c>
      <c r="BL554" s="243">
        <v>397</v>
      </c>
      <c r="BM554" s="243">
        <v>406</v>
      </c>
      <c r="BN554" s="243">
        <f>BO554-BM554-BL554-BK554</f>
        <v>430</v>
      </c>
      <c r="BO554" s="436">
        <v>1600</v>
      </c>
      <c r="BP554" s="243"/>
      <c r="BQ554" s="243">
        <v>365</v>
      </c>
      <c r="BR554" s="243">
        <v>413</v>
      </c>
      <c r="BS554" s="243">
        <v>433</v>
      </c>
      <c r="BT554" s="243">
        <f>BU554-BS554-BR554-BQ554</f>
        <v>510</v>
      </c>
      <c r="BU554" s="436">
        <v>1721</v>
      </c>
      <c r="BW554" s="243">
        <v>383</v>
      </c>
      <c r="BX554" s="243">
        <v>447</v>
      </c>
      <c r="BY554" s="243">
        <v>537</v>
      </c>
      <c r="BZ554" s="243">
        <f>CA554-BY554-BX554-BW554</f>
        <v>688</v>
      </c>
      <c r="CA554" s="436">
        <v>2055</v>
      </c>
      <c r="CC554" s="243">
        <v>501</v>
      </c>
      <c r="CD554" s="243">
        <v>576</v>
      </c>
      <c r="CE554" s="243">
        <v>622</v>
      </c>
      <c r="CF554" s="243">
        <f>CG554-CE554-CD554-CC554</f>
        <v>939</v>
      </c>
      <c r="CG554" s="436">
        <v>2638</v>
      </c>
      <c r="CI554" s="243">
        <v>627</v>
      </c>
      <c r="CJ554" s="243">
        <v>769</v>
      </c>
      <c r="CK554" s="243">
        <v>826</v>
      </c>
      <c r="CL554" s="243">
        <f>CM554-CK554-CJ554-CI554</f>
        <v>1104</v>
      </c>
      <c r="CM554" s="1077">
        <v>3326</v>
      </c>
      <c r="CO554" s="243">
        <v>838</v>
      </c>
      <c r="CP554" s="243">
        <v>934</v>
      </c>
      <c r="CQ554" s="243">
        <v>927</v>
      </c>
      <c r="CR554" s="243">
        <f>CS554-CQ554-CP554-CO554</f>
        <v>1341</v>
      </c>
      <c r="CS554" s="1077">
        <v>4040</v>
      </c>
      <c r="CU554" s="243">
        <v>968</v>
      </c>
      <c r="CV554" s="243">
        <v>980</v>
      </c>
      <c r="CW554" s="243">
        <v>908</v>
      </c>
      <c r="CX554" s="243">
        <f>CY554-CW554-CV554-CU554</f>
        <v>1150</v>
      </c>
      <c r="CY554" s="1077">
        <v>4006</v>
      </c>
      <c r="DA554" s="243">
        <v>812</v>
      </c>
      <c r="DB554" s="243">
        <v>948</v>
      </c>
      <c r="DC554" s="243">
        <v>962</v>
      </c>
      <c r="DD554" s="243">
        <f>DE554-DC554-DB554-DA554</f>
        <v>1258</v>
      </c>
      <c r="DE554" s="1077">
        <v>3980</v>
      </c>
      <c r="DG554" s="243">
        <v>892</v>
      </c>
      <c r="DH554" s="243">
        <v>1068</v>
      </c>
      <c r="DI554" s="243">
        <v>1152</v>
      </c>
      <c r="DJ554" s="243">
        <f>DK554-DI554-DH554-DG554</f>
        <v>1580</v>
      </c>
      <c r="DK554" s="1077">
        <v>4692</v>
      </c>
      <c r="DM554" s="243">
        <v>1144</v>
      </c>
      <c r="DN554" s="243">
        <v>1174</v>
      </c>
      <c r="DO554" s="243">
        <v>1216</v>
      </c>
      <c r="DP554" s="243">
        <f>DQ554-DO554-DN554-DM554</f>
        <v>1683</v>
      </c>
      <c r="DQ554" s="1077">
        <f>199+5018</f>
        <v>5217</v>
      </c>
      <c r="DS554" s="243">
        <v>1119</v>
      </c>
      <c r="DT554" s="243">
        <v>1263</v>
      </c>
      <c r="DU554" s="243">
        <v>1379</v>
      </c>
      <c r="DV554" s="243">
        <f>DW554-DU554-DT554-DS554</f>
        <v>1779</v>
      </c>
      <c r="DW554" s="1077">
        <f>5227+313</f>
        <v>5540</v>
      </c>
      <c r="DY554" s="243">
        <v>1178</v>
      </c>
      <c r="DZ554" s="243">
        <v>1390</v>
      </c>
      <c r="EA554" s="243">
        <v>1378</v>
      </c>
      <c r="EB554" s="243">
        <f>EC554-EA554-DZ554-DY554</f>
        <v>1720</v>
      </c>
      <c r="EC554" s="1077">
        <v>5666</v>
      </c>
      <c r="EE554" s="243">
        <f>EE593+1279</f>
        <v>1297</v>
      </c>
      <c r="EF554" s="243">
        <f>EF593+1433</f>
        <v>1454</v>
      </c>
      <c r="EG554" s="243">
        <f>EG593+1390</f>
        <v>1415</v>
      </c>
      <c r="EH554" s="243">
        <f>EI554-EG554-EF554-EE554</f>
        <v>2232</v>
      </c>
      <c r="EI554" s="1077">
        <f>EI697</f>
        <v>6398</v>
      </c>
      <c r="EK554" s="243">
        <f>1395+EK593</f>
        <v>1417</v>
      </c>
      <c r="EL554" s="243">
        <f>1470+EL593</f>
        <v>1485</v>
      </c>
      <c r="EM554" s="243">
        <f>1469+EM593</f>
        <v>1486</v>
      </c>
      <c r="EN554" s="243">
        <f>EO554-EM554-EL554-EK554</f>
        <v>2182</v>
      </c>
      <c r="EO554" s="1077">
        <f>EO697</f>
        <v>6570</v>
      </c>
      <c r="EQ554" s="243">
        <f>1580+EQ593</f>
        <v>1596</v>
      </c>
      <c r="ER554" s="243">
        <f>1617+EQ593</f>
        <v>1633</v>
      </c>
      <c r="ES554" s="243">
        <f>1666+EQ593</f>
        <v>1682</v>
      </c>
      <c r="ET554" s="33">
        <f>EU554-SUM(EQ554:ES554)</f>
        <v>1975</v>
      </c>
      <c r="EU554" s="1077">
        <f>EU697</f>
        <v>6886</v>
      </c>
      <c r="EW554" s="243">
        <v>1684</v>
      </c>
      <c r="FA554" s="699"/>
      <c r="FG554" s="699"/>
      <c r="FM554" s="699"/>
      <c r="FO554" s="243"/>
      <c r="FQ554"/>
      <c r="FR554"/>
      <c r="FS554"/>
      <c r="FT554"/>
      <c r="FU554"/>
      <c r="FV554"/>
      <c r="GB554" s="24"/>
      <c r="GC554" s="24"/>
      <c r="GD554" s="24"/>
      <c r="GE554" s="24"/>
      <c r="GF554" s="24"/>
      <c r="GG554" s="24"/>
      <c r="GH554" s="24"/>
      <c r="GI554" s="24"/>
      <c r="GJ554"/>
      <c r="GK554"/>
      <c r="GL554"/>
      <c r="GM554"/>
      <c r="GN554"/>
      <c r="GO554"/>
      <c r="GP554"/>
      <c r="GQ554"/>
      <c r="GR554"/>
      <c r="GS554"/>
      <c r="GT554"/>
      <c r="GU554"/>
      <c r="GV554"/>
      <c r="GW554"/>
      <c r="GX554"/>
      <c r="GY554"/>
      <c r="GZ554"/>
      <c r="HA554"/>
      <c r="HB554"/>
      <c r="HC554"/>
      <c r="HD554"/>
      <c r="HE554"/>
      <c r="HF554"/>
      <c r="HG554"/>
      <c r="HH554"/>
      <c r="HI554"/>
      <c r="HJ554"/>
      <c r="HK554"/>
      <c r="HL554"/>
      <c r="HM554"/>
      <c r="HN554"/>
      <c r="HO554"/>
      <c r="HP554"/>
      <c r="HQ554"/>
      <c r="HR554"/>
      <c r="HS554"/>
      <c r="HT554"/>
      <c r="HU554"/>
      <c r="HV554"/>
      <c r="HW554"/>
      <c r="HX554"/>
      <c r="HY554"/>
      <c r="HZ554"/>
      <c r="IA554"/>
      <c r="IB554"/>
      <c r="IC554"/>
      <c r="ID554"/>
      <c r="IE554"/>
      <c r="IF554"/>
      <c r="IG554"/>
      <c r="IH554"/>
      <c r="II554"/>
      <c r="IJ554"/>
      <c r="IK554"/>
      <c r="IL554"/>
      <c r="IM554"/>
      <c r="IN554"/>
      <c r="IO554"/>
      <c r="IP554"/>
      <c r="IQ554"/>
      <c r="IR554"/>
      <c r="IS554"/>
      <c r="IT554"/>
      <c r="IU554"/>
      <c r="IV554"/>
      <c r="IW554"/>
      <c r="IX554"/>
      <c r="IY554"/>
      <c r="IZ554"/>
      <c r="JA554"/>
      <c r="JB554"/>
      <c r="JC554"/>
      <c r="JD554"/>
      <c r="JE554"/>
      <c r="JF554"/>
      <c r="JG554"/>
      <c r="JH554"/>
      <c r="JI554"/>
      <c r="JJ554"/>
      <c r="JK554"/>
      <c r="JL554"/>
      <c r="JM554"/>
      <c r="JN554"/>
    </row>
    <row r="555" spans="1:274" s="698" customFormat="1" ht="12.75" hidden="1" customHeight="1" outlineLevel="1" x14ac:dyDescent="0.2">
      <c r="A555" s="702" t="s">
        <v>1277</v>
      </c>
      <c r="B555" s="697"/>
      <c r="BC555" s="436"/>
      <c r="BE555" s="243"/>
      <c r="BF555" s="243"/>
      <c r="BG555" s="243"/>
      <c r="BH555" s="243"/>
      <c r="BI555" s="436"/>
      <c r="BJ555" s="243"/>
      <c r="BK555" s="243"/>
      <c r="BL555" s="243"/>
      <c r="BM555" s="243"/>
      <c r="BN555" s="243"/>
      <c r="BO555" s="436"/>
      <c r="BP555" s="243"/>
      <c r="BQ555" s="243"/>
      <c r="BR555" s="243"/>
      <c r="BS555" s="243"/>
      <c r="BT555" s="243"/>
      <c r="BU555" s="436"/>
      <c r="BW555" s="243"/>
      <c r="BX555" s="243"/>
      <c r="BY555" s="243"/>
      <c r="BZ555" s="243"/>
      <c r="CA555" s="436"/>
      <c r="CC555" s="243"/>
      <c r="CD555" s="243"/>
      <c r="CE555" s="243"/>
      <c r="CF555" s="243"/>
      <c r="CG555" s="436"/>
      <c r="CI555" s="243"/>
      <c r="CJ555" s="243"/>
      <c r="CK555" s="243"/>
      <c r="CL555" s="243"/>
      <c r="CM555" s="1077"/>
      <c r="CO555" s="243"/>
      <c r="CP555" s="243"/>
      <c r="CQ555" s="243"/>
      <c r="CR555" s="243"/>
      <c r="CS555" s="1077"/>
      <c r="CU555" s="243"/>
      <c r="CV555" s="243"/>
      <c r="CW555" s="243"/>
      <c r="CX555" s="243"/>
      <c r="CY555" s="1077"/>
      <c r="DA555" s="243"/>
      <c r="DB555" s="243"/>
      <c r="DC555" s="243"/>
      <c r="DD555" s="243"/>
      <c r="DE555" s="1077"/>
      <c r="DG555" s="243"/>
      <c r="DH555" s="243"/>
      <c r="DI555" s="243"/>
      <c r="DJ555" s="243"/>
      <c r="DK555" s="1077"/>
      <c r="DM555" s="243"/>
      <c r="DN555" s="243"/>
      <c r="DO555" s="243"/>
      <c r="DP555" s="243"/>
      <c r="DQ555" s="1077"/>
      <c r="DS555" s="243"/>
      <c r="DT555" s="243"/>
      <c r="DU555" s="243"/>
      <c r="DV555" s="243"/>
      <c r="DW555" s="1077"/>
      <c r="DY555" s="243">
        <v>95</v>
      </c>
      <c r="DZ555" s="243">
        <v>100</v>
      </c>
      <c r="EA555" s="243">
        <v>108</v>
      </c>
      <c r="EB555" s="243">
        <f>EC555-EA555-DZ555-DY555</f>
        <v>134</v>
      </c>
      <c r="EC555" s="1077">
        <v>437</v>
      </c>
      <c r="EE555" s="243">
        <f>143+EE592</f>
        <v>219</v>
      </c>
      <c r="EF555" s="243">
        <f>EF592+158</f>
        <v>241</v>
      </c>
      <c r="EG555" s="243">
        <f>EG592+195</f>
        <v>279</v>
      </c>
      <c r="EH555" s="243">
        <f>EI555-EG555-EF555-EE555</f>
        <v>333</v>
      </c>
      <c r="EI555" s="1077">
        <f>EI698</f>
        <v>1072</v>
      </c>
      <c r="EK555" s="243">
        <f>268+EK592</f>
        <v>353</v>
      </c>
      <c r="EL555" s="243">
        <f>270+EL592</f>
        <v>358</v>
      </c>
      <c r="EM555" s="243">
        <f>284+EL592</f>
        <v>372</v>
      </c>
      <c r="EN555" s="243">
        <f>EO555-EM555-EL555-EK555</f>
        <v>385</v>
      </c>
      <c r="EO555" s="1077">
        <f>EO698</f>
        <v>1468</v>
      </c>
      <c r="EQ555" s="243">
        <f>308+EQ592</f>
        <v>401</v>
      </c>
      <c r="ER555" s="243">
        <f>350+ER592</f>
        <v>457</v>
      </c>
      <c r="ES555" s="243">
        <f>369+ES592</f>
        <v>491</v>
      </c>
      <c r="ET555" s="33">
        <f>EU555-SUM(EQ555:ES555)</f>
        <v>552</v>
      </c>
      <c r="EU555" s="1077">
        <f>EU698</f>
        <v>1901</v>
      </c>
      <c r="EW555" s="243">
        <v>580</v>
      </c>
      <c r="FA555" s="699"/>
      <c r="FG555" s="699"/>
      <c r="FM555" s="699"/>
      <c r="FO555" s="243"/>
      <c r="FQ555"/>
      <c r="FR555"/>
      <c r="FS555"/>
      <c r="FT555"/>
      <c r="FU555"/>
      <c r="FV555"/>
      <c r="GB555" s="24"/>
      <c r="GC555" s="24"/>
      <c r="GD555" s="24"/>
      <c r="GE555" s="24"/>
      <c r="GF555" s="24"/>
      <c r="GG555" s="24"/>
      <c r="GH555" s="24"/>
      <c r="GI555" s="24"/>
      <c r="GJ555"/>
      <c r="GK555"/>
      <c r="GL555"/>
      <c r="GM555"/>
      <c r="GN555"/>
      <c r="GO555"/>
      <c r="GP555"/>
      <c r="GQ555"/>
      <c r="GR555"/>
      <c r="GS555"/>
      <c r="GT555"/>
      <c r="GU555"/>
      <c r="GV555"/>
      <c r="GW555"/>
      <c r="GX555"/>
      <c r="GY555"/>
      <c r="GZ555"/>
      <c r="HA555"/>
      <c r="HB555"/>
      <c r="HC555"/>
      <c r="HD555"/>
      <c r="HE555"/>
      <c r="HF555"/>
      <c r="HG555"/>
      <c r="HH555"/>
      <c r="HI555"/>
      <c r="HJ555"/>
      <c r="HK555"/>
      <c r="HL555"/>
      <c r="HM555"/>
      <c r="HN555"/>
      <c r="HO555"/>
      <c r="HP555"/>
      <c r="HQ555"/>
      <c r="HR555"/>
      <c r="HS555"/>
      <c r="HT555"/>
      <c r="HU555"/>
      <c r="HV555"/>
      <c r="HW555"/>
      <c r="HX555"/>
      <c r="HY555"/>
      <c r="HZ555"/>
      <c r="IA555"/>
      <c r="IB555"/>
      <c r="IC555"/>
      <c r="ID555"/>
      <c r="IE555"/>
      <c r="IF555"/>
      <c r="IG555"/>
      <c r="IH555"/>
      <c r="II555"/>
      <c r="IJ555"/>
      <c r="IK555"/>
      <c r="IL555"/>
      <c r="IM555"/>
      <c r="IN555"/>
      <c r="IO555"/>
      <c r="IP555"/>
      <c r="IQ555"/>
      <c r="IR555"/>
      <c r="IS555"/>
      <c r="IT555"/>
      <c r="IU555"/>
      <c r="IV555"/>
      <c r="IW555"/>
      <c r="IX555"/>
      <c r="IY555"/>
      <c r="IZ555"/>
      <c r="JA555"/>
      <c r="JB555"/>
      <c r="JC555"/>
      <c r="JD555"/>
      <c r="JE555"/>
      <c r="JF555"/>
      <c r="JG555"/>
      <c r="JH555"/>
      <c r="JI555"/>
      <c r="JJ555"/>
      <c r="JK555"/>
      <c r="JL555"/>
      <c r="JM555"/>
      <c r="JN555"/>
    </row>
    <row r="556" spans="1:274" s="698" customFormat="1" ht="12.75" hidden="1" customHeight="1" outlineLevel="1" x14ac:dyDescent="0.2">
      <c r="A556" s="703" t="s">
        <v>1080</v>
      </c>
      <c r="B556" s="697"/>
      <c r="C556" s="704"/>
      <c r="D556" s="704"/>
      <c r="E556" s="704"/>
      <c r="F556" s="704"/>
      <c r="G556" s="704"/>
      <c r="H556" s="704"/>
      <c r="I556" s="704"/>
      <c r="J556" s="704"/>
      <c r="K556" s="704"/>
      <c r="L556" s="704"/>
      <c r="M556" s="704"/>
      <c r="N556" s="704"/>
      <c r="O556" s="704"/>
      <c r="P556" s="704"/>
      <c r="Q556" s="704"/>
      <c r="R556" s="704"/>
      <c r="S556" s="704"/>
      <c r="T556" s="704"/>
      <c r="U556" s="704"/>
      <c r="V556" s="704"/>
      <c r="W556" s="704"/>
      <c r="X556" s="704"/>
      <c r="Y556" s="704"/>
      <c r="Z556" s="704"/>
      <c r="AA556" s="704"/>
      <c r="AB556" s="704"/>
      <c r="AC556" s="704"/>
      <c r="AD556" s="704"/>
      <c r="AE556" s="704"/>
      <c r="AF556" s="704"/>
      <c r="AG556" s="704"/>
      <c r="AH556" s="704"/>
      <c r="AI556" s="704"/>
      <c r="AJ556" s="704"/>
      <c r="AK556" s="704"/>
      <c r="AL556" s="704"/>
      <c r="AM556" s="704"/>
      <c r="AN556" s="704"/>
      <c r="AO556" s="704"/>
      <c r="AP556" s="704"/>
      <c r="AQ556" s="704"/>
      <c r="AR556" s="704"/>
      <c r="AS556" s="704"/>
      <c r="AT556" s="704"/>
      <c r="AU556" s="704"/>
      <c r="AV556" s="704"/>
      <c r="AW556" s="704"/>
      <c r="AX556" s="704"/>
      <c r="AY556" s="704"/>
      <c r="AZ556" s="704"/>
      <c r="BA556" s="704"/>
      <c r="BB556" s="704"/>
      <c r="BC556" s="705">
        <f>BC553-BC554</f>
        <v>2577</v>
      </c>
      <c r="BD556" s="704"/>
      <c r="BE556" s="73">
        <f>BE553-BE554</f>
        <v>316</v>
      </c>
      <c r="BF556" s="73">
        <f>BF553-BF554</f>
        <v>379</v>
      </c>
      <c r="BG556" s="73">
        <f>BG553-BG554</f>
        <v>394</v>
      </c>
      <c r="BH556" s="73">
        <f>BH553-BH554</f>
        <v>710</v>
      </c>
      <c r="BI556" s="705">
        <f>BI553-BI554</f>
        <v>1799</v>
      </c>
      <c r="BJ556" s="73"/>
      <c r="BK556" s="73">
        <f>BK553-BK554</f>
        <v>190</v>
      </c>
      <c r="BL556" s="73">
        <f>BL553-BL554</f>
        <v>362</v>
      </c>
      <c r="BM556" s="73">
        <f>BM553-BM554</f>
        <v>343</v>
      </c>
      <c r="BN556" s="73">
        <f>BN553-BN554</f>
        <v>756</v>
      </c>
      <c r="BO556" s="705">
        <f>BO553-BO554</f>
        <v>1651</v>
      </c>
      <c r="BP556" s="73"/>
      <c r="BQ556" s="73">
        <f>BQ553-BQ554</f>
        <v>159</v>
      </c>
      <c r="BR556" s="73">
        <f>BR553-BR554</f>
        <v>439</v>
      </c>
      <c r="BS556" s="73">
        <f>BS553-BS554</f>
        <v>412</v>
      </c>
      <c r="BT556" s="73">
        <f>BT553-BT554</f>
        <v>802</v>
      </c>
      <c r="BU556" s="705">
        <f>BU553-BU554</f>
        <v>1812</v>
      </c>
      <c r="BV556" s="704"/>
      <c r="BW556" s="73">
        <f>BW553-BW554</f>
        <v>178</v>
      </c>
      <c r="BX556" s="73">
        <f>BX553-BX554</f>
        <v>522</v>
      </c>
      <c r="BY556" s="73">
        <f>BY553-BY554</f>
        <v>409</v>
      </c>
      <c r="BZ556" s="73">
        <f>BZ553-BZ554</f>
        <v>918</v>
      </c>
      <c r="CA556" s="705">
        <f>CA553-CA554</f>
        <v>2027</v>
      </c>
      <c r="CB556" s="704"/>
      <c r="CC556" s="73">
        <f>CC553-CC554</f>
        <v>127</v>
      </c>
      <c r="CD556" s="73">
        <f>CD553-CD554</f>
        <v>480</v>
      </c>
      <c r="CE556" s="73">
        <f>CE553-CE554</f>
        <v>473</v>
      </c>
      <c r="CF556" s="73">
        <f>CF553-CF554</f>
        <v>1179</v>
      </c>
      <c r="CG556" s="705">
        <f>CG553-CG554</f>
        <v>2259</v>
      </c>
      <c r="CH556" s="704"/>
      <c r="CI556" s="73">
        <f>CI553-CI554</f>
        <v>175</v>
      </c>
      <c r="CJ556" s="73">
        <f>CJ553-CJ554</f>
        <v>436</v>
      </c>
      <c r="CK556" s="73">
        <f>CK553-CK554</f>
        <v>562</v>
      </c>
      <c r="CL556" s="73">
        <f>CL553-CL554</f>
        <v>1375</v>
      </c>
      <c r="CM556" s="705">
        <f>CM553-CM554</f>
        <v>2548</v>
      </c>
      <c r="CN556" s="704"/>
      <c r="CO556" s="73">
        <f>CO553-CO554</f>
        <v>246</v>
      </c>
      <c r="CP556" s="73">
        <f>CP553-CP554</f>
        <v>731</v>
      </c>
      <c r="CQ556" s="73">
        <f>CQ553-CQ554</f>
        <v>685</v>
      </c>
      <c r="CR556" s="73">
        <f>CR553-CR554</f>
        <v>1799</v>
      </c>
      <c r="CS556" s="705">
        <f>CS553-CS554</f>
        <v>3461</v>
      </c>
      <c r="CT556" s="704"/>
      <c r="CU556" s="73">
        <f>CU553-CU554</f>
        <v>266</v>
      </c>
      <c r="CV556" s="73">
        <f>CV553-CV554</f>
        <v>643</v>
      </c>
      <c r="CW556" s="73">
        <f>CW553-CW554</f>
        <v>605</v>
      </c>
      <c r="CX556" s="73">
        <f>CX553-CX554</f>
        <v>1592</v>
      </c>
      <c r="CY556" s="705">
        <f>CY553-CY554</f>
        <v>3106</v>
      </c>
      <c r="CZ556" s="704"/>
      <c r="DA556" s="73">
        <f>DA553-DA554</f>
        <v>214</v>
      </c>
      <c r="DB556" s="73">
        <f>DB553-DB554</f>
        <v>701</v>
      </c>
      <c r="DC556" s="73">
        <f>DC553-DC554</f>
        <v>763</v>
      </c>
      <c r="DD556" s="73">
        <f>DD553-DD554</f>
        <v>1867</v>
      </c>
      <c r="DE556" s="705">
        <f>DE553-DE554</f>
        <v>3545</v>
      </c>
      <c r="DF556" s="704"/>
      <c r="DG556" s="73">
        <f>DG553-DG554</f>
        <v>390</v>
      </c>
      <c r="DH556" s="73">
        <f>DH553-DH554</f>
        <v>923</v>
      </c>
      <c r="DI556" s="73">
        <f>DI553-DI554</f>
        <v>1060</v>
      </c>
      <c r="DJ556" s="73">
        <f>DJ553-DJ554</f>
        <v>2155</v>
      </c>
      <c r="DK556" s="705">
        <f>DK553-DK554</f>
        <v>4528</v>
      </c>
      <c r="DL556" s="704"/>
      <c r="DM556" s="73">
        <f>DM553-DM554</f>
        <v>349</v>
      </c>
      <c r="DN556" s="73">
        <f>DN553-DN554</f>
        <v>870</v>
      </c>
      <c r="DO556" s="73">
        <f>DO553-DO554</f>
        <v>1154</v>
      </c>
      <c r="DP556" s="73">
        <f>DP553-DP554</f>
        <v>2320</v>
      </c>
      <c r="DQ556" s="705">
        <f>DQ553-DQ554</f>
        <v>4693</v>
      </c>
      <c r="DR556" s="704"/>
      <c r="DS556" s="73">
        <f>DS553-DS554-DS555</f>
        <v>470</v>
      </c>
      <c r="DT556" s="73">
        <f>DT553-DT554-DT555</f>
        <v>1135</v>
      </c>
      <c r="DU556" s="73">
        <f>DU553-DU554-DU555</f>
        <v>955</v>
      </c>
      <c r="DV556" s="73">
        <f>DV553-DV554-DV555</f>
        <v>2250</v>
      </c>
      <c r="DW556" s="705">
        <f>DW553-DW554-DW555</f>
        <v>4810</v>
      </c>
      <c r="DX556" s="704"/>
      <c r="DY556" s="73">
        <f>DY553-DY554-DY555</f>
        <v>380</v>
      </c>
      <c r="DZ556" s="73">
        <f>DZ553-DZ554-DZ555</f>
        <v>888</v>
      </c>
      <c r="EA556" s="73">
        <f>EA553-EA554-EA555</f>
        <v>932</v>
      </c>
      <c r="EB556" s="73">
        <f>EB553-EB554-EB555</f>
        <v>2239</v>
      </c>
      <c r="EC556" s="705">
        <f>EC553-EC554-EC555</f>
        <v>4439</v>
      </c>
      <c r="ED556" s="704"/>
      <c r="EE556" s="73">
        <f>EE553-EE554-EE555</f>
        <v>331</v>
      </c>
      <c r="EF556" s="73">
        <f>EF553-EF554-EF555</f>
        <v>869</v>
      </c>
      <c r="EG556" s="73">
        <f>EG553-EG554-EG555</f>
        <v>818</v>
      </c>
      <c r="EH556" s="73">
        <f>EH553-EH554-EH555</f>
        <v>1152</v>
      </c>
      <c r="EI556" s="705">
        <f>EI553-EI554-EI555</f>
        <v>3170</v>
      </c>
      <c r="EJ556" s="704"/>
      <c r="EK556" s="73">
        <f>EK553-EK554-EK555</f>
        <v>-7</v>
      </c>
      <c r="EL556" s="73">
        <f>EL553-EL554-EL555</f>
        <v>486</v>
      </c>
      <c r="EM556" s="73">
        <f>EM553-EM554-EM555</f>
        <v>559</v>
      </c>
      <c r="EN556" s="73">
        <f>EN553-EN554-EN555</f>
        <v>1059</v>
      </c>
      <c r="EO556" s="705">
        <f>EO553-EO554-EO555</f>
        <v>2097</v>
      </c>
      <c r="EP556" s="704"/>
      <c r="EQ556" s="73">
        <f>EQ553-EQ554-EQ555</f>
        <v>19</v>
      </c>
      <c r="ER556" s="73">
        <f>ER553-ER554-ER555</f>
        <v>344</v>
      </c>
      <c r="ES556" s="73">
        <f>ES553-ES554-ES555</f>
        <v>499</v>
      </c>
      <c r="ET556" s="73">
        <f>ET553-ET554-ET555</f>
        <v>1509</v>
      </c>
      <c r="EU556" s="705">
        <f>EU553-EU554-EU555</f>
        <v>2371</v>
      </c>
      <c r="EV556" s="704"/>
      <c r="EW556" s="73">
        <f>EW553-EW554-EW555</f>
        <v>194</v>
      </c>
      <c r="EX556" s="704"/>
      <c r="EY556" s="704"/>
      <c r="EZ556" s="704"/>
      <c r="FA556" s="706"/>
      <c r="FB556" s="704"/>
      <c r="FC556" s="704"/>
      <c r="FD556" s="704"/>
      <c r="FE556" s="704"/>
      <c r="FF556" s="704"/>
      <c r="FG556" s="706"/>
      <c r="FH556" s="704"/>
      <c r="FI556" s="704"/>
      <c r="FJ556" s="704"/>
      <c r="FK556" s="704"/>
      <c r="FL556" s="704"/>
      <c r="FM556" s="706"/>
      <c r="FO556" s="457"/>
      <c r="FQ556"/>
      <c r="FR556"/>
      <c r="FS556"/>
      <c r="FT556"/>
      <c r="FU556"/>
      <c r="FV556"/>
      <c r="GB556" s="24"/>
      <c r="GC556" s="24"/>
      <c r="GD556" s="24"/>
      <c r="GE556" s="24"/>
      <c r="GF556" s="24"/>
      <c r="GG556" s="24"/>
      <c r="GH556" s="24"/>
      <c r="GI556" s="24"/>
      <c r="GJ556"/>
      <c r="GK556"/>
      <c r="GL556"/>
      <c r="GM556"/>
      <c r="GN556"/>
      <c r="GO556"/>
      <c r="GP556"/>
      <c r="GQ556"/>
      <c r="GR556"/>
      <c r="GS556"/>
      <c r="GT556"/>
      <c r="GU556"/>
      <c r="GV556"/>
      <c r="GW556"/>
      <c r="GX556"/>
      <c r="GY556"/>
      <c r="GZ556"/>
      <c r="HA556"/>
      <c r="HB556"/>
      <c r="HC556"/>
      <c r="HD556"/>
      <c r="HE556"/>
      <c r="HF556"/>
      <c r="HG556"/>
      <c r="HH556"/>
      <c r="HI556"/>
      <c r="HJ556"/>
      <c r="HK556"/>
      <c r="HL556"/>
      <c r="HM556"/>
      <c r="HN556"/>
      <c r="HO556"/>
      <c r="HP556"/>
      <c r="HQ556"/>
      <c r="HR556"/>
      <c r="HS556"/>
      <c r="HT556"/>
      <c r="HU556"/>
      <c r="HV556"/>
      <c r="HW556"/>
      <c r="HX556"/>
      <c r="HY556"/>
      <c r="HZ556"/>
      <c r="IA556"/>
      <c r="IB556"/>
      <c r="IC556"/>
      <c r="ID556"/>
      <c r="IE556"/>
      <c r="IF556"/>
      <c r="IG556"/>
      <c r="IH556"/>
      <c r="II556"/>
      <c r="IJ556"/>
      <c r="IK556"/>
      <c r="IL556"/>
      <c r="IM556"/>
      <c r="IN556"/>
      <c r="IO556"/>
      <c r="IP556"/>
      <c r="IQ556"/>
      <c r="IR556"/>
      <c r="IS556"/>
      <c r="IT556"/>
      <c r="IU556"/>
      <c r="IV556"/>
      <c r="IW556"/>
      <c r="IX556"/>
      <c r="IY556"/>
      <c r="IZ556"/>
      <c r="JA556"/>
      <c r="JB556"/>
      <c r="JC556"/>
      <c r="JD556"/>
      <c r="JE556"/>
      <c r="JF556"/>
      <c r="JG556"/>
      <c r="JH556"/>
      <c r="JI556"/>
      <c r="JJ556"/>
      <c r="JK556"/>
      <c r="JL556"/>
      <c r="JM556"/>
      <c r="JN556"/>
    </row>
    <row r="557" spans="1:274" s="698" customFormat="1" ht="12.75" hidden="1" customHeight="1" outlineLevel="1" x14ac:dyDescent="0.2">
      <c r="A557" s="703" t="s">
        <v>1081</v>
      </c>
      <c r="B557" s="697"/>
      <c r="C557" s="704"/>
      <c r="D557" s="704"/>
      <c r="E557" s="704"/>
      <c r="F557" s="704"/>
      <c r="G557" s="704"/>
      <c r="H557" s="704"/>
      <c r="I557" s="704"/>
      <c r="J557" s="704"/>
      <c r="K557" s="704"/>
      <c r="L557" s="704"/>
      <c r="M557" s="704"/>
      <c r="N557" s="704"/>
      <c r="O557" s="704"/>
      <c r="P557" s="704"/>
      <c r="Q557" s="704"/>
      <c r="R557" s="704"/>
      <c r="S557" s="704"/>
      <c r="T557" s="704"/>
      <c r="U557" s="704"/>
      <c r="V557" s="704"/>
      <c r="W557" s="704"/>
      <c r="X557" s="704"/>
      <c r="Y557" s="704"/>
      <c r="Z557" s="704"/>
      <c r="AA557" s="704"/>
      <c r="AB557" s="704"/>
      <c r="AC557" s="704"/>
      <c r="AD557" s="704"/>
      <c r="AE557" s="704"/>
      <c r="AF557" s="704"/>
      <c r="AG557" s="704"/>
      <c r="AH557" s="704"/>
      <c r="AI557" s="704"/>
      <c r="AJ557" s="704"/>
      <c r="AK557" s="704"/>
      <c r="AL557" s="704"/>
      <c r="AM557" s="704"/>
      <c r="AN557" s="704"/>
      <c r="AO557" s="704"/>
      <c r="AP557" s="704"/>
      <c r="AQ557" s="704"/>
      <c r="AR557" s="704"/>
      <c r="AS557" s="704"/>
      <c r="AT557" s="704"/>
      <c r="AU557" s="704"/>
      <c r="AV557" s="704"/>
      <c r="AW557" s="704"/>
      <c r="AX557" s="704"/>
      <c r="AY557" s="704"/>
      <c r="AZ557" s="704"/>
      <c r="BA557" s="704"/>
      <c r="BB557" s="704"/>
      <c r="BC557" s="707">
        <f>BC556/BC553</f>
        <v>0.55336053253167272</v>
      </c>
      <c r="BD557" s="704"/>
      <c r="BE557" s="70">
        <f>BE556/BE553</f>
        <v>0.43828016643550627</v>
      </c>
      <c r="BF557" s="70">
        <f>BF556/BF553</f>
        <v>0.47022332506203474</v>
      </c>
      <c r="BG557" s="70">
        <f>BG556/BG553</f>
        <v>0.50577663671373552</v>
      </c>
      <c r="BH557" s="70">
        <f>BH556/BH553</f>
        <v>0.60631938514090522</v>
      </c>
      <c r="BI557" s="707">
        <f>BI556/BI553</f>
        <v>0.51740005752085128</v>
      </c>
      <c r="BJ557" s="704"/>
      <c r="BK557" s="70">
        <f>BK556/BK553</f>
        <v>0.34111310592459604</v>
      </c>
      <c r="BL557" s="70">
        <f>BL556/BL553</f>
        <v>0.4769433465085639</v>
      </c>
      <c r="BM557" s="70">
        <f>BM556/BM553</f>
        <v>0.45794392523364486</v>
      </c>
      <c r="BN557" s="70">
        <f>BN556/BN553</f>
        <v>0.63743676222596968</v>
      </c>
      <c r="BO557" s="707">
        <f>BO556/BO553</f>
        <v>0.50784374038757307</v>
      </c>
      <c r="BP557" s="704"/>
      <c r="BQ557" s="70">
        <f>BQ556/BQ553</f>
        <v>0.30343511450381677</v>
      </c>
      <c r="BR557" s="70">
        <f>BR556/BR553</f>
        <v>0.51525821596244137</v>
      </c>
      <c r="BS557" s="70">
        <f>BS556/BS553</f>
        <v>0.48757396449704143</v>
      </c>
      <c r="BT557" s="70">
        <f>BT556/BT553</f>
        <v>0.61128048780487809</v>
      </c>
      <c r="BU557" s="707">
        <f>BU556/BU553</f>
        <v>0.5128785734503255</v>
      </c>
      <c r="BV557" s="704"/>
      <c r="BW557" s="70">
        <f>BW556/BW553</f>
        <v>0.3172905525846702</v>
      </c>
      <c r="BX557" s="70">
        <f>BX556/BX553</f>
        <v>0.53869969040247678</v>
      </c>
      <c r="BY557" s="70">
        <f>BY556/BY553</f>
        <v>0.43234672304439747</v>
      </c>
      <c r="BZ557" s="70">
        <f>BZ556/BZ553</f>
        <v>0.57160647571606471</v>
      </c>
      <c r="CA557" s="707">
        <f>CA556/CA553</f>
        <v>0.49657030867221952</v>
      </c>
      <c r="CB557" s="704"/>
      <c r="CC557" s="70">
        <f>CC556/CC553</f>
        <v>0.20222929936305734</v>
      </c>
      <c r="CD557" s="70">
        <f>CD556/CD553</f>
        <v>0.45454545454545453</v>
      </c>
      <c r="CE557" s="70">
        <f>CE556/CE553</f>
        <v>0.43196347031963472</v>
      </c>
      <c r="CF557" s="70">
        <f>CF556/CF553</f>
        <v>0.556657223796034</v>
      </c>
      <c r="CG557" s="707">
        <f>CG556/CG553</f>
        <v>0.46130283847253423</v>
      </c>
      <c r="CH557" s="704"/>
      <c r="CI557" s="70">
        <f>CI556/CI553</f>
        <v>0.21820448877805487</v>
      </c>
      <c r="CJ557" s="70">
        <f>CJ556/CJ553</f>
        <v>0.36182572614107883</v>
      </c>
      <c r="CK557" s="70">
        <f>CK556/CK553</f>
        <v>0.40489913544668588</v>
      </c>
      <c r="CL557" s="70">
        <f>CL556/CL553</f>
        <v>0.55465913674868894</v>
      </c>
      <c r="CM557" s="707">
        <f>CM556/CM553</f>
        <v>0.43377596186584949</v>
      </c>
      <c r="CN557" s="704"/>
      <c r="CO557" s="70">
        <f>CO556/CO553</f>
        <v>0.22693726937269373</v>
      </c>
      <c r="CP557" s="70">
        <f>CP556/CP553</f>
        <v>0.43903903903903901</v>
      </c>
      <c r="CQ557" s="70">
        <f>CQ556/CQ553</f>
        <v>0.42493796526054589</v>
      </c>
      <c r="CR557" s="70">
        <f>CR556/CR553</f>
        <v>0.57292993630573252</v>
      </c>
      <c r="CS557" s="707">
        <f>CS556/CS553</f>
        <v>0.46140514598053595</v>
      </c>
      <c r="CT557" s="704"/>
      <c r="CU557" s="70">
        <f>CU556/CU553</f>
        <v>0.21555915721231766</v>
      </c>
      <c r="CV557" s="70">
        <f>CV556/CV553</f>
        <v>0.39617991373998768</v>
      </c>
      <c r="CW557" s="70">
        <f>CW556/CW553</f>
        <v>0.39986781229345669</v>
      </c>
      <c r="CX557" s="70">
        <f>CX556/CX553</f>
        <v>0.58059810357403352</v>
      </c>
      <c r="CY557" s="707">
        <f>CY556/CY553</f>
        <v>0.43672665916760406</v>
      </c>
      <c r="CZ557" s="704"/>
      <c r="DA557" s="70">
        <f>DA556/DA553</f>
        <v>0.20857699805068225</v>
      </c>
      <c r="DB557" s="70">
        <f>DB556/DB553</f>
        <v>0.42510612492419647</v>
      </c>
      <c r="DC557" s="70">
        <f>DC556/DC553</f>
        <v>0.44231884057971016</v>
      </c>
      <c r="DD557" s="70">
        <f>DD556/DD553</f>
        <v>0.59743999999999997</v>
      </c>
      <c r="DE557" s="707">
        <f>DE556/DE553</f>
        <v>0.47109634551495017</v>
      </c>
      <c r="DF557" s="704"/>
      <c r="DG557" s="70">
        <f>DG556/DG553</f>
        <v>0.30421216848673949</v>
      </c>
      <c r="DH557" s="70">
        <f>DH556/DH553</f>
        <v>0.4635861376192868</v>
      </c>
      <c r="DI557" s="70">
        <f>DI556/DI553</f>
        <v>0.47920433996383366</v>
      </c>
      <c r="DJ557" s="70">
        <f>DJ556/DJ553</f>
        <v>0.57697456492637211</v>
      </c>
      <c r="DK557" s="707">
        <f>DK556/DK553</f>
        <v>0.49110629067245121</v>
      </c>
      <c r="DL557" s="704"/>
      <c r="DM557" s="70">
        <f>DM556/DM553</f>
        <v>0.23375753516409914</v>
      </c>
      <c r="DN557" s="70">
        <f>DN556/DN553</f>
        <v>0.42563600782778865</v>
      </c>
      <c r="DO557" s="70">
        <f>DO556/DO553</f>
        <v>0.4869198312236287</v>
      </c>
      <c r="DP557" s="70">
        <f>DP556/DP553</f>
        <v>0.57956532600549593</v>
      </c>
      <c r="DQ557" s="707">
        <f>DQ556/DQ553</f>
        <v>0.47356205852674066</v>
      </c>
      <c r="DR557" s="704"/>
      <c r="DS557" s="70">
        <f>DS556/DS553</f>
        <v>0.29578351164254246</v>
      </c>
      <c r="DT557" s="70">
        <f>DT556/DT553</f>
        <v>0.4733110925771476</v>
      </c>
      <c r="DU557" s="70">
        <f>DU556/DU553</f>
        <v>0.40916880891173951</v>
      </c>
      <c r="DV557" s="70">
        <f>DV556/DV553</f>
        <v>0.55845122859270291</v>
      </c>
      <c r="DW557" s="707">
        <f>DW556/DW553</f>
        <v>0.4647342995169082</v>
      </c>
      <c r="DX557" s="704"/>
      <c r="DY557" s="70">
        <f>DY556/DY553</f>
        <v>0.22988505747126436</v>
      </c>
      <c r="DZ557" s="70">
        <f>DZ556/DZ553</f>
        <v>0.37342304457527337</v>
      </c>
      <c r="EA557" s="70">
        <f>EA556/EA553</f>
        <v>0.38544251447477251</v>
      </c>
      <c r="EB557" s="70">
        <f>EB556/EB553</f>
        <v>0.5470315172245297</v>
      </c>
      <c r="EC557" s="707">
        <f>EC556/EC553</f>
        <v>0.42107759438436732</v>
      </c>
      <c r="ED557" s="704"/>
      <c r="EE557" s="70">
        <f>EE556/EE553</f>
        <v>0.17920952896589062</v>
      </c>
      <c r="EF557" s="70">
        <f>EF556/EF553</f>
        <v>0.33892355694227772</v>
      </c>
      <c r="EG557" s="70">
        <f>EG556/EG553</f>
        <v>0.32563694267515925</v>
      </c>
      <c r="EH557" s="70">
        <f>EH556/EH553</f>
        <v>0.30992736077481842</v>
      </c>
      <c r="EI557" s="707">
        <f>EI556/EI553</f>
        <v>0.29793233082706766</v>
      </c>
      <c r="EJ557" s="704"/>
      <c r="EK557" s="70">
        <f>EK556/EK553</f>
        <v>-3.9705048213272828E-3</v>
      </c>
      <c r="EL557" s="70">
        <f>EL556/EL553</f>
        <v>0.20867325032202663</v>
      </c>
      <c r="EM557" s="70">
        <f>EM556/EM553</f>
        <v>0.23127844435250311</v>
      </c>
      <c r="EN557" s="70">
        <f>EN556/EN553</f>
        <v>0.29205736348593492</v>
      </c>
      <c r="EO557" s="707">
        <f>EO556/EO553</f>
        <v>0.20690675875678344</v>
      </c>
      <c r="EP557" s="704"/>
      <c r="EQ557" s="70">
        <f>EQ556/EQ553</f>
        <v>9.4246031746031741E-3</v>
      </c>
      <c r="ER557" s="70">
        <f>ER556/ER553</f>
        <v>0.14133114215283485</v>
      </c>
      <c r="ES557" s="70">
        <f>ES556/ES553</f>
        <v>0.18675149700598803</v>
      </c>
      <c r="ET557" s="70">
        <f>ET556/ET553</f>
        <v>0.3738850346878097</v>
      </c>
      <c r="EU557" s="707">
        <f>EU556/EU553</f>
        <v>0.21249327836529844</v>
      </c>
      <c r="EV557" s="704"/>
      <c r="EW557" s="70">
        <f>EW556/EW553</f>
        <v>7.8925956061838887E-2</v>
      </c>
      <c r="EX557" s="704"/>
      <c r="EY557" s="704"/>
      <c r="EZ557" s="704"/>
      <c r="FA557" s="706"/>
      <c r="FB557" s="704"/>
      <c r="FC557" s="704"/>
      <c r="FD557" s="704"/>
      <c r="FE557" s="704"/>
      <c r="FF557" s="704"/>
      <c r="FG557" s="706"/>
      <c r="FH557" s="704"/>
      <c r="FI557" s="704"/>
      <c r="FJ557" s="704"/>
      <c r="FK557" s="704"/>
      <c r="FL557" s="704"/>
      <c r="FM557" s="706"/>
      <c r="FN557" s="188"/>
      <c r="FO557" s="188"/>
      <c r="FQ557"/>
      <c r="FR557"/>
      <c r="FS557"/>
      <c r="FT557"/>
      <c r="FU557"/>
      <c r="FV557"/>
      <c r="GB557" s="24"/>
      <c r="GC557" s="24"/>
      <c r="GD557" s="24"/>
      <c r="GE557" s="24"/>
      <c r="GF557" s="24"/>
      <c r="GG557" s="24"/>
      <c r="GH557" s="24"/>
      <c r="GI557" s="24"/>
      <c r="GJ557"/>
      <c r="GK557"/>
      <c r="GL557"/>
      <c r="GM557"/>
      <c r="GN557"/>
      <c r="GO557"/>
      <c r="GP557"/>
      <c r="GQ557"/>
      <c r="GR557"/>
      <c r="GS557"/>
      <c r="GT557"/>
      <c r="GU557"/>
      <c r="GV557"/>
      <c r="GW557"/>
      <c r="GX557"/>
      <c r="GY557"/>
      <c r="GZ557"/>
      <c r="HA557"/>
      <c r="HB557"/>
      <c r="HC557"/>
      <c r="HD557"/>
      <c r="HE557"/>
      <c r="HF557"/>
      <c r="HG557"/>
      <c r="HH557"/>
      <c r="HI557"/>
      <c r="HJ557"/>
      <c r="HK557"/>
      <c r="HL557"/>
      <c r="HM557"/>
      <c r="HN557"/>
      <c r="HO557"/>
      <c r="HP557"/>
      <c r="HQ557"/>
      <c r="HR557"/>
      <c r="HS557"/>
      <c r="HT557"/>
      <c r="HU557"/>
      <c r="HV557"/>
      <c r="HW557"/>
      <c r="HX557"/>
      <c r="HY557"/>
      <c r="HZ557"/>
      <c r="IA557"/>
      <c r="IB557"/>
      <c r="IC557"/>
      <c r="ID557"/>
      <c r="IE557"/>
      <c r="IF557"/>
      <c r="IG557"/>
      <c r="IH557"/>
      <c r="II557"/>
      <c r="IJ557"/>
      <c r="IK557"/>
      <c r="IL557"/>
      <c r="IM557"/>
      <c r="IN557"/>
      <c r="IO557"/>
      <c r="IP557"/>
      <c r="IQ557"/>
      <c r="IR557"/>
      <c r="IS557"/>
      <c r="IT557"/>
      <c r="IU557"/>
      <c r="IV557"/>
      <c r="IW557"/>
      <c r="IX557"/>
      <c r="IY557"/>
      <c r="IZ557"/>
      <c r="JA557"/>
      <c r="JB557"/>
      <c r="JC557"/>
      <c r="JD557"/>
      <c r="JE557"/>
      <c r="JF557"/>
      <c r="JG557"/>
      <c r="JH557"/>
      <c r="JI557"/>
      <c r="JJ557"/>
      <c r="JK557"/>
      <c r="JL557"/>
      <c r="JM557"/>
      <c r="JN557"/>
    </row>
    <row r="558" spans="1:274" s="698" customFormat="1" ht="7.5" hidden="1" customHeight="1" outlineLevel="1" x14ac:dyDescent="0.2">
      <c r="B558" s="697"/>
      <c r="BC558" s="708"/>
      <c r="BI558" s="708"/>
      <c r="BO558" s="708"/>
      <c r="BU558" s="708"/>
      <c r="CA558" s="708"/>
      <c r="CG558" s="708"/>
      <c r="CM558" s="708"/>
      <c r="CS558" s="708"/>
      <c r="CY558" s="708"/>
      <c r="DE558" s="708"/>
      <c r="DK558" s="708"/>
      <c r="DQ558" s="708"/>
      <c r="DW558" s="708"/>
      <c r="EC558" s="708"/>
      <c r="EI558" s="708"/>
      <c r="EO558" s="708"/>
      <c r="EU558" s="708"/>
      <c r="FA558" s="699"/>
      <c r="FG558" s="699"/>
      <c r="FM558" s="699"/>
      <c r="FQ558"/>
      <c r="FR558"/>
      <c r="FS558"/>
      <c r="FT558"/>
      <c r="FU558"/>
      <c r="FV558"/>
      <c r="GB558" s="24"/>
      <c r="GC558" s="24"/>
      <c r="GD558" s="24"/>
      <c r="GE558" s="24"/>
      <c r="GF558" s="24"/>
      <c r="GG558" s="24"/>
      <c r="GH558" s="24"/>
      <c r="GI558" s="24"/>
      <c r="GJ558"/>
      <c r="GK558"/>
      <c r="GL558"/>
      <c r="GM558"/>
      <c r="GN558"/>
      <c r="GO558"/>
      <c r="GP558"/>
      <c r="GQ558"/>
      <c r="GR558"/>
      <c r="GS558"/>
      <c r="GT558"/>
      <c r="GU558"/>
      <c r="GV558"/>
      <c r="GW558"/>
      <c r="GX558"/>
      <c r="GY558"/>
      <c r="GZ558"/>
      <c r="HA558"/>
      <c r="HB558"/>
      <c r="HC558"/>
      <c r="HD558"/>
      <c r="HE558"/>
      <c r="HF558"/>
      <c r="HG558"/>
      <c r="HH558"/>
      <c r="HI558"/>
      <c r="HJ558"/>
      <c r="HK558"/>
      <c r="HL558"/>
      <c r="HM558"/>
      <c r="HN558"/>
      <c r="HO558"/>
      <c r="HP558"/>
      <c r="HQ558"/>
      <c r="HR558"/>
      <c r="HS558"/>
      <c r="HT558"/>
      <c r="HU558"/>
      <c r="HV558"/>
      <c r="HW558"/>
      <c r="HX558"/>
      <c r="HY558"/>
      <c r="HZ558"/>
      <c r="IA558"/>
      <c r="IB558"/>
      <c r="IC558"/>
      <c r="ID558"/>
      <c r="IE558"/>
      <c r="IF558"/>
      <c r="IG558"/>
      <c r="IH558"/>
      <c r="II558"/>
      <c r="IJ558"/>
      <c r="IK558"/>
      <c r="IL558"/>
      <c r="IM558"/>
      <c r="IN558"/>
      <c r="IO558"/>
      <c r="IP558"/>
      <c r="IQ558"/>
      <c r="IR558"/>
      <c r="IS558"/>
      <c r="IT558"/>
      <c r="IU558"/>
      <c r="IV558"/>
      <c r="IW558"/>
      <c r="IX558"/>
      <c r="IY558"/>
      <c r="IZ558"/>
      <c r="JA558"/>
      <c r="JB558"/>
      <c r="JC558"/>
      <c r="JD558"/>
      <c r="JE558"/>
      <c r="JF558"/>
      <c r="JG558"/>
      <c r="JH558"/>
      <c r="JI558"/>
      <c r="JJ558"/>
      <c r="JK558"/>
      <c r="JL558"/>
      <c r="JM558"/>
      <c r="JN558"/>
    </row>
    <row r="559" spans="1:274" s="698" customFormat="1" ht="12.75" hidden="1" customHeight="1" outlineLevel="1" x14ac:dyDescent="0.2">
      <c r="A559" s="696" t="s">
        <v>1082</v>
      </c>
      <c r="B559" s="697"/>
      <c r="BC559" s="708"/>
      <c r="BI559" s="708"/>
      <c r="BO559" s="708"/>
      <c r="BU559" s="708"/>
      <c r="BZ559" s="1118"/>
      <c r="CA559" s="708"/>
      <c r="CF559" s="1118"/>
      <c r="CG559" s="708"/>
      <c r="CL559" s="1118"/>
      <c r="CM559" s="708"/>
      <c r="CR559" s="1118"/>
      <c r="CS559" s="708"/>
      <c r="CX559" s="1118"/>
      <c r="CY559" s="708"/>
      <c r="DD559" s="1181">
        <f>DD557-CX557</f>
        <v>1.6841896425966452E-2</v>
      </c>
      <c r="DE559" s="708"/>
      <c r="DJ559" s="1181">
        <f>DJ557-DD557</f>
        <v>-2.0465435073627858E-2</v>
      </c>
      <c r="DK559" s="708"/>
      <c r="DP559" s="1181">
        <f>DP557-DJ557</f>
        <v>2.5907610791238156E-3</v>
      </c>
      <c r="DQ559" s="708"/>
      <c r="DS559" s="1181">
        <f>DS557-DM557</f>
        <v>6.2025976478443323E-2</v>
      </c>
      <c r="DT559" s="1181">
        <f>DT557-DN557</f>
        <v>4.7675084749358942E-2</v>
      </c>
      <c r="DU559" s="1181">
        <f>DU557-DO557</f>
        <v>-7.7751022311889184E-2</v>
      </c>
      <c r="DV559" s="1181">
        <f>DV557-DP557</f>
        <v>-2.111409741279302E-2</v>
      </c>
      <c r="DW559" s="708"/>
      <c r="DY559" s="1181">
        <f>DY557-DS557</f>
        <v>-6.5898454171278098E-2</v>
      </c>
      <c r="DZ559" s="1181">
        <f>DZ557-DT557</f>
        <v>-9.988804800187423E-2</v>
      </c>
      <c r="EA559" s="1181">
        <f>EA557-DU557</f>
        <v>-2.3726294436966999E-2</v>
      </c>
      <c r="EB559" s="1181">
        <f>EB557-DV557</f>
        <v>-1.1419711368173213E-2</v>
      </c>
      <c r="EC559" s="708"/>
      <c r="EE559" s="1181">
        <f>EE557-DY557</f>
        <v>-5.067552850537374E-2</v>
      </c>
      <c r="EF559" s="1181">
        <f>EF557-DZ557</f>
        <v>-3.4499487632995651E-2</v>
      </c>
      <c r="EG559" s="1181">
        <f>EG557-EA557</f>
        <v>-5.9805571799613266E-2</v>
      </c>
      <c r="EH559" s="1181">
        <f>EH557-EB557</f>
        <v>-0.23710415644971128</v>
      </c>
      <c r="EI559" s="708"/>
      <c r="EK559" s="1181">
        <f>EK557-EE557</f>
        <v>-0.18318003378721789</v>
      </c>
      <c r="EL559" s="1181">
        <f>EL557-EF557</f>
        <v>-0.13025030662025108</v>
      </c>
      <c r="EM559" s="1181">
        <f>EM557-EG557</f>
        <v>-9.4358498322656137E-2</v>
      </c>
      <c r="EN559" s="1181">
        <f>EN557-EH557</f>
        <v>-1.7869997288883499E-2</v>
      </c>
      <c r="EO559" s="708"/>
      <c r="EQ559" s="1181">
        <f>EQ557-EK557</f>
        <v>1.3395107995930456E-2</v>
      </c>
      <c r="ER559" s="1181">
        <f>ER557-EL557</f>
        <v>-6.7342108169191783E-2</v>
      </c>
      <c r="ES559" s="1181">
        <f>ES557-EM557</f>
        <v>-4.4526947346515078E-2</v>
      </c>
      <c r="ET559" s="1181">
        <f>ET557-EN557</f>
        <v>8.1827671201874785E-2</v>
      </c>
      <c r="EU559" s="708"/>
      <c r="EW559" s="1181">
        <f>EW557-EQ557</f>
        <v>6.9501352887235718E-2</v>
      </c>
      <c r="FA559" s="699"/>
      <c r="FG559" s="699"/>
      <c r="FM559" s="699"/>
      <c r="FQ559"/>
      <c r="FR559"/>
      <c r="FS559"/>
      <c r="FT559"/>
      <c r="FU559"/>
      <c r="FV559"/>
      <c r="GB559" s="24"/>
      <c r="GC559" s="24"/>
      <c r="GD559" s="24"/>
      <c r="GE559" s="24"/>
      <c r="GF559" s="24"/>
      <c r="GG559" s="24"/>
      <c r="GH559" s="24"/>
      <c r="GI559" s="24"/>
      <c r="GJ559"/>
      <c r="GK559"/>
      <c r="GL559"/>
      <c r="GM559"/>
      <c r="GN559"/>
      <c r="GO559"/>
      <c r="GP559"/>
      <c r="GQ559"/>
      <c r="GR559"/>
      <c r="GS559"/>
      <c r="GT559"/>
      <c r="GU559"/>
      <c r="GV559"/>
      <c r="GW559"/>
      <c r="GX559"/>
      <c r="GY559"/>
      <c r="GZ559"/>
      <c r="HA559"/>
      <c r="HB559"/>
      <c r="HC559"/>
      <c r="HD559"/>
      <c r="HE559"/>
      <c r="HF559"/>
      <c r="HG559"/>
      <c r="HH559"/>
      <c r="HI559"/>
      <c r="HJ559"/>
      <c r="HK559"/>
      <c r="HL559"/>
      <c r="HM559"/>
      <c r="HN559"/>
      <c r="HO559"/>
      <c r="HP559"/>
      <c r="HQ559"/>
      <c r="HR559"/>
      <c r="HS559"/>
      <c r="HT559"/>
      <c r="HU559"/>
      <c r="HV559"/>
      <c r="HW559"/>
      <c r="HX559"/>
      <c r="HY559"/>
      <c r="HZ559"/>
      <c r="IA559"/>
      <c r="IB559"/>
      <c r="IC559"/>
      <c r="ID559"/>
      <c r="IE559"/>
      <c r="IF559"/>
      <c r="IG559"/>
      <c r="IH559"/>
      <c r="II559"/>
      <c r="IJ559"/>
      <c r="IK559"/>
      <c r="IL559"/>
      <c r="IM559"/>
      <c r="IN559"/>
      <c r="IO559"/>
      <c r="IP559"/>
      <c r="IQ559"/>
      <c r="IR559"/>
      <c r="IS559"/>
      <c r="IT559"/>
      <c r="IU559"/>
      <c r="IV559"/>
      <c r="IW559"/>
      <c r="IX559"/>
      <c r="IY559"/>
      <c r="IZ559"/>
      <c r="JA559"/>
      <c r="JB559"/>
      <c r="JC559"/>
      <c r="JD559"/>
      <c r="JE559"/>
      <c r="JF559"/>
      <c r="JG559"/>
      <c r="JH559"/>
      <c r="JI559"/>
      <c r="JJ559"/>
      <c r="JK559"/>
      <c r="JL559"/>
      <c r="JM559"/>
      <c r="JN559"/>
    </row>
    <row r="560" spans="1:274" s="698" customFormat="1" ht="12.75" hidden="1" customHeight="1" outlineLevel="1" x14ac:dyDescent="0.2">
      <c r="A560" s="702" t="s">
        <v>1078</v>
      </c>
      <c r="B560" s="697"/>
      <c r="AZ560" s="698">
        <v>872.47500000000002</v>
      </c>
      <c r="BA560" s="698">
        <v>905.774</v>
      </c>
      <c r="BC560" s="606">
        <v>3301</v>
      </c>
      <c r="BE560" s="457">
        <f>569+352-BE591</f>
        <v>838</v>
      </c>
      <c r="BF560" s="457">
        <f>601+280</f>
        <v>881</v>
      </c>
      <c r="BG560" s="457">
        <v>867</v>
      </c>
      <c r="BH560" s="457">
        <f>BI560-BG560-BF560-BE560</f>
        <v>954</v>
      </c>
      <c r="BI560" s="606">
        <v>3540</v>
      </c>
      <c r="BJ560" s="457"/>
      <c r="BK560" s="457">
        <v>905</v>
      </c>
      <c r="BL560" s="457">
        <v>954</v>
      </c>
      <c r="BM560" s="457">
        <v>1005</v>
      </c>
      <c r="BN560" s="457">
        <f>BO560-BM560-BL560-BK560</f>
        <v>1065</v>
      </c>
      <c r="BO560" s="606">
        <v>3929</v>
      </c>
      <c r="BP560" s="457"/>
      <c r="BQ560" s="457">
        <v>1034</v>
      </c>
      <c r="BR560" s="457">
        <v>1114</v>
      </c>
      <c r="BS560" s="457">
        <v>1176</v>
      </c>
      <c r="BT560" s="457">
        <f>BU560-BS560-BR560-BQ560</f>
        <v>1205</v>
      </c>
      <c r="BU560" s="606">
        <v>4529</v>
      </c>
      <c r="BW560" s="457">
        <v>1176</v>
      </c>
      <c r="BX560" s="457">
        <v>1252</v>
      </c>
      <c r="BY560" s="457">
        <v>1531</v>
      </c>
      <c r="BZ560" s="457">
        <f>CA560-BY560-BX560-BW560</f>
        <v>1691</v>
      </c>
      <c r="CA560" s="606">
        <v>5650</v>
      </c>
      <c r="CC560" s="457">
        <v>1641</v>
      </c>
      <c r="CD560" s="457">
        <v>1661</v>
      </c>
      <c r="CE560" s="457">
        <v>1767</v>
      </c>
      <c r="CF560" s="457">
        <f>CG560-CE560-CD560-CC560</f>
        <v>1958</v>
      </c>
      <c r="CG560" s="606">
        <v>7027</v>
      </c>
      <c r="CI560" s="457">
        <v>2010</v>
      </c>
      <c r="CJ560" s="457">
        <v>2060</v>
      </c>
      <c r="CK560" s="457">
        <v>2143</v>
      </c>
      <c r="CL560" s="457">
        <f>CM560-CK560-CJ560-CI560</f>
        <v>2328</v>
      </c>
      <c r="CM560" s="606">
        <v>8541</v>
      </c>
      <c r="CO560" s="457">
        <v>2446</v>
      </c>
      <c r="CP560" s="457">
        <v>2542</v>
      </c>
      <c r="CQ560" s="457">
        <v>2647</v>
      </c>
      <c r="CR560" s="457">
        <f>CS560-CQ560-CP560-CO560</f>
        <v>2872</v>
      </c>
      <c r="CS560" s="606">
        <v>10507</v>
      </c>
      <c r="CU560" s="33">
        <v>3026</v>
      </c>
      <c r="CV560" s="33">
        <v>2930</v>
      </c>
      <c r="CW560" s="33">
        <v>2968</v>
      </c>
      <c r="CX560" s="33">
        <f>CY560-CW560-CV560-CU560</f>
        <v>3073</v>
      </c>
      <c r="CY560" s="606">
        <v>11997</v>
      </c>
      <c r="DA560" s="243">
        <v>3126</v>
      </c>
      <c r="DB560" s="33">
        <v>3261</v>
      </c>
      <c r="DC560" s="33">
        <v>3323</v>
      </c>
      <c r="DD560" s="33">
        <f>DE560-DC560-DB560-DA560</f>
        <v>3465</v>
      </c>
      <c r="DE560" s="606">
        <v>13175</v>
      </c>
      <c r="DG560" s="33">
        <v>3475</v>
      </c>
      <c r="DH560" s="243">
        <v>3667</v>
      </c>
      <c r="DI560" s="33">
        <v>3756</v>
      </c>
      <c r="DJ560" s="33">
        <f>DK560-DI560-DH560-DG560</f>
        <v>3978</v>
      </c>
      <c r="DK560" s="606">
        <v>14876</v>
      </c>
      <c r="DM560" s="33">
        <v>4035</v>
      </c>
      <c r="DN560" s="33">
        <v>3996</v>
      </c>
      <c r="DO560" s="33">
        <v>4068</v>
      </c>
      <c r="DP560" s="33">
        <f>DQ560-DO560-DN560-DM560</f>
        <v>4159</v>
      </c>
      <c r="DQ560" s="606">
        <v>16258</v>
      </c>
      <c r="DS560" s="33">
        <v>4145</v>
      </c>
      <c r="DT560" s="33">
        <v>4264</v>
      </c>
      <c r="DU560" s="33">
        <v>4344</v>
      </c>
      <c r="DV560" s="33">
        <f>DW560-DU560-DT560-DS560</f>
        <v>4403</v>
      </c>
      <c r="DW560" s="606">
        <v>17156</v>
      </c>
      <c r="DY560" s="33">
        <v>4432</v>
      </c>
      <c r="DZ560" s="33">
        <v>4517</v>
      </c>
      <c r="EA560" s="33">
        <v>4565</v>
      </c>
      <c r="EB560" s="33">
        <f>EC560-EA560-DZ560-DY560</f>
        <v>4695</v>
      </c>
      <c r="EC560" s="606">
        <v>18209</v>
      </c>
      <c r="EE560" s="33">
        <v>4731</v>
      </c>
      <c r="EF560" s="33">
        <v>4773</v>
      </c>
      <c r="EG560" s="33">
        <v>4664</v>
      </c>
      <c r="EH560" s="33">
        <f>EI560-EG560-EF560-EE560</f>
        <v>4690</v>
      </c>
      <c r="EI560" s="606">
        <v>18858</v>
      </c>
      <c r="EK560" s="33">
        <v>4697</v>
      </c>
      <c r="EL560" s="33">
        <v>4683</v>
      </c>
      <c r="EM560" s="33">
        <v>4669</v>
      </c>
      <c r="EN560" s="33">
        <f>EO560-EM560-EL560-EK560</f>
        <v>4814</v>
      </c>
      <c r="EO560" s="606">
        <v>18863</v>
      </c>
      <c r="EQ560" s="33">
        <v>4793</v>
      </c>
      <c r="ER560" s="33">
        <v>4778</v>
      </c>
      <c r="ES560" s="33">
        <v>4762</v>
      </c>
      <c r="ET560" s="33">
        <f>Model!ET46</f>
        <v>4897</v>
      </c>
      <c r="EU560" s="606">
        <f>SUM(EQ560:ET560)</f>
        <v>19230</v>
      </c>
      <c r="EW560" s="33">
        <f>Model!EW46</f>
        <v>4951</v>
      </c>
      <c r="FA560" s="699"/>
      <c r="FG560" s="699"/>
      <c r="FM560" s="699"/>
      <c r="FO560" s="457"/>
      <c r="FQ560"/>
      <c r="FR560"/>
      <c r="FS560"/>
      <c r="FT560"/>
      <c r="FU560"/>
      <c r="FV560"/>
      <c r="GB560" s="24"/>
      <c r="GC560" s="24"/>
      <c r="GD560" s="24"/>
      <c r="GE560" s="24"/>
      <c r="GF560" s="24"/>
      <c r="GG560" s="24"/>
      <c r="GH560" s="24"/>
      <c r="GI560" s="24"/>
      <c r="GJ560"/>
      <c r="GK560"/>
      <c r="GL560"/>
      <c r="GM560"/>
      <c r="GN560"/>
      <c r="GO560"/>
      <c r="GP560"/>
      <c r="GQ560"/>
      <c r="GR560"/>
      <c r="GS560"/>
      <c r="GT560"/>
      <c r="GU560"/>
      <c r="GV560"/>
      <c r="GW560"/>
      <c r="GX560"/>
      <c r="GY560"/>
      <c r="GZ560"/>
      <c r="HA560"/>
      <c r="HB560"/>
      <c r="HC560"/>
      <c r="HD560"/>
      <c r="HE560"/>
      <c r="HF560"/>
      <c r="HG560"/>
      <c r="HH560"/>
      <c r="HI560"/>
      <c r="HJ560"/>
      <c r="HK560"/>
      <c r="HL560"/>
      <c r="HM560"/>
      <c r="HN560"/>
      <c r="HO560"/>
      <c r="HP560"/>
      <c r="HQ560"/>
      <c r="HR560"/>
      <c r="HS560"/>
      <c r="HT560"/>
      <c r="HU560"/>
      <c r="HV560"/>
      <c r="HW560"/>
      <c r="HX560"/>
      <c r="HY560"/>
      <c r="HZ560"/>
      <c r="IA560"/>
      <c r="IB560"/>
      <c r="IC560"/>
      <c r="ID560"/>
      <c r="IE560"/>
      <c r="IF560"/>
      <c r="IG560"/>
      <c r="IH560"/>
      <c r="II560"/>
      <c r="IJ560"/>
      <c r="IK560"/>
      <c r="IL560"/>
      <c r="IM560"/>
      <c r="IN560"/>
      <c r="IO560"/>
      <c r="IP560"/>
      <c r="IQ560"/>
      <c r="IR560"/>
      <c r="IS560"/>
      <c r="IT560"/>
      <c r="IU560"/>
      <c r="IV560"/>
      <c r="IW560"/>
      <c r="IX560"/>
      <c r="IY560"/>
      <c r="IZ560"/>
      <c r="JA560"/>
      <c r="JB560"/>
      <c r="JC560"/>
      <c r="JD560"/>
      <c r="JE560"/>
      <c r="JF560"/>
      <c r="JG560"/>
      <c r="JH560"/>
      <c r="JI560"/>
      <c r="JJ560"/>
      <c r="JK560"/>
      <c r="JL560"/>
      <c r="JM560"/>
      <c r="JN560"/>
    </row>
    <row r="561" spans="1:274" s="698" customFormat="1" ht="12.75" hidden="1" customHeight="1" outlineLevel="1" x14ac:dyDescent="0.2">
      <c r="A561" s="702" t="s">
        <v>1083</v>
      </c>
      <c r="B561" s="697"/>
      <c r="AZ561" s="698">
        <v>158.07</v>
      </c>
      <c r="BA561" s="698">
        <v>163.78100000000001</v>
      </c>
      <c r="BC561" s="606">
        <v>485</v>
      </c>
      <c r="BE561" s="457">
        <f>6+139+4-BE592</f>
        <v>105</v>
      </c>
      <c r="BF561" s="457">
        <f>5+99</f>
        <v>104</v>
      </c>
      <c r="BG561" s="457">
        <v>104</v>
      </c>
      <c r="BH561" s="457">
        <f>BI561-BG561-BF561-BE561</f>
        <v>100</v>
      </c>
      <c r="BI561" s="606">
        <v>413</v>
      </c>
      <c r="BJ561" s="457"/>
      <c r="BK561" s="457">
        <v>107</v>
      </c>
      <c r="BL561" s="457">
        <v>110</v>
      </c>
      <c r="BM561" s="457">
        <v>114</v>
      </c>
      <c r="BN561" s="457">
        <f>BO561-BM561-BL561-BK561</f>
        <v>114</v>
      </c>
      <c r="BO561" s="606">
        <v>445</v>
      </c>
      <c r="BP561" s="457"/>
      <c r="BQ561" s="457">
        <v>116</v>
      </c>
      <c r="BR561" s="457">
        <v>138</v>
      </c>
      <c r="BS561" s="457">
        <v>136</v>
      </c>
      <c r="BT561" s="457">
        <f>BU561-BS561-BR561-BQ561</f>
        <v>135</v>
      </c>
      <c r="BU561" s="606">
        <v>525</v>
      </c>
      <c r="BW561" s="457">
        <v>129</v>
      </c>
      <c r="BX561" s="457">
        <v>134</v>
      </c>
      <c r="BY561" s="457">
        <v>131</v>
      </c>
      <c r="BZ561" s="457">
        <f>CA561-BY561-BX561-BW561</f>
        <v>175</v>
      </c>
      <c r="CA561" s="606">
        <v>569</v>
      </c>
      <c r="CC561" s="457">
        <v>151</v>
      </c>
      <c r="CD561" s="457">
        <v>165</v>
      </c>
      <c r="CE561" s="457">
        <v>164</v>
      </c>
      <c r="CF561" s="457">
        <f>CG561-CE561-CD561-CC561</f>
        <v>193</v>
      </c>
      <c r="CG561" s="606">
        <v>673</v>
      </c>
      <c r="CI561" s="457">
        <v>185</v>
      </c>
      <c r="CJ561" s="457">
        <v>191</v>
      </c>
      <c r="CK561" s="457">
        <v>196</v>
      </c>
      <c r="CL561" s="457">
        <f>CM561-CK561-CJ561-CI561</f>
        <v>216</v>
      </c>
      <c r="CM561" s="606">
        <v>788</v>
      </c>
      <c r="CO561" s="457">
        <v>212</v>
      </c>
      <c r="CP561" s="457">
        <v>229</v>
      </c>
      <c r="CQ561" s="457">
        <v>234</v>
      </c>
      <c r="CR561" s="457">
        <f>CS561-CQ561-CP561-CO561</f>
        <v>258</v>
      </c>
      <c r="CS561" s="606">
        <v>933</v>
      </c>
      <c r="CU561" s="33">
        <v>264</v>
      </c>
      <c r="CV561" s="33">
        <v>240</v>
      </c>
      <c r="CW561" s="33">
        <v>239</v>
      </c>
      <c r="CX561" s="33">
        <f>CY561-CW561-CV561-CU561</f>
        <v>269</v>
      </c>
      <c r="CY561" s="606">
        <v>1012</v>
      </c>
      <c r="DA561" s="243">
        <v>208</v>
      </c>
      <c r="DB561" s="33">
        <v>243</v>
      </c>
      <c r="DC561" s="33">
        <v>245</v>
      </c>
      <c r="DD561" s="33">
        <f>DE561-DC561-DB561-DA561</f>
        <v>262</v>
      </c>
      <c r="DE561" s="606">
        <v>958</v>
      </c>
      <c r="DG561" s="33">
        <v>273</v>
      </c>
      <c r="DH561" s="243">
        <v>282</v>
      </c>
      <c r="DI561" s="33">
        <v>274</v>
      </c>
      <c r="DJ561" s="33">
        <f>DK561-DI561-DH561-DG561</f>
        <v>315</v>
      </c>
      <c r="DK561" s="606">
        <v>1144</v>
      </c>
      <c r="DM561" s="33">
        <v>274</v>
      </c>
      <c r="DN561" s="33">
        <v>268</v>
      </c>
      <c r="DO561" s="33">
        <v>282</v>
      </c>
      <c r="DP561" s="33">
        <f>DQ561-DO561-DN561-DM561</f>
        <v>335</v>
      </c>
      <c r="DQ561" s="606">
        <v>1159</v>
      </c>
      <c r="DS561" s="33">
        <v>265</v>
      </c>
      <c r="DT561" s="33">
        <v>276</v>
      </c>
      <c r="DU561" s="33">
        <v>276</v>
      </c>
      <c r="DV561" s="33">
        <f>DW561-DU561-DT561-DS561</f>
        <v>303</v>
      </c>
      <c r="DW561" s="606">
        <v>1120</v>
      </c>
      <c r="DY561" s="33">
        <v>276</v>
      </c>
      <c r="DZ561" s="33">
        <v>273</v>
      </c>
      <c r="EA561" s="33">
        <v>274</v>
      </c>
      <c r="EB561" s="33">
        <f>EC561-EA561-DZ561-DY561</f>
        <v>288</v>
      </c>
      <c r="EC561" s="606">
        <v>1111</v>
      </c>
      <c r="EE561" s="33">
        <v>257</v>
      </c>
      <c r="EF561" s="33">
        <v>280</v>
      </c>
      <c r="EG561" s="33">
        <v>281</v>
      </c>
      <c r="EH561" s="33">
        <f>EI561-EG561-EF561-EE561</f>
        <v>312</v>
      </c>
      <c r="EI561" s="606">
        <v>1130</v>
      </c>
      <c r="EK561" s="33">
        <v>271</v>
      </c>
      <c r="EL561" s="33">
        <v>275</v>
      </c>
      <c r="EM561" s="33">
        <v>276</v>
      </c>
      <c r="EN561" s="33">
        <f>EO561-EM561-EL561-EK561</f>
        <v>255</v>
      </c>
      <c r="EO561" s="606">
        <v>1077</v>
      </c>
      <c r="EQ561" s="33">
        <v>257</v>
      </c>
      <c r="ER561" s="33">
        <v>225</v>
      </c>
      <c r="ES561" s="33">
        <v>253</v>
      </c>
      <c r="ET561" s="33">
        <f>EU561-SUM(EQ561:ES561)</f>
        <v>249</v>
      </c>
      <c r="EU561" s="606">
        <f>EU699</f>
        <v>984</v>
      </c>
      <c r="EW561" s="33">
        <v>240</v>
      </c>
      <c r="FA561" s="699"/>
      <c r="FG561" s="699"/>
      <c r="FM561" s="699"/>
      <c r="FO561" s="457"/>
      <c r="FQ561"/>
      <c r="FR561"/>
      <c r="FS561"/>
      <c r="FT561"/>
      <c r="FU561"/>
      <c r="FV561"/>
      <c r="GB561" s="24"/>
      <c r="GC561" s="24"/>
      <c r="GD561" s="24"/>
      <c r="GE561" s="24"/>
      <c r="GF561" s="24"/>
      <c r="GG561" s="24"/>
      <c r="GH561" s="24"/>
      <c r="GI561" s="24"/>
      <c r="GJ561"/>
      <c r="GK561"/>
      <c r="GL561"/>
      <c r="GM561"/>
      <c r="GN561"/>
      <c r="GO561"/>
      <c r="GP561"/>
      <c r="GQ561"/>
      <c r="GR561"/>
      <c r="GS561"/>
      <c r="GT561"/>
      <c r="GU561"/>
      <c r="GV561"/>
      <c r="GW561"/>
      <c r="GX561"/>
      <c r="GY561"/>
      <c r="GZ561"/>
      <c r="HA561"/>
      <c r="HB561"/>
      <c r="HC561"/>
      <c r="HD561"/>
      <c r="HE561"/>
      <c r="HF561"/>
      <c r="HG561"/>
      <c r="HH561"/>
      <c r="HI561"/>
      <c r="HJ561"/>
      <c r="HK561"/>
      <c r="HL561"/>
      <c r="HM561"/>
      <c r="HN561"/>
      <c r="HO561"/>
      <c r="HP561"/>
      <c r="HQ561"/>
      <c r="HR561"/>
      <c r="HS561"/>
      <c r="HT561"/>
      <c r="HU561"/>
      <c r="HV561"/>
      <c r="HW561"/>
      <c r="HX561"/>
      <c r="HY561"/>
      <c r="HZ561"/>
      <c r="IA561"/>
      <c r="IB561"/>
      <c r="IC561"/>
      <c r="ID561"/>
      <c r="IE561"/>
      <c r="IF561"/>
      <c r="IG561"/>
      <c r="IH561"/>
      <c r="II561"/>
      <c r="IJ561"/>
      <c r="IK561"/>
      <c r="IL561"/>
      <c r="IM561"/>
      <c r="IN561"/>
      <c r="IO561"/>
      <c r="IP561"/>
      <c r="IQ561"/>
      <c r="IR561"/>
      <c r="IS561"/>
      <c r="IT561"/>
      <c r="IU561"/>
      <c r="IV561"/>
      <c r="IW561"/>
      <c r="IX561"/>
      <c r="IY561"/>
      <c r="IZ561"/>
      <c r="JA561"/>
      <c r="JB561"/>
      <c r="JC561"/>
      <c r="JD561"/>
      <c r="JE561"/>
      <c r="JF561"/>
      <c r="JG561"/>
      <c r="JH561"/>
      <c r="JI561"/>
      <c r="JJ561"/>
      <c r="JK561"/>
      <c r="JL561"/>
      <c r="JM561"/>
      <c r="JN561"/>
    </row>
    <row r="562" spans="1:274" s="698" customFormat="1" ht="12.75" hidden="1" customHeight="1" outlineLevel="1" x14ac:dyDescent="0.2">
      <c r="A562" s="703" t="s">
        <v>1080</v>
      </c>
      <c r="B562" s="697"/>
      <c r="C562" s="704"/>
      <c r="D562" s="704"/>
      <c r="E562" s="704"/>
      <c r="F562" s="704"/>
      <c r="G562" s="704"/>
      <c r="H562" s="704"/>
      <c r="I562" s="704"/>
      <c r="J562" s="704"/>
      <c r="K562" s="704"/>
      <c r="L562" s="704"/>
      <c r="M562" s="704"/>
      <c r="N562" s="704"/>
      <c r="O562" s="704"/>
      <c r="P562" s="704"/>
      <c r="Q562" s="704"/>
      <c r="R562" s="704"/>
      <c r="S562" s="704"/>
      <c r="T562" s="704"/>
      <c r="U562" s="704"/>
      <c r="V562" s="704"/>
      <c r="W562" s="704"/>
      <c r="X562" s="704"/>
      <c r="Y562" s="704"/>
      <c r="Z562" s="704"/>
      <c r="AA562" s="704"/>
      <c r="AB562" s="704"/>
      <c r="AC562" s="704"/>
      <c r="AD562" s="704"/>
      <c r="AE562" s="704"/>
      <c r="AF562" s="704"/>
      <c r="AG562" s="704"/>
      <c r="AH562" s="704"/>
      <c r="AI562" s="704"/>
      <c r="AJ562" s="704"/>
      <c r="AK562" s="704"/>
      <c r="AL562" s="704"/>
      <c r="AM562" s="704"/>
      <c r="AN562" s="704"/>
      <c r="AO562" s="704"/>
      <c r="AP562" s="704"/>
      <c r="AQ562" s="704"/>
      <c r="AR562" s="704"/>
      <c r="AS562" s="704"/>
      <c r="AT562" s="704"/>
      <c r="AU562" s="704"/>
      <c r="AV562" s="704"/>
      <c r="AW562" s="704"/>
      <c r="AX562" s="704"/>
      <c r="AY562" s="704"/>
      <c r="AZ562" s="704"/>
      <c r="BA562" s="704"/>
      <c r="BB562" s="704"/>
      <c r="BC562" s="705">
        <f>BC560-BC561</f>
        <v>2816</v>
      </c>
      <c r="BD562" s="704"/>
      <c r="BE562" s="73">
        <f>BE560-BE561</f>
        <v>733</v>
      </c>
      <c r="BF562" s="73">
        <f>BF560-BF561</f>
        <v>777</v>
      </c>
      <c r="BG562" s="73">
        <f>BG560-BG561</f>
        <v>763</v>
      </c>
      <c r="BH562" s="73">
        <f>BH560-BH561</f>
        <v>854</v>
      </c>
      <c r="BI562" s="705">
        <f>BI560-BI561</f>
        <v>3127</v>
      </c>
      <c r="BJ562" s="73"/>
      <c r="BK562" s="73">
        <f>BK560-BK561</f>
        <v>798</v>
      </c>
      <c r="BL562" s="73">
        <f>BL560-BL561</f>
        <v>844</v>
      </c>
      <c r="BM562" s="73">
        <f>BM560-BM561</f>
        <v>891</v>
      </c>
      <c r="BN562" s="73">
        <f>BN560-BN561</f>
        <v>951</v>
      </c>
      <c r="BO562" s="705">
        <f>BO560-BO561</f>
        <v>3484</v>
      </c>
      <c r="BP562" s="73"/>
      <c r="BQ562" s="73">
        <f>BQ560-BQ561</f>
        <v>918</v>
      </c>
      <c r="BR562" s="73">
        <f>BR560-BR561</f>
        <v>976</v>
      </c>
      <c r="BS562" s="73">
        <f>BS560-BS561</f>
        <v>1040</v>
      </c>
      <c r="BT562" s="73">
        <f>BT560-BT561</f>
        <v>1070</v>
      </c>
      <c r="BU562" s="705">
        <f>BU560-BU561</f>
        <v>4004</v>
      </c>
      <c r="BV562" s="704"/>
      <c r="BW562" s="73">
        <f>BW560-BW561</f>
        <v>1047</v>
      </c>
      <c r="BX562" s="73">
        <f>BX560-BX561</f>
        <v>1118</v>
      </c>
      <c r="BY562" s="73">
        <f>BY560-BY561</f>
        <v>1400</v>
      </c>
      <c r="BZ562" s="73">
        <f>BZ560-BZ561</f>
        <v>1516</v>
      </c>
      <c r="CA562" s="705">
        <f>CA560-CA561</f>
        <v>5081</v>
      </c>
      <c r="CB562" s="704"/>
      <c r="CC562" s="73">
        <f>CC560-CC561</f>
        <v>1490</v>
      </c>
      <c r="CD562" s="73">
        <f>CD560-CD561</f>
        <v>1496</v>
      </c>
      <c r="CE562" s="73">
        <f>CE560-CE561</f>
        <v>1603</v>
      </c>
      <c r="CF562" s="73">
        <f>CF560-CF561</f>
        <v>1765</v>
      </c>
      <c r="CG562" s="705">
        <f>CG560-CG561</f>
        <v>6354</v>
      </c>
      <c r="CH562" s="704"/>
      <c r="CI562" s="73">
        <f>CI560-CI561</f>
        <v>1825</v>
      </c>
      <c r="CJ562" s="73">
        <f>CJ560-CJ561</f>
        <v>1869</v>
      </c>
      <c r="CK562" s="73">
        <f>CK560-CK561</f>
        <v>1947</v>
      </c>
      <c r="CL562" s="73">
        <f>CL560-CL561</f>
        <v>2112</v>
      </c>
      <c r="CM562" s="705">
        <f>CM560-CM561</f>
        <v>7753</v>
      </c>
      <c r="CN562" s="704"/>
      <c r="CO562" s="73">
        <f>CO560-CO561</f>
        <v>2234</v>
      </c>
      <c r="CP562" s="73">
        <f>CP560-CP561</f>
        <v>2313</v>
      </c>
      <c r="CQ562" s="73">
        <f>CQ560-CQ561</f>
        <v>2413</v>
      </c>
      <c r="CR562" s="73">
        <f>CR560-CR561</f>
        <v>2614</v>
      </c>
      <c r="CS562" s="705">
        <f>CS560-CS561</f>
        <v>9574</v>
      </c>
      <c r="CT562" s="704"/>
      <c r="CU562" s="73">
        <f>CU560-CU561</f>
        <v>2762</v>
      </c>
      <c r="CV562" s="73">
        <f>CV560-CV561</f>
        <v>2690</v>
      </c>
      <c r="CW562" s="73">
        <f>CW560-CW561</f>
        <v>2729</v>
      </c>
      <c r="CX562" s="73">
        <f>CX560-CX561</f>
        <v>2804</v>
      </c>
      <c r="CY562" s="705">
        <f>CY560-CY561</f>
        <v>10985</v>
      </c>
      <c r="CZ562" s="704"/>
      <c r="DA562" s="73">
        <f>DA560-DA561</f>
        <v>2918</v>
      </c>
      <c r="DB562" s="73">
        <f>DB560-DB561</f>
        <v>3018</v>
      </c>
      <c r="DC562" s="73">
        <f>DC560-DC561</f>
        <v>3078</v>
      </c>
      <c r="DD562" s="73">
        <f>DD560-DD561</f>
        <v>3203</v>
      </c>
      <c r="DE562" s="705">
        <f>DE560-DE561</f>
        <v>12217</v>
      </c>
      <c r="DF562" s="704"/>
      <c r="DG562" s="73">
        <f>DG560-DG561</f>
        <v>3202</v>
      </c>
      <c r="DH562" s="73">
        <f>DH560-DH561</f>
        <v>3385</v>
      </c>
      <c r="DI562" s="73">
        <f>DI560-DI561</f>
        <v>3482</v>
      </c>
      <c r="DJ562" s="73">
        <f>DJ560-DJ561</f>
        <v>3663</v>
      </c>
      <c r="DK562" s="705">
        <f>DK560-DK561</f>
        <v>13732</v>
      </c>
      <c r="DL562" s="704"/>
      <c r="DM562" s="73">
        <f>DM560-DM561</f>
        <v>3761</v>
      </c>
      <c r="DN562" s="73">
        <f>DN560-DN561</f>
        <v>3728</v>
      </c>
      <c r="DO562" s="73">
        <f>DO560-DO561</f>
        <v>3786</v>
      </c>
      <c r="DP562" s="73">
        <f>DP560-DP561</f>
        <v>3824</v>
      </c>
      <c r="DQ562" s="705">
        <f>DQ560-DQ561</f>
        <v>15099</v>
      </c>
      <c r="DR562" s="704"/>
      <c r="DS562" s="73">
        <f>DS560-DS561</f>
        <v>3880</v>
      </c>
      <c r="DT562" s="73">
        <f>DT560-DT561</f>
        <v>3988</v>
      </c>
      <c r="DU562" s="73">
        <f>DU560-DU561</f>
        <v>4068</v>
      </c>
      <c r="DV562" s="73">
        <f>DV560-DV561</f>
        <v>4100</v>
      </c>
      <c r="DW562" s="705">
        <f>DW560-DW561</f>
        <v>16036</v>
      </c>
      <c r="DX562" s="704"/>
      <c r="DY562" s="73">
        <f>DY560-DY561</f>
        <v>4156</v>
      </c>
      <c r="DZ562" s="73">
        <f>DZ560-DZ561</f>
        <v>4244</v>
      </c>
      <c r="EA562" s="73">
        <f>EA560-EA561</f>
        <v>4291</v>
      </c>
      <c r="EB562" s="73">
        <f>EB560-EB561</f>
        <v>4407</v>
      </c>
      <c r="EC562" s="705">
        <f>EC560-EC561</f>
        <v>17098</v>
      </c>
      <c r="ED562" s="704"/>
      <c r="EE562" s="73">
        <f>EE560-EE561</f>
        <v>4474</v>
      </c>
      <c r="EF562" s="73">
        <f>EF560-EF561</f>
        <v>4493</v>
      </c>
      <c r="EG562" s="73">
        <f>EG560-EG561</f>
        <v>4383</v>
      </c>
      <c r="EH562" s="73">
        <f>EH560-EH561</f>
        <v>4378</v>
      </c>
      <c r="EI562" s="705">
        <f>EI560-EI561</f>
        <v>17728</v>
      </c>
      <c r="EJ562" s="704"/>
      <c r="EK562" s="73">
        <f>EK560-EK561</f>
        <v>4426</v>
      </c>
      <c r="EL562" s="73">
        <f>EL560-EL561</f>
        <v>4408</v>
      </c>
      <c r="EM562" s="73">
        <f>EM560-EM561</f>
        <v>4393</v>
      </c>
      <c r="EN562" s="73">
        <f>EN560-EN561</f>
        <v>4559</v>
      </c>
      <c r="EO562" s="705">
        <f>EO560-EO561</f>
        <v>17786</v>
      </c>
      <c r="EP562" s="704"/>
      <c r="EQ562" s="73">
        <f>EQ560-EQ561</f>
        <v>4536</v>
      </c>
      <c r="ER562" s="73">
        <f>ER560-ER561</f>
        <v>4553</v>
      </c>
      <c r="ES562" s="73">
        <f>ES560-ES561</f>
        <v>4509</v>
      </c>
      <c r="ET562" s="73">
        <f>ET560-ET561</f>
        <v>4648</v>
      </c>
      <c r="EU562" s="705">
        <f>EU560-EU561</f>
        <v>18246</v>
      </c>
      <c r="EV562" s="704"/>
      <c r="EW562" s="73">
        <f>EW560-EW561</f>
        <v>4711</v>
      </c>
      <c r="EX562" s="704"/>
      <c r="EY562" s="704"/>
      <c r="EZ562" s="704"/>
      <c r="FA562" s="706"/>
      <c r="FB562" s="704"/>
      <c r="FC562" s="704"/>
      <c r="FD562" s="704"/>
      <c r="FE562" s="704"/>
      <c r="FF562" s="704"/>
      <c r="FG562" s="706"/>
      <c r="FH562" s="704"/>
      <c r="FI562" s="704"/>
      <c r="FJ562" s="704"/>
      <c r="FK562" s="704"/>
      <c r="FL562" s="704"/>
      <c r="FM562" s="706"/>
      <c r="FO562" s="457"/>
      <c r="FQ562"/>
      <c r="FR562"/>
      <c r="FS562"/>
      <c r="FT562"/>
      <c r="FU562"/>
      <c r="FV562"/>
      <c r="GB562" s="24"/>
      <c r="GC562" s="24"/>
      <c r="GD562" s="24"/>
      <c r="GE562" s="24"/>
      <c r="GF562" s="24"/>
      <c r="GG562" s="24"/>
      <c r="GH562" s="24"/>
      <c r="GI562" s="24"/>
      <c r="GJ562"/>
      <c r="GK562"/>
      <c r="GL562"/>
      <c r="GM562"/>
      <c r="GN562"/>
      <c r="GO562"/>
      <c r="GP562"/>
      <c r="GQ562"/>
      <c r="GR562"/>
      <c r="GS562"/>
      <c r="GT562"/>
      <c r="GU562"/>
      <c r="GV562"/>
      <c r="GW562"/>
      <c r="GX562"/>
      <c r="GY562"/>
      <c r="GZ562"/>
      <c r="HA562"/>
      <c r="HB562"/>
      <c r="HC562"/>
      <c r="HD562"/>
      <c r="HE562"/>
      <c r="HF562"/>
      <c r="HG562"/>
      <c r="HH562"/>
      <c r="HI562"/>
      <c r="HJ562"/>
      <c r="HK562"/>
      <c r="HL562"/>
      <c r="HM562"/>
      <c r="HN562"/>
      <c r="HO562"/>
      <c r="HP562"/>
      <c r="HQ562"/>
      <c r="HR562"/>
      <c r="HS562"/>
      <c r="HT562"/>
      <c r="HU562"/>
      <c r="HV562"/>
      <c r="HW562"/>
      <c r="HX562"/>
      <c r="HY562"/>
      <c r="HZ562"/>
      <c r="IA562"/>
      <c r="IB562"/>
      <c r="IC562"/>
      <c r="ID562"/>
      <c r="IE562"/>
      <c r="IF562"/>
      <c r="IG562"/>
      <c r="IH562"/>
      <c r="II562"/>
      <c r="IJ562"/>
      <c r="IK562"/>
      <c r="IL562"/>
      <c r="IM562"/>
      <c r="IN562"/>
      <c r="IO562"/>
      <c r="IP562"/>
      <c r="IQ562"/>
      <c r="IR562"/>
      <c r="IS562"/>
      <c r="IT562"/>
      <c r="IU562"/>
      <c r="IV562"/>
      <c r="IW562"/>
      <c r="IX562"/>
      <c r="IY562"/>
      <c r="IZ562"/>
      <c r="JA562"/>
      <c r="JB562"/>
      <c r="JC562"/>
      <c r="JD562"/>
      <c r="JE562"/>
      <c r="JF562"/>
      <c r="JG562"/>
      <c r="JH562"/>
      <c r="JI562"/>
      <c r="JJ562"/>
      <c r="JK562"/>
      <c r="JL562"/>
      <c r="JM562"/>
      <c r="JN562"/>
    </row>
    <row r="563" spans="1:274" s="698" customFormat="1" ht="12.75" hidden="1" customHeight="1" outlineLevel="1" x14ac:dyDescent="0.2">
      <c r="A563" s="703" t="s">
        <v>1081</v>
      </c>
      <c r="B563" s="697"/>
      <c r="C563" s="704"/>
      <c r="D563" s="704"/>
      <c r="E563" s="704"/>
      <c r="F563" s="704"/>
      <c r="G563" s="704"/>
      <c r="H563" s="704"/>
      <c r="I563" s="704"/>
      <c r="J563" s="704"/>
      <c r="K563" s="704"/>
      <c r="L563" s="704"/>
      <c r="M563" s="704"/>
      <c r="N563" s="704"/>
      <c r="O563" s="704"/>
      <c r="P563" s="704"/>
      <c r="Q563" s="704"/>
      <c r="R563" s="704"/>
      <c r="S563" s="704"/>
      <c r="T563" s="704"/>
      <c r="U563" s="704"/>
      <c r="V563" s="704"/>
      <c r="W563" s="704"/>
      <c r="X563" s="704"/>
      <c r="Y563" s="704"/>
      <c r="Z563" s="704"/>
      <c r="AA563" s="704"/>
      <c r="AB563" s="704"/>
      <c r="AC563" s="704"/>
      <c r="AD563" s="704"/>
      <c r="AE563" s="704"/>
      <c r="AF563" s="704"/>
      <c r="AG563" s="704"/>
      <c r="AH563" s="704"/>
      <c r="AI563" s="704"/>
      <c r="AJ563" s="704"/>
      <c r="AK563" s="704"/>
      <c r="AL563" s="704"/>
      <c r="AM563" s="704"/>
      <c r="AN563" s="704"/>
      <c r="AO563" s="704"/>
      <c r="AP563" s="704"/>
      <c r="AQ563" s="704"/>
      <c r="AR563" s="704"/>
      <c r="AS563" s="704"/>
      <c r="AT563" s="704"/>
      <c r="AU563" s="704"/>
      <c r="AV563" s="704"/>
      <c r="AW563" s="704"/>
      <c r="AX563" s="704"/>
      <c r="AY563" s="704"/>
      <c r="AZ563" s="704"/>
      <c r="BA563" s="704"/>
      <c r="BB563" s="704"/>
      <c r="BC563" s="707">
        <f>BC562/BC560</f>
        <v>0.85307482581036054</v>
      </c>
      <c r="BD563" s="704"/>
      <c r="BE563" s="70">
        <f>BE562/BE560</f>
        <v>0.87470167064439142</v>
      </c>
      <c r="BF563" s="70">
        <f>BF562/BF560</f>
        <v>0.88195232690124858</v>
      </c>
      <c r="BG563" s="70">
        <f>BG562/BG560</f>
        <v>0.8800461361014994</v>
      </c>
      <c r="BH563" s="70">
        <f>BH562/BH560</f>
        <v>0.89517819706498947</v>
      </c>
      <c r="BI563" s="707">
        <f>BI562/BI560</f>
        <v>0.8833333333333333</v>
      </c>
      <c r="BJ563" s="704"/>
      <c r="BK563" s="70">
        <f>BK562/BK560</f>
        <v>0.88176795580110501</v>
      </c>
      <c r="BL563" s="70">
        <f>BL562/BL560</f>
        <v>0.88469601677148846</v>
      </c>
      <c r="BM563" s="70">
        <f>BM562/BM560</f>
        <v>0.88656716417910453</v>
      </c>
      <c r="BN563" s="70">
        <f>BN562/BN560</f>
        <v>0.89295774647887327</v>
      </c>
      <c r="BO563" s="707">
        <f>BO562/BO560</f>
        <v>0.88673962840417409</v>
      </c>
      <c r="BP563" s="704"/>
      <c r="BQ563" s="70">
        <f>BQ562/BQ560</f>
        <v>0.88781431334622829</v>
      </c>
      <c r="BR563" s="70">
        <f>BR562/BR560</f>
        <v>0.87612208258527824</v>
      </c>
      <c r="BS563" s="70">
        <f>BS562/BS560</f>
        <v>0.88435374149659862</v>
      </c>
      <c r="BT563" s="70">
        <f>BT562/BT560</f>
        <v>0.88796680497925307</v>
      </c>
      <c r="BU563" s="707">
        <f>BU562/BU560</f>
        <v>0.884080370942813</v>
      </c>
      <c r="BV563" s="704"/>
      <c r="BW563" s="70">
        <f>BW562/BW560</f>
        <v>0.89030612244897955</v>
      </c>
      <c r="BX563" s="70">
        <f>BX562/BX560</f>
        <v>0.89297124600638977</v>
      </c>
      <c r="BY563" s="70">
        <f>BY562/BY560</f>
        <v>0.91443500979751802</v>
      </c>
      <c r="BZ563" s="70">
        <f>BZ562/BZ560</f>
        <v>0.89651094027202838</v>
      </c>
      <c r="CA563" s="707">
        <f>CA562/CA560</f>
        <v>0.89929203539823011</v>
      </c>
      <c r="CB563" s="704"/>
      <c r="CC563" s="70">
        <f>CC562/CC560</f>
        <v>0.90798293723339429</v>
      </c>
      <c r="CD563" s="70">
        <f>CD562/CD560</f>
        <v>0.90066225165562919</v>
      </c>
      <c r="CE563" s="70">
        <f>CE562/CE560</f>
        <v>0.90718732314657613</v>
      </c>
      <c r="CF563" s="70">
        <f>CF562/CF560</f>
        <v>0.90143003064351379</v>
      </c>
      <c r="CG563" s="707">
        <f>CG562/CG560</f>
        <v>0.90422655471751812</v>
      </c>
      <c r="CH563" s="704"/>
      <c r="CI563" s="70">
        <f>CI562/CI560</f>
        <v>0.90796019900497515</v>
      </c>
      <c r="CJ563" s="70">
        <f>CJ562/CJ560</f>
        <v>0.90728155339805827</v>
      </c>
      <c r="CK563" s="70">
        <f>CK562/CK560</f>
        <v>0.90853943070461973</v>
      </c>
      <c r="CL563" s="70">
        <f>CL562/CL560</f>
        <v>0.90721649484536082</v>
      </c>
      <c r="CM563" s="707">
        <f>CM562/CM560</f>
        <v>0.90773914061585292</v>
      </c>
      <c r="CN563" s="704"/>
      <c r="CO563" s="70">
        <f>CO562/CO560</f>
        <v>0.91332788225674566</v>
      </c>
      <c r="CP563" s="70">
        <f>CP562/CP560</f>
        <v>0.90991345397324941</v>
      </c>
      <c r="CQ563" s="70">
        <f>CQ562/CQ560</f>
        <v>0.91159803551190022</v>
      </c>
      <c r="CR563" s="70">
        <f>CR562/CR560</f>
        <v>0.91016713091922008</v>
      </c>
      <c r="CS563" s="707">
        <f>CS562/CS560</f>
        <v>0.91120205577234226</v>
      </c>
      <c r="CT563" s="704"/>
      <c r="CU563" s="70">
        <f>CU562/CU560</f>
        <v>0.91275611368142762</v>
      </c>
      <c r="CV563" s="70">
        <f>CV562/CV560</f>
        <v>0.91808873720136519</v>
      </c>
      <c r="CW563" s="70">
        <f>CW562/CW560</f>
        <v>0.91947439353099736</v>
      </c>
      <c r="CX563" s="70">
        <f>CX562/CX560</f>
        <v>0.91246339082329975</v>
      </c>
      <c r="CY563" s="707">
        <f>CY562/CY560</f>
        <v>0.91564557806118196</v>
      </c>
      <c r="CZ563" s="704"/>
      <c r="DA563" s="70">
        <f>DA562/DA560</f>
        <v>0.93346129238643638</v>
      </c>
      <c r="DB563" s="70">
        <f>DB562/DB560</f>
        <v>0.92548298068077273</v>
      </c>
      <c r="DC563" s="70">
        <f>DC562/DC560</f>
        <v>0.92627144146855256</v>
      </c>
      <c r="DD563" s="70">
        <f>DD562/DD560</f>
        <v>0.92438672438672442</v>
      </c>
      <c r="DE563" s="707">
        <f>DE562/DE560</f>
        <v>0.92728652751423146</v>
      </c>
      <c r="DF563" s="704"/>
      <c r="DG563" s="70">
        <f>DG562/DG560</f>
        <v>0.92143884892086336</v>
      </c>
      <c r="DH563" s="70">
        <f>DH562/DH560</f>
        <v>0.92309790019089177</v>
      </c>
      <c r="DI563" s="70">
        <f>DI562/DI560</f>
        <v>0.92705005324813627</v>
      </c>
      <c r="DJ563" s="70">
        <f>DJ562/DJ560</f>
        <v>0.920814479638009</v>
      </c>
      <c r="DK563" s="707">
        <f>DK562/DK560</f>
        <v>0.9230976068835709</v>
      </c>
      <c r="DL563" s="704"/>
      <c r="DM563" s="70">
        <f>DM562/DM560</f>
        <v>0.93209417596034694</v>
      </c>
      <c r="DN563" s="70">
        <f>DN562/DN560</f>
        <v>0.93293293293293289</v>
      </c>
      <c r="DO563" s="70">
        <f>DO562/DO560</f>
        <v>0.93067846607669613</v>
      </c>
      <c r="DP563" s="70">
        <f>DP562/DP560</f>
        <v>0.91945179129598464</v>
      </c>
      <c r="DQ563" s="707">
        <f>DQ562/DQ560</f>
        <v>0.92871201869848685</v>
      </c>
      <c r="DR563" s="704"/>
      <c r="DS563" s="70">
        <f>DS562/DS560</f>
        <v>0.93606755126658625</v>
      </c>
      <c r="DT563" s="70">
        <f>DT562/DT560</f>
        <v>0.93527204502814254</v>
      </c>
      <c r="DU563" s="70">
        <f>DU562/DU560</f>
        <v>0.93646408839779005</v>
      </c>
      <c r="DV563" s="70">
        <f>DV562/DV560</f>
        <v>0.93118328412446061</v>
      </c>
      <c r="DW563" s="707">
        <f>DW562/DW560</f>
        <v>0.9347167171834927</v>
      </c>
      <c r="DX563" s="704"/>
      <c r="DY563" s="70">
        <f>DY562/DY560</f>
        <v>0.93772563176895307</v>
      </c>
      <c r="DZ563" s="70">
        <f>DZ562/DZ560</f>
        <v>0.93956165596634933</v>
      </c>
      <c r="EA563" s="70">
        <f>EA562/EA560</f>
        <v>0.9399780941949617</v>
      </c>
      <c r="EB563" s="70">
        <f>EB562/EB560</f>
        <v>0.93865814696485628</v>
      </c>
      <c r="EC563" s="707">
        <f>EC562/EC560</f>
        <v>0.93898621560766649</v>
      </c>
      <c r="ED563" s="704"/>
      <c r="EE563" s="70">
        <f>EE562/EE560</f>
        <v>0.94567744662861974</v>
      </c>
      <c r="EF563" s="70">
        <f>EF562/EF560</f>
        <v>0.94133668552273209</v>
      </c>
      <c r="EG563" s="70">
        <f>EG562/EG560</f>
        <v>0.93975128644939965</v>
      </c>
      <c r="EH563" s="70">
        <f>EH562/EH560</f>
        <v>0.93347547974413647</v>
      </c>
      <c r="EI563" s="707">
        <f>EI562/EI560</f>
        <v>0.9400784812811539</v>
      </c>
      <c r="EJ563" s="704"/>
      <c r="EK563" s="70">
        <f>EK562/EK560</f>
        <v>0.94230359804130293</v>
      </c>
      <c r="EL563" s="70">
        <f>EL562/EL560</f>
        <v>0.94127695921417898</v>
      </c>
      <c r="EM563" s="70">
        <f>EM562/EM560</f>
        <v>0.94088669950738912</v>
      </c>
      <c r="EN563" s="70">
        <f>EN562/EN560</f>
        <v>0.947029497299543</v>
      </c>
      <c r="EO563" s="707">
        <f>EO562/EO560</f>
        <v>0.94290409796957009</v>
      </c>
      <c r="EP563" s="704"/>
      <c r="EQ563" s="70">
        <f>EQ562/EQ560</f>
        <v>0.94638013770081364</v>
      </c>
      <c r="ER563" s="70">
        <f>ER562/ER560</f>
        <v>0.95290916701548767</v>
      </c>
      <c r="ES563" s="70">
        <f>ES562/ES560</f>
        <v>0.94687106257874842</v>
      </c>
      <c r="ET563" s="70">
        <f>ET562/ET560</f>
        <v>0.94915254237288138</v>
      </c>
      <c r="EU563" s="707">
        <f>EU562/EU560</f>
        <v>0.94882995319812791</v>
      </c>
      <c r="EV563" s="704"/>
      <c r="EW563" s="70">
        <f>EW562/EW560</f>
        <v>0.95152494445566549</v>
      </c>
      <c r="EX563" s="704"/>
      <c r="EY563" s="704"/>
      <c r="EZ563" s="704"/>
      <c r="FA563" s="706"/>
      <c r="FB563" s="704"/>
      <c r="FC563" s="704"/>
      <c r="FD563" s="704"/>
      <c r="FE563" s="704"/>
      <c r="FF563" s="704"/>
      <c r="FG563" s="706"/>
      <c r="FH563" s="704"/>
      <c r="FI563" s="704"/>
      <c r="FJ563" s="704"/>
      <c r="FK563" s="704"/>
      <c r="FL563" s="704"/>
      <c r="FM563" s="706"/>
      <c r="FN563" s="188"/>
      <c r="FO563" s="188"/>
      <c r="FQ563"/>
      <c r="FR563"/>
      <c r="FS563"/>
      <c r="FT563"/>
      <c r="FU563"/>
      <c r="FV563"/>
      <c r="GB563" s="24"/>
      <c r="GC563" s="24"/>
      <c r="GD563" s="24"/>
      <c r="GE563" s="24"/>
      <c r="GF563" s="24"/>
      <c r="GG563" s="24"/>
      <c r="GH563" s="24"/>
      <c r="GI563" s="24"/>
      <c r="GJ563"/>
      <c r="GK563"/>
      <c r="GL563"/>
      <c r="GM563"/>
      <c r="GN563"/>
      <c r="GO563"/>
      <c r="GP563"/>
      <c r="GQ563"/>
      <c r="GR563"/>
      <c r="GS563"/>
      <c r="GT563"/>
      <c r="GU563"/>
      <c r="GV563"/>
      <c r="GW563"/>
      <c r="GX563"/>
      <c r="GY563"/>
      <c r="GZ563"/>
      <c r="HA563"/>
      <c r="HB563"/>
      <c r="HC563"/>
      <c r="HD563"/>
      <c r="HE563"/>
      <c r="HF563"/>
      <c r="HG563"/>
      <c r="HH563"/>
      <c r="HI563"/>
      <c r="HJ563"/>
      <c r="HK563"/>
      <c r="HL563"/>
      <c r="HM563"/>
      <c r="HN563"/>
      <c r="HO563"/>
      <c r="HP563"/>
      <c r="HQ563"/>
      <c r="HR563"/>
      <c r="HS563"/>
      <c r="HT563"/>
      <c r="HU563"/>
      <c r="HV563"/>
      <c r="HW563"/>
      <c r="HX563"/>
      <c r="HY563"/>
      <c r="HZ563"/>
      <c r="IA563"/>
      <c r="IB563"/>
      <c r="IC563"/>
      <c r="ID563"/>
      <c r="IE563"/>
      <c r="IF563"/>
      <c r="IG563"/>
      <c r="IH563"/>
      <c r="II563"/>
      <c r="IJ563"/>
      <c r="IK563"/>
      <c r="IL563"/>
      <c r="IM563"/>
      <c r="IN563"/>
      <c r="IO563"/>
      <c r="IP563"/>
      <c r="IQ563"/>
      <c r="IR563"/>
      <c r="IS563"/>
      <c r="IT563"/>
      <c r="IU563"/>
      <c r="IV563"/>
      <c r="IW563"/>
      <c r="IX563"/>
      <c r="IY563"/>
      <c r="IZ563"/>
      <c r="JA563"/>
      <c r="JB563"/>
      <c r="JC563"/>
      <c r="JD563"/>
      <c r="JE563"/>
      <c r="JF563"/>
      <c r="JG563"/>
      <c r="JH563"/>
      <c r="JI563"/>
      <c r="JJ563"/>
      <c r="JK563"/>
      <c r="JL563"/>
      <c r="JM563"/>
      <c r="JN563"/>
    </row>
    <row r="564" spans="1:274" s="698" customFormat="1" ht="7.5" hidden="1" customHeight="1" outlineLevel="1" x14ac:dyDescent="0.2">
      <c r="B564" s="697"/>
      <c r="BC564" s="708"/>
      <c r="BI564" s="708"/>
      <c r="BO564" s="708"/>
      <c r="BU564" s="708"/>
      <c r="CA564" s="708"/>
      <c r="CG564" s="708"/>
      <c r="CM564" s="708"/>
      <c r="CS564" s="708"/>
      <c r="CY564" s="708"/>
      <c r="DE564" s="708"/>
      <c r="DK564" s="708"/>
      <c r="DQ564" s="708"/>
      <c r="DW564" s="708"/>
      <c r="EC564" s="708"/>
      <c r="EI564" s="708"/>
      <c r="EO564" s="708"/>
      <c r="EU564" s="708"/>
      <c r="FA564" s="699"/>
      <c r="FG564" s="699"/>
      <c r="FM564" s="699"/>
      <c r="FQ564"/>
      <c r="FR564"/>
      <c r="FS564"/>
      <c r="FT564"/>
      <c r="FU564"/>
      <c r="FV564"/>
      <c r="GB564" s="24"/>
      <c r="GC564" s="24"/>
      <c r="GD564" s="24"/>
      <c r="GE564" s="24"/>
      <c r="GF564" s="24"/>
      <c r="GG564" s="24"/>
      <c r="GH564" s="24"/>
      <c r="GI564" s="24"/>
      <c r="GJ564"/>
      <c r="GK564"/>
      <c r="GL564"/>
      <c r="GM564"/>
      <c r="GN564"/>
      <c r="GO564"/>
      <c r="GP564"/>
      <c r="GQ564"/>
      <c r="GR564"/>
      <c r="GS564"/>
      <c r="GT564"/>
      <c r="GU564"/>
      <c r="GV564"/>
      <c r="GW564"/>
      <c r="GX564"/>
      <c r="GY564"/>
      <c r="GZ564"/>
      <c r="HA564"/>
      <c r="HB564"/>
      <c r="HC564"/>
      <c r="HD564"/>
      <c r="HE564"/>
      <c r="HF564"/>
      <c r="HG564"/>
      <c r="HH564"/>
      <c r="HI564"/>
      <c r="HJ564"/>
      <c r="HK564"/>
      <c r="HL564"/>
      <c r="HM564"/>
      <c r="HN564"/>
      <c r="HO564"/>
      <c r="HP564"/>
      <c r="HQ564"/>
      <c r="HR564"/>
      <c r="HS564"/>
      <c r="HT564"/>
      <c r="HU564"/>
      <c r="HV564"/>
      <c r="HW564"/>
      <c r="HX564"/>
      <c r="HY564"/>
      <c r="HZ564"/>
      <c r="IA564"/>
      <c r="IB564"/>
      <c r="IC564"/>
      <c r="ID564"/>
      <c r="IE564"/>
      <c r="IF564"/>
      <c r="IG564"/>
      <c r="IH564"/>
      <c r="II564"/>
      <c r="IJ564"/>
      <c r="IK564"/>
      <c r="IL564"/>
      <c r="IM564"/>
      <c r="IN564"/>
      <c r="IO564"/>
      <c r="IP564"/>
      <c r="IQ564"/>
      <c r="IR564"/>
      <c r="IS564"/>
      <c r="IT564"/>
      <c r="IU564"/>
      <c r="IV564"/>
      <c r="IW564"/>
      <c r="IX564"/>
      <c r="IY564"/>
      <c r="IZ564"/>
      <c r="JA564"/>
      <c r="JB564"/>
      <c r="JC564"/>
      <c r="JD564"/>
      <c r="JE564"/>
      <c r="JF564"/>
      <c r="JG564"/>
      <c r="JH564"/>
      <c r="JI564"/>
      <c r="JJ564"/>
      <c r="JK564"/>
      <c r="JL564"/>
      <c r="JM564"/>
      <c r="JN564"/>
    </row>
    <row r="565" spans="1:274" s="698" customFormat="1" ht="12.75" hidden="1" customHeight="1" outlineLevel="1" x14ac:dyDescent="0.2">
      <c r="A565" s="696" t="s">
        <v>512</v>
      </c>
      <c r="B565" s="697"/>
      <c r="BC565" s="708"/>
      <c r="BI565" s="708"/>
      <c r="BO565" s="708"/>
      <c r="BU565" s="708"/>
      <c r="CA565" s="708"/>
      <c r="CG565" s="708"/>
      <c r="CM565" s="708"/>
      <c r="CO565" s="1181">
        <f>CO563-CI563</f>
        <v>5.3676832517705053E-3</v>
      </c>
      <c r="CP565" s="1181">
        <f>CP563-CJ563</f>
        <v>2.6319005751911373E-3</v>
      </c>
      <c r="CQ565" s="1181">
        <f>CQ563-CK563</f>
        <v>3.058604807280485E-3</v>
      </c>
      <c r="CR565" s="1181">
        <f>CR563-CL563</f>
        <v>2.9506360738592585E-3</v>
      </c>
      <c r="CS565" s="708"/>
      <c r="CY565" s="708"/>
      <c r="DA565" s="1182"/>
      <c r="DD565" s="1181">
        <f>DD563-CX563</f>
        <v>1.1923333563424676E-2</v>
      </c>
      <c r="DE565" s="708"/>
      <c r="DG565" s="1181">
        <f>DG563-DA563</f>
        <v>-1.2022443465573018E-2</v>
      </c>
      <c r="DH565" s="1181">
        <f>DH563-DB563</f>
        <v>-2.385080489880953E-3</v>
      </c>
      <c r="DI565" s="1181">
        <f>DI563-DC563</f>
        <v>7.7861177958371552E-4</v>
      </c>
      <c r="DJ565" s="1181">
        <f>DJ563-DD563</f>
        <v>-3.5722447487154252E-3</v>
      </c>
      <c r="DK565" s="708"/>
      <c r="DM565" s="1181">
        <f>DM563-DG563</f>
        <v>1.0655327039483575E-2</v>
      </c>
      <c r="DN565" s="1181">
        <f>DN563-DH563</f>
        <v>9.8350327420411165E-3</v>
      </c>
      <c r="DO565" s="1181">
        <f>DO563-DI563</f>
        <v>3.6284128285598571E-3</v>
      </c>
      <c r="DP565" s="1181">
        <f>DP563-DJ563</f>
        <v>-1.3626883420243541E-3</v>
      </c>
      <c r="DQ565" s="708"/>
      <c r="DS565" s="1181">
        <f>DS563-DM563</f>
        <v>3.9733753062393129E-3</v>
      </c>
      <c r="DT565" s="1181">
        <f>DT563-DN563</f>
        <v>2.33911209520965E-3</v>
      </c>
      <c r="DU565" s="1181">
        <f>DU563-DO563</f>
        <v>5.7856223210939195E-3</v>
      </c>
      <c r="DV565" s="1181">
        <f>DV563-DP563</f>
        <v>1.1731492828475965E-2</v>
      </c>
      <c r="DW565" s="708"/>
      <c r="DY565" s="1181">
        <f>DY563-DS563</f>
        <v>1.658080502366821E-3</v>
      </c>
      <c r="DZ565" s="1181">
        <f>DZ563-DT563</f>
        <v>4.2896109382067893E-3</v>
      </c>
      <c r="EA565" s="1181">
        <f>EA563-DU563</f>
        <v>3.5140057971716487E-3</v>
      </c>
      <c r="EB565" s="1181">
        <f>EB563-DV563</f>
        <v>7.4748628403956685E-3</v>
      </c>
      <c r="EC565" s="708"/>
      <c r="EE565" s="1181">
        <f>EE563-DY563</f>
        <v>7.9518148596666727E-3</v>
      </c>
      <c r="EF565" s="1181">
        <f>EF563-DZ563</f>
        <v>1.7750295563827567E-3</v>
      </c>
      <c r="EG565" s="1181">
        <f>EG563-EA563</f>
        <v>-2.2680774556205208E-4</v>
      </c>
      <c r="EH565" s="1181">
        <f>EH563-EB563</f>
        <v>-5.1826672207198055E-3</v>
      </c>
      <c r="EI565" s="708"/>
      <c r="EK565" s="1181">
        <f>EK563-EE563</f>
        <v>-3.3738485873168189E-3</v>
      </c>
      <c r="EL565" s="1181">
        <f>EL563-EF563</f>
        <v>-5.9726308553109675E-5</v>
      </c>
      <c r="EM565" s="1181">
        <f>EM563-EG563</f>
        <v>1.1354130579894761E-3</v>
      </c>
      <c r="EN565" s="1181">
        <f>EN563-EH563</f>
        <v>1.3554017555406528E-2</v>
      </c>
      <c r="EO565" s="708"/>
      <c r="EQ565" s="1181">
        <f>EQ563-EK563</f>
        <v>4.076539659510714E-3</v>
      </c>
      <c r="ER565" s="1181">
        <f>ER563-EL563</f>
        <v>1.1632207801308692E-2</v>
      </c>
      <c r="ES565" s="1181">
        <f>ES563-EM563</f>
        <v>5.9843630713592999E-3</v>
      </c>
      <c r="ET565" s="1181"/>
      <c r="EU565" s="708"/>
      <c r="FA565" s="699"/>
      <c r="FG565" s="699"/>
      <c r="FM565" s="699"/>
      <c r="FQ565"/>
      <c r="FR565"/>
      <c r="FS565"/>
      <c r="FT565"/>
      <c r="FU565"/>
      <c r="FV565"/>
      <c r="GB565" s="24"/>
      <c r="GC565" s="24"/>
      <c r="GD565" s="24"/>
      <c r="GE565" s="24"/>
      <c r="GF565" s="24"/>
      <c r="GG565" s="24"/>
      <c r="GH565" s="24"/>
      <c r="GI565" s="24"/>
      <c r="GJ565"/>
      <c r="GK565"/>
      <c r="GL565"/>
      <c r="GM565"/>
      <c r="GN565"/>
      <c r="GO565"/>
      <c r="GP565"/>
      <c r="GQ565"/>
      <c r="GR565"/>
      <c r="GS565"/>
      <c r="GT565"/>
      <c r="GU565"/>
      <c r="GV565"/>
      <c r="GW565"/>
      <c r="GX565"/>
      <c r="GY565"/>
      <c r="GZ565"/>
      <c r="HA565"/>
      <c r="HB565"/>
      <c r="HC565"/>
      <c r="HD565"/>
      <c r="HE565"/>
      <c r="HF565"/>
      <c r="HG565"/>
      <c r="HH565"/>
      <c r="HI565"/>
      <c r="HJ565"/>
      <c r="HK565"/>
      <c r="HL565"/>
      <c r="HM565"/>
      <c r="HN565"/>
      <c r="HO565"/>
      <c r="HP565"/>
      <c r="HQ565"/>
      <c r="HR565"/>
      <c r="HS565"/>
      <c r="HT565"/>
      <c r="HU565"/>
      <c r="HV565"/>
      <c r="HW565"/>
      <c r="HX565"/>
      <c r="HY565"/>
      <c r="HZ565"/>
      <c r="IA565"/>
      <c r="IB565"/>
      <c r="IC565"/>
      <c r="ID565"/>
      <c r="IE565"/>
      <c r="IF565"/>
      <c r="IG565"/>
      <c r="IH565"/>
      <c r="II565"/>
      <c r="IJ565"/>
      <c r="IK565"/>
      <c r="IL565"/>
      <c r="IM565"/>
      <c r="IN565"/>
      <c r="IO565"/>
      <c r="IP565"/>
      <c r="IQ565"/>
      <c r="IR565"/>
      <c r="IS565"/>
      <c r="IT565"/>
      <c r="IU565"/>
      <c r="IV565"/>
      <c r="IW565"/>
      <c r="IX565"/>
      <c r="IY565"/>
      <c r="IZ565"/>
      <c r="JA565"/>
      <c r="JB565"/>
      <c r="JC565"/>
      <c r="JD565"/>
      <c r="JE565"/>
      <c r="JF565"/>
      <c r="JG565"/>
      <c r="JH565"/>
      <c r="JI565"/>
      <c r="JJ565"/>
      <c r="JK565"/>
      <c r="JL565"/>
      <c r="JM565"/>
      <c r="JN565"/>
    </row>
    <row r="566" spans="1:274" s="698" customFormat="1" ht="12.75" hidden="1" customHeight="1" outlineLevel="1" x14ac:dyDescent="0.2">
      <c r="A566" s="702" t="s">
        <v>1078</v>
      </c>
      <c r="B566" s="697"/>
      <c r="BC566" s="708"/>
      <c r="BI566" s="708"/>
      <c r="BO566" s="708"/>
      <c r="BU566" s="708"/>
      <c r="CA566" s="708"/>
      <c r="CG566" s="708"/>
      <c r="CM566" s="708"/>
      <c r="CS566" s="708"/>
      <c r="CW566" s="286">
        <v>0</v>
      </c>
      <c r="CX566" s="287">
        <v>0</v>
      </c>
      <c r="CY566" s="285">
        <v>0</v>
      </c>
      <c r="CZ566" s="1155"/>
      <c r="DA566" s="284">
        <v>0</v>
      </c>
      <c r="DB566" s="287">
        <v>0</v>
      </c>
      <c r="DC566" s="33">
        <v>260</v>
      </c>
      <c r="DD566" s="33">
        <f>DE566-DC566-DB566-DA566</f>
        <v>1233</v>
      </c>
      <c r="DE566" s="606">
        <v>1493</v>
      </c>
      <c r="DG566" s="33">
        <v>1079</v>
      </c>
      <c r="DH566" s="243">
        <v>1112</v>
      </c>
      <c r="DI566" s="33">
        <v>1035</v>
      </c>
      <c r="DJ566" s="33">
        <f>DK566-DI566-DH566-DG566</f>
        <v>1156</v>
      </c>
      <c r="DK566" s="606">
        <v>4382</v>
      </c>
      <c r="DM566" s="33">
        <v>1029</v>
      </c>
      <c r="DN566" s="33">
        <v>953</v>
      </c>
      <c r="DO566" s="33">
        <v>869</v>
      </c>
      <c r="DP566" s="33">
        <f>DQ566-DO566-DN566-DM566</f>
        <v>976</v>
      </c>
      <c r="DQ566" s="606">
        <v>3827</v>
      </c>
      <c r="DS566" s="33">
        <v>779</v>
      </c>
      <c r="DT566" s="33">
        <v>734</v>
      </c>
      <c r="DU566" s="33">
        <v>671</v>
      </c>
      <c r="DV566" s="33">
        <f>DW566-DU566-DT566-DS566</f>
        <v>849</v>
      </c>
      <c r="DW566" s="606">
        <v>3033</v>
      </c>
      <c r="DY566" s="33">
        <v>669</v>
      </c>
      <c r="DZ566" s="33">
        <v>714</v>
      </c>
      <c r="EA566" s="33">
        <v>725</v>
      </c>
      <c r="EB566" s="33">
        <f>EC566-EA566-DZ566-DY566</f>
        <v>868</v>
      </c>
      <c r="EC566" s="606">
        <v>2976</v>
      </c>
      <c r="EE566" s="33">
        <v>578</v>
      </c>
      <c r="EF566" s="33">
        <v>717</v>
      </c>
      <c r="EG566" s="243">
        <v>712</v>
      </c>
      <c r="EH566" s="33">
        <f>EI566-EG566-EF566-EE566</f>
        <v>818</v>
      </c>
      <c r="EI566" s="606">
        <v>2825</v>
      </c>
      <c r="EK566" s="33">
        <v>570</v>
      </c>
      <c r="EL566" s="33">
        <v>573</v>
      </c>
      <c r="EM566" s="243">
        <v>604</v>
      </c>
      <c r="EN566" s="33">
        <f>EO566-EM566-EL566-EK566</f>
        <v>724</v>
      </c>
      <c r="EO566" s="606">
        <v>2471</v>
      </c>
      <c r="EQ566" s="33">
        <v>462</v>
      </c>
      <c r="ER566" s="33">
        <v>497</v>
      </c>
      <c r="ES566" s="243">
        <v>520</v>
      </c>
      <c r="ET566" s="33"/>
      <c r="EU566" s="606"/>
      <c r="FA566" s="699"/>
      <c r="FG566" s="699"/>
      <c r="FM566" s="699"/>
      <c r="FQ566"/>
      <c r="FR566"/>
      <c r="FS566"/>
      <c r="FT566"/>
      <c r="FU566"/>
      <c r="FV566"/>
      <c r="GB566" s="24"/>
      <c r="GC566" s="24"/>
      <c r="GD566" s="24"/>
      <c r="GE566" s="24"/>
      <c r="GF566" s="24"/>
      <c r="GG566" s="24"/>
      <c r="GH566" s="24"/>
      <c r="GI566" s="24"/>
      <c r="GJ566"/>
      <c r="GK566"/>
      <c r="GL566"/>
      <c r="GM566"/>
      <c r="GN566"/>
      <c r="GO566"/>
      <c r="GP566"/>
      <c r="GQ566"/>
      <c r="GR566"/>
      <c r="GS566"/>
      <c r="GT566"/>
      <c r="GU566"/>
      <c r="GV566"/>
      <c r="GW566"/>
      <c r="GX566"/>
      <c r="GY566"/>
      <c r="GZ566"/>
      <c r="HA566"/>
      <c r="HB566"/>
      <c r="HC566"/>
      <c r="HD566"/>
      <c r="HE566"/>
      <c r="HF566"/>
      <c r="HG566"/>
      <c r="HH566"/>
      <c r="HI566"/>
      <c r="HJ566"/>
      <c r="HK566"/>
      <c r="HL566"/>
      <c r="HM566"/>
      <c r="HN566"/>
      <c r="HO566"/>
      <c r="HP566"/>
      <c r="HQ566"/>
      <c r="HR566"/>
      <c r="HS566"/>
      <c r="HT566"/>
      <c r="HU566"/>
      <c r="HV566"/>
      <c r="HW566"/>
      <c r="HX566"/>
      <c r="HY566"/>
      <c r="HZ566"/>
      <c r="IA566"/>
      <c r="IB566"/>
      <c r="IC566"/>
      <c r="ID566"/>
      <c r="IE566"/>
      <c r="IF566"/>
      <c r="IG566"/>
      <c r="IH566"/>
      <c r="II566"/>
      <c r="IJ566"/>
      <c r="IK566"/>
      <c r="IL566"/>
      <c r="IM566"/>
      <c r="IN566"/>
      <c r="IO566"/>
      <c r="IP566"/>
      <c r="IQ566"/>
      <c r="IR566"/>
      <c r="IS566"/>
      <c r="IT566"/>
      <c r="IU566"/>
      <c r="IV566"/>
      <c r="IW566"/>
      <c r="IX566"/>
      <c r="IY566"/>
      <c r="IZ566"/>
      <c r="JA566"/>
      <c r="JB566"/>
      <c r="JC566"/>
      <c r="JD566"/>
      <c r="JE566"/>
      <c r="JF566"/>
      <c r="JG566"/>
      <c r="JH566"/>
      <c r="JI566"/>
      <c r="JJ566"/>
      <c r="JK566"/>
      <c r="JL566"/>
      <c r="JM566"/>
      <c r="JN566"/>
    </row>
    <row r="567" spans="1:274" s="698" customFormat="1" ht="12.75" hidden="1" customHeight="1" outlineLevel="1" x14ac:dyDescent="0.2">
      <c r="A567" s="702" t="s">
        <v>514</v>
      </c>
      <c r="B567" s="697"/>
      <c r="BC567" s="708"/>
      <c r="BI567" s="708"/>
      <c r="BO567" s="708"/>
      <c r="BU567" s="708"/>
      <c r="CA567" s="708"/>
      <c r="CG567" s="708"/>
      <c r="CM567" s="708"/>
      <c r="CS567" s="708"/>
      <c r="CW567" s="1135"/>
      <c r="CX567" s="1131"/>
      <c r="CY567" s="699"/>
      <c r="CZ567" s="1135"/>
      <c r="DB567" s="1131"/>
      <c r="DC567" s="33">
        <v>180</v>
      </c>
      <c r="DD567" s="33">
        <f>DE567-DC567-DB567-DA567</f>
        <v>670</v>
      </c>
      <c r="DE567" s="606">
        <v>850</v>
      </c>
      <c r="DG567" s="33">
        <v>554</v>
      </c>
      <c r="DH567" s="243">
        <v>523</v>
      </c>
      <c r="DI567" s="33">
        <v>468</v>
      </c>
      <c r="DJ567" s="33">
        <f>DK567-DI567-DH567-DG567</f>
        <v>516</v>
      </c>
      <c r="DK567" s="606">
        <v>2061</v>
      </c>
      <c r="DM567" s="33">
        <v>473</v>
      </c>
      <c r="DN567" s="33">
        <v>468</v>
      </c>
      <c r="DO567" s="33">
        <v>425</v>
      </c>
      <c r="DP567" s="33">
        <f>DQ567-DO567-DN567-DM567</f>
        <v>475</v>
      </c>
      <c r="DQ567" s="606">
        <v>1841</v>
      </c>
      <c r="DS567" s="33">
        <v>384</v>
      </c>
      <c r="DT567" s="33">
        <v>366</v>
      </c>
      <c r="DU567" s="33">
        <v>336</v>
      </c>
      <c r="DV567" s="33">
        <f>DW567-DU567-DT567-DS567</f>
        <v>412</v>
      </c>
      <c r="DW567" s="606">
        <v>1498</v>
      </c>
      <c r="DY567" s="33">
        <v>329</v>
      </c>
      <c r="DZ567" s="33">
        <v>369</v>
      </c>
      <c r="EA567" s="33">
        <v>378</v>
      </c>
      <c r="EB567" s="33">
        <f>EC567-EA567-DZ567-DY567</f>
        <v>440</v>
      </c>
      <c r="EC567" s="606">
        <v>1516</v>
      </c>
      <c r="EE567" s="33">
        <v>297</v>
      </c>
      <c r="EF567" s="33">
        <v>368</v>
      </c>
      <c r="EG567" s="698">
        <v>366</v>
      </c>
      <c r="EH567" s="33">
        <f>EI567-EG567-EF567-EE567</f>
        <v>434</v>
      </c>
      <c r="EI567" s="606">
        <v>1465</v>
      </c>
      <c r="EK567" s="33">
        <v>301</v>
      </c>
      <c r="EL567" s="33">
        <v>323</v>
      </c>
      <c r="EM567" s="698">
        <v>337</v>
      </c>
      <c r="EN567" s="33">
        <f>EO567-EM567-EL567-EK567</f>
        <v>403</v>
      </c>
      <c r="EO567" s="606">
        <v>1364</v>
      </c>
      <c r="EQ567" s="33">
        <v>240</v>
      </c>
      <c r="ER567" s="33">
        <v>240</v>
      </c>
      <c r="ES567" s="698">
        <v>288</v>
      </c>
      <c r="ET567" s="33"/>
      <c r="EU567" s="606"/>
      <c r="FA567" s="699"/>
      <c r="FG567" s="699"/>
      <c r="FM567" s="699"/>
      <c r="FQ567"/>
      <c r="FR567"/>
      <c r="FS567"/>
      <c r="FT567"/>
      <c r="FU567"/>
      <c r="FV567"/>
      <c r="GB567" s="24"/>
      <c r="GC567" s="24"/>
      <c r="GD567" s="24"/>
      <c r="GE567" s="24"/>
      <c r="GF567" s="24"/>
      <c r="GG567" s="24"/>
      <c r="GH567" s="24"/>
      <c r="GI567" s="24"/>
      <c r="GJ567"/>
      <c r="GK567"/>
      <c r="GL567"/>
      <c r="GM567"/>
      <c r="GN567"/>
      <c r="GO567"/>
      <c r="GP567"/>
      <c r="GQ567"/>
      <c r="GR567"/>
      <c r="GS567"/>
      <c r="GT567"/>
      <c r="GU567"/>
      <c r="GV567"/>
      <c r="GW567"/>
      <c r="GX567"/>
      <c r="GY567"/>
      <c r="GZ567"/>
      <c r="HA567"/>
      <c r="HB567"/>
      <c r="HC567"/>
      <c r="HD567"/>
      <c r="HE567"/>
      <c r="HF567"/>
      <c r="HG567"/>
      <c r="HH567"/>
      <c r="HI567"/>
      <c r="HJ567"/>
      <c r="HK567"/>
      <c r="HL567"/>
      <c r="HM567"/>
      <c r="HN567"/>
      <c r="HO567"/>
      <c r="HP567"/>
      <c r="HQ567"/>
      <c r="HR567"/>
      <c r="HS567"/>
      <c r="HT567"/>
      <c r="HU567"/>
      <c r="HV567"/>
      <c r="HW567"/>
      <c r="HX567"/>
      <c r="HY567"/>
      <c r="HZ567"/>
      <c r="IA567"/>
      <c r="IB567"/>
      <c r="IC567"/>
      <c r="ID567"/>
      <c r="IE567"/>
      <c r="IF567"/>
      <c r="IG567"/>
      <c r="IH567"/>
      <c r="II567"/>
      <c r="IJ567"/>
      <c r="IK567"/>
      <c r="IL567"/>
      <c r="IM567"/>
      <c r="IN567"/>
      <c r="IO567"/>
      <c r="IP567"/>
      <c r="IQ567"/>
      <c r="IR567"/>
      <c r="IS567"/>
      <c r="IT567"/>
      <c r="IU567"/>
      <c r="IV567"/>
      <c r="IW567"/>
      <c r="IX567"/>
      <c r="IY567"/>
      <c r="IZ567"/>
      <c r="JA567"/>
      <c r="JB567"/>
      <c r="JC567"/>
      <c r="JD567"/>
      <c r="JE567"/>
      <c r="JF567"/>
      <c r="JG567"/>
      <c r="JH567"/>
      <c r="JI567"/>
      <c r="JJ567"/>
      <c r="JK567"/>
      <c r="JL567"/>
      <c r="JM567"/>
      <c r="JN567"/>
    </row>
    <row r="568" spans="1:274" s="698" customFormat="1" ht="12.75" hidden="1" customHeight="1" outlineLevel="1" x14ac:dyDescent="0.2">
      <c r="A568" s="702" t="s">
        <v>1079</v>
      </c>
      <c r="B568" s="697"/>
      <c r="BC568" s="708"/>
      <c r="BI568" s="708"/>
      <c r="BO568" s="708"/>
      <c r="BU568" s="708"/>
      <c r="CA568" s="708"/>
      <c r="CG568" s="708"/>
      <c r="CM568" s="708"/>
      <c r="CS568" s="708"/>
      <c r="CW568" s="1135"/>
      <c r="CX568" s="1131"/>
      <c r="CY568" s="699"/>
      <c r="CZ568" s="1135"/>
      <c r="DB568" s="1131"/>
      <c r="DC568" s="33">
        <v>71</v>
      </c>
      <c r="DD568" s="33">
        <f>DE568-DC568-DB568-DA568</f>
        <v>236</v>
      </c>
      <c r="DE568" s="606">
        <v>307</v>
      </c>
      <c r="DG568" s="33">
        <v>230</v>
      </c>
      <c r="DH568" s="243">
        <v>232</v>
      </c>
      <c r="DI568" s="33">
        <v>240</v>
      </c>
      <c r="DJ568" s="33">
        <f>DK568-DI568-DH568-DG568</f>
        <v>258</v>
      </c>
      <c r="DK568" s="606">
        <v>960</v>
      </c>
      <c r="DM568" s="33">
        <v>266</v>
      </c>
      <c r="DN568" s="33">
        <v>271</v>
      </c>
      <c r="DO568" s="33">
        <v>250</v>
      </c>
      <c r="DP568" s="33">
        <f>DQ568-DO568-DN568-DM568</f>
        <v>263</v>
      </c>
      <c r="DQ568" s="606">
        <v>1050</v>
      </c>
      <c r="DS568" s="33">
        <v>218</v>
      </c>
      <c r="DT568" s="33">
        <v>213</v>
      </c>
      <c r="DU568" s="33">
        <v>212</v>
      </c>
      <c r="DV568" s="33">
        <f>DW568-DU568-DT568-DS568</f>
        <v>242</v>
      </c>
      <c r="DW568" s="606">
        <v>885</v>
      </c>
      <c r="DY568" s="33">
        <v>217</v>
      </c>
      <c r="DZ568" s="33">
        <v>243</v>
      </c>
      <c r="EA568" s="33">
        <v>223</v>
      </c>
      <c r="EB568" s="33">
        <f>EC568-EA568-DZ568-DY568</f>
        <v>257</v>
      </c>
      <c r="EC568" s="606">
        <v>940</v>
      </c>
      <c r="EE568" s="33">
        <v>201</v>
      </c>
      <c r="EF568" s="33">
        <v>221</v>
      </c>
      <c r="EG568" s="698">
        <v>211</v>
      </c>
      <c r="EH568" s="33">
        <f>EI568-EG568-EF568-EE568</f>
        <v>231</v>
      </c>
      <c r="EI568" s="606">
        <v>864</v>
      </c>
      <c r="EK568" s="33">
        <v>204</v>
      </c>
      <c r="EL568" s="33">
        <v>216</v>
      </c>
      <c r="EM568" s="698">
        <v>197</v>
      </c>
      <c r="EN568" s="33">
        <f>EO568-EM568-EL568-EK568</f>
        <v>233</v>
      </c>
      <c r="EO568" s="606">
        <v>850</v>
      </c>
      <c r="EQ568" s="33">
        <v>203</v>
      </c>
      <c r="ER568" s="33">
        <v>202</v>
      </c>
      <c r="ES568" s="698">
        <v>195</v>
      </c>
      <c r="ET568" s="33"/>
      <c r="EU568" s="606"/>
      <c r="FA568" s="699"/>
      <c r="FG568" s="699"/>
      <c r="FM568" s="699"/>
      <c r="FQ568"/>
      <c r="FR568"/>
      <c r="FS568"/>
      <c r="FT568"/>
      <c r="FU568"/>
      <c r="FV568"/>
      <c r="GB568" s="24"/>
      <c r="GC568" s="24"/>
      <c r="GD568" s="24"/>
      <c r="GE568" s="24"/>
      <c r="GF568" s="24"/>
      <c r="GG568" s="24"/>
      <c r="GH568" s="24"/>
      <c r="GI568" s="24"/>
      <c r="GJ568"/>
      <c r="GK568"/>
      <c r="GL568"/>
      <c r="GM568"/>
      <c r="GN568"/>
      <c r="GO568"/>
      <c r="GP568"/>
      <c r="GQ568"/>
      <c r="GR568"/>
      <c r="GS568"/>
      <c r="GT568"/>
      <c r="GU568"/>
      <c r="GV568"/>
      <c r="GW568"/>
      <c r="GX568"/>
      <c r="GY568"/>
      <c r="GZ568"/>
      <c r="HA568"/>
      <c r="HB568"/>
      <c r="HC568"/>
      <c r="HD568"/>
      <c r="HE568"/>
      <c r="HF568"/>
      <c r="HG568"/>
      <c r="HH568"/>
      <c r="HI568"/>
      <c r="HJ568"/>
      <c r="HK568"/>
      <c r="HL568"/>
      <c r="HM568"/>
      <c r="HN568"/>
      <c r="HO568"/>
      <c r="HP568"/>
      <c r="HQ568"/>
      <c r="HR568"/>
      <c r="HS568"/>
      <c r="HT568"/>
      <c r="HU568"/>
      <c r="HV568"/>
      <c r="HW568"/>
      <c r="HX568"/>
      <c r="HY568"/>
      <c r="HZ568"/>
      <c r="IA568"/>
      <c r="IB568"/>
      <c r="IC568"/>
      <c r="ID568"/>
      <c r="IE568"/>
      <c r="IF568"/>
      <c r="IG568"/>
      <c r="IH568"/>
      <c r="II568"/>
      <c r="IJ568"/>
      <c r="IK568"/>
      <c r="IL568"/>
      <c r="IM568"/>
      <c r="IN568"/>
      <c r="IO568"/>
      <c r="IP568"/>
      <c r="IQ568"/>
      <c r="IR568"/>
      <c r="IS568"/>
      <c r="IT568"/>
      <c r="IU568"/>
      <c r="IV568"/>
      <c r="IW568"/>
      <c r="IX568"/>
      <c r="IY568"/>
      <c r="IZ568"/>
      <c r="JA568"/>
      <c r="JB568"/>
      <c r="JC568"/>
      <c r="JD568"/>
      <c r="JE568"/>
      <c r="JF568"/>
      <c r="JG568"/>
      <c r="JH568"/>
      <c r="JI568"/>
      <c r="JJ568"/>
      <c r="JK568"/>
      <c r="JL568"/>
      <c r="JM568"/>
      <c r="JN568"/>
    </row>
    <row r="569" spans="1:274" s="698" customFormat="1" ht="12.75" hidden="1" customHeight="1" outlineLevel="1" x14ac:dyDescent="0.2">
      <c r="A569" s="703" t="s">
        <v>1080</v>
      </c>
      <c r="B569" s="704"/>
      <c r="C569" s="704"/>
      <c r="D569" s="704"/>
      <c r="E569" s="704"/>
      <c r="F569" s="704"/>
      <c r="G569" s="704"/>
      <c r="H569" s="704"/>
      <c r="I569" s="704"/>
      <c r="J569" s="704"/>
      <c r="K569" s="704"/>
      <c r="L569" s="704"/>
      <c r="M569" s="704"/>
      <c r="N569" s="704"/>
      <c r="O569" s="704"/>
      <c r="P569" s="704"/>
      <c r="Q569" s="704"/>
      <c r="R569" s="704"/>
      <c r="S569" s="704"/>
      <c r="T569" s="704"/>
      <c r="U569" s="704"/>
      <c r="V569" s="704"/>
      <c r="W569" s="704"/>
      <c r="X569" s="704"/>
      <c r="Y569" s="704"/>
      <c r="Z569" s="704"/>
      <c r="AA569" s="704"/>
      <c r="AB569" s="704"/>
      <c r="AC569" s="704"/>
      <c r="AD569" s="704"/>
      <c r="AE569" s="704"/>
      <c r="AF569" s="704"/>
      <c r="AG569" s="704"/>
      <c r="AH569" s="704"/>
      <c r="AI569" s="704"/>
      <c r="AJ569" s="704"/>
      <c r="AK569" s="704"/>
      <c r="AL569" s="704"/>
      <c r="AM569" s="704"/>
      <c r="AN569" s="704"/>
      <c r="AO569" s="704"/>
      <c r="AP569" s="704"/>
      <c r="AQ569" s="704"/>
      <c r="AR569" s="704"/>
      <c r="AS569" s="704"/>
      <c r="AT569" s="704"/>
      <c r="AU569" s="704"/>
      <c r="AV569" s="704"/>
      <c r="AW569" s="704"/>
      <c r="AX569" s="704"/>
      <c r="AY569" s="704"/>
      <c r="AZ569" s="704"/>
      <c r="BA569" s="704"/>
      <c r="BB569" s="704"/>
      <c r="BC569" s="710"/>
      <c r="BD569" s="704"/>
      <c r="BE569" s="704"/>
      <c r="BF569" s="704"/>
      <c r="BG569" s="704"/>
      <c r="BH569" s="704"/>
      <c r="BI569" s="710"/>
      <c r="BJ569" s="704"/>
      <c r="BK569" s="704"/>
      <c r="BL569" s="704"/>
      <c r="BM569" s="704"/>
      <c r="BN569" s="704"/>
      <c r="BO569" s="710"/>
      <c r="BP569" s="704"/>
      <c r="BQ569" s="704"/>
      <c r="BR569" s="704"/>
      <c r="BS569" s="704"/>
      <c r="BT569" s="704"/>
      <c r="BU569" s="710"/>
      <c r="BV569" s="704"/>
      <c r="BW569" s="704"/>
      <c r="BX569" s="704"/>
      <c r="BY569" s="704"/>
      <c r="BZ569" s="704"/>
      <c r="CA569" s="710"/>
      <c r="CB569" s="704"/>
      <c r="CC569" s="704"/>
      <c r="CD569" s="704"/>
      <c r="CE569" s="704"/>
      <c r="CF569" s="704"/>
      <c r="CG569" s="710"/>
      <c r="CH569" s="704"/>
      <c r="CI569" s="704"/>
      <c r="CJ569" s="704"/>
      <c r="CK569" s="704"/>
      <c r="CL569" s="704"/>
      <c r="CM569" s="710"/>
      <c r="CN569" s="704"/>
      <c r="CO569" s="704"/>
      <c r="CP569" s="704"/>
      <c r="CQ569" s="704"/>
      <c r="CR569" s="704"/>
      <c r="CS569" s="710"/>
      <c r="CT569" s="704"/>
      <c r="CU569" s="704"/>
      <c r="CV569" s="704"/>
      <c r="CW569" s="1136"/>
      <c r="CX569" s="1132"/>
      <c r="CY569" s="706"/>
      <c r="CZ569" s="1136"/>
      <c r="DA569" s="704"/>
      <c r="DB569" s="1132"/>
      <c r="DC569" s="73">
        <f>DC566-DC567-DC568</f>
        <v>9</v>
      </c>
      <c r="DD569" s="73">
        <f>DD566-DD567-DD568</f>
        <v>327</v>
      </c>
      <c r="DE569" s="162">
        <f>DE566-DE567-DE568</f>
        <v>336</v>
      </c>
      <c r="DF569" s="704"/>
      <c r="DG569" s="73">
        <f>DG566-DG567-DG568</f>
        <v>295</v>
      </c>
      <c r="DH569" s="73">
        <f>DH566-DH567-DH568</f>
        <v>357</v>
      </c>
      <c r="DI569" s="73">
        <f>DI566-DI567-DI568</f>
        <v>327</v>
      </c>
      <c r="DJ569" s="73">
        <f>DJ566-DJ567-DJ568</f>
        <v>382</v>
      </c>
      <c r="DK569" s="162">
        <f>DK566-DK567-DK568</f>
        <v>1361</v>
      </c>
      <c r="DL569" s="704"/>
      <c r="DM569" s="73">
        <f>DM566-DM567-DM568</f>
        <v>290</v>
      </c>
      <c r="DN569" s="73">
        <f>DN566-DN567-DN568</f>
        <v>214</v>
      </c>
      <c r="DO569" s="73">
        <f>DO566-DO567-DO568</f>
        <v>194</v>
      </c>
      <c r="DP569" s="73">
        <f>DP566-DP567-DP568</f>
        <v>238</v>
      </c>
      <c r="DQ569" s="162">
        <f>DQ566-DQ567-DQ568</f>
        <v>936</v>
      </c>
      <c r="DR569" s="704"/>
      <c r="DS569" s="73">
        <f>DS566-DS567-DS568</f>
        <v>177</v>
      </c>
      <c r="DT569" s="73">
        <f>DT566-DT567-DT568</f>
        <v>155</v>
      </c>
      <c r="DU569" s="73">
        <f>DU566-DU567-DU568</f>
        <v>123</v>
      </c>
      <c r="DV569" s="73">
        <f>DV566-DV567-DV568</f>
        <v>195</v>
      </c>
      <c r="DW569" s="162">
        <f>DW566-DW567-DW568</f>
        <v>650</v>
      </c>
      <c r="DX569" s="704"/>
      <c r="DY569" s="73">
        <f>DY566-DY567-DY568</f>
        <v>123</v>
      </c>
      <c r="DZ569" s="73">
        <f>DZ566-DZ567-DZ568</f>
        <v>102</v>
      </c>
      <c r="EA569" s="73">
        <f>EA566-EA567-EA568</f>
        <v>124</v>
      </c>
      <c r="EB569" s="73">
        <f>EB566-EB567-EB568</f>
        <v>171</v>
      </c>
      <c r="EC569" s="162">
        <f>EC566-EC567-EC568</f>
        <v>520</v>
      </c>
      <c r="ED569" s="704"/>
      <c r="EE569" s="73">
        <f>EE566-EE567-EE568</f>
        <v>80</v>
      </c>
      <c r="EF569" s="73">
        <f>EF566-EF567-EF568</f>
        <v>128</v>
      </c>
      <c r="EG569" s="73">
        <f>EG566-EG567-EG568</f>
        <v>135</v>
      </c>
      <c r="EH569" s="73">
        <f>EH566-EH567-EH568</f>
        <v>153</v>
      </c>
      <c r="EI569" s="162">
        <f>EI566-EI567-EI568</f>
        <v>496</v>
      </c>
      <c r="EJ569" s="704"/>
      <c r="EK569" s="73">
        <f>EK566-EK567-EK568</f>
        <v>65</v>
      </c>
      <c r="EL569" s="73">
        <f>EL566-EL567-EL568</f>
        <v>34</v>
      </c>
      <c r="EM569" s="73">
        <f>EM566-EM567-EM568</f>
        <v>70</v>
      </c>
      <c r="EN569" s="73">
        <f>EN566-EN567-EN568</f>
        <v>88</v>
      </c>
      <c r="EO569" s="162">
        <f>EO566-EO567-EO568</f>
        <v>257</v>
      </c>
      <c r="EP569" s="704"/>
      <c r="EQ569" s="73">
        <f>EQ566-EQ567-EQ568</f>
        <v>19</v>
      </c>
      <c r="ER569" s="73">
        <f>ER566-ER567-ER568</f>
        <v>55</v>
      </c>
      <c r="ES569" s="73">
        <f>ES566-ES567-ES568</f>
        <v>37</v>
      </c>
      <c r="ET569" s="73"/>
      <c r="EU569" s="162"/>
      <c r="EV569" s="704"/>
      <c r="EW569" s="704"/>
      <c r="EX569" s="704"/>
      <c r="EY569" s="704"/>
      <c r="EZ569" s="704"/>
      <c r="FA569" s="706"/>
      <c r="FB569" s="704"/>
      <c r="FC569" s="704"/>
      <c r="FD569" s="704"/>
      <c r="FE569" s="704"/>
      <c r="FF569" s="704"/>
      <c r="FG569" s="706"/>
      <c r="FH569" s="704"/>
      <c r="FI569" s="704"/>
      <c r="FJ569" s="704"/>
      <c r="FK569" s="704"/>
      <c r="FL569" s="704"/>
      <c r="FM569" s="706"/>
      <c r="FQ569"/>
      <c r="FR569"/>
      <c r="FS569"/>
      <c r="FT569"/>
      <c r="FU569"/>
      <c r="FV569"/>
      <c r="GB569" s="24"/>
      <c r="GC569" s="24"/>
      <c r="GD569" s="24"/>
      <c r="GE569" s="24"/>
      <c r="GF569" s="24"/>
      <c r="GG569" s="24"/>
      <c r="GH569" s="24"/>
      <c r="GI569" s="24"/>
      <c r="GJ569"/>
      <c r="GK569"/>
      <c r="GL569"/>
      <c r="GM569"/>
      <c r="GN569"/>
      <c r="GO569"/>
      <c r="GP569"/>
      <c r="GQ569"/>
      <c r="GR569"/>
      <c r="GS569"/>
      <c r="GT569"/>
      <c r="GU569"/>
      <c r="GV569"/>
      <c r="GW569"/>
      <c r="GX569"/>
      <c r="GY569"/>
      <c r="GZ569"/>
      <c r="HA569"/>
      <c r="HB569"/>
      <c r="HC569"/>
      <c r="HD569"/>
      <c r="HE569"/>
      <c r="HF569"/>
      <c r="HG569"/>
      <c r="HH569"/>
      <c r="HI569"/>
      <c r="HJ569"/>
      <c r="HK569"/>
      <c r="HL569"/>
      <c r="HM569"/>
      <c r="HN569"/>
      <c r="HO569"/>
      <c r="HP569"/>
      <c r="HQ569"/>
      <c r="HR569"/>
      <c r="HS569"/>
      <c r="HT569"/>
      <c r="HU569"/>
      <c r="HV569"/>
      <c r="HW569"/>
      <c r="HX569"/>
      <c r="HY569"/>
      <c r="HZ569"/>
      <c r="IA569"/>
      <c r="IB569"/>
      <c r="IC569"/>
      <c r="ID569"/>
      <c r="IE569"/>
      <c r="IF569"/>
      <c r="IG569"/>
      <c r="IH569"/>
      <c r="II569"/>
      <c r="IJ569"/>
      <c r="IK569"/>
      <c r="IL569"/>
      <c r="IM569"/>
      <c r="IN569"/>
      <c r="IO569"/>
      <c r="IP569"/>
      <c r="IQ569"/>
      <c r="IR569"/>
      <c r="IS569"/>
      <c r="IT569"/>
      <c r="IU569"/>
      <c r="IV569"/>
      <c r="IW569"/>
      <c r="IX569"/>
      <c r="IY569"/>
      <c r="IZ569"/>
      <c r="JA569"/>
      <c r="JB569"/>
      <c r="JC569"/>
      <c r="JD569"/>
      <c r="JE569"/>
      <c r="JF569"/>
      <c r="JG569"/>
      <c r="JH569"/>
      <c r="JI569"/>
      <c r="JJ569"/>
      <c r="JK569"/>
      <c r="JL569"/>
      <c r="JM569"/>
      <c r="JN569"/>
    </row>
    <row r="570" spans="1:274" s="698" customFormat="1" ht="12.75" hidden="1" customHeight="1" outlineLevel="1" x14ac:dyDescent="0.2">
      <c r="A570" s="703" t="s">
        <v>1081</v>
      </c>
      <c r="B570" s="704"/>
      <c r="C570" s="704"/>
      <c r="D570" s="704"/>
      <c r="E570" s="704"/>
      <c r="F570" s="704"/>
      <c r="G570" s="704"/>
      <c r="H570" s="704"/>
      <c r="I570" s="704"/>
      <c r="J570" s="704"/>
      <c r="K570" s="704"/>
      <c r="L570" s="704"/>
      <c r="M570" s="704"/>
      <c r="N570" s="704"/>
      <c r="O570" s="704"/>
      <c r="P570" s="704"/>
      <c r="Q570" s="704"/>
      <c r="R570" s="704"/>
      <c r="S570" s="704"/>
      <c r="T570" s="704"/>
      <c r="U570" s="704"/>
      <c r="V570" s="704"/>
      <c r="W570" s="704"/>
      <c r="X570" s="704"/>
      <c r="Y570" s="704"/>
      <c r="Z570" s="704"/>
      <c r="AA570" s="704"/>
      <c r="AB570" s="704"/>
      <c r="AC570" s="704"/>
      <c r="AD570" s="704"/>
      <c r="AE570" s="704"/>
      <c r="AF570" s="704"/>
      <c r="AG570" s="704"/>
      <c r="AH570" s="704"/>
      <c r="AI570" s="704"/>
      <c r="AJ570" s="704"/>
      <c r="AK570" s="704"/>
      <c r="AL570" s="704"/>
      <c r="AM570" s="704"/>
      <c r="AN570" s="704"/>
      <c r="AO570" s="704"/>
      <c r="AP570" s="704"/>
      <c r="AQ570" s="704"/>
      <c r="AR570" s="704"/>
      <c r="AS570" s="704"/>
      <c r="AT570" s="704"/>
      <c r="AU570" s="704"/>
      <c r="AV570" s="704"/>
      <c r="AW570" s="704"/>
      <c r="AX570" s="704"/>
      <c r="AY570" s="704"/>
      <c r="AZ570" s="704"/>
      <c r="BA570" s="704"/>
      <c r="BB570" s="704"/>
      <c r="BC570" s="710"/>
      <c r="BD570" s="704"/>
      <c r="BE570" s="704"/>
      <c r="BF570" s="704"/>
      <c r="BG570" s="704"/>
      <c r="BH570" s="704"/>
      <c r="BI570" s="710"/>
      <c r="BJ570" s="704"/>
      <c r="BK570" s="704"/>
      <c r="BL570" s="704"/>
      <c r="BM570" s="704"/>
      <c r="BN570" s="704"/>
      <c r="BO570" s="710"/>
      <c r="BP570" s="704"/>
      <c r="BQ570" s="704"/>
      <c r="BR570" s="704"/>
      <c r="BS570" s="704"/>
      <c r="BT570" s="704"/>
      <c r="BU570" s="710"/>
      <c r="BV570" s="704"/>
      <c r="BW570" s="704"/>
      <c r="BX570" s="704"/>
      <c r="BY570" s="704"/>
      <c r="BZ570" s="704"/>
      <c r="CA570" s="710"/>
      <c r="CB570" s="704"/>
      <c r="CC570" s="704"/>
      <c r="CD570" s="704"/>
      <c r="CE570" s="704"/>
      <c r="CF570" s="704"/>
      <c r="CG570" s="710"/>
      <c r="CH570" s="704"/>
      <c r="CI570" s="704"/>
      <c r="CJ570" s="704"/>
      <c r="CK570" s="704"/>
      <c r="CL570" s="704"/>
      <c r="CM570" s="710"/>
      <c r="CN570" s="704"/>
      <c r="CO570" s="704"/>
      <c r="CP570" s="704"/>
      <c r="CQ570" s="704"/>
      <c r="CR570" s="704"/>
      <c r="CS570" s="710"/>
      <c r="CT570" s="704"/>
      <c r="CU570" s="704"/>
      <c r="CV570" s="704"/>
      <c r="CW570" s="1137">
        <f>DC570</f>
        <v>3.4615384615384617E-2</v>
      </c>
      <c r="CX570" s="1133">
        <f>DD570</f>
        <v>0.26520681265206814</v>
      </c>
      <c r="CY570" s="1083">
        <f>DE570</f>
        <v>0.22505023442732752</v>
      </c>
      <c r="CZ570" s="1136"/>
      <c r="DA570" s="1164">
        <f>DG570</f>
        <v>0.27340129749768305</v>
      </c>
      <c r="DB570" s="1133">
        <f>DH570</f>
        <v>0.3210431654676259</v>
      </c>
      <c r="DC570" s="70">
        <f>DC569/DC566</f>
        <v>3.4615384615384617E-2</v>
      </c>
      <c r="DD570" s="70">
        <f>DD569/DD566</f>
        <v>0.26520681265206814</v>
      </c>
      <c r="DE570" s="725">
        <f>DE569/DE566</f>
        <v>0.22505023442732752</v>
      </c>
      <c r="DF570" s="704"/>
      <c r="DG570" s="70">
        <f>DG569/DG566</f>
        <v>0.27340129749768305</v>
      </c>
      <c r="DH570" s="70">
        <f>DH569/DH566</f>
        <v>0.3210431654676259</v>
      </c>
      <c r="DI570" s="70">
        <f>DI569/DI566</f>
        <v>0.31594202898550727</v>
      </c>
      <c r="DJ570" s="70">
        <f>DJ569/DJ566</f>
        <v>0.33044982698961939</v>
      </c>
      <c r="DK570" s="725">
        <f>DK569/DK566</f>
        <v>0.31058877225011411</v>
      </c>
      <c r="DL570" s="704"/>
      <c r="DM570" s="70">
        <f>DM569/DM566</f>
        <v>0.28182701652089409</v>
      </c>
      <c r="DN570" s="70">
        <f>DN569/DN566</f>
        <v>0.22455403987408185</v>
      </c>
      <c r="DO570" s="70">
        <f>DO569/DO566</f>
        <v>0.22324510932105868</v>
      </c>
      <c r="DP570" s="70">
        <f>DP569/DP566</f>
        <v>0.24385245901639344</v>
      </c>
      <c r="DQ570" s="725">
        <f>DQ569/DQ566</f>
        <v>0.24457799843219233</v>
      </c>
      <c r="DR570" s="704"/>
      <c r="DS570" s="70">
        <f>DS569/DS566</f>
        <v>0.22721437740693196</v>
      </c>
      <c r="DT570" s="70">
        <f>DT569/DT566</f>
        <v>0.21117166212534061</v>
      </c>
      <c r="DU570" s="70">
        <f>DU569/DU566</f>
        <v>0.18330849478390462</v>
      </c>
      <c r="DV570" s="70">
        <f>DV569/DV566</f>
        <v>0.22968197879858657</v>
      </c>
      <c r="DW570" s="725">
        <f>DW569/DW566</f>
        <v>0.21430926475436862</v>
      </c>
      <c r="DX570" s="704"/>
      <c r="DY570" s="70">
        <f>DY569/DY566</f>
        <v>0.18385650224215247</v>
      </c>
      <c r="DZ570" s="70">
        <f>DZ569/DZ566</f>
        <v>0.14285714285714285</v>
      </c>
      <c r="EA570" s="70">
        <f>EA569/EA566</f>
        <v>0.17103448275862068</v>
      </c>
      <c r="EB570" s="70">
        <f>EB569/EB566</f>
        <v>0.19700460829493088</v>
      </c>
      <c r="EC570" s="725">
        <f>EC569/EC566</f>
        <v>0.17473118279569894</v>
      </c>
      <c r="ED570" s="704"/>
      <c r="EE570" s="70">
        <f>EE569/EE566</f>
        <v>0.13840830449826991</v>
      </c>
      <c r="EF570" s="70">
        <f>EF569/EF566</f>
        <v>0.17852161785216178</v>
      </c>
      <c r="EG570" s="70">
        <f>EG569/EG566</f>
        <v>0.1896067415730337</v>
      </c>
      <c r="EH570" s="70">
        <f>EH569/EH566</f>
        <v>0.18704156479217604</v>
      </c>
      <c r="EI570" s="725">
        <f>EI569/EI566</f>
        <v>0.17557522123893804</v>
      </c>
      <c r="EJ570" s="704"/>
      <c r="EK570" s="70">
        <f>EK569/EK566</f>
        <v>0.11403508771929824</v>
      </c>
      <c r="EL570" s="70">
        <f>EL569/EL566</f>
        <v>5.9336823734729496E-2</v>
      </c>
      <c r="EM570" s="70">
        <f>EM569/EM566</f>
        <v>0.11589403973509933</v>
      </c>
      <c r="EN570" s="70">
        <f>EN569/EN566</f>
        <v>0.12154696132596685</v>
      </c>
      <c r="EO570" s="725">
        <f>EO569/EO566</f>
        <v>0.10400647511129098</v>
      </c>
      <c r="EP570" s="704"/>
      <c r="EQ570" s="70">
        <f>EQ569/EQ566</f>
        <v>4.1125541125541128E-2</v>
      </c>
      <c r="ER570" s="70">
        <f>ER569/ER566</f>
        <v>0.11066398390342053</v>
      </c>
      <c r="ES570" s="70">
        <f>ES569/ES566</f>
        <v>7.1153846153846151E-2</v>
      </c>
      <c r="ET570" s="70"/>
      <c r="EU570" s="725"/>
      <c r="EV570" s="704"/>
      <c r="EW570" s="704"/>
      <c r="EX570" s="704"/>
      <c r="EY570" s="704"/>
      <c r="EZ570" s="704"/>
      <c r="FA570" s="706"/>
      <c r="FB570" s="704"/>
      <c r="FC570" s="704"/>
      <c r="FD570" s="704"/>
      <c r="FE570" s="704"/>
      <c r="FF570" s="704"/>
      <c r="FG570" s="706"/>
      <c r="FH570" s="704"/>
      <c r="FI570" s="704"/>
      <c r="FJ570" s="704"/>
      <c r="FK570" s="704"/>
      <c r="FL570" s="704"/>
      <c r="FM570" s="706"/>
      <c r="FQ570"/>
      <c r="FR570"/>
      <c r="FS570"/>
      <c r="FT570"/>
      <c r="FU570"/>
      <c r="FV570"/>
      <c r="GB570" s="24"/>
      <c r="GC570" s="24"/>
      <c r="GD570" s="24"/>
      <c r="GE570" s="24"/>
      <c r="GF570" s="24"/>
      <c r="GG570" s="24"/>
      <c r="GH570" s="24"/>
      <c r="GI570" s="24"/>
      <c r="GJ570"/>
      <c r="GK570"/>
      <c r="GL570"/>
      <c r="GM570"/>
      <c r="GN570"/>
      <c r="GO570"/>
      <c r="GP570"/>
      <c r="GQ570"/>
      <c r="GR570"/>
      <c r="GS570"/>
      <c r="GT570"/>
      <c r="GU570"/>
      <c r="GV570"/>
      <c r="GW570"/>
      <c r="GX570"/>
      <c r="GY570"/>
      <c r="GZ570"/>
      <c r="HA570"/>
      <c r="HB570"/>
      <c r="HC570"/>
      <c r="HD570"/>
      <c r="HE570"/>
      <c r="HF570"/>
      <c r="HG570"/>
      <c r="HH570"/>
      <c r="HI570"/>
      <c r="HJ570"/>
      <c r="HK570"/>
      <c r="HL570"/>
      <c r="HM570"/>
      <c r="HN570"/>
      <c r="HO570"/>
      <c r="HP570"/>
      <c r="HQ570"/>
      <c r="HR570"/>
      <c r="HS570"/>
      <c r="HT570"/>
      <c r="HU570"/>
      <c r="HV570"/>
      <c r="HW570"/>
      <c r="HX570"/>
      <c r="HY570"/>
      <c r="HZ570"/>
      <c r="IA570"/>
      <c r="IB570"/>
      <c r="IC570"/>
      <c r="ID570"/>
      <c r="IE570"/>
      <c r="IF570"/>
      <c r="IG570"/>
      <c r="IH570"/>
      <c r="II570"/>
      <c r="IJ570"/>
      <c r="IK570"/>
      <c r="IL570"/>
      <c r="IM570"/>
      <c r="IN570"/>
      <c r="IO570"/>
      <c r="IP570"/>
      <c r="IQ570"/>
      <c r="IR570"/>
      <c r="IS570"/>
      <c r="IT570"/>
      <c r="IU570"/>
      <c r="IV570"/>
      <c r="IW570"/>
      <c r="IX570"/>
      <c r="IY570"/>
      <c r="IZ570"/>
      <c r="JA570"/>
      <c r="JB570"/>
      <c r="JC570"/>
      <c r="JD570"/>
      <c r="JE570"/>
      <c r="JF570"/>
      <c r="JG570"/>
      <c r="JH570"/>
      <c r="JI570"/>
      <c r="JJ570"/>
      <c r="JK570"/>
      <c r="JL570"/>
      <c r="JM570"/>
      <c r="JN570"/>
    </row>
    <row r="571" spans="1:274" s="698" customFormat="1" ht="7.5" hidden="1" customHeight="1" outlineLevel="1" x14ac:dyDescent="0.2">
      <c r="B571" s="697"/>
      <c r="BC571" s="708"/>
      <c r="BI571" s="708"/>
      <c r="BO571" s="708"/>
      <c r="BU571" s="708"/>
      <c r="CA571" s="708"/>
      <c r="CG571" s="708"/>
      <c r="CM571" s="708"/>
      <c r="CS571" s="708"/>
      <c r="CW571" s="1135"/>
      <c r="CX571" s="1131"/>
      <c r="CY571" s="699"/>
      <c r="CZ571" s="1135"/>
      <c r="DB571" s="1131"/>
      <c r="DE571" s="708"/>
      <c r="DK571" s="708"/>
      <c r="DQ571" s="708"/>
      <c r="DW571" s="708"/>
      <c r="EC571" s="708"/>
      <c r="EI571" s="708"/>
      <c r="EO571" s="708"/>
      <c r="EU571" s="708"/>
      <c r="FA571" s="699"/>
      <c r="FG571" s="699"/>
      <c r="FM571" s="699"/>
      <c r="FQ571"/>
      <c r="FR571"/>
      <c r="FS571"/>
      <c r="FT571"/>
      <c r="FU571"/>
      <c r="FV571"/>
      <c r="GB571" s="24"/>
      <c r="GC571" s="24"/>
      <c r="GD571" s="24"/>
      <c r="GE571" s="24"/>
      <c r="GF571" s="24"/>
      <c r="GG571" s="24"/>
      <c r="GH571" s="24"/>
      <c r="GI571" s="24"/>
      <c r="GJ571"/>
      <c r="GK571"/>
      <c r="GL571"/>
      <c r="GM571"/>
      <c r="GN571"/>
      <c r="GO571"/>
      <c r="GP571"/>
      <c r="GQ571"/>
      <c r="GR571"/>
      <c r="GS571"/>
      <c r="GT571"/>
      <c r="GU571"/>
      <c r="GV571"/>
      <c r="GW571"/>
      <c r="GX571"/>
      <c r="GY571"/>
      <c r="GZ571"/>
      <c r="HA571"/>
      <c r="HB571"/>
      <c r="HC571"/>
      <c r="HD571"/>
      <c r="HE571"/>
      <c r="HF571"/>
      <c r="HG571"/>
      <c r="HH571"/>
      <c r="HI571"/>
      <c r="HJ571"/>
      <c r="HK571"/>
      <c r="HL571"/>
      <c r="HM571"/>
      <c r="HN571"/>
      <c r="HO571"/>
      <c r="HP571"/>
      <c r="HQ571"/>
      <c r="HR571"/>
      <c r="HS571"/>
      <c r="HT571"/>
      <c r="HU571"/>
      <c r="HV571"/>
      <c r="HW571"/>
      <c r="HX571"/>
      <c r="HY571"/>
      <c r="HZ571"/>
      <c r="IA571"/>
      <c r="IB571"/>
      <c r="IC571"/>
      <c r="ID571"/>
      <c r="IE571"/>
      <c r="IF571"/>
      <c r="IG571"/>
      <c r="IH571"/>
      <c r="II571"/>
      <c r="IJ571"/>
      <c r="IK571"/>
      <c r="IL571"/>
      <c r="IM571"/>
      <c r="IN571"/>
      <c r="IO571"/>
      <c r="IP571"/>
      <c r="IQ571"/>
      <c r="IR571"/>
      <c r="IS571"/>
      <c r="IT571"/>
      <c r="IU571"/>
      <c r="IV571"/>
      <c r="IW571"/>
      <c r="IX571"/>
      <c r="IY571"/>
      <c r="IZ571"/>
      <c r="JA571"/>
      <c r="JB571"/>
      <c r="JC571"/>
      <c r="JD571"/>
      <c r="JE571"/>
      <c r="JF571"/>
      <c r="JG571"/>
      <c r="JH571"/>
      <c r="JI571"/>
      <c r="JJ571"/>
      <c r="JK571"/>
      <c r="JL571"/>
      <c r="JM571"/>
      <c r="JN571"/>
    </row>
    <row r="572" spans="1:274" s="698" customFormat="1" ht="12.75" hidden="1" customHeight="1" outlineLevel="1" x14ac:dyDescent="0.2">
      <c r="A572" s="696" t="s">
        <v>513</v>
      </c>
      <c r="B572" s="697"/>
      <c r="BC572" s="708"/>
      <c r="BI572" s="708"/>
      <c r="BO572" s="708"/>
      <c r="BU572" s="708"/>
      <c r="CA572" s="708"/>
      <c r="CG572" s="708"/>
      <c r="CM572" s="708"/>
      <c r="CS572" s="708"/>
      <c r="CW572" s="1135"/>
      <c r="CX572" s="1131"/>
      <c r="CY572" s="699"/>
      <c r="CZ572" s="1135"/>
      <c r="DB572" s="1131"/>
      <c r="DD572" s="1181">
        <f>DD570-CX570</f>
        <v>0</v>
      </c>
      <c r="DE572" s="708"/>
      <c r="DG572" s="1181"/>
      <c r="DH572" s="1181"/>
      <c r="DI572" s="1181">
        <f>DI570-DC570</f>
        <v>0.28132664437012267</v>
      </c>
      <c r="DJ572" s="1181">
        <f>DJ570-DD570</f>
        <v>6.5243014337551253E-2</v>
      </c>
      <c r="DK572" s="708"/>
      <c r="DM572" s="1181">
        <f>DM570-DG570</f>
        <v>8.4257190232110424E-3</v>
      </c>
      <c r="DN572" s="1181">
        <f>DN570-DH570</f>
        <v>-9.6489125593544056E-2</v>
      </c>
      <c r="DO572" s="1181">
        <f>DO570-DI570</f>
        <v>-9.2696919664448596E-2</v>
      </c>
      <c r="DP572" s="1181">
        <f>DP570-DJ570</f>
        <v>-8.6597367973225953E-2</v>
      </c>
      <c r="DQ572" s="708"/>
      <c r="DS572" s="1181">
        <f>DS570-DM570</f>
        <v>-5.4612639113962136E-2</v>
      </c>
      <c r="DT572" s="1181">
        <f>DT570-DN570</f>
        <v>-1.3382377748741237E-2</v>
      </c>
      <c r="DU572" s="1181">
        <f>DU570-DO570</f>
        <v>-3.9936614537154053E-2</v>
      </c>
      <c r="DV572" s="1181">
        <f>DV570-DP570</f>
        <v>-1.4170480217806869E-2</v>
      </c>
      <c r="DW572" s="708"/>
      <c r="DY572" s="1181">
        <f>DY570-DS570</f>
        <v>-4.3357875164779486E-2</v>
      </c>
      <c r="DZ572" s="1181">
        <f>DZ570-DT570</f>
        <v>-6.831451926819776E-2</v>
      </c>
      <c r="EA572" s="1181">
        <f>EA570-DU570</f>
        <v>-1.2274012025283942E-2</v>
      </c>
      <c r="EB572" s="1181">
        <f>EB570-DV570</f>
        <v>-3.2677370503655684E-2</v>
      </c>
      <c r="EC572" s="1656">
        <f>EC570-DW570</f>
        <v>-3.9578081958669686E-2</v>
      </c>
      <c r="EE572" s="1181">
        <f>EE570-DY570</f>
        <v>-4.5448197743882562E-2</v>
      </c>
      <c r="EF572" s="1181">
        <f>EF570-DZ570</f>
        <v>3.566447499501893E-2</v>
      </c>
      <c r="EG572" s="1181">
        <f>EG570-EA570</f>
        <v>1.8572258814413017E-2</v>
      </c>
      <c r="EH572" s="1181">
        <f>EH570-EB570</f>
        <v>-9.9630435027548425E-3</v>
      </c>
      <c r="EI572" s="1656">
        <f>EI570-EC570</f>
        <v>8.4403844323910349E-4</v>
      </c>
      <c r="EK572" s="1181">
        <f>EK570-EE570</f>
        <v>-2.4373216778971668E-2</v>
      </c>
      <c r="EL572" s="1181">
        <f>EL570-EF570</f>
        <v>-0.11918479411743228</v>
      </c>
      <c r="EM572" s="1181">
        <f>EM570-EG570</f>
        <v>-7.3712701837934366E-2</v>
      </c>
      <c r="EN572" s="1181">
        <f>EN570-EH570</f>
        <v>-6.5494603466209195E-2</v>
      </c>
      <c r="EO572" s="1656">
        <f>EO570-EI570</f>
        <v>-7.1568746127647062E-2</v>
      </c>
      <c r="EQ572" s="1181">
        <f>EQ570-EK570</f>
        <v>-7.2909546593757119E-2</v>
      </c>
      <c r="ER572" s="1181">
        <f>ER570-EL570</f>
        <v>5.132716016869103E-2</v>
      </c>
      <c r="ES572" s="1181">
        <f>ES570-EM570</f>
        <v>-4.4740193581253182E-2</v>
      </c>
      <c r="ET572" s="1181"/>
      <c r="EU572" s="1656"/>
      <c r="FA572" s="699"/>
      <c r="FG572" s="699"/>
      <c r="FM572" s="699"/>
      <c r="FQ572"/>
      <c r="FR572"/>
      <c r="FS572"/>
      <c r="FT572"/>
      <c r="FU572"/>
      <c r="FV572"/>
      <c r="GB572" s="24"/>
      <c r="GC572" s="24"/>
      <c r="GD572" s="24"/>
      <c r="GE572" s="24"/>
      <c r="GF572" s="24"/>
      <c r="GG572" s="24"/>
      <c r="GH572" s="24"/>
      <c r="GI572" s="24"/>
      <c r="GJ572"/>
      <c r="GK572"/>
      <c r="GL572"/>
      <c r="GM572"/>
      <c r="GN572"/>
      <c r="GO572"/>
      <c r="GP572"/>
      <c r="GQ572"/>
      <c r="GR572"/>
      <c r="GS572"/>
      <c r="GT572"/>
      <c r="GU572"/>
      <c r="GV572"/>
      <c r="GW572"/>
      <c r="GX572"/>
      <c r="GY572"/>
      <c r="GZ572"/>
      <c r="HA572"/>
      <c r="HB572"/>
      <c r="HC572"/>
      <c r="HD572"/>
      <c r="HE572"/>
      <c r="HF572"/>
      <c r="HG572"/>
      <c r="HH572"/>
      <c r="HI572"/>
      <c r="HJ572"/>
      <c r="HK572"/>
      <c r="HL572"/>
      <c r="HM572"/>
      <c r="HN572"/>
      <c r="HO572"/>
      <c r="HP572"/>
      <c r="HQ572"/>
      <c r="HR572"/>
      <c r="HS572"/>
      <c r="HT572"/>
      <c r="HU572"/>
      <c r="HV572"/>
      <c r="HW572"/>
      <c r="HX572"/>
      <c r="HY572"/>
      <c r="HZ572"/>
      <c r="IA572"/>
      <c r="IB572"/>
      <c r="IC572"/>
      <c r="ID572"/>
      <c r="IE572"/>
      <c r="IF572"/>
      <c r="IG572"/>
      <c r="IH572"/>
      <c r="II572"/>
      <c r="IJ572"/>
      <c r="IK572"/>
      <c r="IL572"/>
      <c r="IM572"/>
      <c r="IN572"/>
      <c r="IO572"/>
      <c r="IP572"/>
      <c r="IQ572"/>
      <c r="IR572"/>
      <c r="IS572"/>
      <c r="IT572"/>
      <c r="IU572"/>
      <c r="IV572"/>
      <c r="IW572"/>
      <c r="IX572"/>
      <c r="IY572"/>
      <c r="IZ572"/>
      <c r="JA572"/>
      <c r="JB572"/>
      <c r="JC572"/>
      <c r="JD572"/>
      <c r="JE572"/>
      <c r="JF572"/>
      <c r="JG572"/>
      <c r="JH572"/>
      <c r="JI572"/>
      <c r="JJ572"/>
      <c r="JK572"/>
      <c r="JL572"/>
      <c r="JM572"/>
      <c r="JN572"/>
    </row>
    <row r="573" spans="1:274" s="698" customFormat="1" ht="12.75" hidden="1" customHeight="1" outlineLevel="1" x14ac:dyDescent="0.2">
      <c r="A573" s="702" t="s">
        <v>1078</v>
      </c>
      <c r="B573" s="697"/>
      <c r="BC573" s="708"/>
      <c r="BI573" s="708"/>
      <c r="BO573" s="708"/>
      <c r="BU573" s="708"/>
      <c r="CA573" s="708"/>
      <c r="CG573" s="708"/>
      <c r="CM573" s="708"/>
      <c r="CS573" s="708"/>
      <c r="CW573" s="245">
        <v>0</v>
      </c>
      <c r="CX573" s="246">
        <v>0</v>
      </c>
      <c r="CY573" s="143">
        <v>0</v>
      </c>
      <c r="CZ573" s="1135"/>
      <c r="DA573" s="243">
        <v>0</v>
      </c>
      <c r="DB573" s="246">
        <v>0</v>
      </c>
      <c r="DC573" s="33">
        <v>225</v>
      </c>
      <c r="DD573" s="33">
        <f>DE573-DC573-DB573-DA573</f>
        <v>687</v>
      </c>
      <c r="DE573" s="606">
        <v>912</v>
      </c>
      <c r="DG573" s="33">
        <v>680</v>
      </c>
      <c r="DH573" s="243">
        <v>686</v>
      </c>
      <c r="DI573" s="33">
        <v>656</v>
      </c>
      <c r="DJ573" s="33">
        <f>DK573-DI573-DH573-DG573</f>
        <v>688</v>
      </c>
      <c r="DK573" s="606">
        <v>2710</v>
      </c>
      <c r="DM573" s="33">
        <v>656</v>
      </c>
      <c r="DN573" s="33">
        <v>634</v>
      </c>
      <c r="DO573" s="33">
        <v>610</v>
      </c>
      <c r="DP573" s="33">
        <f>DQ573-DO573-DN573-DM573</f>
        <v>605</v>
      </c>
      <c r="DQ573" s="606">
        <v>2505</v>
      </c>
      <c r="DS573" s="33">
        <v>578</v>
      </c>
      <c r="DT573" s="33">
        <v>590</v>
      </c>
      <c r="DU573" s="33">
        <v>572</v>
      </c>
      <c r="DV573" s="33">
        <f>DW573-DU573-DT573-DS573</f>
        <v>587</v>
      </c>
      <c r="DW573" s="606">
        <v>2327</v>
      </c>
      <c r="DY573" s="33">
        <v>597</v>
      </c>
      <c r="DZ573" s="33">
        <v>613</v>
      </c>
      <c r="EA573" s="33">
        <v>600</v>
      </c>
      <c r="EB573" s="33">
        <f>EC573-EA573-DZ573-DY573</f>
        <v>597</v>
      </c>
      <c r="EC573" s="606">
        <v>2407</v>
      </c>
      <c r="EE573" s="33">
        <v>588</v>
      </c>
      <c r="EF573" s="33">
        <v>619</v>
      </c>
      <c r="EG573" s="698">
        <v>588</v>
      </c>
      <c r="EH573" s="33">
        <f>EI573-EG573-EF573-EE573</f>
        <v>589</v>
      </c>
      <c r="EI573" s="606">
        <v>2384</v>
      </c>
      <c r="EK573" s="33">
        <v>559</v>
      </c>
      <c r="EL573" s="33">
        <v>550</v>
      </c>
      <c r="EM573" s="698">
        <v>531</v>
      </c>
      <c r="EN573" s="33">
        <f>EO573-EM573-EL573-EK573</f>
        <v>558</v>
      </c>
      <c r="EO573" s="606">
        <v>2198</v>
      </c>
      <c r="EQ573" s="33">
        <v>534</v>
      </c>
      <c r="ER573" s="33">
        <v>517</v>
      </c>
      <c r="ES573" s="698">
        <v>508</v>
      </c>
      <c r="ET573" s="33"/>
      <c r="EU573" s="606"/>
      <c r="FA573" s="699"/>
      <c r="FG573" s="699"/>
      <c r="FM573" s="699"/>
      <c r="FQ573"/>
      <c r="FR573"/>
      <c r="FS573"/>
      <c r="FT573"/>
      <c r="FU573"/>
      <c r="FV573"/>
      <c r="GB573" s="24"/>
      <c r="GC573" s="24"/>
      <c r="GD573" s="24"/>
      <c r="GE573" s="24"/>
      <c r="GF573" s="24"/>
      <c r="GG573" s="24"/>
      <c r="GH573" s="24"/>
      <c r="GI573" s="24"/>
      <c r="GJ573"/>
      <c r="GK573"/>
      <c r="GL573"/>
      <c r="GM573"/>
      <c r="GN573"/>
      <c r="GO573"/>
      <c r="GP573"/>
      <c r="GQ573"/>
      <c r="GR573"/>
      <c r="GS573"/>
      <c r="GT573"/>
      <c r="GU573"/>
      <c r="GV573"/>
      <c r="GW573"/>
      <c r="GX573"/>
      <c r="GY573"/>
      <c r="GZ573"/>
      <c r="HA573"/>
      <c r="HB573"/>
      <c r="HC573"/>
      <c r="HD573"/>
      <c r="HE573"/>
      <c r="HF573"/>
      <c r="HG573"/>
      <c r="HH573"/>
      <c r="HI573"/>
      <c r="HJ573"/>
      <c r="HK573"/>
      <c r="HL573"/>
      <c r="HM573"/>
      <c r="HN573"/>
      <c r="HO573"/>
      <c r="HP573"/>
      <c r="HQ573"/>
      <c r="HR573"/>
      <c r="HS573"/>
      <c r="HT573"/>
      <c r="HU573"/>
      <c r="HV573"/>
      <c r="HW573"/>
      <c r="HX573"/>
      <c r="HY573"/>
      <c r="HZ573"/>
      <c r="IA573"/>
      <c r="IB573"/>
      <c r="IC573"/>
      <c r="ID573"/>
      <c r="IE573"/>
      <c r="IF573"/>
      <c r="IG573"/>
      <c r="IH573"/>
      <c r="II573"/>
      <c r="IJ573"/>
      <c r="IK573"/>
      <c r="IL573"/>
      <c r="IM573"/>
      <c r="IN573"/>
      <c r="IO573"/>
      <c r="IP573"/>
      <c r="IQ573"/>
      <c r="IR573"/>
      <c r="IS573"/>
      <c r="IT573"/>
      <c r="IU573"/>
      <c r="IV573"/>
      <c r="IW573"/>
      <c r="IX573"/>
      <c r="IY573"/>
      <c r="IZ573"/>
      <c r="JA573"/>
      <c r="JB573"/>
      <c r="JC573"/>
      <c r="JD573"/>
      <c r="JE573"/>
      <c r="JF573"/>
      <c r="JG573"/>
      <c r="JH573"/>
      <c r="JI573"/>
      <c r="JJ573"/>
      <c r="JK573"/>
      <c r="JL573"/>
      <c r="JM573"/>
      <c r="JN573"/>
    </row>
    <row r="574" spans="1:274" s="698" customFormat="1" ht="12.75" hidden="1" customHeight="1" outlineLevel="1" x14ac:dyDescent="0.2">
      <c r="A574" s="702" t="s">
        <v>1083</v>
      </c>
      <c r="B574" s="697"/>
      <c r="BC574" s="708"/>
      <c r="BI574" s="708"/>
      <c r="BO574" s="708"/>
      <c r="BU574" s="708"/>
      <c r="CA574" s="708"/>
      <c r="CG574" s="708"/>
      <c r="CM574" s="708"/>
      <c r="CS574" s="708"/>
      <c r="CW574" s="1135"/>
      <c r="CX574" s="1131"/>
      <c r="CY574" s="699"/>
      <c r="CZ574" s="1135"/>
      <c r="DB574" s="1131"/>
      <c r="DC574" s="33">
        <v>106</v>
      </c>
      <c r="DD574" s="33">
        <f>DE574-DC574-DB574-DA574</f>
        <v>302</v>
      </c>
      <c r="DE574" s="606">
        <v>408</v>
      </c>
      <c r="DG574" s="33">
        <v>292</v>
      </c>
      <c r="DH574" s="243">
        <v>345</v>
      </c>
      <c r="DI574" s="33">
        <v>284</v>
      </c>
      <c r="DJ574" s="33">
        <f>DK574-DI574-DH574-DG574</f>
        <v>300</v>
      </c>
      <c r="DK574" s="606">
        <v>1221</v>
      </c>
      <c r="DM574" s="33">
        <v>272</v>
      </c>
      <c r="DN574" s="33">
        <v>248</v>
      </c>
      <c r="DO574" s="33">
        <v>247</v>
      </c>
      <c r="DP574" s="33">
        <f>DQ574-DO574-DN574-DM574</f>
        <v>239</v>
      </c>
      <c r="DQ574" s="606">
        <v>1006</v>
      </c>
      <c r="DS574" s="33">
        <v>213</v>
      </c>
      <c r="DT574" s="33">
        <v>222</v>
      </c>
      <c r="DU574" s="33">
        <v>210</v>
      </c>
      <c r="DV574" s="33">
        <f>DW574-DU574-DT574-DS574</f>
        <v>212</v>
      </c>
      <c r="DW574" s="606">
        <v>857</v>
      </c>
      <c r="DY574" s="33">
        <v>201</v>
      </c>
      <c r="DZ574" s="33">
        <v>205</v>
      </c>
      <c r="EA574" s="33">
        <v>199</v>
      </c>
      <c r="EB574" s="33">
        <f>EC574-EA574-DZ574-DY574</f>
        <v>197</v>
      </c>
      <c r="EC574" s="606">
        <v>802</v>
      </c>
      <c r="EE574" s="33">
        <v>184</v>
      </c>
      <c r="EF574" s="33">
        <v>210</v>
      </c>
      <c r="EG574" s="698">
        <v>209</v>
      </c>
      <c r="EH574" s="33">
        <f>EI574-EG574-EF574-EE574</f>
        <v>180</v>
      </c>
      <c r="EI574" s="606">
        <v>783</v>
      </c>
      <c r="EK574" s="33">
        <v>172</v>
      </c>
      <c r="EL574" s="33">
        <v>167</v>
      </c>
      <c r="EM574" s="698">
        <v>165</v>
      </c>
      <c r="EN574" s="33">
        <f>EO574-EM574-EL574-EK574</f>
        <v>161</v>
      </c>
      <c r="EO574" s="606">
        <v>665</v>
      </c>
      <c r="EQ574" s="33">
        <v>141</v>
      </c>
      <c r="ER574" s="33">
        <v>138</v>
      </c>
      <c r="ES574" s="698">
        <v>140</v>
      </c>
      <c r="ET574" s="33"/>
      <c r="EU574" s="606"/>
      <c r="FA574" s="699"/>
      <c r="FG574" s="699"/>
      <c r="FM574" s="699"/>
      <c r="FQ574"/>
      <c r="FR574"/>
      <c r="FS574"/>
      <c r="FT574"/>
      <c r="FU574"/>
      <c r="FV574"/>
      <c r="GB574" s="24"/>
      <c r="GC574" s="24"/>
      <c r="GD574" s="24"/>
      <c r="GE574" s="24"/>
      <c r="GF574" s="24"/>
      <c r="GG574" s="24"/>
      <c r="GH574" s="24"/>
      <c r="GI574" s="24"/>
      <c r="GJ574"/>
      <c r="GK574"/>
      <c r="GL574"/>
      <c r="GM574"/>
      <c r="GN574"/>
      <c r="GO574"/>
      <c r="GP574"/>
      <c r="GQ574"/>
      <c r="GR574"/>
      <c r="GS574"/>
      <c r="GT574"/>
      <c r="GU574"/>
      <c r="GV574"/>
      <c r="GW574"/>
      <c r="GX574"/>
      <c r="GY574"/>
      <c r="GZ574"/>
      <c r="HA574"/>
      <c r="HB574"/>
      <c r="HC574"/>
      <c r="HD574"/>
      <c r="HE574"/>
      <c r="HF574"/>
      <c r="HG574"/>
      <c r="HH574"/>
      <c r="HI574"/>
      <c r="HJ574"/>
      <c r="HK574"/>
      <c r="HL574"/>
      <c r="HM574"/>
      <c r="HN574"/>
      <c r="HO574"/>
      <c r="HP574"/>
      <c r="HQ574"/>
      <c r="HR574"/>
      <c r="HS574"/>
      <c r="HT574"/>
      <c r="HU574"/>
      <c r="HV574"/>
      <c r="HW574"/>
      <c r="HX574"/>
      <c r="HY574"/>
      <c r="HZ574"/>
      <c r="IA574"/>
      <c r="IB574"/>
      <c r="IC574"/>
      <c r="ID574"/>
      <c r="IE574"/>
      <c r="IF574"/>
      <c r="IG574"/>
      <c r="IH574"/>
      <c r="II574"/>
      <c r="IJ574"/>
      <c r="IK574"/>
      <c r="IL574"/>
      <c r="IM574"/>
      <c r="IN574"/>
      <c r="IO574"/>
      <c r="IP574"/>
      <c r="IQ574"/>
      <c r="IR574"/>
      <c r="IS574"/>
      <c r="IT574"/>
      <c r="IU574"/>
      <c r="IV574"/>
      <c r="IW574"/>
      <c r="IX574"/>
      <c r="IY574"/>
      <c r="IZ574"/>
      <c r="JA574"/>
      <c r="JB574"/>
      <c r="JC574"/>
      <c r="JD574"/>
      <c r="JE574"/>
      <c r="JF574"/>
      <c r="JG574"/>
      <c r="JH574"/>
      <c r="JI574"/>
      <c r="JJ574"/>
      <c r="JK574"/>
      <c r="JL574"/>
      <c r="JM574"/>
      <c r="JN574"/>
    </row>
    <row r="575" spans="1:274" s="698" customFormat="1" ht="12.75" hidden="1" customHeight="1" outlineLevel="1" x14ac:dyDescent="0.2">
      <c r="A575" s="703" t="s">
        <v>1080</v>
      </c>
      <c r="B575" s="704"/>
      <c r="C575" s="704"/>
      <c r="D575" s="704"/>
      <c r="E575" s="704"/>
      <c r="F575" s="704"/>
      <c r="G575" s="704"/>
      <c r="H575" s="704"/>
      <c r="I575" s="704"/>
      <c r="J575" s="704"/>
      <c r="K575" s="704"/>
      <c r="L575" s="704"/>
      <c r="M575" s="704"/>
      <c r="N575" s="704"/>
      <c r="O575" s="704"/>
      <c r="P575" s="704"/>
      <c r="Q575" s="704"/>
      <c r="R575" s="704"/>
      <c r="S575" s="704"/>
      <c r="T575" s="704"/>
      <c r="U575" s="704"/>
      <c r="V575" s="704"/>
      <c r="W575" s="704"/>
      <c r="X575" s="704"/>
      <c r="Y575" s="704"/>
      <c r="Z575" s="704"/>
      <c r="AA575" s="704"/>
      <c r="AB575" s="704"/>
      <c r="AC575" s="704"/>
      <c r="AD575" s="704"/>
      <c r="AE575" s="704"/>
      <c r="AF575" s="704"/>
      <c r="AG575" s="704"/>
      <c r="AH575" s="704"/>
      <c r="AI575" s="704"/>
      <c r="AJ575" s="704"/>
      <c r="AK575" s="704"/>
      <c r="AL575" s="704"/>
      <c r="AM575" s="704"/>
      <c r="AN575" s="704"/>
      <c r="AO575" s="704"/>
      <c r="AP575" s="704"/>
      <c r="AQ575" s="704"/>
      <c r="AR575" s="704"/>
      <c r="AS575" s="704"/>
      <c r="AT575" s="704"/>
      <c r="AU575" s="704"/>
      <c r="AV575" s="704"/>
      <c r="AW575" s="704"/>
      <c r="AX575" s="704"/>
      <c r="AY575" s="704"/>
      <c r="AZ575" s="704"/>
      <c r="BA575" s="704"/>
      <c r="BB575" s="704"/>
      <c r="BC575" s="710"/>
      <c r="BD575" s="704"/>
      <c r="BE575" s="704"/>
      <c r="BF575" s="704"/>
      <c r="BG575" s="704"/>
      <c r="BH575" s="704"/>
      <c r="BI575" s="710"/>
      <c r="BJ575" s="704"/>
      <c r="BK575" s="704"/>
      <c r="BL575" s="704"/>
      <c r="BM575" s="704"/>
      <c r="BN575" s="704"/>
      <c r="BO575" s="710"/>
      <c r="BP575" s="704"/>
      <c r="BQ575" s="704"/>
      <c r="BR575" s="704"/>
      <c r="BS575" s="704"/>
      <c r="BT575" s="704"/>
      <c r="BU575" s="710"/>
      <c r="BV575" s="704"/>
      <c r="BW575" s="704"/>
      <c r="BX575" s="704"/>
      <c r="BY575" s="704"/>
      <c r="BZ575" s="704"/>
      <c r="CA575" s="710"/>
      <c r="CB575" s="704"/>
      <c r="CC575" s="704"/>
      <c r="CD575" s="704"/>
      <c r="CE575" s="704"/>
      <c r="CF575" s="704"/>
      <c r="CG575" s="710"/>
      <c r="CH575" s="704"/>
      <c r="CI575" s="704"/>
      <c r="CJ575" s="704"/>
      <c r="CK575" s="704"/>
      <c r="CL575" s="704"/>
      <c r="CM575" s="710"/>
      <c r="CN575" s="704"/>
      <c r="CO575" s="704"/>
      <c r="CP575" s="704"/>
      <c r="CQ575" s="704"/>
      <c r="CR575" s="704"/>
      <c r="CS575" s="710"/>
      <c r="CT575" s="704"/>
      <c r="CU575" s="704"/>
      <c r="CV575" s="704"/>
      <c r="CW575" s="1136"/>
      <c r="CX575" s="1132"/>
      <c r="CY575" s="706"/>
      <c r="CZ575" s="1136"/>
      <c r="DA575" s="704"/>
      <c r="DB575" s="1132"/>
      <c r="DC575" s="73">
        <f>DC573-DC574</f>
        <v>119</v>
      </c>
      <c r="DD575" s="73">
        <f>DD573-DD574</f>
        <v>385</v>
      </c>
      <c r="DE575" s="162">
        <f>DE573-DE574</f>
        <v>504</v>
      </c>
      <c r="DF575" s="704"/>
      <c r="DG575" s="73">
        <f>DG573-DG574</f>
        <v>388</v>
      </c>
      <c r="DH575" s="73">
        <f>DH573-DH574</f>
        <v>341</v>
      </c>
      <c r="DI575" s="73">
        <f>DI573-DI574</f>
        <v>372</v>
      </c>
      <c r="DJ575" s="73">
        <f>DJ573-DJ574</f>
        <v>388</v>
      </c>
      <c r="DK575" s="162">
        <f>DK573-DK574</f>
        <v>1489</v>
      </c>
      <c r="DL575" s="704"/>
      <c r="DM575" s="73">
        <f>DM573-DM574</f>
        <v>384</v>
      </c>
      <c r="DN575" s="73">
        <f>DN573-DN574</f>
        <v>386</v>
      </c>
      <c r="DO575" s="73">
        <f>DO573-DO574</f>
        <v>363</v>
      </c>
      <c r="DP575" s="73">
        <f>DP573-DP574</f>
        <v>366</v>
      </c>
      <c r="DQ575" s="162">
        <f>DQ573-DQ574</f>
        <v>1499</v>
      </c>
      <c r="DR575" s="704"/>
      <c r="DS575" s="73">
        <f>DS573-DS574</f>
        <v>365</v>
      </c>
      <c r="DT575" s="73">
        <f>DT573-DT574</f>
        <v>368</v>
      </c>
      <c r="DU575" s="73">
        <f>DU573-DU574</f>
        <v>362</v>
      </c>
      <c r="DV575" s="73">
        <f>DV573-DV574</f>
        <v>375</v>
      </c>
      <c r="DW575" s="162">
        <f>DW573-DW574</f>
        <v>1470</v>
      </c>
      <c r="DX575" s="704"/>
      <c r="DY575" s="73">
        <f>DY573-DY574</f>
        <v>396</v>
      </c>
      <c r="DZ575" s="73">
        <f>DZ573-DZ574</f>
        <v>408</v>
      </c>
      <c r="EA575" s="73">
        <f>EA573-EA574</f>
        <v>401</v>
      </c>
      <c r="EB575" s="73">
        <f>EB573-EB574</f>
        <v>400</v>
      </c>
      <c r="EC575" s="162">
        <f>EC573-EC574</f>
        <v>1605</v>
      </c>
      <c r="ED575" s="704"/>
      <c r="EE575" s="73">
        <f>EE573-EE574</f>
        <v>404</v>
      </c>
      <c r="EF575" s="73">
        <f>EF573-EF574</f>
        <v>409</v>
      </c>
      <c r="EG575" s="73">
        <f>EG573-EG574</f>
        <v>379</v>
      </c>
      <c r="EH575" s="73">
        <f>EH573-EH574</f>
        <v>409</v>
      </c>
      <c r="EI575" s="162">
        <f>EI573-EI574</f>
        <v>1601</v>
      </c>
      <c r="EJ575" s="704"/>
      <c r="EK575" s="73">
        <f>EK573-EK574</f>
        <v>387</v>
      </c>
      <c r="EL575" s="73">
        <f>EL573-EL574</f>
        <v>383</v>
      </c>
      <c r="EM575" s="73">
        <f>EM573-EM574</f>
        <v>366</v>
      </c>
      <c r="EN575" s="73">
        <f>EN573-EN574</f>
        <v>397</v>
      </c>
      <c r="EO575" s="162">
        <f>EO573-EO574</f>
        <v>1533</v>
      </c>
      <c r="EP575" s="704"/>
      <c r="EQ575" s="73">
        <f>EQ573-EQ574</f>
        <v>393</v>
      </c>
      <c r="ER575" s="73">
        <f>ER573-ER574</f>
        <v>379</v>
      </c>
      <c r="ES575" s="73">
        <f>ES573-ES574</f>
        <v>368</v>
      </c>
      <c r="ET575" s="73"/>
      <c r="EU575" s="162"/>
      <c r="EV575" s="704"/>
      <c r="EW575" s="704"/>
      <c r="EX575" s="704"/>
      <c r="EY575" s="704"/>
      <c r="EZ575" s="704"/>
      <c r="FA575" s="706"/>
      <c r="FB575" s="704"/>
      <c r="FC575" s="704"/>
      <c r="FD575" s="704"/>
      <c r="FE575" s="704"/>
      <c r="FF575" s="704"/>
      <c r="FG575" s="706"/>
      <c r="FH575" s="704"/>
      <c r="FI575" s="704"/>
      <c r="FJ575" s="704"/>
      <c r="FK575" s="704"/>
      <c r="FL575" s="704"/>
      <c r="FM575" s="706"/>
      <c r="FQ575"/>
      <c r="FR575"/>
      <c r="FS575"/>
      <c r="FT575"/>
      <c r="FU575"/>
      <c r="FV575"/>
      <c r="GB575" s="24"/>
      <c r="GC575" s="24"/>
      <c r="GD575" s="24"/>
      <c r="GE575" s="24"/>
      <c r="GF575" s="24"/>
      <c r="GG575" s="24"/>
      <c r="GH575" s="24"/>
      <c r="GI575" s="24"/>
      <c r="GJ575"/>
      <c r="GK575"/>
      <c r="GL575"/>
      <c r="GM575"/>
      <c r="GN575"/>
      <c r="GO575"/>
      <c r="GP575"/>
      <c r="GQ575"/>
      <c r="GR575"/>
      <c r="GS575"/>
      <c r="GT575"/>
      <c r="GU575"/>
      <c r="GV575"/>
      <c r="GW575"/>
      <c r="GX575"/>
      <c r="GY575"/>
      <c r="GZ575"/>
      <c r="HA575"/>
      <c r="HB575"/>
      <c r="HC575"/>
      <c r="HD575"/>
      <c r="HE575"/>
      <c r="HF575"/>
      <c r="HG575"/>
      <c r="HH575"/>
      <c r="HI575"/>
      <c r="HJ575"/>
      <c r="HK575"/>
      <c r="HL575"/>
      <c r="HM575"/>
      <c r="HN575"/>
      <c r="HO575"/>
      <c r="HP575"/>
      <c r="HQ575"/>
      <c r="HR575"/>
      <c r="HS575"/>
      <c r="HT575"/>
      <c r="HU575"/>
      <c r="HV575"/>
      <c r="HW575"/>
      <c r="HX575"/>
      <c r="HY575"/>
      <c r="HZ575"/>
      <c r="IA575"/>
      <c r="IB575"/>
      <c r="IC575"/>
      <c r="ID575"/>
      <c r="IE575"/>
      <c r="IF575"/>
      <c r="IG575"/>
      <c r="IH575"/>
      <c r="II575"/>
      <c r="IJ575"/>
      <c r="IK575"/>
      <c r="IL575"/>
      <c r="IM575"/>
      <c r="IN575"/>
      <c r="IO575"/>
      <c r="IP575"/>
      <c r="IQ575"/>
      <c r="IR575"/>
      <c r="IS575"/>
      <c r="IT575"/>
      <c r="IU575"/>
      <c r="IV575"/>
      <c r="IW575"/>
      <c r="IX575"/>
      <c r="IY575"/>
      <c r="IZ575"/>
      <c r="JA575"/>
      <c r="JB575"/>
      <c r="JC575"/>
      <c r="JD575"/>
      <c r="JE575"/>
      <c r="JF575"/>
      <c r="JG575"/>
      <c r="JH575"/>
      <c r="JI575"/>
      <c r="JJ575"/>
      <c r="JK575"/>
      <c r="JL575"/>
      <c r="JM575"/>
      <c r="JN575"/>
    </row>
    <row r="576" spans="1:274" s="698" customFormat="1" ht="12.75" hidden="1" customHeight="1" outlineLevel="1" x14ac:dyDescent="0.2">
      <c r="A576" s="703" t="s">
        <v>1081</v>
      </c>
      <c r="B576" s="704"/>
      <c r="C576" s="704"/>
      <c r="D576" s="704"/>
      <c r="E576" s="704"/>
      <c r="F576" s="704"/>
      <c r="G576" s="704"/>
      <c r="H576" s="704"/>
      <c r="I576" s="704"/>
      <c r="J576" s="704"/>
      <c r="K576" s="704"/>
      <c r="L576" s="704"/>
      <c r="M576" s="704"/>
      <c r="N576" s="704"/>
      <c r="O576" s="704"/>
      <c r="P576" s="704"/>
      <c r="Q576" s="704"/>
      <c r="R576" s="704"/>
      <c r="S576" s="704"/>
      <c r="T576" s="704"/>
      <c r="U576" s="704"/>
      <c r="V576" s="704"/>
      <c r="W576" s="704"/>
      <c r="X576" s="704"/>
      <c r="Y576" s="704"/>
      <c r="Z576" s="704"/>
      <c r="AA576" s="704"/>
      <c r="AB576" s="704"/>
      <c r="AC576" s="704"/>
      <c r="AD576" s="704"/>
      <c r="AE576" s="704"/>
      <c r="AF576" s="704"/>
      <c r="AG576" s="704"/>
      <c r="AH576" s="704"/>
      <c r="AI576" s="704"/>
      <c r="AJ576" s="704"/>
      <c r="AK576" s="704"/>
      <c r="AL576" s="704"/>
      <c r="AM576" s="704"/>
      <c r="AN576" s="704"/>
      <c r="AO576" s="704"/>
      <c r="AP576" s="704"/>
      <c r="AQ576" s="704"/>
      <c r="AR576" s="704"/>
      <c r="AS576" s="704"/>
      <c r="AT576" s="704"/>
      <c r="AU576" s="704"/>
      <c r="AV576" s="704"/>
      <c r="AW576" s="704"/>
      <c r="AX576" s="704"/>
      <c r="AY576" s="704"/>
      <c r="AZ576" s="704"/>
      <c r="BA576" s="704"/>
      <c r="BB576" s="704"/>
      <c r="BC576" s="710"/>
      <c r="BD576" s="704"/>
      <c r="BE576" s="704"/>
      <c r="BF576" s="704"/>
      <c r="BG576" s="704"/>
      <c r="BH576" s="704"/>
      <c r="BI576" s="710"/>
      <c r="BJ576" s="704"/>
      <c r="BK576" s="704"/>
      <c r="BL576" s="704"/>
      <c r="BM576" s="704"/>
      <c r="BN576" s="704"/>
      <c r="BO576" s="710"/>
      <c r="BP576" s="704"/>
      <c r="BQ576" s="704"/>
      <c r="BR576" s="704"/>
      <c r="BS576" s="704"/>
      <c r="BT576" s="704"/>
      <c r="BU576" s="710"/>
      <c r="BV576" s="704"/>
      <c r="BW576" s="704"/>
      <c r="BX576" s="704"/>
      <c r="BY576" s="704"/>
      <c r="BZ576" s="704"/>
      <c r="CA576" s="710"/>
      <c r="CB576" s="704"/>
      <c r="CC576" s="704"/>
      <c r="CD576" s="704"/>
      <c r="CE576" s="704"/>
      <c r="CF576" s="704"/>
      <c r="CG576" s="710"/>
      <c r="CH576" s="704"/>
      <c r="CI576" s="704"/>
      <c r="CJ576" s="704"/>
      <c r="CK576" s="704"/>
      <c r="CL576" s="704"/>
      <c r="CM576" s="710"/>
      <c r="CN576" s="704"/>
      <c r="CO576" s="704"/>
      <c r="CP576" s="704"/>
      <c r="CQ576" s="704"/>
      <c r="CR576" s="704"/>
      <c r="CS576" s="710"/>
      <c r="CT576" s="704"/>
      <c r="CU576" s="704"/>
      <c r="CV576" s="704"/>
      <c r="CW576" s="1138">
        <f>DC576</f>
        <v>0.52888888888888885</v>
      </c>
      <c r="CX576" s="1134">
        <f>DD576</f>
        <v>0.56040756914119361</v>
      </c>
      <c r="CY576" s="1084">
        <f>DE576</f>
        <v>0.55263157894736847</v>
      </c>
      <c r="CZ576" s="1156"/>
      <c r="DA576" s="1165">
        <f>DG576</f>
        <v>0.57058823529411762</v>
      </c>
      <c r="DB576" s="1134">
        <f>DH576</f>
        <v>0.49708454810495628</v>
      </c>
      <c r="DC576" s="70">
        <f>DC575/DC573</f>
        <v>0.52888888888888885</v>
      </c>
      <c r="DD576" s="70">
        <f>DD575/DD573</f>
        <v>0.56040756914119361</v>
      </c>
      <c r="DE576" s="725">
        <f>DE575/DE573</f>
        <v>0.55263157894736847</v>
      </c>
      <c r="DF576" s="704"/>
      <c r="DG576" s="70">
        <f>DG575/DG573</f>
        <v>0.57058823529411762</v>
      </c>
      <c r="DH576" s="70">
        <f>DH575/DH573</f>
        <v>0.49708454810495628</v>
      </c>
      <c r="DI576" s="70">
        <f>DI575/DI573</f>
        <v>0.56707317073170727</v>
      </c>
      <c r="DJ576" s="70">
        <f>DJ575/DJ573</f>
        <v>0.56395348837209303</v>
      </c>
      <c r="DK576" s="725">
        <f>DK575/DK573</f>
        <v>0.54944649446494465</v>
      </c>
      <c r="DL576" s="704"/>
      <c r="DM576" s="70">
        <f>DM575/DM573</f>
        <v>0.58536585365853655</v>
      </c>
      <c r="DN576" s="70">
        <f>DN575/DN573</f>
        <v>0.60883280757097791</v>
      </c>
      <c r="DO576" s="70">
        <f>DO575/DO573</f>
        <v>0.59508196721311479</v>
      </c>
      <c r="DP576" s="70">
        <f>DP575/DP573</f>
        <v>0.60495867768595046</v>
      </c>
      <c r="DQ576" s="725">
        <f>DQ575/DQ573</f>
        <v>0.5984031936127745</v>
      </c>
      <c r="DR576" s="704"/>
      <c r="DS576" s="70">
        <f>DS575/DS573</f>
        <v>0.63148788927335642</v>
      </c>
      <c r="DT576" s="70">
        <f>DT575/DT573</f>
        <v>0.62372881355932208</v>
      </c>
      <c r="DU576" s="70">
        <f>DU575/DU573</f>
        <v>0.63286713286713292</v>
      </c>
      <c r="DV576" s="70">
        <f>DV575/DV573</f>
        <v>0.63884156729131181</v>
      </c>
      <c r="DW576" s="725">
        <f>DW575/DW573</f>
        <v>0.63171465406102278</v>
      </c>
      <c r="DX576" s="704"/>
      <c r="DY576" s="70">
        <f>DY575/DY573</f>
        <v>0.66331658291457285</v>
      </c>
      <c r="DZ576" s="70">
        <f>DZ575/DZ573</f>
        <v>0.66557911908646006</v>
      </c>
      <c r="EA576" s="70">
        <f>EA575/EA573</f>
        <v>0.66833333333333333</v>
      </c>
      <c r="EB576" s="70">
        <f>EB575/EB573</f>
        <v>0.67001675041876052</v>
      </c>
      <c r="EC576" s="725">
        <f>EC575/EC573</f>
        <v>0.66680515164104692</v>
      </c>
      <c r="ED576" s="704"/>
      <c r="EE576" s="70">
        <f>EE575/EE573</f>
        <v>0.68707482993197277</v>
      </c>
      <c r="EF576" s="70">
        <f>EF575/EF573</f>
        <v>0.6607431340872375</v>
      </c>
      <c r="EG576" s="70">
        <f>EG575/EG573</f>
        <v>0.64455782312925169</v>
      </c>
      <c r="EH576" s="70">
        <f>EH575/EH573</f>
        <v>0.69439728353140917</v>
      </c>
      <c r="EI576" s="725">
        <f>EI575/EI573</f>
        <v>0.67156040268456374</v>
      </c>
      <c r="EJ576" s="704"/>
      <c r="EK576" s="70">
        <f>EK575/EK573</f>
        <v>0.69230769230769229</v>
      </c>
      <c r="EL576" s="70">
        <f>EL575/EL573</f>
        <v>0.69636363636363641</v>
      </c>
      <c r="EM576" s="70">
        <f>EM575/EM573</f>
        <v>0.68926553672316382</v>
      </c>
      <c r="EN576" s="70">
        <f>EN575/EN573</f>
        <v>0.71146953405017921</v>
      </c>
      <c r="EO576" s="725">
        <f>EO575/EO573</f>
        <v>0.69745222929936301</v>
      </c>
      <c r="EP576" s="704"/>
      <c r="EQ576" s="70">
        <f>EQ575/EQ573</f>
        <v>0.7359550561797753</v>
      </c>
      <c r="ER576" s="70">
        <f>ER575/ER573</f>
        <v>0.73307543520309482</v>
      </c>
      <c r="ES576" s="70">
        <f>ES575/ES573</f>
        <v>0.72440944881889768</v>
      </c>
      <c r="ET576" s="70"/>
      <c r="EU576" s="725"/>
      <c r="EV576" s="704"/>
      <c r="EW576" s="704"/>
      <c r="EX576" s="704"/>
      <c r="EY576" s="704"/>
      <c r="EZ576" s="704"/>
      <c r="FA576" s="706"/>
      <c r="FB576" s="704"/>
      <c r="FC576" s="704"/>
      <c r="FD576" s="704"/>
      <c r="FE576" s="704"/>
      <c r="FF576" s="704"/>
      <c r="FG576" s="706"/>
      <c r="FH576" s="704"/>
      <c r="FI576" s="704"/>
      <c r="FJ576" s="704"/>
      <c r="FK576" s="704"/>
      <c r="FL576" s="704"/>
      <c r="FM576" s="706"/>
      <c r="FQ576"/>
      <c r="FR576"/>
      <c r="FS576"/>
      <c r="FT576"/>
      <c r="FU576"/>
      <c r="FV576"/>
      <c r="GB576" s="24"/>
      <c r="GC576" s="24"/>
      <c r="GD576" s="24"/>
      <c r="GE576" s="24"/>
      <c r="GF576" s="24"/>
      <c r="GG576" s="24"/>
      <c r="GH576" s="24"/>
      <c r="GI576" s="24"/>
      <c r="GJ576"/>
      <c r="GK576"/>
      <c r="GL576"/>
      <c r="GM576"/>
      <c r="GN576"/>
      <c r="GO576"/>
      <c r="GP576"/>
      <c r="GQ576"/>
      <c r="GR576"/>
      <c r="GS576"/>
      <c r="GT576"/>
      <c r="GU576"/>
      <c r="GV576"/>
      <c r="GW576"/>
      <c r="GX576"/>
      <c r="GY576"/>
      <c r="GZ576"/>
      <c r="HA576"/>
      <c r="HB576"/>
      <c r="HC576"/>
      <c r="HD576"/>
      <c r="HE576"/>
      <c r="HF576"/>
      <c r="HG576"/>
      <c r="HH576"/>
      <c r="HI576"/>
      <c r="HJ576"/>
      <c r="HK576"/>
      <c r="HL576"/>
      <c r="HM576"/>
      <c r="HN576"/>
      <c r="HO576"/>
      <c r="HP576"/>
      <c r="HQ576"/>
      <c r="HR576"/>
      <c r="HS576"/>
      <c r="HT576"/>
      <c r="HU576"/>
      <c r="HV576"/>
      <c r="HW576"/>
      <c r="HX576"/>
      <c r="HY576"/>
      <c r="HZ576"/>
      <c r="IA576"/>
      <c r="IB576"/>
      <c r="IC576"/>
      <c r="ID576"/>
      <c r="IE576"/>
      <c r="IF576"/>
      <c r="IG576"/>
      <c r="IH576"/>
      <c r="II576"/>
      <c r="IJ576"/>
      <c r="IK576"/>
      <c r="IL576"/>
      <c r="IM576"/>
      <c r="IN576"/>
      <c r="IO576"/>
      <c r="IP576"/>
      <c r="IQ576"/>
      <c r="IR576"/>
      <c r="IS576"/>
      <c r="IT576"/>
      <c r="IU576"/>
      <c r="IV576"/>
      <c r="IW576"/>
      <c r="IX576"/>
      <c r="IY576"/>
      <c r="IZ576"/>
      <c r="JA576"/>
      <c r="JB576"/>
      <c r="JC576"/>
      <c r="JD576"/>
      <c r="JE576"/>
      <c r="JF576"/>
      <c r="JG576"/>
      <c r="JH576"/>
      <c r="JI576"/>
      <c r="JJ576"/>
      <c r="JK576"/>
      <c r="JL576"/>
      <c r="JM576"/>
      <c r="JN576"/>
    </row>
    <row r="577" spans="1:274" s="698" customFormat="1" ht="7.5" hidden="1" customHeight="1" outlineLevel="1" x14ac:dyDescent="0.2">
      <c r="B577" s="697"/>
      <c r="BC577" s="708"/>
      <c r="BI577" s="708"/>
      <c r="BO577" s="708"/>
      <c r="BU577" s="708"/>
      <c r="CA577" s="708"/>
      <c r="CG577" s="708"/>
      <c r="CM577" s="708"/>
      <c r="CS577" s="708"/>
      <c r="CY577" s="708"/>
      <c r="DE577" s="708"/>
      <c r="DK577" s="708"/>
      <c r="DQ577" s="708"/>
      <c r="DW577" s="708"/>
      <c r="EC577" s="708"/>
      <c r="EI577" s="708"/>
      <c r="EO577" s="708"/>
      <c r="EU577" s="708"/>
      <c r="FA577" s="699"/>
      <c r="FG577" s="699"/>
      <c r="FM577" s="699"/>
      <c r="FQ577"/>
      <c r="FR577"/>
      <c r="FS577"/>
      <c r="FT577"/>
      <c r="FU577"/>
      <c r="FV577"/>
      <c r="GB577" s="24"/>
      <c r="GC577" s="24"/>
      <c r="GD577" s="24"/>
      <c r="GE577" s="24"/>
      <c r="GF577" s="24"/>
      <c r="GG577" s="24"/>
      <c r="GH577" s="24"/>
      <c r="GI577" s="24"/>
      <c r="GJ577"/>
      <c r="GK577"/>
      <c r="GL577"/>
      <c r="GM577"/>
      <c r="GN577"/>
      <c r="GO577"/>
      <c r="GP577"/>
      <c r="GQ577"/>
      <c r="GR577"/>
      <c r="GS577"/>
      <c r="GT577"/>
      <c r="GU577"/>
      <c r="GV577"/>
      <c r="GW577"/>
      <c r="GX577"/>
      <c r="GY577"/>
      <c r="GZ577"/>
      <c r="HA577"/>
      <c r="HB577"/>
      <c r="HC577"/>
      <c r="HD577"/>
      <c r="HE577"/>
      <c r="HF577"/>
      <c r="HG577"/>
      <c r="HH577"/>
      <c r="HI577"/>
      <c r="HJ577"/>
      <c r="HK577"/>
      <c r="HL577"/>
      <c r="HM577"/>
      <c r="HN577"/>
      <c r="HO577"/>
      <c r="HP577"/>
      <c r="HQ577"/>
      <c r="HR577"/>
      <c r="HS577"/>
      <c r="HT577"/>
      <c r="HU577"/>
      <c r="HV577"/>
      <c r="HW577"/>
      <c r="HX577"/>
      <c r="HY577"/>
      <c r="HZ577"/>
      <c r="IA577"/>
      <c r="IB577"/>
      <c r="IC577"/>
      <c r="ID577"/>
      <c r="IE577"/>
      <c r="IF577"/>
      <c r="IG577"/>
      <c r="IH577"/>
      <c r="II577"/>
      <c r="IJ577"/>
      <c r="IK577"/>
      <c r="IL577"/>
      <c r="IM577"/>
      <c r="IN577"/>
      <c r="IO577"/>
      <c r="IP577"/>
      <c r="IQ577"/>
      <c r="IR577"/>
      <c r="IS577"/>
      <c r="IT577"/>
      <c r="IU577"/>
      <c r="IV577"/>
      <c r="IW577"/>
      <c r="IX577"/>
      <c r="IY577"/>
      <c r="IZ577"/>
      <c r="JA577"/>
      <c r="JB577"/>
      <c r="JC577"/>
      <c r="JD577"/>
      <c r="JE577"/>
      <c r="JF577"/>
      <c r="JG577"/>
      <c r="JH577"/>
      <c r="JI577"/>
      <c r="JJ577"/>
      <c r="JK577"/>
      <c r="JL577"/>
      <c r="JM577"/>
      <c r="JN577"/>
    </row>
    <row r="578" spans="1:274" s="698" customFormat="1" ht="12.75" hidden="1" customHeight="1" outlineLevel="1" x14ac:dyDescent="0.2">
      <c r="A578" s="696" t="s">
        <v>1221</v>
      </c>
      <c r="B578" s="697"/>
      <c r="BC578" s="708"/>
      <c r="BI578" s="708"/>
      <c r="BO578" s="708"/>
      <c r="BU578" s="708"/>
      <c r="CA578" s="708"/>
      <c r="CG578" s="708"/>
      <c r="CM578" s="708"/>
      <c r="CS578" s="708"/>
      <c r="CW578" s="1135"/>
      <c r="CX578" s="1131"/>
      <c r="CY578" s="699"/>
      <c r="CZ578" s="1135"/>
      <c r="DA578" s="1181"/>
      <c r="DB578" s="1181"/>
      <c r="DC578" s="1181">
        <f>DC576-CW576</f>
        <v>0</v>
      </c>
      <c r="DD578" s="1181">
        <f>DD576-CX576</f>
        <v>0</v>
      </c>
      <c r="DE578" s="708"/>
      <c r="DG578" s="1181">
        <f>DG576-DA576</f>
        <v>0</v>
      </c>
      <c r="DH578" s="1181">
        <f>DH576-DB576</f>
        <v>0</v>
      </c>
      <c r="DI578" s="1181">
        <f>DI576-DC576</f>
        <v>3.8184281842818413E-2</v>
      </c>
      <c r="DJ578" s="1181">
        <f>DJ576-DD576</f>
        <v>3.5459192308994192E-3</v>
      </c>
      <c r="DK578" s="708"/>
      <c r="DM578" s="1181">
        <f>DM576-DG576</f>
        <v>1.4777618364418932E-2</v>
      </c>
      <c r="DN578" s="1181">
        <f>DN576-DH576</f>
        <v>0.11174825946602163</v>
      </c>
      <c r="DO578" s="1181">
        <f>DO576-DI576</f>
        <v>2.8008796481407527E-2</v>
      </c>
      <c r="DP578" s="1181">
        <f>DP576-DJ576</f>
        <v>4.1005189313857437E-2</v>
      </c>
      <c r="DQ578" s="708"/>
      <c r="DS578" s="1181">
        <f>DS576-DM576</f>
        <v>4.6122035614819867E-2</v>
      </c>
      <c r="DT578" s="1181">
        <f>DT576-DN576</f>
        <v>1.4896005988344174E-2</v>
      </c>
      <c r="DU578" s="1181">
        <f>DU576-DO576</f>
        <v>3.7785165654018127E-2</v>
      </c>
      <c r="DV578" s="1181">
        <f>DV576-DP576</f>
        <v>3.3882889605361344E-2</v>
      </c>
      <c r="DW578" s="708"/>
      <c r="DY578" s="1181">
        <f>DY576-DS576</f>
        <v>3.1828693641216432E-2</v>
      </c>
      <c r="DZ578" s="1181">
        <f>DZ576-DT576</f>
        <v>4.1850305527137976E-2</v>
      </c>
      <c r="EA578" s="1181">
        <f>EA576-DU576</f>
        <v>3.5466200466200415E-2</v>
      </c>
      <c r="EB578" s="1181">
        <f>EB576-DV576</f>
        <v>3.1175183127448713E-2</v>
      </c>
      <c r="EC578" s="1656"/>
      <c r="EE578" s="1181">
        <f>EE576-DY576</f>
        <v>2.3758247017399925E-2</v>
      </c>
      <c r="EF578" s="1181">
        <f>EF576-DZ576</f>
        <v>-4.8359849992225534E-3</v>
      </c>
      <c r="EG578" s="1181">
        <f>EG576-EA576</f>
        <v>-2.377551020408164E-2</v>
      </c>
      <c r="EH578" s="1181">
        <f>EH576-EB576</f>
        <v>2.438053311264865E-2</v>
      </c>
      <c r="EI578" s="1656"/>
      <c r="EK578" s="1181">
        <f>EK576-EE576</f>
        <v>5.2328623757195158E-3</v>
      </c>
      <c r="EL578" s="1181">
        <f>EL576-EF576</f>
        <v>3.5620502276398902E-2</v>
      </c>
      <c r="EM578" s="1181">
        <f>EM576-EG576</f>
        <v>4.4707713593912124E-2</v>
      </c>
      <c r="EN578" s="1181">
        <f>EN576-EH576</f>
        <v>1.7072250518770038E-2</v>
      </c>
      <c r="EO578" s="1656"/>
      <c r="EQ578" s="1181">
        <f>EQ576-EK576</f>
        <v>4.3647363872083011E-2</v>
      </c>
      <c r="ER578" s="1181">
        <f>ER576-EL576</f>
        <v>3.6711798839458409E-2</v>
      </c>
      <c r="ES578" s="1181">
        <f>ES576-EM576</f>
        <v>3.5143912095733865E-2</v>
      </c>
      <c r="ET578" s="1181"/>
      <c r="EU578" s="1656"/>
      <c r="FA578" s="699"/>
      <c r="FG578" s="699"/>
      <c r="FM578" s="699"/>
      <c r="FQ578"/>
      <c r="FR578"/>
      <c r="FS578"/>
      <c r="FT578"/>
      <c r="FU578"/>
      <c r="FV578"/>
      <c r="GB578" s="24"/>
      <c r="GC578" s="24"/>
      <c r="GD578" s="24"/>
      <c r="GE578" s="24"/>
      <c r="GF578" s="24"/>
      <c r="GG578" s="24"/>
      <c r="GH578" s="24"/>
      <c r="GI578" s="24"/>
      <c r="GJ578"/>
      <c r="GK578"/>
      <c r="GL578"/>
      <c r="GM578"/>
      <c r="GN578"/>
      <c r="GO578"/>
      <c r="GP578"/>
      <c r="GQ578"/>
      <c r="GR578"/>
      <c r="GS578"/>
      <c r="GT578"/>
      <c r="GU578"/>
      <c r="GV578"/>
      <c r="GW578"/>
      <c r="GX578"/>
      <c r="GY578"/>
      <c r="GZ578"/>
      <c r="HA578"/>
      <c r="HB578"/>
      <c r="HC578"/>
      <c r="HD578"/>
      <c r="HE578"/>
      <c r="HF578"/>
      <c r="HG578"/>
      <c r="HH578"/>
      <c r="HI578"/>
      <c r="HJ578"/>
      <c r="HK578"/>
      <c r="HL578"/>
      <c r="HM578"/>
      <c r="HN578"/>
      <c r="HO578"/>
      <c r="HP578"/>
      <c r="HQ578"/>
      <c r="HR578"/>
      <c r="HS578"/>
      <c r="HT578"/>
      <c r="HU578"/>
      <c r="HV578"/>
      <c r="HW578"/>
      <c r="HX578"/>
      <c r="HY578"/>
      <c r="HZ578"/>
      <c r="IA578"/>
      <c r="IB578"/>
      <c r="IC578"/>
      <c r="ID578"/>
      <c r="IE578"/>
      <c r="IF578"/>
      <c r="IG578"/>
      <c r="IH578"/>
      <c r="II578"/>
      <c r="IJ578"/>
      <c r="IK578"/>
      <c r="IL578"/>
      <c r="IM578"/>
      <c r="IN578"/>
      <c r="IO578"/>
      <c r="IP578"/>
      <c r="IQ578"/>
      <c r="IR578"/>
      <c r="IS578"/>
      <c r="IT578"/>
      <c r="IU578"/>
      <c r="IV578"/>
      <c r="IW578"/>
      <c r="IX578"/>
      <c r="IY578"/>
      <c r="IZ578"/>
      <c r="JA578"/>
      <c r="JB578"/>
      <c r="JC578"/>
      <c r="JD578"/>
      <c r="JE578"/>
      <c r="JF578"/>
      <c r="JG578"/>
      <c r="JH578"/>
      <c r="JI578"/>
      <c r="JJ578"/>
      <c r="JK578"/>
      <c r="JL578"/>
      <c r="JM578"/>
      <c r="JN578"/>
    </row>
    <row r="579" spans="1:274" s="698" customFormat="1" ht="12.75" hidden="1" customHeight="1" outlineLevel="1" x14ac:dyDescent="0.2">
      <c r="A579" s="702" t="s">
        <v>1078</v>
      </c>
      <c r="B579" s="697"/>
      <c r="BC579" s="708"/>
      <c r="BI579" s="708"/>
      <c r="BO579" s="708"/>
      <c r="BU579" s="708"/>
      <c r="CA579" s="708"/>
      <c r="CG579" s="708"/>
      <c r="CM579" s="708"/>
      <c r="CS579" s="708"/>
      <c r="CW579" s="245"/>
      <c r="CX579" s="246"/>
      <c r="CY579" s="143"/>
      <c r="CZ579" s="1135"/>
      <c r="DA579" s="243"/>
      <c r="DB579" s="246"/>
      <c r="DC579" s="33"/>
      <c r="DD579" s="33"/>
      <c r="DE579" s="606">
        <f>DE566+DE573</f>
        <v>2405</v>
      </c>
      <c r="DG579" s="33">
        <f>DG566+DG573</f>
        <v>1759</v>
      </c>
      <c r="DH579" s="33">
        <f>DH566+DH573</f>
        <v>1798</v>
      </c>
      <c r="DI579" s="33">
        <f>DI566+DI573</f>
        <v>1691</v>
      </c>
      <c r="DJ579" s="33">
        <f>DJ566+DJ573</f>
        <v>1844</v>
      </c>
      <c r="DK579" s="606">
        <f t="shared" ref="DK579:EC579" si="162">DK566+DK573</f>
        <v>7092</v>
      </c>
      <c r="DM579" s="33">
        <f t="shared" si="162"/>
        <v>1685</v>
      </c>
      <c r="DN579" s="33">
        <f t="shared" si="162"/>
        <v>1587</v>
      </c>
      <c r="DO579" s="33">
        <f t="shared" si="162"/>
        <v>1479</v>
      </c>
      <c r="DP579" s="33">
        <f t="shared" si="162"/>
        <v>1581</v>
      </c>
      <c r="DQ579" s="606">
        <f t="shared" si="162"/>
        <v>6332</v>
      </c>
      <c r="DS579" s="33">
        <f t="shared" si="162"/>
        <v>1357</v>
      </c>
      <c r="DT579" s="33">
        <f t="shared" si="162"/>
        <v>1324</v>
      </c>
      <c r="DU579" s="33">
        <f t="shared" si="162"/>
        <v>1243</v>
      </c>
      <c r="DV579" s="33">
        <f t="shared" si="162"/>
        <v>1436</v>
      </c>
      <c r="DW579" s="606">
        <f t="shared" si="162"/>
        <v>5360</v>
      </c>
      <c r="DY579" s="33">
        <f t="shared" si="162"/>
        <v>1266</v>
      </c>
      <c r="DZ579" s="33">
        <f t="shared" si="162"/>
        <v>1327</v>
      </c>
      <c r="EA579" s="33">
        <f t="shared" si="162"/>
        <v>1325</v>
      </c>
      <c r="EB579" s="33">
        <f t="shared" si="162"/>
        <v>1465</v>
      </c>
      <c r="EC579" s="606">
        <f t="shared" si="162"/>
        <v>5383</v>
      </c>
      <c r="EE579" s="33">
        <f>EE566+EE573</f>
        <v>1166</v>
      </c>
      <c r="EF579" s="33">
        <f>EF566+EF573</f>
        <v>1336</v>
      </c>
      <c r="EG579" s="33">
        <f>EG566+EG573</f>
        <v>1300</v>
      </c>
      <c r="EH579" s="33">
        <f>EH566+EH573</f>
        <v>1407</v>
      </c>
      <c r="EI579" s="606">
        <f>EI566+EI573</f>
        <v>5209</v>
      </c>
      <c r="EK579" s="33">
        <f>EK566+EK573</f>
        <v>1129</v>
      </c>
      <c r="EL579" s="33">
        <f>EL566+EL573</f>
        <v>1123</v>
      </c>
      <c r="EM579" s="33">
        <f>EM566+EM573</f>
        <v>1135</v>
      </c>
      <c r="EN579" s="33">
        <f>EN566+EN573</f>
        <v>1282</v>
      </c>
      <c r="EO579" s="606">
        <f>EO566+EO573</f>
        <v>4669</v>
      </c>
      <c r="EQ579" s="33">
        <f>EQ566+EQ573</f>
        <v>996</v>
      </c>
      <c r="ER579" s="33">
        <f>ER566+ER573</f>
        <v>1014</v>
      </c>
      <c r="ES579" s="33">
        <f>ES566+ES573</f>
        <v>1028</v>
      </c>
      <c r="ET579" s="33">
        <f>EU579-SUM(EQ579:ES579)</f>
        <v>1114</v>
      </c>
      <c r="EU579" s="606">
        <f>EU704</f>
        <v>4152</v>
      </c>
      <c r="EW579" s="33">
        <v>943</v>
      </c>
      <c r="FA579" s="699"/>
      <c r="FG579" s="699"/>
      <c r="FM579" s="699"/>
      <c r="FQ579"/>
      <c r="FR579"/>
      <c r="FS579"/>
      <c r="FT579"/>
      <c r="FU579"/>
      <c r="FV579"/>
      <c r="GB579" s="24"/>
      <c r="GC579" s="24"/>
      <c r="GD579" s="24"/>
      <c r="GE579" s="24"/>
      <c r="GF579" s="24"/>
      <c r="GG579" s="24"/>
      <c r="GH579" s="24"/>
      <c r="GI579" s="24"/>
      <c r="GJ579"/>
      <c r="GK579"/>
      <c r="GL579"/>
      <c r="GM579"/>
      <c r="GN579"/>
      <c r="GO579"/>
      <c r="GP579"/>
      <c r="GQ579"/>
      <c r="GR579"/>
      <c r="GS579"/>
      <c r="GT579"/>
      <c r="GU579"/>
      <c r="GV579"/>
      <c r="GW579"/>
      <c r="GX579"/>
      <c r="GY579"/>
      <c r="GZ579"/>
      <c r="HA579"/>
      <c r="HB579"/>
      <c r="HC579"/>
      <c r="HD579"/>
      <c r="HE579"/>
      <c r="HF579"/>
      <c r="HG579"/>
      <c r="HH579"/>
      <c r="HI579"/>
      <c r="HJ579"/>
      <c r="HK579"/>
      <c r="HL579"/>
      <c r="HM579"/>
      <c r="HN579"/>
      <c r="HO579"/>
      <c r="HP579"/>
      <c r="HQ579"/>
      <c r="HR579"/>
      <c r="HS579"/>
      <c r="HT579"/>
      <c r="HU579"/>
      <c r="HV579"/>
      <c r="HW579"/>
      <c r="HX579"/>
      <c r="HY579"/>
      <c r="HZ579"/>
      <c r="IA579"/>
      <c r="IB579"/>
      <c r="IC579"/>
      <c r="ID579"/>
      <c r="IE579"/>
      <c r="IF579"/>
      <c r="IG579"/>
      <c r="IH579"/>
      <c r="II579"/>
      <c r="IJ579"/>
      <c r="IK579"/>
      <c r="IL579"/>
      <c r="IM579"/>
      <c r="IN579"/>
      <c r="IO579"/>
      <c r="IP579"/>
      <c r="IQ579"/>
      <c r="IR579"/>
      <c r="IS579"/>
      <c r="IT579"/>
      <c r="IU579"/>
      <c r="IV579"/>
      <c r="IW579"/>
      <c r="IX579"/>
      <c r="IY579"/>
      <c r="IZ579"/>
      <c r="JA579"/>
      <c r="JB579"/>
      <c r="JC579"/>
      <c r="JD579"/>
      <c r="JE579"/>
      <c r="JF579"/>
      <c r="JG579"/>
      <c r="JH579"/>
      <c r="JI579"/>
      <c r="JJ579"/>
      <c r="JK579"/>
      <c r="JL579"/>
      <c r="JM579"/>
      <c r="JN579"/>
    </row>
    <row r="580" spans="1:274" s="698" customFormat="1" ht="12.75" hidden="1" customHeight="1" outlineLevel="1" x14ac:dyDescent="0.2">
      <c r="A580" s="702" t="s">
        <v>1083</v>
      </c>
      <c r="B580" s="697"/>
      <c r="BC580" s="708"/>
      <c r="BI580" s="708"/>
      <c r="BO580" s="708"/>
      <c r="BU580" s="708"/>
      <c r="CA580" s="708"/>
      <c r="CG580" s="708"/>
      <c r="CM580" s="708"/>
      <c r="CS580" s="708"/>
      <c r="CW580" s="1135"/>
      <c r="CX580" s="1131"/>
      <c r="CY580" s="699"/>
      <c r="CZ580" s="1135"/>
      <c r="DB580" s="1131"/>
      <c r="DC580" s="33"/>
      <c r="DD580" s="33"/>
      <c r="DE580" s="606">
        <f>SUM(DE567:DE568,DE574)</f>
        <v>1565</v>
      </c>
      <c r="DG580" s="33">
        <f>SUM(DG567:DG568,DG574)</f>
        <v>1076</v>
      </c>
      <c r="DH580" s="33">
        <f>SUM(DH567:DH568,DH574)</f>
        <v>1100</v>
      </c>
      <c r="DI580" s="33">
        <f>SUM(DI567:DI568,DI574)</f>
        <v>992</v>
      </c>
      <c r="DJ580" s="33">
        <f>SUM(DJ567:DJ568,DJ574)</f>
        <v>1074</v>
      </c>
      <c r="DK580" s="606">
        <f t="shared" ref="DK580:EC580" si="163">SUM(DK567:DK568,DK574)</f>
        <v>4242</v>
      </c>
      <c r="DM580" s="33">
        <f t="shared" si="163"/>
        <v>1011</v>
      </c>
      <c r="DN580" s="33">
        <f t="shared" si="163"/>
        <v>987</v>
      </c>
      <c r="DO580" s="33">
        <f t="shared" si="163"/>
        <v>922</v>
      </c>
      <c r="DP580" s="33">
        <f t="shared" si="163"/>
        <v>977</v>
      </c>
      <c r="DQ580" s="606">
        <f t="shared" si="163"/>
        <v>3897</v>
      </c>
      <c r="DS580" s="33">
        <f t="shared" si="163"/>
        <v>815</v>
      </c>
      <c r="DT580" s="33">
        <f t="shared" si="163"/>
        <v>801</v>
      </c>
      <c r="DU580" s="33">
        <f t="shared" si="163"/>
        <v>758</v>
      </c>
      <c r="DV580" s="33">
        <f t="shared" si="163"/>
        <v>866</v>
      </c>
      <c r="DW580" s="606">
        <f t="shared" si="163"/>
        <v>3240</v>
      </c>
      <c r="DY580" s="33">
        <f t="shared" si="163"/>
        <v>747</v>
      </c>
      <c r="DZ580" s="33">
        <f t="shared" si="163"/>
        <v>817</v>
      </c>
      <c r="EA580" s="33">
        <f t="shared" si="163"/>
        <v>800</v>
      </c>
      <c r="EB580" s="33">
        <f t="shared" si="163"/>
        <v>894</v>
      </c>
      <c r="EC580" s="606">
        <f t="shared" si="163"/>
        <v>3258</v>
      </c>
      <c r="EE580" s="33">
        <f>SUM(EE567:EE568,EE574)</f>
        <v>682</v>
      </c>
      <c r="EF580" s="33">
        <f>SUM(EF567:EF568,EF574)</f>
        <v>799</v>
      </c>
      <c r="EG580" s="33">
        <f>SUM(EG567:EG568,EG574)</f>
        <v>786</v>
      </c>
      <c r="EH580" s="33">
        <f>SUM(EH567:EH568,EH574)</f>
        <v>845</v>
      </c>
      <c r="EI580" s="606">
        <f>SUM(EI567:EI568,EI574)</f>
        <v>3112</v>
      </c>
      <c r="EK580" s="33">
        <f>SUM(EK567:EK568,EK574)</f>
        <v>677</v>
      </c>
      <c r="EL580" s="33">
        <f>SUM(EL567:EL568,EL574)</f>
        <v>706</v>
      </c>
      <c r="EM580" s="33">
        <f>SUM(EM567:EM568,EM574)</f>
        <v>699</v>
      </c>
      <c r="EN580" s="33">
        <f>SUM(EN567:EN568,EN574)</f>
        <v>797</v>
      </c>
      <c r="EO580" s="606">
        <f>SUM(EO567:EO568,EO574)</f>
        <v>2879</v>
      </c>
      <c r="EQ580" s="33">
        <f>SUM(EQ567:EQ568,EQ574)</f>
        <v>584</v>
      </c>
      <c r="ER580" s="33">
        <f>SUM(ER567:ER568,ER574)</f>
        <v>580</v>
      </c>
      <c r="ES580" s="33">
        <f>SUM(ES567:ES568,ES574)</f>
        <v>623</v>
      </c>
      <c r="ET580" s="33">
        <f>EU580-SUM(EQ580:ES580)</f>
        <v>656</v>
      </c>
      <c r="EU580" s="606">
        <f>EU705+EU706</f>
        <v>2443</v>
      </c>
      <c r="EW580" s="33">
        <f>366+170</f>
        <v>536</v>
      </c>
      <c r="FA580" s="699"/>
      <c r="FG580" s="699"/>
      <c r="FM580" s="699"/>
      <c r="FQ580"/>
      <c r="FR580"/>
      <c r="FS580"/>
      <c r="FT580"/>
      <c r="FU580"/>
      <c r="FV580"/>
      <c r="GB580" s="24"/>
      <c r="GC580" s="24"/>
      <c r="GD580" s="24"/>
      <c r="GE580" s="24"/>
      <c r="GF580" s="24"/>
      <c r="GG580" s="24"/>
      <c r="GH580" s="24"/>
      <c r="GI580" s="24"/>
      <c r="GJ580"/>
      <c r="GK580"/>
      <c r="GL580"/>
      <c r="GM580"/>
      <c r="GN580"/>
      <c r="GO580"/>
      <c r="GP580"/>
      <c r="GQ580"/>
      <c r="GR580"/>
      <c r="GS580"/>
      <c r="GT580"/>
      <c r="GU580"/>
      <c r="GV580"/>
      <c r="GW580"/>
      <c r="GX580"/>
      <c r="GY580"/>
      <c r="GZ580"/>
      <c r="HA580"/>
      <c r="HB580"/>
      <c r="HC580"/>
      <c r="HD580"/>
      <c r="HE580"/>
      <c r="HF580"/>
      <c r="HG580"/>
      <c r="HH580"/>
      <c r="HI580"/>
      <c r="HJ580"/>
      <c r="HK580"/>
      <c r="HL580"/>
      <c r="HM580"/>
      <c r="HN580"/>
      <c r="HO580"/>
      <c r="HP580"/>
      <c r="HQ580"/>
      <c r="HR580"/>
      <c r="HS580"/>
      <c r="HT580"/>
      <c r="HU580"/>
      <c r="HV580"/>
      <c r="HW580"/>
      <c r="HX580"/>
      <c r="HY580"/>
      <c r="HZ580"/>
      <c r="IA580"/>
      <c r="IB580"/>
      <c r="IC580"/>
      <c r="ID580"/>
      <c r="IE580"/>
      <c r="IF580"/>
      <c r="IG580"/>
      <c r="IH580"/>
      <c r="II580"/>
      <c r="IJ580"/>
      <c r="IK580"/>
      <c r="IL580"/>
      <c r="IM580"/>
      <c r="IN580"/>
      <c r="IO580"/>
      <c r="IP580"/>
      <c r="IQ580"/>
      <c r="IR580"/>
      <c r="IS580"/>
      <c r="IT580"/>
      <c r="IU580"/>
      <c r="IV580"/>
      <c r="IW580"/>
      <c r="IX580"/>
      <c r="IY580"/>
      <c r="IZ580"/>
      <c r="JA580"/>
      <c r="JB580"/>
      <c r="JC580"/>
      <c r="JD580"/>
      <c r="JE580"/>
      <c r="JF580"/>
      <c r="JG580"/>
      <c r="JH580"/>
      <c r="JI580"/>
      <c r="JJ580"/>
      <c r="JK580"/>
      <c r="JL580"/>
      <c r="JM580"/>
      <c r="JN580"/>
    </row>
    <row r="581" spans="1:274" s="698" customFormat="1" ht="12.75" hidden="1" customHeight="1" outlineLevel="1" x14ac:dyDescent="0.2">
      <c r="A581" s="703" t="s">
        <v>1080</v>
      </c>
      <c r="B581" s="704"/>
      <c r="C581" s="704"/>
      <c r="D581" s="704"/>
      <c r="E581" s="704"/>
      <c r="F581" s="704"/>
      <c r="G581" s="704"/>
      <c r="H581" s="704"/>
      <c r="I581" s="704"/>
      <c r="J581" s="704"/>
      <c r="K581" s="704"/>
      <c r="L581" s="704"/>
      <c r="M581" s="704"/>
      <c r="N581" s="704"/>
      <c r="O581" s="704"/>
      <c r="P581" s="704"/>
      <c r="Q581" s="704"/>
      <c r="R581" s="704"/>
      <c r="S581" s="704"/>
      <c r="T581" s="704"/>
      <c r="U581" s="704"/>
      <c r="V581" s="704"/>
      <c r="W581" s="704"/>
      <c r="X581" s="704"/>
      <c r="Y581" s="704"/>
      <c r="Z581" s="704"/>
      <c r="AA581" s="704"/>
      <c r="AB581" s="704"/>
      <c r="AC581" s="704"/>
      <c r="AD581" s="704"/>
      <c r="AE581" s="704"/>
      <c r="AF581" s="704"/>
      <c r="AG581" s="704"/>
      <c r="AH581" s="704"/>
      <c r="AI581" s="704"/>
      <c r="AJ581" s="704"/>
      <c r="AK581" s="704"/>
      <c r="AL581" s="704"/>
      <c r="AM581" s="704"/>
      <c r="AN581" s="704"/>
      <c r="AO581" s="704"/>
      <c r="AP581" s="704"/>
      <c r="AQ581" s="704"/>
      <c r="AR581" s="704"/>
      <c r="AS581" s="704"/>
      <c r="AT581" s="704"/>
      <c r="AU581" s="704"/>
      <c r="AV581" s="704"/>
      <c r="AW581" s="704"/>
      <c r="AX581" s="704"/>
      <c r="AY581" s="704"/>
      <c r="AZ581" s="704"/>
      <c r="BA581" s="704"/>
      <c r="BB581" s="704"/>
      <c r="BC581" s="710"/>
      <c r="BD581" s="704"/>
      <c r="BE581" s="704"/>
      <c r="BF581" s="704"/>
      <c r="BG581" s="704"/>
      <c r="BH581" s="704"/>
      <c r="BI581" s="710"/>
      <c r="BJ581" s="704"/>
      <c r="BK581" s="704"/>
      <c r="BL581" s="704"/>
      <c r="BM581" s="704"/>
      <c r="BN581" s="704"/>
      <c r="BO581" s="710"/>
      <c r="BP581" s="704"/>
      <c r="BQ581" s="704"/>
      <c r="BR581" s="704"/>
      <c r="BS581" s="704"/>
      <c r="BT581" s="704"/>
      <c r="BU581" s="710"/>
      <c r="BV581" s="704"/>
      <c r="BW581" s="704"/>
      <c r="BX581" s="704"/>
      <c r="BY581" s="704"/>
      <c r="BZ581" s="704"/>
      <c r="CA581" s="710"/>
      <c r="CB581" s="704"/>
      <c r="CC581" s="704"/>
      <c r="CD581" s="704"/>
      <c r="CE581" s="704"/>
      <c r="CF581" s="704"/>
      <c r="CG581" s="710"/>
      <c r="CH581" s="704"/>
      <c r="CI581" s="704"/>
      <c r="CJ581" s="704"/>
      <c r="CK581" s="704"/>
      <c r="CL581" s="704"/>
      <c r="CM581" s="710"/>
      <c r="CN581" s="704"/>
      <c r="CO581" s="704"/>
      <c r="CP581" s="704"/>
      <c r="CQ581" s="704"/>
      <c r="CR581" s="704"/>
      <c r="CS581" s="710"/>
      <c r="CT581" s="704"/>
      <c r="CU581" s="704"/>
      <c r="CV581" s="704"/>
      <c r="CW581" s="1136"/>
      <c r="CX581" s="1132"/>
      <c r="CY581" s="706"/>
      <c r="CZ581" s="1136"/>
      <c r="DA581" s="704"/>
      <c r="DB581" s="1132"/>
      <c r="DC581" s="73"/>
      <c r="DD581" s="73"/>
      <c r="DE581" s="162">
        <f>DE579-DE580</f>
        <v>840</v>
      </c>
      <c r="DF581" s="704"/>
      <c r="DG581" s="73">
        <f>DG579-DG580</f>
        <v>683</v>
      </c>
      <c r="DH581" s="73">
        <f>DH579-DH580</f>
        <v>698</v>
      </c>
      <c r="DI581" s="73">
        <f>DI579-DI580</f>
        <v>699</v>
      </c>
      <c r="DJ581" s="73">
        <f>DJ579-DJ580</f>
        <v>770</v>
      </c>
      <c r="DK581" s="162">
        <f>DK579-DK580</f>
        <v>2850</v>
      </c>
      <c r="DL581" s="704"/>
      <c r="DM581" s="73">
        <f>DM579-DM580</f>
        <v>674</v>
      </c>
      <c r="DN581" s="73">
        <f>DN579-DN580</f>
        <v>600</v>
      </c>
      <c r="DO581" s="73">
        <f>DO579-DO580</f>
        <v>557</v>
      </c>
      <c r="DP581" s="73">
        <f>DP579-DP580</f>
        <v>604</v>
      </c>
      <c r="DQ581" s="162">
        <f>DQ579-DQ580</f>
        <v>2435</v>
      </c>
      <c r="DR581" s="704"/>
      <c r="DS581" s="73">
        <f>DS579-DS580</f>
        <v>542</v>
      </c>
      <c r="DT581" s="73">
        <f>DT579-DT580</f>
        <v>523</v>
      </c>
      <c r="DU581" s="73">
        <f>DU579-DU580</f>
        <v>485</v>
      </c>
      <c r="DV581" s="73">
        <f>DV579-DV580</f>
        <v>570</v>
      </c>
      <c r="DW581" s="162">
        <f>DW579-DW580</f>
        <v>2120</v>
      </c>
      <c r="DX581" s="704"/>
      <c r="DY581" s="73">
        <f>DY579-DY580</f>
        <v>519</v>
      </c>
      <c r="DZ581" s="73">
        <f>DZ579-DZ580</f>
        <v>510</v>
      </c>
      <c r="EA581" s="73">
        <f>EA579-EA580</f>
        <v>525</v>
      </c>
      <c r="EB581" s="73">
        <f>EB579-EB580</f>
        <v>571</v>
      </c>
      <c r="EC581" s="162">
        <f>EC579-EC580</f>
        <v>2125</v>
      </c>
      <c r="ED581" s="704"/>
      <c r="EE581" s="73">
        <f>EE579-EE580</f>
        <v>484</v>
      </c>
      <c r="EF581" s="73">
        <f>EF579-EF580</f>
        <v>537</v>
      </c>
      <c r="EG581" s="73">
        <f>EG579-EG580</f>
        <v>514</v>
      </c>
      <c r="EH581" s="73">
        <f>EH579-EH580</f>
        <v>562</v>
      </c>
      <c r="EI581" s="162">
        <f>EI579-EI580</f>
        <v>2097</v>
      </c>
      <c r="EJ581" s="704"/>
      <c r="EK581" s="73">
        <f>EK579-EK580</f>
        <v>452</v>
      </c>
      <c r="EL581" s="73">
        <f>EL579-EL580</f>
        <v>417</v>
      </c>
      <c r="EM581" s="73">
        <f>EM579-EM580</f>
        <v>436</v>
      </c>
      <c r="EN581" s="73">
        <f>EN579-EN580</f>
        <v>485</v>
      </c>
      <c r="EO581" s="162">
        <f>EO579-EO580</f>
        <v>1790</v>
      </c>
      <c r="EP581" s="704"/>
      <c r="EQ581" s="73">
        <f>EQ579-EQ580</f>
        <v>412</v>
      </c>
      <c r="ER581" s="73">
        <f>ER579-ER580</f>
        <v>434</v>
      </c>
      <c r="ES581" s="73">
        <f>ES579-ES580</f>
        <v>405</v>
      </c>
      <c r="ET581" s="73">
        <f>ET579-ET580</f>
        <v>458</v>
      </c>
      <c r="EU581" s="162">
        <f>SUM(EQ581:ET581)</f>
        <v>1709</v>
      </c>
      <c r="EV581" s="704"/>
      <c r="EW581" s="73">
        <f>EW579-EW580</f>
        <v>407</v>
      </c>
      <c r="EX581" s="704"/>
      <c r="EY581" s="704"/>
      <c r="EZ581" s="704"/>
      <c r="FA581" s="706"/>
      <c r="FB581" s="704"/>
      <c r="FC581" s="704"/>
      <c r="FD581" s="704"/>
      <c r="FE581" s="704"/>
      <c r="FF581" s="704"/>
      <c r="FG581" s="706"/>
      <c r="FH581" s="704"/>
      <c r="FI581" s="704"/>
      <c r="FJ581" s="704"/>
      <c r="FK581" s="704"/>
      <c r="FL581" s="704"/>
      <c r="FM581" s="706"/>
      <c r="FQ581"/>
      <c r="FR581"/>
      <c r="FS581"/>
      <c r="FT581"/>
      <c r="FU581"/>
      <c r="FV581"/>
      <c r="GB581" s="24"/>
      <c r="GC581" s="24"/>
      <c r="GD581" s="24"/>
      <c r="GE581" s="24"/>
      <c r="GF581" s="24"/>
      <c r="GG581" s="24"/>
      <c r="GH581" s="24"/>
      <c r="GI581" s="24"/>
      <c r="GJ581"/>
      <c r="GK581"/>
      <c r="GL581"/>
      <c r="GM581"/>
      <c r="GN581"/>
      <c r="GO581"/>
      <c r="GP581"/>
      <c r="GQ581"/>
      <c r="GR581"/>
      <c r="GS581"/>
      <c r="GT581"/>
      <c r="GU581"/>
      <c r="GV581"/>
      <c r="GW581"/>
      <c r="GX581"/>
      <c r="GY581"/>
      <c r="GZ581"/>
      <c r="HA581"/>
      <c r="HB581"/>
      <c r="HC581"/>
      <c r="HD581"/>
      <c r="HE581"/>
      <c r="HF581"/>
      <c r="HG581"/>
      <c r="HH581"/>
      <c r="HI581"/>
      <c r="HJ581"/>
      <c r="HK581"/>
      <c r="HL581"/>
      <c r="HM581"/>
      <c r="HN581"/>
      <c r="HO581"/>
      <c r="HP581"/>
      <c r="HQ581"/>
      <c r="HR581"/>
      <c r="HS581"/>
      <c r="HT581"/>
      <c r="HU581"/>
      <c r="HV581"/>
      <c r="HW581"/>
      <c r="HX581"/>
      <c r="HY581"/>
      <c r="HZ581"/>
      <c r="IA581"/>
      <c r="IB581"/>
      <c r="IC581"/>
      <c r="ID581"/>
      <c r="IE581"/>
      <c r="IF581"/>
      <c r="IG581"/>
      <c r="IH581"/>
      <c r="II581"/>
      <c r="IJ581"/>
      <c r="IK581"/>
      <c r="IL581"/>
      <c r="IM581"/>
      <c r="IN581"/>
      <c r="IO581"/>
      <c r="IP581"/>
      <c r="IQ581"/>
      <c r="IR581"/>
      <c r="IS581"/>
      <c r="IT581"/>
      <c r="IU581"/>
      <c r="IV581"/>
      <c r="IW581"/>
      <c r="IX581"/>
      <c r="IY581"/>
      <c r="IZ581"/>
      <c r="JA581"/>
      <c r="JB581"/>
      <c r="JC581"/>
      <c r="JD581"/>
      <c r="JE581"/>
      <c r="JF581"/>
      <c r="JG581"/>
      <c r="JH581"/>
      <c r="JI581"/>
      <c r="JJ581"/>
      <c r="JK581"/>
      <c r="JL581"/>
      <c r="JM581"/>
      <c r="JN581"/>
    </row>
    <row r="582" spans="1:274" s="698" customFormat="1" ht="12.75" hidden="1" customHeight="1" outlineLevel="1" x14ac:dyDescent="0.2">
      <c r="A582" s="703" t="s">
        <v>1081</v>
      </c>
      <c r="B582" s="704"/>
      <c r="C582" s="704"/>
      <c r="D582" s="704"/>
      <c r="E582" s="704"/>
      <c r="F582" s="704"/>
      <c r="G582" s="704"/>
      <c r="H582" s="704"/>
      <c r="I582" s="704"/>
      <c r="J582" s="704"/>
      <c r="K582" s="704"/>
      <c r="L582" s="704"/>
      <c r="M582" s="704"/>
      <c r="N582" s="704"/>
      <c r="O582" s="704"/>
      <c r="P582" s="704"/>
      <c r="Q582" s="704"/>
      <c r="R582" s="704"/>
      <c r="S582" s="704"/>
      <c r="T582" s="704"/>
      <c r="U582" s="704"/>
      <c r="V582" s="704"/>
      <c r="W582" s="704"/>
      <c r="X582" s="704"/>
      <c r="Y582" s="704"/>
      <c r="Z582" s="704"/>
      <c r="AA582" s="704"/>
      <c r="AB582" s="704"/>
      <c r="AC582" s="704"/>
      <c r="AD582" s="704"/>
      <c r="AE582" s="704"/>
      <c r="AF582" s="704"/>
      <c r="AG582" s="704"/>
      <c r="AH582" s="704"/>
      <c r="AI582" s="704"/>
      <c r="AJ582" s="704"/>
      <c r="AK582" s="704"/>
      <c r="AL582" s="704"/>
      <c r="AM582" s="704"/>
      <c r="AN582" s="704"/>
      <c r="AO582" s="704"/>
      <c r="AP582" s="704"/>
      <c r="AQ582" s="704"/>
      <c r="AR582" s="704"/>
      <c r="AS582" s="704"/>
      <c r="AT582" s="704"/>
      <c r="AU582" s="704"/>
      <c r="AV582" s="704"/>
      <c r="AW582" s="704"/>
      <c r="AX582" s="704"/>
      <c r="AY582" s="704"/>
      <c r="AZ582" s="704"/>
      <c r="BA582" s="704"/>
      <c r="BB582" s="704"/>
      <c r="BC582" s="710"/>
      <c r="BD582" s="704"/>
      <c r="BE582" s="704"/>
      <c r="BF582" s="704"/>
      <c r="BG582" s="704"/>
      <c r="BH582" s="704"/>
      <c r="BI582" s="710"/>
      <c r="BJ582" s="704"/>
      <c r="BK582" s="704"/>
      <c r="BL582" s="704"/>
      <c r="BM582" s="704"/>
      <c r="BN582" s="704"/>
      <c r="BO582" s="710"/>
      <c r="BP582" s="704"/>
      <c r="BQ582" s="704"/>
      <c r="BR582" s="704"/>
      <c r="BS582" s="704"/>
      <c r="BT582" s="704"/>
      <c r="BU582" s="710"/>
      <c r="BV582" s="704"/>
      <c r="BW582" s="704"/>
      <c r="BX582" s="704"/>
      <c r="BY582" s="704"/>
      <c r="BZ582" s="704"/>
      <c r="CA582" s="710"/>
      <c r="CB582" s="704"/>
      <c r="CC582" s="704"/>
      <c r="CD582" s="704"/>
      <c r="CE582" s="704"/>
      <c r="CF582" s="704"/>
      <c r="CG582" s="710"/>
      <c r="CH582" s="704"/>
      <c r="CI582" s="704"/>
      <c r="CJ582" s="704"/>
      <c r="CK582" s="704"/>
      <c r="CL582" s="704"/>
      <c r="CM582" s="710"/>
      <c r="CN582" s="704"/>
      <c r="CO582" s="704"/>
      <c r="CP582" s="704"/>
      <c r="CQ582" s="704"/>
      <c r="CR582" s="704"/>
      <c r="CS582" s="710"/>
      <c r="CT582" s="704"/>
      <c r="CU582" s="704"/>
      <c r="CV582" s="704"/>
      <c r="CW582" s="1138"/>
      <c r="CX582" s="1134"/>
      <c r="CY582" s="1084"/>
      <c r="CZ582" s="1156"/>
      <c r="DA582" s="1165"/>
      <c r="DB582" s="1134"/>
      <c r="DC582" s="70"/>
      <c r="DD582" s="70"/>
      <c r="DE582" s="725">
        <f>DE581/DE579</f>
        <v>0.34927234927234929</v>
      </c>
      <c r="DF582" s="704"/>
      <c r="DG582" s="70">
        <f>DG581/DG579</f>
        <v>0.38828880045480385</v>
      </c>
      <c r="DH582" s="70">
        <f>DH581/DH579</f>
        <v>0.38820912124582868</v>
      </c>
      <c r="DI582" s="70">
        <f>DI581/DI579</f>
        <v>0.41336487285629803</v>
      </c>
      <c r="DJ582" s="70">
        <f>DJ581/DJ579</f>
        <v>0.41757049891540132</v>
      </c>
      <c r="DK582" s="725">
        <f>DK581/DK579</f>
        <v>0.40186125211505924</v>
      </c>
      <c r="DL582" s="704"/>
      <c r="DM582" s="70">
        <f>DM581/DM579</f>
        <v>0.4</v>
      </c>
      <c r="DN582" s="70">
        <f>DN581/DN579</f>
        <v>0.3780718336483932</v>
      </c>
      <c r="DO582" s="70">
        <f>DO581/DO579</f>
        <v>0.37660581473968896</v>
      </c>
      <c r="DP582" s="70">
        <f>DP581/DP579</f>
        <v>0.38203668564199872</v>
      </c>
      <c r="DQ582" s="725">
        <f>DQ581/DQ579</f>
        <v>0.38455464308275428</v>
      </c>
      <c r="DR582" s="704"/>
      <c r="DS582" s="70">
        <f>DS581/DS579</f>
        <v>0.39941046425939575</v>
      </c>
      <c r="DT582" s="70">
        <f>DT581/DT579</f>
        <v>0.39501510574018128</v>
      </c>
      <c r="DU582" s="70">
        <f>DU581/DU579</f>
        <v>0.39018503620273531</v>
      </c>
      <c r="DV582" s="70">
        <f>DV581/DV579</f>
        <v>0.39693593314763231</v>
      </c>
      <c r="DW582" s="725">
        <f>DW581/DW579</f>
        <v>0.39552238805970147</v>
      </c>
      <c r="DX582" s="704"/>
      <c r="DY582" s="70">
        <f>DY581/DY579</f>
        <v>0.4099526066350711</v>
      </c>
      <c r="DZ582" s="70">
        <f>DZ581/DZ579</f>
        <v>0.38432554634513943</v>
      </c>
      <c r="EA582" s="70">
        <f>EA581/EA579</f>
        <v>0.39622641509433965</v>
      </c>
      <c r="EB582" s="70">
        <f>EB581/EB579</f>
        <v>0.38976109215017063</v>
      </c>
      <c r="EC582" s="725">
        <f>EC581/EC579</f>
        <v>0.39476128552851569</v>
      </c>
      <c r="ED582" s="704"/>
      <c r="EE582" s="70">
        <f>EE581/EE579</f>
        <v>0.41509433962264153</v>
      </c>
      <c r="EF582" s="70">
        <f>EF581/EF579</f>
        <v>0.40194610778443113</v>
      </c>
      <c r="EG582" s="70">
        <f>EG581/EG579</f>
        <v>0.39538461538461539</v>
      </c>
      <c r="EH582" s="70">
        <f>EH581/EH579</f>
        <v>0.39943141435678747</v>
      </c>
      <c r="EI582" s="725">
        <f>EI581/EI579</f>
        <v>0.40257247072374736</v>
      </c>
      <c r="EJ582" s="704"/>
      <c r="EK582" s="70">
        <f>EK581/EK579</f>
        <v>0.40035429583702392</v>
      </c>
      <c r="EL582" s="70">
        <f>EL581/EL579</f>
        <v>0.371326803205699</v>
      </c>
      <c r="EM582" s="70">
        <f>EM581/EM579</f>
        <v>0.38414096916299562</v>
      </c>
      <c r="EN582" s="70">
        <f>EN581/EN579</f>
        <v>0.37831513260530419</v>
      </c>
      <c r="EO582" s="725">
        <f>EO581/EO579</f>
        <v>0.38337973870207753</v>
      </c>
      <c r="EP582" s="704"/>
      <c r="EQ582" s="70">
        <f>EQ581/EQ579</f>
        <v>0.41365461847389556</v>
      </c>
      <c r="ER582" s="70">
        <f>ER581/ER579</f>
        <v>0.42800788954635111</v>
      </c>
      <c r="ES582" s="70">
        <f>ES581/ES579</f>
        <v>0.39396887159533073</v>
      </c>
      <c r="ET582" s="70">
        <f>ET581/ET579</f>
        <v>0.4111310592459605</v>
      </c>
      <c r="EU582" s="725">
        <f>EU581/EU579</f>
        <v>0.41160886319845857</v>
      </c>
      <c r="EV582" s="704"/>
      <c r="EW582" s="70">
        <f>EW581/EW579</f>
        <v>0.43160127253446445</v>
      </c>
      <c r="EX582" s="704"/>
      <c r="EY582" s="704"/>
      <c r="EZ582" s="704"/>
      <c r="FA582" s="706"/>
      <c r="FB582" s="704"/>
      <c r="FC582" s="704"/>
      <c r="FD582" s="704"/>
      <c r="FE582" s="704"/>
      <c r="FF582" s="704"/>
      <c r="FG582" s="706"/>
      <c r="FH582" s="704"/>
      <c r="FI582" s="704"/>
      <c r="FJ582" s="704"/>
      <c r="FK582" s="704"/>
      <c r="FL582" s="704"/>
      <c r="FM582" s="706"/>
      <c r="FQ582"/>
      <c r="FR582"/>
      <c r="FS582"/>
      <c r="FT582"/>
      <c r="FU582"/>
      <c r="FV582"/>
      <c r="GB582" s="24"/>
      <c r="GC582" s="24"/>
      <c r="GD582" s="24"/>
      <c r="GE582" s="24"/>
      <c r="GF582" s="24"/>
      <c r="GG582" s="24"/>
      <c r="GH582" s="24"/>
      <c r="GI582" s="24"/>
      <c r="GJ582"/>
      <c r="GK582"/>
      <c r="GL582"/>
      <c r="GM582"/>
      <c r="GN582"/>
      <c r="GO582"/>
      <c r="GP582"/>
      <c r="GQ582"/>
      <c r="GR582"/>
      <c r="GS582"/>
      <c r="GT582"/>
      <c r="GU582"/>
      <c r="GV582"/>
      <c r="GW582"/>
      <c r="GX582"/>
      <c r="GY582"/>
      <c r="GZ582"/>
      <c r="HA582"/>
      <c r="HB582"/>
      <c r="HC582"/>
      <c r="HD582"/>
      <c r="HE582"/>
      <c r="HF582"/>
      <c r="HG582"/>
      <c r="HH582"/>
      <c r="HI582"/>
      <c r="HJ582"/>
      <c r="HK582"/>
      <c r="HL582"/>
      <c r="HM582"/>
      <c r="HN582"/>
      <c r="HO582"/>
      <c r="HP582"/>
      <c r="HQ582"/>
      <c r="HR582"/>
      <c r="HS582"/>
      <c r="HT582"/>
      <c r="HU582"/>
      <c r="HV582"/>
      <c r="HW582"/>
      <c r="HX582"/>
      <c r="HY582"/>
      <c r="HZ582"/>
      <c r="IA582"/>
      <c r="IB582"/>
      <c r="IC582"/>
      <c r="ID582"/>
      <c r="IE582"/>
      <c r="IF582"/>
      <c r="IG582"/>
      <c r="IH582"/>
      <c r="II582"/>
      <c r="IJ582"/>
      <c r="IK582"/>
      <c r="IL582"/>
      <c r="IM582"/>
      <c r="IN582"/>
      <c r="IO582"/>
      <c r="IP582"/>
      <c r="IQ582"/>
      <c r="IR582"/>
      <c r="IS582"/>
      <c r="IT582"/>
      <c r="IU582"/>
      <c r="IV582"/>
      <c r="IW582"/>
      <c r="IX582"/>
      <c r="IY582"/>
      <c r="IZ582"/>
      <c r="JA582"/>
      <c r="JB582"/>
      <c r="JC582"/>
      <c r="JD582"/>
      <c r="JE582"/>
      <c r="JF582"/>
      <c r="JG582"/>
      <c r="JH582"/>
      <c r="JI582"/>
      <c r="JJ582"/>
      <c r="JK582"/>
      <c r="JL582"/>
      <c r="JM582"/>
      <c r="JN582"/>
    </row>
    <row r="583" spans="1:274" s="1658" customFormat="1" ht="12.75" hidden="1" customHeight="1" outlineLevel="1" x14ac:dyDescent="0.2">
      <c r="A583" s="1657"/>
      <c r="B583" s="697"/>
      <c r="BC583" s="1659"/>
      <c r="BI583" s="1659"/>
      <c r="BO583" s="1659"/>
      <c r="BU583" s="1659"/>
      <c r="CA583" s="1659"/>
      <c r="CG583" s="1659"/>
      <c r="CM583" s="1659"/>
      <c r="CS583" s="1659"/>
      <c r="CW583" s="1660"/>
      <c r="CX583" s="1660"/>
      <c r="CY583" s="1661"/>
      <c r="DA583" s="1660"/>
      <c r="DB583" s="1660"/>
      <c r="DC583" s="1662"/>
      <c r="DD583" s="1662"/>
      <c r="DE583" s="1663"/>
      <c r="DG583" s="1662"/>
      <c r="DH583" s="1662"/>
      <c r="DI583" s="1662"/>
      <c r="DJ583" s="1662"/>
      <c r="DK583" s="1663"/>
      <c r="DM583" s="1662"/>
      <c r="DN583" s="1662"/>
      <c r="DO583" s="1662"/>
      <c r="DP583" s="1662"/>
      <c r="DQ583" s="1663"/>
      <c r="DS583" s="1662"/>
      <c r="DT583" s="1662"/>
      <c r="DU583" s="1662"/>
      <c r="DV583" s="1662"/>
      <c r="DW583" s="1663"/>
      <c r="DY583" s="1662"/>
      <c r="DZ583" s="1662"/>
      <c r="EA583" s="1662"/>
      <c r="EB583" s="1662"/>
      <c r="EC583" s="1663"/>
      <c r="EE583" s="1662"/>
      <c r="EH583" s="1662"/>
      <c r="EI583" s="1663"/>
      <c r="EK583" s="1662"/>
      <c r="EL583" s="1807">
        <f>EL579/EF579-1</f>
        <v>-0.15943113772455086</v>
      </c>
      <c r="EM583" s="1658">
        <f>EM579/EG579-1</f>
        <v>-0.12692307692307692</v>
      </c>
      <c r="EN583" s="1662"/>
      <c r="EO583" s="1663"/>
      <c r="EQ583" s="1662"/>
      <c r="ER583" s="1807">
        <f>ER579/EL579-1</f>
        <v>-9.7061442564559175E-2</v>
      </c>
      <c r="ES583" s="1658">
        <f>ES579/EM579-1</f>
        <v>-9.4273127753303987E-2</v>
      </c>
      <c r="EU583" s="1663"/>
      <c r="FA583" s="1664"/>
      <c r="FG583" s="1664"/>
      <c r="FM583" s="1664"/>
      <c r="FQ583"/>
      <c r="FR583"/>
      <c r="FS583"/>
      <c r="FT583"/>
      <c r="FU583"/>
      <c r="FV583"/>
      <c r="GB583" s="1523"/>
      <c r="GC583" s="1523"/>
      <c r="GD583" s="1523"/>
      <c r="GE583" s="1523"/>
      <c r="GF583" s="1523"/>
      <c r="GG583" s="1523"/>
      <c r="GH583" s="1523"/>
      <c r="GI583" s="1523"/>
      <c r="GJ583" s="1522"/>
      <c r="GK583" s="1522"/>
      <c r="GL583" s="1522"/>
      <c r="GM583" s="1522"/>
      <c r="GN583" s="1522"/>
      <c r="GO583" s="1522"/>
      <c r="GP583" s="1522"/>
      <c r="GQ583" s="1522"/>
      <c r="GR583" s="1522"/>
      <c r="GS583" s="1522"/>
      <c r="GT583" s="1522"/>
      <c r="GU583" s="1522"/>
      <c r="GV583" s="1522"/>
      <c r="GW583" s="1522"/>
      <c r="GX583" s="1522"/>
      <c r="GY583" s="1522"/>
      <c r="GZ583" s="1522"/>
      <c r="HA583" s="1522"/>
      <c r="HB583" s="1522"/>
      <c r="HC583" s="1522"/>
      <c r="HD583" s="1522"/>
      <c r="HE583" s="1522"/>
      <c r="HF583" s="1522"/>
      <c r="HG583" s="1522"/>
      <c r="HH583" s="1522"/>
      <c r="HI583" s="1522"/>
      <c r="HJ583" s="1522"/>
      <c r="HK583" s="1522"/>
      <c r="HL583" s="1522"/>
      <c r="HM583" s="1522"/>
      <c r="HN583" s="1522"/>
      <c r="HO583" s="1522"/>
      <c r="HP583" s="1522"/>
      <c r="HQ583" s="1522"/>
      <c r="HR583" s="1522"/>
      <c r="HS583" s="1522"/>
      <c r="HT583" s="1522"/>
      <c r="HU583" s="1522"/>
      <c r="HV583" s="1522"/>
      <c r="HW583" s="1522"/>
      <c r="HX583" s="1522"/>
      <c r="HY583" s="1522"/>
      <c r="HZ583" s="1522"/>
      <c r="IA583" s="1522"/>
      <c r="IB583" s="1522"/>
      <c r="IC583" s="1522"/>
      <c r="ID583" s="1522"/>
      <c r="IE583" s="1522"/>
      <c r="IF583" s="1522"/>
      <c r="IG583" s="1522"/>
      <c r="IH583" s="1522"/>
      <c r="II583" s="1522"/>
      <c r="IJ583" s="1522"/>
      <c r="IK583" s="1522"/>
      <c r="IL583" s="1522"/>
      <c r="IM583" s="1522"/>
      <c r="IN583" s="1522"/>
      <c r="IO583" s="1522"/>
      <c r="IP583" s="1522"/>
      <c r="IQ583" s="1522"/>
      <c r="IR583" s="1522"/>
      <c r="IS583" s="1522"/>
      <c r="IT583" s="1522"/>
      <c r="IU583" s="1522"/>
      <c r="IV583" s="1522"/>
      <c r="IW583" s="1522"/>
      <c r="IX583" s="1522"/>
      <c r="IY583" s="1522"/>
      <c r="IZ583" s="1522"/>
      <c r="JA583" s="1522"/>
      <c r="JB583" s="1522"/>
      <c r="JC583" s="1522"/>
      <c r="JD583" s="1522"/>
      <c r="JE583" s="1522"/>
      <c r="JF583" s="1522"/>
      <c r="JG583" s="1522"/>
      <c r="JH583" s="1522"/>
      <c r="JI583" s="1522"/>
      <c r="JJ583" s="1522"/>
      <c r="JK583" s="1522"/>
      <c r="JL583" s="1522"/>
      <c r="JM583" s="1522"/>
      <c r="JN583" s="1522"/>
    </row>
    <row r="584" spans="1:274" s="698" customFormat="1" ht="12.75" hidden="1" customHeight="1" outlineLevel="1" x14ac:dyDescent="0.2">
      <c r="A584" s="696" t="s">
        <v>1133</v>
      </c>
      <c r="B584" s="697"/>
      <c r="BC584" s="708"/>
      <c r="BI584" s="708"/>
      <c r="BO584" s="708"/>
      <c r="BS584" s="1179"/>
      <c r="BT584" s="1179"/>
      <c r="BU584" s="708"/>
      <c r="BW584" s="1179"/>
      <c r="BX584" s="1179"/>
      <c r="BY584" s="1179"/>
      <c r="BZ584" s="1179"/>
      <c r="CA584" s="708"/>
      <c r="CC584" s="1179"/>
      <c r="CD584" s="1179"/>
      <c r="CE584" s="1179"/>
      <c r="CF584" s="1179"/>
      <c r="CG584" s="708"/>
      <c r="CI584" s="1179"/>
      <c r="CJ584" s="1179"/>
      <c r="CK584" s="1179"/>
      <c r="CL584" s="1179"/>
      <c r="CM584" s="708"/>
      <c r="CO584" s="1179"/>
      <c r="CP584" s="1179"/>
      <c r="CQ584" s="1179"/>
      <c r="CR584" s="1179"/>
      <c r="CS584" s="708"/>
      <c r="CU584" s="1179"/>
      <c r="CV584" s="1179"/>
      <c r="CW584" s="1179"/>
      <c r="CX584" s="1179"/>
      <c r="CY584" s="708"/>
      <c r="DA584" s="1179"/>
      <c r="DB584" s="1179"/>
      <c r="DC584" s="1179"/>
      <c r="DD584" s="1181">
        <f>DD576-CX576</f>
        <v>0</v>
      </c>
      <c r="DE584" s="708"/>
      <c r="DG584" s="1179"/>
      <c r="DH584" s="1179"/>
      <c r="DI584" s="1179"/>
      <c r="DJ584" s="1181">
        <f>DJ576-DD576</f>
        <v>3.5459192308994192E-3</v>
      </c>
      <c r="DK584" s="708"/>
      <c r="DM584" s="1179"/>
      <c r="DN584" s="1179"/>
      <c r="DO584" s="1179"/>
      <c r="DP584" s="1181">
        <f>DP576-DJ576</f>
        <v>4.1005189313857437E-2</v>
      </c>
      <c r="DQ584" s="708"/>
      <c r="DS584" s="1181">
        <f>DS576-DM576</f>
        <v>4.6122035614819867E-2</v>
      </c>
      <c r="DT584" s="1181">
        <f>DT576-DN576</f>
        <v>1.4896005988344174E-2</v>
      </c>
      <c r="DU584" s="1181">
        <f>DU576-DO576</f>
        <v>3.7785165654018127E-2</v>
      </c>
      <c r="DV584" s="1181">
        <f>DV576-DP576</f>
        <v>3.3882889605361344E-2</v>
      </c>
      <c r="DW584" s="708"/>
      <c r="DY584" s="1181">
        <f>DY576-DS576</f>
        <v>3.1828693641216432E-2</v>
      </c>
      <c r="DZ584" s="1181">
        <f>DZ576-DT576</f>
        <v>4.1850305527137976E-2</v>
      </c>
      <c r="EA584" s="1181">
        <f>EA576-DU576</f>
        <v>3.5466200466200415E-2</v>
      </c>
      <c r="EB584" s="1181">
        <f>EB576-DV576</f>
        <v>3.1175183127448713E-2</v>
      </c>
      <c r="EC584" s="1656">
        <f>EC576-DW576</f>
        <v>3.5090497580024138E-2</v>
      </c>
      <c r="EE584" s="1181">
        <f>EE576-DY576</f>
        <v>2.3758247017399925E-2</v>
      </c>
      <c r="EF584" s="1181">
        <f>EF576-DZ576</f>
        <v>-4.8359849992225534E-3</v>
      </c>
      <c r="EG584" s="1181">
        <f>EG576-EA576</f>
        <v>-2.377551020408164E-2</v>
      </c>
      <c r="EH584" s="1181">
        <f>EH576-EB576</f>
        <v>2.438053311264865E-2</v>
      </c>
      <c r="EI584" s="1656">
        <f>EI576-EC576</f>
        <v>4.7552510435168172E-3</v>
      </c>
      <c r="EK584" s="1181">
        <f>EK576-EE576</f>
        <v>5.2328623757195158E-3</v>
      </c>
      <c r="EL584" s="1181">
        <f>EL576-EF576</f>
        <v>3.5620502276398902E-2</v>
      </c>
      <c r="EM584" s="1181">
        <f>EM576-EG576</f>
        <v>4.4707713593912124E-2</v>
      </c>
      <c r="EN584" s="1181">
        <f>EN576-EH576</f>
        <v>1.7072250518770038E-2</v>
      </c>
      <c r="EO584" s="1656">
        <f>EO576-EI576</f>
        <v>2.5891826614799274E-2</v>
      </c>
      <c r="EQ584" s="1181">
        <f>EQ576-EK576</f>
        <v>4.3647363872083011E-2</v>
      </c>
      <c r="ER584" s="1181">
        <f>ER576-EL576</f>
        <v>3.6711798839458409E-2</v>
      </c>
      <c r="ES584" s="1181">
        <f>ES576-EM576</f>
        <v>3.5143912095733865E-2</v>
      </c>
      <c r="ET584" s="1181"/>
      <c r="EU584" s="1656"/>
      <c r="EW584" s="1181"/>
      <c r="FA584" s="699"/>
      <c r="FG584" s="699"/>
      <c r="FM584" s="699"/>
      <c r="FQ584"/>
      <c r="FR584"/>
      <c r="FS584"/>
      <c r="FT584"/>
      <c r="FU584"/>
      <c r="FV584"/>
      <c r="GB584" s="24"/>
      <c r="GC584" s="24"/>
      <c r="GD584" s="24"/>
      <c r="GE584" s="24"/>
      <c r="GF584" s="24"/>
      <c r="GG584" s="24"/>
      <c r="GH584" s="24"/>
      <c r="GI584" s="24"/>
      <c r="GJ584"/>
      <c r="GK584"/>
      <c r="GL584"/>
      <c r="GM584"/>
      <c r="GN584"/>
      <c r="GO584"/>
      <c r="GP584"/>
      <c r="GQ584"/>
      <c r="GR584"/>
      <c r="GS584"/>
      <c r="GT584"/>
      <c r="GU584"/>
      <c r="GV584"/>
      <c r="GW584"/>
      <c r="GX584"/>
      <c r="GY584"/>
      <c r="GZ584"/>
      <c r="HA584"/>
      <c r="HB584"/>
      <c r="HC584"/>
      <c r="HD584"/>
      <c r="HE584"/>
      <c r="HF584"/>
      <c r="HG584"/>
      <c r="HH584"/>
      <c r="HI584"/>
      <c r="HJ584"/>
      <c r="HK584"/>
      <c r="HL584"/>
      <c r="HM584"/>
      <c r="HN584"/>
      <c r="HO584"/>
      <c r="HP584"/>
      <c r="HQ584"/>
      <c r="HR584"/>
      <c r="HS584"/>
      <c r="HT584"/>
      <c r="HU584"/>
      <c r="HV584"/>
      <c r="HW584"/>
      <c r="HX584"/>
      <c r="HY584"/>
      <c r="HZ584"/>
      <c r="IA584"/>
      <c r="IB584"/>
      <c r="IC584"/>
      <c r="ID584"/>
      <c r="IE584"/>
      <c r="IF584"/>
      <c r="IG584"/>
      <c r="IH584"/>
      <c r="II584"/>
      <c r="IJ584"/>
      <c r="IK584"/>
      <c r="IL584"/>
      <c r="IM584"/>
      <c r="IN584"/>
      <c r="IO584"/>
      <c r="IP584"/>
      <c r="IQ584"/>
      <c r="IR584"/>
      <c r="IS584"/>
      <c r="IT584"/>
      <c r="IU584"/>
      <c r="IV584"/>
      <c r="IW584"/>
      <c r="IX584"/>
      <c r="IY584"/>
      <c r="IZ584"/>
      <c r="JA584"/>
      <c r="JB584"/>
      <c r="JC584"/>
      <c r="JD584"/>
      <c r="JE584"/>
      <c r="JF584"/>
      <c r="JG584"/>
      <c r="JH584"/>
      <c r="JI584"/>
      <c r="JJ584"/>
      <c r="JK584"/>
      <c r="JL584"/>
      <c r="JM584"/>
      <c r="JN584"/>
    </row>
    <row r="585" spans="1:274" s="698" customFormat="1" ht="12.75" hidden="1" customHeight="1" outlineLevel="1" x14ac:dyDescent="0.2">
      <c r="A585" s="702" t="s">
        <v>1078</v>
      </c>
      <c r="B585" s="697"/>
      <c r="AZ585" s="698">
        <v>553.69799999999998</v>
      </c>
      <c r="BA585" s="698">
        <v>540.37199999999996</v>
      </c>
      <c r="BC585" s="606">
        <v>2256</v>
      </c>
      <c r="BE585" s="457">
        <v>520</v>
      </c>
      <c r="BF585" s="457">
        <v>507</v>
      </c>
      <c r="BG585" s="457">
        <v>456</v>
      </c>
      <c r="BH585" s="457">
        <f>BI585-BG585-BF585-BE585</f>
        <v>484</v>
      </c>
      <c r="BI585" s="606">
        <v>1967</v>
      </c>
      <c r="BJ585" s="457"/>
      <c r="BK585" s="457">
        <v>430</v>
      </c>
      <c r="BL585" s="457">
        <v>453</v>
      </c>
      <c r="BM585" s="457">
        <v>429</v>
      </c>
      <c r="BN585" s="457">
        <f>BO585-BM585-BL585-BK585</f>
        <v>440</v>
      </c>
      <c r="BO585" s="606">
        <v>1752</v>
      </c>
      <c r="BP585" s="457"/>
      <c r="BQ585" s="457">
        <v>394</v>
      </c>
      <c r="BR585" s="457">
        <v>395</v>
      </c>
      <c r="BS585" s="457">
        <v>373</v>
      </c>
      <c r="BT585" s="457">
        <f>BU585-BS585-BR585-BQ585</f>
        <v>420</v>
      </c>
      <c r="BU585" s="606">
        <v>1582</v>
      </c>
      <c r="BW585" s="457">
        <v>353</v>
      </c>
      <c r="BX585" s="457">
        <v>393</v>
      </c>
      <c r="BY585" s="457">
        <v>468</v>
      </c>
      <c r="BZ585" s="457">
        <f>CA585-BY585-BX585-BW585</f>
        <v>582</v>
      </c>
      <c r="CA585" s="606">
        <v>1796</v>
      </c>
      <c r="CC585" s="457">
        <v>480</v>
      </c>
      <c r="CD585" s="457">
        <v>505</v>
      </c>
      <c r="CE585" s="457">
        <v>500</v>
      </c>
      <c r="CF585" s="457">
        <f>CG585-CE585-CD585-CC585</f>
        <v>628</v>
      </c>
      <c r="CG585" s="606">
        <v>2113</v>
      </c>
      <c r="CI585" s="457">
        <v>636</v>
      </c>
      <c r="CJ585" s="457">
        <v>711</v>
      </c>
      <c r="CK585" s="457">
        <v>690</v>
      </c>
      <c r="CL585" s="457">
        <f>CM585-CK585-CJ585-CI585</f>
        <v>814</v>
      </c>
      <c r="CM585" s="606">
        <v>2851</v>
      </c>
      <c r="CO585" s="457">
        <v>796</v>
      </c>
      <c r="CP585" s="457">
        <v>871</v>
      </c>
      <c r="CQ585" s="457">
        <v>837</v>
      </c>
      <c r="CR585" s="457">
        <f>CS585-CQ585-CP585-CO585</f>
        <v>950</v>
      </c>
      <c r="CS585" s="606">
        <v>3454</v>
      </c>
      <c r="CU585" s="33">
        <v>858</v>
      </c>
      <c r="CV585" s="33">
        <v>836</v>
      </c>
      <c r="CW585" s="33">
        <v>754</v>
      </c>
      <c r="CX585" s="33">
        <f>CY585-CW585-CV585-CU585</f>
        <v>773</v>
      </c>
      <c r="CY585" s="606">
        <v>3221</v>
      </c>
      <c r="DA585" s="243">
        <v>659</v>
      </c>
      <c r="DB585" s="33">
        <v>689</v>
      </c>
      <c r="DC585" s="33">
        <v>648</v>
      </c>
      <c r="DD585" s="33">
        <f>DE585-DC585-DB585-DA585</f>
        <v>709</v>
      </c>
      <c r="DE585" s="606">
        <v>2705</v>
      </c>
      <c r="DG585" s="33">
        <v>663</v>
      </c>
      <c r="DH585" s="243">
        <v>735</v>
      </c>
      <c r="DI585" s="33">
        <v>719</v>
      </c>
      <c r="DJ585" s="33">
        <f>DK585-DI585-DH585-DG585</f>
        <v>784</v>
      </c>
      <c r="DK585" s="606">
        <v>2901</v>
      </c>
      <c r="DM585" s="33">
        <v>1185</v>
      </c>
      <c r="DN585" s="33">
        <v>1184</v>
      </c>
      <c r="DO585" s="33">
        <v>1145</v>
      </c>
      <c r="DP585" s="33">
        <f>DQ585-DO585-DN585-DM585</f>
        <v>1207</v>
      </c>
      <c r="DQ585" s="606">
        <v>4721</v>
      </c>
      <c r="DS585" s="33">
        <v>1118</v>
      </c>
      <c r="DT585" s="33">
        <v>1127</v>
      </c>
      <c r="DU585" s="33">
        <v>1049</v>
      </c>
      <c r="DV585" s="33">
        <f>DW585-DU585-DT585-DS585</f>
        <v>1093</v>
      </c>
      <c r="DW585" s="606">
        <v>4387</v>
      </c>
      <c r="DY585" s="33">
        <v>921</v>
      </c>
      <c r="DZ585" s="33">
        <v>964</v>
      </c>
      <c r="EA585" s="33">
        <v>886</v>
      </c>
      <c r="EB585" s="33">
        <f>EC585-EA585-DZ585-DY585</f>
        <v>1401</v>
      </c>
      <c r="EC585" s="606">
        <f>3716+EC591</f>
        <v>4172</v>
      </c>
      <c r="EE585" s="33">
        <v>857</v>
      </c>
      <c r="EF585" s="33">
        <v>937</v>
      </c>
      <c r="EG585" s="698">
        <v>859</v>
      </c>
      <c r="EH585" s="33">
        <f>EI585-SUM(EE585:EG585)</f>
        <v>900</v>
      </c>
      <c r="EI585" s="606">
        <f>EI711</f>
        <v>3553</v>
      </c>
      <c r="EK585" s="33">
        <v>862</v>
      </c>
      <c r="EL585" s="33">
        <v>862</v>
      </c>
      <c r="EM585" s="698">
        <v>793</v>
      </c>
      <c r="EN585" s="33">
        <f>EO585-SUM(EK585:EM585)</f>
        <v>874</v>
      </c>
      <c r="EO585" s="606">
        <f>EO711</f>
        <v>3391</v>
      </c>
      <c r="EQ585" s="33">
        <v>808</v>
      </c>
      <c r="ER585" s="33">
        <v>844</v>
      </c>
      <c r="ES585" s="33">
        <v>812</v>
      </c>
      <c r="ET585" s="33">
        <f>EU585-SUM(EQ585:ES585)</f>
        <v>894</v>
      </c>
      <c r="EU585" s="606">
        <f>EU711</f>
        <v>3358</v>
      </c>
      <c r="EW585" s="33">
        <v>860</v>
      </c>
      <c r="FA585" s="699"/>
      <c r="FG585" s="699"/>
      <c r="FM585" s="699"/>
      <c r="FO585" s="457"/>
      <c r="FQ585"/>
      <c r="FR585"/>
      <c r="FS585"/>
      <c r="FT585"/>
      <c r="FU585"/>
      <c r="FV585"/>
      <c r="GB585" s="24"/>
      <c r="GC585" s="24"/>
      <c r="GD585" s="24"/>
      <c r="GE585" s="24"/>
      <c r="GF585" s="24"/>
      <c r="GG585" s="24"/>
      <c r="GH585" s="24"/>
      <c r="GI585" s="24"/>
      <c r="GJ585"/>
      <c r="GK585"/>
      <c r="GL585"/>
      <c r="GM585"/>
      <c r="GN585"/>
      <c r="GO585"/>
      <c r="GP585"/>
      <c r="GQ585"/>
      <c r="GR585"/>
      <c r="GS585"/>
      <c r="GT585"/>
      <c r="GU585"/>
      <c r="GV585"/>
      <c r="GW585"/>
      <c r="GX585"/>
      <c r="GY585"/>
      <c r="GZ585"/>
      <c r="HA585"/>
      <c r="HB585"/>
      <c r="HC585"/>
      <c r="HD585"/>
      <c r="HE585"/>
      <c r="HF585"/>
      <c r="HG585"/>
      <c r="HH585"/>
      <c r="HI585"/>
      <c r="HJ585"/>
      <c r="HK585"/>
      <c r="HL585"/>
      <c r="HM585"/>
      <c r="HN585"/>
      <c r="HO585"/>
      <c r="HP585"/>
      <c r="HQ585"/>
      <c r="HR585"/>
      <c r="HS585"/>
      <c r="HT585"/>
      <c r="HU585"/>
      <c r="HV585"/>
      <c r="HW585"/>
      <c r="HX585"/>
      <c r="HY585"/>
      <c r="HZ585"/>
      <c r="IA585"/>
      <c r="IB585"/>
      <c r="IC585"/>
      <c r="ID585"/>
      <c r="IE585"/>
      <c r="IF585"/>
      <c r="IG585"/>
      <c r="IH585"/>
      <c r="II585"/>
      <c r="IJ585"/>
      <c r="IK585"/>
      <c r="IL585"/>
      <c r="IM585"/>
      <c r="IN585"/>
      <c r="IO585"/>
      <c r="IP585"/>
      <c r="IQ585"/>
      <c r="IR585"/>
      <c r="IS585"/>
      <c r="IT585"/>
      <c r="IU585"/>
      <c r="IV585"/>
      <c r="IW585"/>
      <c r="IX585"/>
      <c r="IY585"/>
      <c r="IZ585"/>
      <c r="JA585"/>
      <c r="JB585"/>
      <c r="JC585"/>
      <c r="JD585"/>
      <c r="JE585"/>
      <c r="JF585"/>
      <c r="JG585"/>
      <c r="JH585"/>
      <c r="JI585"/>
      <c r="JJ585"/>
      <c r="JK585"/>
      <c r="JL585"/>
      <c r="JM585"/>
      <c r="JN585"/>
    </row>
    <row r="586" spans="1:274" s="698" customFormat="1" ht="12.75" hidden="1" customHeight="1" outlineLevel="1" x14ac:dyDescent="0.2">
      <c r="A586" s="702" t="s">
        <v>1084</v>
      </c>
      <c r="B586" s="697"/>
      <c r="AZ586" s="698">
        <v>427.21699999999998</v>
      </c>
      <c r="BA586" s="698">
        <v>432.49599999999998</v>
      </c>
      <c r="BC586" s="606">
        <v>1784</v>
      </c>
      <c r="BE586" s="457">
        <v>388</v>
      </c>
      <c r="BF586" s="457">
        <v>389</v>
      </c>
      <c r="BG586" s="457">
        <v>340</v>
      </c>
      <c r="BH586" s="457">
        <f>BI586-BG586-BF586-BE586</f>
        <v>344</v>
      </c>
      <c r="BI586" s="606">
        <v>1461</v>
      </c>
      <c r="BJ586" s="457"/>
      <c r="BK586" s="457">
        <v>363</v>
      </c>
      <c r="BL586" s="457">
        <v>360</v>
      </c>
      <c r="BM586" s="457">
        <v>343</v>
      </c>
      <c r="BN586" s="457">
        <f>BO586-BM586-BL586-BK586</f>
        <v>347</v>
      </c>
      <c r="BO586" s="606">
        <v>1413</v>
      </c>
      <c r="BP586" s="457"/>
      <c r="BQ586" s="457">
        <v>332</v>
      </c>
      <c r="BR586" s="457">
        <v>322</v>
      </c>
      <c r="BS586" s="457">
        <v>321</v>
      </c>
      <c r="BT586" s="457">
        <f>BU586-BS586-BR586-BQ586</f>
        <v>314</v>
      </c>
      <c r="BU586" s="606">
        <v>1289</v>
      </c>
      <c r="BW586" s="457">
        <v>308</v>
      </c>
      <c r="BX586" s="457">
        <v>317</v>
      </c>
      <c r="BY586" s="457">
        <v>404</v>
      </c>
      <c r="BZ586" s="457">
        <f>CA586-BY586-BX586-BW586</f>
        <v>442</v>
      </c>
      <c r="CA586" s="606">
        <v>1471</v>
      </c>
      <c r="CC586" s="457">
        <v>412</v>
      </c>
      <c r="CD586" s="457">
        <v>424</v>
      </c>
      <c r="CE586" s="457">
        <v>434</v>
      </c>
      <c r="CF586" s="457">
        <f>CG586-CE586-CD586-CC586</f>
        <v>517</v>
      </c>
      <c r="CG586" s="606">
        <v>1787</v>
      </c>
      <c r="CI586" s="457">
        <v>553</v>
      </c>
      <c r="CJ586" s="457">
        <v>585</v>
      </c>
      <c r="CK586" s="457">
        <v>587</v>
      </c>
      <c r="CL586" s="457">
        <f>CM586-CK586-CJ586-CI586</f>
        <v>659</v>
      </c>
      <c r="CM586" s="606">
        <v>2384</v>
      </c>
      <c r="CO586" s="457">
        <v>674</v>
      </c>
      <c r="CP586" s="457">
        <v>723</v>
      </c>
      <c r="CQ586" s="457">
        <v>727</v>
      </c>
      <c r="CR586" s="457">
        <f>CS586-CQ586-CP586-CO586</f>
        <v>790</v>
      </c>
      <c r="CS586" s="606">
        <v>2914</v>
      </c>
      <c r="CU586" s="33">
        <v>756</v>
      </c>
      <c r="CV586" s="33">
        <v>684</v>
      </c>
      <c r="CW586" s="33">
        <v>621</v>
      </c>
      <c r="CX586" s="33">
        <f>CY586-CW586-CV586-CU586</f>
        <v>625</v>
      </c>
      <c r="CY586" s="606">
        <v>2686</v>
      </c>
      <c r="DA586" s="243">
        <v>570</v>
      </c>
      <c r="DB586" s="33">
        <v>595</v>
      </c>
      <c r="DC586" s="33">
        <v>550</v>
      </c>
      <c r="DD586" s="33">
        <f>DE586-DC586-DB586-DA586</f>
        <v>604</v>
      </c>
      <c r="DE586" s="606">
        <v>2319</v>
      </c>
      <c r="DG586" s="33">
        <v>536</v>
      </c>
      <c r="DH586" s="243">
        <v>599</v>
      </c>
      <c r="DI586" s="33">
        <v>581</v>
      </c>
      <c r="DJ586" s="33">
        <f>DK586-DI586-DH586-DG586</f>
        <v>615</v>
      </c>
      <c r="DK586" s="606">
        <v>2331</v>
      </c>
      <c r="DM586" s="33">
        <v>914</v>
      </c>
      <c r="DN586" s="33">
        <v>911</v>
      </c>
      <c r="DO586" s="33">
        <v>902</v>
      </c>
      <c r="DP586" s="33">
        <f>DQ586-DO586-DN586-DM586</f>
        <v>881</v>
      </c>
      <c r="DQ586" s="606">
        <f>3248+DQ592</f>
        <v>3608</v>
      </c>
      <c r="DS586" s="33">
        <v>848</v>
      </c>
      <c r="DT586" s="33">
        <v>910</v>
      </c>
      <c r="DU586" s="33">
        <v>826</v>
      </c>
      <c r="DV586" s="33">
        <f>DW586-DU586-DT586-DS586</f>
        <v>759</v>
      </c>
      <c r="DW586" s="606">
        <f>3047+DW592</f>
        <v>3343</v>
      </c>
      <c r="DY586" s="33">
        <v>687</v>
      </c>
      <c r="DZ586" s="33">
        <v>731</v>
      </c>
      <c r="EA586" s="33">
        <v>686</v>
      </c>
      <c r="EB586" s="33">
        <f>EC586-EA586-DZ586-DY586</f>
        <v>1022</v>
      </c>
      <c r="EC586" s="606">
        <f>2822+EC592</f>
        <v>3126</v>
      </c>
      <c r="EE586" s="33">
        <v>665</v>
      </c>
      <c r="EF586" s="33">
        <v>737</v>
      </c>
      <c r="EG586" s="698">
        <v>694</v>
      </c>
      <c r="EH586" s="33">
        <f>EI586-SUM(EE586:EG586)</f>
        <v>714</v>
      </c>
      <c r="EI586" s="606">
        <f>EI712</f>
        <v>2810</v>
      </c>
      <c r="EK586" s="33">
        <v>678</v>
      </c>
      <c r="EL586" s="33">
        <v>665</v>
      </c>
      <c r="EM586" s="698">
        <v>630</v>
      </c>
      <c r="EN586" s="33">
        <f>EO586-SUM(EK586:EM586)</f>
        <v>661</v>
      </c>
      <c r="EO586" s="606">
        <f>EO712</f>
        <v>2634</v>
      </c>
      <c r="EQ586" s="33">
        <v>665</v>
      </c>
      <c r="ER586" s="33">
        <v>667</v>
      </c>
      <c r="ES586" s="33">
        <v>645</v>
      </c>
      <c r="ET586" s="33">
        <f>EU586-SUM(EQ586:ES586)</f>
        <v>691</v>
      </c>
      <c r="EU586" s="606">
        <f>EU712</f>
        <v>2668</v>
      </c>
      <c r="EW586" s="33">
        <v>665</v>
      </c>
      <c r="FA586" s="699"/>
      <c r="FG586" s="699"/>
      <c r="FM586" s="699"/>
      <c r="FO586" s="457"/>
      <c r="FQ586"/>
      <c r="FR586"/>
      <c r="FS586"/>
      <c r="FT586"/>
      <c r="FU586"/>
      <c r="FV586"/>
      <c r="GB586" s="24"/>
      <c r="GC586" s="24"/>
      <c r="GD586" s="24"/>
      <c r="GE586" s="24"/>
      <c r="GF586" s="24"/>
      <c r="GG586" s="24"/>
      <c r="GH586" s="24"/>
      <c r="GI586" s="24"/>
      <c r="GJ586"/>
      <c r="GK586"/>
      <c r="GL586"/>
      <c r="GM586"/>
      <c r="GN586"/>
      <c r="GO586"/>
      <c r="GP586"/>
      <c r="GQ586"/>
      <c r="GR586"/>
      <c r="GS586"/>
      <c r="GT586"/>
      <c r="GU586"/>
      <c r="GV586"/>
      <c r="GW586"/>
      <c r="GX586"/>
      <c r="GY586"/>
      <c r="GZ586"/>
      <c r="HA586"/>
      <c r="HB586"/>
      <c r="HC586"/>
      <c r="HD586"/>
      <c r="HE586"/>
      <c r="HF586"/>
      <c r="HG586"/>
      <c r="HH586"/>
      <c r="HI586"/>
      <c r="HJ586"/>
      <c r="HK586"/>
      <c r="HL586"/>
      <c r="HM586"/>
      <c r="HN586"/>
      <c r="HO586"/>
      <c r="HP586"/>
      <c r="HQ586"/>
      <c r="HR586"/>
      <c r="HS586"/>
      <c r="HT586"/>
      <c r="HU586"/>
      <c r="HV586"/>
      <c r="HW586"/>
      <c r="HX586"/>
      <c r="HY586"/>
      <c r="HZ586"/>
      <c r="IA586"/>
      <c r="IB586"/>
      <c r="IC586"/>
      <c r="ID586"/>
      <c r="IE586"/>
      <c r="IF586"/>
      <c r="IG586"/>
      <c r="IH586"/>
      <c r="II586"/>
      <c r="IJ586"/>
      <c r="IK586"/>
      <c r="IL586"/>
      <c r="IM586"/>
      <c r="IN586"/>
      <c r="IO586"/>
      <c r="IP586"/>
      <c r="IQ586"/>
      <c r="IR586"/>
      <c r="IS586"/>
      <c r="IT586"/>
      <c r="IU586"/>
      <c r="IV586"/>
      <c r="IW586"/>
      <c r="IX586"/>
      <c r="IY586"/>
      <c r="IZ586"/>
      <c r="JA586"/>
      <c r="JB586"/>
      <c r="JC586"/>
      <c r="JD586"/>
      <c r="JE586"/>
      <c r="JF586"/>
      <c r="JG586"/>
      <c r="JH586"/>
      <c r="JI586"/>
      <c r="JJ586"/>
      <c r="JK586"/>
      <c r="JL586"/>
      <c r="JM586"/>
      <c r="JN586"/>
    </row>
    <row r="587" spans="1:274" s="698" customFormat="1" ht="12.75" hidden="1" customHeight="1" outlineLevel="1" x14ac:dyDescent="0.2">
      <c r="A587" s="703" t="s">
        <v>1080</v>
      </c>
      <c r="B587" s="697"/>
      <c r="C587" s="704"/>
      <c r="D587" s="704"/>
      <c r="E587" s="704"/>
      <c r="F587" s="704"/>
      <c r="G587" s="704"/>
      <c r="H587" s="704"/>
      <c r="I587" s="704"/>
      <c r="J587" s="704"/>
      <c r="K587" s="704"/>
      <c r="L587" s="704"/>
      <c r="M587" s="704"/>
      <c r="N587" s="704"/>
      <c r="O587" s="704"/>
      <c r="P587" s="704"/>
      <c r="Q587" s="704"/>
      <c r="R587" s="704"/>
      <c r="S587" s="704"/>
      <c r="T587" s="704"/>
      <c r="U587" s="704"/>
      <c r="V587" s="704"/>
      <c r="W587" s="704"/>
      <c r="X587" s="704"/>
      <c r="Y587" s="704"/>
      <c r="Z587" s="704"/>
      <c r="AA587" s="704"/>
      <c r="AB587" s="704"/>
      <c r="AC587" s="704"/>
      <c r="AD587" s="704"/>
      <c r="AE587" s="704"/>
      <c r="AF587" s="704"/>
      <c r="AG587" s="704"/>
      <c r="AH587" s="704"/>
      <c r="AI587" s="704"/>
      <c r="AJ587" s="704"/>
      <c r="AK587" s="704"/>
      <c r="AL587" s="704"/>
      <c r="AM587" s="704"/>
      <c r="AN587" s="704"/>
      <c r="AO587" s="704"/>
      <c r="AP587" s="704"/>
      <c r="AQ587" s="704"/>
      <c r="AR587" s="704"/>
      <c r="AS587" s="704"/>
      <c r="AT587" s="704"/>
      <c r="AU587" s="704"/>
      <c r="AV587" s="704"/>
      <c r="AW587" s="704"/>
      <c r="AX587" s="704"/>
      <c r="AY587" s="704"/>
      <c r="AZ587" s="704"/>
      <c r="BA587" s="704"/>
      <c r="BB587" s="704"/>
      <c r="BC587" s="705">
        <f>BC585-BC586</f>
        <v>472</v>
      </c>
      <c r="BD587" s="704"/>
      <c r="BE587" s="73">
        <f>BE585-BE586</f>
        <v>132</v>
      </c>
      <c r="BF587" s="73">
        <f>BF585-BF586</f>
        <v>118</v>
      </c>
      <c r="BG587" s="73">
        <f>BG585-BG586</f>
        <v>116</v>
      </c>
      <c r="BH587" s="73">
        <f>BH585-BH586</f>
        <v>140</v>
      </c>
      <c r="BI587" s="705">
        <f>BI585-BI586</f>
        <v>506</v>
      </c>
      <c r="BJ587" s="73"/>
      <c r="BK587" s="73">
        <f>BK585-BK586</f>
        <v>67</v>
      </c>
      <c r="BL587" s="73">
        <f>BL585-BL586</f>
        <v>93</v>
      </c>
      <c r="BM587" s="73">
        <f>BM585-BM586</f>
        <v>86</v>
      </c>
      <c r="BN587" s="73">
        <f>BN585-BN586</f>
        <v>93</v>
      </c>
      <c r="BO587" s="705">
        <f>BO585-BO586</f>
        <v>339</v>
      </c>
      <c r="BP587" s="73"/>
      <c r="BQ587" s="73">
        <f>BQ585-BQ586</f>
        <v>62</v>
      </c>
      <c r="BR587" s="73">
        <f>BR585-BR586</f>
        <v>73</v>
      </c>
      <c r="BS587" s="73">
        <f>BS585-BS586</f>
        <v>52</v>
      </c>
      <c r="BT587" s="73">
        <f>BT585-BT586</f>
        <v>106</v>
      </c>
      <c r="BU587" s="705">
        <f>BU585-BU586</f>
        <v>293</v>
      </c>
      <c r="BV587" s="704"/>
      <c r="BW587" s="73">
        <f>BW585-BW586</f>
        <v>45</v>
      </c>
      <c r="BX587" s="73">
        <f>BX585-BX586</f>
        <v>76</v>
      </c>
      <c r="BY587" s="73">
        <f>BY585-BY586</f>
        <v>64</v>
      </c>
      <c r="BZ587" s="73">
        <f>BZ585-BZ586</f>
        <v>140</v>
      </c>
      <c r="CA587" s="705">
        <f>CA585-CA586</f>
        <v>325</v>
      </c>
      <c r="CB587" s="704"/>
      <c r="CC587" s="73">
        <f>CC585-CC586</f>
        <v>68</v>
      </c>
      <c r="CD587" s="73">
        <f>CD585-CD586</f>
        <v>81</v>
      </c>
      <c r="CE587" s="73">
        <f>CE585-CE586</f>
        <v>66</v>
      </c>
      <c r="CF587" s="73">
        <f>CF585-CF586</f>
        <v>111</v>
      </c>
      <c r="CG587" s="705">
        <f>CG585-CG586</f>
        <v>326</v>
      </c>
      <c r="CH587" s="704"/>
      <c r="CI587" s="73">
        <f>CI585-CI586</f>
        <v>83</v>
      </c>
      <c r="CJ587" s="73">
        <f>CJ585-CJ586</f>
        <v>126</v>
      </c>
      <c r="CK587" s="73">
        <f>CK585-CK586</f>
        <v>103</v>
      </c>
      <c r="CL587" s="73">
        <f>CL585-CL586</f>
        <v>155</v>
      </c>
      <c r="CM587" s="705">
        <f>CM585-CM586</f>
        <v>467</v>
      </c>
      <c r="CN587" s="704"/>
      <c r="CO587" s="73">
        <f>CO585-CO586</f>
        <v>122</v>
      </c>
      <c r="CP587" s="73">
        <f>CP585-CP586</f>
        <v>148</v>
      </c>
      <c r="CQ587" s="73">
        <f>CQ585-CQ586</f>
        <v>110</v>
      </c>
      <c r="CR587" s="73">
        <f>CR585-CR586</f>
        <v>160</v>
      </c>
      <c r="CS587" s="705">
        <f>CS585-CS586</f>
        <v>540</v>
      </c>
      <c r="CT587" s="704"/>
      <c r="CU587" s="73">
        <f>CU585-CU586</f>
        <v>102</v>
      </c>
      <c r="CV587" s="73">
        <f>CV585-CV586</f>
        <v>152</v>
      </c>
      <c r="CW587" s="73">
        <f>CW585-CW586</f>
        <v>133</v>
      </c>
      <c r="CX587" s="73">
        <f>CX585-CX586</f>
        <v>148</v>
      </c>
      <c r="CY587" s="705">
        <f>CY585-CY586</f>
        <v>535</v>
      </c>
      <c r="CZ587" s="704"/>
      <c r="DA587" s="73">
        <f>DA585-DA586</f>
        <v>89</v>
      </c>
      <c r="DB587" s="73">
        <f>DB585-DB586</f>
        <v>94</v>
      </c>
      <c r="DC587" s="73">
        <f>DC585-DC586</f>
        <v>98</v>
      </c>
      <c r="DD587" s="73">
        <f>DD585-DD586</f>
        <v>105</v>
      </c>
      <c r="DE587" s="705">
        <f>DE585-DE586</f>
        <v>386</v>
      </c>
      <c r="DF587" s="704"/>
      <c r="DG587" s="73">
        <f>DG585-DG586</f>
        <v>127</v>
      </c>
      <c r="DH587" s="73">
        <f>DH585-DH586</f>
        <v>136</v>
      </c>
      <c r="DI587" s="73">
        <f>DI585-DI586</f>
        <v>138</v>
      </c>
      <c r="DJ587" s="73">
        <f>DJ585-DJ586</f>
        <v>169</v>
      </c>
      <c r="DK587" s="705">
        <f>DK585-DK586</f>
        <v>570</v>
      </c>
      <c r="DL587" s="704"/>
      <c r="DM587" s="73">
        <f>DM585-DM586</f>
        <v>271</v>
      </c>
      <c r="DN587" s="73">
        <f>DN585-DN586</f>
        <v>273</v>
      </c>
      <c r="DO587" s="73">
        <f>DO585-DO586</f>
        <v>243</v>
      </c>
      <c r="DP587" s="73">
        <f>DP585-DP586</f>
        <v>326</v>
      </c>
      <c r="DQ587" s="705">
        <f>DQ585-DQ586</f>
        <v>1113</v>
      </c>
      <c r="DR587" s="704"/>
      <c r="DS587" s="73">
        <f>DS585-DS586</f>
        <v>270</v>
      </c>
      <c r="DT587" s="73">
        <f>DT585-DT586</f>
        <v>217</v>
      </c>
      <c r="DU587" s="73">
        <f>DU585-DU586</f>
        <v>223</v>
      </c>
      <c r="DV587" s="73">
        <f>DV585-DV586</f>
        <v>334</v>
      </c>
      <c r="DW587" s="705">
        <f>DW585-DW586</f>
        <v>1044</v>
      </c>
      <c r="DX587" s="704"/>
      <c r="DY587" s="73">
        <f>DY585-DY586</f>
        <v>234</v>
      </c>
      <c r="DZ587" s="73">
        <f>DZ585-DZ586</f>
        <v>233</v>
      </c>
      <c r="EA587" s="73">
        <f>EA585-EA586</f>
        <v>200</v>
      </c>
      <c r="EB587" s="73">
        <f>EB585-EB586</f>
        <v>379</v>
      </c>
      <c r="EC587" s="705">
        <f>EC585-EC586</f>
        <v>1046</v>
      </c>
      <c r="ED587" s="704"/>
      <c r="EE587" s="73">
        <f>EE585-EE586</f>
        <v>192</v>
      </c>
      <c r="EF587" s="73">
        <f>EF585-EF586</f>
        <v>200</v>
      </c>
      <c r="EG587" s="73">
        <f>EG585-EG586</f>
        <v>165</v>
      </c>
      <c r="EH587" s="73">
        <f>EH585-EH586</f>
        <v>186</v>
      </c>
      <c r="EI587" s="705">
        <f>EI585-EI586</f>
        <v>743</v>
      </c>
      <c r="EJ587" s="704"/>
      <c r="EK587" s="73">
        <f>EK585-EK586</f>
        <v>184</v>
      </c>
      <c r="EL587" s="73">
        <f>EL585-EL586</f>
        <v>197</v>
      </c>
      <c r="EM587" s="73">
        <f>EM585-EM586</f>
        <v>163</v>
      </c>
      <c r="EN587" s="73">
        <f>EN585-EN586</f>
        <v>213</v>
      </c>
      <c r="EO587" s="705">
        <f>EO585-EO586</f>
        <v>757</v>
      </c>
      <c r="EP587" s="704"/>
      <c r="EQ587" s="73">
        <f>EQ585-EQ586</f>
        <v>143</v>
      </c>
      <c r="ER587" s="73">
        <f>ER585-ER586</f>
        <v>177</v>
      </c>
      <c r="ES587" s="73">
        <f>ES585-ES586</f>
        <v>167</v>
      </c>
      <c r="ET587" s="73">
        <f>ET585-ET586</f>
        <v>203</v>
      </c>
      <c r="EU587" s="705">
        <f>EU585-EU586</f>
        <v>690</v>
      </c>
      <c r="EV587" s="704"/>
      <c r="EW587" s="73">
        <f>EW585-EW586</f>
        <v>195</v>
      </c>
      <c r="EX587" s="704"/>
      <c r="EY587" s="704"/>
      <c r="EZ587" s="704"/>
      <c r="FA587" s="706"/>
      <c r="FB587" s="704"/>
      <c r="FC587" s="704"/>
      <c r="FD587" s="704"/>
      <c r="FE587" s="704"/>
      <c r="FF587" s="704"/>
      <c r="FG587" s="706"/>
      <c r="FH587" s="704"/>
      <c r="FI587" s="704"/>
      <c r="FJ587" s="704"/>
      <c r="FK587" s="704"/>
      <c r="FL587" s="704"/>
      <c r="FM587" s="706"/>
      <c r="FO587" s="457"/>
      <c r="FQ587"/>
      <c r="FR587"/>
      <c r="FS587"/>
      <c r="FT587"/>
      <c r="FU587"/>
      <c r="FV587"/>
      <c r="GB587" s="24"/>
      <c r="GC587" s="24"/>
      <c r="GD587" s="24"/>
      <c r="GE587" s="24"/>
      <c r="GF587" s="24"/>
      <c r="GG587" s="24"/>
      <c r="GH587" s="24"/>
      <c r="GI587" s="24"/>
      <c r="GJ587"/>
      <c r="GK587"/>
      <c r="GL587"/>
      <c r="GM587"/>
      <c r="GN587"/>
      <c r="GO587"/>
      <c r="GP587"/>
      <c r="GQ587"/>
      <c r="GR587"/>
      <c r="GS587"/>
      <c r="GT587"/>
      <c r="GU587"/>
      <c r="GV587"/>
      <c r="GW587"/>
      <c r="GX587"/>
      <c r="GY587"/>
      <c r="GZ587"/>
      <c r="HA587"/>
      <c r="HB587"/>
      <c r="HC587"/>
      <c r="HD587"/>
      <c r="HE587"/>
      <c r="HF587"/>
      <c r="HG587"/>
      <c r="HH587"/>
      <c r="HI587"/>
      <c r="HJ587"/>
      <c r="HK587"/>
      <c r="HL587"/>
      <c r="HM587"/>
      <c r="HN587"/>
      <c r="HO587"/>
      <c r="HP587"/>
      <c r="HQ587"/>
      <c r="HR587"/>
      <c r="HS587"/>
      <c r="HT587"/>
      <c r="HU587"/>
      <c r="HV587"/>
      <c r="HW587"/>
      <c r="HX587"/>
      <c r="HY587"/>
      <c r="HZ587"/>
      <c r="IA587"/>
      <c r="IB587"/>
      <c r="IC587"/>
      <c r="ID587"/>
      <c r="IE587"/>
      <c r="IF587"/>
      <c r="IG587"/>
      <c r="IH587"/>
      <c r="II587"/>
      <c r="IJ587"/>
      <c r="IK587"/>
      <c r="IL587"/>
      <c r="IM587"/>
      <c r="IN587"/>
      <c r="IO587"/>
      <c r="IP587"/>
      <c r="IQ587"/>
      <c r="IR587"/>
      <c r="IS587"/>
      <c r="IT587"/>
      <c r="IU587"/>
      <c r="IV587"/>
      <c r="IW587"/>
      <c r="IX587"/>
      <c r="IY587"/>
      <c r="IZ587"/>
      <c r="JA587"/>
      <c r="JB587"/>
      <c r="JC587"/>
      <c r="JD587"/>
      <c r="JE587"/>
      <c r="JF587"/>
      <c r="JG587"/>
      <c r="JH587"/>
      <c r="JI587"/>
      <c r="JJ587"/>
      <c r="JK587"/>
      <c r="JL587"/>
      <c r="JM587"/>
      <c r="JN587"/>
    </row>
    <row r="588" spans="1:274" s="698" customFormat="1" ht="12.75" hidden="1" customHeight="1" outlineLevel="1" x14ac:dyDescent="0.2">
      <c r="A588" s="703" t="s">
        <v>1081</v>
      </c>
      <c r="B588" s="697"/>
      <c r="C588" s="704"/>
      <c r="D588" s="704"/>
      <c r="E588" s="704"/>
      <c r="F588" s="704"/>
      <c r="G588" s="704"/>
      <c r="H588" s="704"/>
      <c r="I588" s="704"/>
      <c r="J588" s="704"/>
      <c r="K588" s="704"/>
      <c r="L588" s="704"/>
      <c r="M588" s="704"/>
      <c r="N588" s="704"/>
      <c r="O588" s="704"/>
      <c r="P588" s="704"/>
      <c r="Q588" s="704"/>
      <c r="R588" s="704"/>
      <c r="S588" s="704"/>
      <c r="T588" s="704"/>
      <c r="U588" s="704"/>
      <c r="V588" s="704"/>
      <c r="W588" s="704"/>
      <c r="X588" s="704"/>
      <c r="Y588" s="704"/>
      <c r="Z588" s="704"/>
      <c r="AA588" s="704"/>
      <c r="AB588" s="704"/>
      <c r="AC588" s="704"/>
      <c r="AD588" s="704"/>
      <c r="AE588" s="704"/>
      <c r="AF588" s="704"/>
      <c r="AG588" s="704"/>
      <c r="AH588" s="704"/>
      <c r="AI588" s="704"/>
      <c r="AJ588" s="704"/>
      <c r="AK588" s="704"/>
      <c r="AL588" s="704"/>
      <c r="AM588" s="704"/>
      <c r="AN588" s="704"/>
      <c r="AO588" s="704"/>
      <c r="AP588" s="704"/>
      <c r="AQ588" s="704"/>
      <c r="AR588" s="704"/>
      <c r="AS588" s="704"/>
      <c r="AT588" s="704"/>
      <c r="AU588" s="704"/>
      <c r="AV588" s="704"/>
      <c r="AW588" s="704"/>
      <c r="AX588" s="704"/>
      <c r="AY588" s="704"/>
      <c r="AZ588" s="704"/>
      <c r="BA588" s="704"/>
      <c r="BB588" s="704"/>
      <c r="BC588" s="707">
        <f>BC587/BC585</f>
        <v>0.20921985815602837</v>
      </c>
      <c r="BD588" s="704"/>
      <c r="BE588" s="70">
        <f>BE587/BE585</f>
        <v>0.25384615384615383</v>
      </c>
      <c r="BF588" s="70">
        <f>BF587/BF585</f>
        <v>0.23274161735700197</v>
      </c>
      <c r="BG588" s="70">
        <f>BG587/BG585</f>
        <v>0.25438596491228072</v>
      </c>
      <c r="BH588" s="70">
        <f>BH587/BH585</f>
        <v>0.28925619834710742</v>
      </c>
      <c r="BI588" s="707">
        <f>BI587/BI585</f>
        <v>0.25724453482460602</v>
      </c>
      <c r="BJ588" s="704"/>
      <c r="BK588" s="70">
        <f>BK587/BK585</f>
        <v>0.1558139534883721</v>
      </c>
      <c r="BL588" s="70">
        <f>BL587/BL585</f>
        <v>0.20529801324503311</v>
      </c>
      <c r="BM588" s="70">
        <f>BM587/BM585</f>
        <v>0.20046620046620048</v>
      </c>
      <c r="BN588" s="70">
        <f>BN587/BN585</f>
        <v>0.21136363636363636</v>
      </c>
      <c r="BO588" s="707">
        <f>BO587/BO585</f>
        <v>0.1934931506849315</v>
      </c>
      <c r="BP588" s="704"/>
      <c r="BQ588" s="70">
        <f>BQ587/BQ585</f>
        <v>0.15736040609137056</v>
      </c>
      <c r="BR588" s="70">
        <f>BR587/BR585</f>
        <v>0.18481012658227849</v>
      </c>
      <c r="BS588" s="70">
        <f>BS587/BS585</f>
        <v>0.13941018766756033</v>
      </c>
      <c r="BT588" s="70">
        <f>BT587/BT585</f>
        <v>0.25238095238095237</v>
      </c>
      <c r="BU588" s="707">
        <f>BU587/BU585</f>
        <v>0.18520859671302148</v>
      </c>
      <c r="BV588" s="704"/>
      <c r="BW588" s="70">
        <f>BW587/BW585</f>
        <v>0.12747875354107649</v>
      </c>
      <c r="BX588" s="70">
        <f>BX587/BX585</f>
        <v>0.19338422391857507</v>
      </c>
      <c r="BY588" s="70">
        <f>BY587/BY585</f>
        <v>0.13675213675213677</v>
      </c>
      <c r="BZ588" s="70">
        <f>BZ587/BZ585</f>
        <v>0.24054982817869416</v>
      </c>
      <c r="CA588" s="707">
        <f>CA587/CA585</f>
        <v>0.18095768374164811</v>
      </c>
      <c r="CB588" s="704"/>
      <c r="CC588" s="70">
        <f>CC587/CC585</f>
        <v>0.14166666666666666</v>
      </c>
      <c r="CD588" s="70">
        <f>CD587/CD585</f>
        <v>0.1603960396039604</v>
      </c>
      <c r="CE588" s="70">
        <f>CE587/CE585</f>
        <v>0.13200000000000001</v>
      </c>
      <c r="CF588" s="70">
        <f>CF587/CF585</f>
        <v>0.17675159235668789</v>
      </c>
      <c r="CG588" s="707">
        <f>CG587/CG585</f>
        <v>0.1542830099384761</v>
      </c>
      <c r="CH588" s="704"/>
      <c r="CI588" s="70">
        <f>CI587/CI585</f>
        <v>0.13050314465408805</v>
      </c>
      <c r="CJ588" s="70">
        <f>CJ587/CJ585</f>
        <v>0.17721518987341772</v>
      </c>
      <c r="CK588" s="70">
        <f>CK587/CK585</f>
        <v>0.14927536231884059</v>
      </c>
      <c r="CL588" s="70">
        <f>CL587/CL585</f>
        <v>0.19041769041769041</v>
      </c>
      <c r="CM588" s="707">
        <f>CM587/CM585</f>
        <v>0.16380217467555244</v>
      </c>
      <c r="CN588" s="704"/>
      <c r="CO588" s="70">
        <f>CO587/CO585</f>
        <v>0.15326633165829145</v>
      </c>
      <c r="CP588" s="70">
        <f>CP587/CP585</f>
        <v>0.16991963260619977</v>
      </c>
      <c r="CQ588" s="70">
        <f>CQ587/CQ585</f>
        <v>0.13142174432497014</v>
      </c>
      <c r="CR588" s="70">
        <f>CR587/CR585</f>
        <v>0.16842105263157894</v>
      </c>
      <c r="CS588" s="707">
        <f>CS587/CS585</f>
        <v>0.1563404748118124</v>
      </c>
      <c r="CT588" s="704"/>
      <c r="CU588" s="70">
        <f>CU587/CU585</f>
        <v>0.11888111888111888</v>
      </c>
      <c r="CV588" s="70">
        <f>CV587/CV585</f>
        <v>0.18181818181818182</v>
      </c>
      <c r="CW588" s="70">
        <f>CW587/CW585</f>
        <v>0.17639257294429708</v>
      </c>
      <c r="CX588" s="70">
        <f>CX587/CX585</f>
        <v>0.19146183699870634</v>
      </c>
      <c r="CY588" s="707">
        <f>CY587/CY585</f>
        <v>0.16609748525302701</v>
      </c>
      <c r="CZ588" s="704"/>
      <c r="DA588" s="70">
        <f>DA587/DA585</f>
        <v>0.13505311077389984</v>
      </c>
      <c r="DB588" s="70">
        <f>DB587/DB585</f>
        <v>0.13642960812772134</v>
      </c>
      <c r="DC588" s="70">
        <f>DC587/DC585</f>
        <v>0.15123456790123457</v>
      </c>
      <c r="DD588" s="70">
        <f>DD587/DD585</f>
        <v>0.14809590973201692</v>
      </c>
      <c r="DE588" s="707">
        <f>DE587/DE585</f>
        <v>0.14269870609981516</v>
      </c>
      <c r="DF588" s="704"/>
      <c r="DG588" s="70">
        <f>DG587/DG585</f>
        <v>0.19155354449472098</v>
      </c>
      <c r="DH588" s="70">
        <f>DH587/DH585</f>
        <v>0.18503401360544217</v>
      </c>
      <c r="DI588" s="70">
        <f>DI587/DI585</f>
        <v>0.19193324061196107</v>
      </c>
      <c r="DJ588" s="70">
        <f>DJ587/DJ585</f>
        <v>0.21556122448979592</v>
      </c>
      <c r="DK588" s="707">
        <f>DK587/DK585</f>
        <v>0.19648397104446744</v>
      </c>
      <c r="DL588" s="704"/>
      <c r="DM588" s="70">
        <f>DM587/DM585</f>
        <v>0.22869198312236286</v>
      </c>
      <c r="DN588" s="70">
        <f>DN587/DN585</f>
        <v>0.23057432432432431</v>
      </c>
      <c r="DO588" s="70">
        <f>DO587/DO585</f>
        <v>0.21222707423580786</v>
      </c>
      <c r="DP588" s="70">
        <f>DP587/DP585</f>
        <v>0.27009113504556753</v>
      </c>
      <c r="DQ588" s="707">
        <f>DQ587/DQ585</f>
        <v>0.23575513662359671</v>
      </c>
      <c r="DR588" s="704"/>
      <c r="DS588" s="70">
        <f>DS587/DS585</f>
        <v>0.24150268336314848</v>
      </c>
      <c r="DT588" s="70">
        <f>DT587/DT585</f>
        <v>0.19254658385093168</v>
      </c>
      <c r="DU588" s="70">
        <f>DU587/DU585</f>
        <v>0.21258341277407056</v>
      </c>
      <c r="DV588" s="70">
        <f>DV587/DV585</f>
        <v>0.30558096980786825</v>
      </c>
      <c r="DW588" s="707">
        <f>DW587/DW585</f>
        <v>0.23797583770230227</v>
      </c>
      <c r="DX588" s="704"/>
      <c r="DY588" s="70">
        <f>DY587/DY585</f>
        <v>0.25407166123778502</v>
      </c>
      <c r="DZ588" s="70">
        <f>DZ587/DZ585</f>
        <v>0.24170124481327801</v>
      </c>
      <c r="EA588" s="70">
        <f>EA587/EA585</f>
        <v>0.22573363431151242</v>
      </c>
      <c r="EB588" s="70">
        <f>EB587/EB585</f>
        <v>0.2705210563882941</v>
      </c>
      <c r="EC588" s="707">
        <f>EC587/EC585</f>
        <v>0.25071907957813999</v>
      </c>
      <c r="ED588" s="704"/>
      <c r="EE588" s="70">
        <f>EE587/EE585</f>
        <v>0.22403733955659277</v>
      </c>
      <c r="EF588" s="70">
        <f>EF587/EF585</f>
        <v>0.21344717182497333</v>
      </c>
      <c r="EG588" s="70">
        <f>EG587/EG585</f>
        <v>0.19208381839348079</v>
      </c>
      <c r="EH588" s="70">
        <f>EH587/EH585</f>
        <v>0.20666666666666667</v>
      </c>
      <c r="EI588" s="707">
        <f>EI587/EI585</f>
        <v>0.20911905432029271</v>
      </c>
      <c r="EJ588" s="704"/>
      <c r="EK588" s="70">
        <f>EK587/EK585</f>
        <v>0.21345707656612528</v>
      </c>
      <c r="EL588" s="70">
        <f>EL587/EL585</f>
        <v>0.22853828306264501</v>
      </c>
      <c r="EM588" s="70">
        <f>EM587/EM585</f>
        <v>0.20554854981084489</v>
      </c>
      <c r="EN588" s="70">
        <f>EN587/EN585</f>
        <v>0.24370709382151029</v>
      </c>
      <c r="EO588" s="707">
        <f>EO587/EO585</f>
        <v>0.22323798289590091</v>
      </c>
      <c r="EP588" s="704"/>
      <c r="EQ588" s="70">
        <f>EQ587/EQ585</f>
        <v>0.17698019801980197</v>
      </c>
      <c r="ER588" s="70">
        <f>ER587/ER585</f>
        <v>0.20971563981042654</v>
      </c>
      <c r="ES588" s="70">
        <f>ES587/ES585</f>
        <v>0.20566502463054187</v>
      </c>
      <c r="ET588" s="70">
        <f>ET587/ET585</f>
        <v>0.22706935123042504</v>
      </c>
      <c r="EU588" s="707">
        <f>EU587/EU585</f>
        <v>0.20547945205479451</v>
      </c>
      <c r="EV588" s="704"/>
      <c r="EW588" s="70">
        <f>EW587/EW585</f>
        <v>0.22674418604651161</v>
      </c>
      <c r="EX588" s="704"/>
      <c r="EY588" s="704"/>
      <c r="EZ588" s="704"/>
      <c r="FA588" s="706"/>
      <c r="FB588" s="704"/>
      <c r="FC588" s="704"/>
      <c r="FD588" s="704"/>
      <c r="FE588" s="704"/>
      <c r="FF588" s="704"/>
      <c r="FG588" s="706"/>
      <c r="FH588" s="704"/>
      <c r="FI588" s="704"/>
      <c r="FJ588" s="704"/>
      <c r="FK588" s="704"/>
      <c r="FL588" s="704"/>
      <c r="FM588" s="706"/>
      <c r="FN588" s="188"/>
      <c r="FO588" s="188"/>
      <c r="FQ588"/>
      <c r="FR588"/>
      <c r="FS588"/>
      <c r="FT588"/>
      <c r="FU588"/>
      <c r="FV588"/>
      <c r="GB588" s="24"/>
      <c r="GC588" s="24"/>
      <c r="GD588" s="24"/>
      <c r="GE588" s="24"/>
      <c r="GF588" s="24"/>
      <c r="GG588" s="24"/>
      <c r="GH588" s="24"/>
      <c r="GI588" s="24"/>
      <c r="GJ588"/>
      <c r="GK588"/>
      <c r="GL588"/>
      <c r="GM588"/>
      <c r="GN588"/>
      <c r="GO588"/>
      <c r="GP588"/>
      <c r="GQ588"/>
      <c r="GR588"/>
      <c r="GS588"/>
      <c r="GT588"/>
      <c r="GU588"/>
      <c r="GV588"/>
      <c r="GW588"/>
      <c r="GX588"/>
      <c r="GY588"/>
      <c r="GZ588"/>
      <c r="HA588"/>
      <c r="HB588"/>
      <c r="HC588"/>
      <c r="HD588"/>
      <c r="HE588"/>
      <c r="HF588"/>
      <c r="HG588"/>
      <c r="HH588"/>
      <c r="HI588"/>
      <c r="HJ588"/>
      <c r="HK588"/>
      <c r="HL588"/>
      <c r="HM588"/>
      <c r="HN588"/>
      <c r="HO588"/>
      <c r="HP588"/>
      <c r="HQ588"/>
      <c r="HR588"/>
      <c r="HS588"/>
      <c r="HT588"/>
      <c r="HU588"/>
      <c r="HV588"/>
      <c r="HW588"/>
      <c r="HX588"/>
      <c r="HY588"/>
      <c r="HZ588"/>
      <c r="IA588"/>
      <c r="IB588"/>
      <c r="IC588"/>
      <c r="ID588"/>
      <c r="IE588"/>
      <c r="IF588"/>
      <c r="IG588"/>
      <c r="IH588"/>
      <c r="II588"/>
      <c r="IJ588"/>
      <c r="IK588"/>
      <c r="IL588"/>
      <c r="IM588"/>
      <c r="IN588"/>
      <c r="IO588"/>
      <c r="IP588"/>
      <c r="IQ588"/>
      <c r="IR588"/>
      <c r="IS588"/>
      <c r="IT588"/>
      <c r="IU588"/>
      <c r="IV588"/>
      <c r="IW588"/>
      <c r="IX588"/>
      <c r="IY588"/>
      <c r="IZ588"/>
      <c r="JA588"/>
      <c r="JB588"/>
      <c r="JC588"/>
      <c r="JD588"/>
      <c r="JE588"/>
      <c r="JF588"/>
      <c r="JG588"/>
      <c r="JH588"/>
      <c r="JI588"/>
      <c r="JJ588"/>
      <c r="JK588"/>
      <c r="JL588"/>
      <c r="JM588"/>
      <c r="JN588"/>
    </row>
    <row r="589" spans="1:274" s="698" customFormat="1" ht="7.5" hidden="1" customHeight="1" outlineLevel="1" x14ac:dyDescent="0.2">
      <c r="B589" s="697"/>
      <c r="BC589" s="708"/>
      <c r="BI589" s="708"/>
      <c r="BO589" s="708"/>
      <c r="BU589" s="708"/>
      <c r="CA589" s="708"/>
      <c r="CG589" s="708"/>
      <c r="CM589" s="708"/>
      <c r="CS589" s="708"/>
      <c r="CY589" s="708"/>
      <c r="DE589" s="708"/>
      <c r="DK589" s="708"/>
      <c r="DQ589" s="708"/>
      <c r="DW589" s="708"/>
      <c r="EC589" s="708"/>
      <c r="EI589" s="708"/>
      <c r="EO589" s="708"/>
      <c r="EU589" s="708"/>
      <c r="FA589" s="699"/>
      <c r="FG589" s="699"/>
      <c r="FM589" s="699"/>
      <c r="FQ589"/>
      <c r="FR589"/>
      <c r="FS589"/>
      <c r="FT589"/>
      <c r="FU589"/>
      <c r="FV589"/>
      <c r="GB589" s="24"/>
      <c r="GC589" s="24"/>
      <c r="GD589" s="24"/>
      <c r="GE589" s="24"/>
      <c r="GF589" s="24"/>
      <c r="GG589" s="24"/>
      <c r="GH589" s="24"/>
      <c r="GI589" s="24"/>
      <c r="GJ589"/>
      <c r="GK589"/>
      <c r="GL589"/>
      <c r="GM589"/>
      <c r="GN589"/>
      <c r="GO589"/>
      <c r="GP589"/>
      <c r="GQ589"/>
      <c r="GR589"/>
      <c r="GS589"/>
      <c r="GT589"/>
      <c r="GU589"/>
      <c r="GV589"/>
      <c r="GW589"/>
      <c r="GX589"/>
      <c r="GY589"/>
      <c r="GZ589"/>
      <c r="HA589"/>
      <c r="HB589"/>
      <c r="HC589"/>
      <c r="HD589"/>
      <c r="HE589"/>
      <c r="HF589"/>
      <c r="HG589"/>
      <c r="HH589"/>
      <c r="HI589"/>
      <c r="HJ589"/>
      <c r="HK589"/>
      <c r="HL589"/>
      <c r="HM589"/>
      <c r="HN589"/>
      <c r="HO589"/>
      <c r="HP589"/>
      <c r="HQ589"/>
      <c r="HR589"/>
      <c r="HS589"/>
      <c r="HT589"/>
      <c r="HU589"/>
      <c r="HV589"/>
      <c r="HW589"/>
      <c r="HX589"/>
      <c r="HY589"/>
      <c r="HZ589"/>
      <c r="IA589"/>
      <c r="IB589"/>
      <c r="IC589"/>
      <c r="ID589"/>
      <c r="IE589"/>
      <c r="IF589"/>
      <c r="IG589"/>
      <c r="IH589"/>
      <c r="II589"/>
      <c r="IJ589"/>
      <c r="IK589"/>
      <c r="IL589"/>
      <c r="IM589"/>
      <c r="IN589"/>
      <c r="IO589"/>
      <c r="IP589"/>
      <c r="IQ589"/>
      <c r="IR589"/>
      <c r="IS589"/>
      <c r="IT589"/>
      <c r="IU589"/>
      <c r="IV589"/>
      <c r="IW589"/>
      <c r="IX589"/>
      <c r="IY589"/>
      <c r="IZ589"/>
      <c r="JA589"/>
      <c r="JB589"/>
      <c r="JC589"/>
      <c r="JD589"/>
      <c r="JE589"/>
      <c r="JF589"/>
      <c r="JG589"/>
      <c r="JH589"/>
      <c r="JI589"/>
      <c r="JJ589"/>
      <c r="JK589"/>
      <c r="JL589"/>
      <c r="JM589"/>
      <c r="JN589"/>
    </row>
    <row r="590" spans="1:274" s="698" customFormat="1" ht="12.75" hidden="1" customHeight="1" outlineLevel="1" x14ac:dyDescent="0.2">
      <c r="A590" s="696" t="s">
        <v>1118</v>
      </c>
      <c r="B590" s="697"/>
      <c r="BC590" s="708"/>
      <c r="BI590" s="708"/>
      <c r="BO590" s="708"/>
      <c r="BU590" s="708"/>
      <c r="CA590" s="708"/>
      <c r="CG590" s="708"/>
      <c r="CM590" s="708"/>
      <c r="CS590" s="708"/>
      <c r="CY590" s="708"/>
      <c r="DD590" s="1181">
        <f>DD588-CX588</f>
        <v>-4.3365927266689419E-2</v>
      </c>
      <c r="DE590" s="708"/>
      <c r="DJ590" s="1181"/>
      <c r="DK590" s="708"/>
      <c r="DP590" s="1181"/>
      <c r="DQ590" s="708"/>
      <c r="DS590" s="1181"/>
      <c r="DV590" s="1181"/>
      <c r="DW590" s="708"/>
      <c r="DY590" s="1181"/>
      <c r="EC590" s="708"/>
      <c r="EE590" s="709"/>
      <c r="EF590" s="709"/>
      <c r="EI590" s="708"/>
      <c r="EK590" s="709"/>
      <c r="EL590" s="709"/>
      <c r="EO590" s="708"/>
      <c r="EQ590" s="709"/>
      <c r="ER590" s="709"/>
      <c r="EU590" s="708"/>
      <c r="FA590" s="699"/>
      <c r="FG590" s="699"/>
      <c r="FM590" s="699"/>
      <c r="FQ590"/>
      <c r="FR590"/>
      <c r="FS590"/>
      <c r="FT590"/>
      <c r="FU590"/>
      <c r="FV590"/>
      <c r="GB590" s="24"/>
      <c r="GC590" s="24"/>
      <c r="GD590" s="24"/>
      <c r="GE590" s="24"/>
      <c r="GF590" s="24"/>
      <c r="GG590" s="24"/>
      <c r="GH590" s="24"/>
      <c r="GI590" s="24"/>
      <c r="GJ590"/>
      <c r="GK590"/>
      <c r="GL590"/>
      <c r="GM590"/>
      <c r="GN590"/>
      <c r="GO590"/>
      <c r="GP590"/>
      <c r="GQ590"/>
      <c r="GR590"/>
      <c r="GS590"/>
      <c r="GT590"/>
      <c r="GU590"/>
      <c r="GV590"/>
      <c r="GW590"/>
      <c r="GX590"/>
      <c r="GY590"/>
      <c r="GZ590"/>
      <c r="HA590"/>
      <c r="HB590"/>
      <c r="HC590"/>
      <c r="HD590"/>
      <c r="HE590"/>
      <c r="HF590"/>
      <c r="HG590"/>
      <c r="HH590"/>
      <c r="HI590"/>
      <c r="HJ590"/>
      <c r="HK590"/>
      <c r="HL590"/>
      <c r="HM590"/>
      <c r="HN590"/>
      <c r="HO590"/>
      <c r="HP590"/>
      <c r="HQ590"/>
      <c r="HR590"/>
      <c r="HS590"/>
      <c r="HT590"/>
      <c r="HU590"/>
      <c r="HV590"/>
      <c r="HW590"/>
      <c r="HX590"/>
      <c r="HY590"/>
      <c r="HZ590"/>
      <c r="IA590"/>
      <c r="IB590"/>
      <c r="IC590"/>
      <c r="ID590"/>
      <c r="IE590"/>
      <c r="IF590"/>
      <c r="IG590"/>
      <c r="IH590"/>
      <c r="II590"/>
      <c r="IJ590"/>
      <c r="IK590"/>
      <c r="IL590"/>
      <c r="IM590"/>
      <c r="IN590"/>
      <c r="IO590"/>
      <c r="IP590"/>
      <c r="IQ590"/>
      <c r="IR590"/>
      <c r="IS590"/>
      <c r="IT590"/>
      <c r="IU590"/>
      <c r="IV590"/>
      <c r="IW590"/>
      <c r="IX590"/>
      <c r="IY590"/>
      <c r="IZ590"/>
      <c r="JA590"/>
      <c r="JB590"/>
      <c r="JC590"/>
      <c r="JD590"/>
      <c r="JE590"/>
      <c r="JF590"/>
      <c r="JG590"/>
      <c r="JH590"/>
      <c r="JI590"/>
      <c r="JJ590"/>
      <c r="JK590"/>
      <c r="JL590"/>
      <c r="JM590"/>
      <c r="JN590"/>
    </row>
    <row r="591" spans="1:274" s="698" customFormat="1" ht="12.75" hidden="1" customHeight="1" outlineLevel="1" x14ac:dyDescent="0.2">
      <c r="A591" s="702" t="s">
        <v>1078</v>
      </c>
      <c r="B591" s="697"/>
      <c r="AZ591" s="698">
        <v>0</v>
      </c>
      <c r="BA591" s="698">
        <v>0</v>
      </c>
      <c r="BC591" s="606">
        <v>284</v>
      </c>
      <c r="BE591" s="243">
        <v>83</v>
      </c>
      <c r="BF591" s="457">
        <v>83</v>
      </c>
      <c r="BG591" s="457">
        <v>74.5</v>
      </c>
      <c r="BH591" s="457">
        <f>BI591-BG591-BF591-BE591</f>
        <v>80.5</v>
      </c>
      <c r="BI591" s="606">
        <v>321</v>
      </c>
      <c r="BJ591" s="457"/>
      <c r="BK591" s="457">
        <v>64</v>
      </c>
      <c r="BL591" s="457">
        <v>64</v>
      </c>
      <c r="BM591" s="457">
        <v>63</v>
      </c>
      <c r="BN591" s="457">
        <f>BO591-BM591-BL591-BK591</f>
        <v>66</v>
      </c>
      <c r="BO591" s="606">
        <v>257</v>
      </c>
      <c r="BP591" s="457"/>
      <c r="BQ591" s="457">
        <v>60</v>
      </c>
      <c r="BR591" s="457">
        <v>65</v>
      </c>
      <c r="BS591" s="457">
        <v>62</v>
      </c>
      <c r="BT591" s="457">
        <f>BU591-BS591-BR591-BQ591</f>
        <v>71</v>
      </c>
      <c r="BU591" s="606">
        <v>258</v>
      </c>
      <c r="BW591" s="457">
        <v>71</v>
      </c>
      <c r="BX591" s="457">
        <v>73</v>
      </c>
      <c r="BY591" s="457">
        <v>77</v>
      </c>
      <c r="BZ591" s="457">
        <f>CA591-BY591-BX591-BW591</f>
        <v>86</v>
      </c>
      <c r="CA591" s="606">
        <v>307</v>
      </c>
      <c r="CC591" s="457">
        <v>84</v>
      </c>
      <c r="CD591" s="457">
        <v>87</v>
      </c>
      <c r="CE591" s="457">
        <v>96</v>
      </c>
      <c r="CF591" s="457">
        <f>CG591-CE591-CD591-CC591</f>
        <v>131</v>
      </c>
      <c r="CG591" s="606">
        <v>398</v>
      </c>
      <c r="CI591" s="457">
        <v>125</v>
      </c>
      <c r="CJ591" s="457">
        <v>140</v>
      </c>
      <c r="CK591" s="457">
        <v>142</v>
      </c>
      <c r="CL591" s="457">
        <f>CM591-CK591-CJ591-CI591</f>
        <v>148</v>
      </c>
      <c r="CM591" s="606">
        <v>555</v>
      </c>
      <c r="CO591" s="457">
        <v>158</v>
      </c>
      <c r="CP591" s="457">
        <v>167</v>
      </c>
      <c r="CQ591" s="457">
        <v>174</v>
      </c>
      <c r="CR591" s="457">
        <f>CS591-CQ591-CP591-CO591</f>
        <v>196</v>
      </c>
      <c r="CS591" s="606">
        <v>695</v>
      </c>
      <c r="CU591" s="33">
        <v>195</v>
      </c>
      <c r="CV591" s="33">
        <v>189</v>
      </c>
      <c r="CW591" s="33">
        <v>191</v>
      </c>
      <c r="CX591" s="33">
        <f>CY591-CW591-CV591-CU591</f>
        <v>205</v>
      </c>
      <c r="CY591" s="606">
        <v>780</v>
      </c>
      <c r="DA591" s="243">
        <v>180</v>
      </c>
      <c r="DB591" s="33">
        <v>188</v>
      </c>
      <c r="DC591" s="33">
        <v>214</v>
      </c>
      <c r="DD591" s="33">
        <f>DE591-DC591-DB591-DA591</f>
        <v>305</v>
      </c>
      <c r="DE591" s="606">
        <v>887</v>
      </c>
      <c r="DG591" s="33">
        <v>322</v>
      </c>
      <c r="DH591" s="243">
        <v>353</v>
      </c>
      <c r="DI591" s="33">
        <v>339</v>
      </c>
      <c r="DJ591" s="33">
        <f>DK591-DI591-DH591-DG591</f>
        <v>362</v>
      </c>
      <c r="DK591" s="606">
        <v>1376</v>
      </c>
      <c r="DM591" s="33"/>
      <c r="DO591" s="33"/>
      <c r="DP591" s="33"/>
      <c r="DQ591" s="606">
        <v>483</v>
      </c>
      <c r="DS591" s="33"/>
      <c r="DV591" s="33"/>
      <c r="DW591" s="606">
        <v>457</v>
      </c>
      <c r="DY591" s="33">
        <v>109</v>
      </c>
      <c r="DZ591" s="33">
        <v>97</v>
      </c>
      <c r="EA591" s="33">
        <v>121</v>
      </c>
      <c r="EB591" s="33">
        <f>EC591-EA591-DZ591-DY591</f>
        <v>129</v>
      </c>
      <c r="EC591" s="606">
        <v>456</v>
      </c>
      <c r="EE591" s="33">
        <v>138</v>
      </c>
      <c r="EF591" s="33">
        <v>155</v>
      </c>
      <c r="EG591" s="33">
        <v>155</v>
      </c>
      <c r="EH591" s="33">
        <f>EI591-EG591-EF591-EE591</f>
        <v>160</v>
      </c>
      <c r="EI591" s="606">
        <v>608</v>
      </c>
      <c r="EK591" s="33">
        <v>160</v>
      </c>
      <c r="EL591" s="33">
        <v>165</v>
      </c>
      <c r="EM591" s="33">
        <v>152</v>
      </c>
      <c r="EN591" s="33">
        <f>EO591-EM591-EL591-EK591</f>
        <v>169</v>
      </c>
      <c r="EO591" s="606">
        <v>646</v>
      </c>
      <c r="EQ591" s="33">
        <v>171</v>
      </c>
      <c r="ER591" s="33">
        <v>175</v>
      </c>
      <c r="ES591" s="33">
        <v>178</v>
      </c>
      <c r="ET591" s="33"/>
      <c r="EU591" s="606"/>
      <c r="FA591" s="699"/>
      <c r="FG591" s="699"/>
      <c r="FM591" s="699"/>
      <c r="FO591" s="457"/>
      <c r="FQ591"/>
      <c r="FR591"/>
      <c r="FS591"/>
      <c r="FT591"/>
      <c r="FU591"/>
      <c r="FV591"/>
      <c r="GB591" s="24"/>
      <c r="GC591" s="24"/>
      <c r="GD591" s="24"/>
      <c r="GE591" s="24"/>
      <c r="GF591" s="24"/>
      <c r="GG591" s="24"/>
      <c r="GH591" s="24"/>
      <c r="GI591" s="24"/>
      <c r="GJ591"/>
      <c r="GK591"/>
      <c r="GL591"/>
      <c r="GM591"/>
      <c r="GN591"/>
      <c r="GO591"/>
      <c r="GP591"/>
      <c r="GQ591"/>
      <c r="GR591"/>
      <c r="GS591"/>
      <c r="GT591"/>
      <c r="GU591"/>
      <c r="GV591"/>
      <c r="GW591"/>
      <c r="GX591"/>
      <c r="GY591"/>
      <c r="GZ591"/>
      <c r="HA591"/>
      <c r="HB591"/>
      <c r="HC591"/>
      <c r="HD591"/>
      <c r="HE591"/>
      <c r="HF591"/>
      <c r="HG591"/>
      <c r="HH591"/>
      <c r="HI591"/>
      <c r="HJ591"/>
      <c r="HK591"/>
      <c r="HL591"/>
      <c r="HM591"/>
      <c r="HN591"/>
      <c r="HO591"/>
      <c r="HP591"/>
      <c r="HQ591"/>
      <c r="HR591"/>
      <c r="HS591"/>
      <c r="HT591"/>
      <c r="HU591"/>
      <c r="HV591"/>
      <c r="HW591"/>
      <c r="HX591"/>
      <c r="HY591"/>
      <c r="HZ591"/>
      <c r="IA591"/>
      <c r="IB591"/>
      <c r="IC591"/>
      <c r="ID591"/>
      <c r="IE591"/>
      <c r="IF591"/>
      <c r="IG591"/>
      <c r="IH591"/>
      <c r="II591"/>
      <c r="IJ591"/>
      <c r="IK591"/>
      <c r="IL591"/>
      <c r="IM591"/>
      <c r="IN591"/>
      <c r="IO591"/>
      <c r="IP591"/>
      <c r="IQ591"/>
      <c r="IR591"/>
      <c r="IS591"/>
      <c r="IT591"/>
      <c r="IU591"/>
      <c r="IV591"/>
      <c r="IW591"/>
      <c r="IX591"/>
      <c r="IY591"/>
      <c r="IZ591"/>
      <c r="JA591"/>
      <c r="JB591"/>
      <c r="JC591"/>
      <c r="JD591"/>
      <c r="JE591"/>
      <c r="JF591"/>
      <c r="JG591"/>
      <c r="JH591"/>
      <c r="JI591"/>
      <c r="JJ591"/>
      <c r="JK591"/>
      <c r="JL591"/>
      <c r="JM591"/>
      <c r="JN591"/>
    </row>
    <row r="592" spans="1:274" s="698" customFormat="1" ht="12.75" hidden="1" customHeight="1" outlineLevel="1" x14ac:dyDescent="0.2">
      <c r="A592" s="702" t="s">
        <v>1222</v>
      </c>
      <c r="B592" s="697"/>
      <c r="AZ592" s="698">
        <v>0</v>
      </c>
      <c r="BA592" s="698">
        <v>0</v>
      </c>
      <c r="BC592" s="606">
        <v>168</v>
      </c>
      <c r="BE592" s="243">
        <v>44</v>
      </c>
      <c r="BF592" s="457">
        <v>44</v>
      </c>
      <c r="BG592" s="457">
        <v>46.4</v>
      </c>
      <c r="BH592" s="457">
        <f>BI592-BG592-BF592-BE592</f>
        <v>53.599999999999994</v>
      </c>
      <c r="BI592" s="606">
        <v>188</v>
      </c>
      <c r="BJ592" s="457"/>
      <c r="BK592" s="457">
        <v>43</v>
      </c>
      <c r="BL592" s="457">
        <v>44</v>
      </c>
      <c r="BM592" s="457">
        <v>43</v>
      </c>
      <c r="BN592" s="457">
        <f>BO592-BM592-BL592-BK592</f>
        <v>45</v>
      </c>
      <c r="BO592" s="606">
        <v>175</v>
      </c>
      <c r="BP592" s="457"/>
      <c r="BQ592" s="457">
        <v>46</v>
      </c>
      <c r="BR592" s="457">
        <v>56</v>
      </c>
      <c r="BS592" s="457">
        <v>53</v>
      </c>
      <c r="BT592" s="457">
        <f>BU592-BS592-BR592-BQ592</f>
        <v>52</v>
      </c>
      <c r="BU592" s="606">
        <v>207</v>
      </c>
      <c r="BW592" s="457">
        <v>51</v>
      </c>
      <c r="BX592" s="457">
        <v>55</v>
      </c>
      <c r="BY592" s="457">
        <v>66</v>
      </c>
      <c r="BZ592" s="457">
        <f>CA592-BY592-BX592-BW592</f>
        <v>102</v>
      </c>
      <c r="CA592" s="606">
        <v>274</v>
      </c>
      <c r="CC592" s="457">
        <v>72</v>
      </c>
      <c r="CD592" s="457">
        <v>79</v>
      </c>
      <c r="CE592" s="457">
        <v>96</v>
      </c>
      <c r="CF592" s="457">
        <f>CG592-CE592-CD592-CC592</f>
        <v>125</v>
      </c>
      <c r="CG592" s="606">
        <v>372</v>
      </c>
      <c r="CI592" s="457">
        <v>129</v>
      </c>
      <c r="CJ592" s="457">
        <v>137</v>
      </c>
      <c r="CK592" s="457">
        <v>135</v>
      </c>
      <c r="CL592" s="457">
        <f>CM592-CK592-CJ592-CI592</f>
        <v>128</v>
      </c>
      <c r="CM592" s="606">
        <v>529</v>
      </c>
      <c r="CO592" s="457">
        <v>140</v>
      </c>
      <c r="CP592" s="457">
        <v>143</v>
      </c>
      <c r="CQ592" s="457">
        <v>142</v>
      </c>
      <c r="CR592" s="457">
        <f>CS592-CQ592-CP592-CO592</f>
        <v>144</v>
      </c>
      <c r="CS592" s="606">
        <v>569</v>
      </c>
      <c r="CU592" s="33">
        <v>145</v>
      </c>
      <c r="CV592" s="33">
        <v>136</v>
      </c>
      <c r="CW592" s="33">
        <v>134</v>
      </c>
      <c r="CX592" s="33">
        <f>CY592-CW592-CV592-CU592</f>
        <v>151</v>
      </c>
      <c r="CY592" s="606">
        <v>566</v>
      </c>
      <c r="DA592" s="243">
        <v>123</v>
      </c>
      <c r="DB592" s="33">
        <v>131</v>
      </c>
      <c r="DC592" s="33">
        <v>172</v>
      </c>
      <c r="DD592" s="33">
        <f>DE592-DC592-DB592-DA592</f>
        <v>253</v>
      </c>
      <c r="DE592" s="606">
        <v>679</v>
      </c>
      <c r="DG592" s="33">
        <v>250</v>
      </c>
      <c r="DH592" s="243">
        <v>260</v>
      </c>
      <c r="DI592" s="33">
        <v>262</v>
      </c>
      <c r="DJ592" s="33">
        <f>DK592-DI592-DH592-DG592</f>
        <v>270</v>
      </c>
      <c r="DK592" s="606">
        <v>1042</v>
      </c>
      <c r="DM592" s="33"/>
      <c r="DO592" s="33"/>
      <c r="DP592" s="33"/>
      <c r="DQ592" s="606">
        <f>288+72</f>
        <v>360</v>
      </c>
      <c r="DS592" s="33"/>
      <c r="DV592" s="33"/>
      <c r="DW592" s="606">
        <v>296</v>
      </c>
      <c r="DY592" s="33">
        <v>67</v>
      </c>
      <c r="DZ592" s="33">
        <v>71</v>
      </c>
      <c r="EA592" s="33">
        <v>72</v>
      </c>
      <c r="EB592" s="33">
        <f>EC592-EA592-DZ592-DY592</f>
        <v>94</v>
      </c>
      <c r="EC592" s="606">
        <v>304</v>
      </c>
      <c r="EE592" s="33">
        <v>76</v>
      </c>
      <c r="EF592" s="33">
        <v>83</v>
      </c>
      <c r="EG592" s="33">
        <v>84</v>
      </c>
      <c r="EH592" s="33">
        <f>EI592-EG592-EF592-EE592</f>
        <v>86</v>
      </c>
      <c r="EI592" s="606">
        <v>329</v>
      </c>
      <c r="EK592" s="33">
        <v>85</v>
      </c>
      <c r="EL592" s="33">
        <v>88</v>
      </c>
      <c r="EM592" s="33">
        <v>84</v>
      </c>
      <c r="EN592" s="33">
        <f>EO592-EM592-EL592-EK592</f>
        <v>95</v>
      </c>
      <c r="EO592" s="606">
        <v>352</v>
      </c>
      <c r="EQ592" s="33">
        <v>93</v>
      </c>
      <c r="ER592" s="33">
        <v>107</v>
      </c>
      <c r="ES592" s="33">
        <v>122</v>
      </c>
      <c r="ET592" s="33"/>
      <c r="EU592" s="606"/>
      <c r="FA592" s="699"/>
      <c r="FG592" s="699"/>
      <c r="FM592" s="699"/>
      <c r="FO592" s="457"/>
      <c r="FQ592"/>
      <c r="FR592"/>
      <c r="FS592"/>
      <c r="FT592"/>
      <c r="FU592"/>
      <c r="FV592"/>
      <c r="GB592" s="24"/>
      <c r="GC592" s="24"/>
      <c r="GD592" s="24"/>
      <c r="GE592" s="24"/>
      <c r="GF592" s="24"/>
      <c r="GG592" s="24"/>
      <c r="GH592" s="24"/>
      <c r="GI592" s="24"/>
      <c r="GJ592"/>
      <c r="GK592"/>
      <c r="GL592"/>
      <c r="GM592"/>
      <c r="GN592"/>
      <c r="GO592"/>
      <c r="GP592"/>
      <c r="GQ592"/>
      <c r="GR592"/>
      <c r="GS592"/>
      <c r="GT592"/>
      <c r="GU592"/>
      <c r="GV592"/>
      <c r="GW592"/>
      <c r="GX592"/>
      <c r="GY592"/>
      <c r="GZ592"/>
      <c r="HA592"/>
      <c r="HB592"/>
      <c r="HC592"/>
      <c r="HD592"/>
      <c r="HE592"/>
      <c r="HF592"/>
      <c r="HG592"/>
      <c r="HH592"/>
      <c r="HI592"/>
      <c r="HJ592"/>
      <c r="HK592"/>
      <c r="HL592"/>
      <c r="HM592"/>
      <c r="HN592"/>
      <c r="HO592"/>
      <c r="HP592"/>
      <c r="HQ592"/>
      <c r="HR592"/>
      <c r="HS592"/>
      <c r="HT592"/>
      <c r="HU592"/>
      <c r="HV592"/>
      <c r="HW592"/>
      <c r="HX592"/>
      <c r="HY592"/>
      <c r="HZ592"/>
      <c r="IA592"/>
      <c r="IB592"/>
      <c r="IC592"/>
      <c r="ID592"/>
      <c r="IE592"/>
      <c r="IF592"/>
      <c r="IG592"/>
      <c r="IH592"/>
      <c r="II592"/>
      <c r="IJ592"/>
      <c r="IK592"/>
      <c r="IL592"/>
      <c r="IM592"/>
      <c r="IN592"/>
      <c r="IO592"/>
      <c r="IP592"/>
      <c r="IQ592"/>
      <c r="IR592"/>
      <c r="IS592"/>
      <c r="IT592"/>
      <c r="IU592"/>
      <c r="IV592"/>
      <c r="IW592"/>
      <c r="IX592"/>
      <c r="IY592"/>
      <c r="IZ592"/>
      <c r="JA592"/>
      <c r="JB592"/>
      <c r="JC592"/>
      <c r="JD592"/>
      <c r="JE592"/>
      <c r="JF592"/>
      <c r="JG592"/>
      <c r="JH592"/>
      <c r="JI592"/>
      <c r="JJ592"/>
      <c r="JK592"/>
      <c r="JL592"/>
      <c r="JM592"/>
      <c r="JN592"/>
    </row>
    <row r="593" spans="1:274" s="698" customFormat="1" ht="12.75" hidden="1" customHeight="1" outlineLevel="1" x14ac:dyDescent="0.2">
      <c r="A593" s="702" t="s">
        <v>1223</v>
      </c>
      <c r="B593" s="697"/>
      <c r="BC593" s="606"/>
      <c r="BE593" s="243"/>
      <c r="BF593" s="457"/>
      <c r="BG593" s="457"/>
      <c r="BH593" s="457"/>
      <c r="BI593" s="606"/>
      <c r="BJ593" s="457"/>
      <c r="BK593" s="457"/>
      <c r="BL593" s="457"/>
      <c r="BM593" s="457"/>
      <c r="BN593" s="457"/>
      <c r="BO593" s="606"/>
      <c r="BP593" s="457"/>
      <c r="BQ593" s="457"/>
      <c r="BR593" s="457"/>
      <c r="BS593" s="457"/>
      <c r="BT593" s="457"/>
      <c r="BU593" s="606"/>
      <c r="BW593" s="457"/>
      <c r="BX593" s="457"/>
      <c r="BY593" s="457"/>
      <c r="BZ593" s="457"/>
      <c r="CA593" s="606"/>
      <c r="CC593" s="457"/>
      <c r="CD593" s="457"/>
      <c r="CE593" s="457"/>
      <c r="CF593" s="457"/>
      <c r="CG593" s="606"/>
      <c r="CI593" s="457"/>
      <c r="CJ593" s="457"/>
      <c r="CK593" s="457"/>
      <c r="CL593" s="457"/>
      <c r="CM593" s="606"/>
      <c r="CO593" s="457"/>
      <c r="CP593" s="457"/>
      <c r="CQ593" s="457"/>
      <c r="CR593" s="457"/>
      <c r="CS593" s="606"/>
      <c r="CU593" s="33"/>
      <c r="CV593" s="33"/>
      <c r="CW593" s="33"/>
      <c r="CX593" s="33"/>
      <c r="CY593" s="606"/>
      <c r="DA593" s="243"/>
      <c r="DB593" s="33"/>
      <c r="DC593" s="33"/>
      <c r="DD593" s="33"/>
      <c r="DE593" s="606"/>
      <c r="DG593" s="33"/>
      <c r="DH593" s="243"/>
      <c r="DI593" s="33"/>
      <c r="DJ593" s="33"/>
      <c r="DK593" s="606"/>
      <c r="DM593" s="33"/>
      <c r="DO593" s="33"/>
      <c r="DP593" s="33"/>
      <c r="DQ593" s="606"/>
      <c r="DS593" s="33"/>
      <c r="DV593" s="33"/>
      <c r="DW593" s="606">
        <v>61</v>
      </c>
      <c r="DY593" s="33">
        <v>20</v>
      </c>
      <c r="DZ593" s="33">
        <v>16</v>
      </c>
      <c r="EA593" s="33">
        <v>13</v>
      </c>
      <c r="EB593" s="33">
        <f>EC593-EA593-DZ593-DY593</f>
        <v>12</v>
      </c>
      <c r="EC593" s="606">
        <v>61</v>
      </c>
      <c r="EE593" s="33">
        <v>18</v>
      </c>
      <c r="EF593" s="33">
        <v>21</v>
      </c>
      <c r="EG593" s="33">
        <v>25</v>
      </c>
      <c r="EH593" s="33">
        <f>EI593-EG593-EF593-EE593</f>
        <v>25</v>
      </c>
      <c r="EI593" s="606">
        <v>89</v>
      </c>
      <c r="EK593" s="33">
        <v>22</v>
      </c>
      <c r="EL593" s="33">
        <v>15</v>
      </c>
      <c r="EM593" s="33">
        <v>17</v>
      </c>
      <c r="EN593" s="33">
        <f>EO593-EM593-EL593-EK593</f>
        <v>20</v>
      </c>
      <c r="EO593" s="606">
        <v>74</v>
      </c>
      <c r="EQ593" s="33">
        <v>16</v>
      </c>
      <c r="ER593" s="33">
        <v>16</v>
      </c>
      <c r="ES593" s="33">
        <v>14</v>
      </c>
      <c r="ET593" s="33"/>
      <c r="EU593" s="606"/>
      <c r="FA593" s="699"/>
      <c r="FG593" s="699"/>
      <c r="FM593" s="699"/>
      <c r="FO593" s="457"/>
      <c r="FQ593"/>
      <c r="FR593"/>
      <c r="FS593"/>
      <c r="FT593"/>
      <c r="FU593"/>
      <c r="FV593"/>
      <c r="GB593" s="24"/>
      <c r="GC593" s="24"/>
      <c r="GD593" s="24"/>
      <c r="GE593" s="24"/>
      <c r="GF593" s="24"/>
      <c r="GG593" s="24"/>
      <c r="GH593" s="24"/>
      <c r="GI593" s="24"/>
      <c r="GJ593"/>
      <c r="GK593"/>
      <c r="GL593"/>
      <c r="GM593"/>
      <c r="GN593"/>
      <c r="GO593"/>
      <c r="GP593"/>
      <c r="GQ593"/>
      <c r="GR593"/>
      <c r="GS593"/>
      <c r="GT593"/>
      <c r="GU593"/>
      <c r="GV593"/>
      <c r="GW593"/>
      <c r="GX593"/>
      <c r="GY593"/>
      <c r="GZ593"/>
      <c r="HA593"/>
      <c r="HB593"/>
      <c r="HC593"/>
      <c r="HD593"/>
      <c r="HE593"/>
      <c r="HF593"/>
      <c r="HG593"/>
      <c r="HH593"/>
      <c r="HI593"/>
      <c r="HJ593"/>
      <c r="HK593"/>
      <c r="HL593"/>
      <c r="HM593"/>
      <c r="HN593"/>
      <c r="HO593"/>
      <c r="HP593"/>
      <c r="HQ593"/>
      <c r="HR593"/>
      <c r="HS593"/>
      <c r="HT593"/>
      <c r="HU593"/>
      <c r="HV593"/>
      <c r="HW593"/>
      <c r="HX593"/>
      <c r="HY593"/>
      <c r="HZ593"/>
      <c r="IA593"/>
      <c r="IB593"/>
      <c r="IC593"/>
      <c r="ID593"/>
      <c r="IE593"/>
      <c r="IF593"/>
      <c r="IG593"/>
      <c r="IH593"/>
      <c r="II593"/>
      <c r="IJ593"/>
      <c r="IK593"/>
      <c r="IL593"/>
      <c r="IM593"/>
      <c r="IN593"/>
      <c r="IO593"/>
      <c r="IP593"/>
      <c r="IQ593"/>
      <c r="IR593"/>
      <c r="IS593"/>
      <c r="IT593"/>
      <c r="IU593"/>
      <c r="IV593"/>
      <c r="IW593"/>
      <c r="IX593"/>
      <c r="IY593"/>
      <c r="IZ593"/>
      <c r="JA593"/>
      <c r="JB593"/>
      <c r="JC593"/>
      <c r="JD593"/>
      <c r="JE593"/>
      <c r="JF593"/>
      <c r="JG593"/>
      <c r="JH593"/>
      <c r="JI593"/>
      <c r="JJ593"/>
      <c r="JK593"/>
      <c r="JL593"/>
      <c r="JM593"/>
      <c r="JN593"/>
    </row>
    <row r="594" spans="1:274" s="698" customFormat="1" ht="12.75" hidden="1" customHeight="1" outlineLevel="1" x14ac:dyDescent="0.2">
      <c r="A594" s="703" t="s">
        <v>1080</v>
      </c>
      <c r="B594" s="697"/>
      <c r="C594" s="704"/>
      <c r="D594" s="704"/>
      <c r="E594" s="704"/>
      <c r="F594" s="704"/>
      <c r="G594" s="704"/>
      <c r="H594" s="704"/>
      <c r="I594" s="704"/>
      <c r="J594" s="704"/>
      <c r="K594" s="704"/>
      <c r="L594" s="704"/>
      <c r="M594" s="704"/>
      <c r="N594" s="704"/>
      <c r="O594" s="704"/>
      <c r="P594" s="704"/>
      <c r="Q594" s="704"/>
      <c r="R594" s="704"/>
      <c r="S594" s="704"/>
      <c r="T594" s="704"/>
      <c r="U594" s="704"/>
      <c r="V594" s="704"/>
      <c r="W594" s="704"/>
      <c r="X594" s="704"/>
      <c r="Y594" s="704"/>
      <c r="Z594" s="704"/>
      <c r="AA594" s="704"/>
      <c r="AB594" s="704"/>
      <c r="AC594" s="704"/>
      <c r="AD594" s="704"/>
      <c r="AE594" s="704"/>
      <c r="AF594" s="704"/>
      <c r="AG594" s="704"/>
      <c r="AH594" s="704"/>
      <c r="AI594" s="704"/>
      <c r="AJ594" s="704"/>
      <c r="AK594" s="704"/>
      <c r="AL594" s="704"/>
      <c r="AM594" s="704"/>
      <c r="AN594" s="704"/>
      <c r="AO594" s="704"/>
      <c r="AP594" s="704"/>
      <c r="AQ594" s="704"/>
      <c r="AR594" s="704"/>
      <c r="AS594" s="704"/>
      <c r="AT594" s="704"/>
      <c r="AU594" s="704"/>
      <c r="AV594" s="704"/>
      <c r="AW594" s="704"/>
      <c r="AX594" s="704"/>
      <c r="AY594" s="704"/>
      <c r="AZ594" s="704"/>
      <c r="BA594" s="704"/>
      <c r="BB594" s="704"/>
      <c r="BC594" s="705">
        <f>BC591-BC592</f>
        <v>116</v>
      </c>
      <c r="BD594" s="704"/>
      <c r="BE594" s="73">
        <f>BE591-BE592</f>
        <v>39</v>
      </c>
      <c r="BF594" s="73">
        <f>BF591-BF592</f>
        <v>39</v>
      </c>
      <c r="BG594" s="73">
        <f>BG591-BG592</f>
        <v>28.1</v>
      </c>
      <c r="BH594" s="73">
        <f>BH591-BH592</f>
        <v>26.900000000000006</v>
      </c>
      <c r="BI594" s="705">
        <f>BI591-BI592</f>
        <v>133</v>
      </c>
      <c r="BJ594" s="73"/>
      <c r="BK594" s="73">
        <f>BK591-BK592</f>
        <v>21</v>
      </c>
      <c r="BL594" s="73">
        <f>BL591-BL592</f>
        <v>20</v>
      </c>
      <c r="BM594" s="73">
        <f>BM591-BM592</f>
        <v>20</v>
      </c>
      <c r="BN594" s="73">
        <f>BN591-BN592</f>
        <v>21</v>
      </c>
      <c r="BO594" s="705">
        <f>BO591-BO592</f>
        <v>82</v>
      </c>
      <c r="BP594" s="73"/>
      <c r="BQ594" s="73">
        <f>BQ591-BQ592</f>
        <v>14</v>
      </c>
      <c r="BR594" s="73">
        <f>BR591-BR592</f>
        <v>9</v>
      </c>
      <c r="BS594" s="73">
        <f>BS591-BS592</f>
        <v>9</v>
      </c>
      <c r="BT594" s="73">
        <f>BT591-BT592</f>
        <v>19</v>
      </c>
      <c r="BU594" s="705">
        <f>BU591-BU592</f>
        <v>51</v>
      </c>
      <c r="BV594" s="704"/>
      <c r="BW594" s="73">
        <f>BW591-BW592</f>
        <v>20</v>
      </c>
      <c r="BX594" s="73">
        <f>BX591-BX592</f>
        <v>18</v>
      </c>
      <c r="BY594" s="73">
        <f>BY591-BY592</f>
        <v>11</v>
      </c>
      <c r="BZ594" s="73">
        <f>BZ591-BZ592</f>
        <v>-16</v>
      </c>
      <c r="CA594" s="705">
        <f>CA591-CA592</f>
        <v>33</v>
      </c>
      <c r="CB594" s="704"/>
      <c r="CC594" s="73">
        <f>CC591-CC592</f>
        <v>12</v>
      </c>
      <c r="CD594" s="73">
        <f>CD591-CD592</f>
        <v>8</v>
      </c>
      <c r="CE594" s="73">
        <f>CE591-CE592</f>
        <v>0</v>
      </c>
      <c r="CF594" s="73">
        <f>CF591-CF592</f>
        <v>6</v>
      </c>
      <c r="CG594" s="705">
        <f>CG591-CG592</f>
        <v>26</v>
      </c>
      <c r="CH594" s="704"/>
      <c r="CI594" s="73">
        <f>CI591-CI592</f>
        <v>-4</v>
      </c>
      <c r="CJ594" s="73">
        <f>CJ591-CJ592</f>
        <v>3</v>
      </c>
      <c r="CK594" s="73">
        <f>CK591-CK592</f>
        <v>7</v>
      </c>
      <c r="CL594" s="73">
        <f>CL591-CL592</f>
        <v>20</v>
      </c>
      <c r="CM594" s="705">
        <f>CM591-CM592</f>
        <v>26</v>
      </c>
      <c r="CN594" s="704"/>
      <c r="CO594" s="73">
        <f>CO591-CO592</f>
        <v>18</v>
      </c>
      <c r="CP594" s="73">
        <f>CP591-CP592</f>
        <v>24</v>
      </c>
      <c r="CQ594" s="73">
        <f>CQ591-CQ592</f>
        <v>32</v>
      </c>
      <c r="CR594" s="73">
        <f>CR591-CR592</f>
        <v>52</v>
      </c>
      <c r="CS594" s="705">
        <f>CS591-CS592</f>
        <v>126</v>
      </c>
      <c r="CT594" s="704"/>
      <c r="CU594" s="73">
        <f>CU591-CU592</f>
        <v>50</v>
      </c>
      <c r="CV594" s="73">
        <f>CV591-CV592</f>
        <v>53</v>
      </c>
      <c r="CW594" s="73">
        <f>CW591-CW592</f>
        <v>57</v>
      </c>
      <c r="CX594" s="73">
        <f>CX591-CX592</f>
        <v>54</v>
      </c>
      <c r="CY594" s="705">
        <f>CY591-CY592</f>
        <v>214</v>
      </c>
      <c r="CZ594" s="704"/>
      <c r="DA594" s="73">
        <f>DA591-DA592</f>
        <v>57</v>
      </c>
      <c r="DB594" s="73">
        <f>DB591-DB592</f>
        <v>57</v>
      </c>
      <c r="DC594" s="73">
        <f>DC591-DC592</f>
        <v>42</v>
      </c>
      <c r="DD594" s="73">
        <f>DD591-DD592</f>
        <v>52</v>
      </c>
      <c r="DE594" s="705">
        <f>DE591-DE592</f>
        <v>208</v>
      </c>
      <c r="DF594" s="704"/>
      <c r="DG594" s="73">
        <f>DG591-DG592</f>
        <v>72</v>
      </c>
      <c r="DH594" s="73">
        <f>DH591-DH592</f>
        <v>93</v>
      </c>
      <c r="DI594" s="73">
        <f>DI591-DI592</f>
        <v>77</v>
      </c>
      <c r="DJ594" s="73">
        <f>DJ591-DJ592</f>
        <v>92</v>
      </c>
      <c r="DK594" s="705">
        <f>DK591-DK592</f>
        <v>334</v>
      </c>
      <c r="DL594" s="704"/>
      <c r="DM594" s="73"/>
      <c r="DN594" s="704"/>
      <c r="DO594" s="73"/>
      <c r="DP594" s="73"/>
      <c r="DQ594" s="705">
        <f>DQ591-DQ592</f>
        <v>123</v>
      </c>
      <c r="DR594" s="704"/>
      <c r="DS594" s="73"/>
      <c r="DT594" s="704"/>
      <c r="DU594" s="704"/>
      <c r="DV594" s="73"/>
      <c r="DW594" s="705">
        <f>DW591-DW592-DW593</f>
        <v>100</v>
      </c>
      <c r="DX594" s="704"/>
      <c r="DY594" s="73">
        <f>DY591-DY592-DY593</f>
        <v>22</v>
      </c>
      <c r="DZ594" s="73">
        <f>DZ591-DZ592-DZ593</f>
        <v>10</v>
      </c>
      <c r="EA594" s="73">
        <f>EA591-EA592-EA593</f>
        <v>36</v>
      </c>
      <c r="EB594" s="73">
        <f>EB591-EB592-EB593</f>
        <v>23</v>
      </c>
      <c r="EC594" s="705">
        <f>EC591-EC592-EC593</f>
        <v>91</v>
      </c>
      <c r="ED594" s="704"/>
      <c r="EE594" s="73">
        <f>EE591-EE592-EE593</f>
        <v>44</v>
      </c>
      <c r="EF594" s="73">
        <f>EF591-EF592-EF593</f>
        <v>51</v>
      </c>
      <c r="EG594" s="73">
        <f>EG591-EG592-EG593</f>
        <v>46</v>
      </c>
      <c r="EH594" s="73">
        <f>EH591-EH592-EH593</f>
        <v>49</v>
      </c>
      <c r="EI594" s="705">
        <f>EI591-EI592-EI593</f>
        <v>190</v>
      </c>
      <c r="EJ594" s="704"/>
      <c r="EK594" s="73">
        <f>EK591-EK592-EK593</f>
        <v>53</v>
      </c>
      <c r="EL594" s="73">
        <f>EL591-EL592-EL593</f>
        <v>62</v>
      </c>
      <c r="EM594" s="73">
        <f>EM591-EM592-EM593</f>
        <v>51</v>
      </c>
      <c r="EN594" s="73">
        <f>EN591-EN592-EN593</f>
        <v>54</v>
      </c>
      <c r="EO594" s="705">
        <f>EO591-EO592-EO593</f>
        <v>220</v>
      </c>
      <c r="EP594" s="704"/>
      <c r="EQ594" s="73">
        <f>EQ591-EQ592-EQ593</f>
        <v>62</v>
      </c>
      <c r="ER594" s="73">
        <f>ER591-ER592-ER593</f>
        <v>52</v>
      </c>
      <c r="ES594" s="73">
        <f>ES591-ES592-ES593</f>
        <v>42</v>
      </c>
      <c r="ET594" s="73"/>
      <c r="EU594" s="705"/>
      <c r="EV594" s="704"/>
      <c r="EW594" s="704"/>
      <c r="EX594" s="704"/>
      <c r="EY594" s="704"/>
      <c r="EZ594" s="704"/>
      <c r="FA594" s="706"/>
      <c r="FB594" s="704"/>
      <c r="FC594" s="704"/>
      <c r="FD594" s="704"/>
      <c r="FE594" s="704"/>
      <c r="FF594" s="704"/>
      <c r="FG594" s="706"/>
      <c r="FH594" s="704"/>
      <c r="FI594" s="704"/>
      <c r="FJ594" s="704"/>
      <c r="FK594" s="704"/>
      <c r="FL594" s="704"/>
      <c r="FM594" s="706"/>
      <c r="FO594" s="457"/>
      <c r="FQ594"/>
      <c r="FR594"/>
      <c r="FS594"/>
      <c r="FT594"/>
      <c r="FU594"/>
      <c r="FV594"/>
      <c r="GB594" s="24"/>
      <c r="GC594" s="24"/>
      <c r="GD594" s="24"/>
      <c r="GE594" s="24"/>
      <c r="GF594" s="24"/>
      <c r="GG594" s="24"/>
      <c r="GH594" s="24"/>
      <c r="GI594" s="24"/>
      <c r="GJ594"/>
      <c r="GK594"/>
      <c r="GL594"/>
      <c r="GM594"/>
      <c r="GN594"/>
      <c r="GO594"/>
      <c r="GP594"/>
      <c r="GQ594"/>
      <c r="GR594"/>
      <c r="GS594"/>
      <c r="GT594"/>
      <c r="GU594"/>
      <c r="GV594"/>
      <c r="GW594"/>
      <c r="GX594"/>
      <c r="GY594"/>
      <c r="GZ594"/>
      <c r="HA594"/>
      <c r="HB594"/>
      <c r="HC594"/>
      <c r="HD594"/>
      <c r="HE594"/>
      <c r="HF594"/>
      <c r="HG594"/>
      <c r="HH594"/>
      <c r="HI594"/>
      <c r="HJ594"/>
      <c r="HK594"/>
      <c r="HL594"/>
      <c r="HM594"/>
      <c r="HN594"/>
      <c r="HO594"/>
      <c r="HP594"/>
      <c r="HQ594"/>
      <c r="HR594"/>
      <c r="HS594"/>
      <c r="HT594"/>
      <c r="HU594"/>
      <c r="HV594"/>
      <c r="HW594"/>
      <c r="HX594"/>
      <c r="HY594"/>
      <c r="HZ594"/>
      <c r="IA594"/>
      <c r="IB594"/>
      <c r="IC594"/>
      <c r="ID594"/>
      <c r="IE594"/>
      <c r="IF594"/>
      <c r="IG594"/>
      <c r="IH594"/>
      <c r="II594"/>
      <c r="IJ594"/>
      <c r="IK594"/>
      <c r="IL594"/>
      <c r="IM594"/>
      <c r="IN594"/>
      <c r="IO594"/>
      <c r="IP594"/>
      <c r="IQ594"/>
      <c r="IR594"/>
      <c r="IS594"/>
      <c r="IT594"/>
      <c r="IU594"/>
      <c r="IV594"/>
      <c r="IW594"/>
      <c r="IX594"/>
      <c r="IY594"/>
      <c r="IZ594"/>
      <c r="JA594"/>
      <c r="JB594"/>
      <c r="JC594"/>
      <c r="JD594"/>
      <c r="JE594"/>
      <c r="JF594"/>
      <c r="JG594"/>
      <c r="JH594"/>
      <c r="JI594"/>
      <c r="JJ594"/>
      <c r="JK594"/>
      <c r="JL594"/>
      <c r="JM594"/>
      <c r="JN594"/>
    </row>
    <row r="595" spans="1:274" s="698" customFormat="1" ht="12.75" hidden="1" customHeight="1" outlineLevel="1" x14ac:dyDescent="0.2">
      <c r="A595" s="703" t="s">
        <v>1081</v>
      </c>
      <c r="B595" s="697"/>
      <c r="C595" s="704"/>
      <c r="D595" s="704"/>
      <c r="E595" s="704"/>
      <c r="F595" s="704"/>
      <c r="G595" s="704"/>
      <c r="H595" s="704"/>
      <c r="I595" s="704"/>
      <c r="J595" s="704"/>
      <c r="K595" s="704"/>
      <c r="L595" s="704"/>
      <c r="M595" s="704"/>
      <c r="N595" s="704"/>
      <c r="O595" s="704"/>
      <c r="P595" s="704"/>
      <c r="Q595" s="704"/>
      <c r="R595" s="704"/>
      <c r="S595" s="704"/>
      <c r="T595" s="704"/>
      <c r="U595" s="704"/>
      <c r="V595" s="704"/>
      <c r="W595" s="704"/>
      <c r="X595" s="704"/>
      <c r="Y595" s="704"/>
      <c r="Z595" s="704"/>
      <c r="AA595" s="704"/>
      <c r="AB595" s="704"/>
      <c r="AC595" s="704"/>
      <c r="AD595" s="704"/>
      <c r="AE595" s="704"/>
      <c r="AF595" s="704"/>
      <c r="AG595" s="704"/>
      <c r="AH595" s="704"/>
      <c r="AI595" s="704"/>
      <c r="AJ595" s="704"/>
      <c r="AK595" s="704"/>
      <c r="AL595" s="704"/>
      <c r="AM595" s="704"/>
      <c r="AN595" s="704"/>
      <c r="AO595" s="704"/>
      <c r="AP595" s="704"/>
      <c r="AQ595" s="704"/>
      <c r="AR595" s="704"/>
      <c r="AS595" s="704"/>
      <c r="AT595" s="704"/>
      <c r="AU595" s="704"/>
      <c r="AV595" s="704"/>
      <c r="AW595" s="704"/>
      <c r="AX595" s="704"/>
      <c r="AY595" s="704"/>
      <c r="AZ595" s="704"/>
      <c r="BA595" s="704"/>
      <c r="BB595" s="704"/>
      <c r="BC595" s="707">
        <f>BC594/BC591</f>
        <v>0.40845070422535212</v>
      </c>
      <c r="BD595" s="704"/>
      <c r="BE595" s="70">
        <f>BE594/BE591</f>
        <v>0.46987951807228917</v>
      </c>
      <c r="BF595" s="70">
        <f>BF594/BF591</f>
        <v>0.46987951807228917</v>
      </c>
      <c r="BG595" s="70">
        <f>BG594/BG591</f>
        <v>0.37718120805369132</v>
      </c>
      <c r="BH595" s="70">
        <f>BH594/BH591</f>
        <v>0.33416149068322987</v>
      </c>
      <c r="BI595" s="707">
        <f>BI594/BI591</f>
        <v>0.41433021806853582</v>
      </c>
      <c r="BJ595" s="704"/>
      <c r="BK595" s="70">
        <f>BK594/BK591</f>
        <v>0.328125</v>
      </c>
      <c r="BL595" s="70">
        <f>BL594/BL591</f>
        <v>0.3125</v>
      </c>
      <c r="BM595" s="70">
        <f>BM594/BM591</f>
        <v>0.31746031746031744</v>
      </c>
      <c r="BN595" s="70">
        <f>BN594/BN591</f>
        <v>0.31818181818181818</v>
      </c>
      <c r="BO595" s="707">
        <f>BO594/BO591</f>
        <v>0.31906614785992216</v>
      </c>
      <c r="BP595" s="704"/>
      <c r="BQ595" s="70">
        <f>BQ594/BQ591</f>
        <v>0.23333333333333334</v>
      </c>
      <c r="BR595" s="70">
        <f>BR594/BR591</f>
        <v>0.13846153846153847</v>
      </c>
      <c r="BS595" s="70">
        <f>BS594/BS591</f>
        <v>0.14516129032258066</v>
      </c>
      <c r="BT595" s="70">
        <f>BT594/BT591</f>
        <v>0.26760563380281688</v>
      </c>
      <c r="BU595" s="707">
        <f>BU594/BU591</f>
        <v>0.19767441860465115</v>
      </c>
      <c r="BV595" s="704"/>
      <c r="BW595" s="70">
        <f>BW594/BW591</f>
        <v>0.28169014084507044</v>
      </c>
      <c r="BX595" s="70">
        <f>BX594/BX591</f>
        <v>0.24657534246575341</v>
      </c>
      <c r="BY595" s="70">
        <f>BY594/BY591</f>
        <v>0.14285714285714285</v>
      </c>
      <c r="BZ595" s="70">
        <f>BZ594/BZ591</f>
        <v>-0.18604651162790697</v>
      </c>
      <c r="CA595" s="707">
        <f>CA594/CA591</f>
        <v>0.10749185667752444</v>
      </c>
      <c r="CB595" s="704"/>
      <c r="CC595" s="70">
        <f>CC594/CC591</f>
        <v>0.14285714285714285</v>
      </c>
      <c r="CD595" s="70">
        <f>CD594/CD591</f>
        <v>9.1954022988505746E-2</v>
      </c>
      <c r="CE595" s="70">
        <f>CE594/CE591</f>
        <v>0</v>
      </c>
      <c r="CF595" s="70">
        <f>CF594/CF591</f>
        <v>4.5801526717557252E-2</v>
      </c>
      <c r="CG595" s="707">
        <f>CG594/CG591</f>
        <v>6.5326633165829151E-2</v>
      </c>
      <c r="CH595" s="704"/>
      <c r="CI595" s="70">
        <f>CI594/CI591</f>
        <v>-3.2000000000000001E-2</v>
      </c>
      <c r="CJ595" s="70">
        <f>CJ594/CJ591</f>
        <v>2.1428571428571429E-2</v>
      </c>
      <c r="CK595" s="70">
        <f>CK594/CK591</f>
        <v>4.9295774647887321E-2</v>
      </c>
      <c r="CL595" s="70">
        <f>CL594/CL591</f>
        <v>0.13513513513513514</v>
      </c>
      <c r="CM595" s="707">
        <f>CM594/CM591</f>
        <v>4.6846846846846847E-2</v>
      </c>
      <c r="CN595" s="704"/>
      <c r="CO595" s="70">
        <f>CO594/CO591</f>
        <v>0.11392405063291139</v>
      </c>
      <c r="CP595" s="70">
        <f>CP594/CP591</f>
        <v>0.1437125748502994</v>
      </c>
      <c r="CQ595" s="70">
        <f>CQ594/CQ591</f>
        <v>0.18390804597701149</v>
      </c>
      <c r="CR595" s="70">
        <f>CR594/CR591</f>
        <v>0.26530612244897961</v>
      </c>
      <c r="CS595" s="707">
        <f>CS594/CS591</f>
        <v>0.18129496402877698</v>
      </c>
      <c r="CT595" s="704"/>
      <c r="CU595" s="70">
        <f>CU594/CU591</f>
        <v>0.25641025641025639</v>
      </c>
      <c r="CV595" s="70">
        <f>CV594/CV591</f>
        <v>0.28042328042328041</v>
      </c>
      <c r="CW595" s="70">
        <f>CW594/CW591</f>
        <v>0.29842931937172773</v>
      </c>
      <c r="CX595" s="70">
        <f>CX594/CX591</f>
        <v>0.26341463414634148</v>
      </c>
      <c r="CY595" s="707">
        <f>CY594/CY591</f>
        <v>0.27435897435897438</v>
      </c>
      <c r="CZ595" s="704"/>
      <c r="DA595" s="70">
        <f>DA594/DA591</f>
        <v>0.31666666666666665</v>
      </c>
      <c r="DB595" s="70">
        <f>DB594/DB591</f>
        <v>0.30319148936170215</v>
      </c>
      <c r="DC595" s="70">
        <f>DC594/DC591</f>
        <v>0.19626168224299065</v>
      </c>
      <c r="DD595" s="70">
        <f>DD594/DD591</f>
        <v>0.17049180327868851</v>
      </c>
      <c r="DE595" s="707">
        <f>DE594/DE591</f>
        <v>0.23449830890642615</v>
      </c>
      <c r="DF595" s="704"/>
      <c r="DG595" s="70">
        <f>DG594/DG591</f>
        <v>0.2236024844720497</v>
      </c>
      <c r="DH595" s="70">
        <f>DH594/DH591</f>
        <v>0.26345609065155806</v>
      </c>
      <c r="DI595" s="70">
        <f>DI594/DI591</f>
        <v>0.22713864306784662</v>
      </c>
      <c r="DJ595" s="70">
        <f>DJ594/DJ591</f>
        <v>0.2541436464088398</v>
      </c>
      <c r="DK595" s="707">
        <f>DK594/DK591</f>
        <v>0.24273255813953487</v>
      </c>
      <c r="DL595" s="704"/>
      <c r="DM595" s="70"/>
      <c r="DN595" s="704"/>
      <c r="DO595" s="70"/>
      <c r="DP595" s="70"/>
      <c r="DQ595" s="707">
        <f>DQ594/DQ591</f>
        <v>0.25465838509316768</v>
      </c>
      <c r="DR595" s="704"/>
      <c r="DS595" s="70"/>
      <c r="DT595" s="704"/>
      <c r="DU595" s="704"/>
      <c r="DV595" s="70"/>
      <c r="DW595" s="707">
        <f>DW594/DW591</f>
        <v>0.21881838074398249</v>
      </c>
      <c r="DX595" s="704"/>
      <c r="DY595" s="70">
        <f>DY594/DY591</f>
        <v>0.20183486238532111</v>
      </c>
      <c r="DZ595" s="70">
        <f>DZ594/DZ591</f>
        <v>0.10309278350515463</v>
      </c>
      <c r="EA595" s="70">
        <f>EA594/EA591</f>
        <v>0.2975206611570248</v>
      </c>
      <c r="EB595" s="70">
        <f>EB594/EB591</f>
        <v>0.17829457364341086</v>
      </c>
      <c r="EC595" s="707">
        <f>EC594/EC591</f>
        <v>0.19956140350877194</v>
      </c>
      <c r="ED595" s="704"/>
      <c r="EE595" s="70">
        <f>EE594/EE591</f>
        <v>0.3188405797101449</v>
      </c>
      <c r="EF595" s="70">
        <f>EF594/EF591</f>
        <v>0.32903225806451614</v>
      </c>
      <c r="EG595" s="70">
        <f>EG594/EG591</f>
        <v>0.29677419354838708</v>
      </c>
      <c r="EH595" s="70">
        <f>EH594/EH591</f>
        <v>0.30625000000000002</v>
      </c>
      <c r="EI595" s="707">
        <f>EI594/EI591</f>
        <v>0.3125</v>
      </c>
      <c r="EJ595" s="704"/>
      <c r="EK595" s="70">
        <f>EK594/EK591</f>
        <v>0.33124999999999999</v>
      </c>
      <c r="EL595" s="70">
        <f>EL594/EL591</f>
        <v>0.37575757575757573</v>
      </c>
      <c r="EM595" s="70">
        <f>EM594/EM591</f>
        <v>0.33552631578947367</v>
      </c>
      <c r="EN595" s="70">
        <f>EN594/EN591</f>
        <v>0.31952662721893493</v>
      </c>
      <c r="EO595" s="707">
        <f>EO594/EO591</f>
        <v>0.34055727554179566</v>
      </c>
      <c r="EP595" s="704"/>
      <c r="EQ595" s="70">
        <f>EQ594/EQ591</f>
        <v>0.36257309941520466</v>
      </c>
      <c r="ER595" s="70">
        <f>ER594/ER591</f>
        <v>0.29714285714285715</v>
      </c>
      <c r="ES595" s="70">
        <f>ES594/ES591</f>
        <v>0.23595505617977527</v>
      </c>
      <c r="ET595" s="70"/>
      <c r="EU595" s="707"/>
      <c r="EV595" s="704"/>
      <c r="EW595" s="704"/>
      <c r="EX595" s="704"/>
      <c r="EY595" s="704"/>
      <c r="EZ595" s="704"/>
      <c r="FA595" s="706"/>
      <c r="FB595" s="704"/>
      <c r="FC595" s="704"/>
      <c r="FD595" s="704"/>
      <c r="FE595" s="704"/>
      <c r="FF595" s="704"/>
      <c r="FG595" s="706"/>
      <c r="FH595" s="704"/>
      <c r="FI595" s="704"/>
      <c r="FJ595" s="704"/>
      <c r="FK595" s="704"/>
      <c r="FL595" s="704"/>
      <c r="FM595" s="706"/>
      <c r="FN595" s="188"/>
      <c r="FO595" s="188"/>
      <c r="FQ595"/>
      <c r="FR595"/>
      <c r="FS595"/>
      <c r="FT595"/>
      <c r="FU595"/>
      <c r="FV595"/>
      <c r="GB595" s="24"/>
      <c r="GC595" s="24"/>
      <c r="GD595" s="24"/>
      <c r="GE595" s="24"/>
      <c r="GF595" s="24"/>
      <c r="GG595" s="24"/>
      <c r="GH595" s="24"/>
      <c r="GI595" s="24"/>
      <c r="GJ595"/>
      <c r="GK595"/>
      <c r="GL595"/>
      <c r="GM595"/>
      <c r="GN595"/>
      <c r="GO595"/>
      <c r="GP595"/>
      <c r="GQ595"/>
      <c r="GR595"/>
      <c r="GS595"/>
      <c r="GT595"/>
      <c r="GU595"/>
      <c r="GV595"/>
      <c r="GW595"/>
      <c r="GX595"/>
      <c r="GY595"/>
      <c r="GZ595"/>
      <c r="HA595"/>
      <c r="HB595"/>
      <c r="HC595"/>
      <c r="HD595"/>
      <c r="HE595"/>
      <c r="HF595"/>
      <c r="HG595"/>
      <c r="HH595"/>
      <c r="HI595"/>
      <c r="HJ595"/>
      <c r="HK595"/>
      <c r="HL595"/>
      <c r="HM595"/>
      <c r="HN595"/>
      <c r="HO595"/>
      <c r="HP595"/>
      <c r="HQ595"/>
      <c r="HR595"/>
      <c r="HS595"/>
      <c r="HT595"/>
      <c r="HU595"/>
      <c r="HV595"/>
      <c r="HW595"/>
      <c r="HX595"/>
      <c r="HY595"/>
      <c r="HZ595"/>
      <c r="IA595"/>
      <c r="IB595"/>
      <c r="IC595"/>
      <c r="ID595"/>
      <c r="IE595"/>
      <c r="IF595"/>
      <c r="IG595"/>
      <c r="IH595"/>
      <c r="II595"/>
      <c r="IJ595"/>
      <c r="IK595"/>
      <c r="IL595"/>
      <c r="IM595"/>
      <c r="IN595"/>
      <c r="IO595"/>
      <c r="IP595"/>
      <c r="IQ595"/>
      <c r="IR595"/>
      <c r="IS595"/>
      <c r="IT595"/>
      <c r="IU595"/>
      <c r="IV595"/>
      <c r="IW595"/>
      <c r="IX595"/>
      <c r="IY595"/>
      <c r="IZ595"/>
      <c r="JA595"/>
      <c r="JB595"/>
      <c r="JC595"/>
      <c r="JD595"/>
      <c r="JE595"/>
      <c r="JF595"/>
      <c r="JG595"/>
      <c r="JH595"/>
      <c r="JI595"/>
      <c r="JJ595"/>
      <c r="JK595"/>
      <c r="JL595"/>
      <c r="JM595"/>
      <c r="JN595"/>
    </row>
    <row r="596" spans="1:274" s="698" customFormat="1" ht="7.5" hidden="1" customHeight="1" outlineLevel="1" x14ac:dyDescent="0.2">
      <c r="B596" s="697"/>
      <c r="BC596" s="708"/>
      <c r="BI596" s="708"/>
      <c r="BO596" s="708"/>
      <c r="BU596" s="708"/>
      <c r="CA596" s="708"/>
      <c r="CG596" s="708"/>
      <c r="CM596" s="708"/>
      <c r="CS596" s="708"/>
      <c r="CY596" s="708"/>
      <c r="DE596" s="708"/>
      <c r="DK596" s="708"/>
      <c r="DQ596" s="708"/>
      <c r="DW596" s="708"/>
      <c r="EC596" s="699"/>
      <c r="EI596" s="699"/>
      <c r="EO596" s="699"/>
      <c r="EU596" s="699"/>
      <c r="FA596" s="699"/>
      <c r="FG596" s="699"/>
      <c r="FM596" s="699"/>
      <c r="FQ596"/>
      <c r="FR596"/>
      <c r="FS596"/>
      <c r="FT596"/>
      <c r="FU596"/>
      <c r="FV596"/>
      <c r="GB596" s="24"/>
      <c r="GC596" s="24"/>
      <c r="GD596" s="24"/>
      <c r="GE596" s="24"/>
      <c r="GF596" s="24"/>
      <c r="GG596" s="24"/>
      <c r="GH596" s="24"/>
      <c r="GI596" s="24"/>
      <c r="GJ596"/>
      <c r="GK596"/>
      <c r="GL596"/>
      <c r="GM596"/>
      <c r="GN596"/>
      <c r="GO596"/>
      <c r="GP596"/>
      <c r="GQ596"/>
      <c r="GR596"/>
      <c r="GS596"/>
      <c r="GT596"/>
      <c r="GU596"/>
      <c r="GV596"/>
      <c r="GW596"/>
      <c r="GX596"/>
      <c r="GY596"/>
      <c r="GZ596"/>
      <c r="HA596"/>
      <c r="HB596"/>
      <c r="HC596"/>
      <c r="HD596"/>
      <c r="HE596"/>
      <c r="HF596"/>
      <c r="HG596"/>
      <c r="HH596"/>
      <c r="HI596"/>
      <c r="HJ596"/>
      <c r="HK596"/>
      <c r="HL596"/>
      <c r="HM596"/>
      <c r="HN596"/>
      <c r="HO596"/>
      <c r="HP596"/>
      <c r="HQ596"/>
      <c r="HR596"/>
      <c r="HS596"/>
      <c r="HT596"/>
      <c r="HU596"/>
      <c r="HV596"/>
      <c r="HW596"/>
      <c r="HX596"/>
      <c r="HY596"/>
      <c r="HZ596"/>
      <c r="IA596"/>
      <c r="IB596"/>
      <c r="IC596"/>
      <c r="ID596"/>
      <c r="IE596"/>
      <c r="IF596"/>
      <c r="IG596"/>
      <c r="IH596"/>
      <c r="II596"/>
      <c r="IJ596"/>
      <c r="IK596"/>
      <c r="IL596"/>
      <c r="IM596"/>
      <c r="IN596"/>
      <c r="IO596"/>
      <c r="IP596"/>
      <c r="IQ596"/>
      <c r="IR596"/>
      <c r="IS596"/>
      <c r="IT596"/>
      <c r="IU596"/>
      <c r="IV596"/>
      <c r="IW596"/>
      <c r="IX596"/>
      <c r="IY596"/>
      <c r="IZ596"/>
      <c r="JA596"/>
      <c r="JB596"/>
      <c r="JC596"/>
      <c r="JD596"/>
      <c r="JE596"/>
      <c r="JF596"/>
      <c r="JG596"/>
      <c r="JH596"/>
      <c r="JI596"/>
      <c r="JJ596"/>
      <c r="JK596"/>
      <c r="JL596"/>
      <c r="JM596"/>
      <c r="JN596"/>
    </row>
    <row r="597" spans="1:274" s="698" customFormat="1" ht="12.75" hidden="1" customHeight="1" outlineLevel="1" x14ac:dyDescent="0.2">
      <c r="A597" s="696" t="s">
        <v>92</v>
      </c>
      <c r="B597" s="697"/>
      <c r="BC597" s="708"/>
      <c r="BI597" s="708"/>
      <c r="BO597" s="708"/>
      <c r="BU597" s="708"/>
      <c r="CA597" s="708"/>
      <c r="CG597" s="708"/>
      <c r="CM597" s="708"/>
      <c r="CS597" s="708"/>
      <c r="CY597" s="708"/>
      <c r="DD597" s="1181">
        <f>DD595-CX595</f>
        <v>-9.2922830867652961E-2</v>
      </c>
      <c r="DE597" s="708"/>
      <c r="DJ597" s="1181">
        <f>DJ595-DD595</f>
        <v>8.3651843130151282E-2</v>
      </c>
      <c r="DK597" s="708"/>
      <c r="DP597" s="1181"/>
      <c r="DQ597" s="708"/>
      <c r="DV597" s="1181"/>
      <c r="DW597" s="708"/>
      <c r="EC597" s="1655"/>
      <c r="EI597" s="1655"/>
      <c r="EO597" s="1655"/>
      <c r="EU597" s="1655"/>
      <c r="FA597" s="699"/>
      <c r="FG597" s="699"/>
      <c r="FM597" s="699"/>
      <c r="FQ597"/>
      <c r="FR597"/>
      <c r="FS597"/>
      <c r="FT597"/>
      <c r="FU597"/>
      <c r="FV597"/>
      <c r="GB597" s="24"/>
      <c r="GC597" s="24"/>
      <c r="GD597" s="24"/>
      <c r="GE597" s="24"/>
      <c r="GF597" s="24"/>
      <c r="GG597" s="24"/>
      <c r="GH597" s="24"/>
      <c r="GI597" s="24"/>
      <c r="GJ597"/>
      <c r="GK597"/>
      <c r="GL597"/>
      <c r="GM597"/>
      <c r="GN597"/>
      <c r="GO597"/>
      <c r="GP597"/>
      <c r="GQ597"/>
      <c r="GR597"/>
      <c r="GS597"/>
      <c r="GT597"/>
      <c r="GU597"/>
      <c r="GV597"/>
      <c r="GW597"/>
      <c r="GX597"/>
      <c r="GY597"/>
      <c r="GZ597"/>
      <c r="HA597"/>
      <c r="HB597"/>
      <c r="HC597"/>
      <c r="HD597"/>
      <c r="HE597"/>
      <c r="HF597"/>
      <c r="HG597"/>
      <c r="HH597"/>
      <c r="HI597"/>
      <c r="HJ597"/>
      <c r="HK597"/>
      <c r="HL597"/>
      <c r="HM597"/>
      <c r="HN597"/>
      <c r="HO597"/>
      <c r="HP597"/>
      <c r="HQ597"/>
      <c r="HR597"/>
      <c r="HS597"/>
      <c r="HT597"/>
      <c r="HU597"/>
      <c r="HV597"/>
      <c r="HW597"/>
      <c r="HX597"/>
      <c r="HY597"/>
      <c r="HZ597"/>
      <c r="IA597"/>
      <c r="IB597"/>
      <c r="IC597"/>
      <c r="ID597"/>
      <c r="IE597"/>
      <c r="IF597"/>
      <c r="IG597"/>
      <c r="IH597"/>
      <c r="II597"/>
      <c r="IJ597"/>
      <c r="IK597"/>
      <c r="IL597"/>
      <c r="IM597"/>
      <c r="IN597"/>
      <c r="IO597"/>
      <c r="IP597"/>
      <c r="IQ597"/>
      <c r="IR597"/>
      <c r="IS597"/>
      <c r="IT597"/>
      <c r="IU597"/>
      <c r="IV597"/>
      <c r="IW597"/>
      <c r="IX597"/>
      <c r="IY597"/>
      <c r="IZ597"/>
      <c r="JA597"/>
      <c r="JB597"/>
      <c r="JC597"/>
      <c r="JD597"/>
      <c r="JE597"/>
      <c r="JF597"/>
      <c r="JG597"/>
      <c r="JH597"/>
      <c r="JI597"/>
      <c r="JJ597"/>
      <c r="JK597"/>
      <c r="JL597"/>
      <c r="JM597"/>
      <c r="JN597"/>
    </row>
    <row r="598" spans="1:274" s="698" customFormat="1" ht="12.75" hidden="1" customHeight="1" outlineLevel="1" x14ac:dyDescent="0.2">
      <c r="A598" s="702" t="s">
        <v>1078</v>
      </c>
      <c r="B598" s="697"/>
      <c r="AZ598" s="698">
        <v>126.502</v>
      </c>
      <c r="BA598" s="698">
        <v>108.316</v>
      </c>
      <c r="BC598" s="606">
        <v>463</v>
      </c>
      <c r="BE598" s="457">
        <v>103</v>
      </c>
      <c r="BF598" s="457">
        <v>103</v>
      </c>
      <c r="BG598" s="457">
        <v>77</v>
      </c>
      <c r="BH598" s="457">
        <f>BI598-BG598-BF598-BE598</f>
        <v>85</v>
      </c>
      <c r="BI598" s="606">
        <v>368</v>
      </c>
      <c r="BJ598" s="457"/>
      <c r="BK598" s="457">
        <v>72</v>
      </c>
      <c r="BL598" s="457">
        <v>79</v>
      </c>
      <c r="BM598" s="457">
        <v>61</v>
      </c>
      <c r="BN598" s="457">
        <f>BO598-BM598-BL598-BK598</f>
        <v>74</v>
      </c>
      <c r="BO598" s="606">
        <v>286</v>
      </c>
      <c r="BP598" s="457"/>
      <c r="BQ598" s="457">
        <v>60</v>
      </c>
      <c r="BR598" s="457">
        <v>72</v>
      </c>
      <c r="BS598" s="457">
        <v>53</v>
      </c>
      <c r="BT598" s="457">
        <f>BU598-BS598-BR598-BQ598</f>
        <v>69</v>
      </c>
      <c r="BU598" s="606">
        <v>254</v>
      </c>
      <c r="BW598" s="457">
        <v>54</v>
      </c>
      <c r="BX598" s="457">
        <v>69</v>
      </c>
      <c r="BY598" s="457">
        <v>71</v>
      </c>
      <c r="BZ598" s="457">
        <f>CA598-BY598-BX598-BW598</f>
        <v>90</v>
      </c>
      <c r="CA598" s="606">
        <v>284</v>
      </c>
      <c r="CC598" s="457">
        <v>74</v>
      </c>
      <c r="CD598" s="457">
        <v>85</v>
      </c>
      <c r="CE598" s="457">
        <v>76</v>
      </c>
      <c r="CF598" s="457">
        <f>CG598-CE598-CD598-CC598</f>
        <v>101</v>
      </c>
      <c r="CG598" s="606">
        <v>336</v>
      </c>
      <c r="CI598" s="457">
        <v>88</v>
      </c>
      <c r="CJ598" s="457">
        <v>100</v>
      </c>
      <c r="CK598" s="457">
        <v>86</v>
      </c>
      <c r="CL598" s="457">
        <f>CM598-CK598-CJ598-CI598</f>
        <v>113</v>
      </c>
      <c r="CM598" s="606">
        <v>387</v>
      </c>
      <c r="CO598" s="457">
        <v>109</v>
      </c>
      <c r="CP598" s="457">
        <v>119</v>
      </c>
      <c r="CQ598" s="457">
        <v>101</v>
      </c>
      <c r="CR598" s="457">
        <f>CS598-CQ598-CP598-CO598</f>
        <v>123</v>
      </c>
      <c r="CS598" s="606">
        <v>452</v>
      </c>
      <c r="CU598" s="33">
        <v>109</v>
      </c>
      <c r="CV598" s="33">
        <v>109</v>
      </c>
      <c r="CW598" s="33">
        <v>78</v>
      </c>
      <c r="CX598" s="33">
        <f>CY598-CW598-CV598-CU598</f>
        <v>89</v>
      </c>
      <c r="CY598" s="606">
        <v>385</v>
      </c>
      <c r="DA598" s="243">
        <v>72</v>
      </c>
      <c r="DB598" s="33">
        <v>85</v>
      </c>
      <c r="DC598" s="33">
        <v>74</v>
      </c>
      <c r="DD598" s="33">
        <f>DE598-DC598-DB598-DA598</f>
        <v>106</v>
      </c>
      <c r="DE598" s="606">
        <v>337</v>
      </c>
      <c r="DG598" s="33">
        <v>87</v>
      </c>
      <c r="DH598" s="243">
        <v>105</v>
      </c>
      <c r="DI598" s="33">
        <v>90</v>
      </c>
      <c r="DJ598" s="33">
        <f>DK598-DI598-DH598-DG598</f>
        <v>103</v>
      </c>
      <c r="DK598" s="606">
        <v>385</v>
      </c>
      <c r="DM598" s="33"/>
      <c r="DO598" s="33"/>
      <c r="DP598" s="33"/>
      <c r="DQ598" s="606"/>
      <c r="DS598" s="33"/>
      <c r="DV598" s="33"/>
      <c r="DW598" s="606"/>
      <c r="EC598" s="699"/>
      <c r="EI598" s="699"/>
      <c r="EO598" s="699"/>
      <c r="EU598" s="699"/>
      <c r="FA598" s="699"/>
      <c r="FG598" s="699"/>
      <c r="FM598" s="699"/>
      <c r="FO598" s="457"/>
      <c r="FQ598"/>
      <c r="FR598"/>
      <c r="FS598"/>
      <c r="FT598"/>
      <c r="FU598"/>
      <c r="FV598"/>
      <c r="GB598" s="24"/>
      <c r="GC598" s="24"/>
      <c r="GD598" s="24"/>
      <c r="GE598" s="24"/>
      <c r="GF598" s="24"/>
      <c r="GG598" s="24"/>
      <c r="GH598" s="24"/>
      <c r="GI598" s="24"/>
      <c r="GJ598"/>
      <c r="GK598"/>
      <c r="GL598"/>
      <c r="GM598"/>
      <c r="GN598"/>
      <c r="GO598"/>
      <c r="GP598"/>
      <c r="GQ598"/>
      <c r="GR598"/>
      <c r="GS598"/>
      <c r="GT598"/>
      <c r="GU598"/>
      <c r="GV598"/>
      <c r="GW598"/>
      <c r="GX598"/>
      <c r="GY598"/>
      <c r="GZ598"/>
      <c r="HA598"/>
      <c r="HB598"/>
      <c r="HC598"/>
      <c r="HD598"/>
      <c r="HE598"/>
      <c r="HF598"/>
      <c r="HG598"/>
      <c r="HH598"/>
      <c r="HI598"/>
      <c r="HJ598"/>
      <c r="HK598"/>
      <c r="HL598"/>
      <c r="HM598"/>
      <c r="HN598"/>
      <c r="HO598"/>
      <c r="HP598"/>
      <c r="HQ598"/>
      <c r="HR598"/>
      <c r="HS598"/>
      <c r="HT598"/>
      <c r="HU598"/>
      <c r="HV598"/>
      <c r="HW598"/>
      <c r="HX598"/>
      <c r="HY598"/>
      <c r="HZ598"/>
      <c r="IA598"/>
      <c r="IB598"/>
      <c r="IC598"/>
      <c r="ID598"/>
      <c r="IE598"/>
      <c r="IF598"/>
      <c r="IG598"/>
      <c r="IH598"/>
      <c r="II598"/>
      <c r="IJ598"/>
      <c r="IK598"/>
      <c r="IL598"/>
      <c r="IM598"/>
      <c r="IN598"/>
      <c r="IO598"/>
      <c r="IP598"/>
      <c r="IQ598"/>
      <c r="IR598"/>
      <c r="IS598"/>
      <c r="IT598"/>
      <c r="IU598"/>
      <c r="IV598"/>
      <c r="IW598"/>
      <c r="IX598"/>
      <c r="IY598"/>
      <c r="IZ598"/>
      <c r="JA598"/>
      <c r="JB598"/>
      <c r="JC598"/>
      <c r="JD598"/>
      <c r="JE598"/>
      <c r="JF598"/>
      <c r="JG598"/>
      <c r="JH598"/>
      <c r="JI598"/>
      <c r="JJ598"/>
      <c r="JK598"/>
      <c r="JL598"/>
      <c r="JM598"/>
      <c r="JN598"/>
    </row>
    <row r="599" spans="1:274" s="698" customFormat="1" ht="12.75" hidden="1" customHeight="1" outlineLevel="1" x14ac:dyDescent="0.2">
      <c r="A599" s="702" t="s">
        <v>1084</v>
      </c>
      <c r="B599" s="697"/>
      <c r="AZ599" s="698">
        <v>71.361999999999995</v>
      </c>
      <c r="BA599" s="698">
        <v>63.718000000000004</v>
      </c>
      <c r="BC599" s="606">
        <v>286</v>
      </c>
      <c r="BE599" s="457">
        <v>56</v>
      </c>
      <c r="BF599" s="457">
        <v>55</v>
      </c>
      <c r="BG599" s="457">
        <v>51</v>
      </c>
      <c r="BH599" s="457">
        <f>BI599-BG599-BF599-BE599</f>
        <v>54</v>
      </c>
      <c r="BI599" s="606">
        <v>216</v>
      </c>
      <c r="BJ599" s="457"/>
      <c r="BK599" s="457">
        <v>54</v>
      </c>
      <c r="BL599" s="457">
        <v>54</v>
      </c>
      <c r="BM599" s="457">
        <v>54</v>
      </c>
      <c r="BN599" s="457">
        <f>BO599-BM599-BL599-BK599</f>
        <v>36</v>
      </c>
      <c r="BO599" s="606">
        <v>198</v>
      </c>
      <c r="BP599" s="457"/>
      <c r="BQ599" s="457">
        <v>46</v>
      </c>
      <c r="BR599" s="457">
        <v>56</v>
      </c>
      <c r="BS599" s="457">
        <v>48</v>
      </c>
      <c r="BT599" s="457">
        <f>BU599-BS599-BR599-BQ599</f>
        <v>49</v>
      </c>
      <c r="BU599" s="606">
        <v>199</v>
      </c>
      <c r="BW599" s="457">
        <v>44</v>
      </c>
      <c r="BX599" s="457">
        <v>56</v>
      </c>
      <c r="BY599" s="457">
        <v>57</v>
      </c>
      <c r="BZ599" s="457">
        <f>CA599-BY599-BX599-BW599</f>
        <v>58</v>
      </c>
      <c r="CA599" s="606">
        <v>215</v>
      </c>
      <c r="CC599" s="457">
        <v>54</v>
      </c>
      <c r="CD599" s="457">
        <v>56</v>
      </c>
      <c r="CE599" s="457">
        <v>56</v>
      </c>
      <c r="CF599" s="457">
        <f>CG599-CE599-CD599-CC599</f>
        <v>69</v>
      </c>
      <c r="CG599" s="606">
        <v>235</v>
      </c>
      <c r="CI599" s="457">
        <v>64</v>
      </c>
      <c r="CJ599" s="457">
        <v>65</v>
      </c>
      <c r="CK599" s="457">
        <v>64</v>
      </c>
      <c r="CL599" s="457">
        <f>CM599-CK599-CJ599-CI599</f>
        <v>79</v>
      </c>
      <c r="CM599" s="606">
        <v>272</v>
      </c>
      <c r="CO599" s="457">
        <v>75</v>
      </c>
      <c r="CP599" s="457">
        <v>80</v>
      </c>
      <c r="CQ599" s="457">
        <v>74</v>
      </c>
      <c r="CR599" s="457">
        <f>CS599-CQ599-CP599-CO599</f>
        <v>85</v>
      </c>
      <c r="CS599" s="606">
        <v>314</v>
      </c>
      <c r="CU599" s="33">
        <v>79</v>
      </c>
      <c r="CV599" s="33">
        <v>74</v>
      </c>
      <c r="CW599" s="33">
        <v>63</v>
      </c>
      <c r="CX599" s="33">
        <f>CY599-CW599-CV599-CU599</f>
        <v>66</v>
      </c>
      <c r="CY599" s="606">
        <v>282</v>
      </c>
      <c r="DA599" s="243">
        <v>56</v>
      </c>
      <c r="DB599" s="33">
        <v>59</v>
      </c>
      <c r="DC599" s="33">
        <v>57</v>
      </c>
      <c r="DD599" s="33">
        <f>DE599-DC599-DB599-DA599</f>
        <v>75</v>
      </c>
      <c r="DE599" s="606">
        <v>247</v>
      </c>
      <c r="DG599" s="33">
        <v>66</v>
      </c>
      <c r="DH599" s="243">
        <v>68</v>
      </c>
      <c r="DI599" s="33">
        <v>65</v>
      </c>
      <c r="DJ599" s="33">
        <f>DK599-DI599-DH599-DG599</f>
        <v>71</v>
      </c>
      <c r="DK599" s="606">
        <v>270</v>
      </c>
      <c r="DM599" s="33"/>
      <c r="DO599" s="33"/>
      <c r="DP599" s="33"/>
      <c r="DQ599" s="606"/>
      <c r="DS599" s="33"/>
      <c r="DV599" s="33"/>
      <c r="DW599" s="606"/>
      <c r="EC599" s="699"/>
      <c r="EI599" s="699"/>
      <c r="EO599" s="699"/>
      <c r="EU599" s="699"/>
      <c r="FA599" s="699"/>
      <c r="FG599" s="699"/>
      <c r="FM599" s="699"/>
      <c r="FO599" s="457"/>
      <c r="FQ599"/>
      <c r="FR599"/>
      <c r="FS599"/>
      <c r="FT599"/>
      <c r="FU599"/>
      <c r="FV599"/>
      <c r="GB599" s="24"/>
      <c r="GC599" s="24"/>
      <c r="GD599" s="24"/>
      <c r="GE599" s="24"/>
      <c r="GF599" s="24"/>
      <c r="GG599" s="24"/>
      <c r="GH599" s="24"/>
      <c r="GI599" s="24"/>
      <c r="GJ599"/>
      <c r="GK599"/>
      <c r="GL599"/>
      <c r="GM599"/>
      <c r="GN599"/>
      <c r="GO599"/>
      <c r="GP599"/>
      <c r="GQ599"/>
      <c r="GR599"/>
      <c r="GS599"/>
      <c r="GT599"/>
      <c r="GU599"/>
      <c r="GV599"/>
      <c r="GW599"/>
      <c r="GX599"/>
      <c r="GY599"/>
      <c r="GZ599"/>
      <c r="HA599"/>
      <c r="HB599"/>
      <c r="HC599"/>
      <c r="HD599"/>
      <c r="HE599"/>
      <c r="HF599"/>
      <c r="HG599"/>
      <c r="HH599"/>
      <c r="HI599"/>
      <c r="HJ599"/>
      <c r="HK599"/>
      <c r="HL599"/>
      <c r="HM599"/>
      <c r="HN599"/>
      <c r="HO599"/>
      <c r="HP599"/>
      <c r="HQ599"/>
      <c r="HR599"/>
      <c r="HS599"/>
      <c r="HT599"/>
      <c r="HU599"/>
      <c r="HV599"/>
      <c r="HW599"/>
      <c r="HX599"/>
      <c r="HY599"/>
      <c r="HZ599"/>
      <c r="IA599"/>
      <c r="IB599"/>
      <c r="IC599"/>
      <c r="ID599"/>
      <c r="IE599"/>
      <c r="IF599"/>
      <c r="IG599"/>
      <c r="IH599"/>
      <c r="II599"/>
      <c r="IJ599"/>
      <c r="IK599"/>
      <c r="IL599"/>
      <c r="IM599"/>
      <c r="IN599"/>
      <c r="IO599"/>
      <c r="IP599"/>
      <c r="IQ599"/>
      <c r="IR599"/>
      <c r="IS599"/>
      <c r="IT599"/>
      <c r="IU599"/>
      <c r="IV599"/>
      <c r="IW599"/>
      <c r="IX599"/>
      <c r="IY599"/>
      <c r="IZ599"/>
      <c r="JA599"/>
      <c r="JB599"/>
      <c r="JC599"/>
      <c r="JD599"/>
      <c r="JE599"/>
      <c r="JF599"/>
      <c r="JG599"/>
      <c r="JH599"/>
      <c r="JI599"/>
      <c r="JJ599"/>
      <c r="JK599"/>
      <c r="JL599"/>
      <c r="JM599"/>
      <c r="JN599"/>
    </row>
    <row r="600" spans="1:274" s="698" customFormat="1" ht="12.75" hidden="1" customHeight="1" outlineLevel="1" x14ac:dyDescent="0.2">
      <c r="A600" s="703" t="s">
        <v>1080</v>
      </c>
      <c r="B600" s="697"/>
      <c r="C600" s="704"/>
      <c r="D600" s="704"/>
      <c r="E600" s="704"/>
      <c r="F600" s="704"/>
      <c r="G600" s="704"/>
      <c r="H600" s="704"/>
      <c r="I600" s="704"/>
      <c r="J600" s="704"/>
      <c r="K600" s="704"/>
      <c r="L600" s="704"/>
      <c r="M600" s="704"/>
      <c r="N600" s="704"/>
      <c r="O600" s="704"/>
      <c r="P600" s="704"/>
      <c r="Q600" s="704"/>
      <c r="R600" s="704"/>
      <c r="S600" s="704"/>
      <c r="T600" s="704"/>
      <c r="U600" s="704"/>
      <c r="V600" s="704"/>
      <c r="W600" s="704"/>
      <c r="X600" s="704"/>
      <c r="Y600" s="704"/>
      <c r="Z600" s="704"/>
      <c r="AA600" s="704"/>
      <c r="AB600" s="704"/>
      <c r="AC600" s="704"/>
      <c r="AD600" s="704"/>
      <c r="AE600" s="704"/>
      <c r="AF600" s="704"/>
      <c r="AG600" s="704"/>
      <c r="AH600" s="704"/>
      <c r="AI600" s="704"/>
      <c r="AJ600" s="704"/>
      <c r="AK600" s="704"/>
      <c r="AL600" s="704"/>
      <c r="AM600" s="704"/>
      <c r="AN600" s="704"/>
      <c r="AO600" s="704"/>
      <c r="AP600" s="704"/>
      <c r="AQ600" s="704"/>
      <c r="AR600" s="704"/>
      <c r="AS600" s="704"/>
      <c r="AT600" s="704"/>
      <c r="AU600" s="704"/>
      <c r="AV600" s="704"/>
      <c r="AW600" s="704"/>
      <c r="AX600" s="704"/>
      <c r="AY600" s="704"/>
      <c r="AZ600" s="704"/>
      <c r="BA600" s="704"/>
      <c r="BB600" s="704"/>
      <c r="BC600" s="710">
        <f>BC598-BC599</f>
        <v>177</v>
      </c>
      <c r="BD600" s="704"/>
      <c r="BE600" s="73">
        <f>BE598-BE599</f>
        <v>47</v>
      </c>
      <c r="BF600" s="73">
        <f>BF598-BF599</f>
        <v>48</v>
      </c>
      <c r="BG600" s="73">
        <f>BG598-BG599</f>
        <v>26</v>
      </c>
      <c r="BH600" s="73">
        <f>BH598-BH599</f>
        <v>31</v>
      </c>
      <c r="BI600" s="705">
        <f>BI598-BI599</f>
        <v>152</v>
      </c>
      <c r="BJ600" s="73"/>
      <c r="BK600" s="73">
        <f>BK598-BK599</f>
        <v>18</v>
      </c>
      <c r="BL600" s="73">
        <f>BL598-BL599</f>
        <v>25</v>
      </c>
      <c r="BM600" s="73">
        <f>BM598-BM599</f>
        <v>7</v>
      </c>
      <c r="BN600" s="73">
        <f>BN598-BN599</f>
        <v>38</v>
      </c>
      <c r="BO600" s="705">
        <f>BO598-BO599</f>
        <v>88</v>
      </c>
      <c r="BP600" s="73"/>
      <c r="BQ600" s="73">
        <f>BQ598-BQ599</f>
        <v>14</v>
      </c>
      <c r="BR600" s="73">
        <f>BR598-BR599</f>
        <v>16</v>
      </c>
      <c r="BS600" s="73">
        <f>BS598-BS599</f>
        <v>5</v>
      </c>
      <c r="BT600" s="73">
        <f>BT598-BT599</f>
        <v>20</v>
      </c>
      <c r="BU600" s="705">
        <f>BU598-BU599</f>
        <v>55</v>
      </c>
      <c r="BV600" s="704"/>
      <c r="BW600" s="73">
        <f>BW598-BW599</f>
        <v>10</v>
      </c>
      <c r="BX600" s="73">
        <f>BX598-BX599</f>
        <v>13</v>
      </c>
      <c r="BY600" s="73">
        <f>BY598-BY599</f>
        <v>14</v>
      </c>
      <c r="BZ600" s="73">
        <f>BZ598-BZ599</f>
        <v>32</v>
      </c>
      <c r="CA600" s="705">
        <f>CA598-CA599</f>
        <v>69</v>
      </c>
      <c r="CB600" s="704"/>
      <c r="CC600" s="73">
        <f>CC598-CC599</f>
        <v>20</v>
      </c>
      <c r="CD600" s="73">
        <f>CD598-CD599</f>
        <v>29</v>
      </c>
      <c r="CE600" s="73">
        <f>CE598-CE599</f>
        <v>20</v>
      </c>
      <c r="CF600" s="73">
        <f>CF598-CF599</f>
        <v>32</v>
      </c>
      <c r="CG600" s="705">
        <f>CG598-CG599</f>
        <v>101</v>
      </c>
      <c r="CH600" s="704"/>
      <c r="CI600" s="73">
        <f>CI598-CI599</f>
        <v>24</v>
      </c>
      <c r="CJ600" s="73">
        <f>CJ598-CJ599</f>
        <v>35</v>
      </c>
      <c r="CK600" s="73">
        <f>CK598-CK599</f>
        <v>22</v>
      </c>
      <c r="CL600" s="73">
        <f>CL598-CL599</f>
        <v>34</v>
      </c>
      <c r="CM600" s="705">
        <f>CM598-CM599</f>
        <v>115</v>
      </c>
      <c r="CN600" s="704"/>
      <c r="CO600" s="73">
        <f>CO598-CO599</f>
        <v>34</v>
      </c>
      <c r="CP600" s="73">
        <f>CP598-CP599</f>
        <v>39</v>
      </c>
      <c r="CQ600" s="73">
        <f>CQ598-CQ599</f>
        <v>27</v>
      </c>
      <c r="CR600" s="73">
        <f>CR598-CR599</f>
        <v>38</v>
      </c>
      <c r="CS600" s="705">
        <f>CS598-CS599</f>
        <v>138</v>
      </c>
      <c r="CT600" s="704"/>
      <c r="CU600" s="73">
        <f>CU598-CU599</f>
        <v>30</v>
      </c>
      <c r="CV600" s="73">
        <f>CV598-CV599</f>
        <v>35</v>
      </c>
      <c r="CW600" s="73">
        <f>CW598-CW599</f>
        <v>15</v>
      </c>
      <c r="CX600" s="73">
        <f>CX598-CX599</f>
        <v>23</v>
      </c>
      <c r="CY600" s="705">
        <f>CY598-CY599</f>
        <v>103</v>
      </c>
      <c r="CZ600" s="704"/>
      <c r="DA600" s="73">
        <f>DA598-DA599</f>
        <v>16</v>
      </c>
      <c r="DB600" s="73">
        <f>DB598-DB599</f>
        <v>26</v>
      </c>
      <c r="DC600" s="73">
        <f>DC598-DC599</f>
        <v>17</v>
      </c>
      <c r="DD600" s="73">
        <f>DD598-DD599</f>
        <v>31</v>
      </c>
      <c r="DE600" s="705">
        <f>DE598-DE599</f>
        <v>90</v>
      </c>
      <c r="DF600" s="704"/>
      <c r="DG600" s="73">
        <f>DG598-DG599</f>
        <v>21</v>
      </c>
      <c r="DH600" s="73">
        <f>DH598-DH599</f>
        <v>37</v>
      </c>
      <c r="DI600" s="73">
        <f>DI598-DI599</f>
        <v>25</v>
      </c>
      <c r="DJ600" s="73">
        <f>DJ598-DJ599</f>
        <v>32</v>
      </c>
      <c r="DK600" s="705">
        <f>DK598-DK599</f>
        <v>115</v>
      </c>
      <c r="DL600" s="704"/>
      <c r="DM600" s="73"/>
      <c r="DN600" s="704"/>
      <c r="DO600" s="73"/>
      <c r="DP600" s="73"/>
      <c r="DQ600" s="705"/>
      <c r="DR600" s="704"/>
      <c r="DS600" s="73"/>
      <c r="DT600" s="704"/>
      <c r="DU600" s="704"/>
      <c r="DV600" s="73"/>
      <c r="DW600" s="705"/>
      <c r="DX600" s="704"/>
      <c r="DY600" s="704"/>
      <c r="DZ600" s="704"/>
      <c r="EA600" s="704"/>
      <c r="EB600" s="704"/>
      <c r="EC600" s="706"/>
      <c r="ED600" s="704"/>
      <c r="EE600" s="704"/>
      <c r="EF600" s="704"/>
      <c r="EG600" s="704"/>
      <c r="EH600" s="704"/>
      <c r="EI600" s="706"/>
      <c r="EJ600" s="704"/>
      <c r="EK600" s="704"/>
      <c r="EL600" s="704"/>
      <c r="EM600" s="704"/>
      <c r="EN600" s="704"/>
      <c r="EO600" s="706"/>
      <c r="EP600" s="704"/>
      <c r="EQ600" s="704"/>
      <c r="ER600" s="704"/>
      <c r="ES600" s="704"/>
      <c r="ET600" s="704"/>
      <c r="EU600" s="706"/>
      <c r="EV600" s="704"/>
      <c r="EW600" s="704"/>
      <c r="EX600" s="704"/>
      <c r="EY600" s="704"/>
      <c r="EZ600" s="704"/>
      <c r="FA600" s="706"/>
      <c r="FB600" s="704"/>
      <c r="FC600" s="704"/>
      <c r="FD600" s="704"/>
      <c r="FE600" s="704"/>
      <c r="FF600" s="704"/>
      <c r="FG600" s="706"/>
      <c r="FH600" s="704"/>
      <c r="FI600" s="704"/>
      <c r="FJ600" s="704"/>
      <c r="FK600" s="704"/>
      <c r="FL600" s="704"/>
      <c r="FM600" s="706"/>
      <c r="FO600" s="457"/>
      <c r="FQ600"/>
      <c r="FR600"/>
      <c r="FS600"/>
      <c r="FT600"/>
      <c r="FU600"/>
      <c r="FV600"/>
      <c r="GB600" s="24"/>
      <c r="GC600" s="24"/>
      <c r="GD600" s="24"/>
      <c r="GE600" s="24"/>
      <c r="GF600" s="24"/>
      <c r="GG600" s="24"/>
      <c r="GH600" s="24"/>
      <c r="GI600" s="24"/>
      <c r="GJ600"/>
      <c r="GK600"/>
      <c r="GL600"/>
      <c r="GM600"/>
      <c r="GN600"/>
      <c r="GO600"/>
      <c r="GP600"/>
      <c r="GQ600"/>
      <c r="GR600"/>
      <c r="GS600"/>
      <c r="GT600"/>
      <c r="GU600"/>
      <c r="GV600"/>
      <c r="GW600"/>
      <c r="GX600"/>
      <c r="GY600"/>
      <c r="GZ600"/>
      <c r="HA600"/>
      <c r="HB600"/>
      <c r="HC600"/>
      <c r="HD600"/>
      <c r="HE600"/>
      <c r="HF600"/>
      <c r="HG600"/>
      <c r="HH600"/>
      <c r="HI600"/>
      <c r="HJ600"/>
      <c r="HK600"/>
      <c r="HL600"/>
      <c r="HM600"/>
      <c r="HN600"/>
      <c r="HO600"/>
      <c r="HP600"/>
      <c r="HQ600"/>
      <c r="HR600"/>
      <c r="HS600"/>
      <c r="HT600"/>
      <c r="HU600"/>
      <c r="HV600"/>
      <c r="HW600"/>
      <c r="HX600"/>
      <c r="HY600"/>
      <c r="HZ600"/>
      <c r="IA600"/>
      <c r="IB600"/>
      <c r="IC600"/>
      <c r="ID600"/>
      <c r="IE600"/>
      <c r="IF600"/>
      <c r="IG600"/>
      <c r="IH600"/>
      <c r="II600"/>
      <c r="IJ600"/>
      <c r="IK600"/>
      <c r="IL600"/>
      <c r="IM600"/>
      <c r="IN600"/>
      <c r="IO600"/>
      <c r="IP600"/>
      <c r="IQ600"/>
      <c r="IR600"/>
      <c r="IS600"/>
      <c r="IT600"/>
      <c r="IU600"/>
      <c r="IV600"/>
      <c r="IW600"/>
      <c r="IX600"/>
      <c r="IY600"/>
      <c r="IZ600"/>
      <c r="JA600"/>
      <c r="JB600"/>
      <c r="JC600"/>
      <c r="JD600"/>
      <c r="JE600"/>
      <c r="JF600"/>
      <c r="JG600"/>
      <c r="JH600"/>
      <c r="JI600"/>
      <c r="JJ600"/>
      <c r="JK600"/>
      <c r="JL600"/>
      <c r="JM600"/>
      <c r="JN600"/>
    </row>
    <row r="601" spans="1:274" s="698" customFormat="1" ht="12.75" hidden="1" customHeight="1" outlineLevel="1" x14ac:dyDescent="0.2">
      <c r="A601" s="703" t="s">
        <v>1081</v>
      </c>
      <c r="B601" s="697"/>
      <c r="C601" s="704"/>
      <c r="D601" s="704"/>
      <c r="E601" s="704"/>
      <c r="F601" s="704"/>
      <c r="G601" s="704"/>
      <c r="H601" s="704"/>
      <c r="I601" s="704"/>
      <c r="J601" s="704"/>
      <c r="K601" s="704"/>
      <c r="L601" s="704"/>
      <c r="M601" s="704"/>
      <c r="N601" s="704"/>
      <c r="O601" s="704"/>
      <c r="P601" s="704"/>
      <c r="Q601" s="704"/>
      <c r="R601" s="704"/>
      <c r="S601" s="704"/>
      <c r="T601" s="704"/>
      <c r="U601" s="704"/>
      <c r="V601" s="704"/>
      <c r="W601" s="704"/>
      <c r="X601" s="704"/>
      <c r="Y601" s="704"/>
      <c r="Z601" s="704"/>
      <c r="AA601" s="704"/>
      <c r="AB601" s="704"/>
      <c r="AC601" s="704"/>
      <c r="AD601" s="704"/>
      <c r="AE601" s="704"/>
      <c r="AF601" s="704"/>
      <c r="AG601" s="704"/>
      <c r="AH601" s="704"/>
      <c r="AI601" s="704"/>
      <c r="AJ601" s="704"/>
      <c r="AK601" s="704"/>
      <c r="AL601" s="704"/>
      <c r="AM601" s="704"/>
      <c r="AN601" s="704"/>
      <c r="AO601" s="704"/>
      <c r="AP601" s="704"/>
      <c r="AQ601" s="704"/>
      <c r="AR601" s="704"/>
      <c r="AS601" s="704"/>
      <c r="AT601" s="704"/>
      <c r="AU601" s="704"/>
      <c r="AV601" s="704"/>
      <c r="AW601" s="704"/>
      <c r="AX601" s="704"/>
      <c r="AY601" s="704"/>
      <c r="AZ601" s="704"/>
      <c r="BA601" s="704"/>
      <c r="BB601" s="704"/>
      <c r="BC601" s="707">
        <f>BC600/BC598</f>
        <v>0.38228941684665224</v>
      </c>
      <c r="BD601" s="704"/>
      <c r="BE601" s="70">
        <f>BE600/BE598</f>
        <v>0.4563106796116505</v>
      </c>
      <c r="BF601" s="70">
        <f>BF600/BF598</f>
        <v>0.46601941747572817</v>
      </c>
      <c r="BG601" s="70">
        <f>BG600/BG598</f>
        <v>0.33766233766233766</v>
      </c>
      <c r="BH601" s="70">
        <f>BH600/BH598</f>
        <v>0.36470588235294116</v>
      </c>
      <c r="BI601" s="707">
        <f>BI600/BI598</f>
        <v>0.41304347826086957</v>
      </c>
      <c r="BJ601" s="704"/>
      <c r="BK601" s="70">
        <f>BK600/BK598</f>
        <v>0.25</v>
      </c>
      <c r="BL601" s="70">
        <f>BL600/BL598</f>
        <v>0.31645569620253167</v>
      </c>
      <c r="BM601" s="70">
        <f>BM600/BM598</f>
        <v>0.11475409836065574</v>
      </c>
      <c r="BN601" s="70">
        <f>BN600/BN598</f>
        <v>0.51351351351351349</v>
      </c>
      <c r="BO601" s="707">
        <f>BO600/BO598</f>
        <v>0.30769230769230771</v>
      </c>
      <c r="BP601" s="704"/>
      <c r="BQ601" s="70">
        <f>BQ600/BQ598</f>
        <v>0.23333333333333334</v>
      </c>
      <c r="BR601" s="70">
        <f>BR600/BR598</f>
        <v>0.22222222222222221</v>
      </c>
      <c r="BS601" s="70">
        <f>BS600/BS598</f>
        <v>9.4339622641509441E-2</v>
      </c>
      <c r="BT601" s="70">
        <f>BT600/BT598</f>
        <v>0.28985507246376813</v>
      </c>
      <c r="BU601" s="707">
        <f>BU600/BU598</f>
        <v>0.21653543307086615</v>
      </c>
      <c r="BV601" s="704"/>
      <c r="BW601" s="70">
        <f>BW600/BW598</f>
        <v>0.18518518518518517</v>
      </c>
      <c r="BX601" s="70">
        <f>BX600/BX598</f>
        <v>0.18840579710144928</v>
      </c>
      <c r="BY601" s="70">
        <f>BY600/BY598</f>
        <v>0.19718309859154928</v>
      </c>
      <c r="BZ601" s="70">
        <f>BZ600/BZ598</f>
        <v>0.35555555555555557</v>
      </c>
      <c r="CA601" s="707">
        <f>CA600/CA598</f>
        <v>0.24295774647887325</v>
      </c>
      <c r="CB601" s="704"/>
      <c r="CC601" s="70">
        <f>CC600/CC598</f>
        <v>0.27027027027027029</v>
      </c>
      <c r="CD601" s="70">
        <f>CD600/CD598</f>
        <v>0.3411764705882353</v>
      </c>
      <c r="CE601" s="70">
        <f>CE600/CE598</f>
        <v>0.26315789473684209</v>
      </c>
      <c r="CF601" s="70">
        <f>CF600/CF598</f>
        <v>0.31683168316831684</v>
      </c>
      <c r="CG601" s="707">
        <f>CG600/CG598</f>
        <v>0.30059523809523808</v>
      </c>
      <c r="CH601" s="704"/>
      <c r="CI601" s="70">
        <f>CI600/CI598</f>
        <v>0.27272727272727271</v>
      </c>
      <c r="CJ601" s="70">
        <f>CJ600/CJ598</f>
        <v>0.35</v>
      </c>
      <c r="CK601" s="70">
        <f>CK600/CK598</f>
        <v>0.2558139534883721</v>
      </c>
      <c r="CL601" s="70">
        <f>CL600/CL598</f>
        <v>0.30088495575221241</v>
      </c>
      <c r="CM601" s="707">
        <f>CM600/CM598</f>
        <v>0.29715762273901808</v>
      </c>
      <c r="CN601" s="704"/>
      <c r="CO601" s="70">
        <f>CO600/CO598</f>
        <v>0.31192660550458717</v>
      </c>
      <c r="CP601" s="70">
        <f>CP600/CP598</f>
        <v>0.32773109243697479</v>
      </c>
      <c r="CQ601" s="70">
        <f>CQ600/CQ598</f>
        <v>0.26732673267326734</v>
      </c>
      <c r="CR601" s="70">
        <f>CR600/CR598</f>
        <v>0.30894308943089432</v>
      </c>
      <c r="CS601" s="707">
        <f>CS600/CS598</f>
        <v>0.30530973451327431</v>
      </c>
      <c r="CT601" s="704"/>
      <c r="CU601" s="70">
        <f>CU600/CU598</f>
        <v>0.27522935779816515</v>
      </c>
      <c r="CV601" s="70">
        <f>CV600/CV598</f>
        <v>0.32110091743119268</v>
      </c>
      <c r="CW601" s="70">
        <f>CW600/CW598</f>
        <v>0.19230769230769232</v>
      </c>
      <c r="CX601" s="70">
        <f>CX600/CX598</f>
        <v>0.25842696629213485</v>
      </c>
      <c r="CY601" s="707">
        <f>CY600/CY598</f>
        <v>0.26753246753246751</v>
      </c>
      <c r="CZ601" s="704"/>
      <c r="DA601" s="70">
        <f>DA600/DA598</f>
        <v>0.22222222222222221</v>
      </c>
      <c r="DB601" s="70">
        <f>DB600/DB598</f>
        <v>0.30588235294117649</v>
      </c>
      <c r="DC601" s="70">
        <f>DC600/DC598</f>
        <v>0.22972972972972974</v>
      </c>
      <c r="DD601" s="70">
        <f>DD600/DD598</f>
        <v>0.29245283018867924</v>
      </c>
      <c r="DE601" s="707">
        <f>DE600/DE598</f>
        <v>0.26706231454005935</v>
      </c>
      <c r="DF601" s="704"/>
      <c r="DG601" s="70">
        <f>DG600/DG598</f>
        <v>0.2413793103448276</v>
      </c>
      <c r="DH601" s="70">
        <f>DH600/DH598</f>
        <v>0.35238095238095241</v>
      </c>
      <c r="DI601" s="70">
        <f>DI600/DI598</f>
        <v>0.27777777777777779</v>
      </c>
      <c r="DJ601" s="70">
        <f>DJ600/DJ598</f>
        <v>0.31067961165048541</v>
      </c>
      <c r="DK601" s="707">
        <f>DK600/DK598</f>
        <v>0.29870129870129869</v>
      </c>
      <c r="DL601" s="704"/>
      <c r="DM601" s="70"/>
      <c r="DN601" s="704"/>
      <c r="DO601" s="70"/>
      <c r="DP601" s="70"/>
      <c r="DQ601" s="707"/>
      <c r="DR601" s="704"/>
      <c r="DS601" s="70"/>
      <c r="DT601" s="704"/>
      <c r="DU601" s="704"/>
      <c r="DV601" s="70"/>
      <c r="DW601" s="707"/>
      <c r="DX601" s="704"/>
      <c r="DY601" s="704"/>
      <c r="DZ601" s="704"/>
      <c r="EA601" s="704"/>
      <c r="EB601" s="704"/>
      <c r="EC601" s="706"/>
      <c r="ED601" s="704"/>
      <c r="EE601" s="704"/>
      <c r="EF601" s="704"/>
      <c r="EG601" s="704"/>
      <c r="EH601" s="704"/>
      <c r="EI601" s="706"/>
      <c r="EJ601" s="704"/>
      <c r="EK601" s="704"/>
      <c r="EL601" s="704"/>
      <c r="EM601" s="704"/>
      <c r="EN601" s="704"/>
      <c r="EO601" s="706"/>
      <c r="EP601" s="704"/>
      <c r="EQ601" s="704"/>
      <c r="ER601" s="704"/>
      <c r="ES601" s="704"/>
      <c r="ET601" s="704"/>
      <c r="EU601" s="706"/>
      <c r="EV601" s="704"/>
      <c r="EW601" s="704"/>
      <c r="EX601" s="704"/>
      <c r="EY601" s="704"/>
      <c r="EZ601" s="704"/>
      <c r="FA601" s="706"/>
      <c r="FB601" s="704"/>
      <c r="FC601" s="704"/>
      <c r="FD601" s="704"/>
      <c r="FE601" s="704"/>
      <c r="FF601" s="704"/>
      <c r="FG601" s="706"/>
      <c r="FH601" s="704"/>
      <c r="FI601" s="704"/>
      <c r="FJ601" s="704"/>
      <c r="FK601" s="704"/>
      <c r="FL601" s="704"/>
      <c r="FM601" s="706"/>
      <c r="FN601" s="188"/>
      <c r="FO601" s="188"/>
      <c r="FQ601"/>
      <c r="FR601"/>
      <c r="FS601"/>
      <c r="FT601"/>
      <c r="FU601"/>
      <c r="FV601"/>
      <c r="GB601" s="24"/>
      <c r="GC601" s="24"/>
      <c r="GD601" s="24"/>
      <c r="GE601" s="24"/>
      <c r="GF601" s="24"/>
      <c r="GG601" s="24"/>
      <c r="GH601" s="24"/>
      <c r="GI601" s="24"/>
      <c r="GJ601"/>
      <c r="GK601"/>
      <c r="GL601"/>
      <c r="GM601"/>
      <c r="GN601"/>
      <c r="GO601"/>
      <c r="GP601"/>
      <c r="GQ601"/>
      <c r="GR601"/>
      <c r="GS601"/>
      <c r="GT601"/>
      <c r="GU601"/>
      <c r="GV601"/>
      <c r="GW601"/>
      <c r="GX601"/>
      <c r="GY601"/>
      <c r="GZ601"/>
      <c r="HA601"/>
      <c r="HB601"/>
      <c r="HC601"/>
      <c r="HD601"/>
      <c r="HE601"/>
      <c r="HF601"/>
      <c r="HG601"/>
      <c r="HH601"/>
      <c r="HI601"/>
      <c r="HJ601"/>
      <c r="HK601"/>
      <c r="HL601"/>
      <c r="HM601"/>
      <c r="HN601"/>
      <c r="HO601"/>
      <c r="HP601"/>
      <c r="HQ601"/>
      <c r="HR601"/>
      <c r="HS601"/>
      <c r="HT601"/>
      <c r="HU601"/>
      <c r="HV601"/>
      <c r="HW601"/>
      <c r="HX601"/>
      <c r="HY601"/>
      <c r="HZ601"/>
      <c r="IA601"/>
      <c r="IB601"/>
      <c r="IC601"/>
      <c r="ID601"/>
      <c r="IE601"/>
      <c r="IF601"/>
      <c r="IG601"/>
      <c r="IH601"/>
      <c r="II601"/>
      <c r="IJ601"/>
      <c r="IK601"/>
      <c r="IL601"/>
      <c r="IM601"/>
      <c r="IN601"/>
      <c r="IO601"/>
      <c r="IP601"/>
      <c r="IQ601"/>
      <c r="IR601"/>
      <c r="IS601"/>
      <c r="IT601"/>
      <c r="IU601"/>
      <c r="IV601"/>
      <c r="IW601"/>
      <c r="IX601"/>
      <c r="IY601"/>
      <c r="IZ601"/>
      <c r="JA601"/>
      <c r="JB601"/>
      <c r="JC601"/>
      <c r="JD601"/>
      <c r="JE601"/>
      <c r="JF601"/>
      <c r="JG601"/>
      <c r="JH601"/>
      <c r="JI601"/>
      <c r="JJ601"/>
      <c r="JK601"/>
      <c r="JL601"/>
      <c r="JM601"/>
      <c r="JN601"/>
    </row>
    <row r="602" spans="1:274" s="698" customFormat="1" ht="7.5" hidden="1" customHeight="1" outlineLevel="1" thickBot="1" x14ac:dyDescent="0.25">
      <c r="B602" s="697"/>
      <c r="BC602" s="708"/>
      <c r="BI602" s="708"/>
      <c r="BO602" s="708"/>
      <c r="BU602" s="708"/>
      <c r="CA602" s="708"/>
      <c r="CG602" s="708"/>
      <c r="CM602" s="699"/>
      <c r="CS602" s="708"/>
      <c r="CY602" s="708"/>
      <c r="DE602" s="699"/>
      <c r="DK602" s="699"/>
      <c r="DQ602" s="699"/>
      <c r="DW602" s="699"/>
      <c r="EC602" s="699"/>
      <c r="EI602" s="699"/>
      <c r="EO602" s="699"/>
      <c r="EU602" s="699"/>
      <c r="FA602" s="699"/>
      <c r="FG602" s="699"/>
      <c r="FM602" s="699"/>
      <c r="FQ602"/>
      <c r="FR602"/>
      <c r="FS602"/>
      <c r="FT602"/>
      <c r="FU602"/>
      <c r="FV602"/>
      <c r="GB602" s="24"/>
      <c r="GC602" s="24"/>
      <c r="GD602" s="24"/>
      <c r="GE602" s="24"/>
      <c r="GF602" s="24"/>
      <c r="GG602" s="24"/>
      <c r="GH602" s="24"/>
      <c r="GI602" s="24"/>
      <c r="GJ602"/>
      <c r="GK602"/>
      <c r="GL602"/>
      <c r="GM602"/>
      <c r="GN602"/>
      <c r="GO602"/>
      <c r="GP602"/>
      <c r="GQ602"/>
      <c r="GR602"/>
      <c r="GS602"/>
      <c r="GT602"/>
      <c r="GU602"/>
      <c r="GV602"/>
      <c r="GW602"/>
      <c r="GX602"/>
      <c r="GY602"/>
      <c r="GZ602"/>
      <c r="HA602"/>
      <c r="HB602"/>
      <c r="HC602"/>
      <c r="HD602"/>
      <c r="HE602"/>
      <c r="HF602"/>
      <c r="HG602"/>
      <c r="HH602"/>
      <c r="HI602"/>
      <c r="HJ602"/>
      <c r="HK602"/>
      <c r="HL602"/>
      <c r="HM602"/>
      <c r="HN602"/>
      <c r="HO602"/>
      <c r="HP602"/>
      <c r="HQ602"/>
      <c r="HR602"/>
      <c r="HS602"/>
      <c r="HT602"/>
      <c r="HU602"/>
      <c r="HV602"/>
      <c r="HW602"/>
      <c r="HX602"/>
      <c r="HY602"/>
      <c r="HZ602"/>
      <c r="IA602"/>
      <c r="IB602"/>
      <c r="IC602"/>
      <c r="ID602"/>
      <c r="IE602"/>
      <c r="IF602"/>
      <c r="IG602"/>
      <c r="IH602"/>
      <c r="II602"/>
      <c r="IJ602"/>
      <c r="IK602"/>
      <c r="IL602"/>
      <c r="IM602"/>
      <c r="IN602"/>
      <c r="IO602"/>
      <c r="IP602"/>
      <c r="IQ602"/>
      <c r="IR602"/>
      <c r="IS602"/>
      <c r="IT602"/>
      <c r="IU602"/>
      <c r="IV602"/>
      <c r="IW602"/>
      <c r="IX602"/>
      <c r="IY602"/>
      <c r="IZ602"/>
      <c r="JA602"/>
      <c r="JB602"/>
      <c r="JC602"/>
      <c r="JD602"/>
      <c r="JE602"/>
      <c r="JF602"/>
      <c r="JG602"/>
      <c r="JH602"/>
      <c r="JI602"/>
      <c r="JJ602"/>
      <c r="JK602"/>
      <c r="JL602"/>
      <c r="JM602"/>
      <c r="JN602"/>
    </row>
    <row r="603" spans="1:274" s="698" customFormat="1" ht="12.75" hidden="1" customHeight="1" outlineLevel="1" x14ac:dyDescent="0.2">
      <c r="A603" s="711" t="s">
        <v>176</v>
      </c>
      <c r="B603" s="712"/>
      <c r="C603" s="713"/>
      <c r="D603" s="713"/>
      <c r="E603" s="713"/>
      <c r="F603" s="713"/>
      <c r="G603" s="713"/>
      <c r="H603" s="713"/>
      <c r="I603" s="713"/>
      <c r="J603" s="713"/>
      <c r="K603" s="713"/>
      <c r="L603" s="713"/>
      <c r="M603" s="713"/>
      <c r="N603" s="713"/>
      <c r="O603" s="713"/>
      <c r="P603" s="713"/>
      <c r="Q603" s="713"/>
      <c r="R603" s="713"/>
      <c r="S603" s="713"/>
      <c r="T603" s="713"/>
      <c r="U603" s="713"/>
      <c r="V603" s="713"/>
      <c r="W603" s="713"/>
      <c r="X603" s="713"/>
      <c r="Y603" s="713"/>
      <c r="Z603" s="713"/>
      <c r="AA603" s="713"/>
      <c r="AB603" s="713"/>
      <c r="AC603" s="713"/>
      <c r="AD603" s="713"/>
      <c r="AE603" s="713"/>
      <c r="AF603" s="713"/>
      <c r="AG603" s="713"/>
      <c r="AH603" s="713"/>
      <c r="AI603" s="713"/>
      <c r="AJ603" s="713"/>
      <c r="AK603" s="713"/>
      <c r="AL603" s="713"/>
      <c r="AM603" s="713"/>
      <c r="AN603" s="713"/>
      <c r="AO603" s="713"/>
      <c r="AP603" s="713"/>
      <c r="AQ603" s="713"/>
      <c r="AR603" s="713"/>
      <c r="AS603" s="713"/>
      <c r="AT603" s="713"/>
      <c r="AU603" s="713"/>
      <c r="AV603" s="713"/>
      <c r="AW603" s="713"/>
      <c r="AX603" s="713"/>
      <c r="AY603" s="713"/>
      <c r="AZ603" s="713"/>
      <c r="BA603" s="713"/>
      <c r="BB603" s="713"/>
      <c r="BC603" s="714"/>
      <c r="BD603" s="713"/>
      <c r="BE603" s="713"/>
      <c r="BF603" s="713"/>
      <c r="BG603" s="713"/>
      <c r="BH603" s="713"/>
      <c r="BI603" s="714"/>
      <c r="BJ603" s="713"/>
      <c r="BK603" s="713"/>
      <c r="BL603" s="713"/>
      <c r="BM603" s="713"/>
      <c r="BN603" s="713"/>
      <c r="BO603" s="714"/>
      <c r="BP603" s="713"/>
      <c r="BQ603" s="713"/>
      <c r="BR603" s="713"/>
      <c r="BS603" s="713"/>
      <c r="BT603" s="713"/>
      <c r="BU603" s="714"/>
      <c r="BV603" s="713"/>
      <c r="BW603" s="713"/>
      <c r="BX603" s="713"/>
      <c r="BY603" s="713"/>
      <c r="BZ603" s="1117"/>
      <c r="CA603" s="714"/>
      <c r="CB603" s="713"/>
      <c r="CC603" s="713"/>
      <c r="CD603" s="713"/>
      <c r="CE603" s="713"/>
      <c r="CF603" s="1117"/>
      <c r="CG603" s="714"/>
      <c r="CH603" s="713"/>
      <c r="CI603" s="713"/>
      <c r="CJ603" s="713"/>
      <c r="CK603" s="713"/>
      <c r="CL603" s="1117"/>
      <c r="CM603" s="715"/>
      <c r="CN603" s="713"/>
      <c r="CO603" s="713"/>
      <c r="CP603" s="713"/>
      <c r="CQ603" s="713"/>
      <c r="CR603" s="1117"/>
      <c r="CS603" s="714"/>
      <c r="CT603" s="713"/>
      <c r="CU603" s="713"/>
      <c r="CV603" s="713"/>
      <c r="CW603" s="713"/>
      <c r="CX603" s="1117"/>
      <c r="CY603" s="714"/>
      <c r="CZ603" s="713"/>
      <c r="DA603" s="713"/>
      <c r="DB603" s="713"/>
      <c r="DC603" s="713"/>
      <c r="DD603" s="1183">
        <f>(DD601-CX601)*10000</f>
        <v>340.25863896544382</v>
      </c>
      <c r="DE603" s="715"/>
      <c r="DF603" s="713"/>
      <c r="DG603" s="713"/>
      <c r="DH603" s="713"/>
      <c r="DI603" s="713"/>
      <c r="DJ603" s="1183">
        <f>(DJ601-DD601)*10000</f>
        <v>182.26781461806175</v>
      </c>
      <c r="DK603" s="715"/>
      <c r="DL603" s="713"/>
      <c r="DM603" s="713"/>
      <c r="DN603" s="713"/>
      <c r="DO603" s="713"/>
      <c r="DP603" s="1183"/>
      <c r="DQ603" s="715"/>
      <c r="DR603" s="713"/>
      <c r="DS603" s="713"/>
      <c r="DT603" s="713"/>
      <c r="DU603" s="713"/>
      <c r="DV603" s="1183"/>
      <c r="DW603" s="715"/>
      <c r="DX603" s="713"/>
      <c r="DY603" s="713"/>
      <c r="DZ603" s="713"/>
      <c r="EA603" s="713"/>
      <c r="EB603" s="713"/>
      <c r="EC603" s="715"/>
      <c r="ED603" s="713"/>
      <c r="EE603" s="713"/>
      <c r="EF603" s="713"/>
      <c r="EG603" s="713"/>
      <c r="EH603" s="713"/>
      <c r="EI603" s="715"/>
      <c r="EJ603" s="713"/>
      <c r="EK603" s="713"/>
      <c r="EL603" s="713"/>
      <c r="EM603" s="713"/>
      <c r="EN603" s="713"/>
      <c r="EO603" s="715"/>
      <c r="EP603" s="713"/>
      <c r="EQ603" s="713"/>
      <c r="ER603" s="713"/>
      <c r="ES603" s="713"/>
      <c r="ET603" s="713"/>
      <c r="EU603" s="715"/>
      <c r="EV603" s="713"/>
      <c r="EW603" s="713"/>
      <c r="EX603" s="713"/>
      <c r="EY603" s="713"/>
      <c r="EZ603" s="713"/>
      <c r="FA603" s="715"/>
      <c r="FB603" s="713"/>
      <c r="FC603" s="713"/>
      <c r="FD603" s="713"/>
      <c r="FE603" s="713"/>
      <c r="FF603" s="713"/>
      <c r="FG603" s="715"/>
      <c r="FH603" s="713"/>
      <c r="FI603" s="713"/>
      <c r="FJ603" s="713"/>
      <c r="FK603" s="713"/>
      <c r="FL603" s="713"/>
      <c r="FM603" s="715"/>
      <c r="FQ603"/>
      <c r="FR603"/>
      <c r="FS603"/>
      <c r="FT603"/>
      <c r="FU603"/>
      <c r="FV603"/>
      <c r="GB603" s="24"/>
      <c r="GC603" s="24"/>
      <c r="GD603" s="24"/>
      <c r="GE603" s="24"/>
      <c r="GF603" s="24"/>
      <c r="GG603" s="24"/>
      <c r="GH603" s="24"/>
      <c r="GI603" s="24"/>
      <c r="GJ603"/>
      <c r="GK603"/>
      <c r="GL603"/>
      <c r="GM603"/>
      <c r="GN603"/>
      <c r="GO603"/>
      <c r="GP603"/>
      <c r="GQ603"/>
      <c r="GR603"/>
      <c r="GS603"/>
      <c r="GT603"/>
      <c r="GU603"/>
      <c r="GV603"/>
      <c r="GW603"/>
      <c r="GX603"/>
      <c r="GY603"/>
      <c r="GZ603"/>
      <c r="HA603"/>
      <c r="HB603"/>
      <c r="HC603"/>
      <c r="HD603"/>
      <c r="HE603"/>
      <c r="HF603"/>
      <c r="HG603"/>
      <c r="HH603"/>
      <c r="HI603"/>
      <c r="HJ603"/>
      <c r="HK603"/>
      <c r="HL603"/>
      <c r="HM603"/>
      <c r="HN603"/>
      <c r="HO603"/>
      <c r="HP603"/>
      <c r="HQ603"/>
      <c r="HR603"/>
      <c r="HS603"/>
      <c r="HT603"/>
      <c r="HU603"/>
      <c r="HV603"/>
      <c r="HW603"/>
      <c r="HX603"/>
      <c r="HY603"/>
      <c r="HZ603"/>
      <c r="IA603"/>
      <c r="IB603"/>
      <c r="IC603"/>
      <c r="ID603"/>
      <c r="IE603"/>
      <c r="IF603"/>
      <c r="IG603"/>
      <c r="IH603"/>
      <c r="II603"/>
      <c r="IJ603"/>
      <c r="IK603"/>
      <c r="IL603"/>
      <c r="IM603"/>
      <c r="IN603"/>
      <c r="IO603"/>
      <c r="IP603"/>
      <c r="IQ603"/>
      <c r="IR603"/>
      <c r="IS603"/>
      <c r="IT603"/>
      <c r="IU603"/>
      <c r="IV603"/>
      <c r="IW603"/>
      <c r="IX603"/>
      <c r="IY603"/>
      <c r="IZ603"/>
      <c r="JA603"/>
      <c r="JB603"/>
      <c r="JC603"/>
      <c r="JD603"/>
      <c r="JE603"/>
      <c r="JF603"/>
      <c r="JG603"/>
      <c r="JH603"/>
      <c r="JI603"/>
      <c r="JJ603"/>
      <c r="JK603"/>
      <c r="JL603"/>
      <c r="JM603"/>
      <c r="JN603"/>
    </row>
    <row r="604" spans="1:274" s="698" customFormat="1" ht="12.75" hidden="1" customHeight="1" outlineLevel="1" x14ac:dyDescent="0.2">
      <c r="A604" s="716" t="s">
        <v>1085</v>
      </c>
      <c r="B604" s="697"/>
      <c r="BA604" s="457">
        <f>BA553+BA560+BA585+BA591+BA598</f>
        <v>2674.3669999999997</v>
      </c>
      <c r="BC604" s="606">
        <f>BC553+BC560+BC585+BC591+BC598</f>
        <v>10961</v>
      </c>
      <c r="BE604" s="457">
        <f t="shared" ref="BE604:BI605" si="164">BE553+BE560+BE585+BE591+BE598</f>
        <v>2265</v>
      </c>
      <c r="BF604" s="457">
        <f t="shared" si="164"/>
        <v>2380</v>
      </c>
      <c r="BG604" s="457">
        <f t="shared" si="164"/>
        <v>2253.5</v>
      </c>
      <c r="BH604" s="457">
        <f t="shared" si="164"/>
        <v>2774.5</v>
      </c>
      <c r="BI604" s="606">
        <f t="shared" si="164"/>
        <v>9673</v>
      </c>
      <c r="BJ604" s="457"/>
      <c r="BK604" s="457">
        <f t="shared" ref="BK604:BO605" si="165">BK553+BK560+BK585+BK591+BK598</f>
        <v>2028</v>
      </c>
      <c r="BL604" s="457">
        <f t="shared" si="165"/>
        <v>2309</v>
      </c>
      <c r="BM604" s="457">
        <f t="shared" si="165"/>
        <v>2307</v>
      </c>
      <c r="BN604" s="457">
        <f t="shared" si="165"/>
        <v>2831</v>
      </c>
      <c r="BO604" s="606">
        <f t="shared" si="165"/>
        <v>9475</v>
      </c>
      <c r="BP604" s="457"/>
      <c r="BQ604" s="457">
        <f t="shared" ref="BQ604:BU605" si="166">BQ553+BQ560+BQ585+BQ591+BQ598</f>
        <v>2072</v>
      </c>
      <c r="BR604" s="457">
        <f t="shared" si="166"/>
        <v>2498</v>
      </c>
      <c r="BS604" s="457">
        <f t="shared" si="166"/>
        <v>2509</v>
      </c>
      <c r="BT604" s="457">
        <f t="shared" si="166"/>
        <v>3077</v>
      </c>
      <c r="BU604" s="606">
        <f t="shared" si="166"/>
        <v>10156</v>
      </c>
      <c r="BW604" s="457">
        <f t="shared" ref="BW604:CA605" si="167">BW553+BW560+BW585+BW591+BW598</f>
        <v>2215</v>
      </c>
      <c r="BX604" s="457">
        <f t="shared" si="167"/>
        <v>2756</v>
      </c>
      <c r="BY604" s="457">
        <f t="shared" si="167"/>
        <v>3093</v>
      </c>
      <c r="BZ604" s="457">
        <f t="shared" si="167"/>
        <v>4055</v>
      </c>
      <c r="CA604" s="606">
        <f t="shared" si="167"/>
        <v>12119</v>
      </c>
      <c r="CC604" s="457">
        <f t="shared" ref="CC604:CG605" si="168">CC553+CC560+CC585+CC591+CC598</f>
        <v>2907</v>
      </c>
      <c r="CD604" s="457">
        <f t="shared" si="168"/>
        <v>3394</v>
      </c>
      <c r="CE604" s="457">
        <f t="shared" si="168"/>
        <v>3534</v>
      </c>
      <c r="CF604" s="457">
        <f t="shared" si="168"/>
        <v>4936</v>
      </c>
      <c r="CG604" s="606">
        <f t="shared" si="168"/>
        <v>14771</v>
      </c>
      <c r="CI604" s="457">
        <f t="shared" ref="CI604:CM605" si="169">CI553+CI560+CI585+CI591+CI598</f>
        <v>3661</v>
      </c>
      <c r="CJ604" s="457">
        <f t="shared" si="169"/>
        <v>4216</v>
      </c>
      <c r="CK604" s="457">
        <f t="shared" si="169"/>
        <v>4449</v>
      </c>
      <c r="CL604" s="457">
        <f t="shared" si="169"/>
        <v>5882</v>
      </c>
      <c r="CM604" s="606">
        <f t="shared" si="169"/>
        <v>18208</v>
      </c>
      <c r="CO604" s="457">
        <f t="shared" ref="CO604:CS605" si="170">CO553+CO560+CO585+CO591+CO598</f>
        <v>4593</v>
      </c>
      <c r="CP604" s="457">
        <f t="shared" si="170"/>
        <v>5364</v>
      </c>
      <c r="CQ604" s="457">
        <f t="shared" si="170"/>
        <v>5371</v>
      </c>
      <c r="CR604" s="457">
        <f t="shared" si="170"/>
        <v>7281</v>
      </c>
      <c r="CS604" s="606">
        <f t="shared" si="170"/>
        <v>22609</v>
      </c>
      <c r="CU604" s="33">
        <f t="shared" ref="CU604:CY605" si="171">CU553+CU560+CU585+CU591+CU598</f>
        <v>5422</v>
      </c>
      <c r="CV604" s="33">
        <f t="shared" si="171"/>
        <v>5687</v>
      </c>
      <c r="CW604" s="33">
        <f t="shared" si="171"/>
        <v>5504</v>
      </c>
      <c r="CX604" s="33">
        <f t="shared" si="171"/>
        <v>6882</v>
      </c>
      <c r="CY604" s="606">
        <f t="shared" si="171"/>
        <v>23495</v>
      </c>
      <c r="DA604" s="33">
        <f>DA553+DA560+DA585+DA591+DA598</f>
        <v>5063</v>
      </c>
      <c r="DB604" s="33">
        <f>DB553+DB560+DB585+DB591+DB598</f>
        <v>5872</v>
      </c>
      <c r="DC604" s="33">
        <f>DC553+DC560+DC585+DC591+DC598+DC566+DC573</f>
        <v>6469</v>
      </c>
      <c r="DD604" s="33">
        <f>DD553+DD560+DD585+DD591+DD598+DD566+DD573</f>
        <v>9630</v>
      </c>
      <c r="DE604" s="143">
        <f>DE553+DE560+DE585+DE591+DE598+DE566+DE573</f>
        <v>27034</v>
      </c>
      <c r="DG604" s="33">
        <f>DG553+DG560+DG585+DG591+DG598+DG566+DG573</f>
        <v>7588</v>
      </c>
      <c r="DH604" s="33">
        <f>DH553+DH560+DH585+DH591+DH598+DH566+DH573</f>
        <v>8649</v>
      </c>
      <c r="DI604" s="33">
        <f>DI553+DI560+DI585+DI591+DI598+DI566+DI573</f>
        <v>8807</v>
      </c>
      <c r="DJ604" s="33">
        <f>DJ553+DJ560+DJ585+DJ591+DJ598+DJ566+DJ573</f>
        <v>10806</v>
      </c>
      <c r="DK604" s="143">
        <f>DK553+DK560+DK585+DK591+DK598+DK566+DK573</f>
        <v>35850</v>
      </c>
      <c r="DM604" s="33">
        <f>DM553+DM560+DM585+DM591+DM598+DM566+DM573</f>
        <v>8398</v>
      </c>
      <c r="DN604" s="33">
        <f>DN553+DN560+DN585+DN591+DN598+DN566+DN573</f>
        <v>8811</v>
      </c>
      <c r="DO604" s="33">
        <f>DO553+DO560+DO585+DO591+DO598+DO566+DO573</f>
        <v>9062</v>
      </c>
      <c r="DP604" s="33">
        <f>DP553+DP560+DP585+DP591+DP598+DP566+DP573</f>
        <v>10950</v>
      </c>
      <c r="DQ604" s="143">
        <f>DQ553+DQ560+DQ585+DQ598+DQ566+DQ573</f>
        <v>37221</v>
      </c>
      <c r="DS604" s="33">
        <f>DS553+DS560+DS585+DS591+DS598+DS566+DS573</f>
        <v>8209</v>
      </c>
      <c r="DT604" s="33">
        <f>DT553+DT560+DT585+DT591+DT598+DT566+DT573</f>
        <v>9113</v>
      </c>
      <c r="DU604" s="33">
        <f>DU553+DU560+DU585+DU591+DU598+DU566+DU573</f>
        <v>8970</v>
      </c>
      <c r="DV604" s="33">
        <f>DV553+DV560+DV585+DV591+DV598+DV566+DV573</f>
        <v>10961</v>
      </c>
      <c r="DW604" s="143">
        <f>DW553+DW560+DW585+DW598+DW566+DW573</f>
        <v>37253</v>
      </c>
      <c r="DY604" s="33">
        <f>DY553+DY560+DY585+DY591+DY598+DY566+DY573</f>
        <v>8381</v>
      </c>
      <c r="DZ604" s="33">
        <f>DZ553+DZ560+DZ585+DZ591+DZ598+DZ566+DZ573</f>
        <v>9283</v>
      </c>
      <c r="EA604" s="33">
        <f>EA553+EA560+EA585+EA591+EA598+EA566+EA573</f>
        <v>9315</v>
      </c>
      <c r="EB604" s="33">
        <f>EB553+EB560+EB585+EB591+EB598+EB566+EB573</f>
        <v>11783</v>
      </c>
      <c r="EC604" s="143">
        <f>EC553+EC560+EC585+EC598+EC566+EC573</f>
        <v>38306</v>
      </c>
      <c r="EE604" s="33">
        <f>EE553+EE560+EE585+EE579</f>
        <v>8601</v>
      </c>
      <c r="EF604" s="33">
        <f t="shared" ref="EF604:EG604" si="172">EF553+EF560+EF585+EF579</f>
        <v>9610</v>
      </c>
      <c r="EG604" s="33">
        <f t="shared" si="172"/>
        <v>9335</v>
      </c>
      <c r="EH604" s="33">
        <f>EI604-SUM(EE604:EG604)</f>
        <v>10707</v>
      </c>
      <c r="EI604" s="143">
        <f>EI696+EI704+EI711</f>
        <v>38253</v>
      </c>
      <c r="EK604" s="33">
        <f>EK553+EK560+EK585+EK579</f>
        <v>8451</v>
      </c>
      <c r="EL604" s="33">
        <f t="shared" ref="EL604:EM604" si="173">EL553+EL560+EL585+EL579</f>
        <v>8997</v>
      </c>
      <c r="EM604" s="33">
        <f t="shared" si="173"/>
        <v>9014</v>
      </c>
      <c r="EN604" s="33">
        <f>EO604-SUM(EK604:EM604)</f>
        <v>10595</v>
      </c>
      <c r="EO604" s="143">
        <f>EO696+EO704+EO711</f>
        <v>37057</v>
      </c>
      <c r="EQ604" s="33">
        <f>EQ553+EQ560+EQ585+EQ579</f>
        <v>8613</v>
      </c>
      <c r="ER604" s="33">
        <f t="shared" ref="ER604:ES604" si="174">ER553+ER560+ER585+ER579</f>
        <v>9070</v>
      </c>
      <c r="ES604" s="33">
        <f t="shared" si="174"/>
        <v>9274</v>
      </c>
      <c r="ET604" s="33">
        <f>EU604-SUM(EQ604:ES604)</f>
        <v>10942</v>
      </c>
      <c r="EU604" s="143">
        <f>EU696+EU704+EU711</f>
        <v>37899</v>
      </c>
      <c r="EW604" s="33">
        <f>EW553+EW560+EW585+EW579</f>
        <v>9212</v>
      </c>
      <c r="FA604" s="699"/>
      <c r="FG604" s="699"/>
      <c r="FM604" s="699"/>
      <c r="FO604" s="457"/>
      <c r="FQ604"/>
      <c r="FR604"/>
      <c r="FS604"/>
      <c r="FT604"/>
      <c r="FU604"/>
      <c r="FV604"/>
      <c r="GB604" s="24"/>
      <c r="GC604" s="24"/>
      <c r="GD604" s="24"/>
      <c r="GE604" s="24"/>
      <c r="GF604" s="24"/>
      <c r="GG604" s="24"/>
      <c r="GH604" s="24"/>
      <c r="GI604" s="24"/>
      <c r="GJ604"/>
      <c r="GK604"/>
      <c r="GL604"/>
      <c r="GM604"/>
      <c r="GN604"/>
      <c r="GO604"/>
      <c r="GP604"/>
      <c r="GQ604"/>
      <c r="GR604"/>
      <c r="GS604"/>
      <c r="GT604"/>
      <c r="GU604"/>
      <c r="GV604"/>
      <c r="GW604"/>
      <c r="GX604"/>
      <c r="GY604"/>
      <c r="GZ604"/>
      <c r="HA604"/>
      <c r="HB604"/>
      <c r="HC604"/>
      <c r="HD604"/>
      <c r="HE604"/>
      <c r="HF604"/>
      <c r="HG604"/>
      <c r="HH604"/>
      <c r="HI604"/>
      <c r="HJ604"/>
      <c r="HK604"/>
      <c r="HL604"/>
      <c r="HM604"/>
      <c r="HN604"/>
      <c r="HO604"/>
      <c r="HP604"/>
      <c r="HQ604"/>
      <c r="HR604"/>
      <c r="HS604"/>
      <c r="HT604"/>
      <c r="HU604"/>
      <c r="HV604"/>
      <c r="HW604"/>
      <c r="HX604"/>
      <c r="HY604"/>
      <c r="HZ604"/>
      <c r="IA604"/>
      <c r="IB604"/>
      <c r="IC604"/>
      <c r="ID604"/>
      <c r="IE604"/>
      <c r="IF604"/>
      <c r="IG604"/>
      <c r="IH604"/>
      <c r="II604"/>
      <c r="IJ604"/>
      <c r="IK604"/>
      <c r="IL604"/>
      <c r="IM604"/>
      <c r="IN604"/>
      <c r="IO604"/>
      <c r="IP604"/>
      <c r="IQ604"/>
      <c r="IR604"/>
      <c r="IS604"/>
      <c r="IT604"/>
      <c r="IU604"/>
      <c r="IV604"/>
      <c r="IW604"/>
      <c r="IX604"/>
      <c r="IY604"/>
      <c r="IZ604"/>
      <c r="JA604"/>
      <c r="JB604"/>
      <c r="JC604"/>
      <c r="JD604"/>
      <c r="JE604"/>
      <c r="JF604"/>
      <c r="JG604"/>
      <c r="JH604"/>
      <c r="JI604"/>
      <c r="JJ604"/>
      <c r="JK604"/>
      <c r="JL604"/>
      <c r="JM604"/>
      <c r="JN604"/>
    </row>
    <row r="605" spans="1:274" s="698" customFormat="1" ht="12.75" hidden="1" customHeight="1" outlineLevel="1" x14ac:dyDescent="0.2">
      <c r="A605" s="716" t="s">
        <v>1086</v>
      </c>
      <c r="B605" s="697"/>
      <c r="BA605" s="457">
        <f>BA554+BA561+BA586+BA592+BA599</f>
        <v>1170.9860000000001</v>
      </c>
      <c r="BC605" s="606">
        <f>BC554+BC561+BC586+BC592+BC599</f>
        <v>4803</v>
      </c>
      <c r="BE605" s="457">
        <f t="shared" si="164"/>
        <v>998</v>
      </c>
      <c r="BF605" s="457">
        <f t="shared" si="164"/>
        <v>1019</v>
      </c>
      <c r="BG605" s="457">
        <f t="shared" si="164"/>
        <v>926.4</v>
      </c>
      <c r="BH605" s="457">
        <f t="shared" si="164"/>
        <v>1012.6</v>
      </c>
      <c r="BI605" s="606">
        <f t="shared" si="164"/>
        <v>3956</v>
      </c>
      <c r="BJ605" s="457"/>
      <c r="BK605" s="457">
        <f t="shared" si="165"/>
        <v>934</v>
      </c>
      <c r="BL605" s="457">
        <f t="shared" si="165"/>
        <v>965</v>
      </c>
      <c r="BM605" s="457">
        <f t="shared" si="165"/>
        <v>960</v>
      </c>
      <c r="BN605" s="457">
        <f t="shared" si="165"/>
        <v>972</v>
      </c>
      <c r="BO605" s="606">
        <f t="shared" si="165"/>
        <v>3831</v>
      </c>
      <c r="BP605" s="457"/>
      <c r="BQ605" s="457">
        <f t="shared" si="166"/>
        <v>905</v>
      </c>
      <c r="BR605" s="457">
        <f t="shared" si="166"/>
        <v>985</v>
      </c>
      <c r="BS605" s="457">
        <f t="shared" si="166"/>
        <v>991</v>
      </c>
      <c r="BT605" s="457">
        <f t="shared" si="166"/>
        <v>1060</v>
      </c>
      <c r="BU605" s="606">
        <f t="shared" si="166"/>
        <v>3941</v>
      </c>
      <c r="BW605" s="457">
        <f t="shared" si="167"/>
        <v>915</v>
      </c>
      <c r="BX605" s="457">
        <f t="shared" si="167"/>
        <v>1009</v>
      </c>
      <c r="BY605" s="457">
        <f t="shared" si="167"/>
        <v>1195</v>
      </c>
      <c r="BZ605" s="457">
        <f t="shared" si="167"/>
        <v>1465</v>
      </c>
      <c r="CA605" s="606">
        <f t="shared" si="167"/>
        <v>4584</v>
      </c>
      <c r="CC605" s="457">
        <f t="shared" si="168"/>
        <v>1190</v>
      </c>
      <c r="CD605" s="457">
        <f t="shared" si="168"/>
        <v>1300</v>
      </c>
      <c r="CE605" s="457">
        <f t="shared" si="168"/>
        <v>1372</v>
      </c>
      <c r="CF605" s="457">
        <f t="shared" si="168"/>
        <v>1843</v>
      </c>
      <c r="CG605" s="606">
        <f t="shared" si="168"/>
        <v>5705</v>
      </c>
      <c r="CI605" s="457">
        <f t="shared" si="169"/>
        <v>1558</v>
      </c>
      <c r="CJ605" s="457">
        <f t="shared" si="169"/>
        <v>1747</v>
      </c>
      <c r="CK605" s="457">
        <f t="shared" si="169"/>
        <v>1808</v>
      </c>
      <c r="CL605" s="457">
        <f t="shared" si="169"/>
        <v>2186</v>
      </c>
      <c r="CM605" s="606">
        <f t="shared" si="169"/>
        <v>7299</v>
      </c>
      <c r="CO605" s="457">
        <f t="shared" si="170"/>
        <v>1939</v>
      </c>
      <c r="CP605" s="457">
        <f t="shared" si="170"/>
        <v>2109</v>
      </c>
      <c r="CQ605" s="457">
        <f t="shared" si="170"/>
        <v>2104</v>
      </c>
      <c r="CR605" s="457">
        <f t="shared" si="170"/>
        <v>2618</v>
      </c>
      <c r="CS605" s="606">
        <f t="shared" si="170"/>
        <v>8770</v>
      </c>
      <c r="CU605" s="33">
        <f t="shared" si="171"/>
        <v>2212</v>
      </c>
      <c r="CV605" s="33">
        <f t="shared" si="171"/>
        <v>2114</v>
      </c>
      <c r="CW605" s="33">
        <f t="shared" si="171"/>
        <v>1965</v>
      </c>
      <c r="CX605" s="33">
        <f t="shared" si="171"/>
        <v>2261</v>
      </c>
      <c r="CY605" s="606">
        <f t="shared" si="171"/>
        <v>8552</v>
      </c>
      <c r="DA605" s="33">
        <f>DA554+DA561+DA586+DA592+DA599</f>
        <v>1769</v>
      </c>
      <c r="DB605" s="33">
        <f>DB554+DB561+DB586+DB592+DB599</f>
        <v>1976</v>
      </c>
      <c r="DC605" s="33">
        <f>DC554+DC561+DC586+DC592+DC599+DC567+DC568+DC574</f>
        <v>2343</v>
      </c>
      <c r="DD605" s="33">
        <f>DD554+DD561+DD586+DD592+DD599+DD567+DD568+DD574</f>
        <v>3660</v>
      </c>
      <c r="DE605" s="143">
        <f>DE554+DE561+DE586+DE592+DE599+DE567+DE568+DE574</f>
        <v>9748</v>
      </c>
      <c r="DG605" s="33">
        <f>DG554+DG561+DG586+DG592+DG599+DG567+DG568+DG574</f>
        <v>3093</v>
      </c>
      <c r="DH605" s="33">
        <f>DH554+DH561+DH586+DH592+DH599+DH567+DH568+DH574</f>
        <v>3377</v>
      </c>
      <c r="DI605" s="33">
        <f>DI554+DI561+DI586+DI592+DI599+DI567+DI568+DI574</f>
        <v>3326</v>
      </c>
      <c r="DJ605" s="33">
        <f>DJ554+DJ561+DJ586+DJ592+DJ599+DJ567+DJ568+DJ574</f>
        <v>3925</v>
      </c>
      <c r="DK605" s="143">
        <f>DK554+DK561+DK586+DK592+DK599+DK567+DK568+DK574</f>
        <v>13721</v>
      </c>
      <c r="DM605" s="33">
        <f>DM554+DM561+DM586+DM592+DM599+DM567+DM568+DM574</f>
        <v>3343</v>
      </c>
      <c r="DN605" s="33">
        <f>DN554+DN561+DN586+DN592+DN599+DN567+DN568+DN574</f>
        <v>3340</v>
      </c>
      <c r="DO605" s="33">
        <f>DO554+DO561+DO586+DO592+DO599+DO567+DO568+DO574</f>
        <v>3322</v>
      </c>
      <c r="DP605" s="33">
        <f>DP554+DP561+DP586+DP592+DP599+DP567+DP568+DP574</f>
        <v>3876</v>
      </c>
      <c r="DQ605" s="143">
        <f>DQ554+DQ561+DQ586+DQ599+DQ567+DQ568+DQ574</f>
        <v>13881</v>
      </c>
      <c r="DS605" s="33">
        <f>DS554+DS561+DS586+DS592+DS599+DS567+DS568+DS574+DS555+DS593</f>
        <v>3047</v>
      </c>
      <c r="DT605" s="33">
        <f>DT554+DT561+DT586+DT592+DT599+DT567+DT568+DT574+DT555+DT593</f>
        <v>3250</v>
      </c>
      <c r="DU605" s="33">
        <f>DU554+DU561+DU586+DU592+DU599+DU567+DU568+DU574+DU555+DU593</f>
        <v>3239</v>
      </c>
      <c r="DV605" s="33">
        <f>DV554+DV561+DV586+DV592+DV599+DV567+DV568+DV574+DV555+DV593</f>
        <v>3707</v>
      </c>
      <c r="DW605" s="143">
        <f>DW554+DW561+DW586+DW592+DW599+DW567+DW568+DW574+DW555+DW593</f>
        <v>13600</v>
      </c>
      <c r="DY605" s="33">
        <f>DY554+DY561+DY586+DY592+DY599+DY567+DY568+DY574+DY555+DY593</f>
        <v>3070</v>
      </c>
      <c r="DZ605" s="33">
        <f>DZ554+DZ561+DZ586+DZ592+DZ599+DZ567+DZ568+DZ574+DZ555+DZ593</f>
        <v>3398</v>
      </c>
      <c r="EA605" s="33">
        <f>EA554+EA561+EA586+EA592+EA599+EA567+EA568+EA574+EA555+EA593</f>
        <v>3331</v>
      </c>
      <c r="EB605" s="33">
        <f>EB554+EB561+EB586+EB592+EB599+EB567+EB568+EB574+EB555+EB593</f>
        <v>4164</v>
      </c>
      <c r="EC605" s="143">
        <f>EC554+EC561+EC586+EC592+EC599+EC567+EC568+EC574+EC555+EC593</f>
        <v>13963</v>
      </c>
      <c r="EE605" s="33">
        <f>EE554+EE561+EE586+EE567+EE568+EE574+EE555</f>
        <v>3120</v>
      </c>
      <c r="EF605" s="33">
        <f t="shared" ref="EF605:EG605" si="175">EF554+EF561+EF586+EF567+EF568+EF574+EF555</f>
        <v>3511</v>
      </c>
      <c r="EG605" s="33">
        <f t="shared" si="175"/>
        <v>3455</v>
      </c>
      <c r="EH605" s="33">
        <f>EI605-SUM(EE605:EG605)</f>
        <v>4458</v>
      </c>
      <c r="EI605" s="143">
        <f>EI697+EI698+EI699+EI705+EI706+EI712</f>
        <v>14544</v>
      </c>
      <c r="EK605" s="33">
        <f>EK554+EK561+EK586+EK567+EK568+EK574+EK555</f>
        <v>3396</v>
      </c>
      <c r="EL605" s="33">
        <f t="shared" ref="EL605:EM605" si="176">EL554+EL561+EL586+EL567+EL568+EL574+EL555</f>
        <v>3489</v>
      </c>
      <c r="EM605" s="33">
        <f t="shared" si="176"/>
        <v>3463</v>
      </c>
      <c r="EN605" s="33">
        <f>EO605-SUM(EK605:EM605)</f>
        <v>4299</v>
      </c>
      <c r="EO605" s="143">
        <f>EO697+EO698+EO699+EO705+EO706+EO712</f>
        <v>14647</v>
      </c>
      <c r="EQ605" s="33">
        <f>EQ554+EQ561+EQ586+EQ567+EQ568+EQ574+EQ555</f>
        <v>3503</v>
      </c>
      <c r="ER605" s="33">
        <f t="shared" ref="ER605:ES605" si="177">ER554+ER561+ER586+ER567+ER568+ER574+ER555</f>
        <v>3562</v>
      </c>
      <c r="ES605" s="33">
        <f t="shared" si="177"/>
        <v>3694</v>
      </c>
      <c r="ET605" s="33">
        <f>EU605-SUM(EQ605:ES605)</f>
        <v>4123</v>
      </c>
      <c r="EU605" s="143">
        <f>EU697+EU698+EU699+EU705+EU706+EU712</f>
        <v>14882</v>
      </c>
      <c r="EW605" s="33">
        <f>EW554+EW561+EW586+EW567+EW568+EW580+EW555</f>
        <v>3705</v>
      </c>
      <c r="FA605" s="699"/>
      <c r="FG605" s="699"/>
      <c r="FM605" s="699"/>
      <c r="FO605" s="457"/>
      <c r="FQ605"/>
      <c r="FR605"/>
      <c r="FS605"/>
      <c r="FT605"/>
      <c r="FU605"/>
      <c r="FV605"/>
      <c r="GB605" s="24"/>
      <c r="GC605" s="24"/>
      <c r="GD605" s="24"/>
      <c r="GE605" s="24"/>
      <c r="GF605" s="24"/>
      <c r="GG605" s="24"/>
      <c r="GH605" s="24"/>
      <c r="GI605" s="24"/>
      <c r="GJ605"/>
      <c r="GK605"/>
      <c r="GL605"/>
      <c r="GM605"/>
      <c r="GN605"/>
      <c r="GO605"/>
      <c r="GP605"/>
      <c r="GQ605"/>
      <c r="GR605"/>
      <c r="GS605"/>
      <c r="GT605"/>
      <c r="GU605"/>
      <c r="GV605"/>
      <c r="GW605"/>
      <c r="GX605"/>
      <c r="GY605"/>
      <c r="GZ605"/>
      <c r="HA605"/>
      <c r="HB605"/>
      <c r="HC605"/>
      <c r="HD605"/>
      <c r="HE605"/>
      <c r="HF605"/>
      <c r="HG605"/>
      <c r="HH605"/>
      <c r="HI605"/>
      <c r="HJ605"/>
      <c r="HK605"/>
      <c r="HL605"/>
      <c r="HM605"/>
      <c r="HN605"/>
      <c r="HO605"/>
      <c r="HP605"/>
      <c r="HQ605"/>
      <c r="HR605"/>
      <c r="HS605"/>
      <c r="HT605"/>
      <c r="HU605"/>
      <c r="HV605"/>
      <c r="HW605"/>
      <c r="HX605"/>
      <c r="HY605"/>
      <c r="HZ605"/>
      <c r="IA605"/>
      <c r="IB605"/>
      <c r="IC605"/>
      <c r="ID605"/>
      <c r="IE605"/>
      <c r="IF605"/>
      <c r="IG605"/>
      <c r="IH605"/>
      <c r="II605"/>
      <c r="IJ605"/>
      <c r="IK605"/>
      <c r="IL605"/>
      <c r="IM605"/>
      <c r="IN605"/>
      <c r="IO605"/>
      <c r="IP605"/>
      <c r="IQ605"/>
      <c r="IR605"/>
      <c r="IS605"/>
      <c r="IT605"/>
      <c r="IU605"/>
      <c r="IV605"/>
      <c r="IW605"/>
      <c r="IX605"/>
      <c r="IY605"/>
      <c r="IZ605"/>
      <c r="JA605"/>
      <c r="JB605"/>
      <c r="JC605"/>
      <c r="JD605"/>
      <c r="JE605"/>
      <c r="JF605"/>
      <c r="JG605"/>
      <c r="JH605"/>
      <c r="JI605"/>
      <c r="JJ605"/>
      <c r="JK605"/>
      <c r="JL605"/>
      <c r="JM605"/>
      <c r="JN605"/>
    </row>
    <row r="606" spans="1:274" s="698" customFormat="1" ht="12.75" hidden="1" customHeight="1" outlineLevel="1" x14ac:dyDescent="0.2">
      <c r="A606" s="717" t="s">
        <v>1080</v>
      </c>
      <c r="B606" s="697"/>
      <c r="C606" s="704"/>
      <c r="D606" s="704"/>
      <c r="E606" s="704"/>
      <c r="F606" s="704"/>
      <c r="G606" s="704"/>
      <c r="H606" s="704"/>
      <c r="I606" s="704"/>
      <c r="J606" s="704"/>
      <c r="K606" s="704"/>
      <c r="L606" s="704"/>
      <c r="M606" s="704"/>
      <c r="N606" s="704"/>
      <c r="O606" s="704"/>
      <c r="P606" s="704"/>
      <c r="Q606" s="704"/>
      <c r="R606" s="704"/>
      <c r="S606" s="704"/>
      <c r="T606" s="704"/>
      <c r="U606" s="704"/>
      <c r="V606" s="704"/>
      <c r="W606" s="704"/>
      <c r="X606" s="704"/>
      <c r="Y606" s="704"/>
      <c r="Z606" s="704"/>
      <c r="AA606" s="704"/>
      <c r="AB606" s="704"/>
      <c r="AC606" s="704"/>
      <c r="AD606" s="704"/>
      <c r="AE606" s="704"/>
      <c r="AF606" s="704"/>
      <c r="AG606" s="704"/>
      <c r="AH606" s="704"/>
      <c r="AI606" s="704"/>
      <c r="AJ606" s="704"/>
      <c r="AK606" s="704"/>
      <c r="AL606" s="704"/>
      <c r="AM606" s="704"/>
      <c r="AN606" s="704"/>
      <c r="AO606" s="704"/>
      <c r="AP606" s="704"/>
      <c r="AQ606" s="704"/>
      <c r="AR606" s="704"/>
      <c r="AS606" s="704"/>
      <c r="AT606" s="704"/>
      <c r="AU606" s="704"/>
      <c r="AV606" s="704"/>
      <c r="AW606" s="704"/>
      <c r="AX606" s="704"/>
      <c r="AY606" s="704"/>
      <c r="AZ606" s="704"/>
      <c r="BA606" s="73">
        <f>BA604-BA605</f>
        <v>1503.3809999999996</v>
      </c>
      <c r="BB606" s="704"/>
      <c r="BC606" s="705">
        <f>BC604-BC605</f>
        <v>6158</v>
      </c>
      <c r="BD606" s="704"/>
      <c r="BE606" s="73">
        <f>BE604-BE605</f>
        <v>1267</v>
      </c>
      <c r="BF606" s="73">
        <f>BF604-BF605</f>
        <v>1361</v>
      </c>
      <c r="BG606" s="73">
        <f>BG604-BG605</f>
        <v>1327.1</v>
      </c>
      <c r="BH606" s="73">
        <f>BH604-BH605</f>
        <v>1761.9</v>
      </c>
      <c r="BI606" s="705">
        <f>BI604-BI605</f>
        <v>5717</v>
      </c>
      <c r="BJ606" s="73"/>
      <c r="BK606" s="73">
        <f>BK604-BK605</f>
        <v>1094</v>
      </c>
      <c r="BL606" s="73">
        <f>BL604-BL605</f>
        <v>1344</v>
      </c>
      <c r="BM606" s="73">
        <f>BM604-BM605</f>
        <v>1347</v>
      </c>
      <c r="BN606" s="73">
        <f>BN604-BN605</f>
        <v>1859</v>
      </c>
      <c r="BO606" s="705">
        <f>BO604-BO605</f>
        <v>5644</v>
      </c>
      <c r="BP606" s="73"/>
      <c r="BQ606" s="73">
        <f>BQ604-BQ605</f>
        <v>1167</v>
      </c>
      <c r="BR606" s="73">
        <f>BR604-BR605</f>
        <v>1513</v>
      </c>
      <c r="BS606" s="73">
        <f>BS604-BS605</f>
        <v>1518</v>
      </c>
      <c r="BT606" s="73">
        <f>BT604-BT605</f>
        <v>2017</v>
      </c>
      <c r="BU606" s="705">
        <f>BU604-BU605</f>
        <v>6215</v>
      </c>
      <c r="BV606" s="704"/>
      <c r="BW606" s="73">
        <f>BW604-BW605</f>
        <v>1300</v>
      </c>
      <c r="BX606" s="73">
        <f>BX604-BX605</f>
        <v>1747</v>
      </c>
      <c r="BY606" s="73">
        <f>BY604-BY605</f>
        <v>1898</v>
      </c>
      <c r="BZ606" s="73">
        <f>BZ604-BZ605</f>
        <v>2590</v>
      </c>
      <c r="CA606" s="705">
        <f>CA604-CA605</f>
        <v>7535</v>
      </c>
      <c r="CB606" s="704"/>
      <c r="CC606" s="73">
        <f>CC604-CC605</f>
        <v>1717</v>
      </c>
      <c r="CD606" s="73">
        <f>CD604-CD605</f>
        <v>2094</v>
      </c>
      <c r="CE606" s="73">
        <f>CE604-CE605</f>
        <v>2162</v>
      </c>
      <c r="CF606" s="73">
        <f>CF604-CF605</f>
        <v>3093</v>
      </c>
      <c r="CG606" s="705">
        <f>CG604-CG605</f>
        <v>9066</v>
      </c>
      <c r="CH606" s="704"/>
      <c r="CI606" s="73">
        <f>CI604-CI605</f>
        <v>2103</v>
      </c>
      <c r="CJ606" s="73">
        <f>CJ604-CJ605</f>
        <v>2469</v>
      </c>
      <c r="CK606" s="73">
        <f>CK604-CK605</f>
        <v>2641</v>
      </c>
      <c r="CL606" s="73">
        <f>CL604-CL605</f>
        <v>3696</v>
      </c>
      <c r="CM606" s="705">
        <f>CM604-CM605</f>
        <v>10909</v>
      </c>
      <c r="CN606" s="704"/>
      <c r="CO606" s="73">
        <f>CO604-CO605</f>
        <v>2654</v>
      </c>
      <c r="CP606" s="73">
        <f>CP604-CP605</f>
        <v>3255</v>
      </c>
      <c r="CQ606" s="73">
        <f>CQ604-CQ605</f>
        <v>3267</v>
      </c>
      <c r="CR606" s="73">
        <f>CR604-CR605</f>
        <v>4663</v>
      </c>
      <c r="CS606" s="705">
        <f>CS604-CS605</f>
        <v>13839</v>
      </c>
      <c r="CT606" s="704"/>
      <c r="CU606" s="73">
        <f>CU604-CU605</f>
        <v>3210</v>
      </c>
      <c r="CV606" s="73">
        <f>CV604-CV605</f>
        <v>3573</v>
      </c>
      <c r="CW606" s="73">
        <f>CW604-CW605</f>
        <v>3539</v>
      </c>
      <c r="CX606" s="73">
        <f>CX604-CX605</f>
        <v>4621</v>
      </c>
      <c r="CY606" s="705">
        <f>CY604-CY605</f>
        <v>14943</v>
      </c>
      <c r="CZ606" s="704"/>
      <c r="DA606" s="73">
        <f>DA604-DA605</f>
        <v>3294</v>
      </c>
      <c r="DB606" s="73">
        <f>DB604-DB605</f>
        <v>3896</v>
      </c>
      <c r="DC606" s="73">
        <f>DC604-DC605</f>
        <v>4126</v>
      </c>
      <c r="DD606" s="73">
        <f>DD604-DD605</f>
        <v>5970</v>
      </c>
      <c r="DE606" s="162">
        <f>DE604-DE605</f>
        <v>17286</v>
      </c>
      <c r="DF606" s="704"/>
      <c r="DG606" s="73">
        <f>DG604-DG605</f>
        <v>4495</v>
      </c>
      <c r="DH606" s="73">
        <f>DH604-DH605</f>
        <v>5272</v>
      </c>
      <c r="DI606" s="73">
        <f>DI604-DI605</f>
        <v>5481</v>
      </c>
      <c r="DJ606" s="73">
        <f>DJ604-DJ605</f>
        <v>6881</v>
      </c>
      <c r="DK606" s="162">
        <f>DK604-DK605</f>
        <v>22129</v>
      </c>
      <c r="DL606" s="704"/>
      <c r="DM606" s="73">
        <f>DM604-DM605</f>
        <v>5055</v>
      </c>
      <c r="DN606" s="73">
        <f>DN604-DN605</f>
        <v>5471</v>
      </c>
      <c r="DO606" s="73">
        <f>DO604-DO605</f>
        <v>5740</v>
      </c>
      <c r="DP606" s="73">
        <f>DP604-DP605</f>
        <v>7074</v>
      </c>
      <c r="DQ606" s="162">
        <f>DQ604-DQ605</f>
        <v>23340</v>
      </c>
      <c r="DR606" s="704"/>
      <c r="DS606" s="73">
        <f>DS604-DS605</f>
        <v>5162</v>
      </c>
      <c r="DT606" s="73">
        <f>DT604-DT605</f>
        <v>5863</v>
      </c>
      <c r="DU606" s="73">
        <f>DU604-DU605</f>
        <v>5731</v>
      </c>
      <c r="DV606" s="73">
        <f>DV604-DV605</f>
        <v>7254</v>
      </c>
      <c r="DW606" s="162">
        <f>DW604-DW605</f>
        <v>23653</v>
      </c>
      <c r="DX606" s="704"/>
      <c r="DY606" s="73">
        <f>DY604-DY605</f>
        <v>5311</v>
      </c>
      <c r="DZ606" s="73">
        <f>DZ604-DZ605</f>
        <v>5885</v>
      </c>
      <c r="EA606" s="73">
        <f>EA604-EA605</f>
        <v>5984</v>
      </c>
      <c r="EB606" s="73">
        <f>EB604-EB605</f>
        <v>7619</v>
      </c>
      <c r="EC606" s="162">
        <f>EC604-EC605</f>
        <v>24343</v>
      </c>
      <c r="ED606" s="704"/>
      <c r="EE606" s="73">
        <f>EE604-EE605</f>
        <v>5481</v>
      </c>
      <c r="EF606" s="73">
        <f>EF604-EF605</f>
        <v>6099</v>
      </c>
      <c r="EG606" s="73">
        <f>EG604-EG605</f>
        <v>5880</v>
      </c>
      <c r="EH606" s="73">
        <f>EH604-EH605</f>
        <v>6249</v>
      </c>
      <c r="EI606" s="162">
        <f>EI604-EI605</f>
        <v>23709</v>
      </c>
      <c r="EJ606" s="704"/>
      <c r="EK606" s="73">
        <f>EK604-EK605</f>
        <v>5055</v>
      </c>
      <c r="EL606" s="73">
        <f>EL604-EL605</f>
        <v>5508</v>
      </c>
      <c r="EM606" s="73">
        <f>EM604-EM605</f>
        <v>5551</v>
      </c>
      <c r="EN606" s="73">
        <f>EN604-EN605</f>
        <v>6296</v>
      </c>
      <c r="EO606" s="162">
        <f>EO604-EO605</f>
        <v>22410</v>
      </c>
      <c r="EP606" s="704"/>
      <c r="EQ606" s="73">
        <f>EQ604-EQ605</f>
        <v>5110</v>
      </c>
      <c r="ER606" s="73">
        <f>ER604-ER605</f>
        <v>5508</v>
      </c>
      <c r="ES606" s="73">
        <f>ES604-ES605</f>
        <v>5580</v>
      </c>
      <c r="ET606" s="73">
        <f>ET604-ET605</f>
        <v>6819</v>
      </c>
      <c r="EU606" s="162">
        <f>EU604-EU605</f>
        <v>23017</v>
      </c>
      <c r="EV606" s="704"/>
      <c r="EW606" s="73">
        <f>EW604-EW605</f>
        <v>5507</v>
      </c>
      <c r="EX606" s="704"/>
      <c r="EY606" s="704"/>
      <c r="EZ606" s="704"/>
      <c r="FA606" s="706"/>
      <c r="FB606" s="704"/>
      <c r="FC606" s="704"/>
      <c r="FD606" s="704"/>
      <c r="FE606" s="704"/>
      <c r="FF606" s="704"/>
      <c r="FG606" s="706"/>
      <c r="FH606" s="704"/>
      <c r="FI606" s="704"/>
      <c r="FJ606" s="704"/>
      <c r="FK606" s="704"/>
      <c r="FL606" s="704"/>
      <c r="FM606" s="706"/>
      <c r="FO606" s="457"/>
      <c r="FP606" s="64"/>
      <c r="FQ606"/>
      <c r="FR606"/>
      <c r="FS606"/>
      <c r="FT606"/>
      <c r="FU606"/>
      <c r="FV606"/>
      <c r="GB606" s="24"/>
      <c r="GC606" s="24"/>
      <c r="GD606" s="24"/>
      <c r="GE606" s="24"/>
      <c r="GF606" s="24"/>
      <c r="GG606" s="24"/>
      <c r="GH606" s="24"/>
      <c r="GI606" s="24"/>
      <c r="GJ606"/>
      <c r="GK606"/>
      <c r="GL606"/>
      <c r="GM606"/>
      <c r="GN606"/>
      <c r="GO606"/>
      <c r="GP606"/>
      <c r="GQ606"/>
      <c r="GR606"/>
      <c r="GS606"/>
      <c r="GT606"/>
      <c r="GU606"/>
      <c r="GV606"/>
      <c r="GW606"/>
      <c r="GX606"/>
      <c r="GY606"/>
      <c r="GZ606"/>
      <c r="HA606"/>
      <c r="HB606"/>
      <c r="HC606"/>
      <c r="HD606"/>
      <c r="HE606"/>
      <c r="HF606"/>
      <c r="HG606"/>
      <c r="HH606"/>
      <c r="HI606"/>
      <c r="HJ606"/>
      <c r="HK606"/>
      <c r="HL606"/>
      <c r="HM606"/>
      <c r="HN606"/>
      <c r="HO606"/>
      <c r="HP606"/>
      <c r="HQ606"/>
      <c r="HR606"/>
      <c r="HS606"/>
      <c r="HT606"/>
      <c r="HU606"/>
      <c r="HV606"/>
      <c r="HW606"/>
      <c r="HX606"/>
      <c r="HY606"/>
      <c r="HZ606"/>
      <c r="IA606"/>
      <c r="IB606"/>
      <c r="IC606"/>
      <c r="ID606"/>
      <c r="IE606"/>
      <c r="IF606"/>
      <c r="IG606"/>
      <c r="IH606"/>
      <c r="II606"/>
      <c r="IJ606"/>
      <c r="IK606"/>
      <c r="IL606"/>
      <c r="IM606"/>
      <c r="IN606"/>
      <c r="IO606"/>
      <c r="IP606"/>
      <c r="IQ606"/>
      <c r="IR606"/>
      <c r="IS606"/>
      <c r="IT606"/>
      <c r="IU606"/>
      <c r="IV606"/>
      <c r="IW606"/>
      <c r="IX606"/>
      <c r="IY606"/>
      <c r="IZ606"/>
      <c r="JA606"/>
      <c r="JB606"/>
      <c r="JC606"/>
      <c r="JD606"/>
      <c r="JE606"/>
      <c r="JF606"/>
      <c r="JG606"/>
      <c r="JH606"/>
      <c r="JI606"/>
      <c r="JJ606"/>
      <c r="JK606"/>
      <c r="JL606"/>
      <c r="JM606"/>
      <c r="JN606"/>
    </row>
    <row r="607" spans="1:274" s="698" customFormat="1" ht="12.75" hidden="1" customHeight="1" outlineLevel="1" thickBot="1" x14ac:dyDescent="0.25">
      <c r="A607" s="718" t="s">
        <v>1081</v>
      </c>
      <c r="B607" s="719"/>
      <c r="C607" s="720"/>
      <c r="D607" s="720"/>
      <c r="E607" s="720"/>
      <c r="F607" s="720"/>
      <c r="G607" s="720"/>
      <c r="H607" s="720"/>
      <c r="I607" s="720"/>
      <c r="J607" s="720"/>
      <c r="K607" s="720"/>
      <c r="L607" s="720"/>
      <c r="M607" s="720"/>
      <c r="N607" s="720"/>
      <c r="O607" s="720"/>
      <c r="P607" s="720"/>
      <c r="Q607" s="720"/>
      <c r="R607" s="720"/>
      <c r="S607" s="720"/>
      <c r="T607" s="720"/>
      <c r="U607" s="720"/>
      <c r="V607" s="720"/>
      <c r="W607" s="720"/>
      <c r="X607" s="720"/>
      <c r="Y607" s="720"/>
      <c r="Z607" s="720"/>
      <c r="AA607" s="720"/>
      <c r="AB607" s="720"/>
      <c r="AC607" s="720"/>
      <c r="AD607" s="720"/>
      <c r="AE607" s="720"/>
      <c r="AF607" s="720"/>
      <c r="AG607" s="720"/>
      <c r="AH607" s="720"/>
      <c r="AI607" s="720"/>
      <c r="AJ607" s="720"/>
      <c r="AK607" s="720"/>
      <c r="AL607" s="720"/>
      <c r="AM607" s="720"/>
      <c r="AN607" s="720"/>
      <c r="AO607" s="720"/>
      <c r="AP607" s="720"/>
      <c r="AQ607" s="720"/>
      <c r="AR607" s="720"/>
      <c r="AS607" s="720"/>
      <c r="AT607" s="720"/>
      <c r="AU607" s="720"/>
      <c r="AV607" s="720"/>
      <c r="AW607" s="720"/>
      <c r="AX607" s="720"/>
      <c r="AY607" s="720"/>
      <c r="AZ607" s="720"/>
      <c r="BA607" s="721">
        <f>BA606/BA604</f>
        <v>0.56214461216429901</v>
      </c>
      <c r="BB607" s="720"/>
      <c r="BC607" s="722">
        <f>BC606/BC604</f>
        <v>0.5618100538272055</v>
      </c>
      <c r="BD607" s="720"/>
      <c r="BE607" s="721">
        <f>BE606/BE604</f>
        <v>0.55938189845474617</v>
      </c>
      <c r="BF607" s="721">
        <f>BF606/BF604</f>
        <v>0.57184873949579829</v>
      </c>
      <c r="BG607" s="721">
        <f>BG606/BG604</f>
        <v>0.5889061459951187</v>
      </c>
      <c r="BH607" s="721">
        <f>BH606/BH604</f>
        <v>0.63503333934042172</v>
      </c>
      <c r="BI607" s="722">
        <f>BI606/BI604</f>
        <v>0.59102656879975191</v>
      </c>
      <c r="BJ607" s="720"/>
      <c r="BK607" s="721">
        <f>BK606/BK604</f>
        <v>0.53944773175542404</v>
      </c>
      <c r="BL607" s="721">
        <f>BL606/BL604</f>
        <v>0.58207016024252922</v>
      </c>
      <c r="BM607" s="721">
        <f>BM606/BM604</f>
        <v>0.58387516254876459</v>
      </c>
      <c r="BN607" s="721">
        <f>BN606/BN604</f>
        <v>0.65665842458495227</v>
      </c>
      <c r="BO607" s="722">
        <f>BO606/BO604</f>
        <v>0.59567282321899739</v>
      </c>
      <c r="BP607" s="720"/>
      <c r="BQ607" s="721">
        <f>BQ606/BQ604</f>
        <v>0.56322393822393824</v>
      </c>
      <c r="BR607" s="721">
        <f>BR606/BR604</f>
        <v>0.60568454763811053</v>
      </c>
      <c r="BS607" s="721">
        <f>BS606/BS604</f>
        <v>0.60502192108409725</v>
      </c>
      <c r="BT607" s="721">
        <f>BT606/BT604</f>
        <v>0.65550861228469293</v>
      </c>
      <c r="BU607" s="722">
        <f>BU606/BU604</f>
        <v>0.61195352500984634</v>
      </c>
      <c r="BV607" s="720"/>
      <c r="BW607" s="721">
        <f>BW606/BW604</f>
        <v>0.58690744920993232</v>
      </c>
      <c r="BX607" s="721">
        <f>BX606/BX604</f>
        <v>0.63388969521044991</v>
      </c>
      <c r="BY607" s="721">
        <f>BY606/BY604</f>
        <v>0.61364371160685416</v>
      </c>
      <c r="BZ607" s="721">
        <f>BZ606/BZ604</f>
        <v>0.63871763255240444</v>
      </c>
      <c r="CA607" s="722">
        <f>CA606/CA604</f>
        <v>0.6217509695519432</v>
      </c>
      <c r="CB607" s="720"/>
      <c r="CC607" s="721">
        <f>CC606/CC604</f>
        <v>0.59064327485380119</v>
      </c>
      <c r="CD607" s="721">
        <f>CD606/CD604</f>
        <v>0.61697112551561584</v>
      </c>
      <c r="CE607" s="721">
        <f>CE606/CE604</f>
        <v>0.61177136389360498</v>
      </c>
      <c r="CF607" s="721">
        <f>CF606/CF604</f>
        <v>0.62662074554294978</v>
      </c>
      <c r="CG607" s="722">
        <f>CG606/CG604</f>
        <v>0.61377022544174398</v>
      </c>
      <c r="CH607" s="720"/>
      <c r="CI607" s="721">
        <f>CI606/CI604</f>
        <v>0.57443321496858779</v>
      </c>
      <c r="CJ607" s="721">
        <f>CJ606/CJ604</f>
        <v>0.58562618595825422</v>
      </c>
      <c r="CK607" s="721">
        <f>CK606/CK604</f>
        <v>0.59361654304338052</v>
      </c>
      <c r="CL607" s="721">
        <f>CL606/CL604</f>
        <v>0.62835770146208769</v>
      </c>
      <c r="CM607" s="722">
        <f>CM606/CM604</f>
        <v>0.59913224956063271</v>
      </c>
      <c r="CN607" s="720"/>
      <c r="CO607" s="721">
        <f>CO606/CO604</f>
        <v>0.57783583714347919</v>
      </c>
      <c r="CP607" s="721">
        <f>CP606/CP604</f>
        <v>0.60682326621923932</v>
      </c>
      <c r="CQ607" s="721">
        <f>CQ606/CQ604</f>
        <v>0.60826661701731521</v>
      </c>
      <c r="CR607" s="721">
        <f>CR606/CR604</f>
        <v>0.64043400631781344</v>
      </c>
      <c r="CS607" s="722">
        <f>CS606/CS604</f>
        <v>0.61210137555840594</v>
      </c>
      <c r="CT607" s="720"/>
      <c r="CU607" s="721">
        <f>CU606/CU604</f>
        <v>0.59203246034673551</v>
      </c>
      <c r="CV607" s="721">
        <f>CV606/CV604</f>
        <v>0.62827501318797252</v>
      </c>
      <c r="CW607" s="721">
        <f>CW606/CW604</f>
        <v>0.64298691860465118</v>
      </c>
      <c r="CX607" s="721">
        <f>CX606/CX604</f>
        <v>0.67146178436501014</v>
      </c>
      <c r="CY607" s="722">
        <f>CY606/CY604</f>
        <v>0.63600766120451158</v>
      </c>
      <c r="CZ607" s="720"/>
      <c r="DA607" s="721">
        <f>DA606/DA604</f>
        <v>0.6506024096385542</v>
      </c>
      <c r="DB607" s="721">
        <f>DB606/DB604</f>
        <v>0.6634877384196185</v>
      </c>
      <c r="DC607" s="721">
        <f>DC606/DC604</f>
        <v>0.63781109908795797</v>
      </c>
      <c r="DD607" s="721">
        <f>DD606/DD604</f>
        <v>0.6199376947040498</v>
      </c>
      <c r="DE607" s="723">
        <f>DE606/DE604</f>
        <v>0.63941703040615516</v>
      </c>
      <c r="DF607" s="720"/>
      <c r="DG607" s="721">
        <f>DG606/DG604</f>
        <v>0.59238270954138117</v>
      </c>
      <c r="DH607" s="721">
        <f>DH606/DH604</f>
        <v>0.60955023702162103</v>
      </c>
      <c r="DI607" s="721">
        <f>DI606/DI604</f>
        <v>0.62234586124673552</v>
      </c>
      <c r="DJ607" s="721">
        <f>DJ606/DJ604</f>
        <v>0.63677586526004071</v>
      </c>
      <c r="DK607" s="723">
        <f>DK606/DK604</f>
        <v>0.61726638772663878</v>
      </c>
      <c r="DL607" s="720"/>
      <c r="DM607" s="721">
        <f>DM606/DM604</f>
        <v>0.60192903072160042</v>
      </c>
      <c r="DN607" s="721">
        <f>DN606/DN604</f>
        <v>0.62092838497332881</v>
      </c>
      <c r="DO607" s="721">
        <f>DO606/DO604</f>
        <v>0.6334142573383359</v>
      </c>
      <c r="DP607" s="721">
        <f>DP606/DP604</f>
        <v>0.64602739726027403</v>
      </c>
      <c r="DQ607" s="723">
        <f>DQ606/DQ604</f>
        <v>0.62706536632546139</v>
      </c>
      <c r="DR607" s="720"/>
      <c r="DS607" s="721">
        <f>DS606/DS604</f>
        <v>0.62882202460713854</v>
      </c>
      <c r="DT607" s="721">
        <f>DT606/DT604</f>
        <v>0.64336661911554927</v>
      </c>
      <c r="DU607" s="721">
        <f>DU606/DU604</f>
        <v>0.63890746934225195</v>
      </c>
      <c r="DV607" s="721">
        <f>DV606/DV604</f>
        <v>0.66180093057202805</v>
      </c>
      <c r="DW607" s="723">
        <f>DW606/DW604</f>
        <v>0.63492873057203447</v>
      </c>
      <c r="DX607" s="720"/>
      <c r="DY607" s="721">
        <f>DY606/DY604</f>
        <v>0.63369526309509605</v>
      </c>
      <c r="DZ607" s="721">
        <f>DZ606/DZ604</f>
        <v>0.63395454055800926</v>
      </c>
      <c r="EA607" s="721">
        <f>EA606/EA604</f>
        <v>0.64240472356414391</v>
      </c>
      <c r="EB607" s="721">
        <f>EB606/EB604</f>
        <v>0.64660952219298995</v>
      </c>
      <c r="EC607" s="723">
        <f>EC606/EC604</f>
        <v>0.63548791312066</v>
      </c>
      <c r="ED607" s="720"/>
      <c r="EE607" s="721">
        <f>EE606/EE604</f>
        <v>0.63725148238576912</v>
      </c>
      <c r="EF607" s="721">
        <f>EF606/EF604</f>
        <v>0.63465140478668058</v>
      </c>
      <c r="EG607" s="721">
        <f>EG606/EG604</f>
        <v>0.62988752008569904</v>
      </c>
      <c r="EH607" s="721">
        <f>EH606/EH604</f>
        <v>0.58363687307369005</v>
      </c>
      <c r="EI607" s="723">
        <f>EI606/EI604</f>
        <v>0.61979452591953577</v>
      </c>
      <c r="EJ607" s="720"/>
      <c r="EK607" s="721">
        <f>EK606/EK604</f>
        <v>0.59815406460773868</v>
      </c>
      <c r="EL607" s="721">
        <f>EL606/EL604</f>
        <v>0.61220406802267424</v>
      </c>
      <c r="EM607" s="721">
        <f>EM606/EM604</f>
        <v>0.61581983581096078</v>
      </c>
      <c r="EN607" s="721">
        <f>EN606/EN604</f>
        <v>0.59424256724870217</v>
      </c>
      <c r="EO607" s="723">
        <f>EO606/EO604</f>
        <v>0.60474404296084405</v>
      </c>
      <c r="EP607" s="720"/>
      <c r="EQ607" s="721">
        <f>EQ606/EQ604</f>
        <v>0.59328921397886913</v>
      </c>
      <c r="ER607" s="721">
        <f>ER606/ER604</f>
        <v>0.6072767364939361</v>
      </c>
      <c r="ES607" s="721">
        <f>ES606/ES604</f>
        <v>0.60168212206167782</v>
      </c>
      <c r="ET607" s="721">
        <f>ET606/ET604</f>
        <v>0.62319502833120088</v>
      </c>
      <c r="EU607" s="723">
        <f>EU606/EU604</f>
        <v>0.60732473152325916</v>
      </c>
      <c r="EV607" s="720"/>
      <c r="EW607" s="721">
        <f>EW606/EW604</f>
        <v>0.59780720798957876</v>
      </c>
      <c r="EX607" s="720"/>
      <c r="EY607" s="720"/>
      <c r="EZ607" s="720"/>
      <c r="FA607" s="724"/>
      <c r="FB607" s="720"/>
      <c r="FC607" s="720"/>
      <c r="FD607" s="720"/>
      <c r="FE607" s="720"/>
      <c r="FF607" s="720"/>
      <c r="FG607" s="724"/>
      <c r="FH607" s="720"/>
      <c r="FI607" s="720"/>
      <c r="FJ607" s="720"/>
      <c r="FK607" s="720"/>
      <c r="FL607" s="720"/>
      <c r="FM607" s="724"/>
      <c r="FN607" s="188"/>
      <c r="FO607" s="188"/>
      <c r="FQ607"/>
      <c r="FR607"/>
      <c r="FS607"/>
      <c r="FT607"/>
      <c r="FU607"/>
      <c r="FV607"/>
      <c r="GB607" s="24"/>
      <c r="GC607" s="24"/>
      <c r="GD607" s="24"/>
      <c r="GE607" s="24"/>
      <c r="GF607" s="24"/>
      <c r="GG607" s="24"/>
      <c r="GH607" s="24"/>
      <c r="GI607" s="24"/>
      <c r="GJ607"/>
      <c r="GK607"/>
      <c r="GL607"/>
      <c r="GM607"/>
      <c r="GN607"/>
      <c r="GO607"/>
      <c r="GP607"/>
      <c r="GQ607"/>
      <c r="GR607"/>
      <c r="GS607"/>
      <c r="GT607"/>
      <c r="GU607"/>
      <c r="GV607"/>
      <c r="GW607"/>
      <c r="GX607"/>
      <c r="GY607"/>
      <c r="GZ607"/>
      <c r="HA607"/>
      <c r="HB607"/>
      <c r="HC607"/>
      <c r="HD607"/>
      <c r="HE607"/>
      <c r="HF607"/>
      <c r="HG607"/>
      <c r="HH607"/>
      <c r="HI607"/>
      <c r="HJ607"/>
      <c r="HK607"/>
      <c r="HL607"/>
      <c r="HM607"/>
      <c r="HN607"/>
      <c r="HO607"/>
      <c r="HP607"/>
      <c r="HQ607"/>
      <c r="HR607"/>
      <c r="HS607"/>
      <c r="HT607"/>
      <c r="HU607"/>
      <c r="HV607"/>
      <c r="HW607"/>
      <c r="HX607"/>
      <c r="HY607"/>
      <c r="HZ607"/>
      <c r="IA607"/>
      <c r="IB607"/>
      <c r="IC607"/>
      <c r="ID607"/>
      <c r="IE607"/>
      <c r="IF607"/>
      <c r="IG607"/>
      <c r="IH607"/>
      <c r="II607"/>
      <c r="IJ607"/>
      <c r="IK607"/>
      <c r="IL607"/>
      <c r="IM607"/>
      <c r="IN607"/>
      <c r="IO607"/>
      <c r="IP607"/>
      <c r="IQ607"/>
      <c r="IR607"/>
      <c r="IS607"/>
      <c r="IT607"/>
      <c r="IU607"/>
      <c r="IV607"/>
      <c r="IW607"/>
      <c r="IX607"/>
      <c r="IY607"/>
      <c r="IZ607"/>
      <c r="JA607"/>
      <c r="JB607"/>
      <c r="JC607"/>
      <c r="JD607"/>
      <c r="JE607"/>
      <c r="JF607"/>
      <c r="JG607"/>
      <c r="JH607"/>
      <c r="JI607"/>
      <c r="JJ607"/>
      <c r="JK607"/>
      <c r="JL607"/>
      <c r="JM607"/>
      <c r="JN607"/>
    </row>
    <row r="608" spans="1:274" s="698" customFormat="1" ht="8.25" hidden="1" customHeight="1" outlineLevel="1" x14ac:dyDescent="0.2">
      <c r="B608" s="697"/>
      <c r="BC608" s="708"/>
      <c r="BI608" s="708"/>
      <c r="BO608" s="708"/>
      <c r="BU608" s="708"/>
      <c r="CA608" s="708"/>
      <c r="CG608" s="708"/>
      <c r="CM608" s="699"/>
      <c r="CS608" s="708"/>
      <c r="CY608" s="708"/>
      <c r="DE608" s="699"/>
      <c r="DK608" s="1185"/>
      <c r="DQ608" s="1185"/>
      <c r="DW608" s="1185"/>
      <c r="EC608" s="1185"/>
      <c r="EI608" s="1185"/>
      <c r="EO608" s="1185"/>
      <c r="EU608" s="1185"/>
      <c r="FA608" s="699"/>
      <c r="FG608" s="699"/>
      <c r="FM608" s="699"/>
      <c r="FQ608"/>
      <c r="FR608"/>
      <c r="FS608"/>
      <c r="FT608"/>
      <c r="FU608"/>
      <c r="FV608"/>
      <c r="GB608" s="24"/>
      <c r="GC608" s="24"/>
      <c r="GD608" s="24"/>
      <c r="GE608" s="24"/>
      <c r="GF608" s="24"/>
      <c r="GG608" s="24"/>
      <c r="GH608" s="24"/>
      <c r="GI608" s="24"/>
      <c r="GJ608"/>
      <c r="GK608"/>
      <c r="GL608"/>
      <c r="GM608"/>
      <c r="GN608"/>
      <c r="GO608"/>
      <c r="GP608"/>
      <c r="GQ608"/>
      <c r="GR608"/>
      <c r="GS608"/>
      <c r="GT608"/>
      <c r="GU608"/>
      <c r="GV608"/>
      <c r="GW608"/>
      <c r="GX608"/>
      <c r="GY608"/>
      <c r="GZ608"/>
      <c r="HA608"/>
      <c r="HB608"/>
      <c r="HC608"/>
      <c r="HD608"/>
      <c r="HE608"/>
      <c r="HF608"/>
      <c r="HG608"/>
      <c r="HH608"/>
      <c r="HI608"/>
      <c r="HJ608"/>
      <c r="HK608"/>
      <c r="HL608"/>
      <c r="HM608"/>
      <c r="HN608"/>
      <c r="HO608"/>
      <c r="HP608"/>
      <c r="HQ608"/>
      <c r="HR608"/>
      <c r="HS608"/>
      <c r="HT608"/>
      <c r="HU608"/>
      <c r="HV608"/>
      <c r="HW608"/>
      <c r="HX608"/>
      <c r="HY608"/>
      <c r="HZ608"/>
      <c r="IA608"/>
      <c r="IB608"/>
      <c r="IC608"/>
      <c r="ID608"/>
      <c r="IE608"/>
      <c r="IF608"/>
      <c r="IG608"/>
      <c r="IH608"/>
      <c r="II608"/>
      <c r="IJ608"/>
      <c r="IK608"/>
      <c r="IL608"/>
      <c r="IM608"/>
      <c r="IN608"/>
      <c r="IO608"/>
      <c r="IP608"/>
      <c r="IQ608"/>
      <c r="IR608"/>
      <c r="IS608"/>
      <c r="IT608"/>
      <c r="IU608"/>
      <c r="IV608"/>
      <c r="IW608"/>
      <c r="IX608"/>
      <c r="IY608"/>
      <c r="IZ608"/>
      <c r="JA608"/>
      <c r="JB608"/>
      <c r="JC608"/>
      <c r="JD608"/>
      <c r="JE608"/>
      <c r="JF608"/>
      <c r="JG608"/>
      <c r="JH608"/>
      <c r="JI608"/>
      <c r="JJ608"/>
      <c r="JK608"/>
      <c r="JL608"/>
      <c r="JM608"/>
      <c r="JN608"/>
    </row>
    <row r="609" spans="1:274" s="698" customFormat="1" ht="12.75" hidden="1" customHeight="1" outlineLevel="1" x14ac:dyDescent="0.2">
      <c r="A609" s="702" t="s">
        <v>504</v>
      </c>
      <c r="B609" s="697"/>
      <c r="BA609" s="457">
        <f>Model!BA141+Model!BA147-BA605</f>
        <v>224.92799999999988</v>
      </c>
      <c r="BC609" s="606">
        <f>Model!BC141+Model!BC147-BC605</f>
        <v>785.38199999999961</v>
      </c>
      <c r="BE609" s="457">
        <f>Model!BE141+Model!BE147-BE605</f>
        <v>170.36300000000006</v>
      </c>
      <c r="BF609" s="457">
        <f>Model!BF141+Model!BF147-BF605</f>
        <v>185.09299999999985</v>
      </c>
      <c r="BG609" s="457">
        <f>Model!BG141+Model!BG147-BG605</f>
        <v>159.86000000000001</v>
      </c>
      <c r="BH609" s="457">
        <f>BI609-BG609-BF609-BE609</f>
        <v>143.17600000000027</v>
      </c>
      <c r="BI609" s="606">
        <f>Model!BI141+Model!BI147-BI605</f>
        <v>658.49200000000019</v>
      </c>
      <c r="BJ609" s="457"/>
      <c r="BK609" s="457">
        <f>Model!BK141+Model!BK147-BK605</f>
        <v>126</v>
      </c>
      <c r="BL609" s="457">
        <f>Model!BL141+Model!BL147-BL605</f>
        <v>146</v>
      </c>
      <c r="BM609" s="457">
        <f>Model!BM141+Model!BM147-BM605</f>
        <v>135</v>
      </c>
      <c r="BN609" s="457">
        <f>BO609-BM609-BL609-BK609</f>
        <v>176</v>
      </c>
      <c r="BO609" s="606">
        <f>Model!BO141+Model!BO147-BO605</f>
        <v>583</v>
      </c>
      <c r="BP609" s="457"/>
      <c r="BQ609" s="457">
        <f>Model!BQ141+Model!BQ147-BQ605</f>
        <v>122</v>
      </c>
      <c r="BR609" s="457">
        <f>Model!BR141+Model!BR147-BR605</f>
        <v>138</v>
      </c>
      <c r="BS609" s="457">
        <f>Model!BS141+Model!BS147-BS605</f>
        <v>118</v>
      </c>
      <c r="BT609" s="457">
        <f>BU609-BS609-BR609-BQ609</f>
        <v>134</v>
      </c>
      <c r="BU609" s="606">
        <f>Model!BU141+Model!BU147-BU605</f>
        <v>512</v>
      </c>
      <c r="BW609" s="457">
        <f>Model!BW141+Model!BW147-BW605</f>
        <v>120</v>
      </c>
      <c r="BX609" s="457">
        <f>Model!BX141+Model!BX147-BX605</f>
        <v>136</v>
      </c>
      <c r="BY609" s="457">
        <f>Model!BY141+Model!BY147-BY605</f>
        <v>183</v>
      </c>
      <c r="BZ609" s="457">
        <f>CA609-BY609-BX609-BW609</f>
        <v>124</v>
      </c>
      <c r="CA609" s="606">
        <f>Model!CA141+Model!CA147-CA605</f>
        <v>563</v>
      </c>
      <c r="CC609" s="457">
        <f>Model!CC141+Model!CC147-CC605</f>
        <v>143</v>
      </c>
      <c r="CD609" s="457">
        <f>Model!CD141+Model!CD147-CD605</f>
        <v>160</v>
      </c>
      <c r="CE609" s="457">
        <f>Model!CE141+Model!CE147-CE605</f>
        <v>169</v>
      </c>
      <c r="CF609" s="457">
        <f>CG609-CE609-CD609-CC609</f>
        <v>216</v>
      </c>
      <c r="CG609" s="606">
        <f>Model!CG141+Model!CG147-CG605</f>
        <v>688</v>
      </c>
      <c r="CI609" s="457">
        <f>Model!CI141+Model!CI147-CI605</f>
        <v>156</v>
      </c>
      <c r="CJ609" s="457">
        <f>Model!CJ141+Model!CJ147-CJ605</f>
        <v>179</v>
      </c>
      <c r="CK609" s="457">
        <f>Model!CK141+Model!CK147-CK605</f>
        <v>174</v>
      </c>
      <c r="CL609" s="457">
        <f>Model!CL141+Model!CL147-CL605</f>
        <v>228</v>
      </c>
      <c r="CM609" s="606">
        <f>SUM(CI609:CL609)</f>
        <v>737</v>
      </c>
      <c r="CO609" s="457">
        <f>Model!CO141+Model!CO147-CO605</f>
        <v>173</v>
      </c>
      <c r="CP609" s="457">
        <f>Model!CP141+Model!CP147-CP605</f>
        <v>205</v>
      </c>
      <c r="CQ609" s="457">
        <f>Model!CQ141+Model!CQ147-CQ605</f>
        <v>207</v>
      </c>
      <c r="CR609" s="457">
        <f>Model!CR141+Model!CR147-CR605</f>
        <v>230</v>
      </c>
      <c r="CS609" s="606">
        <f>Model!CS141+Model!CS147-CS605</f>
        <v>815</v>
      </c>
      <c r="CU609" s="33">
        <f>Model!CU141+Model!CU147-CU605</f>
        <v>183</v>
      </c>
      <c r="CV609" s="33">
        <f>Model!CV141+Model!CV147-CV605</f>
        <v>206</v>
      </c>
      <c r="CW609" s="33">
        <f>Model!CW141+Model!CW147-CW605</f>
        <v>178</v>
      </c>
      <c r="CX609" s="33">
        <f>Model!CX141+Model!CX147-CX605</f>
        <v>221</v>
      </c>
      <c r="CY609" s="606">
        <f>Model!CY141+Model!CY147-CY605</f>
        <v>788</v>
      </c>
      <c r="DA609" s="33">
        <f>Model!DA141+Model!DA147-DA605</f>
        <v>176</v>
      </c>
      <c r="DB609" s="33">
        <f>Model!DB141+Model!DB147-DB605</f>
        <v>226</v>
      </c>
      <c r="DC609" s="33">
        <f>Model!DC141+Model!DC147-DC605</f>
        <v>261</v>
      </c>
      <c r="DD609" s="33">
        <f>Model!DD141+Model!DD147-DD605</f>
        <v>286.30000000000018</v>
      </c>
      <c r="DE609" s="143">
        <f>Model!DE141+Model!DE147-DE605</f>
        <v>949.29999999999927</v>
      </c>
      <c r="DG609" s="33">
        <f>Model!DG141+Model!DG147-DG605</f>
        <v>268</v>
      </c>
      <c r="DH609" s="33">
        <f>Model!DH141+Model!DH147-DH605</f>
        <v>282</v>
      </c>
      <c r="DI609" s="33">
        <f>Model!DI141+Model!DI147-DI605</f>
        <v>271</v>
      </c>
      <c r="DJ609" s="33">
        <f>Model!DJ141+Model!DJ147-DJ605</f>
        <v>313</v>
      </c>
      <c r="DK609" s="143">
        <f>Model!DK141+Model!DK147-DK605</f>
        <v>1134</v>
      </c>
      <c r="DM609" s="33">
        <f>Model!DM141+Model!DM147-DM605</f>
        <v>239</v>
      </c>
      <c r="DN609" s="33">
        <f>Model!DN141+Model!DN147-DN605</f>
        <v>271</v>
      </c>
      <c r="DO609" s="33">
        <f>Model!DO141+Model!DO147-DO605</f>
        <v>244</v>
      </c>
      <c r="DP609" s="33">
        <f>Model!DP141+Model!DP147-DP605</f>
        <v>182</v>
      </c>
      <c r="DQ609" s="143">
        <f>Model!DQ141+Model!DQ147-DQ605</f>
        <v>936</v>
      </c>
      <c r="DS609" s="33">
        <f>Model!DS141+Model!DS147-DS605</f>
        <v>221</v>
      </c>
      <c r="DT609" s="33">
        <f>Model!DT141+Model!DT147-DT605</f>
        <v>259</v>
      </c>
      <c r="DU609" s="33">
        <f>Model!DU141+Model!DU147-DU605</f>
        <v>233</v>
      </c>
      <c r="DV609" s="33">
        <f>Model!DV141+Model!DV147-DV605</f>
        <v>279</v>
      </c>
      <c r="DW609" s="143">
        <f>Model!DW141+Model!DW147-DW605</f>
        <v>635</v>
      </c>
      <c r="DY609" s="33">
        <f>Model!DY141+Model!DY147-DY605</f>
        <v>212</v>
      </c>
      <c r="DZ609" s="33">
        <f>Model!DZ141+Model!DZ147-DZ605</f>
        <v>233</v>
      </c>
      <c r="EA609" s="33">
        <f>Model!EA141+Model!EA147-EA605</f>
        <v>216</v>
      </c>
      <c r="EB609" s="33">
        <f>Model!EB141+Model!EB147-EB605</f>
        <v>-62</v>
      </c>
      <c r="EC609" s="143">
        <f>Model!EC141+Model!EC147-EC605</f>
        <v>599</v>
      </c>
      <c r="EE609" s="33">
        <f>Model!EE141+Model!EE147-EE605</f>
        <v>208</v>
      </c>
      <c r="EF609" s="33">
        <f>Model!EF141+Model!EF147-EF605</f>
        <v>222</v>
      </c>
      <c r="EG609" s="33">
        <f>Model!EG141+Model!EG147-EG605</f>
        <v>218</v>
      </c>
      <c r="EH609" s="33">
        <f>Model!EH141+Model!EH147-EH605</f>
        <v>-264</v>
      </c>
      <c r="EI609" s="143">
        <f>Model!EI141+Model!EI147-EI605</f>
        <v>384</v>
      </c>
      <c r="EK609" s="33">
        <f>Model!EK141+Model!EK147-EK605</f>
        <v>112</v>
      </c>
      <c r="EL609" s="33">
        <f>Model!EL141+Model!EL147-EL605</f>
        <v>233</v>
      </c>
      <c r="EM609" s="33">
        <f>Model!EM141+Model!EM147-EM605</f>
        <v>202</v>
      </c>
      <c r="EN609" s="33">
        <f>Model!EN141+Model!EN147-EN605</f>
        <v>-135</v>
      </c>
      <c r="EO609" s="143">
        <f>Model!EO141+Model!EO147-EO605</f>
        <v>412</v>
      </c>
      <c r="EQ609" s="33">
        <f>Model!EQ141+Model!EQ147-EQ605</f>
        <v>106</v>
      </c>
      <c r="ER609" s="33">
        <f>Model!ER141+Model!ER147-ER605</f>
        <v>111</v>
      </c>
      <c r="ES609" s="33">
        <f>Model!ES141+Model!ES147-ES605</f>
        <v>97</v>
      </c>
      <c r="ET609" s="33">
        <f>Model!ET141+Model!ET147-ET605</f>
        <v>100</v>
      </c>
      <c r="EU609" s="143">
        <f>Model!EU141+Model!EU147-EU605</f>
        <v>414</v>
      </c>
      <c r="EW609" s="33">
        <f>Model!EW141+Model!EW147-EW605</f>
        <v>107</v>
      </c>
      <c r="FA609" s="699"/>
      <c r="FG609" s="699"/>
      <c r="FM609" s="699"/>
      <c r="FO609" s="457"/>
      <c r="FQ609"/>
      <c r="FR609"/>
      <c r="FS609"/>
      <c r="FT609"/>
      <c r="FU609"/>
      <c r="FV609"/>
      <c r="GB609" s="24"/>
      <c r="GC609" s="24"/>
      <c r="GD609" s="24"/>
      <c r="GE609" s="24"/>
      <c r="GF609" s="24"/>
      <c r="GG609" s="24"/>
      <c r="GH609" s="24"/>
      <c r="GI609" s="24"/>
      <c r="GJ609"/>
      <c r="GK609"/>
      <c r="GL609"/>
      <c r="GM609"/>
      <c r="GN609"/>
      <c r="GO609"/>
      <c r="GP609"/>
      <c r="GQ609"/>
      <c r="GR609"/>
      <c r="GS609"/>
      <c r="GT609"/>
      <c r="GU609"/>
      <c r="GV609"/>
      <c r="GW609"/>
      <c r="GX609"/>
      <c r="GY609"/>
      <c r="GZ609"/>
      <c r="HA609"/>
      <c r="HB609"/>
      <c r="HC609"/>
      <c r="HD609"/>
      <c r="HE609"/>
      <c r="HF609"/>
      <c r="HG609"/>
      <c r="HH609"/>
      <c r="HI609"/>
      <c r="HJ609"/>
      <c r="HK609"/>
      <c r="HL609"/>
      <c r="HM609"/>
      <c r="HN609"/>
      <c r="HO609"/>
      <c r="HP609"/>
      <c r="HQ609"/>
      <c r="HR609"/>
      <c r="HS609"/>
      <c r="HT609"/>
      <c r="HU609"/>
      <c r="HV609"/>
      <c r="HW609"/>
      <c r="HX609"/>
      <c r="HY609"/>
      <c r="HZ609"/>
      <c r="IA609"/>
      <c r="IB609"/>
      <c r="IC609"/>
      <c r="ID609"/>
      <c r="IE609"/>
      <c r="IF609"/>
      <c r="IG609"/>
      <c r="IH609"/>
      <c r="II609"/>
      <c r="IJ609"/>
      <c r="IK609"/>
      <c r="IL609"/>
      <c r="IM609"/>
      <c r="IN609"/>
      <c r="IO609"/>
      <c r="IP609"/>
      <c r="IQ609"/>
      <c r="IR609"/>
      <c r="IS609"/>
      <c r="IT609"/>
      <c r="IU609"/>
      <c r="IV609"/>
      <c r="IW609"/>
      <c r="IX609"/>
      <c r="IY609"/>
      <c r="IZ609"/>
      <c r="JA609"/>
      <c r="JB609"/>
      <c r="JC609"/>
      <c r="JD609"/>
      <c r="JE609"/>
      <c r="JF609"/>
      <c r="JG609"/>
      <c r="JH609"/>
      <c r="JI609"/>
      <c r="JJ609"/>
      <c r="JK609"/>
      <c r="JL609"/>
      <c r="JM609"/>
      <c r="JN609"/>
    </row>
    <row r="610" spans="1:274" s="698" customFormat="1" ht="12.75" hidden="1" customHeight="1" outlineLevel="1" x14ac:dyDescent="0.2">
      <c r="A610" s="702" t="s">
        <v>178</v>
      </c>
      <c r="B610" s="697"/>
      <c r="BA610" s="457">
        <f>Model!BA150</f>
        <v>301.45499999999998</v>
      </c>
      <c r="BC610" s="606">
        <f>Model!BC150</f>
        <v>1138.5909999999999</v>
      </c>
      <c r="BE610" s="457">
        <f>Model!BE150</f>
        <v>253.3</v>
      </c>
      <c r="BF610" s="457">
        <f>Model!BF150</f>
        <v>257.483</v>
      </c>
      <c r="BG610" s="457">
        <f>Model!BG150</f>
        <v>283.23099999999999</v>
      </c>
      <c r="BH610" s="457">
        <f>BI610-BG610-BF610-BE610</f>
        <v>282.142</v>
      </c>
      <c r="BI610" s="606">
        <f>Model!BI150</f>
        <v>1076.1559999999999</v>
      </c>
      <c r="BJ610" s="457"/>
      <c r="BK610" s="457">
        <f>Model!BK150</f>
        <v>286</v>
      </c>
      <c r="BL610" s="457">
        <f>Model!BL150</f>
        <v>295</v>
      </c>
      <c r="BM610" s="457">
        <f>Model!BM150</f>
        <v>301</v>
      </c>
      <c r="BN610" s="457">
        <f>BO610-BM610-BL610-BK610</f>
        <v>298</v>
      </c>
      <c r="BO610" s="606">
        <f>Model!BO150</f>
        <v>1180</v>
      </c>
      <c r="BP610" s="457"/>
      <c r="BQ610" s="457">
        <f>Model!BQ150</f>
        <v>298</v>
      </c>
      <c r="BR610" s="457">
        <f>Model!BR150</f>
        <v>323</v>
      </c>
      <c r="BS610" s="457">
        <f>Model!BS150</f>
        <v>328</v>
      </c>
      <c r="BT610" s="457">
        <f>BU610-BS610-BR610-BQ610</f>
        <v>329</v>
      </c>
      <c r="BU610" s="606">
        <f>Model!BU150</f>
        <v>1278</v>
      </c>
      <c r="BW610" s="457">
        <f>Model!BW150</f>
        <v>312</v>
      </c>
      <c r="BX610" s="457">
        <f>Model!BX150</f>
        <v>327</v>
      </c>
      <c r="BY610" s="457">
        <f>Model!BY150</f>
        <v>391</v>
      </c>
      <c r="BZ610" s="457">
        <f>CA610-BY610-BX610-BW610</f>
        <v>451</v>
      </c>
      <c r="CA610" s="606">
        <f>Model!CA150</f>
        <v>1481</v>
      </c>
      <c r="CC610" s="457">
        <f>Model!CC150</f>
        <v>396</v>
      </c>
      <c r="CD610" s="457">
        <f>Model!CD150</f>
        <v>464</v>
      </c>
      <c r="CE610" s="457">
        <f>Model!CE150</f>
        <v>464</v>
      </c>
      <c r="CF610" s="457">
        <f>CG610-CE610-CD610-CC610</f>
        <v>532.59999999999991</v>
      </c>
      <c r="CG610" s="606">
        <f>Model!CG150</f>
        <v>1856.6</v>
      </c>
      <c r="CI610" s="457">
        <f>Model!CI150</f>
        <v>484</v>
      </c>
      <c r="CJ610" s="457">
        <f>Model!CJ150</f>
        <v>498</v>
      </c>
      <c r="CK610" s="457">
        <f>Model!CK150</f>
        <v>549</v>
      </c>
      <c r="CL610" s="457">
        <f>Model!CL150</f>
        <v>579</v>
      </c>
      <c r="CM610" s="606">
        <f>SUM(CI610:CL610)</f>
        <v>2110</v>
      </c>
      <c r="CO610" s="457">
        <f>Model!CO150</f>
        <v>624</v>
      </c>
      <c r="CP610" s="457">
        <f>Model!CP150</f>
        <v>649</v>
      </c>
      <c r="CQ610" s="457">
        <f>Model!CQ150</f>
        <v>651</v>
      </c>
      <c r="CR610" s="457">
        <f>Model!CR150</f>
        <v>703</v>
      </c>
      <c r="CS610" s="606">
        <f>Model!CS150</f>
        <v>2627</v>
      </c>
      <c r="CU610" s="33">
        <f>Model!CU150</f>
        <v>671</v>
      </c>
      <c r="CV610" s="33">
        <f>Model!CV150</f>
        <v>606</v>
      </c>
      <c r="CW610" s="33">
        <f>Model!CW150</f>
        <v>638</v>
      </c>
      <c r="CX610" s="33">
        <f>Model!CX150</f>
        <v>697</v>
      </c>
      <c r="CY610" s="606">
        <f>Model!CY150</f>
        <v>2612</v>
      </c>
      <c r="DA610" s="33">
        <f>Model!DA150</f>
        <v>628</v>
      </c>
      <c r="DB610" s="33">
        <f>Model!DB150</f>
        <v>664</v>
      </c>
      <c r="DC610" s="33">
        <f>Model!DC150</f>
        <v>777</v>
      </c>
      <c r="DD610" s="33">
        <f>Model!DD150</f>
        <v>1013</v>
      </c>
      <c r="DE610" s="143">
        <f>Model!DE150</f>
        <v>3082</v>
      </c>
      <c r="DG610" s="33">
        <f>Model!DG150</f>
        <v>1044</v>
      </c>
      <c r="DH610" s="33">
        <f>Model!DH150</f>
        <v>1064</v>
      </c>
      <c r="DI610" s="33">
        <f>Model!DI150</f>
        <v>1069</v>
      </c>
      <c r="DJ610" s="33">
        <f>Model!DJ150</f>
        <v>1110</v>
      </c>
      <c r="DK610" s="143">
        <f>Model!DK150</f>
        <v>4287</v>
      </c>
      <c r="DM610" s="33">
        <f>Model!DM150</f>
        <v>979</v>
      </c>
      <c r="DN610" s="33">
        <f>Model!DN150</f>
        <v>1034</v>
      </c>
      <c r="DO610" s="33">
        <f>Model!DO150</f>
        <v>1071</v>
      </c>
      <c r="DP610" s="33">
        <f>Model!DP150</f>
        <v>1144</v>
      </c>
      <c r="DQ610" s="143">
        <f>Model!DQ150</f>
        <v>4228</v>
      </c>
      <c r="DS610" s="33">
        <f>Model!DS150</f>
        <v>1118</v>
      </c>
      <c r="DT610" s="33">
        <f>Model!DT150</f>
        <v>1110</v>
      </c>
      <c r="DU610" s="33">
        <f>Model!DU150</f>
        <v>1100</v>
      </c>
      <c r="DV610" s="33">
        <f>Model!DV150</f>
        <v>1171</v>
      </c>
      <c r="DW610" s="143">
        <f>Model!DW150</f>
        <v>4499</v>
      </c>
      <c r="DY610" s="33">
        <f>Model!DY150</f>
        <v>1140</v>
      </c>
      <c r="DZ610" s="33">
        <f>Model!DZ150</f>
        <v>1186</v>
      </c>
      <c r="EA610" s="33">
        <f>Model!EA150</f>
        <v>1193</v>
      </c>
      <c r="EB610" s="33">
        <f>Model!EB150</f>
        <v>1248</v>
      </c>
      <c r="EC610" s="143">
        <f>Model!EC150</f>
        <v>4767</v>
      </c>
      <c r="EE610" s="33">
        <f>Model!EE150</f>
        <v>1221</v>
      </c>
      <c r="EF610" s="33">
        <f>Model!EF150</f>
        <v>1255</v>
      </c>
      <c r="EG610" s="33">
        <f>Model!EG150</f>
        <v>1232</v>
      </c>
      <c r="EH610" s="33">
        <f>Model!EH150</f>
        <v>1293</v>
      </c>
      <c r="EI610" s="143">
        <f>Model!EI150</f>
        <v>5001</v>
      </c>
      <c r="EK610" s="33">
        <f>Model!EK150</f>
        <v>1242</v>
      </c>
      <c r="EL610" s="33">
        <f>Model!EL150</f>
        <v>1293</v>
      </c>
      <c r="EM610" s="33">
        <f>Model!EM150</f>
        <v>1265</v>
      </c>
      <c r="EN610" s="33">
        <f>Model!EN150</f>
        <v>1377</v>
      </c>
      <c r="EO610" s="143">
        <f>Model!EO150</f>
        <v>5177</v>
      </c>
      <c r="EQ610" s="33">
        <f>Model!EQ150</f>
        <v>1325</v>
      </c>
      <c r="ER610" s="33">
        <f>Model!ER150</f>
        <v>1322</v>
      </c>
      <c r="ES610" s="33">
        <f>Model!ES150</f>
        <v>1330</v>
      </c>
      <c r="ET610" s="33">
        <f>Model!ET150</f>
        <v>1412</v>
      </c>
      <c r="EU610" s="143">
        <f>Model!EU150</f>
        <v>5389</v>
      </c>
      <c r="EW610" s="33">
        <f>Model!EW150</f>
        <v>1340</v>
      </c>
      <c r="FA610" s="699"/>
      <c r="FG610" s="699"/>
      <c r="FM610" s="699"/>
      <c r="FO610" s="457"/>
      <c r="FQ610"/>
      <c r="FR610"/>
      <c r="FS610"/>
      <c r="FT610"/>
      <c r="FU610"/>
      <c r="FV610"/>
      <c r="GB610" s="24"/>
      <c r="GC610" s="24"/>
      <c r="GD610" s="24"/>
      <c r="GE610" s="24"/>
      <c r="GF610" s="24"/>
      <c r="GG610" s="24"/>
      <c r="GH610" s="24"/>
      <c r="GI610" s="24"/>
      <c r="GJ610"/>
      <c r="GK610"/>
      <c r="GL610"/>
      <c r="GM610"/>
      <c r="GN610"/>
      <c r="GO610"/>
      <c r="GP610"/>
      <c r="GQ610"/>
      <c r="GR610"/>
      <c r="GS610"/>
      <c r="GT610"/>
      <c r="GU610"/>
      <c r="GV610"/>
      <c r="GW610"/>
      <c r="GX610"/>
      <c r="GY610"/>
      <c r="GZ610"/>
      <c r="HA610"/>
      <c r="HB610"/>
      <c r="HC610"/>
      <c r="HD610"/>
      <c r="HE610"/>
      <c r="HF610"/>
      <c r="HG610"/>
      <c r="HH610"/>
      <c r="HI610"/>
      <c r="HJ610"/>
      <c r="HK610"/>
      <c r="HL610"/>
      <c r="HM610"/>
      <c r="HN610"/>
      <c r="HO610"/>
      <c r="HP610"/>
      <c r="HQ610"/>
      <c r="HR610"/>
      <c r="HS610"/>
      <c r="HT610"/>
      <c r="HU610"/>
      <c r="HV610"/>
      <c r="HW610"/>
      <c r="HX610"/>
      <c r="HY610"/>
      <c r="HZ610"/>
      <c r="IA610"/>
      <c r="IB610"/>
      <c r="IC610"/>
      <c r="ID610"/>
      <c r="IE610"/>
      <c r="IF610"/>
      <c r="IG610"/>
      <c r="IH610"/>
      <c r="II610"/>
      <c r="IJ610"/>
      <c r="IK610"/>
      <c r="IL610"/>
      <c r="IM610"/>
      <c r="IN610"/>
      <c r="IO610"/>
      <c r="IP610"/>
      <c r="IQ610"/>
      <c r="IR610"/>
      <c r="IS610"/>
      <c r="IT610"/>
      <c r="IU610"/>
      <c r="IV610"/>
      <c r="IW610"/>
      <c r="IX610"/>
      <c r="IY610"/>
      <c r="IZ610"/>
      <c r="JA610"/>
      <c r="JB610"/>
      <c r="JC610"/>
      <c r="JD610"/>
      <c r="JE610"/>
      <c r="JF610"/>
      <c r="JG610"/>
      <c r="JH610"/>
      <c r="JI610"/>
      <c r="JJ610"/>
      <c r="JK610"/>
      <c r="JL610"/>
      <c r="JM610"/>
      <c r="JN610"/>
    </row>
    <row r="611" spans="1:274" s="698" customFormat="1" ht="12.75" hidden="1" customHeight="1" outlineLevel="1" x14ac:dyDescent="0.2">
      <c r="A611" s="702" t="s">
        <v>179</v>
      </c>
      <c r="B611" s="697"/>
      <c r="BA611" s="457">
        <f>Model!BA153</f>
        <v>120.57</v>
      </c>
      <c r="BC611" s="606">
        <f>Model!BC153</f>
        <v>456.62800000000004</v>
      </c>
      <c r="BE611" s="457">
        <f>Model!BE153</f>
        <v>97.614000000000004</v>
      </c>
      <c r="BF611" s="457">
        <f>Model!BF153</f>
        <v>98.917000000000002</v>
      </c>
      <c r="BG611" s="457">
        <f>Model!BG153</f>
        <v>105.09</v>
      </c>
      <c r="BH611" s="457">
        <f>BI611-BG611-BF611-BE611</f>
        <v>109.59199999999993</v>
      </c>
      <c r="BI611" s="606">
        <f>Model!BI153</f>
        <v>411.21299999999997</v>
      </c>
      <c r="BJ611" s="457"/>
      <c r="BK611" s="457">
        <f>Model!BK153</f>
        <v>102</v>
      </c>
      <c r="BL611" s="457">
        <f>Model!BL153</f>
        <v>109</v>
      </c>
      <c r="BM611" s="457">
        <f>Model!BM153</f>
        <v>115</v>
      </c>
      <c r="BN611" s="457">
        <f>BO611-BM611-BL611-BK611</f>
        <v>115</v>
      </c>
      <c r="BO611" s="606">
        <f>Model!BO153</f>
        <v>441</v>
      </c>
      <c r="BP611" s="457"/>
      <c r="BQ611" s="457">
        <f>Model!BQ153</f>
        <v>131</v>
      </c>
      <c r="BR611" s="457">
        <f>Model!BR153</f>
        <v>137</v>
      </c>
      <c r="BS611" s="457">
        <f>Model!BS153</f>
        <v>145</v>
      </c>
      <c r="BT611" s="457">
        <f>BU611-BS611-BR611-BQ611</f>
        <v>148</v>
      </c>
      <c r="BU611" s="606">
        <f>Model!BU153</f>
        <v>561</v>
      </c>
      <c r="BW611" s="457">
        <f>Model!BW153</f>
        <v>124.5</v>
      </c>
      <c r="BX611" s="457">
        <f>Model!BX153</f>
        <v>129.69999999999999</v>
      </c>
      <c r="BY611" s="457">
        <f>Model!BY153</f>
        <v>146</v>
      </c>
      <c r="BZ611" s="457">
        <f>CA611-BY611-BX611-BW611</f>
        <v>150.00000000000006</v>
      </c>
      <c r="CA611" s="606">
        <f>Model!CA153</f>
        <v>550.20000000000005</v>
      </c>
      <c r="CC611" s="457">
        <f>Model!CC153</f>
        <v>156</v>
      </c>
      <c r="CD611" s="457">
        <f>Model!CD153</f>
        <v>109</v>
      </c>
      <c r="CE611" s="457">
        <f>Model!CE153</f>
        <v>146</v>
      </c>
      <c r="CF611" s="457">
        <f>CG611-CE611-CD611-CC611</f>
        <v>144.54999999999995</v>
      </c>
      <c r="CG611" s="606">
        <f>Model!CG153</f>
        <v>555.54999999999995</v>
      </c>
      <c r="CI611" s="457">
        <f>Model!CI153</f>
        <v>145</v>
      </c>
      <c r="CJ611" s="457">
        <f>Model!CJ153</f>
        <v>158</v>
      </c>
      <c r="CK611" s="457">
        <f>Model!CK153</f>
        <v>163</v>
      </c>
      <c r="CL611" s="457">
        <f>Model!CL153</f>
        <v>176</v>
      </c>
      <c r="CM611" s="606">
        <f>SUM(CI611:CL611)</f>
        <v>642</v>
      </c>
      <c r="CO611" s="457">
        <f>Model!CO153</f>
        <v>175</v>
      </c>
      <c r="CP611" s="457">
        <f>Model!CP153</f>
        <v>187</v>
      </c>
      <c r="CQ611" s="457">
        <f>Model!CQ153</f>
        <v>190</v>
      </c>
      <c r="CR611" s="457">
        <f>Model!CR153</f>
        <v>186</v>
      </c>
      <c r="CS611" s="606">
        <f>Model!CS153</f>
        <v>738</v>
      </c>
      <c r="CU611" s="33">
        <f>Model!CU153</f>
        <v>182</v>
      </c>
      <c r="CV611" s="33">
        <f>Model!CV153</f>
        <v>152</v>
      </c>
      <c r="CW611" s="33">
        <f>Model!CW153</f>
        <v>168</v>
      </c>
      <c r="CX611" s="33">
        <f>Model!CX153</f>
        <v>189</v>
      </c>
      <c r="CY611" s="606">
        <f>Model!CY153</f>
        <v>691</v>
      </c>
      <c r="DA611" s="33">
        <f>Model!DA153</f>
        <v>172</v>
      </c>
      <c r="DB611" s="33">
        <f>Model!DB153</f>
        <v>150</v>
      </c>
      <c r="DC611" s="33">
        <f>Model!DC153</f>
        <v>202</v>
      </c>
      <c r="DD611" s="33">
        <f>Model!DD153</f>
        <v>257</v>
      </c>
      <c r="DE611" s="143">
        <f>Model!DE153</f>
        <v>781</v>
      </c>
      <c r="DG611" s="33">
        <f>Model!DG153</f>
        <v>236</v>
      </c>
      <c r="DH611" s="1166">
        <f>Model!DH153+120</f>
        <v>240</v>
      </c>
      <c r="DI611" s="33">
        <f>Model!DI153</f>
        <v>249</v>
      </c>
      <c r="DJ611" s="33">
        <f>Model!DJ153</f>
        <v>220</v>
      </c>
      <c r="DK611" s="143">
        <f>Model!DK153+120</f>
        <v>945</v>
      </c>
      <c r="DM611" s="33">
        <f>Model!DM153</f>
        <v>271</v>
      </c>
      <c r="DN611" s="33">
        <f>Model!DN153</f>
        <v>237</v>
      </c>
      <c r="DO611" s="33">
        <f>Model!DO153</f>
        <v>220</v>
      </c>
      <c r="DP611" s="33">
        <f>Model!DP153</f>
        <v>236</v>
      </c>
      <c r="DQ611" s="143">
        <f>Model!DQ153+120</f>
        <v>1084</v>
      </c>
      <c r="DS611" s="33">
        <f>Model!DS153</f>
        <v>234</v>
      </c>
      <c r="DT611" s="33">
        <f>Model!DT153</f>
        <v>222</v>
      </c>
      <c r="DU611" s="33">
        <f>Model!DU153</f>
        <v>220</v>
      </c>
      <c r="DV611" s="33">
        <f>Model!DV153</f>
        <v>231</v>
      </c>
      <c r="DW611" s="143">
        <f>Model!DW153+120</f>
        <v>1027</v>
      </c>
      <c r="DY611" s="33">
        <f>Model!DY153</f>
        <v>218</v>
      </c>
      <c r="DZ611" s="33">
        <f>Model!DZ153</f>
        <v>220</v>
      </c>
      <c r="EA611" s="33">
        <f>Model!EA153</f>
        <v>209</v>
      </c>
      <c r="EB611" s="33">
        <f>Model!EB153</f>
        <v>220</v>
      </c>
      <c r="EC611" s="143">
        <f>Model!EC153</f>
        <v>867</v>
      </c>
      <c r="EE611" s="33">
        <f>Model!EE153</f>
        <v>231</v>
      </c>
      <c r="EF611" s="33">
        <f>Model!EF153</f>
        <v>229</v>
      </c>
      <c r="EG611" s="33">
        <f>Model!EG153</f>
        <v>223</v>
      </c>
      <c r="EH611" s="33">
        <f>Model!EH153</f>
        <v>247</v>
      </c>
      <c r="EI611" s="143">
        <f>Model!EI153</f>
        <v>930</v>
      </c>
      <c r="EK611" s="33">
        <f>Model!EK153</f>
        <v>228</v>
      </c>
      <c r="EL611" s="33">
        <f>Model!EL153</f>
        <v>258</v>
      </c>
      <c r="EM611" s="33">
        <f>Model!EM153</f>
        <v>261</v>
      </c>
      <c r="EN611" s="33">
        <f>Model!EN153</f>
        <v>289</v>
      </c>
      <c r="EO611" s="143">
        <f>Model!EO153</f>
        <v>1036</v>
      </c>
      <c r="EQ611" s="33">
        <f>Model!EQ153</f>
        <v>277</v>
      </c>
      <c r="ER611" s="33">
        <f>Model!ER153</f>
        <v>268</v>
      </c>
      <c r="ES611" s="33">
        <f>Model!ES153</f>
        <v>209</v>
      </c>
      <c r="ET611" s="33">
        <f>Model!ET153</f>
        <v>291</v>
      </c>
      <c r="EU611" s="143">
        <f>Model!EU153</f>
        <v>1045</v>
      </c>
      <c r="EW611" s="33">
        <f>Model!EW153</f>
        <v>276</v>
      </c>
      <c r="FA611" s="699"/>
      <c r="FG611" s="699"/>
      <c r="FM611" s="699"/>
      <c r="FO611" s="457"/>
      <c r="FQ611"/>
      <c r="FR611"/>
      <c r="FS611"/>
      <c r="FT611"/>
      <c r="FU611"/>
      <c r="FV611"/>
      <c r="GB611" s="24"/>
      <c r="GC611" s="24"/>
      <c r="GD611" s="24"/>
      <c r="GE611" s="24"/>
      <c r="GF611" s="24"/>
      <c r="GG611" s="24"/>
      <c r="GH611" s="24"/>
      <c r="GI611" s="24"/>
      <c r="GJ611"/>
      <c r="GK611"/>
      <c r="GL611"/>
      <c r="GM611"/>
      <c r="GN611"/>
      <c r="GO611"/>
      <c r="GP611"/>
      <c r="GQ611"/>
      <c r="GR611"/>
      <c r="GS611"/>
      <c r="GT611"/>
      <c r="GU611"/>
      <c r="GV611"/>
      <c r="GW611"/>
      <c r="GX611"/>
      <c r="GY611"/>
      <c r="GZ611"/>
      <c r="HA611"/>
      <c r="HB611"/>
      <c r="HC611"/>
      <c r="HD611"/>
      <c r="HE611"/>
      <c r="HF611"/>
      <c r="HG611"/>
      <c r="HH611"/>
      <c r="HI611"/>
      <c r="HJ611"/>
      <c r="HK611"/>
      <c r="HL611"/>
      <c r="HM611"/>
      <c r="HN611"/>
      <c r="HO611"/>
      <c r="HP611"/>
      <c r="HQ611"/>
      <c r="HR611"/>
      <c r="HS611"/>
      <c r="HT611"/>
      <c r="HU611"/>
      <c r="HV611"/>
      <c r="HW611"/>
      <c r="HX611"/>
      <c r="HY611"/>
      <c r="HZ611"/>
      <c r="IA611"/>
      <c r="IB611"/>
      <c r="IC611"/>
      <c r="ID611"/>
      <c r="IE611"/>
      <c r="IF611"/>
      <c r="IG611"/>
      <c r="IH611"/>
      <c r="II611"/>
      <c r="IJ611"/>
      <c r="IK611"/>
      <c r="IL611"/>
      <c r="IM611"/>
      <c r="IN611"/>
      <c r="IO611"/>
      <c r="IP611"/>
      <c r="IQ611"/>
      <c r="IR611"/>
      <c r="IS611"/>
      <c r="IT611"/>
      <c r="IU611"/>
      <c r="IV611"/>
      <c r="IW611"/>
      <c r="IX611"/>
      <c r="IY611"/>
      <c r="IZ611"/>
      <c r="JA611"/>
      <c r="JB611"/>
      <c r="JC611"/>
      <c r="JD611"/>
      <c r="JE611"/>
      <c r="JF611"/>
      <c r="JG611"/>
      <c r="JH611"/>
      <c r="JI611"/>
      <c r="JJ611"/>
      <c r="JK611"/>
      <c r="JL611"/>
      <c r="JM611"/>
      <c r="JN611"/>
    </row>
    <row r="612" spans="1:274" s="698" customFormat="1" ht="12.75" hidden="1" customHeight="1" outlineLevel="1" x14ac:dyDescent="0.2">
      <c r="A612" s="703" t="s">
        <v>505</v>
      </c>
      <c r="B612" s="697"/>
      <c r="C612" s="704"/>
      <c r="D612" s="704"/>
      <c r="E612" s="704"/>
      <c r="F612" s="704"/>
      <c r="G612" s="704"/>
      <c r="H612" s="704"/>
      <c r="I612" s="704"/>
      <c r="J612" s="704"/>
      <c r="K612" s="704"/>
      <c r="L612" s="704"/>
      <c r="M612" s="704"/>
      <c r="N612" s="704"/>
      <c r="O612" s="704"/>
      <c r="P612" s="704"/>
      <c r="Q612" s="704"/>
      <c r="R612" s="704"/>
      <c r="S612" s="704"/>
      <c r="T612" s="704"/>
      <c r="U612" s="704"/>
      <c r="V612" s="704"/>
      <c r="W612" s="704"/>
      <c r="X612" s="704"/>
      <c r="Y612" s="704"/>
      <c r="Z612" s="704"/>
      <c r="AA612" s="704"/>
      <c r="AB612" s="704"/>
      <c r="AC612" s="704"/>
      <c r="AD612" s="704"/>
      <c r="AE612" s="704"/>
      <c r="AF612" s="704"/>
      <c r="AG612" s="704"/>
      <c r="AH612" s="704"/>
      <c r="AI612" s="704"/>
      <c r="AJ612" s="704"/>
      <c r="AK612" s="704"/>
      <c r="AL612" s="704"/>
      <c r="AM612" s="704"/>
      <c r="AN612" s="704"/>
      <c r="AO612" s="704"/>
      <c r="AP612" s="704"/>
      <c r="AQ612" s="704"/>
      <c r="AR612" s="704"/>
      <c r="AS612" s="704"/>
      <c r="AT612" s="704"/>
      <c r="AU612" s="704"/>
      <c r="AV612" s="704"/>
      <c r="AW612" s="704"/>
      <c r="AX612" s="704"/>
      <c r="AY612" s="704"/>
      <c r="AZ612" s="704"/>
      <c r="BA612" s="73">
        <f>SUM(BA609:BA611)</f>
        <v>646.95299999999975</v>
      </c>
      <c r="BB612" s="704"/>
      <c r="BC612" s="705">
        <f>SUM(BC609:BC611)</f>
        <v>2380.6009999999997</v>
      </c>
      <c r="BD612" s="704"/>
      <c r="BE612" s="73">
        <f>SUM(BE609:BE611)</f>
        <v>521.27700000000004</v>
      </c>
      <c r="BF612" s="73">
        <f>SUM(BF609:BF611)</f>
        <v>541.49299999999982</v>
      </c>
      <c r="BG612" s="73">
        <f>SUM(BG609:BG611)</f>
        <v>548.18100000000004</v>
      </c>
      <c r="BH612" s="73">
        <f>SUM(BH609:BH611)</f>
        <v>534.9100000000002</v>
      </c>
      <c r="BI612" s="705">
        <f>SUM(BI609:BI611)</f>
        <v>2145.8609999999999</v>
      </c>
      <c r="BJ612" s="73"/>
      <c r="BK612" s="73">
        <f>SUM(BK609:BK611)</f>
        <v>514</v>
      </c>
      <c r="BL612" s="73">
        <f>SUM(BL609:BL611)</f>
        <v>550</v>
      </c>
      <c r="BM612" s="73">
        <f>SUM(BM609:BM611)</f>
        <v>551</v>
      </c>
      <c r="BN612" s="73">
        <f>SUM(BN609:BN611)</f>
        <v>589</v>
      </c>
      <c r="BO612" s="705">
        <f>SUM(BO609:BO611)</f>
        <v>2204</v>
      </c>
      <c r="BP612" s="73"/>
      <c r="BQ612" s="73">
        <f>SUM(BQ609:BQ611)</f>
        <v>551</v>
      </c>
      <c r="BR612" s="73">
        <f>SUM(BR609:BR611)</f>
        <v>598</v>
      </c>
      <c r="BS612" s="73">
        <f>SUM(BS609:BS611)</f>
        <v>591</v>
      </c>
      <c r="BT612" s="73">
        <f>SUM(BT609:BT611)</f>
        <v>611</v>
      </c>
      <c r="BU612" s="705">
        <f>SUM(BU609:BU611)</f>
        <v>2351</v>
      </c>
      <c r="BV612" s="704"/>
      <c r="BW612" s="73">
        <f>SUM(BW609:BW611)</f>
        <v>556.5</v>
      </c>
      <c r="BX612" s="73">
        <f>SUM(BX609:BX611)</f>
        <v>592.70000000000005</v>
      </c>
      <c r="BY612" s="73">
        <f>SUM(BY609:BY611)</f>
        <v>720</v>
      </c>
      <c r="BZ612" s="73">
        <f>SUM(BZ609:BZ611)</f>
        <v>725</v>
      </c>
      <c r="CA612" s="705">
        <f>SUM(CA609:CA611)</f>
        <v>2594.1999999999998</v>
      </c>
      <c r="CB612" s="704"/>
      <c r="CC612" s="73">
        <f>SUM(CC609:CC611)</f>
        <v>695</v>
      </c>
      <c r="CD612" s="73">
        <f>SUM(CD609:CD611)</f>
        <v>733</v>
      </c>
      <c r="CE612" s="73">
        <f>SUM(CE609:CE611)</f>
        <v>779</v>
      </c>
      <c r="CF612" s="73">
        <f>SUM(CF609:CF611)</f>
        <v>893.14999999999986</v>
      </c>
      <c r="CG612" s="705">
        <f>SUM(CG609:CG611)</f>
        <v>3100.1499999999996</v>
      </c>
      <c r="CH612" s="704"/>
      <c r="CI612" s="73">
        <f>SUM(CI609:CI611)</f>
        <v>785</v>
      </c>
      <c r="CJ612" s="73">
        <f>SUM(CJ609:CJ611)</f>
        <v>835</v>
      </c>
      <c r="CK612" s="73">
        <f>SUM(CK609:CK611)</f>
        <v>886</v>
      </c>
      <c r="CL612" s="73">
        <f>SUM(CL609:CL611)</f>
        <v>983</v>
      </c>
      <c r="CM612" s="705">
        <f>SUM(CM609:CM611)</f>
        <v>3489</v>
      </c>
      <c r="CN612" s="704"/>
      <c r="CO612" s="73">
        <f>SUM(CO609:CO611)</f>
        <v>972</v>
      </c>
      <c r="CP612" s="73">
        <f>SUM(CP609:CP611)</f>
        <v>1041</v>
      </c>
      <c r="CQ612" s="73">
        <f>SUM(CQ609:CQ611)</f>
        <v>1048</v>
      </c>
      <c r="CR612" s="73">
        <f>SUM(CR609:CR611)</f>
        <v>1119</v>
      </c>
      <c r="CS612" s="705">
        <f>SUM(CS609:CS611)</f>
        <v>4180</v>
      </c>
      <c r="CT612" s="704"/>
      <c r="CU612" s="73">
        <f>SUM(CU609:CU611)</f>
        <v>1036</v>
      </c>
      <c r="CV612" s="73">
        <f>SUM(CV609:CV611)</f>
        <v>964</v>
      </c>
      <c r="CW612" s="73">
        <f>SUM(CW609:CW611)</f>
        <v>984</v>
      </c>
      <c r="CX612" s="73">
        <f>SUM(CX609:CX611)</f>
        <v>1107</v>
      </c>
      <c r="CY612" s="705">
        <f>SUM(CY609:CY611)</f>
        <v>4091</v>
      </c>
      <c r="CZ612" s="704"/>
      <c r="DA612" s="73">
        <f>SUM(DA609:DA611)</f>
        <v>976</v>
      </c>
      <c r="DB612" s="73">
        <f>SUM(DB609:DB611)</f>
        <v>1040</v>
      </c>
      <c r="DC612" s="73">
        <f>SUM(DC609:DC611)</f>
        <v>1240</v>
      </c>
      <c r="DD612" s="73">
        <f>SUM(DD609:DD611)</f>
        <v>1556.3000000000002</v>
      </c>
      <c r="DE612" s="162">
        <f>SUM(DE609:DE611)</f>
        <v>4812.2999999999993</v>
      </c>
      <c r="DF612" s="704"/>
      <c r="DG612" s="73">
        <f>SUM(DG609:DG611)</f>
        <v>1548</v>
      </c>
      <c r="DH612" s="73">
        <f>SUM(DH609:DH611)</f>
        <v>1586</v>
      </c>
      <c r="DI612" s="73">
        <f>SUM(DI609:DI611)</f>
        <v>1589</v>
      </c>
      <c r="DJ612" s="73">
        <f>SUM(DJ609:DJ611)</f>
        <v>1643</v>
      </c>
      <c r="DK612" s="162">
        <f>SUM(DK609:DK611)</f>
        <v>6366</v>
      </c>
      <c r="DL612" s="704"/>
      <c r="DM612" s="73">
        <f>SUM(DM609:DM611)</f>
        <v>1489</v>
      </c>
      <c r="DN612" s="73">
        <f>SUM(DN609:DN611)</f>
        <v>1542</v>
      </c>
      <c r="DO612" s="73">
        <f>SUM(DO609:DO611)</f>
        <v>1535</v>
      </c>
      <c r="DP612" s="73">
        <f>SUM(DP609:DP611)</f>
        <v>1562</v>
      </c>
      <c r="DQ612" s="162">
        <f>SUM(DQ609:DQ611)</f>
        <v>6248</v>
      </c>
      <c r="DR612" s="704"/>
      <c r="DS612" s="73">
        <f>SUM(DS609:DS611)</f>
        <v>1573</v>
      </c>
      <c r="DT612" s="73">
        <f>SUM(DT609:DT611)</f>
        <v>1591</v>
      </c>
      <c r="DU612" s="73">
        <f>SUM(DU609:DU611)</f>
        <v>1553</v>
      </c>
      <c r="DV612" s="73">
        <f>SUM(DV609:DV611)</f>
        <v>1681</v>
      </c>
      <c r="DW612" s="162">
        <f>SUM(DW609:DW611)</f>
        <v>6161</v>
      </c>
      <c r="DX612" s="704"/>
      <c r="DY612" s="73">
        <f>SUM(DY609:DY611)</f>
        <v>1570</v>
      </c>
      <c r="DZ612" s="73">
        <f>SUM(DZ609:DZ611)</f>
        <v>1639</v>
      </c>
      <c r="EA612" s="73">
        <f>SUM(EA609:EA611)</f>
        <v>1618</v>
      </c>
      <c r="EB612" s="73">
        <f>SUM(EB609:EB611)</f>
        <v>1406</v>
      </c>
      <c r="EC612" s="162">
        <f>SUM(EC609:EC611)</f>
        <v>6233</v>
      </c>
      <c r="ED612" s="704"/>
      <c r="EE612" s="73">
        <f>SUM(EE609:EE611)</f>
        <v>1660</v>
      </c>
      <c r="EF612" s="73">
        <f>SUM(EF609:EF611)</f>
        <v>1706</v>
      </c>
      <c r="EG612" s="73">
        <f>SUM(EG609:EG611)</f>
        <v>1673</v>
      </c>
      <c r="EH612" s="73">
        <f>SUM(EH609:EH611)</f>
        <v>1276</v>
      </c>
      <c r="EI612" s="162">
        <f>SUM(EI609:EI611)</f>
        <v>6315</v>
      </c>
      <c r="EJ612" s="704"/>
      <c r="EK612" s="73">
        <f>SUM(EK609:EK611)</f>
        <v>1582</v>
      </c>
      <c r="EL612" s="73">
        <f>SUM(EL609:EL611)</f>
        <v>1784</v>
      </c>
      <c r="EM612" s="73">
        <f>SUM(EM609:EM611)</f>
        <v>1728</v>
      </c>
      <c r="EN612" s="73">
        <f>SUM(EN609:EN611)</f>
        <v>1531</v>
      </c>
      <c r="EO612" s="162">
        <f>SUM(EO609:EO611)</f>
        <v>6625</v>
      </c>
      <c r="EP612" s="704"/>
      <c r="EQ612" s="73">
        <f>SUM(EQ609:EQ611)</f>
        <v>1708</v>
      </c>
      <c r="ER612" s="73">
        <f>SUM(ER609:ER611)</f>
        <v>1701</v>
      </c>
      <c r="ES612" s="73">
        <f>SUM(ES609:ES611)</f>
        <v>1636</v>
      </c>
      <c r="ET612" s="73">
        <f>SUM(ET609:ET611)</f>
        <v>1803</v>
      </c>
      <c r="EU612" s="162">
        <f>SUM(EU609:EU611)</f>
        <v>6848</v>
      </c>
      <c r="EV612" s="704"/>
      <c r="EW612" s="73">
        <f>SUM(EW609:EW611)</f>
        <v>1723</v>
      </c>
      <c r="EX612" s="704"/>
      <c r="EY612" s="704"/>
      <c r="EZ612" s="704"/>
      <c r="FA612" s="706"/>
      <c r="FB612" s="704"/>
      <c r="FC612" s="704"/>
      <c r="FD612" s="704"/>
      <c r="FE612" s="704"/>
      <c r="FF612" s="704"/>
      <c r="FG612" s="706"/>
      <c r="FH612" s="704"/>
      <c r="FI612" s="704"/>
      <c r="FJ612" s="704"/>
      <c r="FK612" s="704"/>
      <c r="FL612" s="704"/>
      <c r="FM612" s="706"/>
      <c r="FO612" s="457"/>
      <c r="FQ612"/>
      <c r="FR612"/>
      <c r="FS612"/>
      <c r="FT612"/>
      <c r="FU612"/>
      <c r="FV612"/>
      <c r="GB612" s="24"/>
      <c r="GC612" s="24"/>
      <c r="GD612" s="24"/>
      <c r="GE612" s="24"/>
      <c r="GF612" s="24"/>
      <c r="GG612" s="24"/>
      <c r="GH612" s="24"/>
      <c r="GI612" s="24"/>
      <c r="GJ612"/>
      <c r="GK612"/>
      <c r="GL612"/>
      <c r="GM612"/>
      <c r="GN612"/>
      <c r="GO612"/>
      <c r="GP612"/>
      <c r="GQ612"/>
      <c r="GR612"/>
      <c r="GS612"/>
      <c r="GT612"/>
      <c r="GU612"/>
      <c r="GV612"/>
      <c r="GW612"/>
      <c r="GX612"/>
      <c r="GY612"/>
      <c r="GZ612"/>
      <c r="HA612"/>
      <c r="HB612"/>
      <c r="HC612"/>
      <c r="HD612"/>
      <c r="HE612"/>
      <c r="HF612"/>
      <c r="HG612"/>
      <c r="HH612"/>
      <c r="HI612"/>
      <c r="HJ612"/>
      <c r="HK612"/>
      <c r="HL612"/>
      <c r="HM612"/>
      <c r="HN612"/>
      <c r="HO612"/>
      <c r="HP612"/>
      <c r="HQ612"/>
      <c r="HR612"/>
      <c r="HS612"/>
      <c r="HT612"/>
      <c r="HU612"/>
      <c r="HV612"/>
      <c r="HW612"/>
      <c r="HX612"/>
      <c r="HY612"/>
      <c r="HZ612"/>
      <c r="IA612"/>
      <c r="IB612"/>
      <c r="IC612"/>
      <c r="ID612"/>
      <c r="IE612"/>
      <c r="IF612"/>
      <c r="IG612"/>
      <c r="IH612"/>
      <c r="II612"/>
      <c r="IJ612"/>
      <c r="IK612"/>
      <c r="IL612"/>
      <c r="IM612"/>
      <c r="IN612"/>
      <c r="IO612"/>
      <c r="IP612"/>
      <c r="IQ612"/>
      <c r="IR612"/>
      <c r="IS612"/>
      <c r="IT612"/>
      <c r="IU612"/>
      <c r="IV612"/>
      <c r="IW612"/>
      <c r="IX612"/>
      <c r="IY612"/>
      <c r="IZ612"/>
      <c r="JA612"/>
      <c r="JB612"/>
      <c r="JC612"/>
      <c r="JD612"/>
      <c r="JE612"/>
      <c r="JF612"/>
      <c r="JG612"/>
      <c r="JH612"/>
      <c r="JI612"/>
      <c r="JJ612"/>
      <c r="JK612"/>
      <c r="JL612"/>
      <c r="JM612"/>
      <c r="JN612"/>
    </row>
    <row r="613" spans="1:274" s="698" customFormat="1" ht="12.75" hidden="1" customHeight="1" outlineLevel="1" x14ac:dyDescent="0.2">
      <c r="A613" s="703" t="s">
        <v>506</v>
      </c>
      <c r="B613" s="697"/>
      <c r="C613" s="704"/>
      <c r="D613" s="704"/>
      <c r="E613" s="704"/>
      <c r="F613" s="704"/>
      <c r="G613" s="704"/>
      <c r="H613" s="704"/>
      <c r="I613" s="704"/>
      <c r="J613" s="704"/>
      <c r="K613" s="704"/>
      <c r="L613" s="704"/>
      <c r="M613" s="704"/>
      <c r="N613" s="704"/>
      <c r="O613" s="704"/>
      <c r="P613" s="704"/>
      <c r="Q613" s="704"/>
      <c r="R613" s="704"/>
      <c r="S613" s="704"/>
      <c r="T613" s="704"/>
      <c r="U613" s="704"/>
      <c r="V613" s="704"/>
      <c r="W613" s="704"/>
      <c r="X613" s="704"/>
      <c r="Y613" s="704"/>
      <c r="Z613" s="704"/>
      <c r="AA613" s="704"/>
      <c r="AB613" s="704"/>
      <c r="AC613" s="704"/>
      <c r="AD613" s="704"/>
      <c r="AE613" s="704"/>
      <c r="AF613" s="704"/>
      <c r="AG613" s="704"/>
      <c r="AH613" s="704"/>
      <c r="AI613" s="704"/>
      <c r="AJ613" s="704"/>
      <c r="AK613" s="704"/>
      <c r="AL613" s="704"/>
      <c r="AM613" s="704"/>
      <c r="AN613" s="704"/>
      <c r="AO613" s="704"/>
      <c r="AP613" s="704"/>
      <c r="AQ613" s="704"/>
      <c r="AR613" s="704"/>
      <c r="AS613" s="704"/>
      <c r="AT613" s="704"/>
      <c r="AU613" s="704"/>
      <c r="AV613" s="704"/>
      <c r="AW613" s="704"/>
      <c r="AX613" s="704"/>
      <c r="AY613" s="704"/>
      <c r="AZ613" s="704"/>
      <c r="BA613" s="70">
        <f>BA612/BA604</f>
        <v>0.24190883300609073</v>
      </c>
      <c r="BB613" s="704"/>
      <c r="BC613" s="707">
        <f>BC612/BC604</f>
        <v>0.21718830398686248</v>
      </c>
      <c r="BD613" s="704"/>
      <c r="BE613" s="70">
        <f>BE612/BE604</f>
        <v>0.23014437086092718</v>
      </c>
      <c r="BF613" s="70">
        <f>BF612/BF604</f>
        <v>0.22751806722689069</v>
      </c>
      <c r="BG613" s="70">
        <f>BG612/BG604</f>
        <v>0.24325759928999335</v>
      </c>
      <c r="BH613" s="70">
        <f>BH612/BH604</f>
        <v>0.19279509821589483</v>
      </c>
      <c r="BI613" s="707">
        <f>BI612/BI604</f>
        <v>0.22184027705985732</v>
      </c>
      <c r="BJ613" s="704"/>
      <c r="BK613" s="70">
        <f>BK612/BK604</f>
        <v>0.25345167652859962</v>
      </c>
      <c r="BL613" s="70">
        <f>BL612/BL604</f>
        <v>0.23819835426591598</v>
      </c>
      <c r="BM613" s="70">
        <f>BM612/BM604</f>
        <v>0.23883831816211532</v>
      </c>
      <c r="BN613" s="70">
        <f>BN612/BN604</f>
        <v>0.20805369127516779</v>
      </c>
      <c r="BO613" s="707">
        <f>BO612/BO604</f>
        <v>0.23261213720316623</v>
      </c>
      <c r="BP613" s="704"/>
      <c r="BQ613" s="70">
        <f>BQ612/BQ604</f>
        <v>0.26592664092664092</v>
      </c>
      <c r="BR613" s="70">
        <f>BR612/BR604</f>
        <v>0.23939151321056845</v>
      </c>
      <c r="BS613" s="70">
        <f>BS612/BS604</f>
        <v>0.2355520127540853</v>
      </c>
      <c r="BT613" s="70">
        <f>BT612/BT604</f>
        <v>0.19857003574910628</v>
      </c>
      <c r="BU613" s="707">
        <f>BU612/BU604</f>
        <v>0.23148877510831037</v>
      </c>
      <c r="BV613" s="704"/>
      <c r="BW613" s="70">
        <f>BW612/BW604</f>
        <v>0.25124153498871332</v>
      </c>
      <c r="BX613" s="70">
        <f>BX612/BX604</f>
        <v>0.21505805515239479</v>
      </c>
      <c r="BY613" s="70">
        <f>BY612/BY604</f>
        <v>0.23278370514064015</v>
      </c>
      <c r="BZ613" s="70">
        <f>BZ612/BZ604</f>
        <v>0.17879161528976573</v>
      </c>
      <c r="CA613" s="707">
        <f>CA612/CA604</f>
        <v>0.2140605660533047</v>
      </c>
      <c r="CB613" s="704"/>
      <c r="CC613" s="70">
        <f>CC612/CC604</f>
        <v>0.23907808737530101</v>
      </c>
      <c r="CD613" s="70">
        <f>CD612/CD604</f>
        <v>0.21596935769004125</v>
      </c>
      <c r="CE613" s="70">
        <f>CE612/CE604</f>
        <v>0.22043010752688172</v>
      </c>
      <c r="CF613" s="70">
        <f>CF612/CF604</f>
        <v>0.1809461102106969</v>
      </c>
      <c r="CG613" s="707">
        <f>CG612/CG604</f>
        <v>0.20988084760679707</v>
      </c>
      <c r="CH613" s="704"/>
      <c r="CI613" s="70">
        <f>CI612/CI604</f>
        <v>0.21442228899207866</v>
      </c>
      <c r="CJ613" s="70">
        <f>CJ612/CJ604</f>
        <v>0.19805502846299811</v>
      </c>
      <c r="CK613" s="70">
        <f>CK612/CK604</f>
        <v>0.19914587547763543</v>
      </c>
      <c r="CL613" s="70">
        <f>CL612/CL604</f>
        <v>0.1671200272016321</v>
      </c>
      <c r="CM613" s="707">
        <f>CM612/CM604</f>
        <v>0.19161906854130054</v>
      </c>
      <c r="CN613" s="704"/>
      <c r="CO613" s="70">
        <f>CO612/CO604</f>
        <v>0.21162638798171129</v>
      </c>
      <c r="CP613" s="70">
        <f>CP612/CP604</f>
        <v>0.19407158836689037</v>
      </c>
      <c r="CQ613" s="70">
        <f>CQ612/CQ604</f>
        <v>0.1951219512195122</v>
      </c>
      <c r="CR613" s="70">
        <f>CR612/CR604</f>
        <v>0.15368768026370005</v>
      </c>
      <c r="CS613" s="707">
        <f>CS612/CS604</f>
        <v>0.18488212658675748</v>
      </c>
      <c r="CT613" s="704"/>
      <c r="CU613" s="70">
        <f>CU612/CU604</f>
        <v>0.19107340464773145</v>
      </c>
      <c r="CV613" s="70">
        <f>CV612/CV604</f>
        <v>0.16950940742043258</v>
      </c>
      <c r="CW613" s="70">
        <f>CW612/CW604</f>
        <v>0.17877906976744187</v>
      </c>
      <c r="CX613" s="70">
        <f>CX612/CX604</f>
        <v>0.16085440278988666</v>
      </c>
      <c r="CY613" s="707">
        <f>CY612/CY604</f>
        <v>0.1741221536497127</v>
      </c>
      <c r="CZ613" s="704"/>
      <c r="DA613" s="70">
        <f>DA612/DA604</f>
        <v>0.19277108433734941</v>
      </c>
      <c r="DB613" s="70">
        <f>DB612/DB604</f>
        <v>0.17711171662125341</v>
      </c>
      <c r="DC613" s="70">
        <f>DC612/DC604</f>
        <v>0.19168341320142215</v>
      </c>
      <c r="DD613" s="70">
        <f>DD612/DD604</f>
        <v>0.16160955347871236</v>
      </c>
      <c r="DE613" s="725">
        <f>DE612/DE604</f>
        <v>0.17800917363320259</v>
      </c>
      <c r="DF613" s="704"/>
      <c r="DG613" s="70">
        <f>DG612/DG604</f>
        <v>0.20400632577754349</v>
      </c>
      <c r="DH613" s="70">
        <f>DH612/DH604</f>
        <v>0.18337380043935714</v>
      </c>
      <c r="DI613" s="70">
        <f>DI612/DI604</f>
        <v>0.18042466220052231</v>
      </c>
      <c r="DJ613" s="70">
        <f>DJ612/DJ604</f>
        <v>0.15204516009624283</v>
      </c>
      <c r="DK613" s="725">
        <f>DK612/DK604</f>
        <v>0.17757322175732218</v>
      </c>
      <c r="DL613" s="704"/>
      <c r="DM613" s="70">
        <f>DM612/DM604</f>
        <v>0.17730412002857823</v>
      </c>
      <c r="DN613" s="70">
        <f>DN612/DN604</f>
        <v>0.17500851208716378</v>
      </c>
      <c r="DO613" s="70">
        <f>DO612/DO604</f>
        <v>0.16938865592584418</v>
      </c>
      <c r="DP613" s="70">
        <f>DP612/DP604</f>
        <v>0.14264840182648403</v>
      </c>
      <c r="DQ613" s="725">
        <f>DQ612/DQ604</f>
        <v>0.16786222831197442</v>
      </c>
      <c r="DR613" s="704"/>
      <c r="DS613" s="70">
        <f>DS612/DS604</f>
        <v>0.19161895480570107</v>
      </c>
      <c r="DT613" s="70">
        <f>DT612/DT604</f>
        <v>0.17458575661143422</v>
      </c>
      <c r="DU613" s="70">
        <f>DU612/DU604</f>
        <v>0.17313266443701225</v>
      </c>
      <c r="DV613" s="70">
        <f>DV612/DV604</f>
        <v>0.15336191953288933</v>
      </c>
      <c r="DW613" s="725">
        <f>DW612/DW604</f>
        <v>0.16538265374600702</v>
      </c>
      <c r="DX613" s="704"/>
      <c r="DY613" s="70">
        <f>DY612/DY604</f>
        <v>0.18732848108817562</v>
      </c>
      <c r="DZ613" s="70">
        <f>DZ612/DZ604</f>
        <v>0.17655930194980071</v>
      </c>
      <c r="EA613" s="70">
        <f>EA612/EA604</f>
        <v>0.1736983360171766</v>
      </c>
      <c r="EB613" s="70">
        <f>EB612/EB604</f>
        <v>0.11932445047950437</v>
      </c>
      <c r="EC613" s="725">
        <f>EC612/EC604</f>
        <v>0.16271602359943613</v>
      </c>
      <c r="ED613" s="704"/>
      <c r="EE613" s="70">
        <f>EE612/EE604</f>
        <v>0.19300081385885362</v>
      </c>
      <c r="EF613" s="70">
        <f>EF612/EF604</f>
        <v>0.17752341311134234</v>
      </c>
      <c r="EG613" s="70">
        <f>EG612/EG604</f>
        <v>0.17921799678628816</v>
      </c>
      <c r="EH613" s="70">
        <f>EH612/EH604</f>
        <v>0.11917437190622956</v>
      </c>
      <c r="EI613" s="725">
        <f>EI612/EI604</f>
        <v>0.1650850913653831</v>
      </c>
      <c r="EJ613" s="704"/>
      <c r="EK613" s="70">
        <f>EK612/EK604</f>
        <v>0.18719678144598273</v>
      </c>
      <c r="EL613" s="70">
        <f>EL612/EL604</f>
        <v>0.19828831832833166</v>
      </c>
      <c r="EM613" s="70">
        <f>EM612/EM604</f>
        <v>0.1917017972043488</v>
      </c>
      <c r="EN613" s="70">
        <f>EN612/EN604</f>
        <v>0.14450212364322793</v>
      </c>
      <c r="EO613" s="725">
        <f>EO612/EO604</f>
        <v>0.17877863831394877</v>
      </c>
      <c r="EP613" s="704"/>
      <c r="EQ613" s="70">
        <f>EQ612/EQ604</f>
        <v>0.19830488796006038</v>
      </c>
      <c r="ER613" s="70">
        <f>ER612/ER604</f>
        <v>0.18754134509371553</v>
      </c>
      <c r="ES613" s="70">
        <f>ES612/ES604</f>
        <v>0.17640715980159585</v>
      </c>
      <c r="ET613" s="70">
        <f>ET612/ET604</f>
        <v>0.16477791994150978</v>
      </c>
      <c r="EU613" s="725">
        <f>EU612/EU604</f>
        <v>0.18069078339797884</v>
      </c>
      <c r="EV613" s="704"/>
      <c r="EW613" s="70">
        <f>EW612/EW604</f>
        <v>0.18703864524533217</v>
      </c>
      <c r="EX613" s="704"/>
      <c r="EY613" s="704"/>
      <c r="EZ613" s="704"/>
      <c r="FA613" s="706"/>
      <c r="FB613" s="704"/>
      <c r="FC613" s="704"/>
      <c r="FD613" s="704"/>
      <c r="FE613" s="704"/>
      <c r="FF613" s="704"/>
      <c r="FG613" s="706"/>
      <c r="FH613" s="704"/>
      <c r="FI613" s="704"/>
      <c r="FJ613" s="704"/>
      <c r="FK613" s="704"/>
      <c r="FL613" s="704"/>
      <c r="FM613" s="706"/>
      <c r="FN613" s="188"/>
      <c r="FO613" s="188"/>
      <c r="FQ613"/>
      <c r="FR613"/>
      <c r="FS613"/>
      <c r="FT613"/>
      <c r="FU613"/>
      <c r="FV613"/>
      <c r="GB613" s="24"/>
      <c r="GC613" s="24"/>
      <c r="GD613" s="24"/>
      <c r="GE613" s="24"/>
      <c r="GF613" s="24"/>
      <c r="GG613" s="24"/>
      <c r="GH613" s="24"/>
      <c r="GI613" s="24"/>
      <c r="GJ613"/>
      <c r="GK613"/>
      <c r="GL613"/>
      <c r="GM613"/>
      <c r="GN613"/>
      <c r="GO613"/>
      <c r="GP613"/>
      <c r="GQ613"/>
      <c r="GR613"/>
      <c r="GS613"/>
      <c r="GT613"/>
      <c r="GU613"/>
      <c r="GV613"/>
      <c r="GW613"/>
      <c r="GX613"/>
      <c r="GY613"/>
      <c r="GZ613"/>
      <c r="HA613"/>
      <c r="HB613"/>
      <c r="HC613"/>
      <c r="HD613"/>
      <c r="HE613"/>
      <c r="HF613"/>
      <c r="HG613"/>
      <c r="HH613"/>
      <c r="HI613"/>
      <c r="HJ613"/>
      <c r="HK613"/>
      <c r="HL613"/>
      <c r="HM613"/>
      <c r="HN613"/>
      <c r="HO613"/>
      <c r="HP613"/>
      <c r="HQ613"/>
      <c r="HR613"/>
      <c r="HS613"/>
      <c r="HT613"/>
      <c r="HU613"/>
      <c r="HV613"/>
      <c r="HW613"/>
      <c r="HX613"/>
      <c r="HY613"/>
      <c r="HZ613"/>
      <c r="IA613"/>
      <c r="IB613"/>
      <c r="IC613"/>
      <c r="ID613"/>
      <c r="IE613"/>
      <c r="IF613"/>
      <c r="IG613"/>
      <c r="IH613"/>
      <c r="II613"/>
      <c r="IJ613"/>
      <c r="IK613"/>
      <c r="IL613"/>
      <c r="IM613"/>
      <c r="IN613"/>
      <c r="IO613"/>
      <c r="IP613"/>
      <c r="IQ613"/>
      <c r="IR613"/>
      <c r="IS613"/>
      <c r="IT613"/>
      <c r="IU613"/>
      <c r="IV613"/>
      <c r="IW613"/>
      <c r="IX613"/>
      <c r="IY613"/>
      <c r="IZ613"/>
      <c r="JA613"/>
      <c r="JB613"/>
      <c r="JC613"/>
      <c r="JD613"/>
      <c r="JE613"/>
      <c r="JF613"/>
      <c r="JG613"/>
      <c r="JH613"/>
      <c r="JI613"/>
      <c r="JJ613"/>
      <c r="JK613"/>
      <c r="JL613"/>
      <c r="JM613"/>
      <c r="JN613"/>
    </row>
    <row r="614" spans="1:274" s="698" customFormat="1" ht="6" hidden="1" customHeight="1" outlineLevel="1" x14ac:dyDescent="0.2">
      <c r="A614" s="702"/>
      <c r="B614" s="697"/>
      <c r="BC614" s="708"/>
      <c r="BI614" s="708"/>
      <c r="BO614" s="708"/>
      <c r="BU614" s="708"/>
      <c r="CA614" s="708"/>
      <c r="CG614" s="708"/>
      <c r="CM614" s="699"/>
      <c r="CS614" s="708"/>
      <c r="CY614" s="708"/>
      <c r="DE614" s="699"/>
      <c r="DK614" s="699"/>
      <c r="DQ614" s="699"/>
      <c r="DW614" s="699"/>
      <c r="EC614" s="699"/>
      <c r="EI614" s="699"/>
      <c r="EO614" s="699"/>
      <c r="EU614" s="699"/>
      <c r="FA614" s="699"/>
      <c r="FG614" s="699"/>
      <c r="FM614" s="699"/>
      <c r="FQ614"/>
      <c r="FR614"/>
      <c r="FS614"/>
      <c r="FT614"/>
      <c r="FU614"/>
      <c r="FV614"/>
      <c r="GB614" s="24"/>
      <c r="GC614" s="24"/>
      <c r="GD614" s="24"/>
      <c r="GE614" s="24"/>
      <c r="GF614" s="24"/>
      <c r="GG614" s="24"/>
      <c r="GH614" s="24"/>
      <c r="GI614" s="24"/>
      <c r="GJ614"/>
      <c r="GK614"/>
      <c r="GL614"/>
      <c r="GM614"/>
      <c r="GN614"/>
      <c r="GO614"/>
      <c r="GP614"/>
      <c r="GQ614"/>
      <c r="GR614"/>
      <c r="GS614"/>
      <c r="GT614"/>
      <c r="GU614"/>
      <c r="GV614"/>
      <c r="GW614"/>
      <c r="GX614"/>
      <c r="GY614"/>
      <c r="GZ614"/>
      <c r="HA614"/>
      <c r="HB614"/>
      <c r="HC614"/>
      <c r="HD614"/>
      <c r="HE614"/>
      <c r="HF614"/>
      <c r="HG614"/>
      <c r="HH614"/>
      <c r="HI614"/>
      <c r="HJ614"/>
      <c r="HK614"/>
      <c r="HL614"/>
      <c r="HM614"/>
      <c r="HN614"/>
      <c r="HO614"/>
      <c r="HP614"/>
      <c r="HQ614"/>
      <c r="HR614"/>
      <c r="HS614"/>
      <c r="HT614"/>
      <c r="HU614"/>
      <c r="HV614"/>
      <c r="HW614"/>
      <c r="HX614"/>
      <c r="HY614"/>
      <c r="HZ614"/>
      <c r="IA614"/>
      <c r="IB614"/>
      <c r="IC614"/>
      <c r="ID614"/>
      <c r="IE614"/>
      <c r="IF614"/>
      <c r="IG614"/>
      <c r="IH614"/>
      <c r="II614"/>
      <c r="IJ614"/>
      <c r="IK614"/>
      <c r="IL614"/>
      <c r="IM614"/>
      <c r="IN614"/>
      <c r="IO614"/>
      <c r="IP614"/>
      <c r="IQ614"/>
      <c r="IR614"/>
      <c r="IS614"/>
      <c r="IT614"/>
      <c r="IU614"/>
      <c r="IV614"/>
      <c r="IW614"/>
      <c r="IX614"/>
      <c r="IY614"/>
      <c r="IZ614"/>
      <c r="JA614"/>
      <c r="JB614"/>
      <c r="JC614"/>
      <c r="JD614"/>
      <c r="JE614"/>
      <c r="JF614"/>
      <c r="JG614"/>
      <c r="JH614"/>
      <c r="JI614"/>
      <c r="JJ614"/>
      <c r="JK614"/>
      <c r="JL614"/>
      <c r="JM614"/>
      <c r="JN614"/>
    </row>
    <row r="615" spans="1:274" s="698" customFormat="1" ht="12.75" hidden="1" customHeight="1" outlineLevel="1" x14ac:dyDescent="0.2">
      <c r="A615" s="702" t="s">
        <v>507</v>
      </c>
      <c r="B615" s="697"/>
      <c r="BA615" s="457">
        <f>BA606-BA610-BA611-BA609</f>
        <v>856.42799999999988</v>
      </c>
      <c r="BC615" s="606">
        <f>BC606-BC610-BC611-BC609</f>
        <v>3777.3990000000003</v>
      </c>
      <c r="BE615" s="457">
        <f>BE606-BE610-BE611-BE609</f>
        <v>745.72299999999996</v>
      </c>
      <c r="BF615" s="457">
        <f>BF606-BF610-BF611-BF609</f>
        <v>819.50700000000018</v>
      </c>
      <c r="BG615" s="457">
        <f>BG606-BG610-BG611-BG609</f>
        <v>778.91899999999987</v>
      </c>
      <c r="BH615" s="698">
        <f>BH606-BH610-BH611-BH609</f>
        <v>1226.9899999999998</v>
      </c>
      <c r="BI615" s="606">
        <f>BI606-BI610-BI611-BI609</f>
        <v>3571.1390000000001</v>
      </c>
      <c r="BJ615" s="457"/>
      <c r="BK615" s="457">
        <f>BK606-BK610-BK611-BK609</f>
        <v>580</v>
      </c>
      <c r="BL615" s="457">
        <f>BL606-BL610-BL611-BL609</f>
        <v>794</v>
      </c>
      <c r="BM615" s="457">
        <f>BM606-BM610-BM611-BM609</f>
        <v>796</v>
      </c>
      <c r="BN615" s="457">
        <f>BN606-BN610-BN611-BN609</f>
        <v>1270</v>
      </c>
      <c r="BO615" s="606">
        <f>BO606-BO610-BO611-BO609</f>
        <v>3440</v>
      </c>
      <c r="BP615" s="457"/>
      <c r="BQ615" s="457">
        <f>BQ606-BQ610-BQ611-BQ609</f>
        <v>616</v>
      </c>
      <c r="BR615" s="457">
        <f>BR606-BR610-BR611-BR609</f>
        <v>915</v>
      </c>
      <c r="BS615" s="457">
        <f>BS606-BS610-BS611-BS609</f>
        <v>927</v>
      </c>
      <c r="BT615" s="457">
        <f>BT606-BT610-BT611-BT609</f>
        <v>1406</v>
      </c>
      <c r="BU615" s="606">
        <f>BU606-BU610-BU611-BU609</f>
        <v>3864</v>
      </c>
      <c r="BV615" s="457"/>
      <c r="BW615" s="457">
        <f>BW606-BW610-BW611-BW609</f>
        <v>743.5</v>
      </c>
      <c r="BX615" s="457">
        <f>BX606-BX610-BX611-BX609</f>
        <v>1154.3</v>
      </c>
      <c r="BY615" s="457">
        <f>BY606-BY610-BY611-BY609</f>
        <v>1178</v>
      </c>
      <c r="BZ615" s="457">
        <f>BZ606-BZ610-BZ611-BZ609</f>
        <v>1865</v>
      </c>
      <c r="CA615" s="606">
        <f>CA606-CA610-CA611-CA609</f>
        <v>4940.8</v>
      </c>
      <c r="CB615" s="457"/>
      <c r="CC615" s="457">
        <f>CC606-CC610-CC611-CC609</f>
        <v>1022</v>
      </c>
      <c r="CD615" s="457">
        <f>CD606-CD610-CD611-CD609</f>
        <v>1361</v>
      </c>
      <c r="CE615" s="457">
        <f>CE606-CE610-CE611-CE609</f>
        <v>1383</v>
      </c>
      <c r="CF615" s="457">
        <f>CF606-CF610-CF611-CF609</f>
        <v>2199.8500000000004</v>
      </c>
      <c r="CG615" s="606">
        <f>CG606-CG610-CG611-CG609</f>
        <v>5965.8499999999995</v>
      </c>
      <c r="CH615" s="457"/>
      <c r="CI615" s="457">
        <f>CI606-CI610-CI611-CI609</f>
        <v>1318</v>
      </c>
      <c r="CJ615" s="457">
        <f>CJ606-CJ612</f>
        <v>1634</v>
      </c>
      <c r="CK615" s="457">
        <f>CK606-CK612</f>
        <v>1755</v>
      </c>
      <c r="CL615" s="457">
        <f>CL606-CL610-CL611-CL609</f>
        <v>2713</v>
      </c>
      <c r="CM615" s="606">
        <f>CM606-CM610-CM611-CM609</f>
        <v>7420</v>
      </c>
      <c r="CN615" s="457"/>
      <c r="CO615" s="457">
        <f>CO606-CO610-CO611-CO609</f>
        <v>1682</v>
      </c>
      <c r="CP615" s="457">
        <f>CP606-CP610-CP611-CP609</f>
        <v>2214</v>
      </c>
      <c r="CQ615" s="457">
        <f>CQ606-CQ610-CQ611-CQ609</f>
        <v>2219</v>
      </c>
      <c r="CR615" s="457">
        <f>CR606-CR610-CR611-CR609</f>
        <v>3544</v>
      </c>
      <c r="CS615" s="606">
        <f>CS606-CS610-CS611-CS609</f>
        <v>9659</v>
      </c>
      <c r="CU615" s="33">
        <f>CU606-CU610-CU611-CU609</f>
        <v>2174</v>
      </c>
      <c r="CV615" s="33">
        <f>CV606-CV610-CV611-CV609</f>
        <v>2609</v>
      </c>
      <c r="CW615" s="33">
        <f>CW606-CW610-CW611-CW609</f>
        <v>2555</v>
      </c>
      <c r="CX615" s="33">
        <f>CX606-CX610-CX611-CX609</f>
        <v>3514</v>
      </c>
      <c r="CY615" s="606">
        <f>CY606-CY610-CY611-CY609</f>
        <v>10852</v>
      </c>
      <c r="DA615" s="33">
        <f>DA606-DA610-DA611-DA609</f>
        <v>2318</v>
      </c>
      <c r="DB615" s="33">
        <f>DB606-DB610-DB611-DB609</f>
        <v>2856</v>
      </c>
      <c r="DC615" s="33">
        <f>DC606-DC610-DC611-DC609</f>
        <v>2886</v>
      </c>
      <c r="DD615" s="33">
        <f>DD606-DD610-DD611-DD609</f>
        <v>4413.7</v>
      </c>
      <c r="DE615" s="143">
        <f>DE606-DE610-DE611-DE609</f>
        <v>12473.7</v>
      </c>
      <c r="DG615" s="33">
        <f>DG606-DG610-DG611-DG609</f>
        <v>2947</v>
      </c>
      <c r="DH615" s="33">
        <f>DH606-DH610-DH611-DH609</f>
        <v>3686</v>
      </c>
      <c r="DI615" s="33">
        <f>DI606-DI610-DI611-DI609</f>
        <v>3892</v>
      </c>
      <c r="DJ615" s="33">
        <f>DJ606-DJ610-DJ611-DJ609</f>
        <v>5238</v>
      </c>
      <c r="DK615" s="143">
        <f>DK606-DK610-DK611-DK609</f>
        <v>15763</v>
      </c>
      <c r="DM615" s="33">
        <f>DM606-DM610-DM611-DM609</f>
        <v>3566</v>
      </c>
      <c r="DN615" s="33">
        <f>DN606-DN610-DN611-DN609</f>
        <v>3929</v>
      </c>
      <c r="DO615" s="33">
        <f>DO606-DO610-DO611-DO609</f>
        <v>4205</v>
      </c>
      <c r="DP615" s="33">
        <f>DP606-DP610-DP611-DP609</f>
        <v>5512</v>
      </c>
      <c r="DQ615" s="143">
        <f>DQ606-DQ610-DQ611-DQ609</f>
        <v>17092</v>
      </c>
      <c r="DS615" s="33">
        <f>DS606-DS610-DS611-DS609</f>
        <v>3589</v>
      </c>
      <c r="DT615" s="33">
        <f>DT606-DT610-DT611-DT609</f>
        <v>4272</v>
      </c>
      <c r="DU615" s="33">
        <f>DU606-DU610-DU611-DU609</f>
        <v>4178</v>
      </c>
      <c r="DV615" s="33">
        <f>DV606-DV610-DV611-DV609</f>
        <v>5573</v>
      </c>
      <c r="DW615" s="143">
        <f>DW606-DW610-DW611-DW609</f>
        <v>17492</v>
      </c>
      <c r="DY615" s="33">
        <f>DY606-DY610-DY611-DY609</f>
        <v>3741</v>
      </c>
      <c r="DZ615" s="33">
        <f>DZ606-DZ610-DZ611-DZ609</f>
        <v>4246</v>
      </c>
      <c r="EA615" s="33">
        <f>EA606-EA610-EA611-EA609</f>
        <v>4366</v>
      </c>
      <c r="EB615" s="33">
        <f>EB606-EB610-EB611-EB609</f>
        <v>6213</v>
      </c>
      <c r="EC615" s="143">
        <f>EC606-EC610-EC611-EC609</f>
        <v>18110</v>
      </c>
      <c r="EE615" s="33">
        <f>EE606-EE610-EE611-EE609</f>
        <v>3821</v>
      </c>
      <c r="EF615" s="33">
        <f>EF606-EF610-EF611-EF609</f>
        <v>4393</v>
      </c>
      <c r="EG615" s="33">
        <f>EG606-EG610-EG611-EG609</f>
        <v>4207</v>
      </c>
      <c r="EH615" s="33">
        <f>EH606-EH610-EH611-EH609</f>
        <v>4973</v>
      </c>
      <c r="EI615" s="143">
        <f>EI606-EI610-EI611-EI609</f>
        <v>17394</v>
      </c>
      <c r="EK615" s="33">
        <f>EK606-EK610-EK611-EK609</f>
        <v>3473</v>
      </c>
      <c r="EL615" s="33">
        <f>EL606-EL610-EL611-EL609</f>
        <v>3724</v>
      </c>
      <c r="EM615" s="33">
        <f>EM606-EM610-EM611-EM609</f>
        <v>3823</v>
      </c>
      <c r="EN615" s="33">
        <f>EN606-EN610-EN611-EN609</f>
        <v>4765</v>
      </c>
      <c r="EO615" s="143">
        <f>EO606-EO610-EO611-EO609</f>
        <v>15785</v>
      </c>
      <c r="EQ615" s="33">
        <f>EQ606-EQ610-EQ611-EQ609</f>
        <v>3402</v>
      </c>
      <c r="ER615" s="33">
        <f>ER606-ER610-ER611-ER609</f>
        <v>3807</v>
      </c>
      <c r="ES615" s="33">
        <f>ES606-ES610-ES611-ES609</f>
        <v>3944</v>
      </c>
      <c r="ET615" s="33">
        <f>ET606-ET610-ET611-ET609</f>
        <v>5016</v>
      </c>
      <c r="EU615" s="143">
        <f>EU606-EU610-EU611-EU609</f>
        <v>16169</v>
      </c>
      <c r="EW615" s="33">
        <f>EW606-EW610-EW611-EW609</f>
        <v>3784</v>
      </c>
      <c r="FA615" s="699"/>
      <c r="FG615" s="699"/>
      <c r="FM615" s="699"/>
      <c r="FQ615"/>
      <c r="FR615"/>
      <c r="FS615"/>
      <c r="FT615"/>
      <c r="FU615"/>
      <c r="FV615"/>
      <c r="GB615" s="24"/>
      <c r="GC615" s="24"/>
      <c r="GD615" s="24"/>
      <c r="GE615" s="24"/>
      <c r="GF615" s="24"/>
      <c r="GG615" s="24"/>
      <c r="GH615" s="24"/>
      <c r="GI615" s="24"/>
      <c r="GJ615"/>
      <c r="GK615"/>
      <c r="GL615"/>
      <c r="GM615"/>
      <c r="GN615"/>
      <c r="GO615"/>
      <c r="GP615"/>
      <c r="GQ615"/>
      <c r="GR615"/>
      <c r="GS615"/>
      <c r="GT615"/>
      <c r="GU615"/>
      <c r="GV615"/>
      <c r="GW615"/>
      <c r="GX615"/>
      <c r="GY615"/>
      <c r="GZ615"/>
      <c r="HA615"/>
      <c r="HB615"/>
      <c r="HC615"/>
      <c r="HD615"/>
      <c r="HE615"/>
      <c r="HF615"/>
      <c r="HG615"/>
      <c r="HH615"/>
      <c r="HI615"/>
      <c r="HJ615"/>
      <c r="HK615"/>
      <c r="HL615"/>
      <c r="HM615"/>
      <c r="HN615"/>
      <c r="HO615"/>
      <c r="HP615"/>
      <c r="HQ615"/>
      <c r="HR615"/>
      <c r="HS615"/>
      <c r="HT615"/>
      <c r="HU615"/>
      <c r="HV615"/>
      <c r="HW615"/>
      <c r="HX615"/>
      <c r="HY615"/>
      <c r="HZ615"/>
      <c r="IA615"/>
      <c r="IB615"/>
      <c r="IC615"/>
      <c r="ID615"/>
      <c r="IE615"/>
      <c r="IF615"/>
      <c r="IG615"/>
      <c r="IH615"/>
      <c r="II615"/>
      <c r="IJ615"/>
      <c r="IK615"/>
      <c r="IL615"/>
      <c r="IM615"/>
      <c r="IN615"/>
      <c r="IO615"/>
      <c r="IP615"/>
      <c r="IQ615"/>
      <c r="IR615"/>
      <c r="IS615"/>
      <c r="IT615"/>
      <c r="IU615"/>
      <c r="IV615"/>
      <c r="IW615"/>
      <c r="IX615"/>
      <c r="IY615"/>
      <c r="IZ615"/>
      <c r="JA615"/>
      <c r="JB615"/>
      <c r="JC615"/>
      <c r="JD615"/>
      <c r="JE615"/>
      <c r="JF615"/>
      <c r="JG615"/>
      <c r="JH615"/>
      <c r="JI615"/>
      <c r="JJ615"/>
      <c r="JK615"/>
      <c r="JL615"/>
      <c r="JM615"/>
      <c r="JN615"/>
    </row>
    <row r="616" spans="1:274" s="698" customFormat="1" ht="12.75" hidden="1" customHeight="1" outlineLevel="1" x14ac:dyDescent="0.2">
      <c r="A616" s="702" t="s">
        <v>508</v>
      </c>
      <c r="B616" s="697"/>
      <c r="BA616" s="69">
        <f>BA615/BA604</f>
        <v>0.32023577915820828</v>
      </c>
      <c r="BC616" s="726">
        <f>BC615/BC604</f>
        <v>0.34462174984034305</v>
      </c>
      <c r="BE616" s="69">
        <f>BE615/BE604</f>
        <v>0.32923752759381897</v>
      </c>
      <c r="BF616" s="69">
        <f>BF615/BF604</f>
        <v>0.34433067226890762</v>
      </c>
      <c r="BG616" s="69">
        <f>BG615/BG604</f>
        <v>0.34564854670512529</v>
      </c>
      <c r="BH616" s="69">
        <f>BH615/BH604</f>
        <v>0.44223824112452687</v>
      </c>
      <c r="BI616" s="726">
        <f>BI615/BI604</f>
        <v>0.36918629173989459</v>
      </c>
      <c r="BK616" s="69">
        <f>BK615/BK604</f>
        <v>0.28599605522682447</v>
      </c>
      <c r="BL616" s="69">
        <f>BL615/BL604</f>
        <v>0.34387180597661327</v>
      </c>
      <c r="BM616" s="69">
        <f>BM615/BM604</f>
        <v>0.34503684438664933</v>
      </c>
      <c r="BN616" s="69">
        <f>BN615/BN604</f>
        <v>0.44860473330978451</v>
      </c>
      <c r="BO616" s="726">
        <f>BO615/BO604</f>
        <v>0.36306068601583114</v>
      </c>
      <c r="BQ616" s="69">
        <f>BQ615/BQ604</f>
        <v>0.29729729729729731</v>
      </c>
      <c r="BR616" s="69">
        <f>BR615/BR604</f>
        <v>0.36629303442754202</v>
      </c>
      <c r="BS616" s="69">
        <f>BS615/BS604</f>
        <v>0.36946990833001198</v>
      </c>
      <c r="BT616" s="69">
        <f>BT615/BT604</f>
        <v>0.45693857653558662</v>
      </c>
      <c r="BU616" s="726">
        <f>BU615/BU604</f>
        <v>0.38046474990153606</v>
      </c>
      <c r="BW616" s="69">
        <f>BW615/BW604</f>
        <v>0.33566591422121894</v>
      </c>
      <c r="BX616" s="69">
        <f>BX615/BX604</f>
        <v>0.41883164005805512</v>
      </c>
      <c r="BY616" s="69">
        <f>BY615/BY604</f>
        <v>0.38086000646621404</v>
      </c>
      <c r="BZ616" s="69">
        <f>BZ615/BZ604</f>
        <v>0.45992601726263871</v>
      </c>
      <c r="CA616" s="726">
        <f>CA615/CA604</f>
        <v>0.4076904034986385</v>
      </c>
      <c r="CC616" s="69">
        <f>CC615/CC604</f>
        <v>0.35156518747850019</v>
      </c>
      <c r="CD616" s="69">
        <f>CD615/CD604</f>
        <v>0.40100176782557456</v>
      </c>
      <c r="CE616" s="69">
        <f>CE615/CE604</f>
        <v>0.39134125636672323</v>
      </c>
      <c r="CF616" s="69">
        <f>CF615/CF604</f>
        <v>0.44567463533225293</v>
      </c>
      <c r="CG616" s="726">
        <f>CG615/CG604</f>
        <v>0.40388937783494683</v>
      </c>
      <c r="CI616" s="69">
        <f>CI615/CI604</f>
        <v>0.36001092597650913</v>
      </c>
      <c r="CJ616" s="69">
        <f>CJ615/CJ604</f>
        <v>0.38757115749525617</v>
      </c>
      <c r="CK616" s="69">
        <f>CK615/CK604</f>
        <v>0.39447066756574511</v>
      </c>
      <c r="CL616" s="69">
        <f>CL615/CL604</f>
        <v>0.46123767426045564</v>
      </c>
      <c r="CM616" s="726">
        <f>CM615/CM604</f>
        <v>0.40751318101933215</v>
      </c>
      <c r="CO616" s="69">
        <f>CO615/CO604</f>
        <v>0.3662094491617679</v>
      </c>
      <c r="CP616" s="69">
        <f>CP615/CP604</f>
        <v>0.41275167785234901</v>
      </c>
      <c r="CQ616" s="69">
        <f>CQ615/CQ604</f>
        <v>0.41314466579780301</v>
      </c>
      <c r="CR616" s="69">
        <f>CR615/CR604</f>
        <v>0.48674632605411344</v>
      </c>
      <c r="CS616" s="726">
        <f>CS615/CS604</f>
        <v>0.42721924897164848</v>
      </c>
      <c r="CU616" s="69">
        <f>CU615/CU604</f>
        <v>0.40095905569900403</v>
      </c>
      <c r="CV616" s="69">
        <f>CV615/CV604</f>
        <v>0.45876560576754</v>
      </c>
      <c r="CW616" s="69">
        <f>CW615/CW604</f>
        <v>0.46420784883720928</v>
      </c>
      <c r="CX616" s="69">
        <f>CX615/CX604</f>
        <v>0.51060738157512353</v>
      </c>
      <c r="CY616" s="726">
        <f>CY615/CY604</f>
        <v>0.4618855075547989</v>
      </c>
      <c r="DA616" s="69">
        <f>DA615/DA604</f>
        <v>0.45783132530120479</v>
      </c>
      <c r="DB616" s="69">
        <f>DB615/DB604</f>
        <v>0.48637602179836514</v>
      </c>
      <c r="DC616" s="69">
        <f>DC615/DC604</f>
        <v>0.44612768588653579</v>
      </c>
      <c r="DD616" s="69">
        <f>DD615/DD604</f>
        <v>0.45832814122533749</v>
      </c>
      <c r="DE616" s="479">
        <f>DE615/DE604</f>
        <v>0.4614078567729526</v>
      </c>
      <c r="DG616" s="69">
        <f>DG615/DG604</f>
        <v>0.38837638376383765</v>
      </c>
      <c r="DH616" s="69">
        <f>DH615/DH604</f>
        <v>0.42617643658226384</v>
      </c>
      <c r="DI616" s="69">
        <f>DI615/DI604</f>
        <v>0.44192119904621324</v>
      </c>
      <c r="DJ616" s="69">
        <f>DJ615/DJ604</f>
        <v>0.4847307051637979</v>
      </c>
      <c r="DK616" s="479">
        <f>DK615/DK604</f>
        <v>0.43969316596931662</v>
      </c>
      <c r="DM616" s="69">
        <f>DM615/DM604</f>
        <v>0.42462491069302216</v>
      </c>
      <c r="DN616" s="69">
        <f>DN615/DN604</f>
        <v>0.44591987288616503</v>
      </c>
      <c r="DO616" s="69">
        <f>DO615/DO604</f>
        <v>0.46402560141249172</v>
      </c>
      <c r="DP616" s="69">
        <f>DP615/DP604</f>
        <v>0.50337899543378994</v>
      </c>
      <c r="DQ616" s="479">
        <f>DQ615/DQ604</f>
        <v>0.459203138013487</v>
      </c>
      <c r="DS616" s="69">
        <f>DS615/DS604</f>
        <v>0.43720306980143747</v>
      </c>
      <c r="DT616" s="69">
        <f>DT615/DT604</f>
        <v>0.46878086250411499</v>
      </c>
      <c r="DU616" s="69">
        <f>DU615/DU604</f>
        <v>0.4657748049052397</v>
      </c>
      <c r="DV616" s="69">
        <f>DV615/DV604</f>
        <v>0.5084390110391388</v>
      </c>
      <c r="DW616" s="479">
        <f>DW615/DW604</f>
        <v>0.46954607682602745</v>
      </c>
      <c r="DY616" s="69">
        <f>DY615/DY604</f>
        <v>0.44636678200692043</v>
      </c>
      <c r="DZ616" s="69">
        <f>DZ615/DZ604</f>
        <v>0.45739523860820858</v>
      </c>
      <c r="EA616" s="69">
        <f>EA615/EA604</f>
        <v>0.46870638754696725</v>
      </c>
      <c r="EB616" s="69">
        <f>EB615/EB604</f>
        <v>0.52728507171348549</v>
      </c>
      <c r="EC616" s="479">
        <f>EC615/EC604</f>
        <v>0.47277188952122384</v>
      </c>
      <c r="EE616" s="69">
        <f>EE615/EE604</f>
        <v>0.44425066852691547</v>
      </c>
      <c r="EF616" s="69">
        <f>EF615/EF604</f>
        <v>0.45712799167533819</v>
      </c>
      <c r="EG616" s="69">
        <f>EG615/EG604</f>
        <v>0.45066952329941085</v>
      </c>
      <c r="EH616" s="69">
        <f>EH615/EH604</f>
        <v>0.46446250116746052</v>
      </c>
      <c r="EI616" s="479">
        <f>EI615/EI604</f>
        <v>0.45470943455415264</v>
      </c>
      <c r="EK616" s="69">
        <f>EK615/EK604</f>
        <v>0.410957283161756</v>
      </c>
      <c r="EL616" s="69">
        <f>EL615/EL604</f>
        <v>0.41391574969434258</v>
      </c>
      <c r="EM616" s="69">
        <f>EM615/EM604</f>
        <v>0.42411803860661196</v>
      </c>
      <c r="EN616" s="69">
        <f>EN615/EN604</f>
        <v>0.44974044360547427</v>
      </c>
      <c r="EO616" s="479">
        <f>EO615/EO604</f>
        <v>0.42596540464689531</v>
      </c>
      <c r="EQ616" s="69">
        <f>EQ615/EQ604</f>
        <v>0.39498432601880878</v>
      </c>
      <c r="ER616" s="69">
        <f>ER615/ER604</f>
        <v>0.41973539140022048</v>
      </c>
      <c r="ES616" s="69">
        <f>ES615/ES604</f>
        <v>0.42527496226008193</v>
      </c>
      <c r="ET616" s="69">
        <f>ET615/ET604</f>
        <v>0.45841710838969107</v>
      </c>
      <c r="EU616" s="479">
        <f>EU615/EU604</f>
        <v>0.42663394812528033</v>
      </c>
      <c r="EW616" s="69">
        <f>EW615/EW604</f>
        <v>0.41076856274424661</v>
      </c>
      <c r="FA616" s="699"/>
      <c r="FG616" s="699"/>
      <c r="FM616" s="699"/>
      <c r="FN616" s="69"/>
      <c r="FO616" s="69"/>
      <c r="FQ616"/>
      <c r="FR616"/>
      <c r="FS616"/>
      <c r="FT616"/>
      <c r="FU616"/>
      <c r="FV616"/>
      <c r="GB616" s="24"/>
      <c r="GC616" s="24"/>
      <c r="GD616" s="24"/>
      <c r="GE616" s="24"/>
      <c r="GF616" s="24"/>
      <c r="GG616" s="24"/>
      <c r="GH616" s="24"/>
      <c r="GI616" s="24"/>
      <c r="GJ616"/>
      <c r="GK616"/>
      <c r="GL616"/>
      <c r="GM616"/>
      <c r="GN616"/>
      <c r="GO616"/>
      <c r="GP616"/>
      <c r="GQ616"/>
      <c r="GR616"/>
      <c r="GS616"/>
      <c r="GT616"/>
      <c r="GU616"/>
      <c r="GV616"/>
      <c r="GW616"/>
      <c r="GX616"/>
      <c r="GY616"/>
      <c r="GZ616"/>
      <c r="HA616"/>
      <c r="HB616"/>
      <c r="HC616"/>
      <c r="HD616"/>
      <c r="HE616"/>
      <c r="HF616"/>
      <c r="HG616"/>
      <c r="HH616"/>
      <c r="HI616"/>
      <c r="HJ616"/>
      <c r="HK616"/>
      <c r="HL616"/>
      <c r="HM616"/>
      <c r="HN616"/>
      <c r="HO616"/>
      <c r="HP616"/>
      <c r="HQ616"/>
      <c r="HR616"/>
      <c r="HS616"/>
      <c r="HT616"/>
      <c r="HU616"/>
      <c r="HV616"/>
      <c r="HW616"/>
      <c r="HX616"/>
      <c r="HY616"/>
      <c r="HZ616"/>
      <c r="IA616"/>
      <c r="IB616"/>
      <c r="IC616"/>
      <c r="ID616"/>
      <c r="IE616"/>
      <c r="IF616"/>
      <c r="IG616"/>
      <c r="IH616"/>
      <c r="II616"/>
      <c r="IJ616"/>
      <c r="IK616"/>
      <c r="IL616"/>
      <c r="IM616"/>
      <c r="IN616"/>
      <c r="IO616"/>
      <c r="IP616"/>
      <c r="IQ616"/>
      <c r="IR616"/>
      <c r="IS616"/>
      <c r="IT616"/>
      <c r="IU616"/>
      <c r="IV616"/>
      <c r="IW616"/>
      <c r="IX616"/>
      <c r="IY616"/>
      <c r="IZ616"/>
      <c r="JA616"/>
      <c r="JB616"/>
      <c r="JC616"/>
      <c r="JD616"/>
      <c r="JE616"/>
      <c r="JF616"/>
      <c r="JG616"/>
      <c r="JH616"/>
      <c r="JI616"/>
      <c r="JJ616"/>
      <c r="JK616"/>
      <c r="JL616"/>
      <c r="JM616"/>
      <c r="JN616"/>
    </row>
    <row r="617" spans="1:274" s="698" customFormat="1" ht="12.75" hidden="1" customHeight="1" outlineLevel="1" x14ac:dyDescent="0.2">
      <c r="A617" s="702"/>
      <c r="B617" s="697"/>
      <c r="BC617" s="699"/>
      <c r="BI617" s="699"/>
      <c r="BO617" s="699"/>
      <c r="BU617" s="699"/>
      <c r="BX617" s="709"/>
      <c r="CA617" s="699"/>
      <c r="CM617" s="699"/>
      <c r="CS617" s="699"/>
      <c r="CY617" s="699"/>
      <c r="DE617" s="699"/>
      <c r="DK617" s="699"/>
      <c r="DQ617" s="699"/>
      <c r="DW617" s="699"/>
      <c r="EC617" s="699"/>
      <c r="EI617" s="699"/>
      <c r="EO617" s="699"/>
      <c r="EU617" s="699"/>
      <c r="FA617" s="699"/>
      <c r="FG617" s="699"/>
      <c r="FM617" s="699"/>
      <c r="FQ617"/>
      <c r="FR617"/>
      <c r="FS617"/>
      <c r="FT617"/>
      <c r="FU617"/>
      <c r="FV617"/>
      <c r="GB617" s="24"/>
      <c r="GC617" s="24"/>
      <c r="GD617" s="24"/>
      <c r="GE617" s="24"/>
      <c r="GF617" s="24"/>
      <c r="GG617" s="24"/>
      <c r="GH617" s="24"/>
      <c r="GI617" s="24"/>
      <c r="GJ617"/>
      <c r="GK617"/>
      <c r="GL617"/>
      <c r="GM617"/>
      <c r="GN617"/>
      <c r="GO617"/>
      <c r="GP617"/>
      <c r="GQ617"/>
      <c r="GR617"/>
      <c r="GS617"/>
      <c r="GT617"/>
      <c r="GU617"/>
      <c r="GV617"/>
      <c r="GW617"/>
      <c r="GX617"/>
      <c r="GY617"/>
      <c r="GZ617"/>
      <c r="HA617"/>
      <c r="HB617"/>
      <c r="HC617"/>
      <c r="HD617"/>
      <c r="HE617"/>
      <c r="HF617"/>
      <c r="HG617"/>
      <c r="HH617"/>
      <c r="HI617"/>
      <c r="HJ617"/>
      <c r="HK617"/>
      <c r="HL617"/>
      <c r="HM617"/>
      <c r="HN617"/>
      <c r="HO617"/>
      <c r="HP617"/>
      <c r="HQ617"/>
      <c r="HR617"/>
      <c r="HS617"/>
      <c r="HT617"/>
      <c r="HU617"/>
      <c r="HV617"/>
      <c r="HW617"/>
      <c r="HX617"/>
      <c r="HY617"/>
      <c r="HZ617"/>
      <c r="IA617"/>
      <c r="IB617"/>
      <c r="IC617"/>
      <c r="ID617"/>
      <c r="IE617"/>
      <c r="IF617"/>
      <c r="IG617"/>
      <c r="IH617"/>
      <c r="II617"/>
      <c r="IJ617"/>
      <c r="IK617"/>
      <c r="IL617"/>
      <c r="IM617"/>
      <c r="IN617"/>
      <c r="IO617"/>
      <c r="IP617"/>
      <c r="IQ617"/>
      <c r="IR617"/>
      <c r="IS617"/>
      <c r="IT617"/>
      <c r="IU617"/>
      <c r="IV617"/>
      <c r="IW617"/>
      <c r="IX617"/>
      <c r="IY617"/>
      <c r="IZ617"/>
      <c r="JA617"/>
      <c r="JB617"/>
      <c r="JC617"/>
      <c r="JD617"/>
      <c r="JE617"/>
      <c r="JF617"/>
      <c r="JG617"/>
      <c r="JH617"/>
      <c r="JI617"/>
      <c r="JJ617"/>
      <c r="JK617"/>
      <c r="JL617"/>
      <c r="JM617"/>
      <c r="JN617"/>
    </row>
    <row r="618" spans="1:274" s="630" customFormat="1" ht="11.25" hidden="1" customHeight="1" outlineLevel="1" x14ac:dyDescent="0.2">
      <c r="A618" s="727"/>
      <c r="B618" s="57"/>
      <c r="C618" s="72"/>
      <c r="D618" s="72"/>
      <c r="E618" s="72"/>
      <c r="F618" s="72"/>
      <c r="G618" s="72"/>
      <c r="H618" s="72"/>
      <c r="I618" s="72"/>
      <c r="J618" s="72"/>
      <c r="K618" s="72"/>
      <c r="L618" s="72"/>
      <c r="M618" s="72"/>
      <c r="N618" s="72"/>
      <c r="O618" s="72"/>
      <c r="P618" s="72"/>
      <c r="Q618" s="72"/>
      <c r="R618" s="72"/>
      <c r="S618" s="72"/>
      <c r="T618" s="72"/>
      <c r="U618" s="72"/>
      <c r="V618" s="72"/>
      <c r="W618" s="72"/>
      <c r="X618" s="72"/>
      <c r="Y618" s="72"/>
      <c r="Z618" s="72"/>
      <c r="AA618" s="72"/>
      <c r="AB618" s="72"/>
      <c r="AC618" s="72"/>
      <c r="AD618" s="72"/>
      <c r="AE618" s="72"/>
      <c r="AF618" s="72"/>
      <c r="AG618" s="72"/>
      <c r="AH618" s="72"/>
      <c r="AI618" s="72"/>
      <c r="AJ618" s="72"/>
      <c r="AK618" s="72"/>
      <c r="AL618" s="72"/>
      <c r="AM618" s="72"/>
      <c r="AN618" s="72"/>
      <c r="AO618" s="72"/>
      <c r="AP618" s="72"/>
      <c r="AQ618" s="72"/>
      <c r="AR618" s="72"/>
      <c r="AS618" s="72"/>
      <c r="AT618" s="72"/>
      <c r="AU618" s="72"/>
      <c r="AV618" s="72"/>
      <c r="AW618" s="72"/>
      <c r="AX618" s="72"/>
      <c r="AY618" s="72"/>
      <c r="AZ618" s="72"/>
      <c r="BA618" s="72"/>
      <c r="BB618" s="72"/>
      <c r="BC618" s="728"/>
      <c r="BD618" s="72"/>
      <c r="BE618" s="72"/>
      <c r="BF618" s="72"/>
      <c r="BG618" s="72"/>
      <c r="BH618" s="72"/>
      <c r="BI618" s="728"/>
      <c r="BJ618" s="72"/>
      <c r="BK618" s="72"/>
      <c r="BL618" s="72"/>
      <c r="BM618" s="72"/>
      <c r="BN618" s="72"/>
      <c r="BO618" s="728"/>
      <c r="BP618" s="72"/>
      <c r="BQ618" s="72"/>
      <c r="BR618" s="72"/>
      <c r="BS618" s="72"/>
      <c r="BT618" s="72"/>
      <c r="BU618" s="728"/>
      <c r="BV618" s="72"/>
      <c r="BW618" s="72"/>
      <c r="BX618" s="72"/>
      <c r="BY618" s="72"/>
      <c r="BZ618" s="72"/>
      <c r="CA618" s="728"/>
      <c r="CB618" s="72"/>
      <c r="CC618" s="72"/>
      <c r="CD618" s="72"/>
      <c r="CE618" s="72"/>
      <c r="CF618" s="72"/>
      <c r="CG618" s="72"/>
      <c r="CH618" s="72"/>
      <c r="CI618" s="72"/>
      <c r="CJ618" s="72"/>
      <c r="CK618" s="72"/>
      <c r="CL618" s="72"/>
      <c r="CM618" s="728"/>
      <c r="CN618" s="72"/>
      <c r="CO618" s="72"/>
      <c r="CP618" s="72"/>
      <c r="CQ618" s="72"/>
      <c r="CR618" s="72"/>
      <c r="CS618" s="728"/>
      <c r="CT618" s="72"/>
      <c r="CU618" s="72"/>
      <c r="CV618" s="72"/>
      <c r="CW618" s="72"/>
      <c r="CX618" s="72"/>
      <c r="CY618" s="728"/>
      <c r="CZ618" s="72"/>
      <c r="DA618" s="72"/>
      <c r="DB618" s="72"/>
      <c r="DC618" s="72"/>
      <c r="DD618" s="72"/>
      <c r="DE618" s="728"/>
      <c r="DF618" s="72"/>
      <c r="DG618" s="72"/>
      <c r="DH618" s="72"/>
      <c r="DI618" s="72"/>
      <c r="DJ618" s="72"/>
      <c r="DK618" s="728"/>
      <c r="DL618" s="72"/>
      <c r="DM618" s="72"/>
      <c r="DN618" s="72"/>
      <c r="DO618" s="72"/>
      <c r="DP618" s="72"/>
      <c r="DQ618" s="728"/>
      <c r="DR618" s="72"/>
      <c r="DS618" s="72"/>
      <c r="DT618" s="72"/>
      <c r="DU618" s="72"/>
      <c r="DV618" s="72"/>
      <c r="DW618" s="728"/>
      <c r="DX618" s="72"/>
      <c r="DY618" s="72"/>
      <c r="DZ618" s="72"/>
      <c r="EA618" s="72"/>
      <c r="EB618" s="72"/>
      <c r="EC618" s="728"/>
      <c r="ED618" s="72"/>
      <c r="EE618" s="72"/>
      <c r="EF618" s="72"/>
      <c r="EG618" s="72"/>
      <c r="EH618" s="72"/>
      <c r="EI618" s="728"/>
      <c r="EJ618" s="72"/>
      <c r="EK618" s="72"/>
      <c r="EL618" s="72"/>
      <c r="EM618" s="72"/>
      <c r="EN618" s="72"/>
      <c r="EO618" s="728"/>
      <c r="EP618" s="72"/>
      <c r="EQ618" s="72"/>
      <c r="ER618" s="72"/>
      <c r="ES618" s="72"/>
      <c r="ET618" s="72"/>
      <c r="EU618" s="728"/>
      <c r="EV618" s="72"/>
      <c r="EW618" s="72"/>
      <c r="EX618" s="72"/>
      <c r="EY618" s="72"/>
      <c r="EZ618" s="72"/>
      <c r="FA618" s="728"/>
      <c r="FB618" s="72"/>
      <c r="FC618" s="72"/>
      <c r="FD618" s="72"/>
      <c r="FE618" s="72"/>
      <c r="FF618" s="72"/>
      <c r="FG618" s="728"/>
      <c r="FH618" s="72"/>
      <c r="FI618" s="72"/>
      <c r="FJ618" s="72"/>
      <c r="FK618" s="72"/>
      <c r="FL618" s="72"/>
      <c r="FM618" s="728"/>
      <c r="FQ618"/>
      <c r="FR618"/>
      <c r="FS618"/>
      <c r="FT618"/>
      <c r="FU618"/>
      <c r="FV618"/>
      <c r="GB618" s="24"/>
      <c r="GC618" s="24"/>
      <c r="GD618" s="24"/>
      <c r="GE618" s="24"/>
      <c r="GF618" s="24"/>
      <c r="GG618" s="24"/>
      <c r="GH618" s="24"/>
      <c r="GI618" s="24"/>
      <c r="GJ618"/>
      <c r="GK618"/>
      <c r="GL618"/>
      <c r="GM618"/>
      <c r="GN618"/>
      <c r="GO618"/>
      <c r="GP618"/>
      <c r="GQ618"/>
      <c r="GR618"/>
      <c r="GS618"/>
      <c r="GT618"/>
      <c r="GU618"/>
      <c r="GV618"/>
      <c r="GW618"/>
      <c r="GX618"/>
      <c r="GY618"/>
      <c r="GZ618"/>
      <c r="HA618"/>
      <c r="HB618"/>
      <c r="HC618"/>
      <c r="HD618"/>
      <c r="HE618"/>
      <c r="HF618"/>
      <c r="HG618"/>
      <c r="HH618"/>
      <c r="HI618"/>
      <c r="HJ618"/>
      <c r="HK618"/>
      <c r="HL618"/>
      <c r="HM618"/>
      <c r="HN618"/>
      <c r="HO618"/>
      <c r="HP618"/>
      <c r="HQ618"/>
      <c r="HR618"/>
      <c r="HS618"/>
      <c r="HT618"/>
      <c r="HU618"/>
      <c r="HV618"/>
      <c r="HW618"/>
      <c r="HX618"/>
      <c r="HY618"/>
      <c r="HZ618"/>
      <c r="IA618"/>
      <c r="IB618"/>
      <c r="IC618"/>
      <c r="ID618"/>
      <c r="IE618"/>
      <c r="IF618"/>
      <c r="IG618"/>
      <c r="IH618"/>
      <c r="II618"/>
      <c r="IJ618"/>
      <c r="IK618"/>
      <c r="IL618"/>
      <c r="IM618"/>
      <c r="IN618"/>
      <c r="IO618"/>
      <c r="IP618"/>
      <c r="IQ618"/>
      <c r="IR618"/>
      <c r="IS618"/>
      <c r="IT618"/>
      <c r="IU618"/>
      <c r="IV618"/>
      <c r="IW618"/>
      <c r="IX618"/>
      <c r="IY618"/>
      <c r="IZ618"/>
      <c r="JA618"/>
      <c r="JB618"/>
      <c r="JC618"/>
      <c r="JD618"/>
      <c r="JE618"/>
      <c r="JF618"/>
      <c r="JG618"/>
      <c r="JH618"/>
      <c r="JI618"/>
      <c r="JJ618"/>
      <c r="JK618"/>
      <c r="JL618"/>
      <c r="JM618"/>
      <c r="JN618"/>
    </row>
    <row r="619" spans="1:274" s="17" customFormat="1" hidden="1" outlineLevel="1" x14ac:dyDescent="0.2">
      <c r="A619" s="729" t="s">
        <v>509</v>
      </c>
      <c r="B619" s="730"/>
      <c r="C619" s="16"/>
      <c r="D619" s="16"/>
      <c r="E619" s="16"/>
      <c r="F619" s="16"/>
      <c r="G619" s="16"/>
      <c r="H619" s="16"/>
      <c r="I619" s="16"/>
      <c r="J619" s="16"/>
      <c r="K619" s="16"/>
      <c r="L619" s="16"/>
      <c r="M619" s="16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  <c r="AA619" s="16"/>
      <c r="AB619" s="16"/>
      <c r="AC619" s="16"/>
      <c r="AD619" s="16"/>
      <c r="AE619" s="16"/>
      <c r="AF619" s="16"/>
      <c r="AG619" s="16"/>
      <c r="AH619" s="16"/>
      <c r="AI619" s="16"/>
      <c r="AJ619" s="16"/>
      <c r="AK619" s="16"/>
      <c r="AL619" s="16"/>
      <c r="AM619" s="16"/>
      <c r="AN619" s="16"/>
      <c r="AO619" s="16"/>
      <c r="AP619" s="16"/>
      <c r="AQ619" s="16"/>
      <c r="AR619" s="16"/>
      <c r="AS619" s="16"/>
      <c r="AT619" s="16"/>
      <c r="AU619" s="16"/>
      <c r="AV619" s="16"/>
      <c r="AW619" s="16"/>
      <c r="AX619" s="16"/>
      <c r="AY619" s="16"/>
      <c r="AZ619" s="16"/>
      <c r="BA619" s="16"/>
      <c r="BB619" s="16"/>
      <c r="BC619" s="731"/>
      <c r="BD619" s="16"/>
      <c r="BE619" s="16"/>
      <c r="BF619" s="16"/>
      <c r="BG619" s="16"/>
      <c r="BH619" s="16"/>
      <c r="BI619" s="731"/>
      <c r="BJ619" s="16"/>
      <c r="BK619" s="16"/>
      <c r="BL619" s="16"/>
      <c r="BM619" s="16"/>
      <c r="BN619" s="16"/>
      <c r="BO619" s="731"/>
      <c r="BP619" s="16"/>
      <c r="BQ619" s="16"/>
      <c r="BR619" s="16"/>
      <c r="BS619" s="16"/>
      <c r="BT619" s="16"/>
      <c r="BU619" s="731"/>
      <c r="BV619" s="16"/>
      <c r="BW619" s="16"/>
      <c r="BX619" s="16"/>
      <c r="BY619" s="16"/>
      <c r="BZ619" s="16"/>
      <c r="CA619" s="731"/>
      <c r="CB619" s="16"/>
      <c r="CC619" s="16"/>
      <c r="CD619" s="16"/>
      <c r="CE619" s="16"/>
      <c r="CF619" s="16"/>
      <c r="CG619" s="16"/>
      <c r="CH619" s="16"/>
      <c r="CI619" s="16"/>
      <c r="CJ619" s="16"/>
      <c r="CK619" s="16"/>
      <c r="CL619" s="16"/>
      <c r="CM619" s="731"/>
      <c r="CN619" s="16"/>
      <c r="CO619" s="16"/>
      <c r="CP619" s="16"/>
      <c r="CQ619" s="16"/>
      <c r="CR619" s="16"/>
      <c r="CS619" s="731"/>
      <c r="CT619" s="16"/>
      <c r="CU619" s="16"/>
      <c r="CV619" s="16"/>
      <c r="CW619" s="16"/>
      <c r="CX619" s="16"/>
      <c r="CY619" s="731"/>
      <c r="CZ619" s="16"/>
      <c r="DA619" s="16"/>
      <c r="DB619" s="16"/>
      <c r="DC619" s="16"/>
      <c r="DD619" s="16"/>
      <c r="DE619" s="731"/>
      <c r="DF619" s="16"/>
      <c r="DG619" s="16"/>
      <c r="DH619" s="16"/>
      <c r="DI619" s="16"/>
      <c r="DJ619" s="16"/>
      <c r="DK619" s="731"/>
      <c r="DL619" s="16"/>
      <c r="DM619" s="16"/>
      <c r="DN619" s="16"/>
      <c r="DO619" s="16"/>
      <c r="DP619" s="16"/>
      <c r="DQ619" s="731"/>
      <c r="DR619" s="16"/>
      <c r="DS619" s="16"/>
      <c r="DT619" s="16"/>
      <c r="DU619" s="16"/>
      <c r="DV619" s="16"/>
      <c r="DW619" s="731"/>
      <c r="DX619" s="16"/>
      <c r="DY619" s="16"/>
      <c r="DZ619" s="16"/>
      <c r="EA619" s="16"/>
      <c r="EB619" s="16"/>
      <c r="EC619" s="731"/>
      <c r="ED619" s="16"/>
      <c r="EE619" s="16"/>
      <c r="EF619" s="16"/>
      <c r="EG619" s="16"/>
      <c r="EH619" s="16"/>
      <c r="EI619" s="731"/>
      <c r="EJ619" s="16"/>
      <c r="EK619" s="16"/>
      <c r="EL619" s="16"/>
      <c r="EM619" s="16"/>
      <c r="EN619" s="16"/>
      <c r="EO619" s="731"/>
      <c r="EP619" s="16"/>
      <c r="EQ619" s="16"/>
      <c r="ER619" s="16"/>
      <c r="ES619" s="16"/>
      <c r="ET619" s="16"/>
      <c r="EU619" s="731"/>
      <c r="EV619" s="16"/>
      <c r="EW619" s="16"/>
      <c r="EX619" s="16"/>
      <c r="EY619" s="16"/>
      <c r="EZ619" s="16"/>
      <c r="FA619" s="731"/>
      <c r="FB619" s="16"/>
      <c r="FC619" s="16"/>
      <c r="FD619" s="16"/>
      <c r="FE619" s="16"/>
      <c r="FF619" s="16"/>
      <c r="FG619" s="731"/>
      <c r="FH619" s="16"/>
      <c r="FI619" s="16"/>
      <c r="FJ619" s="16"/>
      <c r="FK619" s="16"/>
      <c r="FL619" s="16"/>
      <c r="FM619" s="731"/>
      <c r="FQ619"/>
      <c r="FR619"/>
      <c r="FS619"/>
      <c r="FT619"/>
      <c r="FU619"/>
      <c r="FV619"/>
      <c r="GB619" s="24"/>
      <c r="GC619" s="24"/>
      <c r="GD619" s="24"/>
      <c r="GE619" s="24"/>
      <c r="GF619" s="24"/>
      <c r="GG619" s="24"/>
      <c r="GH619" s="24"/>
      <c r="GI619" s="24"/>
      <c r="GJ619"/>
      <c r="GK619"/>
      <c r="GL619"/>
      <c r="GM619"/>
      <c r="GN619"/>
      <c r="GO619"/>
      <c r="GP619"/>
      <c r="GQ619"/>
      <c r="GR619"/>
      <c r="GS619"/>
      <c r="GT619"/>
      <c r="GU619"/>
      <c r="GV619"/>
      <c r="GW619"/>
      <c r="GX619"/>
      <c r="GY619"/>
      <c r="GZ619"/>
      <c r="HA619"/>
      <c r="HB619"/>
      <c r="HC619"/>
      <c r="HD619"/>
      <c r="HE619"/>
      <c r="HF619"/>
      <c r="HG619"/>
      <c r="HH619"/>
      <c r="HI619"/>
      <c r="HJ619"/>
      <c r="HK619"/>
      <c r="HL619"/>
      <c r="HM619"/>
      <c r="HN619"/>
      <c r="HO619"/>
      <c r="HP619"/>
      <c r="HQ619"/>
      <c r="HR619"/>
      <c r="HS619"/>
      <c r="HT619"/>
      <c r="HU619"/>
      <c r="HV619"/>
      <c r="HW619"/>
      <c r="HX619"/>
      <c r="HY619"/>
      <c r="HZ619"/>
      <c r="IA619"/>
      <c r="IB619"/>
      <c r="IC619"/>
      <c r="ID619"/>
      <c r="IE619"/>
      <c r="IF619"/>
      <c r="IG619"/>
      <c r="IH619"/>
      <c r="II619"/>
      <c r="IJ619"/>
      <c r="IK619"/>
      <c r="IL619"/>
      <c r="IM619"/>
      <c r="IN619"/>
      <c r="IO619"/>
      <c r="IP619"/>
      <c r="IQ619"/>
      <c r="IR619"/>
      <c r="IS619"/>
      <c r="IT619"/>
      <c r="IU619"/>
      <c r="IV619"/>
      <c r="IW619"/>
      <c r="IX619"/>
      <c r="IY619"/>
      <c r="IZ619"/>
      <c r="JA619"/>
      <c r="JB619"/>
      <c r="JC619"/>
      <c r="JD619"/>
      <c r="JE619"/>
      <c r="JF619"/>
      <c r="JG619"/>
      <c r="JH619"/>
      <c r="JI619"/>
      <c r="JJ619"/>
      <c r="JK619"/>
      <c r="JL619"/>
      <c r="JM619"/>
      <c r="JN619"/>
    </row>
    <row r="620" spans="1:274" s="17" customFormat="1" ht="13.5" hidden="1" outlineLevel="1" thickBot="1" x14ac:dyDescent="0.25">
      <c r="A620" s="192"/>
      <c r="B620" s="730"/>
      <c r="C620" s="16"/>
      <c r="D620" s="16"/>
      <c r="E620" s="16"/>
      <c r="F620" s="16"/>
      <c r="G620" s="16"/>
      <c r="H620" s="16"/>
      <c r="I620" s="16"/>
      <c r="J620" s="16"/>
      <c r="K620" s="16"/>
      <c r="L620" s="16"/>
      <c r="M620" s="16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  <c r="AA620" s="16"/>
      <c r="AB620" s="16"/>
      <c r="AC620" s="16"/>
      <c r="AD620" s="16"/>
      <c r="AE620" s="16"/>
      <c r="AF620" s="16"/>
      <c r="AG620" s="16"/>
      <c r="AH620" s="16"/>
      <c r="AI620" s="16"/>
      <c r="AJ620" s="16"/>
      <c r="AK620" s="16"/>
      <c r="AL620" s="16"/>
      <c r="AM620" s="16"/>
      <c r="AN620" s="16"/>
      <c r="AO620" s="16"/>
      <c r="AP620" s="16"/>
      <c r="AQ620" s="16"/>
      <c r="AR620" s="16"/>
      <c r="AS620" s="16"/>
      <c r="AT620" s="16"/>
      <c r="AU620" s="16"/>
      <c r="AV620" s="16"/>
      <c r="AW620" s="16"/>
      <c r="AX620" s="16"/>
      <c r="AY620" s="16"/>
      <c r="AZ620" s="16"/>
      <c r="BA620" s="16"/>
      <c r="BB620" s="16"/>
      <c r="BC620" s="731"/>
      <c r="BD620" s="16"/>
      <c r="BE620" s="16"/>
      <c r="BF620" s="16"/>
      <c r="BG620" s="16"/>
      <c r="BH620" s="16"/>
      <c r="BI620" s="731"/>
      <c r="BJ620" s="16"/>
      <c r="BK620" s="16"/>
      <c r="BL620" s="16"/>
      <c r="BM620" s="16"/>
      <c r="BN620" s="16"/>
      <c r="BO620" s="731"/>
      <c r="BP620" s="16"/>
      <c r="BQ620" s="16"/>
      <c r="BR620" s="16"/>
      <c r="BS620" s="16"/>
      <c r="BT620" s="16"/>
      <c r="BU620" s="731"/>
      <c r="BV620" s="16"/>
      <c r="BW620" s="16"/>
      <c r="BX620" s="16"/>
      <c r="BY620" s="16"/>
      <c r="BZ620" s="16"/>
      <c r="CA620" s="731"/>
      <c r="CB620" s="16"/>
      <c r="CC620" s="16"/>
      <c r="CD620" s="16"/>
      <c r="CE620" s="16"/>
      <c r="CF620" s="16"/>
      <c r="CG620" s="16"/>
      <c r="CH620" s="16"/>
      <c r="CI620" s="16"/>
      <c r="CJ620" s="16"/>
      <c r="CK620" s="16"/>
      <c r="CL620" s="16"/>
      <c r="CM620" s="731"/>
      <c r="CN620" s="16"/>
      <c r="CO620" s="16"/>
      <c r="CP620" s="16"/>
      <c r="CQ620" s="16"/>
      <c r="CR620" s="16"/>
      <c r="CS620" s="731"/>
      <c r="CT620" s="16"/>
      <c r="CU620" s="16"/>
      <c r="CV620" s="16"/>
      <c r="CW620" s="16"/>
      <c r="CX620" s="16"/>
      <c r="CY620" s="731"/>
      <c r="CZ620" s="16"/>
      <c r="DA620" s="16"/>
      <c r="DB620" s="16"/>
      <c r="DC620" s="16"/>
      <c r="DD620" s="16"/>
      <c r="DE620" s="731"/>
      <c r="DF620" s="16"/>
      <c r="DG620" s="16"/>
      <c r="DH620" s="16"/>
      <c r="DI620" s="16"/>
      <c r="DJ620" s="16"/>
      <c r="DK620" s="731"/>
      <c r="DL620" s="16"/>
      <c r="DM620" s="16"/>
      <c r="DN620" s="16"/>
      <c r="DO620" s="16"/>
      <c r="DP620" s="16"/>
      <c r="DQ620" s="731"/>
      <c r="DR620" s="16"/>
      <c r="DS620" s="16"/>
      <c r="DT620" s="16"/>
      <c r="DU620" s="16"/>
      <c r="DV620" s="16"/>
      <c r="DW620" s="731"/>
      <c r="DX620" s="16"/>
      <c r="DY620" s="16"/>
      <c r="DZ620" s="16"/>
      <c r="EA620" s="16"/>
      <c r="EB620" s="16"/>
      <c r="EC620" s="731"/>
      <c r="ED620" s="16"/>
      <c r="EE620" s="16"/>
      <c r="EF620" s="16"/>
      <c r="EG620" s="16"/>
      <c r="EH620" s="16"/>
      <c r="EI620" s="731"/>
      <c r="EJ620" s="16"/>
      <c r="EK620" s="16"/>
      <c r="EL620" s="16"/>
      <c r="EM620" s="16"/>
      <c r="EN620" s="16"/>
      <c r="EO620" s="731"/>
      <c r="EP620" s="16"/>
      <c r="EQ620" s="16"/>
      <c r="ER620" s="16"/>
      <c r="ES620" s="16"/>
      <c r="ET620" s="16"/>
      <c r="EU620" s="731"/>
      <c r="EV620" s="16"/>
      <c r="EW620" s="16"/>
      <c r="EX620" s="16"/>
      <c r="EY620" s="16"/>
      <c r="EZ620" s="16"/>
      <c r="FA620" s="731"/>
      <c r="FB620" s="16"/>
      <c r="FC620" s="16"/>
      <c r="FD620" s="16"/>
      <c r="FE620" s="16"/>
      <c r="FF620" s="16"/>
      <c r="FG620" s="731"/>
      <c r="FH620" s="16"/>
      <c r="FI620" s="16"/>
      <c r="FJ620" s="16"/>
      <c r="FK620" s="16"/>
      <c r="FL620" s="16"/>
      <c r="FM620" s="731"/>
      <c r="FQ620"/>
      <c r="FR620"/>
      <c r="FS620"/>
      <c r="FT620"/>
      <c r="FU620"/>
      <c r="FV620"/>
      <c r="GB620" s="24"/>
      <c r="GC620" s="24"/>
      <c r="GD620" s="24"/>
      <c r="GE620" s="24"/>
      <c r="GF620" s="24"/>
      <c r="GG620" s="24"/>
      <c r="GH620" s="24"/>
      <c r="GI620" s="24"/>
      <c r="GJ620"/>
      <c r="GK620"/>
      <c r="GL620"/>
      <c r="GM620"/>
      <c r="GN620"/>
      <c r="GO620"/>
      <c r="GP620"/>
      <c r="GQ620"/>
      <c r="GR620"/>
      <c r="GS620"/>
      <c r="GT620"/>
      <c r="GU620"/>
      <c r="GV620"/>
      <c r="GW620"/>
      <c r="GX620"/>
      <c r="GY620"/>
      <c r="GZ620"/>
      <c r="HA620"/>
      <c r="HB620"/>
      <c r="HC620"/>
      <c r="HD620"/>
      <c r="HE620"/>
      <c r="HF620"/>
      <c r="HG620"/>
      <c r="HH620"/>
      <c r="HI620"/>
      <c r="HJ620"/>
      <c r="HK620"/>
      <c r="HL620"/>
      <c r="HM620"/>
      <c r="HN620"/>
      <c r="HO620"/>
      <c r="HP620"/>
      <c r="HQ620"/>
      <c r="HR620"/>
      <c r="HS620"/>
      <c r="HT620"/>
      <c r="HU620"/>
      <c r="HV620"/>
      <c r="HW620"/>
      <c r="HX620"/>
      <c r="HY620"/>
      <c r="HZ620"/>
      <c r="IA620"/>
      <c r="IB620"/>
      <c r="IC620"/>
      <c r="ID620"/>
      <c r="IE620"/>
      <c r="IF620"/>
      <c r="IG620"/>
      <c r="IH620"/>
      <c r="II620"/>
      <c r="IJ620"/>
      <c r="IK620"/>
      <c r="IL620"/>
      <c r="IM620"/>
      <c r="IN620"/>
      <c r="IO620"/>
      <c r="IP620"/>
      <c r="IQ620"/>
      <c r="IR620"/>
      <c r="IS620"/>
      <c r="IT620"/>
      <c r="IU620"/>
      <c r="IV620"/>
      <c r="IW620"/>
      <c r="IX620"/>
      <c r="IY620"/>
      <c r="IZ620"/>
      <c r="JA620"/>
      <c r="JB620"/>
      <c r="JC620"/>
      <c r="JD620"/>
      <c r="JE620"/>
      <c r="JF620"/>
      <c r="JG620"/>
      <c r="JH620"/>
      <c r="JI620"/>
      <c r="JJ620"/>
      <c r="JK620"/>
      <c r="JL620"/>
      <c r="JM620"/>
      <c r="JN620"/>
    </row>
    <row r="621" spans="1:274" s="17" customFormat="1" hidden="1" outlineLevel="1" x14ac:dyDescent="0.2">
      <c r="A621" s="732" t="s">
        <v>510</v>
      </c>
      <c r="B621" s="733"/>
      <c r="C621" s="734"/>
      <c r="D621" s="734"/>
      <c r="E621" s="734"/>
      <c r="F621" s="734"/>
      <c r="G621" s="734"/>
      <c r="H621" s="734"/>
      <c r="I621" s="734"/>
      <c r="J621" s="734"/>
      <c r="K621" s="734"/>
      <c r="L621" s="734"/>
      <c r="M621" s="734"/>
      <c r="N621" s="734"/>
      <c r="O621" s="734"/>
      <c r="P621" s="734"/>
      <c r="Q621" s="734"/>
      <c r="R621" s="734"/>
      <c r="S621" s="734"/>
      <c r="T621" s="734"/>
      <c r="U621" s="734"/>
      <c r="V621" s="734"/>
      <c r="W621" s="734"/>
      <c r="X621" s="734"/>
      <c r="Y621" s="734"/>
      <c r="Z621" s="734"/>
      <c r="AA621" s="734"/>
      <c r="AB621" s="734"/>
      <c r="AC621" s="734"/>
      <c r="AD621" s="734"/>
      <c r="AE621" s="734"/>
      <c r="AF621" s="734"/>
      <c r="AG621" s="734"/>
      <c r="AH621" s="734"/>
      <c r="AI621" s="734"/>
      <c r="AJ621" s="734"/>
      <c r="AK621" s="734"/>
      <c r="AL621" s="734"/>
      <c r="AM621" s="734"/>
      <c r="AN621" s="734"/>
      <c r="AO621" s="734"/>
      <c r="AP621" s="734"/>
      <c r="AQ621" s="734"/>
      <c r="AR621" s="734"/>
      <c r="AS621" s="734"/>
      <c r="AT621" s="734"/>
      <c r="AU621" s="734"/>
      <c r="AV621" s="734"/>
      <c r="AW621" s="734"/>
      <c r="AX621" s="734"/>
      <c r="AY621" s="734"/>
      <c r="AZ621" s="734"/>
      <c r="BA621" s="734"/>
      <c r="BB621" s="734"/>
      <c r="BC621" s="735"/>
      <c r="BD621" s="734"/>
      <c r="BE621" s="734"/>
      <c r="BF621" s="734"/>
      <c r="BG621" s="734"/>
      <c r="BH621" s="734"/>
      <c r="BI621" s="736">
        <f>BI616-BC616</f>
        <v>2.456454189955154E-2</v>
      </c>
      <c r="BJ621" s="734"/>
      <c r="BK621" s="737">
        <f>BK616-BE616</f>
        <v>-4.3241472366994493E-2</v>
      </c>
      <c r="BL621" s="737">
        <f>BL616-BF616</f>
        <v>-4.588662922943576E-4</v>
      </c>
      <c r="BM621" s="737">
        <f>BM616-BG616</f>
        <v>-6.1170231847595957E-4</v>
      </c>
      <c r="BN621" s="737">
        <f>BN616-BH616</f>
        <v>6.3664921852576439E-3</v>
      </c>
      <c r="BO621" s="736">
        <f>BO616-BI616</f>
        <v>-6.1256057240634543E-3</v>
      </c>
      <c r="BP621" s="734"/>
      <c r="BQ621" s="737">
        <f>BQ616-BK616</f>
        <v>1.1301242070472839E-2</v>
      </c>
      <c r="BR621" s="737">
        <f>BR616-BL616</f>
        <v>2.2421228450928754E-2</v>
      </c>
      <c r="BS621" s="737">
        <f>BS616-BM616</f>
        <v>2.4433063943362643E-2</v>
      </c>
      <c r="BT621" s="737">
        <f>BT616-BN616</f>
        <v>8.3338432258021067E-3</v>
      </c>
      <c r="BU621" s="736">
        <f>BU616-BO616</f>
        <v>1.7404063885704923E-2</v>
      </c>
      <c r="BV621" s="734"/>
      <c r="BW621" s="737">
        <f>BW616-BQ616</f>
        <v>3.8368616923921628E-2</v>
      </c>
      <c r="BX621" s="737">
        <f>BX616-BR616</f>
        <v>5.2538605630513102E-2</v>
      </c>
      <c r="BY621" s="737">
        <f>BY616-BS616</f>
        <v>1.1390098136202065E-2</v>
      </c>
      <c r="BZ621" s="737">
        <f>BZ616-BT616</f>
        <v>2.9874407270520931E-3</v>
      </c>
      <c r="CA621" s="736">
        <f>CA616-BU616</f>
        <v>2.7225653597102439E-2</v>
      </c>
      <c r="CB621" s="734"/>
      <c r="CC621" s="737">
        <f>CC616-BW616</f>
        <v>1.5899273257281243E-2</v>
      </c>
      <c r="CD621" s="737">
        <f>CD616-BX616</f>
        <v>-1.7829872232480559E-2</v>
      </c>
      <c r="CE621" s="737">
        <f>CE616-BY616</f>
        <v>1.0481249900509193E-2</v>
      </c>
      <c r="CF621" s="737">
        <f>CF616-BZ616</f>
        <v>-1.4251381930385776E-2</v>
      </c>
      <c r="CG621" s="736">
        <f>CG616-CA616</f>
        <v>-3.8010256636916706E-3</v>
      </c>
      <c r="CH621" s="734"/>
      <c r="CI621" s="737">
        <f>CI616-CC616</f>
        <v>8.4457384980089478E-3</v>
      </c>
      <c r="CJ621" s="737">
        <f>CJ616-CD616</f>
        <v>-1.3430610330318393E-2</v>
      </c>
      <c r="CK621" s="737">
        <f>CK616-CE616</f>
        <v>3.1294111990218809E-3</v>
      </c>
      <c r="CL621" s="737">
        <f>CL616-CF616</f>
        <v>1.556303892820271E-2</v>
      </c>
      <c r="CM621" s="736">
        <f>CM616-CG616</f>
        <v>3.6238031843853213E-3</v>
      </c>
      <c r="CN621" s="734"/>
      <c r="CO621" s="737">
        <f>CO616-CI616</f>
        <v>6.1985231852587641E-3</v>
      </c>
      <c r="CP621" s="737">
        <f>CP616-CJ616</f>
        <v>2.5180520357092839E-2</v>
      </c>
      <c r="CQ621" s="737">
        <f>CQ616-CK616</f>
        <v>1.8673998232057898E-2</v>
      </c>
      <c r="CR621" s="737">
        <f>CR616-CL616</f>
        <v>2.5508651793657799E-2</v>
      </c>
      <c r="CS621" s="736">
        <f>CS616-CM616</f>
        <v>1.9706067952316331E-2</v>
      </c>
      <c r="CT621" s="734"/>
      <c r="CU621" s="737">
        <f>CU616-CO616</f>
        <v>3.4749606537236133E-2</v>
      </c>
      <c r="CV621" s="737">
        <f>CV616-CP616</f>
        <v>4.6013927915190989E-2</v>
      </c>
      <c r="CW621" s="737">
        <f>CW616-CQ616</f>
        <v>5.1063183039406268E-2</v>
      </c>
      <c r="CX621" s="737">
        <f>CX616-CR616</f>
        <v>2.3861055521010088E-2</v>
      </c>
      <c r="CY621" s="736">
        <f>CY616-CS616</f>
        <v>3.4666258583150422E-2</v>
      </c>
      <c r="CZ621" s="734"/>
      <c r="DA621" s="737">
        <f>DA616-CU616</f>
        <v>5.6872269602200765E-2</v>
      </c>
      <c r="DB621" s="737">
        <f>DB616-CV616</f>
        <v>2.7610416030825147E-2</v>
      </c>
      <c r="DC621" s="737">
        <f>DC616-CW616</f>
        <v>-1.8080162950673495E-2</v>
      </c>
      <c r="DD621" s="737">
        <f>DD616-CX616</f>
        <v>-5.2279240349786038E-2</v>
      </c>
      <c r="DE621" s="736">
        <f>DE616-CY616</f>
        <v>-4.7765078184630605E-4</v>
      </c>
      <c r="DF621" s="734"/>
      <c r="DG621" s="737">
        <f>DG616-DA616</f>
        <v>-6.9454941537367143E-2</v>
      </c>
      <c r="DH621" s="737">
        <f>DH616-DB616</f>
        <v>-6.0199585216101303E-2</v>
      </c>
      <c r="DI621" s="737">
        <f>DI616-DC616</f>
        <v>-4.2064868403225431E-3</v>
      </c>
      <c r="DJ621" s="737">
        <f>DJ616-DD616</f>
        <v>2.640256393846041E-2</v>
      </c>
      <c r="DK621" s="736">
        <f>DK616-DE616</f>
        <v>-2.1714690803635972E-2</v>
      </c>
      <c r="DL621" s="734"/>
      <c r="DM621" s="737">
        <f>DM616-DG616</f>
        <v>3.624852692918451E-2</v>
      </c>
      <c r="DN621" s="737">
        <f>DN616-DH616</f>
        <v>1.9743436303901185E-2</v>
      </c>
      <c r="DO621" s="737">
        <f>DO616-DI616</f>
        <v>2.2104402366278475E-2</v>
      </c>
      <c r="DP621" s="737">
        <f>DP616-DJ616</f>
        <v>1.8648290269992041E-2</v>
      </c>
      <c r="DQ621" s="736">
        <f>DQ616-DK616</f>
        <v>1.9509972044170376E-2</v>
      </c>
      <c r="DR621" s="734"/>
      <c r="DS621" s="737">
        <f>DS616-DM616</f>
        <v>1.257815910841531E-2</v>
      </c>
      <c r="DT621" s="737">
        <f>DT616-DN616</f>
        <v>2.2860989617949967E-2</v>
      </c>
      <c r="DU621" s="737">
        <f>DU616-DO616</f>
        <v>1.749203492747986E-3</v>
      </c>
      <c r="DV621" s="737">
        <f>DV616-DP616</f>
        <v>5.0600156053488554E-3</v>
      </c>
      <c r="DW621" s="736">
        <f>DW616-DQ616</f>
        <v>1.0342938812540448E-2</v>
      </c>
      <c r="DX621" s="734"/>
      <c r="DY621" s="737">
        <f>DY616-DS616</f>
        <v>9.1637122054829545E-3</v>
      </c>
      <c r="DZ621" s="737">
        <f>DZ616-DT616</f>
        <v>-1.1385623895906416E-2</v>
      </c>
      <c r="EA621" s="737">
        <f>EA616-DU616</f>
        <v>2.9315826417275481E-3</v>
      </c>
      <c r="EB621" s="737">
        <f>EB616-DV616</f>
        <v>1.8846060674346687E-2</v>
      </c>
      <c r="EC621" s="736">
        <f>EC616-DW616</f>
        <v>3.225812695196395E-3</v>
      </c>
      <c r="ED621" s="734"/>
      <c r="EE621" s="737">
        <f>EE616-DY616</f>
        <v>-2.1161134800049552E-3</v>
      </c>
      <c r="EF621" s="737">
        <f>EF616-DZ616</f>
        <v>-2.6724693287039081E-4</v>
      </c>
      <c r="EG621" s="737">
        <f>EG616-EA616</f>
        <v>-1.8036864247556406E-2</v>
      </c>
      <c r="EH621" s="737">
        <f>EH616-EB616</f>
        <v>-6.2822570546024969E-2</v>
      </c>
      <c r="EI621" s="736">
        <f>EI616-EC616</f>
        <v>-1.8062454967071206E-2</v>
      </c>
      <c r="EJ621" s="734"/>
      <c r="EK621" s="737">
        <f>EK616-EE616</f>
        <v>-3.3293385365159467E-2</v>
      </c>
      <c r="EL621" s="737">
        <f>EL616-EF616</f>
        <v>-4.3212241980995603E-2</v>
      </c>
      <c r="EM621" s="737">
        <f>EM616-EG616</f>
        <v>-2.6551484692798888E-2</v>
      </c>
      <c r="EN621" s="737">
        <f>EN616-EH616</f>
        <v>-1.4722057561986246E-2</v>
      </c>
      <c r="EO621" s="736">
        <f>EO616-EI616</f>
        <v>-2.8744029907257329E-2</v>
      </c>
      <c r="EP621" s="734"/>
      <c r="EQ621" s="737">
        <f>EQ616-EK616</f>
        <v>-1.5972957142947219E-2</v>
      </c>
      <c r="ER621" s="737">
        <f>ER616-EL616</f>
        <v>5.8196417058778982E-3</v>
      </c>
      <c r="ES621" s="737">
        <f>ES616-EM616</f>
        <v>1.1569236534699767E-3</v>
      </c>
      <c r="ET621" s="737">
        <f>ET616-EN616</f>
        <v>8.6766647842168032E-3</v>
      </c>
      <c r="EU621" s="736">
        <f>EU616-EO616</f>
        <v>6.6854347838501971E-4</v>
      </c>
      <c r="EV621" s="734"/>
      <c r="EW621" s="737">
        <f>EW616-EQ616</f>
        <v>1.5784236725437828E-2</v>
      </c>
      <c r="EX621" s="734"/>
      <c r="EY621" s="734"/>
      <c r="EZ621" s="1045"/>
      <c r="FA621" s="735"/>
      <c r="FB621" s="734"/>
      <c r="FC621" s="734"/>
      <c r="FD621" s="734"/>
      <c r="FE621" s="734"/>
      <c r="FF621" s="1045"/>
      <c r="FG621" s="735"/>
      <c r="FH621" s="734"/>
      <c r="FI621" s="734"/>
      <c r="FJ621" s="734"/>
      <c r="FK621" s="734"/>
      <c r="FL621" s="1045"/>
      <c r="FM621" s="735"/>
      <c r="FQ621"/>
      <c r="FR621"/>
      <c r="FS621"/>
      <c r="FT621"/>
      <c r="FU621"/>
      <c r="FV621"/>
      <c r="GB621" s="24"/>
      <c r="GC621" s="24"/>
      <c r="GD621" s="24"/>
      <c r="GE621" s="24"/>
      <c r="GF621" s="24"/>
      <c r="GG621" s="24"/>
      <c r="GH621" s="24"/>
      <c r="GI621" s="24"/>
      <c r="GJ621"/>
      <c r="GK621"/>
      <c r="GL621"/>
      <c r="GM621"/>
      <c r="GN621"/>
      <c r="GO621"/>
      <c r="GP621"/>
      <c r="GQ621"/>
      <c r="GR621"/>
      <c r="GS621"/>
      <c r="GT621"/>
      <c r="GU621"/>
      <c r="GV621"/>
      <c r="GW621"/>
      <c r="GX621"/>
      <c r="GY621"/>
      <c r="GZ621"/>
      <c r="HA621"/>
      <c r="HB621"/>
      <c r="HC621"/>
      <c r="HD621"/>
      <c r="HE621"/>
      <c r="HF621"/>
      <c r="HG621"/>
      <c r="HH621"/>
      <c r="HI621"/>
      <c r="HJ621"/>
      <c r="HK621"/>
      <c r="HL621"/>
      <c r="HM621"/>
      <c r="HN621"/>
      <c r="HO621"/>
      <c r="HP621"/>
      <c r="HQ621"/>
      <c r="HR621"/>
      <c r="HS621"/>
      <c r="HT621"/>
      <c r="HU621"/>
      <c r="HV621"/>
      <c r="HW621"/>
      <c r="HX621"/>
      <c r="HY621"/>
      <c r="HZ621"/>
      <c r="IA621"/>
      <c r="IB621"/>
      <c r="IC621"/>
      <c r="ID621"/>
      <c r="IE621"/>
      <c r="IF621"/>
      <c r="IG621"/>
      <c r="IH621"/>
      <c r="II621"/>
      <c r="IJ621"/>
      <c r="IK621"/>
      <c r="IL621"/>
      <c r="IM621"/>
      <c r="IN621"/>
      <c r="IO621"/>
      <c r="IP621"/>
      <c r="IQ621"/>
      <c r="IR621"/>
      <c r="IS621"/>
      <c r="IT621"/>
      <c r="IU621"/>
      <c r="IV621"/>
      <c r="IW621"/>
      <c r="IX621"/>
      <c r="IY621"/>
      <c r="IZ621"/>
      <c r="JA621"/>
      <c r="JB621"/>
      <c r="JC621"/>
      <c r="JD621"/>
      <c r="JE621"/>
      <c r="JF621"/>
      <c r="JG621"/>
      <c r="JH621"/>
      <c r="JI621"/>
      <c r="JJ621"/>
      <c r="JK621"/>
      <c r="JL621"/>
      <c r="JM621"/>
      <c r="JN621"/>
    </row>
    <row r="622" spans="1:274" s="17" customFormat="1" ht="13.5" hidden="1" outlineLevel="1" thickBot="1" x14ac:dyDescent="0.25">
      <c r="A622" s="739" t="s">
        <v>632</v>
      </c>
      <c r="B622" s="740"/>
      <c r="C622" s="741"/>
      <c r="D622" s="741"/>
      <c r="E622" s="741"/>
      <c r="F622" s="741"/>
      <c r="G622" s="741"/>
      <c r="H622" s="741"/>
      <c r="I622" s="741"/>
      <c r="J622" s="741"/>
      <c r="K622" s="741"/>
      <c r="L622" s="741"/>
      <c r="M622" s="741"/>
      <c r="N622" s="741"/>
      <c r="O622" s="741"/>
      <c r="P622" s="741"/>
      <c r="Q622" s="741"/>
      <c r="R622" s="741"/>
      <c r="S622" s="741"/>
      <c r="T622" s="741"/>
      <c r="U622" s="741"/>
      <c r="V622" s="741"/>
      <c r="W622" s="741"/>
      <c r="X622" s="741"/>
      <c r="Y622" s="741"/>
      <c r="Z622" s="741"/>
      <c r="AA622" s="741"/>
      <c r="AB622" s="741"/>
      <c r="AC622" s="741"/>
      <c r="AD622" s="741"/>
      <c r="AE622" s="741"/>
      <c r="AF622" s="741"/>
      <c r="AG622" s="741"/>
      <c r="AH622" s="741"/>
      <c r="AI622" s="741"/>
      <c r="AJ622" s="741"/>
      <c r="AK622" s="741"/>
      <c r="AL622" s="741"/>
      <c r="AM622" s="741"/>
      <c r="AN622" s="741"/>
      <c r="AO622" s="741"/>
      <c r="AP622" s="741"/>
      <c r="AQ622" s="741"/>
      <c r="AR622" s="741"/>
      <c r="AS622" s="741"/>
      <c r="AT622" s="741"/>
      <c r="AU622" s="741"/>
      <c r="AV622" s="741"/>
      <c r="AW622" s="741"/>
      <c r="AX622" s="741"/>
      <c r="AY622" s="741"/>
      <c r="AZ622" s="741"/>
      <c r="BA622" s="741"/>
      <c r="BB622" s="741"/>
      <c r="BC622" s="742"/>
      <c r="BD622" s="741"/>
      <c r="BE622" s="741"/>
      <c r="BF622" s="741"/>
      <c r="BG622" s="741"/>
      <c r="BH622" s="741"/>
      <c r="BI622" s="743">
        <f>BI621*BI604</f>
        <v>237.61281379436204</v>
      </c>
      <c r="BJ622" s="744"/>
      <c r="BK622" s="744">
        <f>BK621*BK604</f>
        <v>-87.693705960264836</v>
      </c>
      <c r="BL622" s="744">
        <f>BL621*BL604</f>
        <v>-1.0595222689076718</v>
      </c>
      <c r="BM622" s="744">
        <f>BM621*BM604</f>
        <v>-1.4111972487240387</v>
      </c>
      <c r="BN622" s="744">
        <f>BN621*BN604</f>
        <v>18.023539376464392</v>
      </c>
      <c r="BO622" s="743">
        <f>BO621*BO604</f>
        <v>-58.040114235501228</v>
      </c>
      <c r="BP622" s="744"/>
      <c r="BQ622" s="744">
        <f>BQ621*BQ604</f>
        <v>23.416173570019723</v>
      </c>
      <c r="BR622" s="744">
        <f>BR621*BR604</f>
        <v>56.008228670420024</v>
      </c>
      <c r="BS622" s="744">
        <f>BS621*BS604</f>
        <v>61.302557433896872</v>
      </c>
      <c r="BT622" s="744">
        <f>BT621*BT604</f>
        <v>25.643235605793084</v>
      </c>
      <c r="BU622" s="743">
        <f>BU621*BU604</f>
        <v>176.75567282321921</v>
      </c>
      <c r="BV622" s="741"/>
      <c r="BW622" s="744">
        <f>BW621*BW604</f>
        <v>84.986486486486399</v>
      </c>
      <c r="BX622" s="744">
        <f>BX621*BX604</f>
        <v>144.79639711769411</v>
      </c>
      <c r="BY622" s="744">
        <f>BY621*BY604</f>
        <v>35.229573535272984</v>
      </c>
      <c r="BZ622" s="744">
        <f>BZ621*BZ604</f>
        <v>12.114072148196238</v>
      </c>
      <c r="CA622" s="743">
        <f>CA621*CA604</f>
        <v>329.94769594328449</v>
      </c>
      <c r="CB622" s="741"/>
      <c r="CC622" s="744">
        <f>CC621*CC604</f>
        <v>46.219187358916578</v>
      </c>
      <c r="CD622" s="744">
        <f>CD621*CD604</f>
        <v>-60.514586357039015</v>
      </c>
      <c r="CE622" s="744">
        <f>CE621*CE604</f>
        <v>37.040737148399487</v>
      </c>
      <c r="CF622" s="744">
        <f>CF621*CF604</f>
        <v>-70.34482120838419</v>
      </c>
      <c r="CG622" s="743">
        <f>CG621*CG604</f>
        <v>-56.14495007838967</v>
      </c>
      <c r="CH622" s="741"/>
      <c r="CI622" s="744">
        <f>CI621*CI604</f>
        <v>30.919848641210759</v>
      </c>
      <c r="CJ622" s="744">
        <f>CJ621*CJ604</f>
        <v>-56.623453152622346</v>
      </c>
      <c r="CK622" s="744">
        <f>CK621*CK604</f>
        <v>13.922750424448349</v>
      </c>
      <c r="CL622" s="744">
        <f>CL621*CL604</f>
        <v>91.541794975688347</v>
      </c>
      <c r="CM622" s="743">
        <f>CM621*CM604</f>
        <v>65.982208381287933</v>
      </c>
      <c r="CN622" s="741"/>
      <c r="CO622" s="744">
        <f>CO621*CO604</f>
        <v>28.469816989893502</v>
      </c>
      <c r="CP622" s="744">
        <f>CP621*CP604</f>
        <v>135.068311195446</v>
      </c>
      <c r="CQ622" s="744">
        <f>CQ621*CQ604</f>
        <v>100.29804450438297</v>
      </c>
      <c r="CR622" s="744">
        <f>CR621*CR604</f>
        <v>185.72849370962243</v>
      </c>
      <c r="CS622" s="743">
        <f>CS621*CS604</f>
        <v>445.5344903339199</v>
      </c>
      <c r="CT622" s="741"/>
      <c r="CU622" s="744">
        <f>CU621*CU604</f>
        <v>188.41236664489432</v>
      </c>
      <c r="CV622" s="744">
        <f>CV621*CV604</f>
        <v>261.68120805369114</v>
      </c>
      <c r="CW622" s="744">
        <f>CW621*CW604</f>
        <v>281.05175944889208</v>
      </c>
      <c r="CX622" s="744">
        <f>CX621*CX604</f>
        <v>164.21178409559144</v>
      </c>
      <c r="CY622" s="743">
        <f>CY621*CY604</f>
        <v>814.48374541111912</v>
      </c>
      <c r="CZ622" s="741"/>
      <c r="DA622" s="744">
        <f>DA621*DA604</f>
        <v>287.94430099594246</v>
      </c>
      <c r="DB622" s="744">
        <f>DB621*DB604</f>
        <v>162.12836293300526</v>
      </c>
      <c r="DC622" s="744">
        <f>DC621*DC604</f>
        <v>-116.96057412790684</v>
      </c>
      <c r="DD622" s="744">
        <f>DD621*DD604</f>
        <v>-503.44908456843956</v>
      </c>
      <c r="DE622" s="743">
        <f>DE621*DE604</f>
        <v>-12.912811236433038</v>
      </c>
      <c r="DF622" s="741"/>
      <c r="DG622" s="744">
        <f>DG621*DG604</f>
        <v>-527.02409638554184</v>
      </c>
      <c r="DH622" s="744">
        <f>DH621*DH604</f>
        <v>-520.66621253406015</v>
      </c>
      <c r="DI622" s="744">
        <f>DI621*DI604</f>
        <v>-37.046529602720639</v>
      </c>
      <c r="DJ622" s="744">
        <f>DJ621*DJ604</f>
        <v>285.30610591900319</v>
      </c>
      <c r="DK622" s="743">
        <f>DK621*DK604</f>
        <v>-778.47166531034964</v>
      </c>
      <c r="DL622" s="741"/>
      <c r="DM622" s="744">
        <f>DM621*DM604</f>
        <v>304.41512915129152</v>
      </c>
      <c r="DN622" s="744">
        <f>DN621*DN604</f>
        <v>173.95941727367335</v>
      </c>
      <c r="DO622" s="744">
        <f>DO621*DO604</f>
        <v>200.31009424321553</v>
      </c>
      <c r="DP622" s="744">
        <f>DP621*DP604</f>
        <v>204.19877845641284</v>
      </c>
      <c r="DQ622" s="743">
        <f>DQ621*DQ604</f>
        <v>726.18066945606552</v>
      </c>
      <c r="DR622" s="741"/>
      <c r="DS622" s="744">
        <f>DS621*DS604</f>
        <v>103.25410812098129</v>
      </c>
      <c r="DT622" s="744">
        <f>DT621*DT604</f>
        <v>208.33219838837806</v>
      </c>
      <c r="DU622" s="744">
        <f>DU621*DU604</f>
        <v>15.690355329949435</v>
      </c>
      <c r="DV622" s="744">
        <f>DV621*DV604</f>
        <v>55.462831050228807</v>
      </c>
      <c r="DW622" s="743">
        <f>DW621*DW604</f>
        <v>385.30549958356931</v>
      </c>
      <c r="DX622" s="741"/>
      <c r="DY622" s="744">
        <f>DY621*DY604</f>
        <v>76.801071994152636</v>
      </c>
      <c r="DZ622" s="744">
        <f>DZ621*DZ604</f>
        <v>-105.69274662569926</v>
      </c>
      <c r="EA622" s="744">
        <f>EA621*EA604</f>
        <v>27.307692307692111</v>
      </c>
      <c r="EB622" s="744">
        <f>EB621*EB604</f>
        <v>222.06313292582701</v>
      </c>
      <c r="EC622" s="743">
        <f>EC621*EC604</f>
        <v>123.5679811021931</v>
      </c>
      <c r="ED622" s="741"/>
      <c r="EE622" s="744">
        <f>EE621*EE604</f>
        <v>-18.200692041522622</v>
      </c>
      <c r="EF622" s="744">
        <f>EF621*EF604</f>
        <v>-2.5682430248844557</v>
      </c>
      <c r="EG622" s="744">
        <f>EG621*EG604</f>
        <v>-168.37412775093904</v>
      </c>
      <c r="EH622" s="744">
        <f>EH621*EH604</f>
        <v>-672.64126283628934</v>
      </c>
      <c r="EI622" s="743">
        <f>EI621*EI604</f>
        <v>-690.94308985537486</v>
      </c>
      <c r="EJ622" s="741"/>
      <c r="EK622" s="744">
        <f>EK621*EK604</f>
        <v>-281.36239972096263</v>
      </c>
      <c r="EL622" s="744">
        <f>EL621*EL604</f>
        <v>-388.78054110301741</v>
      </c>
      <c r="EM622" s="744">
        <f>EM621*EM604</f>
        <v>-239.33508302088919</v>
      </c>
      <c r="EN622" s="744">
        <f>EN621*EN604</f>
        <v>-155.98019986924427</v>
      </c>
      <c r="EO622" s="743">
        <f>EO621*EO604</f>
        <v>-1065.1675162732349</v>
      </c>
      <c r="EP622" s="741"/>
      <c r="EQ622" s="744">
        <f>EQ621*EQ604</f>
        <v>-137.57507987220441</v>
      </c>
      <c r="ER622" s="744">
        <f>ER621*ER604</f>
        <v>52.784150272312537</v>
      </c>
      <c r="ES622" s="744">
        <f>ES621*ES604</f>
        <v>10.729309962280563</v>
      </c>
      <c r="ET622" s="744">
        <f>ET621*ET604</f>
        <v>94.940066068900265</v>
      </c>
      <c r="EU622" s="743">
        <f>EU621*EU604</f>
        <v>25.337129287313861</v>
      </c>
      <c r="EV622" s="741"/>
      <c r="EW622" s="744">
        <f>EW621*EW604</f>
        <v>145.40438871473327</v>
      </c>
      <c r="EX622" s="741"/>
      <c r="EY622" s="741"/>
      <c r="EZ622" s="741"/>
      <c r="FA622" s="742"/>
      <c r="FB622" s="741"/>
      <c r="FC622" s="741"/>
      <c r="FD622" s="741"/>
      <c r="FE622" s="741"/>
      <c r="FF622" s="741"/>
      <c r="FG622" s="742"/>
      <c r="FH622" s="741"/>
      <c r="FI622" s="741"/>
      <c r="FJ622" s="741"/>
      <c r="FK622" s="741"/>
      <c r="FL622" s="741"/>
      <c r="FM622" s="742"/>
      <c r="FQ622"/>
      <c r="FR622"/>
      <c r="FS622"/>
      <c r="FT622"/>
      <c r="FU622"/>
      <c r="FV622"/>
      <c r="GB622" s="24"/>
      <c r="GC622" s="24"/>
      <c r="GD622" s="24"/>
      <c r="GE622" s="24"/>
      <c r="GF622" s="24"/>
      <c r="GG622" s="24"/>
      <c r="GH622" s="24"/>
      <c r="GI622" s="24"/>
      <c r="GJ622"/>
      <c r="GK622"/>
      <c r="GL622"/>
      <c r="GM622"/>
      <c r="GN622"/>
      <c r="GO622"/>
      <c r="GP622"/>
      <c r="GQ622"/>
      <c r="GR622"/>
      <c r="GS622"/>
      <c r="GT622"/>
      <c r="GU622"/>
      <c r="GV622"/>
      <c r="GW622"/>
      <c r="GX622"/>
      <c r="GY622"/>
      <c r="GZ622"/>
      <c r="HA622"/>
      <c r="HB622"/>
      <c r="HC622"/>
      <c r="HD622"/>
      <c r="HE622"/>
      <c r="HF622"/>
      <c r="HG622"/>
      <c r="HH622"/>
      <c r="HI622"/>
      <c r="HJ622"/>
      <c r="HK622"/>
      <c r="HL622"/>
      <c r="HM622"/>
      <c r="HN622"/>
      <c r="HO622"/>
      <c r="HP622"/>
      <c r="HQ622"/>
      <c r="HR622"/>
      <c r="HS622"/>
      <c r="HT622"/>
      <c r="HU622"/>
      <c r="HV622"/>
      <c r="HW622"/>
      <c r="HX622"/>
      <c r="HY622"/>
      <c r="HZ622"/>
      <c r="IA622"/>
      <c r="IB622"/>
      <c r="IC622"/>
      <c r="ID622"/>
      <c r="IE622"/>
      <c r="IF622"/>
      <c r="IG622"/>
      <c r="IH622"/>
      <c r="II622"/>
      <c r="IJ622"/>
      <c r="IK622"/>
      <c r="IL622"/>
      <c r="IM622"/>
      <c r="IN622"/>
      <c r="IO622"/>
      <c r="IP622"/>
      <c r="IQ622"/>
      <c r="IR622"/>
      <c r="IS622"/>
      <c r="IT622"/>
      <c r="IU622"/>
      <c r="IV622"/>
      <c r="IW622"/>
      <c r="IX622"/>
      <c r="IY622"/>
      <c r="IZ622"/>
      <c r="JA622"/>
      <c r="JB622"/>
      <c r="JC622"/>
      <c r="JD622"/>
      <c r="JE622"/>
      <c r="JF622"/>
      <c r="JG622"/>
      <c r="JH622"/>
      <c r="JI622"/>
      <c r="JJ622"/>
      <c r="JK622"/>
      <c r="JL622"/>
      <c r="JM622"/>
      <c r="JN622"/>
    </row>
    <row r="623" spans="1:274" s="17" customFormat="1" hidden="1" outlineLevel="1" x14ac:dyDescent="0.2">
      <c r="A623" s="729" t="s">
        <v>633</v>
      </c>
      <c r="B623" s="730"/>
      <c r="C623" s="16"/>
      <c r="D623" s="16"/>
      <c r="E623" s="16"/>
      <c r="F623" s="16"/>
      <c r="G623" s="16"/>
      <c r="H623" s="16"/>
      <c r="I623" s="16"/>
      <c r="J623" s="16"/>
      <c r="K623" s="16"/>
      <c r="L623" s="16"/>
      <c r="M623" s="16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  <c r="AA623" s="16"/>
      <c r="AB623" s="16"/>
      <c r="AC623" s="16"/>
      <c r="AD623" s="16"/>
      <c r="AE623" s="16"/>
      <c r="AF623" s="16"/>
      <c r="AG623" s="16"/>
      <c r="AH623" s="16"/>
      <c r="AI623" s="16"/>
      <c r="AJ623" s="16"/>
      <c r="AK623" s="16"/>
      <c r="AL623" s="16"/>
      <c r="AM623" s="16"/>
      <c r="AN623" s="16"/>
      <c r="AO623" s="16"/>
      <c r="AP623" s="16"/>
      <c r="AQ623" s="16"/>
      <c r="AR623" s="16"/>
      <c r="AS623" s="16"/>
      <c r="AT623" s="16"/>
      <c r="AU623" s="16"/>
      <c r="AV623" s="16"/>
      <c r="AW623" s="16"/>
      <c r="AX623" s="16"/>
      <c r="AY623" s="16"/>
      <c r="AZ623" s="16"/>
      <c r="BA623" s="16"/>
      <c r="BB623" s="16"/>
      <c r="BC623" s="731"/>
      <c r="BD623" s="16"/>
      <c r="BE623" s="16"/>
      <c r="BF623" s="16"/>
      <c r="BG623" s="16"/>
      <c r="BH623" s="16"/>
      <c r="BI623" s="745">
        <f>BI622/(BI621*10000)</f>
        <v>0.96729999999999994</v>
      </c>
      <c r="BJ623" s="16"/>
      <c r="BK623" s="746">
        <f>BK622/(BK621*10000)</f>
        <v>0.20280000000000001</v>
      </c>
      <c r="BL623" s="746">
        <f>BL622/(BL621*10000)</f>
        <v>0.23090000000000002</v>
      </c>
      <c r="BM623" s="746">
        <f>BM622/(BM621*10000)</f>
        <v>0.23069999999999999</v>
      </c>
      <c r="BN623" s="746">
        <f>BN622/(BN621*10000)</f>
        <v>0.28310000000000002</v>
      </c>
      <c r="BO623" s="745">
        <f>BO622/(BO621*10000)</f>
        <v>0.94750000000000001</v>
      </c>
      <c r="BP623" s="16"/>
      <c r="BQ623" s="746">
        <f>BQ622/(BQ621*10000)</f>
        <v>0.20720000000000002</v>
      </c>
      <c r="BR623" s="746">
        <f>BR622/(BR621*10000)</f>
        <v>0.24979999999999999</v>
      </c>
      <c r="BS623" s="746">
        <f>BS622/(BS621*10000)</f>
        <v>0.25090000000000001</v>
      </c>
      <c r="BT623" s="746">
        <f>BT622/(BT621*10000)</f>
        <v>0.30769999999999997</v>
      </c>
      <c r="BU623" s="745">
        <f>BU622/(BU621*10000)</f>
        <v>1.0156000000000001</v>
      </c>
      <c r="BV623" s="16"/>
      <c r="BW623" s="746">
        <f>BW622/(BW621*10000)</f>
        <v>0.22149999999999997</v>
      </c>
      <c r="BX623" s="746">
        <f>BX622/(BX621*10000)</f>
        <v>0.27560000000000001</v>
      </c>
      <c r="BY623" s="746">
        <f>BY622/(BY621*10000)</f>
        <v>0.30929999999999996</v>
      </c>
      <c r="BZ623" s="746">
        <f>BZ622/(BZ621*10000)</f>
        <v>0.40550000000000003</v>
      </c>
      <c r="CA623" s="745">
        <f>CA622/(CA621*10000)</f>
        <v>1.2119000000000002</v>
      </c>
      <c r="CB623" s="16"/>
      <c r="CC623" s="746">
        <f>CC622/(CC621*10000)</f>
        <v>0.29070000000000001</v>
      </c>
      <c r="CD623" s="746">
        <f>CD622/(CD621*10000)</f>
        <v>0.33939999999999998</v>
      </c>
      <c r="CE623" s="746">
        <f>CE622/(CE621*10000)</f>
        <v>0.35339999999999994</v>
      </c>
      <c r="CF623" s="746">
        <f>CF622/(CF621*10000)</f>
        <v>0.49359999999999998</v>
      </c>
      <c r="CG623" s="745">
        <f>CG622/(CG621*10000)</f>
        <v>1.4771000000000001</v>
      </c>
      <c r="CH623" s="16"/>
      <c r="CI623" s="746">
        <f>CI622/(CI621*10000)</f>
        <v>0.36610000000000004</v>
      </c>
      <c r="CJ623" s="746">
        <f>CJ622/(CJ621*10000)</f>
        <v>0.42160000000000003</v>
      </c>
      <c r="CK623" s="746">
        <f>CK622/(CK621*10000)</f>
        <v>0.44490000000000002</v>
      </c>
      <c r="CL623" s="746">
        <f>CL622/(CL621*10000)</f>
        <v>0.58820000000000006</v>
      </c>
      <c r="CM623" s="745">
        <f>CM622/(CM621*10000)</f>
        <v>1.8208</v>
      </c>
      <c r="CN623" s="16"/>
      <c r="CO623" s="746">
        <f>CO622/(CO621*10000)</f>
        <v>0.45929999999999999</v>
      </c>
      <c r="CP623" s="746">
        <f>CP622/(CP621*10000)</f>
        <v>0.53639999999999999</v>
      </c>
      <c r="CQ623" s="746">
        <f>CQ622/(CQ621*10000)</f>
        <v>0.53710000000000002</v>
      </c>
      <c r="CR623" s="746">
        <f>CR622/(CR621*10000)</f>
        <v>0.72809999999999997</v>
      </c>
      <c r="CS623" s="745">
        <f>CS622/(CS621*10000)</f>
        <v>2.2608999999999999</v>
      </c>
      <c r="CT623" s="16"/>
      <c r="CU623" s="746">
        <f>CU622/(CU621*10000)</f>
        <v>0.54220000000000002</v>
      </c>
      <c r="CV623" s="746">
        <f>CV622/(CV621*10000)</f>
        <v>0.56869999999999998</v>
      </c>
      <c r="CW623" s="746">
        <f>CW622/(CW621*10000)</f>
        <v>0.5504</v>
      </c>
      <c r="CX623" s="746">
        <f>CX622/(CX621*10000)</f>
        <v>0.68820000000000014</v>
      </c>
      <c r="CY623" s="745">
        <f>CY622/(CY621*10000)</f>
        <v>2.3494999999999999</v>
      </c>
      <c r="CZ623" s="16"/>
      <c r="DA623" s="746">
        <f>DA622/(DA621*10000)</f>
        <v>0.50629999999999997</v>
      </c>
      <c r="DB623" s="746">
        <f>DB622/(DB621*10000)</f>
        <v>0.58719999999999994</v>
      </c>
      <c r="DC623" s="746">
        <f>DC622/(DC621*10000)</f>
        <v>0.64690000000000003</v>
      </c>
      <c r="DD623" s="746">
        <f>DD622/(DD621*10000)</f>
        <v>0.96299999999999997</v>
      </c>
      <c r="DE623" s="745">
        <f>DE622/(DE621*10000)</f>
        <v>2.7034000000000002</v>
      </c>
      <c r="DF623" s="16"/>
      <c r="DG623" s="746">
        <f>DG622/(DG621*10000)</f>
        <v>0.75879999999999992</v>
      </c>
      <c r="DH623" s="746">
        <f>DH622/(DH621*10000)</f>
        <v>0.86489999999999989</v>
      </c>
      <c r="DI623" s="746">
        <f>DI622/(DI621*10000)</f>
        <v>0.88070000000000004</v>
      </c>
      <c r="DJ623" s="746">
        <f>DJ622/(DJ621*10000)</f>
        <v>1.0806</v>
      </c>
      <c r="DK623" s="745">
        <f>DK622/(DK621*10000)</f>
        <v>3.5850000000000004</v>
      </c>
      <c r="DL623" s="16"/>
      <c r="DM623" s="746">
        <f>DM622/(DM621*10000)</f>
        <v>0.83979999999999999</v>
      </c>
      <c r="DN623" s="746">
        <f>DN622/(DN621*10000)</f>
        <v>0.88109999999999999</v>
      </c>
      <c r="DO623" s="746">
        <f>DO622/(DO621*10000)</f>
        <v>0.90619999999999989</v>
      </c>
      <c r="DP623" s="746">
        <f>DP622/(DP621*10000)</f>
        <v>1.095</v>
      </c>
      <c r="DQ623" s="745">
        <f>DQ622/(DQ621*10000)</f>
        <v>3.7220999999999997</v>
      </c>
      <c r="DR623" s="16"/>
      <c r="DS623" s="746">
        <f>DS622/(DS621*10000)</f>
        <v>0.82090000000000007</v>
      </c>
      <c r="DT623" s="746">
        <f>DT622/(DT621*10000)</f>
        <v>0.9113</v>
      </c>
      <c r="DU623" s="746">
        <f>DU622/(DU621*10000)</f>
        <v>0.89700000000000002</v>
      </c>
      <c r="DV623" s="746">
        <f>DV622/(DV621*10000)</f>
        <v>1.0961000000000001</v>
      </c>
      <c r="DW623" s="745">
        <f>DW622/(DW621*10000)</f>
        <v>3.7253000000000003</v>
      </c>
      <c r="DX623" s="16"/>
      <c r="DY623" s="746">
        <f>DY622/(DY621*10000)</f>
        <v>0.83809999999999996</v>
      </c>
      <c r="DZ623" s="746">
        <f>DZ622/(DZ621*10000)</f>
        <v>0.92830000000000001</v>
      </c>
      <c r="EA623" s="746">
        <f>EA622/(EA621*10000)</f>
        <v>0.93149999999999999</v>
      </c>
      <c r="EB623" s="746">
        <f>EB622/(EB621*10000)</f>
        <v>1.1782999999999999</v>
      </c>
      <c r="EC623" s="745">
        <f>EC622/(EC621*10000)</f>
        <v>3.8305999999999996</v>
      </c>
      <c r="ED623" s="16"/>
      <c r="EE623" s="746">
        <f>EE622/(EE621*10000)</f>
        <v>0.86010000000000009</v>
      </c>
      <c r="EF623" s="746">
        <f>EF622/(EF621*10000)</f>
        <v>0.96099999999999997</v>
      </c>
      <c r="EG623" s="746">
        <f>EG622/(EG621*10000)</f>
        <v>0.9335</v>
      </c>
      <c r="EH623" s="746">
        <f>EH622/(EH621*10000)</f>
        <v>1.0707</v>
      </c>
      <c r="EI623" s="745">
        <f>EI622/(EI621*10000)</f>
        <v>3.8252999999999999</v>
      </c>
      <c r="EJ623" s="16"/>
      <c r="EK623" s="746">
        <f>EK622/(EK621*10000)</f>
        <v>0.84509999999999985</v>
      </c>
      <c r="EL623" s="746">
        <f>EL622/(EL621*10000)</f>
        <v>0.89969999999999994</v>
      </c>
      <c r="EM623" s="746">
        <f>EM622/(EM621*10000)</f>
        <v>0.90140000000000009</v>
      </c>
      <c r="EN623" s="746">
        <f>EN622/(EN621*10000)</f>
        <v>1.0594999999999999</v>
      </c>
      <c r="EO623" s="745">
        <f>EO622/(EO621*10000)</f>
        <v>3.7057000000000002</v>
      </c>
      <c r="EP623" s="16"/>
      <c r="EQ623" s="746">
        <f>EQ622/(EQ621*10000)</f>
        <v>0.86130000000000007</v>
      </c>
      <c r="ER623" s="746">
        <f>ER622/(ER621*10000)</f>
        <v>0.90700000000000003</v>
      </c>
      <c r="ES623" s="746">
        <f>ES622/(ES621*10000)</f>
        <v>0.92739999999999989</v>
      </c>
      <c r="ET623" s="746">
        <f>ET622/(ET621*10000)</f>
        <v>1.0942000000000001</v>
      </c>
      <c r="EU623" s="745">
        <f>EU622/(EU621*10000)</f>
        <v>3.7898999999999998</v>
      </c>
      <c r="EV623" s="16"/>
      <c r="EW623" s="746">
        <f>EW622/(EW621*10000)</f>
        <v>0.92120000000000002</v>
      </c>
      <c r="EX623" s="16"/>
      <c r="EY623" s="16"/>
      <c r="EZ623" s="16"/>
      <c r="FA623" s="731"/>
      <c r="FB623" s="16"/>
      <c r="FC623" s="16"/>
      <c r="FD623" s="16"/>
      <c r="FE623" s="16"/>
      <c r="FF623" s="16"/>
      <c r="FG623" s="731"/>
      <c r="FH623" s="16"/>
      <c r="FI623" s="16"/>
      <c r="FJ623" s="16"/>
      <c r="FK623" s="16"/>
      <c r="FL623" s="16"/>
      <c r="FM623" s="731"/>
      <c r="FQ623"/>
      <c r="FR623"/>
      <c r="FS623"/>
      <c r="FT623"/>
      <c r="FU623"/>
      <c r="FV623"/>
      <c r="GB623" s="24"/>
      <c r="GC623" s="24"/>
      <c r="GD623" s="24"/>
      <c r="GE623" s="24"/>
      <c r="GF623" s="24"/>
      <c r="GG623" s="24"/>
      <c r="GH623" s="24"/>
      <c r="GI623" s="24"/>
      <c r="GJ623"/>
      <c r="GK623"/>
      <c r="GL623"/>
      <c r="GM623"/>
      <c r="GN623"/>
      <c r="GO623"/>
      <c r="GP623"/>
      <c r="GQ623"/>
      <c r="GR623"/>
      <c r="GS623"/>
      <c r="GT623"/>
      <c r="GU623"/>
      <c r="GV623"/>
      <c r="GW623"/>
      <c r="GX623"/>
      <c r="GY623"/>
      <c r="GZ623"/>
      <c r="HA623"/>
      <c r="HB623"/>
      <c r="HC623"/>
      <c r="HD623"/>
      <c r="HE623"/>
      <c r="HF623"/>
      <c r="HG623"/>
      <c r="HH623"/>
      <c r="HI623"/>
      <c r="HJ623"/>
      <c r="HK623"/>
      <c r="HL623"/>
      <c r="HM623"/>
      <c r="HN623"/>
      <c r="HO623"/>
      <c r="HP623"/>
      <c r="HQ623"/>
      <c r="HR623"/>
      <c r="HS623"/>
      <c r="HT623"/>
      <c r="HU623"/>
      <c r="HV623"/>
      <c r="HW623"/>
      <c r="HX623"/>
      <c r="HY623"/>
      <c r="HZ623"/>
      <c r="IA623"/>
      <c r="IB623"/>
      <c r="IC623"/>
      <c r="ID623"/>
      <c r="IE623"/>
      <c r="IF623"/>
      <c r="IG623"/>
      <c r="IH623"/>
      <c r="II623"/>
      <c r="IJ623"/>
      <c r="IK623"/>
      <c r="IL623"/>
      <c r="IM623"/>
      <c r="IN623"/>
      <c r="IO623"/>
      <c r="IP623"/>
      <c r="IQ623"/>
      <c r="IR623"/>
      <c r="IS623"/>
      <c r="IT623"/>
      <c r="IU623"/>
      <c r="IV623"/>
      <c r="IW623"/>
      <c r="IX623"/>
      <c r="IY623"/>
      <c r="IZ623"/>
      <c r="JA623"/>
      <c r="JB623"/>
      <c r="JC623"/>
      <c r="JD623"/>
      <c r="JE623"/>
      <c r="JF623"/>
      <c r="JG623"/>
      <c r="JH623"/>
      <c r="JI623"/>
      <c r="JJ623"/>
      <c r="JK623"/>
      <c r="JL623"/>
      <c r="JM623"/>
      <c r="JN623"/>
    </row>
    <row r="624" spans="1:274" s="17" customFormat="1" hidden="1" outlineLevel="1" x14ac:dyDescent="0.2">
      <c r="A624" s="729"/>
      <c r="B624" s="730"/>
      <c r="C624" s="16"/>
      <c r="D624" s="16"/>
      <c r="E624" s="16"/>
      <c r="F624" s="16"/>
      <c r="G624" s="16"/>
      <c r="H624" s="16"/>
      <c r="I624" s="16"/>
      <c r="J624" s="16"/>
      <c r="K624" s="16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  <c r="AA624" s="16"/>
      <c r="AB624" s="16"/>
      <c r="AC624" s="16"/>
      <c r="AD624" s="16"/>
      <c r="AE624" s="16"/>
      <c r="AF624" s="16"/>
      <c r="AG624" s="16"/>
      <c r="AH624" s="16"/>
      <c r="AI624" s="16"/>
      <c r="AJ624" s="16"/>
      <c r="AK624" s="16"/>
      <c r="AL624" s="16"/>
      <c r="AM624" s="16"/>
      <c r="AN624" s="16"/>
      <c r="AO624" s="16"/>
      <c r="AP624" s="16"/>
      <c r="AQ624" s="16"/>
      <c r="AR624" s="16"/>
      <c r="AS624" s="16"/>
      <c r="AT624" s="16"/>
      <c r="AU624" s="16"/>
      <c r="AV624" s="16"/>
      <c r="AW624" s="16"/>
      <c r="AX624" s="16"/>
      <c r="AY624" s="16"/>
      <c r="AZ624" s="16"/>
      <c r="BA624" s="16"/>
      <c r="BB624" s="16"/>
      <c r="BC624" s="731"/>
      <c r="BD624" s="16"/>
      <c r="BE624" s="16"/>
      <c r="BF624" s="16"/>
      <c r="BG624" s="16"/>
      <c r="BH624" s="16"/>
      <c r="BI624" s="731"/>
      <c r="BJ624" s="16"/>
      <c r="BK624" s="16"/>
      <c r="BL624" s="16"/>
      <c r="BM624" s="16"/>
      <c r="BN624" s="16"/>
      <c r="BO624" s="731"/>
      <c r="BP624" s="16"/>
      <c r="BQ624" s="16"/>
      <c r="BR624" s="16"/>
      <c r="BS624" s="16"/>
      <c r="BT624" s="16"/>
      <c r="BU624" s="731"/>
      <c r="BV624" s="16"/>
      <c r="BW624" s="16"/>
      <c r="BX624" s="16"/>
      <c r="BY624" s="16"/>
      <c r="BZ624" s="16"/>
      <c r="CA624" s="731"/>
      <c r="CB624" s="16"/>
      <c r="CC624" s="16"/>
      <c r="CD624" s="16"/>
      <c r="CE624" s="16"/>
      <c r="CF624" s="16"/>
      <c r="CG624" s="731"/>
      <c r="CH624" s="16"/>
      <c r="CI624" s="16"/>
      <c r="CJ624" s="16"/>
      <c r="CK624" s="16"/>
      <c r="CL624" s="16"/>
      <c r="CM624" s="731"/>
      <c r="CN624" s="16"/>
      <c r="CO624" s="16"/>
      <c r="CP624" s="16"/>
      <c r="CQ624" s="16"/>
      <c r="CR624" s="16"/>
      <c r="CS624" s="731"/>
      <c r="CT624" s="16"/>
      <c r="CU624" s="16"/>
      <c r="CV624" s="16"/>
      <c r="CW624" s="16"/>
      <c r="CX624" s="16"/>
      <c r="CY624" s="731"/>
      <c r="CZ624" s="16"/>
      <c r="DA624" s="16"/>
      <c r="DB624" s="16"/>
      <c r="DC624" s="16"/>
      <c r="DD624" s="16"/>
      <c r="DE624" s="731"/>
      <c r="DF624" s="16"/>
      <c r="DG624" s="16"/>
      <c r="DH624" s="16"/>
      <c r="DI624" s="16"/>
      <c r="DJ624" s="16"/>
      <c r="DK624" s="731"/>
      <c r="DL624" s="16"/>
      <c r="DM624" s="16"/>
      <c r="DN624" s="16"/>
      <c r="DO624" s="16"/>
      <c r="DP624" s="16"/>
      <c r="DQ624" s="731"/>
      <c r="DR624" s="16"/>
      <c r="DS624" s="16"/>
      <c r="DT624" s="16"/>
      <c r="DU624" s="16"/>
      <c r="DV624" s="16"/>
      <c r="DW624" s="731"/>
      <c r="DX624" s="16"/>
      <c r="DY624" s="16"/>
      <c r="DZ624" s="16"/>
      <c r="EA624" s="16"/>
      <c r="EB624" s="16"/>
      <c r="EC624" s="731"/>
      <c r="ED624" s="16"/>
      <c r="EE624" s="16"/>
      <c r="EF624" s="16"/>
      <c r="EG624" s="16"/>
      <c r="EH624" s="16"/>
      <c r="EI624" s="731"/>
      <c r="EJ624" s="16"/>
      <c r="EK624" s="16"/>
      <c r="EL624" s="16"/>
      <c r="EM624" s="16"/>
      <c r="EN624" s="16"/>
      <c r="EO624" s="731"/>
      <c r="EP624" s="16"/>
      <c r="EQ624" s="16"/>
      <c r="ER624" s="16"/>
      <c r="ES624" s="16"/>
      <c r="ET624" s="16"/>
      <c r="EU624" s="731"/>
      <c r="EV624" s="16"/>
      <c r="EW624" s="16"/>
      <c r="EX624" s="16"/>
      <c r="EY624" s="16"/>
      <c r="EZ624" s="16"/>
      <c r="FA624" s="731"/>
      <c r="FB624" s="16"/>
      <c r="FC624" s="16"/>
      <c r="FD624" s="16"/>
      <c r="FE624" s="16"/>
      <c r="FF624" s="16"/>
      <c r="FG624" s="731"/>
      <c r="FH624" s="16"/>
      <c r="FI624" s="16"/>
      <c r="FJ624" s="16"/>
      <c r="FK624" s="16"/>
      <c r="FL624" s="16"/>
      <c r="FM624" s="731"/>
      <c r="FQ624"/>
      <c r="FR624"/>
      <c r="FS624"/>
      <c r="FT624"/>
      <c r="FU624"/>
      <c r="FV624"/>
      <c r="GB624" s="24"/>
      <c r="GC624" s="24"/>
      <c r="GD624" s="24"/>
      <c r="GE624" s="24"/>
      <c r="GF624" s="24"/>
      <c r="GG624" s="24"/>
      <c r="GH624" s="24"/>
      <c r="GI624" s="24"/>
      <c r="GJ624"/>
      <c r="GK624"/>
      <c r="GL624"/>
      <c r="GM624"/>
      <c r="GN624"/>
      <c r="GO624"/>
      <c r="GP624"/>
      <c r="GQ624"/>
      <c r="GR624"/>
      <c r="GS624"/>
      <c r="GT624"/>
      <c r="GU624"/>
      <c r="GV624"/>
      <c r="GW624"/>
      <c r="GX624"/>
      <c r="GY624"/>
      <c r="GZ624"/>
      <c r="HA624"/>
      <c r="HB624"/>
      <c r="HC624"/>
      <c r="HD624"/>
      <c r="HE624"/>
      <c r="HF624"/>
      <c r="HG624"/>
      <c r="HH624"/>
      <c r="HI624"/>
      <c r="HJ624"/>
      <c r="HK624"/>
      <c r="HL624"/>
      <c r="HM624"/>
      <c r="HN624"/>
      <c r="HO624"/>
      <c r="HP624"/>
      <c r="HQ624"/>
      <c r="HR624"/>
      <c r="HS624"/>
      <c r="HT624"/>
      <c r="HU624"/>
      <c r="HV624"/>
      <c r="HW624"/>
      <c r="HX624"/>
      <c r="HY624"/>
      <c r="HZ624"/>
      <c r="IA624"/>
      <c r="IB624"/>
      <c r="IC624"/>
      <c r="ID624"/>
      <c r="IE624"/>
      <c r="IF624"/>
      <c r="IG624"/>
      <c r="IH624"/>
      <c r="II624"/>
      <c r="IJ624"/>
      <c r="IK624"/>
      <c r="IL624"/>
      <c r="IM624"/>
      <c r="IN624"/>
      <c r="IO624"/>
      <c r="IP624"/>
      <c r="IQ624"/>
      <c r="IR624"/>
      <c r="IS624"/>
      <c r="IT624"/>
      <c r="IU624"/>
      <c r="IV624"/>
      <c r="IW624"/>
      <c r="IX624"/>
      <c r="IY624"/>
      <c r="IZ624"/>
      <c r="JA624"/>
      <c r="JB624"/>
      <c r="JC624"/>
      <c r="JD624"/>
      <c r="JE624"/>
      <c r="JF624"/>
      <c r="JG624"/>
      <c r="JH624"/>
      <c r="JI624"/>
      <c r="JJ624"/>
      <c r="JK624"/>
      <c r="JL624"/>
      <c r="JM624"/>
      <c r="JN624"/>
    </row>
    <row r="625" spans="1:274" s="749" customFormat="1" hidden="1" outlineLevel="1" x14ac:dyDescent="0.2">
      <c r="A625" s="729" t="s">
        <v>634</v>
      </c>
      <c r="B625" s="747"/>
      <c r="C625" s="65"/>
      <c r="D625" s="65"/>
      <c r="E625" s="65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5"/>
      <c r="AC625" s="65"/>
      <c r="AD625" s="65"/>
      <c r="AE625" s="65"/>
      <c r="AF625" s="65"/>
      <c r="AG625" s="65"/>
      <c r="AH625" s="65"/>
      <c r="AI625" s="65"/>
      <c r="AJ625" s="65"/>
      <c r="AK625" s="65"/>
      <c r="AL625" s="65"/>
      <c r="AM625" s="65"/>
      <c r="AN625" s="65"/>
      <c r="AO625" s="65"/>
      <c r="AP625" s="65"/>
      <c r="AQ625" s="65"/>
      <c r="AR625" s="65"/>
      <c r="AS625" s="65"/>
      <c r="AT625" s="65"/>
      <c r="AU625" s="65"/>
      <c r="AV625" s="65"/>
      <c r="AW625" s="65"/>
      <c r="AX625" s="65"/>
      <c r="AY625" s="65"/>
      <c r="AZ625" s="65"/>
      <c r="BA625" s="65"/>
      <c r="BB625" s="65"/>
      <c r="BC625" s="748"/>
      <c r="BD625" s="65"/>
      <c r="BE625" s="65"/>
      <c r="BF625" s="65"/>
      <c r="BG625" s="65"/>
      <c r="BH625" s="65"/>
      <c r="BI625" s="748"/>
      <c r="BJ625" s="65"/>
      <c r="BK625" s="65"/>
      <c r="BL625" s="65"/>
      <c r="BM625" s="65"/>
      <c r="BN625" s="65"/>
      <c r="BO625" s="748"/>
      <c r="BP625" s="65"/>
      <c r="BQ625" s="65"/>
      <c r="BR625" s="65"/>
      <c r="BS625" s="65"/>
      <c r="BT625" s="65"/>
      <c r="BU625" s="748"/>
      <c r="BV625" s="65"/>
      <c r="BW625" s="65"/>
      <c r="BX625" s="65"/>
      <c r="BY625" s="65"/>
      <c r="BZ625" s="65"/>
      <c r="CA625" s="748"/>
      <c r="CB625" s="65"/>
      <c r="CC625" s="65"/>
      <c r="CD625" s="65"/>
      <c r="CE625" s="65"/>
      <c r="CF625" s="65"/>
      <c r="CG625" s="748"/>
      <c r="CH625" s="65"/>
      <c r="CI625" s="65"/>
      <c r="CJ625" s="65"/>
      <c r="CK625" s="65"/>
      <c r="CL625" s="65"/>
      <c r="CM625" s="748"/>
      <c r="CN625" s="65"/>
      <c r="CO625" s="65"/>
      <c r="CP625" s="65"/>
      <c r="CQ625" s="65"/>
      <c r="CR625" s="65"/>
      <c r="CS625" s="748"/>
      <c r="CT625" s="65"/>
      <c r="CU625" s="65"/>
      <c r="CV625" s="65"/>
      <c r="CW625" s="65"/>
      <c r="CX625" s="65"/>
      <c r="CY625" s="748"/>
      <c r="CZ625" s="65"/>
      <c r="DA625" s="65"/>
      <c r="DB625" s="65"/>
      <c r="DC625" s="65"/>
      <c r="DD625" s="65"/>
      <c r="DE625" s="748"/>
      <c r="DF625" s="65"/>
      <c r="DG625" s="65"/>
      <c r="DH625" s="65"/>
      <c r="DI625" s="65"/>
      <c r="DJ625" s="65"/>
      <c r="DK625" s="748"/>
      <c r="DL625" s="65"/>
      <c r="DM625" s="65"/>
      <c r="DN625" s="65"/>
      <c r="DO625" s="65"/>
      <c r="DP625" s="65"/>
      <c r="DQ625" s="748"/>
      <c r="DR625" s="65"/>
      <c r="DS625" s="65"/>
      <c r="DT625" s="65"/>
      <c r="DU625" s="65"/>
      <c r="DV625" s="65"/>
      <c r="DW625" s="748"/>
      <c r="DX625" s="65"/>
      <c r="DY625" s="65"/>
      <c r="DZ625" s="65"/>
      <c r="EA625" s="65"/>
      <c r="EB625" s="65"/>
      <c r="EC625" s="748"/>
      <c r="ED625" s="65"/>
      <c r="EE625" s="65"/>
      <c r="EF625" s="65"/>
      <c r="EG625" s="65"/>
      <c r="EH625" s="65"/>
      <c r="EI625" s="748"/>
      <c r="EJ625" s="65"/>
      <c r="EK625" s="879">
        <f>EK630/EK553</f>
        <v>-0.18318003378721789</v>
      </c>
      <c r="EL625" s="879">
        <f>EL630/EL553</f>
        <v>-0.13025030662025108</v>
      </c>
      <c r="EM625" s="65">
        <f>EM630/EM553</f>
        <v>-9.4358498322656137E-2</v>
      </c>
      <c r="EN625" s="65"/>
      <c r="EO625" s="748"/>
      <c r="EP625" s="65"/>
      <c r="EQ625" s="879">
        <f>EQ630/EQ553</f>
        <v>1.3395107995930456E-2</v>
      </c>
      <c r="ER625" s="879">
        <f>ER630/ER553</f>
        <v>-6.7342108169191783E-2</v>
      </c>
      <c r="ES625" s="65">
        <f>ES630/ES553</f>
        <v>-4.4526947346515078E-2</v>
      </c>
      <c r="ET625" s="65"/>
      <c r="EU625" s="748"/>
      <c r="EV625" s="65"/>
      <c r="EW625" s="65"/>
      <c r="EX625" s="65"/>
      <c r="EY625" s="65"/>
      <c r="EZ625" s="65"/>
      <c r="FA625" s="748"/>
      <c r="FB625" s="65"/>
      <c r="FC625" s="65"/>
      <c r="FD625" s="65"/>
      <c r="FE625" s="65"/>
      <c r="FF625" s="65"/>
      <c r="FG625" s="748"/>
      <c r="FH625" s="65"/>
      <c r="FI625" s="65"/>
      <c r="FJ625" s="65"/>
      <c r="FK625" s="65"/>
      <c r="FL625" s="65"/>
      <c r="FM625" s="748"/>
      <c r="FQ625"/>
      <c r="FR625"/>
      <c r="FS625"/>
      <c r="FT625"/>
      <c r="FU625"/>
      <c r="FV625"/>
      <c r="GB625" s="24"/>
      <c r="GC625" s="24"/>
      <c r="GD625" s="24"/>
      <c r="GE625" s="24"/>
      <c r="GF625" s="24"/>
      <c r="GG625" s="24"/>
      <c r="GH625" s="24"/>
      <c r="GI625" s="24"/>
      <c r="GJ625"/>
      <c r="GK625"/>
      <c r="GL625"/>
      <c r="GM625"/>
      <c r="GN625"/>
      <c r="GO625"/>
      <c r="GP625"/>
      <c r="GQ625"/>
      <c r="GR625"/>
      <c r="GS625"/>
      <c r="GT625"/>
      <c r="GU625"/>
      <c r="GV625"/>
      <c r="GW625"/>
      <c r="GX625"/>
      <c r="GY625"/>
      <c r="GZ625"/>
      <c r="HA625"/>
      <c r="HB625"/>
      <c r="HC625"/>
      <c r="HD625"/>
      <c r="HE625"/>
      <c r="HF625"/>
      <c r="HG625"/>
      <c r="HH625"/>
      <c r="HI625"/>
      <c r="HJ625"/>
      <c r="HK625"/>
      <c r="HL625"/>
      <c r="HM625"/>
      <c r="HN625"/>
      <c r="HO625"/>
      <c r="HP625"/>
      <c r="HQ625"/>
      <c r="HR625"/>
      <c r="HS625"/>
      <c r="HT625"/>
      <c r="HU625"/>
      <c r="HV625"/>
      <c r="HW625"/>
      <c r="HX625"/>
      <c r="HY625"/>
      <c r="HZ625"/>
      <c r="IA625"/>
      <c r="IB625"/>
      <c r="IC625"/>
      <c r="ID625"/>
      <c r="IE625"/>
      <c r="IF625"/>
      <c r="IG625"/>
      <c r="IH625"/>
      <c r="II625"/>
      <c r="IJ625"/>
      <c r="IK625"/>
      <c r="IL625"/>
      <c r="IM625"/>
      <c r="IN625"/>
      <c r="IO625"/>
      <c r="IP625"/>
      <c r="IQ625"/>
      <c r="IR625"/>
      <c r="IS625"/>
      <c r="IT625"/>
      <c r="IU625"/>
      <c r="IV625"/>
      <c r="IW625"/>
      <c r="IX625"/>
      <c r="IY625"/>
      <c r="IZ625"/>
      <c r="JA625"/>
      <c r="JB625"/>
      <c r="JC625"/>
      <c r="JD625"/>
      <c r="JE625"/>
      <c r="JF625"/>
      <c r="JG625"/>
      <c r="JH625"/>
      <c r="JI625"/>
      <c r="JJ625"/>
      <c r="JK625"/>
      <c r="JL625"/>
      <c r="JM625"/>
      <c r="JN625"/>
    </row>
    <row r="626" spans="1:274" s="749" customFormat="1" ht="12.75" hidden="1" customHeight="1" outlineLevel="1" x14ac:dyDescent="0.2">
      <c r="A626" s="1478" t="str">
        <f>A552</f>
        <v>New SW Licenses (Cloud SaaS/PaaS/IaaS &amp; On-Prem)</v>
      </c>
      <c r="B626" s="1479"/>
      <c r="C626" s="1479"/>
      <c r="D626" s="1479"/>
      <c r="E626" s="1479"/>
      <c r="F626" s="1479"/>
      <c r="G626" s="1479"/>
      <c r="H626" s="1479"/>
      <c r="I626" s="1479"/>
      <c r="J626" s="1479"/>
      <c r="K626" s="1479"/>
      <c r="L626" s="1479"/>
      <c r="M626" s="1479"/>
      <c r="N626" s="1479"/>
      <c r="O626" s="1479"/>
      <c r="P626" s="1479"/>
      <c r="Q626" s="1479"/>
      <c r="R626" s="1479"/>
      <c r="S626" s="1479"/>
      <c r="T626" s="1479"/>
      <c r="U626" s="1479"/>
      <c r="V626" s="1479"/>
      <c r="W626" s="1479"/>
      <c r="X626" s="1479"/>
      <c r="Y626" s="1479"/>
      <c r="Z626" s="1479"/>
      <c r="AA626" s="1479"/>
      <c r="AB626" s="1479"/>
      <c r="AC626" s="1479"/>
      <c r="AD626" s="1479"/>
      <c r="AE626" s="1479"/>
      <c r="AF626" s="1479"/>
      <c r="AG626" s="1479"/>
      <c r="AH626" s="1479"/>
      <c r="AI626" s="1479"/>
      <c r="AJ626" s="1479"/>
      <c r="AK626" s="1479"/>
      <c r="AL626" s="1479"/>
      <c r="AM626" s="1479"/>
      <c r="AN626" s="1479"/>
      <c r="AO626" s="1479"/>
      <c r="AP626" s="1479"/>
      <c r="AQ626" s="1479"/>
      <c r="AR626" s="1479"/>
      <c r="AS626" s="1479"/>
      <c r="AT626" s="1479"/>
      <c r="AU626" s="1479"/>
      <c r="AV626" s="1479"/>
      <c r="AW626" s="1479"/>
      <c r="AX626" s="1479"/>
      <c r="AY626" s="1479"/>
      <c r="AZ626" s="1479"/>
      <c r="BA626" s="1479"/>
      <c r="BB626" s="1479"/>
      <c r="BC626" s="1480"/>
      <c r="BD626" s="1479"/>
      <c r="BE626" s="1479"/>
      <c r="BF626" s="1479"/>
      <c r="BG626" s="1479"/>
      <c r="BH626" s="1479"/>
      <c r="BI626" s="1481">
        <f>BI627+BI630</f>
        <v>-119.68798958372464</v>
      </c>
      <c r="BJ626" s="1482"/>
      <c r="BK626" s="1482">
        <f>BK627+BK630</f>
        <v>-43.39757203631423</v>
      </c>
      <c r="BL626" s="1482">
        <f>BL627+BL630</f>
        <v>7.4333546359720479</v>
      </c>
      <c r="BM626" s="1482">
        <f>BM627+BM630</f>
        <v>-31.795408478559743</v>
      </c>
      <c r="BN626" s="1482">
        <f>BN627+BN630</f>
        <v>37.1592208616945</v>
      </c>
      <c r="BO626" s="1481">
        <f>BO627+BO630</f>
        <v>-19.668135757666931</v>
      </c>
      <c r="BP626" s="1482"/>
      <c r="BQ626" s="1482">
        <f>BQ627+BQ630</f>
        <v>-10.801388062198257</v>
      </c>
      <c r="BR626" s="1482">
        <f>BR627+BR630</f>
        <v>29.398677590710758</v>
      </c>
      <c r="BS626" s="1482">
        <f>BS627+BS630</f>
        <v>21.206824596143498</v>
      </c>
      <c r="BT626" s="1482">
        <f>BT627+BT630</f>
        <v>-34.758023552381701</v>
      </c>
      <c r="BU626" s="1481">
        <f>BU627+BU630</f>
        <v>13.542430520533761</v>
      </c>
      <c r="BV626" s="1479"/>
      <c r="BW626" s="1482">
        <f>BW627+BW630</f>
        <v>7.5557413798243944</v>
      </c>
      <c r="BX626" s="1482">
        <f>BX627+BX630</f>
        <v>20.092135517861809</v>
      </c>
      <c r="BY626" s="1482">
        <f>BY627+BY630</f>
        <v>-41.007087438588968</v>
      </c>
      <c r="BZ626" s="1482">
        <f>BZ627+BZ630</f>
        <v>-58.276016011527062</v>
      </c>
      <c r="CA626" s="1481">
        <f>CA627+CA630</f>
        <v>-53.306672806541613</v>
      </c>
      <c r="CB626" s="1479"/>
      <c r="CC626" s="1482">
        <f>CC627+CC630</f>
        <v>-43.068390666958798</v>
      </c>
      <c r="CD626" s="1482">
        <f>CD627+CD630</f>
        <v>-75.795516998405404</v>
      </c>
      <c r="CE626" s="1482">
        <f>CE627+CE630</f>
        <v>-2.9794486031629059</v>
      </c>
      <c r="CF626" s="1482">
        <f>CF627+CF630</f>
        <v>-42.606748150051352</v>
      </c>
      <c r="CG626" s="1481">
        <f>CG627+CG630</f>
        <v>-162.90768728033186</v>
      </c>
      <c r="CH626" s="1479"/>
      <c r="CI626" s="1482">
        <f>CI627+CI630</f>
        <v>8.4955893920100074</v>
      </c>
      <c r="CJ626" s="1482">
        <f>CJ627+CJ630</f>
        <v>-94.387542715506484</v>
      </c>
      <c r="CK626" s="1482">
        <f>CK627+CK630</f>
        <v>-39.271640133248418</v>
      </c>
      <c r="CL626" s="1482">
        <f>CL627+CL630</f>
        <v>-1.8103988754601441</v>
      </c>
      <c r="CM626" s="1481">
        <f>CM627+CM630</f>
        <v>-136.92275993923852</v>
      </c>
      <c r="CN626" s="1479"/>
      <c r="CO626" s="1482">
        <f>CO627+CO630</f>
        <v>-18.259178204512274</v>
      </c>
      <c r="CP626" s="1482">
        <f>CP627+CP630</f>
        <v>99.044622410695268</v>
      </c>
      <c r="CQ626" s="1482">
        <f>CQ627+CQ630</f>
        <v>44.313657075334547</v>
      </c>
      <c r="CR626" s="1482">
        <f>CR627+CR630</f>
        <v>52.109408356409162</v>
      </c>
      <c r="CS626" s="1481">
        <f>CS627+CS630</f>
        <v>172.9824677107982</v>
      </c>
      <c r="CT626" s="1479"/>
      <c r="CU626" s="1482">
        <f>CU627+CU630</f>
        <v>1.9791172103782877</v>
      </c>
      <c r="CV626" s="1482">
        <f>CV627+CV630</f>
        <v>-45.69136494101862</v>
      </c>
      <c r="CW626" s="1482">
        <f>CW627+CW630</f>
        <v>-12.463613922538755</v>
      </c>
      <c r="CX626" s="1482">
        <f>CX627+CX630</f>
        <v>36.277139245249629</v>
      </c>
      <c r="CY626" s="1481">
        <f>CY627+CY630</f>
        <v>-72.59560518358407</v>
      </c>
      <c r="CZ626" s="1479"/>
      <c r="DA626" s="1482">
        <f>DA627+DA630</f>
        <v>40.38289706227112</v>
      </c>
      <c r="DB626" s="1482">
        <f>DB627+DB630</f>
        <v>53.918711813742661</v>
      </c>
      <c r="DC626" s="1482">
        <f>DC627+DC630</f>
        <v>86.178930881927386</v>
      </c>
      <c r="DD626" s="1482">
        <f>DD627+DD630</f>
        <v>117.31564786092729</v>
      </c>
      <c r="DE626" s="1481">
        <f>DE627+DE630</f>
        <v>389.81157163973927</v>
      </c>
      <c r="DF626" s="1479"/>
      <c r="DG626" s="1482">
        <f>DG627+DG630</f>
        <v>235.62258197316228</v>
      </c>
      <c r="DH626" s="1482">
        <f>DH627+DH630</f>
        <v>180.98884304768768</v>
      </c>
      <c r="DI626" s="1482">
        <f>DI627+DI630</f>
        <v>108.26419124697615</v>
      </c>
      <c r="DJ626" s="1482">
        <f>DJ627+DJ630</f>
        <v>-81.576424918236469</v>
      </c>
      <c r="DK626" s="1481">
        <f>DK627+DK630</f>
        <v>312.24064378029539</v>
      </c>
      <c r="DL626" s="1479"/>
      <c r="DM626" s="1482">
        <f>DM627+DM630</f>
        <v>-126.55652962019492</v>
      </c>
      <c r="DN626" s="1482">
        <f>DN627+DN630</f>
        <v>-79.86281043479849</v>
      </c>
      <c r="DO626" s="1482">
        <f>DO627+DO630</f>
        <v>4.8371075842890097</v>
      </c>
      <c r="DP626" s="1482">
        <f>DP627+DP630</f>
        <v>-2.6794807170586381</v>
      </c>
      <c r="DQ626" s="1481">
        <f>DQ627+DQ630</f>
        <v>-216.43007402998347</v>
      </c>
      <c r="DR626" s="1479"/>
      <c r="DS626" s="1482">
        <f>DS627+DS630</f>
        <v>50.844066670406114</v>
      </c>
      <c r="DT626" s="1482">
        <f>DT627+DT630</f>
        <v>58.873299387517342</v>
      </c>
      <c r="DU626" s="1482">
        <f>DU627+DU630</f>
        <v>-179.72187648091489</v>
      </c>
      <c r="DV626" s="1482">
        <f>DV627+DV630</f>
        <v>-86.529449827985431</v>
      </c>
      <c r="DW626" s="1481">
        <f>DW627+DW630</f>
        <v>-157.60092504314417</v>
      </c>
      <c r="DX626" s="1479"/>
      <c r="DY626" s="1482">
        <f>DY627+DY630</f>
        <v>-119.15652455824971</v>
      </c>
      <c r="DZ626" s="1482">
        <f>DZ627+DZ630</f>
        <v>-226.52542127195812</v>
      </c>
      <c r="EA626" s="1482">
        <f>EA627+EA630</f>
        <v>-56.044764599948572</v>
      </c>
      <c r="EB626" s="1482">
        <f>EB627+EB630</f>
        <v>-22.128412525882226</v>
      </c>
      <c r="EC626" s="1481">
        <f>EC627+EC630</f>
        <v>-443.11509095708095</v>
      </c>
      <c r="ED626" s="1479"/>
      <c r="EE626" s="1482">
        <f>EE627+EE630</f>
        <v>-154.4151510109578</v>
      </c>
      <c r="EF626" s="1482">
        <f>EF627+EF630</f>
        <v>-115.09168862812113</v>
      </c>
      <c r="EG626" s="1482">
        <f>EG627+EG630</f>
        <v>-173.05199222420157</v>
      </c>
      <c r="EH626" s="1482">
        <f>EH627+EH630</f>
        <v>-881.09355046978158</v>
      </c>
      <c r="EI626" s="1481">
        <f>EI627+EI630</f>
        <v>-1334.4051746396456</v>
      </c>
      <c r="EJ626" s="1479"/>
      <c r="EK626" s="1482">
        <f>EK627+EK630</f>
        <v>-299.22503466980316</v>
      </c>
      <c r="EL626" s="1482">
        <f>EL627+EL630</f>
        <v>-282.22371714341091</v>
      </c>
      <c r="EM626" s="1482">
        <f>EM627+EM630</f>
        <v>-225.4416777285638</v>
      </c>
      <c r="EN626" s="1482">
        <f>EN627+EN630</f>
        <v>-50.531275315968117</v>
      </c>
      <c r="EO626" s="1481">
        <f>EO627+EO630</f>
        <v>-867.07609996385861</v>
      </c>
      <c r="EP626" s="1479"/>
      <c r="EQ626" s="1482">
        <f>EQ627+EQ630</f>
        <v>-104.98386110799228</v>
      </c>
      <c r="ER626" s="1482">
        <f>ER627+ER630</f>
        <v>-198.65587428776146</v>
      </c>
      <c r="ES626" s="1482">
        <f>ES627+ES630</f>
        <v>-190.22537150872816</v>
      </c>
      <c r="ET626" s="1482">
        <f>ET627+ET630</f>
        <v>242.24691566293507</v>
      </c>
      <c r="EU626" s="1481">
        <f>EU627+EU630</f>
        <v>-253.03721032210771</v>
      </c>
      <c r="EV626" s="1479"/>
      <c r="EW626" s="1482">
        <f>EW627+EW630</f>
        <v>-5.3732076891374732</v>
      </c>
      <c r="EX626" s="1479"/>
      <c r="EY626" s="1479"/>
      <c r="EZ626" s="1479"/>
      <c r="FA626" s="1480"/>
      <c r="FB626" s="1479"/>
      <c r="FC626" s="1479"/>
      <c r="FD626" s="1479"/>
      <c r="FE626" s="1479"/>
      <c r="FF626" s="1479"/>
      <c r="FG626" s="1480"/>
      <c r="FH626" s="1479"/>
      <c r="FI626" s="1479"/>
      <c r="FJ626" s="1479"/>
      <c r="FK626" s="1479"/>
      <c r="FL626" s="1479"/>
      <c r="FM626" s="1480"/>
      <c r="FQ626"/>
      <c r="FR626"/>
      <c r="FS626"/>
      <c r="FT626"/>
      <c r="FU626"/>
      <c r="FV626"/>
      <c r="GB626" s="24"/>
      <c r="GC626" s="24"/>
      <c r="GD626" s="24"/>
      <c r="GE626" s="24"/>
      <c r="GF626" s="24"/>
      <c r="GG626" s="24"/>
      <c r="GH626" s="24"/>
      <c r="GI626" s="24"/>
      <c r="GJ626"/>
      <c r="GK626"/>
      <c r="GL626"/>
      <c r="GM626"/>
      <c r="GN626"/>
      <c r="GO626"/>
      <c r="GP626"/>
      <c r="GQ626"/>
      <c r="GR626"/>
      <c r="GS626"/>
      <c r="GT626"/>
      <c r="GU626"/>
      <c r="GV626"/>
      <c r="GW626"/>
      <c r="GX626"/>
      <c r="GY626"/>
      <c r="GZ626"/>
      <c r="HA626"/>
      <c r="HB626"/>
      <c r="HC626"/>
      <c r="HD626"/>
      <c r="HE626"/>
      <c r="HF626"/>
      <c r="HG626"/>
      <c r="HH626"/>
      <c r="HI626"/>
      <c r="HJ626"/>
      <c r="HK626"/>
      <c r="HL626"/>
      <c r="HM626"/>
      <c r="HN626"/>
      <c r="HO626"/>
      <c r="HP626"/>
      <c r="HQ626"/>
      <c r="HR626"/>
      <c r="HS626"/>
      <c r="HT626"/>
      <c r="HU626"/>
      <c r="HV626"/>
      <c r="HW626"/>
      <c r="HX626"/>
      <c r="HY626"/>
      <c r="HZ626"/>
      <c r="IA626"/>
      <c r="IB626"/>
      <c r="IC626"/>
      <c r="ID626"/>
      <c r="IE626"/>
      <c r="IF626"/>
      <c r="IG626"/>
      <c r="IH626"/>
      <c r="II626"/>
      <c r="IJ626"/>
      <c r="IK626"/>
      <c r="IL626"/>
      <c r="IM626"/>
      <c r="IN626"/>
      <c r="IO626"/>
      <c r="IP626"/>
      <c r="IQ626"/>
      <c r="IR626"/>
      <c r="IS626"/>
      <c r="IT626"/>
      <c r="IU626"/>
      <c r="IV626"/>
      <c r="IW626"/>
      <c r="IX626"/>
      <c r="IY626"/>
      <c r="IZ626"/>
      <c r="JA626"/>
      <c r="JB626"/>
      <c r="JC626"/>
      <c r="JD626"/>
      <c r="JE626"/>
      <c r="JF626"/>
      <c r="JG626"/>
      <c r="JH626"/>
      <c r="JI626"/>
      <c r="JJ626"/>
      <c r="JK626"/>
      <c r="JL626"/>
      <c r="JM626"/>
      <c r="JN626"/>
    </row>
    <row r="627" spans="1:274" s="749" customFormat="1" ht="12.75" hidden="1" customHeight="1" outlineLevel="1" x14ac:dyDescent="0.2">
      <c r="A627" s="750" t="s">
        <v>635</v>
      </c>
      <c r="B627" s="747"/>
      <c r="C627" s="65"/>
      <c r="D627" s="65"/>
      <c r="E627" s="65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5"/>
      <c r="AC627" s="65"/>
      <c r="AD627" s="65"/>
      <c r="AE627" s="65"/>
      <c r="AF627" s="65"/>
      <c r="AG627" s="65"/>
      <c r="AH627" s="65"/>
      <c r="AI627" s="65"/>
      <c r="AJ627" s="65"/>
      <c r="AK627" s="65"/>
      <c r="AL627" s="65"/>
      <c r="AM627" s="65"/>
      <c r="AN627" s="65"/>
      <c r="AO627" s="65"/>
      <c r="AP627" s="65"/>
      <c r="AQ627" s="65"/>
      <c r="AR627" s="65"/>
      <c r="AS627" s="65"/>
      <c r="AT627" s="65"/>
      <c r="AU627" s="65"/>
      <c r="AV627" s="65"/>
      <c r="AW627" s="65"/>
      <c r="AX627" s="65"/>
      <c r="AY627" s="65"/>
      <c r="AZ627" s="65"/>
      <c r="BA627" s="65"/>
      <c r="BB627" s="65"/>
      <c r="BC627" s="748"/>
      <c r="BD627" s="65"/>
      <c r="BE627" s="65"/>
      <c r="BF627" s="65"/>
      <c r="BG627" s="65"/>
      <c r="BH627" s="65"/>
      <c r="BI627" s="751">
        <f>BI628*BI629*BI$604</f>
        <v>5.3465820289015218</v>
      </c>
      <c r="BJ627" s="752"/>
      <c r="BK627" s="752">
        <f>BK628*BK629*BK$604</f>
        <v>10.724480668262775</v>
      </c>
      <c r="BL627" s="752">
        <f>BL628*BL629*BL$604</f>
        <v>2.3328583580564097</v>
      </c>
      <c r="BM627" s="752">
        <f>BM628*BM629*BM$604</f>
        <v>4.0312924200281675</v>
      </c>
      <c r="BN627" s="752">
        <f>BN628*BN629*BN$604</f>
        <v>0.25401163880804895</v>
      </c>
      <c r="BO627" s="751">
        <f>BO628*BO629*BO$604</f>
        <v>11.399451242620504</v>
      </c>
      <c r="BP627" s="752"/>
      <c r="BQ627" s="752">
        <f>BQ628*BQ629*BQ$604</f>
        <v>8.9418794422900802</v>
      </c>
      <c r="BR627" s="752">
        <f>BR628*BR629*BR$604</f>
        <v>-3.2455911839928384</v>
      </c>
      <c r="BS627" s="752">
        <f>BS628*BS629*BS$604</f>
        <v>-3.8305585814266121</v>
      </c>
      <c r="BT627" s="752">
        <f>BT628*BT629*BT$604</f>
        <v>-0.440991511909543</v>
      </c>
      <c r="BU627" s="751">
        <f>BU628*BU629*BU$604</f>
        <v>-4.2456346901705775</v>
      </c>
      <c r="BV627" s="65"/>
      <c r="BW627" s="752">
        <f>BW628*BW629*BW$604</f>
        <v>-0.21715938353438172</v>
      </c>
      <c r="BX627" s="752">
        <f>BX628*BX629*BX$604</f>
        <v>-2.6226532145325097</v>
      </c>
      <c r="BY627" s="752">
        <f>BY628*BY629*BY$604</f>
        <v>11.237882975612219</v>
      </c>
      <c r="BZ627" s="752">
        <f>BZ628*BZ629*BZ$604</f>
        <v>5.4404474031072274</v>
      </c>
      <c r="CA627" s="751">
        <f>CA628*CA629*CA$604</f>
        <v>13.26366401768702</v>
      </c>
      <c r="CB627" s="65"/>
      <c r="CC627" s="752">
        <f>CC628*CC629*CC$604</f>
        <v>29.190076356214085</v>
      </c>
      <c r="CD627" s="752">
        <f>CD628*CD629*CD$604</f>
        <v>13.071356066610097</v>
      </c>
      <c r="CE627" s="752">
        <f>CE628*CE629*CE$604</f>
        <v>-2.5597868695476942</v>
      </c>
      <c r="CF627" s="752">
        <f>CF628*CF629*CF$604</f>
        <v>-10.944232583426301</v>
      </c>
      <c r="CG627" s="751">
        <f>CG628*CG629*CG$604</f>
        <v>9.7971142875270356</v>
      </c>
      <c r="CH627" s="65"/>
      <c r="CI627" s="752">
        <f>CI628*CI629*CI$604</f>
        <v>-4.3165125188180182</v>
      </c>
      <c r="CJ627" s="752">
        <f>CJ628*CJ629*CJ$604</f>
        <v>17.339730011766232</v>
      </c>
      <c r="CK627" s="752">
        <f>CK628*CK629*CK$604</f>
        <v>-1.7063433295954213</v>
      </c>
      <c r="CL627" s="752">
        <f>CL628*CL629*CL$604</f>
        <v>3.1428589149082451</v>
      </c>
      <c r="CM627" s="751">
        <f>CM628*CM629*CM$604</f>
        <v>24.770113248427627</v>
      </c>
      <c r="CN627" s="65"/>
      <c r="CO627" s="752">
        <f>CO628*CO629*CO$604</f>
        <v>-27.725512369100802</v>
      </c>
      <c r="CP627" s="752">
        <f>CP628*CP629*CP$604</f>
        <v>-29.515543564408429</v>
      </c>
      <c r="CQ627" s="752">
        <f>CQ628*CQ629*CQ$604</f>
        <v>12.011063415392197</v>
      </c>
      <c r="CR627" s="752">
        <f>CR628*CR629*CR$604</f>
        <v>-5.2609022527076865</v>
      </c>
      <c r="CS627" s="751">
        <f>CS628*CS629*CS$604</f>
        <v>-34.264042333464907</v>
      </c>
      <c r="CT627" s="65"/>
      <c r="CU627" s="752">
        <f>CU628*CU629*CU$604</f>
        <v>16.019707616282357</v>
      </c>
      <c r="CV627" s="752">
        <f>CV628*CV629*CV$604</f>
        <v>23.868995419341701</v>
      </c>
      <c r="CW627" s="752">
        <f>CW628*CW629*CW$604</f>
        <v>25.467527516667204</v>
      </c>
      <c r="CX627" s="752">
        <f>CX628*CX629*CX$604</f>
        <v>15.251024595568294</v>
      </c>
      <c r="CY627" s="751">
        <f>CY628*CY629*CY$604</f>
        <v>102.91779302998751</v>
      </c>
      <c r="CZ627" s="65"/>
      <c r="DA627" s="752">
        <f>DA628*DA629*DA$604</f>
        <v>47.546592362109052</v>
      </c>
      <c r="DB627" s="752">
        <f>DB628*DB629*DB$604</f>
        <v>6.2193895709823552</v>
      </c>
      <c r="DC627" s="752">
        <f>DC628*DC629*DC$604</f>
        <v>12.950907088140152</v>
      </c>
      <c r="DD627" s="752">
        <f>DD628*DD629*DD$604</f>
        <v>64.684721529782124</v>
      </c>
      <c r="DE627" s="751">
        <f>DE628*DE629*DE$604</f>
        <v>131.17968187595983</v>
      </c>
      <c r="DF627" s="65"/>
      <c r="DG627" s="752">
        <f>DG628*DG629*DG$604</f>
        <v>113.01829347413691</v>
      </c>
      <c r="DH627" s="752">
        <f>DH628*DH629*DH$604</f>
        <v>104.37513777176284</v>
      </c>
      <c r="DI627" s="752">
        <f>DI628*DI629*DI$604</f>
        <v>26.673466609294973</v>
      </c>
      <c r="DJ627" s="752">
        <f>DJ628*DJ629*DJ$604</f>
        <v>-5.1380249182364297</v>
      </c>
      <c r="DK627" s="751">
        <f>DK628*DK629*DK$604</f>
        <v>127.74894942813575</v>
      </c>
      <c r="DL627" s="65"/>
      <c r="DM627" s="752">
        <f>DM628*DM629*DM$604</f>
        <v>-21.36776206949288</v>
      </c>
      <c r="DN627" s="752">
        <f>DN628*DN629*DN$604</f>
        <v>-2.292745140976276</v>
      </c>
      <c r="DO627" s="752">
        <f>DO628*DO629*DO$604</f>
        <v>-13.448606701425229</v>
      </c>
      <c r="DP627" s="752">
        <f>DP628*DP629*DP$604</f>
        <v>-13.050297316791273</v>
      </c>
      <c r="DQ627" s="751">
        <f>DQ628*DQ629*DQ$604</f>
        <v>-42.566733465991952</v>
      </c>
      <c r="DR627" s="65"/>
      <c r="DS627" s="752">
        <f>DS628*DS629*DS$604</f>
        <v>-47.715209953840322</v>
      </c>
      <c r="DT627" s="752">
        <f>DT628*DT629*DT$604</f>
        <v>-55.451553841445396</v>
      </c>
      <c r="DU627" s="752">
        <f>DU628*DU629*DU$604</f>
        <v>1.7490095950344511</v>
      </c>
      <c r="DV627" s="752">
        <f>DV628*DV629*DV$604</f>
        <v>-1.4607513518423452</v>
      </c>
      <c r="DW627" s="751">
        <f>DW628*DW629*DW$604</f>
        <v>-66.233619291378204</v>
      </c>
      <c r="DX627" s="65"/>
      <c r="DY627" s="752">
        <f>DY628*DY629*DY$604</f>
        <v>-10.22637981312702</v>
      </c>
      <c r="DZ627" s="752">
        <f>DZ628*DZ629*DZ$604</f>
        <v>11.008356876498793</v>
      </c>
      <c r="EA627" s="752">
        <f>EA628*EA629*EA$604</f>
        <v>1.3254153486376326</v>
      </c>
      <c r="EB627" s="752">
        <f>EB628*EB629*EB$604</f>
        <v>24.612466104050739</v>
      </c>
      <c r="EC627" s="751">
        <f>EC628*EC629*EC$604</f>
        <v>17.113894550165043</v>
      </c>
      <c r="ED627" s="65"/>
      <c r="EE627" s="752">
        <f>EE628*EE629*EE$604</f>
        <v>-60.817449861532502</v>
      </c>
      <c r="EF627" s="752">
        <f>EF628*EF629*EF$604</f>
        <v>-26.63500233712028</v>
      </c>
      <c r="EG627" s="752">
        <f>EG628*EG629*EG$604</f>
        <v>-22.820395863573058</v>
      </c>
      <c r="EH627" s="752">
        <f>EH628*EH629*EH$604</f>
        <v>0.22259905379521852</v>
      </c>
      <c r="EI627" s="751">
        <f>EI628*EI629*EI$604</f>
        <v>-24.139570389977248</v>
      </c>
      <c r="EJ627" s="65"/>
      <c r="EK627" s="752">
        <f>EK628*EK629*EK$604</f>
        <v>23.721364897061964</v>
      </c>
      <c r="EL627" s="752">
        <f>EL628*EL629*EL$604</f>
        <v>21.129246975153894</v>
      </c>
      <c r="EM627" s="752">
        <f>EM628*EM629*EM$604</f>
        <v>2.6228127172960845</v>
      </c>
      <c r="EN627" s="752">
        <f>EN628*EN629*EN$604</f>
        <v>14.265334853523459</v>
      </c>
      <c r="EO627" s="751">
        <f>EO628*EO629*EO$604</f>
        <v>55.468072968471994</v>
      </c>
      <c r="EP627" s="65"/>
      <c r="EQ627" s="752">
        <f>EQ628*EQ629*EQ$604</f>
        <v>-131.98839882778807</v>
      </c>
      <c r="ER627" s="752">
        <f>ER628*ER629*ER$604</f>
        <v>-34.745183003948661</v>
      </c>
      <c r="ES627" s="752">
        <f>ES628*ES629*ES$604</f>
        <v>-71.249368198839875</v>
      </c>
      <c r="ET627" s="752">
        <f>ET628*ET629*ET$604</f>
        <v>-88.009565307831551</v>
      </c>
      <c r="EU627" s="751">
        <f>EU628*EU629*EU$604</f>
        <v>-315.37159611391809</v>
      </c>
      <c r="EV627" s="65"/>
      <c r="EW627" s="752">
        <f>EW628*EW629*EW$604</f>
        <v>-176.20753308596287</v>
      </c>
      <c r="EX627" s="65"/>
      <c r="EY627" s="65"/>
      <c r="EZ627" s="65"/>
      <c r="FA627" s="748"/>
      <c r="FB627" s="65"/>
      <c r="FC627" s="65"/>
      <c r="FD627" s="65"/>
      <c r="FE627" s="65"/>
      <c r="FF627" s="65"/>
      <c r="FG627" s="748"/>
      <c r="FH627" s="65"/>
      <c r="FI627" s="65"/>
      <c r="FJ627" s="65"/>
      <c r="FK627" s="65"/>
      <c r="FL627" s="65"/>
      <c r="FM627" s="748"/>
      <c r="FQ627"/>
      <c r="FR627"/>
      <c r="FS627"/>
      <c r="FT627"/>
      <c r="FU627"/>
      <c r="FV627"/>
      <c r="GB627" s="24"/>
      <c r="GC627" s="24"/>
      <c r="GD627" s="24"/>
      <c r="GE627" s="24"/>
      <c r="GF627" s="24"/>
      <c r="GG627" s="24"/>
      <c r="GH627" s="24"/>
      <c r="GI627" s="24"/>
      <c r="GJ627"/>
      <c r="GK627"/>
      <c r="GL627"/>
      <c r="GM627"/>
      <c r="GN627"/>
      <c r="GO627"/>
      <c r="GP627"/>
      <c r="GQ627"/>
      <c r="GR627"/>
      <c r="GS627"/>
      <c r="GT627"/>
      <c r="GU627"/>
      <c r="GV627"/>
      <c r="GW627"/>
      <c r="GX627"/>
      <c r="GY627"/>
      <c r="GZ627"/>
      <c r="HA627"/>
      <c r="HB627"/>
      <c r="HC627"/>
      <c r="HD627"/>
      <c r="HE627"/>
      <c r="HF627"/>
      <c r="HG627"/>
      <c r="HH627"/>
      <c r="HI627"/>
      <c r="HJ627"/>
      <c r="HK627"/>
      <c r="HL627"/>
      <c r="HM627"/>
      <c r="HN627"/>
      <c r="HO627"/>
      <c r="HP627"/>
      <c r="HQ627"/>
      <c r="HR627"/>
      <c r="HS627"/>
      <c r="HT627"/>
      <c r="HU627"/>
      <c r="HV627"/>
      <c r="HW627"/>
      <c r="HX627"/>
      <c r="HY627"/>
      <c r="HZ627"/>
      <c r="IA627"/>
      <c r="IB627"/>
      <c r="IC627"/>
      <c r="ID627"/>
      <c r="IE627"/>
      <c r="IF627"/>
      <c r="IG627"/>
      <c r="IH627"/>
      <c r="II627"/>
      <c r="IJ627"/>
      <c r="IK627"/>
      <c r="IL627"/>
      <c r="IM627"/>
      <c r="IN627"/>
      <c r="IO627"/>
      <c r="IP627"/>
      <c r="IQ627"/>
      <c r="IR627"/>
      <c r="IS627"/>
      <c r="IT627"/>
      <c r="IU627"/>
      <c r="IV627"/>
      <c r="IW627"/>
      <c r="IX627"/>
      <c r="IY627"/>
      <c r="IZ627"/>
      <c r="JA627"/>
      <c r="JB627"/>
      <c r="JC627"/>
      <c r="JD627"/>
      <c r="JE627"/>
      <c r="JF627"/>
      <c r="JG627"/>
      <c r="JH627"/>
      <c r="JI627"/>
      <c r="JJ627"/>
      <c r="JK627"/>
      <c r="JL627"/>
      <c r="JM627"/>
      <c r="JN627"/>
    </row>
    <row r="628" spans="1:274" s="64" customFormat="1" ht="12.75" hidden="1" customHeight="1" outlineLevel="2" x14ac:dyDescent="0.2">
      <c r="A628" s="753" t="s">
        <v>636</v>
      </c>
      <c r="B628" s="71"/>
      <c r="C628" s="71"/>
      <c r="D628" s="71"/>
      <c r="E628" s="71"/>
      <c r="F628" s="71"/>
      <c r="G628" s="71"/>
      <c r="H628" s="71"/>
      <c r="I628" s="71"/>
      <c r="J628" s="71"/>
      <c r="K628" s="71"/>
      <c r="L628" s="71"/>
      <c r="M628" s="71"/>
      <c r="N628" s="71"/>
      <c r="O628" s="71"/>
      <c r="P628" s="71"/>
      <c r="Q628" s="71"/>
      <c r="R628" s="71"/>
      <c r="S628" s="71"/>
      <c r="T628" s="71"/>
      <c r="U628" s="71"/>
      <c r="V628" s="71"/>
      <c r="W628" s="71"/>
      <c r="X628" s="71"/>
      <c r="Y628" s="71"/>
      <c r="Z628" s="71"/>
      <c r="AA628" s="71"/>
      <c r="AB628" s="71"/>
      <c r="AC628" s="71"/>
      <c r="AD628" s="71"/>
      <c r="AE628" s="71"/>
      <c r="AF628" s="71"/>
      <c r="AG628" s="71"/>
      <c r="AH628" s="71"/>
      <c r="AI628" s="71"/>
      <c r="AJ628" s="71"/>
      <c r="AK628" s="71"/>
      <c r="AL628" s="71"/>
      <c r="AM628" s="71"/>
      <c r="AN628" s="71"/>
      <c r="AO628" s="71"/>
      <c r="AP628" s="71"/>
      <c r="AQ628" s="71"/>
      <c r="AR628" s="71"/>
      <c r="AS628" s="71"/>
      <c r="AT628" s="71"/>
      <c r="AU628" s="71"/>
      <c r="AV628" s="71"/>
      <c r="AW628" s="71"/>
      <c r="AX628" s="71"/>
      <c r="AY628" s="71"/>
      <c r="AZ628" s="71"/>
      <c r="BA628" s="71"/>
      <c r="BB628" s="71"/>
      <c r="BC628" s="754"/>
      <c r="BD628" s="71"/>
      <c r="BE628" s="71"/>
      <c r="BF628" s="71"/>
      <c r="BG628" s="71"/>
      <c r="BH628" s="71"/>
      <c r="BI628" s="754">
        <f>(BI553/BI$604)-(BC553/BC$604)</f>
        <v>-6.5415842884888498E-2</v>
      </c>
      <c r="BJ628" s="71"/>
      <c r="BK628" s="71">
        <f>(BK553/BK$604)-(BE553/BE$604)</f>
        <v>-4.3667463458599454E-2</v>
      </c>
      <c r="BL628" s="71">
        <f>(BL553/BL$604)-(BF553/BF$604)</f>
        <v>-9.9417332979099271E-3</v>
      </c>
      <c r="BM628" s="71">
        <f>(BM553/BM$604)-(BG553/BG$604)</f>
        <v>-2.1020424905668578E-2</v>
      </c>
      <c r="BN628" s="71">
        <f>(BN553/BN$604)-(BH553/BH$604)</f>
        <v>-3.1247893354851008E-3</v>
      </c>
      <c r="BO628" s="754">
        <f>(BO553/BO$604)-(BI553/BI$604)</f>
        <v>-1.6340694264452893E-2</v>
      </c>
      <c r="BP628" s="71"/>
      <c r="BQ628" s="71">
        <f>(BQ553/BQ$604)-(BK553/BK$604)</f>
        <v>-2.1759079451387164E-2</v>
      </c>
      <c r="BR628" s="71">
        <f>(BR553/BR$604)-(BL553/BL$604)</f>
        <v>1.235912939966527E-2</v>
      </c>
      <c r="BS628" s="71">
        <f>(BS553/BS$604)-(BM553/BM$604)</f>
        <v>1.2123498880406758E-2</v>
      </c>
      <c r="BT628" s="71">
        <f>(BT553/BT$604)-(BN553/BN$604)</f>
        <v>7.4561011283795775E-3</v>
      </c>
      <c r="BU628" s="754">
        <f>(BU553/BU$604)-(BO553/BO$604)</f>
        <v>4.7597219523195511E-3</v>
      </c>
      <c r="BV628" s="71"/>
      <c r="BW628" s="71">
        <f>(BW553/BW$604)-(BQ553/BQ$604)</f>
        <v>3.7738480176402467E-4</v>
      </c>
      <c r="BX628" s="71">
        <f>(BX553/BX$604)-(BR553/BR$604)</f>
        <v>1.0523658404226977E-2</v>
      </c>
      <c r="BY628" s="71">
        <f>(BY553/BY$604)-(BS553/BS$604)</f>
        <v>-3.0935641068164932E-2</v>
      </c>
      <c r="BZ628" s="71">
        <f>(BZ553/BZ$604)-(BT553/BT$604)</f>
        <v>-3.0335086259095034E-2</v>
      </c>
      <c r="CA628" s="754">
        <f>(CA553/CA$604)-(BU553/BU$604)</f>
        <v>-1.1046707585772864E-2</v>
      </c>
      <c r="CB628" s="71"/>
      <c r="CC628" s="71">
        <f>(CC553/CC$604)-(BW553/BW$604)</f>
        <v>-3.7242865939690978E-2</v>
      </c>
      <c r="CD628" s="71">
        <f>(CD553/CD$604)-(BX553/BX$604)</f>
        <v>-4.0459215571233442E-2</v>
      </c>
      <c r="CE628" s="71">
        <f>(CE553/CE$604)-(BY553/BY$604)</f>
        <v>3.9952749430912649E-3</v>
      </c>
      <c r="CF628" s="71">
        <f>(CF553/CF$604)-(BZ553/BZ$604)</f>
        <v>3.3038128488549812E-2</v>
      </c>
      <c r="CG628" s="754">
        <f>(CG553/CG$604)-(CA553/CA$604)</f>
        <v>-5.2984767885463357E-3</v>
      </c>
      <c r="CH628" s="71"/>
      <c r="CI628" s="71">
        <f>(CI553/CI$604)-(CC553/CC$604)</f>
        <v>3.0355572506416961E-3</v>
      </c>
      <c r="CJ628" s="71">
        <f>(CJ553/CJ$604)-(CD553/CD$604)</f>
        <v>-2.5321361840685452E-2</v>
      </c>
      <c r="CK628" s="71">
        <f>(CK553/CK$604)-(CE553/CE$604)</f>
        <v>2.1330216324532136E-3</v>
      </c>
      <c r="CL628" s="71">
        <f>(CL553/CL$604)-(CF553/CF$604)</f>
        <v>-7.6370951787090857E-3</v>
      </c>
      <c r="CM628" s="754">
        <f>(CM553/CM$604)-(CG553/CG$604)</f>
        <v>-8.9225458877230102E-3</v>
      </c>
      <c r="CN628" s="71"/>
      <c r="CO628" s="71">
        <f>(CO553/CO$604)-(CI553/CI$604)</f>
        <v>1.6945492567844139E-2</v>
      </c>
      <c r="CP628" s="71">
        <f>(CP553/CP$604)-(CJ553/CJ$604)</f>
        <v>2.4586745284821021E-2</v>
      </c>
      <c r="CQ628" s="71">
        <f>(CQ553/CQ$604)-(CK553/CK$604)</f>
        <v>-1.1849890726648604E-2</v>
      </c>
      <c r="CR628" s="71">
        <f>(CR553/CR$604)-(CL553/CL$604)</f>
        <v>9.8041550670488475E-3</v>
      </c>
      <c r="CS628" s="754">
        <f>(CS553/CS$604)-(CM553/CM$604)</f>
        <v>9.1650857035407429E-3</v>
      </c>
      <c r="CT628" s="71"/>
      <c r="CU628" s="71">
        <f>(CU553/CU$604)-(CO553/CO$604)</f>
        <v>-8.4200268511181176E-3</v>
      </c>
      <c r="CV628" s="71">
        <f>(CV553/CV$604)-(CP553/CP$604)</f>
        <v>-2.5014958170229307E-2</v>
      </c>
      <c r="CW628" s="71">
        <f>(CW553/CW$604)-(CQ553/CQ$604)</f>
        <v>-2.523934117547727E-2</v>
      </c>
      <c r="CX628" s="71">
        <f>(CX553/CX$604)-(CR553/CR$604)</f>
        <v>-3.2828753631018448E-2</v>
      </c>
      <c r="CY628" s="754">
        <f>(CY553/CY$604)-(CS553/CS$604)</f>
        <v>-2.9067831155495327E-2</v>
      </c>
      <c r="CZ628" s="71"/>
      <c r="DA628" s="71">
        <f>(DA553/DA$604)-(CU553/CU$604)</f>
        <v>-2.4944642542693157E-2</v>
      </c>
      <c r="DB628" s="71">
        <f>(DB553/DB$604)-(CV553/CV$604)</f>
        <v>-4.5634757123301783E-3</v>
      </c>
      <c r="DC628" s="71">
        <f>(DC553/DC$604)-(CW553/CW$604)</f>
        <v>-8.2346272652759067E-3</v>
      </c>
      <c r="DD628" s="71">
        <f>(DD553/DD$604)-(CX553/CX$604)</f>
        <v>-7.3923939012874806E-2</v>
      </c>
      <c r="DE628" s="754">
        <f>(DE553/DE$604)-(CY553/CY$604)</f>
        <v>-2.4349517824401312E-2</v>
      </c>
      <c r="DF628" s="71"/>
      <c r="DG628" s="71">
        <f>(DG553/DG$604)-(DA553/DA$604)</f>
        <v>-3.3695676958462539E-2</v>
      </c>
      <c r="DH628" s="71">
        <f>(DH553/DH$604)-(DB553/DB$604)</f>
        <v>-5.0624227557138329E-2</v>
      </c>
      <c r="DI628" s="71">
        <f>(DI553/DI$604)-(DC553/DC$604)</f>
        <v>-1.5492514166882965E-2</v>
      </c>
      <c r="DJ628" s="71">
        <f>(DJ553/DJ$604)-(DD553/DD$604)</f>
        <v>2.1134560642725897E-2</v>
      </c>
      <c r="DK628" s="754">
        <f>(DK553/DK$604)-(DE553/DE$604)</f>
        <v>-2.1170479160030842E-2</v>
      </c>
      <c r="DL628" s="71"/>
      <c r="DM628" s="71">
        <f>(DM553/DM$604)-(DG553/DG$604)</f>
        <v>8.8294486864169131E-3</v>
      </c>
      <c r="DN628" s="71">
        <f>(DN553/DN$604)-(DH553/DH$604)</f>
        <v>1.7827257126208085E-3</v>
      </c>
      <c r="DO628" s="71">
        <f>(DO553/DO$604)-(DI553/DI$604)</f>
        <v>1.0367823772932772E-2</v>
      </c>
      <c r="DP628" s="71">
        <f>(DP553/DP$604)-(DJ553/DJ$604)</f>
        <v>1.992946587258726E-2</v>
      </c>
      <c r="DQ628" s="754">
        <f>(DQ553/DQ$604)-(DK553/DK$604)</f>
        <v>9.064842708692733E-3</v>
      </c>
      <c r="DR628" s="71"/>
      <c r="DS628" s="71">
        <f>(DS553/DS$604)-(DM553/DM$604)</f>
        <v>1.5787611172990129E-2</v>
      </c>
      <c r="DT628" s="71">
        <f>(DT553/DT$604)-(DN553/DN$604)</f>
        <v>3.1157819582061042E-2</v>
      </c>
      <c r="DU628" s="71">
        <f>(DU553/DU$604)-(DO553/DO$604)</f>
        <v>-1.3310018165458293E-3</v>
      </c>
      <c r="DV628" s="71">
        <f>(DV553/DV$604)-(DP553/DP$604)</f>
        <v>2.0051748436444861E-3</v>
      </c>
      <c r="DW628" s="754">
        <f>(DW553/DW$604)-(DQ553/DQ$604)</f>
        <v>1.1582424997995777E-2</v>
      </c>
      <c r="DX628" s="71"/>
      <c r="DY628" s="71">
        <f>(DY553/DY$604)-(DS553/DS$604)</f>
        <v>3.6637988265895982E-3</v>
      </c>
      <c r="DZ628" s="71">
        <f>(DZ553/DZ$604)-(DT553/DT$604)</f>
        <v>-6.9733810870608592E-3</v>
      </c>
      <c r="EA628" s="71">
        <f>(EA553/EA$604)-(DU553/DU$604)</f>
        <v>-6.1934844543543033E-4</v>
      </c>
      <c r="EB628" s="71">
        <f>(EB553/EB$604)-(DV553/DV$604)</f>
        <v>-2.0211103437466515E-2</v>
      </c>
      <c r="EC628" s="754">
        <f>(EC553/EC$604)-(DW553/DW$604)</f>
        <v>-2.6250446931677107E-3</v>
      </c>
      <c r="ED628" s="71"/>
      <c r="EE628" s="71">
        <f>(EE553/EE$604)-(DY553/DY$604)</f>
        <v>1.7510637895569392E-2</v>
      </c>
      <c r="EF628" s="71">
        <f>(EF553/EF$604)-(DZ553/DZ$604)</f>
        <v>1.0638223698495319E-2</v>
      </c>
      <c r="EG628" s="71">
        <f>(EG553/EG$604)-(EA553/EA$604)</f>
        <v>9.5134840483109273E-3</v>
      </c>
      <c r="EH628" s="71">
        <f>(EH553/EH$604)-(EB553/EB$604)</f>
        <v>-2.0878153692077683E-4</v>
      </c>
      <c r="EI628" s="754">
        <f>(EI553/EI$604)-(EC553/EC$604)</f>
        <v>2.9431903699784212E-3</v>
      </c>
      <c r="EJ628" s="71"/>
      <c r="EK628" s="71">
        <f>(EK553/EK$604)-(EE553/EE$604)</f>
        <v>-6.1281066417180619E-3</v>
      </c>
      <c r="EL628" s="71">
        <f>(EL553/EL$604)-(EF553/EF$604)</f>
        <v>-7.9413452304659127E-3</v>
      </c>
      <c r="EM628" s="71">
        <f>(EM553/EM$604)-(EG553/EG$604)</f>
        <v>-9.5635320121567613E-4</v>
      </c>
      <c r="EN628" s="71">
        <f>(EN553/EN$604)-(EH553/EH$604)</f>
        <v>-4.9191619248705742E-3</v>
      </c>
      <c r="EO628" s="754">
        <f>(EO553/EO$604)-(EI553/EI$604)</f>
        <v>-4.6505342999779709E-3</v>
      </c>
      <c r="EP628" s="71"/>
      <c r="EQ628" s="71">
        <f>(EQ553/EQ$604)-(EK553/EK$604)</f>
        <v>2.5450420625037801E-2</v>
      </c>
      <c r="ER628" s="71">
        <f>(ER553/ER$604)-(EL553/EL$604)</f>
        <v>9.4931558099913271E-3</v>
      </c>
      <c r="ES628" s="71">
        <f>(ES553/ES$604)-(EM553/EM$604)</f>
        <v>1.9978865932987366E-2</v>
      </c>
      <c r="ET628" s="71">
        <f>(ET553/ET$604)-(EN553/EN$604)</f>
        <v>2.6617053028931359E-2</v>
      </c>
      <c r="EU628" s="754">
        <f>(EU553/EU$604)-(EO553/EO$604)</f>
        <v>2.0916515834108862E-2</v>
      </c>
      <c r="EV628" s="71"/>
      <c r="EW628" s="71">
        <f>(EW553/EW$604)-(EQ553/EQ$604)</f>
        <v>3.2761093498961641E-2</v>
      </c>
      <c r="EX628" s="71"/>
      <c r="EY628" s="71"/>
      <c r="EZ628" s="71"/>
      <c r="FA628" s="754"/>
      <c r="FB628" s="71"/>
      <c r="FC628" s="71"/>
      <c r="FD628" s="71"/>
      <c r="FE628" s="71"/>
      <c r="FF628" s="71"/>
      <c r="FG628" s="754"/>
      <c r="FH628" s="71"/>
      <c r="FI628" s="71"/>
      <c r="FJ628" s="71"/>
      <c r="FK628" s="71"/>
      <c r="FL628" s="71"/>
      <c r="FM628" s="754"/>
      <c r="FQ628"/>
      <c r="FR628"/>
      <c r="FS628"/>
      <c r="FT628"/>
      <c r="FU628"/>
      <c r="FV628"/>
      <c r="GB628" s="24"/>
      <c r="GC628" s="24"/>
      <c r="GD628" s="24"/>
      <c r="GE628" s="24"/>
      <c r="GF628" s="24"/>
      <c r="GG628" s="24"/>
      <c r="GH628" s="24"/>
      <c r="GI628" s="24"/>
      <c r="GJ628"/>
      <c r="GK628"/>
      <c r="GL628"/>
      <c r="GM628"/>
      <c r="GN628"/>
      <c r="GO628"/>
      <c r="GP628"/>
      <c r="GQ628"/>
      <c r="GR628"/>
      <c r="GS628"/>
      <c r="GT628"/>
      <c r="GU628"/>
      <c r="GV628"/>
      <c r="GW628"/>
      <c r="GX628"/>
      <c r="GY628"/>
      <c r="GZ628"/>
      <c r="HA628"/>
      <c r="HB628"/>
      <c r="HC628"/>
      <c r="HD628"/>
      <c r="HE628"/>
      <c r="HF628"/>
      <c r="HG628"/>
      <c r="HH628"/>
      <c r="HI628"/>
      <c r="HJ628"/>
      <c r="HK628"/>
      <c r="HL628"/>
      <c r="HM628"/>
      <c r="HN628"/>
      <c r="HO628"/>
      <c r="HP628"/>
      <c r="HQ628"/>
      <c r="HR628"/>
      <c r="HS628"/>
      <c r="HT628"/>
      <c r="HU628"/>
      <c r="HV628"/>
      <c r="HW628"/>
      <c r="HX628"/>
      <c r="HY628"/>
      <c r="HZ628"/>
      <c r="IA628"/>
      <c r="IB628"/>
      <c r="IC628"/>
      <c r="ID628"/>
      <c r="IE628"/>
      <c r="IF628"/>
      <c r="IG628"/>
      <c r="IH628"/>
      <c r="II628"/>
      <c r="IJ628"/>
      <c r="IK628"/>
      <c r="IL628"/>
      <c r="IM628"/>
      <c r="IN628"/>
      <c r="IO628"/>
      <c r="IP628"/>
      <c r="IQ628"/>
      <c r="IR628"/>
      <c r="IS628"/>
      <c r="IT628"/>
      <c r="IU628"/>
      <c r="IV628"/>
      <c r="IW628"/>
      <c r="IX628"/>
      <c r="IY628"/>
      <c r="IZ628"/>
      <c r="JA628"/>
      <c r="JB628"/>
      <c r="JC628"/>
      <c r="JD628"/>
      <c r="JE628"/>
      <c r="JF628"/>
      <c r="JG628"/>
      <c r="JH628"/>
      <c r="JI628"/>
      <c r="JJ628"/>
      <c r="JK628"/>
      <c r="JL628"/>
      <c r="JM628"/>
      <c r="JN628"/>
    </row>
    <row r="629" spans="1:274" s="64" customFormat="1" ht="12.75" hidden="1" customHeight="1" outlineLevel="2" x14ac:dyDescent="0.2">
      <c r="A629" s="753" t="s">
        <v>637</v>
      </c>
      <c r="B629" s="71"/>
      <c r="C629" s="71"/>
      <c r="D629" s="71"/>
      <c r="E629" s="71"/>
      <c r="F629" s="71"/>
      <c r="G629" s="71"/>
      <c r="H629" s="71"/>
      <c r="I629" s="71"/>
      <c r="J629" s="71"/>
      <c r="K629" s="71"/>
      <c r="L629" s="71"/>
      <c r="M629" s="71"/>
      <c r="N629" s="71"/>
      <c r="O629" s="71"/>
      <c r="P629" s="71"/>
      <c r="Q629" s="71"/>
      <c r="R629" s="71"/>
      <c r="S629" s="71"/>
      <c r="T629" s="71"/>
      <c r="U629" s="71"/>
      <c r="V629" s="71"/>
      <c r="W629" s="71"/>
      <c r="X629" s="71"/>
      <c r="Y629" s="71"/>
      <c r="Z629" s="71"/>
      <c r="AA629" s="71"/>
      <c r="AB629" s="71"/>
      <c r="AC629" s="71"/>
      <c r="AD629" s="71"/>
      <c r="AE629" s="71"/>
      <c r="AF629" s="71"/>
      <c r="AG629" s="71"/>
      <c r="AH629" s="71"/>
      <c r="AI629" s="71"/>
      <c r="AJ629" s="71"/>
      <c r="AK629" s="71"/>
      <c r="AL629" s="71"/>
      <c r="AM629" s="71"/>
      <c r="AN629" s="71"/>
      <c r="AO629" s="71"/>
      <c r="AP629" s="71"/>
      <c r="AQ629" s="71"/>
      <c r="AR629" s="71"/>
      <c r="AS629" s="71"/>
      <c r="AT629" s="71"/>
      <c r="AU629" s="71"/>
      <c r="AV629" s="71"/>
      <c r="AW629" s="71"/>
      <c r="AX629" s="71"/>
      <c r="AY629" s="71"/>
      <c r="AZ629" s="71"/>
      <c r="BA629" s="71"/>
      <c r="BB629" s="71"/>
      <c r="BC629" s="754"/>
      <c r="BD629" s="71"/>
      <c r="BE629" s="71"/>
      <c r="BF629" s="71"/>
      <c r="BG629" s="71"/>
      <c r="BH629" s="71"/>
      <c r="BI629" s="754">
        <f>BC557-BC$607</f>
        <v>-8.4495212955327803E-3</v>
      </c>
      <c r="BJ629" s="71"/>
      <c r="BK629" s="71">
        <f>BE557-BE$607</f>
        <v>-0.1211017320192399</v>
      </c>
      <c r="BL629" s="71">
        <f>BF557-BF$607</f>
        <v>-0.10162541443376355</v>
      </c>
      <c r="BM629" s="71">
        <f>BG557-BG$607</f>
        <v>-8.3129509281383185E-2</v>
      </c>
      <c r="BN629" s="71">
        <f>BH557-BH$607</f>
        <v>-2.87139541995165E-2</v>
      </c>
      <c r="BO629" s="754">
        <f>BI557-BI$607</f>
        <v>-7.362651127890063E-2</v>
      </c>
      <c r="BP629" s="71"/>
      <c r="BQ629" s="71">
        <f>BK557-BK$607</f>
        <v>-0.198334625830828</v>
      </c>
      <c r="BR629" s="71">
        <f>BL557-BL$607</f>
        <v>-0.10512681373396532</v>
      </c>
      <c r="BS629" s="71">
        <f>BM557-BM$607</f>
        <v>-0.12593123731511974</v>
      </c>
      <c r="BT629" s="71">
        <f>BN557-BN$607</f>
        <v>-1.9221662358982594E-2</v>
      </c>
      <c r="BU629" s="754">
        <f>BO557-BO$607</f>
        <v>-8.7829082831424321E-2</v>
      </c>
      <c r="BV629" s="71"/>
      <c r="BW629" s="71">
        <f>BQ557-BQ$607</f>
        <v>-0.25978882372012146</v>
      </c>
      <c r="BX629" s="71">
        <f>BR557-BR$607</f>
        <v>-9.0426331675669158E-2</v>
      </c>
      <c r="BY629" s="71">
        <f>BS557-BS$607</f>
        <v>-0.11744795658705581</v>
      </c>
      <c r="BZ629" s="71">
        <f>BT557-BT$607</f>
        <v>-4.4228124479814834E-2</v>
      </c>
      <c r="CA629" s="754">
        <f>BU557-BU$607</f>
        <v>-9.9074951559520841E-2</v>
      </c>
      <c r="CB629" s="71"/>
      <c r="CC629" s="71">
        <f>BW557-BW$607</f>
        <v>-0.26961689662526211</v>
      </c>
      <c r="CD629" s="71">
        <f>BX557-BX$607</f>
        <v>-9.5190004807973128E-2</v>
      </c>
      <c r="CE629" s="71">
        <f>BY557-BY$607</f>
        <v>-0.18129698856245668</v>
      </c>
      <c r="CF629" s="71">
        <f>BZ557-BZ$607</f>
        <v>-6.7111156836339725E-2</v>
      </c>
      <c r="CG629" s="754">
        <f>CA557-CA$607</f>
        <v>-0.12518066087972368</v>
      </c>
      <c r="CH629" s="71"/>
      <c r="CI629" s="71">
        <f>CC557-CC$607</f>
        <v>-0.38841397549074386</v>
      </c>
      <c r="CJ629" s="71">
        <f>CD557-CD$607</f>
        <v>-0.16242567097016131</v>
      </c>
      <c r="CK629" s="71">
        <f>CE557-CE$607</f>
        <v>-0.17980789357397026</v>
      </c>
      <c r="CL629" s="71">
        <f>CF557-CF$607</f>
        <v>-6.996352174691578E-2</v>
      </c>
      <c r="CM629" s="754">
        <f>CG557-CG$607</f>
        <v>-0.15246738696920975</v>
      </c>
      <c r="CN629" s="71"/>
      <c r="CO629" s="71">
        <f>CI557-CI$607</f>
        <v>-0.35622872619053292</v>
      </c>
      <c r="CP629" s="71">
        <f>CJ557-CJ$607</f>
        <v>-0.22380045981717539</v>
      </c>
      <c r="CQ629" s="71">
        <f>CK557-CK$607</f>
        <v>-0.18871740759669464</v>
      </c>
      <c r="CR629" s="71">
        <f>CL557-CL$607</f>
        <v>-7.3698564713398751E-2</v>
      </c>
      <c r="CS629" s="754">
        <f>CM557-CM$607</f>
        <v>-0.16535628769478322</v>
      </c>
      <c r="CT629" s="71"/>
      <c r="CU629" s="71">
        <f>CO557-CO$607</f>
        <v>-0.35089856777078543</v>
      </c>
      <c r="CV629" s="71">
        <f>CP557-CP$607</f>
        <v>-0.16778422718020031</v>
      </c>
      <c r="CW629" s="71">
        <f>CQ557-CQ$607</f>
        <v>-0.18332865175676932</v>
      </c>
      <c r="CX629" s="71">
        <f>CR557-CR$607</f>
        <v>-6.7504070012080919E-2</v>
      </c>
      <c r="CY629" s="754">
        <f>CS557-CS$607</f>
        <v>-0.15069622957786999</v>
      </c>
      <c r="CZ629" s="71"/>
      <c r="DA629" s="71">
        <f>CU557-CU$607</f>
        <v>-0.37647330313441785</v>
      </c>
      <c r="DB629" s="71">
        <f>CV557-CV$607</f>
        <v>-0.23209509944798484</v>
      </c>
      <c r="DC629" s="71">
        <f>CW557-CW$607</f>
        <v>-0.24311910631119449</v>
      </c>
      <c r="DD629" s="71">
        <f>CX557-CX$607</f>
        <v>-9.086368079097662E-2</v>
      </c>
      <c r="DE629" s="754">
        <f>CY557-CY$607</f>
        <v>-0.19928100203690752</v>
      </c>
      <c r="DF629" s="71"/>
      <c r="DG629" s="71">
        <f>DA557-DA$607</f>
        <v>-0.44202541158787195</v>
      </c>
      <c r="DH629" s="71">
        <f>DB557-DB$607</f>
        <v>-0.23838161349542203</v>
      </c>
      <c r="DI629" s="71">
        <f>DC557-DC$607</f>
        <v>-0.19549225850824781</v>
      </c>
      <c r="DJ629" s="71">
        <f>DD557-DD$607</f>
        <v>-2.2497694704049831E-2</v>
      </c>
      <c r="DK629" s="754">
        <f>DE557-DE$607</f>
        <v>-0.168320684891205</v>
      </c>
      <c r="DL629" s="71"/>
      <c r="DM629" s="71">
        <f>DG557-DG$607</f>
        <v>-0.28817054105464168</v>
      </c>
      <c r="DN629" s="71">
        <f>DH557-DH$607</f>
        <v>-0.14596409940233424</v>
      </c>
      <c r="DO629" s="71">
        <f>DI557-DI$607</f>
        <v>-0.14314152128290186</v>
      </c>
      <c r="DP629" s="71">
        <f>DJ557-DJ$607</f>
        <v>-5.9801300333668594E-2</v>
      </c>
      <c r="DQ629" s="754">
        <f>DK557-DK$607</f>
        <v>-0.12616009705418757</v>
      </c>
      <c r="DR629" s="71"/>
      <c r="DS629" s="71">
        <f>DM557-DM$607</f>
        <v>-0.36817149555750128</v>
      </c>
      <c r="DT629" s="71">
        <f>DN557-DN$607</f>
        <v>-0.19529237714554015</v>
      </c>
      <c r="DU629" s="71">
        <f>DO557-DO$607</f>
        <v>-0.1464944261147072</v>
      </c>
      <c r="DV629" s="71">
        <f>DP557-DP$607</f>
        <v>-6.6462071254778099E-2</v>
      </c>
      <c r="DW629" s="754">
        <f>DQ557-DQ$607</f>
        <v>-0.15350330779872073</v>
      </c>
      <c r="DX629" s="71"/>
      <c r="DY629" s="71">
        <f>DS557-DS$607</f>
        <v>-0.33303851296459608</v>
      </c>
      <c r="DZ629" s="71">
        <f>DT557-DT$607</f>
        <v>-0.17005552653840167</v>
      </c>
      <c r="EA629" s="71">
        <f>DU557-DU$607</f>
        <v>-0.22973866043051244</v>
      </c>
      <c r="EB629" s="71">
        <f>DV557-DV$607</f>
        <v>-0.10334970197932514</v>
      </c>
      <c r="EC629" s="754">
        <f>DW557-DW$607</f>
        <v>-0.17019443105512627</v>
      </c>
      <c r="ED629" s="71"/>
      <c r="EE629" s="71">
        <f>DY557-DY$607</f>
        <v>-0.40381020562383169</v>
      </c>
      <c r="EF629" s="71">
        <f>DZ557-DZ$607</f>
        <v>-0.26053149598273589</v>
      </c>
      <c r="EG629" s="71">
        <f>EA557-EA$607</f>
        <v>-0.2569622090893714</v>
      </c>
      <c r="EH629" s="71">
        <f>EB557-EB$607</f>
        <v>-9.9578004968460254E-2</v>
      </c>
      <c r="EI629" s="754">
        <f>EC557-EC$607</f>
        <v>-0.21441031873629268</v>
      </c>
      <c r="EJ629" s="71"/>
      <c r="EK629" s="71">
        <f>EE557-EE$607</f>
        <v>-0.45804195341987852</v>
      </c>
      <c r="EL629" s="71">
        <f>EF557-EF$607</f>
        <v>-0.29572784784440287</v>
      </c>
      <c r="EM629" s="71">
        <f>EG557-EG$607</f>
        <v>-0.30425057741053979</v>
      </c>
      <c r="EN629" s="71">
        <f>EH557-EH$607</f>
        <v>-0.27370951229887164</v>
      </c>
      <c r="EO629" s="754">
        <f>EI557-EI$607</f>
        <v>-0.32186219509246811</v>
      </c>
      <c r="EP629" s="71"/>
      <c r="EQ629" s="71">
        <f>EK557-EK$607</f>
        <v>-0.602124569429066</v>
      </c>
      <c r="ER629" s="71">
        <f>EL557-EL$607</f>
        <v>-0.40353081770064758</v>
      </c>
      <c r="ES629" s="71">
        <f>EM557-EM$607</f>
        <v>-0.38454139145845767</v>
      </c>
      <c r="ET629" s="71">
        <f>EN557-EN$607</f>
        <v>-0.30218520376276725</v>
      </c>
      <c r="EU629" s="754">
        <f>EO557-EO$607</f>
        <v>-0.39783728420406061</v>
      </c>
      <c r="EV629" s="71"/>
      <c r="EW629" s="71">
        <f>EQ557-EQ$607</f>
        <v>-0.58386461080426599</v>
      </c>
      <c r="EX629" s="71"/>
      <c r="EY629" s="71"/>
      <c r="EZ629" s="71"/>
      <c r="FA629" s="754"/>
      <c r="FB629" s="71"/>
      <c r="FC629" s="71"/>
      <c r="FD629" s="71"/>
      <c r="FE629" s="71"/>
      <c r="FF629" s="71"/>
      <c r="FG629" s="754"/>
      <c r="FH629" s="71"/>
      <c r="FI629" s="71"/>
      <c r="FJ629" s="71"/>
      <c r="FK629" s="71"/>
      <c r="FL629" s="71"/>
      <c r="FM629" s="754"/>
      <c r="FQ629"/>
      <c r="FR629"/>
      <c r="FS629"/>
      <c r="FT629"/>
      <c r="FU629"/>
      <c r="FV629"/>
      <c r="GB629" s="24"/>
      <c r="GC629" s="24"/>
      <c r="GD629" s="24"/>
      <c r="GE629" s="24"/>
      <c r="GF629" s="24"/>
      <c r="GG629" s="24"/>
      <c r="GH629" s="24"/>
      <c r="GI629" s="24"/>
      <c r="GJ629"/>
      <c r="GK629"/>
      <c r="GL629"/>
      <c r="GM629"/>
      <c r="GN629"/>
      <c r="GO629"/>
      <c r="GP629"/>
      <c r="GQ629"/>
      <c r="GR629"/>
      <c r="GS629"/>
      <c r="GT629"/>
      <c r="GU629"/>
      <c r="GV629"/>
      <c r="GW629"/>
      <c r="GX629"/>
      <c r="GY629"/>
      <c r="GZ629"/>
      <c r="HA629"/>
      <c r="HB629"/>
      <c r="HC629"/>
      <c r="HD629"/>
      <c r="HE629"/>
      <c r="HF629"/>
      <c r="HG629"/>
      <c r="HH629"/>
      <c r="HI629"/>
      <c r="HJ629"/>
      <c r="HK629"/>
      <c r="HL629"/>
      <c r="HM629"/>
      <c r="HN629"/>
      <c r="HO629"/>
      <c r="HP629"/>
      <c r="HQ629"/>
      <c r="HR629"/>
      <c r="HS629"/>
      <c r="HT629"/>
      <c r="HU629"/>
      <c r="HV629"/>
      <c r="HW629"/>
      <c r="HX629"/>
      <c r="HY629"/>
      <c r="HZ629"/>
      <c r="IA629"/>
      <c r="IB629"/>
      <c r="IC629"/>
      <c r="ID629"/>
      <c r="IE629"/>
      <c r="IF629"/>
      <c r="IG629"/>
      <c r="IH629"/>
      <c r="II629"/>
      <c r="IJ629"/>
      <c r="IK629"/>
      <c r="IL629"/>
      <c r="IM629"/>
      <c r="IN629"/>
      <c r="IO629"/>
      <c r="IP629"/>
      <c r="IQ629"/>
      <c r="IR629"/>
      <c r="IS629"/>
      <c r="IT629"/>
      <c r="IU629"/>
      <c r="IV629"/>
      <c r="IW629"/>
      <c r="IX629"/>
      <c r="IY629"/>
      <c r="IZ629"/>
      <c r="JA629"/>
      <c r="JB629"/>
      <c r="JC629"/>
      <c r="JD629"/>
      <c r="JE629"/>
      <c r="JF629"/>
      <c r="JG629"/>
      <c r="JH629"/>
      <c r="JI629"/>
      <c r="JJ629"/>
      <c r="JK629"/>
      <c r="JL629"/>
      <c r="JM629"/>
      <c r="JN629"/>
    </row>
    <row r="630" spans="1:274" s="749" customFormat="1" ht="12.75" hidden="1" customHeight="1" outlineLevel="1" x14ac:dyDescent="0.2">
      <c r="A630" s="750" t="s">
        <v>638</v>
      </c>
      <c r="B630" s="747"/>
      <c r="C630" s="65"/>
      <c r="D630" s="65"/>
      <c r="E630" s="65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5"/>
      <c r="AC630" s="65"/>
      <c r="AD630" s="65"/>
      <c r="AE630" s="65"/>
      <c r="AF630" s="65"/>
      <c r="AG630" s="65"/>
      <c r="AH630" s="65"/>
      <c r="AI630" s="65"/>
      <c r="AJ630" s="65"/>
      <c r="AK630" s="65"/>
      <c r="AL630" s="65"/>
      <c r="AM630" s="65"/>
      <c r="AN630" s="65"/>
      <c r="AO630" s="65"/>
      <c r="AP630" s="65"/>
      <c r="AQ630" s="65"/>
      <c r="AR630" s="65"/>
      <c r="AS630" s="65"/>
      <c r="AT630" s="65"/>
      <c r="AU630" s="65"/>
      <c r="AV630" s="65"/>
      <c r="AW630" s="65"/>
      <c r="AX630" s="65"/>
      <c r="AY630" s="65"/>
      <c r="AZ630" s="65"/>
      <c r="BA630" s="65"/>
      <c r="BB630" s="65"/>
      <c r="BC630" s="748"/>
      <c r="BD630" s="65"/>
      <c r="BE630" s="65"/>
      <c r="BF630" s="65"/>
      <c r="BG630" s="65"/>
      <c r="BH630" s="65"/>
      <c r="BI630" s="751">
        <f>(BI557-BC557)*BI553</f>
        <v>-125.03457161262617</v>
      </c>
      <c r="BJ630" s="752"/>
      <c r="BK630" s="752">
        <f>(BK557-BE557)*BK553</f>
        <v>-54.122052704577001</v>
      </c>
      <c r="BL630" s="752">
        <f>(BL557-BF557)*BL553</f>
        <v>5.1004962779156378</v>
      </c>
      <c r="BM630" s="752">
        <f>(BM557-BG557)*BM553</f>
        <v>-35.826700898587909</v>
      </c>
      <c r="BN630" s="752">
        <f>(BN557-BH557)*BN553</f>
        <v>36.905209222886448</v>
      </c>
      <c r="BO630" s="751">
        <f>(BO557-BI557)*BO553</f>
        <v>-31.067587000287435</v>
      </c>
      <c r="BP630" s="752"/>
      <c r="BQ630" s="752">
        <f>(BQ557-BK557)*BQ553</f>
        <v>-19.743267504488337</v>
      </c>
      <c r="BR630" s="752">
        <f>(BR557-BL557)*BR553</f>
        <v>32.644268774703598</v>
      </c>
      <c r="BS630" s="752">
        <f>(BS557-BM557)*BS553</f>
        <v>25.03738317757011</v>
      </c>
      <c r="BT630" s="752">
        <f>(BT557-BN557)*BT553</f>
        <v>-34.317032040472156</v>
      </c>
      <c r="BU630" s="751">
        <f>(BU557-BO557)*BU553</f>
        <v>17.788065210704339</v>
      </c>
      <c r="BV630" s="65"/>
      <c r="BW630" s="752">
        <f>(BW557-BQ557)*BW553</f>
        <v>7.7729007633587761</v>
      </c>
      <c r="BX630" s="752">
        <f>(BX557-BR557)*BX553</f>
        <v>22.714788732394318</v>
      </c>
      <c r="BY630" s="752">
        <f>(BY557-BS557)*BY553</f>
        <v>-52.244970414201184</v>
      </c>
      <c r="BZ630" s="752">
        <f>(BZ557-BT557)*BZ553</f>
        <v>-63.716463414634291</v>
      </c>
      <c r="CA630" s="751">
        <f>(CA557-BU557)*CA553</f>
        <v>-66.570336824228633</v>
      </c>
      <c r="CB630" s="65"/>
      <c r="CC630" s="752">
        <f>(CC557-BW557)*CC553</f>
        <v>-72.258467023172884</v>
      </c>
      <c r="CD630" s="752">
        <f>(CD557-BX557)*CD553</f>
        <v>-88.866873065015497</v>
      </c>
      <c r="CE630" s="752">
        <f>(CE557-BY557)*CE553</f>
        <v>-0.4196617336152117</v>
      </c>
      <c r="CF630" s="752">
        <f>(CF557-BZ557)*CF553</f>
        <v>-31.662515566625054</v>
      </c>
      <c r="CG630" s="751">
        <f>(CG557-CA557)*CG553</f>
        <v>-172.70480156785888</v>
      </c>
      <c r="CH630" s="65"/>
      <c r="CI630" s="752">
        <f>(CI557-CC557)*CI553</f>
        <v>12.812101910828025</v>
      </c>
      <c r="CJ630" s="752">
        <f>(CJ557-CD557)*CJ553</f>
        <v>-111.72727272727272</v>
      </c>
      <c r="CK630" s="752">
        <f>(CK557-CE557)*CK553</f>
        <v>-37.565296803652998</v>
      </c>
      <c r="CL630" s="752">
        <f>(CL557-CF557)*CL553</f>
        <v>-4.9532577903683892</v>
      </c>
      <c r="CM630" s="751">
        <f>(CM557-CG557)*CM553</f>
        <v>-161.69287318766615</v>
      </c>
      <c r="CN630" s="65"/>
      <c r="CO630" s="752">
        <f>(CO557-CI557)*CO553</f>
        <v>9.4663341645885257</v>
      </c>
      <c r="CP630" s="752">
        <f>(CP557-CJ557)*CP553</f>
        <v>128.5601659751037</v>
      </c>
      <c r="CQ630" s="752">
        <f>(CQ557-CK557)*CQ553</f>
        <v>32.302593659942346</v>
      </c>
      <c r="CR630" s="752">
        <f>(CR557-CL557)*CR553</f>
        <v>57.370310609116849</v>
      </c>
      <c r="CS630" s="751">
        <f>(CS557-CM557)*CS553</f>
        <v>207.24651004426312</v>
      </c>
      <c r="CT630" s="65"/>
      <c r="CU630" s="752">
        <f>(CU557-CO557)*CU553</f>
        <v>-14.040590405904069</v>
      </c>
      <c r="CV630" s="752">
        <f>(CV557-CP557)*CV553</f>
        <v>-69.56036036036032</v>
      </c>
      <c r="CW630" s="752">
        <f>(CW557-CQ557)*CW553</f>
        <v>-37.931141439205959</v>
      </c>
      <c r="CX630" s="752">
        <f>(CX557-CR557)*CX553</f>
        <v>21.026114649681332</v>
      </c>
      <c r="CY630" s="751">
        <f>(CY557-CS557)*CY553</f>
        <v>-175.51339821357158</v>
      </c>
      <c r="CZ630" s="65"/>
      <c r="DA630" s="752">
        <f>(DA557-CU557)*DA553</f>
        <v>-7.1636952998379355</v>
      </c>
      <c r="DB630" s="752">
        <f>(DB557-CV557)*DB553</f>
        <v>47.699322242760303</v>
      </c>
      <c r="DC630" s="752">
        <f>(DC557-CW557)*DC553</f>
        <v>73.22802379378723</v>
      </c>
      <c r="DD630" s="752">
        <f>(DD557-CX557)*DD553</f>
        <v>52.630926331145162</v>
      </c>
      <c r="DE630" s="751">
        <f>(DE557-CY557)*DE553</f>
        <v>258.63188976377944</v>
      </c>
      <c r="DF630" s="65"/>
      <c r="DG630" s="752">
        <f>(DG557-DA557)*DG553</f>
        <v>122.60428849902537</v>
      </c>
      <c r="DH630" s="752">
        <f>(DH557-DB557)*DH553</f>
        <v>76.613705275924843</v>
      </c>
      <c r="DI630" s="752">
        <f>(DI557-DC557)*DI553</f>
        <v>81.590724637681177</v>
      </c>
      <c r="DJ630" s="752">
        <f>(DJ557-DD557)*DJ553</f>
        <v>-76.438400000000044</v>
      </c>
      <c r="DK630" s="751">
        <f>(DK557-DE557)*DK553</f>
        <v>184.49169435215961</v>
      </c>
      <c r="DL630" s="65"/>
      <c r="DM630" s="752">
        <f>(DM557-DG557)*DM553</f>
        <v>-105.18876755070204</v>
      </c>
      <c r="DN630" s="752">
        <f>(DN557-DH557)*DN553</f>
        <v>-77.570065293822211</v>
      </c>
      <c r="DO630" s="752">
        <f>(DO557-DI557)*DO553</f>
        <v>18.285714285714239</v>
      </c>
      <c r="DP630" s="752">
        <f>(DP557-DJ557)*DP553</f>
        <v>10.370816599732635</v>
      </c>
      <c r="DQ630" s="751">
        <f>(DQ557-DK557)*DQ553</f>
        <v>-173.86334056399153</v>
      </c>
      <c r="DR630" s="65"/>
      <c r="DS630" s="752">
        <f>(DS557-DM557)*DS553</f>
        <v>98.559276624246436</v>
      </c>
      <c r="DT630" s="752">
        <f>(DT557-DN557)*DT553</f>
        <v>114.32485322896274</v>
      </c>
      <c r="DU630" s="752">
        <f>(DU557-DO557)*DU553</f>
        <v>-181.47088607594935</v>
      </c>
      <c r="DV630" s="752">
        <f>(DV557-DP557)*DV553</f>
        <v>-85.068698476143084</v>
      </c>
      <c r="DW630" s="751">
        <f>(DW557-DQ557)*DW553</f>
        <v>-91.367305751765954</v>
      </c>
      <c r="DX630" s="65"/>
      <c r="DY630" s="752">
        <f>(DY557-DS557)*DY553</f>
        <v>-108.93014474512269</v>
      </c>
      <c r="DZ630" s="752">
        <f>(DZ557-DT557)*DZ553</f>
        <v>-237.53377814845692</v>
      </c>
      <c r="EA630" s="752">
        <f>(EA557-DU557)*EA553</f>
        <v>-57.370179948586205</v>
      </c>
      <c r="EB630" s="752">
        <f>(EB557-DV557)*EB553</f>
        <v>-46.740878629932965</v>
      </c>
      <c r="EC630" s="751">
        <f>(EC557-DW557)*EC553</f>
        <v>-460.22898550724602</v>
      </c>
      <c r="ED630" s="65"/>
      <c r="EE630" s="752">
        <f>(EE557-DY557)*EE553</f>
        <v>-93.597701149425305</v>
      </c>
      <c r="EF630" s="752">
        <f>(EF557-DZ557)*EF553</f>
        <v>-88.45668629100085</v>
      </c>
      <c r="EG630" s="752">
        <f>(EG557-EA557)*EG553</f>
        <v>-150.23159636062852</v>
      </c>
      <c r="EH630" s="752">
        <f>(EH557-EB557)*EH553</f>
        <v>-881.31614952357677</v>
      </c>
      <c r="EI630" s="751">
        <f>(EI557-EC557)*EI553</f>
        <v>-1310.2656042496683</v>
      </c>
      <c r="EJ630" s="65"/>
      <c r="EK630" s="752">
        <f>(EK557-EE557)*EK553</f>
        <v>-322.94639956686513</v>
      </c>
      <c r="EL630" s="752">
        <f>(EL557-EF557)*EL553</f>
        <v>-303.35296411856478</v>
      </c>
      <c r="EM630" s="752">
        <f>(EM557-EG557)*EM553</f>
        <v>-228.06449044585989</v>
      </c>
      <c r="EN630" s="752">
        <f>(EN557-EH557)*EN553</f>
        <v>-64.796610169491572</v>
      </c>
      <c r="EO630" s="751">
        <f>(EO557-EI557)*EO553</f>
        <v>-922.54417293233064</v>
      </c>
      <c r="EP630" s="65"/>
      <c r="EQ630" s="752">
        <f>(EQ557-EK557)*EQ553</f>
        <v>27.004537719795799</v>
      </c>
      <c r="ER630" s="752">
        <f>(ER557-EL557)*ER553</f>
        <v>-163.91069128381281</v>
      </c>
      <c r="ES630" s="752">
        <f>(ES557-EM557)*ES553</f>
        <v>-118.97600330988828</v>
      </c>
      <c r="ET630" s="752">
        <f>(ET557-EN557)*ET553</f>
        <v>330.25648097076663</v>
      </c>
      <c r="EU630" s="751">
        <f>(EU557-EO557)*EU553</f>
        <v>62.334385791810377</v>
      </c>
      <c r="EV630" s="65"/>
      <c r="EW630" s="752">
        <f>(EW557-EQ557)*EW553</f>
        <v>170.83432539682539</v>
      </c>
      <c r="EX630" s="65"/>
      <c r="EY630" s="65"/>
      <c r="EZ630" s="65"/>
      <c r="FA630" s="748"/>
      <c r="FB630" s="65"/>
      <c r="FC630" s="65"/>
      <c r="FD630" s="65"/>
      <c r="FE630" s="65"/>
      <c r="FF630" s="65"/>
      <c r="FG630" s="748"/>
      <c r="FH630" s="65"/>
      <c r="FI630" s="65"/>
      <c r="FJ630" s="65"/>
      <c r="FK630" s="65"/>
      <c r="FL630" s="65"/>
      <c r="FM630" s="748"/>
      <c r="FQ630"/>
      <c r="FR630"/>
      <c r="FS630"/>
      <c r="FT630"/>
      <c r="FU630"/>
      <c r="FV630"/>
      <c r="GB630" s="24"/>
      <c r="GC630" s="24"/>
      <c r="GD630" s="24"/>
      <c r="GE630" s="24"/>
      <c r="GF630" s="24"/>
      <c r="GG630" s="24"/>
      <c r="GH630" s="24"/>
      <c r="GI630" s="24"/>
      <c r="GJ630"/>
      <c r="GK630"/>
      <c r="GL630"/>
      <c r="GM630"/>
      <c r="GN630"/>
      <c r="GO630"/>
      <c r="GP630"/>
      <c r="GQ630"/>
      <c r="GR630"/>
      <c r="GS630"/>
      <c r="GT630"/>
      <c r="GU630"/>
      <c r="GV630"/>
      <c r="GW630"/>
      <c r="GX630"/>
      <c r="GY630"/>
      <c r="GZ630"/>
      <c r="HA630"/>
      <c r="HB630"/>
      <c r="HC630"/>
      <c r="HD630"/>
      <c r="HE630"/>
      <c r="HF630"/>
      <c r="HG630"/>
      <c r="HH630"/>
      <c r="HI630"/>
      <c r="HJ630"/>
      <c r="HK630"/>
      <c r="HL630"/>
      <c r="HM630"/>
      <c r="HN630"/>
      <c r="HO630"/>
      <c r="HP630"/>
      <c r="HQ630"/>
      <c r="HR630"/>
      <c r="HS630"/>
      <c r="HT630"/>
      <c r="HU630"/>
      <c r="HV630"/>
      <c r="HW630"/>
      <c r="HX630"/>
      <c r="HY630"/>
      <c r="HZ630"/>
      <c r="IA630"/>
      <c r="IB630"/>
      <c r="IC630"/>
      <c r="ID630"/>
      <c r="IE630"/>
      <c r="IF630"/>
      <c r="IG630"/>
      <c r="IH630"/>
      <c r="II630"/>
      <c r="IJ630"/>
      <c r="IK630"/>
      <c r="IL630"/>
      <c r="IM630"/>
      <c r="IN630"/>
      <c r="IO630"/>
      <c r="IP630"/>
      <c r="IQ630"/>
      <c r="IR630"/>
      <c r="IS630"/>
      <c r="IT630"/>
      <c r="IU630"/>
      <c r="IV630"/>
      <c r="IW630"/>
      <c r="IX630"/>
      <c r="IY630"/>
      <c r="IZ630"/>
      <c r="JA630"/>
      <c r="JB630"/>
      <c r="JC630"/>
      <c r="JD630"/>
      <c r="JE630"/>
      <c r="JF630"/>
      <c r="JG630"/>
      <c r="JH630"/>
      <c r="JI630"/>
      <c r="JJ630"/>
      <c r="JK630"/>
      <c r="JL630"/>
      <c r="JM630"/>
      <c r="JN630"/>
    </row>
    <row r="631" spans="1:274" s="749" customFormat="1" ht="6" hidden="1" customHeight="1" outlineLevel="1" x14ac:dyDescent="0.2">
      <c r="A631" s="750"/>
      <c r="B631" s="747"/>
      <c r="C631" s="65"/>
      <c r="D631" s="65"/>
      <c r="E631" s="65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5"/>
      <c r="AC631" s="65"/>
      <c r="AD631" s="65"/>
      <c r="AE631" s="65"/>
      <c r="AF631" s="65"/>
      <c r="AG631" s="65"/>
      <c r="AH631" s="65"/>
      <c r="AI631" s="65"/>
      <c r="AJ631" s="65"/>
      <c r="AK631" s="65"/>
      <c r="AL631" s="65"/>
      <c r="AM631" s="65"/>
      <c r="AN631" s="65"/>
      <c r="AO631" s="65"/>
      <c r="AP631" s="65"/>
      <c r="AQ631" s="65"/>
      <c r="AR631" s="65"/>
      <c r="AS631" s="65"/>
      <c r="AT631" s="65"/>
      <c r="AU631" s="65"/>
      <c r="AV631" s="65"/>
      <c r="AW631" s="65"/>
      <c r="AX631" s="65"/>
      <c r="AY631" s="65"/>
      <c r="AZ631" s="65"/>
      <c r="BA631" s="65"/>
      <c r="BB631" s="65"/>
      <c r="BC631" s="748"/>
      <c r="BD631" s="65"/>
      <c r="BE631" s="65"/>
      <c r="BF631" s="65"/>
      <c r="BG631" s="65"/>
      <c r="BH631" s="65"/>
      <c r="BI631" s="751"/>
      <c r="BJ631" s="752"/>
      <c r="BK631" s="752"/>
      <c r="BL631" s="752"/>
      <c r="BM631" s="752"/>
      <c r="BN631" s="752"/>
      <c r="BO631" s="751"/>
      <c r="BP631" s="752"/>
      <c r="BQ631" s="752"/>
      <c r="BR631" s="752"/>
      <c r="BS631" s="752"/>
      <c r="BT631" s="752"/>
      <c r="BU631" s="751"/>
      <c r="BV631" s="65"/>
      <c r="BW631" s="752"/>
      <c r="BX631" s="752"/>
      <c r="BY631" s="752"/>
      <c r="BZ631" s="752"/>
      <c r="CA631" s="751"/>
      <c r="CB631" s="65"/>
      <c r="CC631" s="752"/>
      <c r="CD631" s="752"/>
      <c r="CE631" s="752"/>
      <c r="CF631" s="752"/>
      <c r="CG631" s="751"/>
      <c r="CH631" s="65"/>
      <c r="CI631" s="752"/>
      <c r="CJ631" s="752"/>
      <c r="CK631" s="752"/>
      <c r="CL631" s="752"/>
      <c r="CM631" s="751"/>
      <c r="CN631" s="65"/>
      <c r="CO631" s="752"/>
      <c r="CP631" s="752"/>
      <c r="CQ631" s="752"/>
      <c r="CR631" s="752"/>
      <c r="CS631" s="751"/>
      <c r="CT631" s="65"/>
      <c r="CU631" s="752"/>
      <c r="CV631" s="752"/>
      <c r="CW631" s="752"/>
      <c r="CX631" s="752"/>
      <c r="CY631" s="751"/>
      <c r="CZ631" s="65"/>
      <c r="DA631" s="752"/>
      <c r="DB631" s="752"/>
      <c r="DC631" s="752"/>
      <c r="DD631" s="752"/>
      <c r="DE631" s="751"/>
      <c r="DF631" s="65"/>
      <c r="DG631" s="752"/>
      <c r="DH631" s="752"/>
      <c r="DI631" s="752"/>
      <c r="DJ631" s="752"/>
      <c r="DK631" s="751"/>
      <c r="DL631" s="65"/>
      <c r="DM631" s="752"/>
      <c r="DN631" s="752"/>
      <c r="DO631" s="752"/>
      <c r="DP631" s="752"/>
      <c r="DQ631" s="751"/>
      <c r="DR631" s="65"/>
      <c r="DS631" s="752"/>
      <c r="DT631" s="752"/>
      <c r="DU631" s="752"/>
      <c r="DV631" s="752"/>
      <c r="DW631" s="751"/>
      <c r="DX631" s="65"/>
      <c r="DY631" s="752"/>
      <c r="DZ631" s="752"/>
      <c r="EA631" s="752"/>
      <c r="EB631" s="752"/>
      <c r="EC631" s="751"/>
      <c r="ED631" s="65"/>
      <c r="EE631" s="752"/>
      <c r="EF631" s="752"/>
      <c r="EG631" s="752"/>
      <c r="EH631" s="752"/>
      <c r="EI631" s="751"/>
      <c r="EJ631" s="65"/>
      <c r="EK631" s="752"/>
      <c r="EL631" s="752"/>
      <c r="EM631" s="752"/>
      <c r="EN631" s="752"/>
      <c r="EO631" s="751"/>
      <c r="EP631" s="65"/>
      <c r="EQ631" s="752"/>
      <c r="ER631" s="752"/>
      <c r="ES631" s="752"/>
      <c r="ET631" s="752"/>
      <c r="EU631" s="751"/>
      <c r="EV631" s="65"/>
      <c r="EW631" s="752"/>
      <c r="EX631" s="65"/>
      <c r="EY631" s="65"/>
      <c r="EZ631" s="65"/>
      <c r="FA631" s="748"/>
      <c r="FB631" s="65"/>
      <c r="FC631" s="65"/>
      <c r="FD631" s="65"/>
      <c r="FE631" s="65"/>
      <c r="FF631" s="65"/>
      <c r="FG631" s="748"/>
      <c r="FH631" s="65"/>
      <c r="FI631" s="65"/>
      <c r="FJ631" s="65"/>
      <c r="FK631" s="65"/>
      <c r="FL631" s="65"/>
      <c r="FM631" s="748"/>
      <c r="FQ631"/>
      <c r="FR631"/>
      <c r="FS631"/>
      <c r="FT631"/>
      <c r="FU631"/>
      <c r="FV631"/>
      <c r="GB631" s="24"/>
      <c r="GC631" s="24"/>
      <c r="GD631" s="24"/>
      <c r="GE631" s="24"/>
      <c r="GF631" s="24"/>
      <c r="GG631" s="24"/>
      <c r="GH631" s="24"/>
      <c r="GI631" s="24"/>
      <c r="GJ631"/>
      <c r="GK631"/>
      <c r="GL631"/>
      <c r="GM631"/>
      <c r="GN631"/>
      <c r="GO631"/>
      <c r="GP631"/>
      <c r="GQ631"/>
      <c r="GR631"/>
      <c r="GS631"/>
      <c r="GT631"/>
      <c r="GU631"/>
      <c r="GV631"/>
      <c r="GW631"/>
      <c r="GX631"/>
      <c r="GY631"/>
      <c r="GZ631"/>
      <c r="HA631"/>
      <c r="HB631"/>
      <c r="HC631"/>
      <c r="HD631"/>
      <c r="HE631"/>
      <c r="HF631"/>
      <c r="HG631"/>
      <c r="HH631"/>
      <c r="HI631"/>
      <c r="HJ631"/>
      <c r="HK631"/>
      <c r="HL631"/>
      <c r="HM631"/>
      <c r="HN631"/>
      <c r="HO631"/>
      <c r="HP631"/>
      <c r="HQ631"/>
      <c r="HR631"/>
      <c r="HS631"/>
      <c r="HT631"/>
      <c r="HU631"/>
      <c r="HV631"/>
      <c r="HW631"/>
      <c r="HX631"/>
      <c r="HY631"/>
      <c r="HZ631"/>
      <c r="IA631"/>
      <c r="IB631"/>
      <c r="IC631"/>
      <c r="ID631"/>
      <c r="IE631"/>
      <c r="IF631"/>
      <c r="IG631"/>
      <c r="IH631"/>
      <c r="II631"/>
      <c r="IJ631"/>
      <c r="IK631"/>
      <c r="IL631"/>
      <c r="IM631"/>
      <c r="IN631"/>
      <c r="IO631"/>
      <c r="IP631"/>
      <c r="IQ631"/>
      <c r="IR631"/>
      <c r="IS631"/>
      <c r="IT631"/>
      <c r="IU631"/>
      <c r="IV631"/>
      <c r="IW631"/>
      <c r="IX631"/>
      <c r="IY631"/>
      <c r="IZ631"/>
      <c r="JA631"/>
      <c r="JB631"/>
      <c r="JC631"/>
      <c r="JD631"/>
      <c r="JE631"/>
      <c r="JF631"/>
      <c r="JG631"/>
      <c r="JH631"/>
      <c r="JI631"/>
      <c r="JJ631"/>
      <c r="JK631"/>
      <c r="JL631"/>
      <c r="JM631"/>
      <c r="JN631"/>
    </row>
    <row r="632" spans="1:274" s="749" customFormat="1" ht="12.75" hidden="1" customHeight="1" outlineLevel="1" x14ac:dyDescent="0.2">
      <c r="A632" s="1478" t="str">
        <f>A559</f>
        <v>SW License Updates &amp; Product Support</v>
      </c>
      <c r="B632" s="1479"/>
      <c r="C632" s="1479"/>
      <c r="D632" s="1479"/>
      <c r="E632" s="1479"/>
      <c r="F632" s="1479"/>
      <c r="G632" s="1479"/>
      <c r="H632" s="1479"/>
      <c r="I632" s="1479"/>
      <c r="J632" s="1479"/>
      <c r="K632" s="1479"/>
      <c r="L632" s="1479"/>
      <c r="M632" s="1479"/>
      <c r="N632" s="1479"/>
      <c r="O632" s="1479"/>
      <c r="P632" s="1479"/>
      <c r="Q632" s="1479"/>
      <c r="R632" s="1479"/>
      <c r="S632" s="1479"/>
      <c r="T632" s="1479"/>
      <c r="U632" s="1479"/>
      <c r="V632" s="1479"/>
      <c r="W632" s="1479"/>
      <c r="X632" s="1479"/>
      <c r="Y632" s="1479"/>
      <c r="Z632" s="1479"/>
      <c r="AA632" s="1479"/>
      <c r="AB632" s="1479"/>
      <c r="AC632" s="1479"/>
      <c r="AD632" s="1479"/>
      <c r="AE632" s="1479"/>
      <c r="AF632" s="1479"/>
      <c r="AG632" s="1479"/>
      <c r="AH632" s="1479"/>
      <c r="AI632" s="1479"/>
      <c r="AJ632" s="1479"/>
      <c r="AK632" s="1479"/>
      <c r="AL632" s="1479"/>
      <c r="AM632" s="1479"/>
      <c r="AN632" s="1479"/>
      <c r="AO632" s="1479"/>
      <c r="AP632" s="1479"/>
      <c r="AQ632" s="1479"/>
      <c r="AR632" s="1479"/>
      <c r="AS632" s="1479"/>
      <c r="AT632" s="1479"/>
      <c r="AU632" s="1479"/>
      <c r="AV632" s="1479"/>
      <c r="AW632" s="1479"/>
      <c r="AX632" s="1479"/>
      <c r="AY632" s="1479"/>
      <c r="AZ632" s="1479"/>
      <c r="BA632" s="1479"/>
      <c r="BB632" s="1479"/>
      <c r="BC632" s="1480"/>
      <c r="BD632" s="1479"/>
      <c r="BE632" s="1479"/>
      <c r="BF632" s="1479"/>
      <c r="BG632" s="1479"/>
      <c r="BH632" s="1479"/>
      <c r="BI632" s="1481">
        <f>BI633+BI636</f>
        <v>289.70677272726169</v>
      </c>
      <c r="BJ632" s="1482"/>
      <c r="BK632" s="1482">
        <f>BK633+BK636</f>
        <v>55.170153940616665</v>
      </c>
      <c r="BL632" s="1482">
        <f>BL633+BL636</f>
        <v>33.405163653696739</v>
      </c>
      <c r="BM632" s="1482">
        <f>BM633+BM636</f>
        <v>40.738325772758259</v>
      </c>
      <c r="BN632" s="1482">
        <f>BN633+BN636</f>
        <v>21.457391250239088</v>
      </c>
      <c r="BO632" s="1481">
        <f>BO633+BO636</f>
        <v>148.27164865056113</v>
      </c>
      <c r="BP632" s="1482"/>
      <c r="BQ632" s="1482">
        <f>BQ633+BQ636</f>
        <v>43.689747869083341</v>
      </c>
      <c r="BR632" s="1482">
        <f>BR633+BR636</f>
        <v>15.237220577171696</v>
      </c>
      <c r="BS632" s="1482">
        <f>BS633+BS636</f>
        <v>22.521238296066116</v>
      </c>
      <c r="BT632" s="1482">
        <f>BT633+BT636</f>
        <v>5.1999083917383784</v>
      </c>
      <c r="BU632" s="1481">
        <f>BU633+BU636</f>
        <v>80.401835754415686</v>
      </c>
      <c r="BV632" s="1479"/>
      <c r="BW632" s="1482">
        <f>BW633+BW636</f>
        <v>25.858792448681314</v>
      </c>
      <c r="BX632" s="1482">
        <f>BX633+BX636</f>
        <v>27.299842756511076</v>
      </c>
      <c r="BY632" s="1482">
        <f>BY633+BY636</f>
        <v>68.756227600566348</v>
      </c>
      <c r="BZ632" s="1482">
        <f>BZ633+BZ636</f>
        <v>38.391402174646693</v>
      </c>
      <c r="CA632" s="1481">
        <f>CA633+CA636</f>
        <v>152.78388553492647</v>
      </c>
      <c r="CB632" s="1479"/>
      <c r="CC632" s="1482">
        <f>CC633+CC636</f>
        <v>58.619226594785324</v>
      </c>
      <c r="CD632" s="1482">
        <f>CD633+CD636</f>
        <v>43.649083882954514</v>
      </c>
      <c r="CE632" s="1482">
        <f>CE633+CE636</f>
        <v>-7.4796513387290302</v>
      </c>
      <c r="CF632" s="1482">
        <f>CF633+CF636</f>
        <v>-16.24858047713235</v>
      </c>
      <c r="CG632" s="1481">
        <f>CG633+CG636</f>
        <v>73.700154927997602</v>
      </c>
      <c r="CH632" s="1479"/>
      <c r="CI632" s="1482">
        <f>CI633+CI636</f>
        <v>-18.01747747421533</v>
      </c>
      <c r="CJ632" s="1482">
        <f>CJ633+CJ636</f>
        <v>12.704947098922096</v>
      </c>
      <c r="CK632" s="1482">
        <f>CK633+CK636</f>
        <v>-21.178834182229707</v>
      </c>
      <c r="CL632" s="1482">
        <f>CL633+CL636</f>
        <v>12.026246982444997</v>
      </c>
      <c r="CM632" s="1481">
        <f>CM633+CM636</f>
        <v>-5.1680917301679052</v>
      </c>
      <c r="CN632" s="1479"/>
      <c r="CO632" s="1482">
        <f>CO633+CO636</f>
        <v>-12.117391350736337</v>
      </c>
      <c r="CP632" s="1482">
        <f>CP633+CP636</f>
        <v>-18.697899751196303</v>
      </c>
      <c r="CQ632" s="1482">
        <f>CQ633+CQ636</f>
        <v>26.956815487995115</v>
      </c>
      <c r="CR632" s="1482">
        <f>CR633+CR636</f>
        <v>5.7688887922871395</v>
      </c>
      <c r="CS632" s="1481">
        <f>CS633+CS636</f>
        <v>6.0120705147134963</v>
      </c>
      <c r="CT632" s="1479"/>
      <c r="CU632" s="1482">
        <f>CU633+CU636</f>
        <v>44.740991376942389</v>
      </c>
      <c r="CV632" s="1482">
        <f>CV633+CV636</f>
        <v>95.158641294102537</v>
      </c>
      <c r="CW632" s="1482">
        <f>CW633+CW636</f>
        <v>100.8640608429648</v>
      </c>
      <c r="CX632" s="1482">
        <f>CX633+CX636</f>
        <v>103.72500206128842</v>
      </c>
      <c r="CY632" s="1481">
        <f>CY633+CY636</f>
        <v>375.81495641342218</v>
      </c>
      <c r="CZ632" s="1479"/>
      <c r="DA632" s="1482">
        <f>DA633+DA636</f>
        <v>161.05588513863711</v>
      </c>
      <c r="DB632" s="1482">
        <f>DB633+DB636</f>
        <v>92.417701933979188</v>
      </c>
      <c r="DC632" s="1482">
        <f>DC633+DC636</f>
        <v>-23.136320255458944</v>
      </c>
      <c r="DD632" s="1482">
        <f>DD633+DD636</f>
        <v>-159.93564805348709</v>
      </c>
      <c r="DE632" s="1481">
        <f>DE633+DE636</f>
        <v>-22.545568729764909</v>
      </c>
      <c r="DF632" s="1479"/>
      <c r="DG632" s="1482">
        <f>DG633+DG636</f>
        <v>-384.03349602240689</v>
      </c>
      <c r="DH632" s="1482">
        <f>DH633+DH636</f>
        <v>-306.42502194871122</v>
      </c>
      <c r="DI632" s="1482">
        <f>DI633+DI636</f>
        <v>-218.60884094209547</v>
      </c>
      <c r="DJ632" s="1482">
        <f>DJ633+DJ636</f>
        <v>13.147343290534563</v>
      </c>
      <c r="DK632" s="1481">
        <f>DK633+DK636</f>
        <v>-809.47134662649671</v>
      </c>
      <c r="DL632" s="1479"/>
      <c r="DM632" s="1482">
        <f>DM633+DM636</f>
        <v>105.20311434918293</v>
      </c>
      <c r="DN632" s="1482">
        <f>DN633+DN636</f>
        <v>120.9220437627055</v>
      </c>
      <c r="DO632" s="1482">
        <f>DO633+DO636</f>
        <v>76.690861699204973</v>
      </c>
      <c r="DP632" s="1482">
        <f>DP633+DP636</f>
        <v>30.686525305260393</v>
      </c>
      <c r="DQ632" s="1481">
        <f>DQ633+DQ636</f>
        <v>339.95106021252974</v>
      </c>
      <c r="DR632" s="1479"/>
      <c r="DS632" s="1482">
        <f>DS633+DS636</f>
        <v>82.769813317009664</v>
      </c>
      <c r="DT632" s="1482">
        <f>DT633+DT636</f>
        <v>50.857724158294566</v>
      </c>
      <c r="DU632" s="1482">
        <f>DU633+DU636</f>
        <v>119.4545258999762</v>
      </c>
      <c r="DV632" s="1482">
        <f>DV633+DV636</f>
        <v>117.22695044723832</v>
      </c>
      <c r="DW632" s="1481">
        <f>DW633+DW636</f>
        <v>369.67903923116199</v>
      </c>
      <c r="DX632" s="1479"/>
      <c r="DY632" s="1482">
        <f>DY633+DY636</f>
        <v>68.844240982265106</v>
      </c>
      <c r="DZ632" s="1482">
        <f>DZ633+DZ636</f>
        <v>70.009063411004135</v>
      </c>
      <c r="EA632" s="1482">
        <f>EA633+EA636</f>
        <v>32.086604922391118</v>
      </c>
      <c r="EB632" s="1482">
        <f>EB633+EB636</f>
        <v>24.80545632585558</v>
      </c>
      <c r="EC632" s="1481">
        <f>EC633+EC636</f>
        <v>248.04248459677117</v>
      </c>
      <c r="ED632" s="1479"/>
      <c r="EE632" s="1482">
        <f>EE633+EE636</f>
        <v>93.154424212891257</v>
      </c>
      <c r="EF632" s="1482">
        <f>EF633+EF636</f>
        <v>38.08114399677639</v>
      </c>
      <c r="EG632" s="1482">
        <f>EG633+EG636</f>
        <v>25.485298042018698</v>
      </c>
      <c r="EH632" s="1482">
        <f>EH633+EH636</f>
        <v>99.445394517101477</v>
      </c>
      <c r="EI632" s="1481">
        <f>EI633+EI636</f>
        <v>225.21464604159428</v>
      </c>
      <c r="EJ632" s="1479"/>
      <c r="EK632" s="1482">
        <f>EK633+EK636</f>
        <v>-0.8858870451183396</v>
      </c>
      <c r="EL632" s="1482">
        <f>EL633+EL636</f>
        <v>65.491656811268882</v>
      </c>
      <c r="EM632" s="1482">
        <f>EM633+EM636</f>
        <v>56.546403709567755</v>
      </c>
      <c r="EN632" s="1482">
        <f>EN633+EN636</f>
        <v>125.79193269000203</v>
      </c>
      <c r="EO632" s="1481">
        <f>EO633+EO636</f>
        <v>243.74211530939948</v>
      </c>
      <c r="EP632" s="1479"/>
      <c r="EQ632" s="1482">
        <f>EQ633+EQ636</f>
        <v>21.590557557322594</v>
      </c>
      <c r="ER632" s="1482">
        <f>ER633+ER636</f>
        <v>74.336831220424784</v>
      </c>
      <c r="ES632" s="1482">
        <f>ES633+ES636</f>
        <v>14.951112878229221</v>
      </c>
      <c r="ET632" s="1482">
        <f>ET633+ET636</f>
        <v>-15.944195337316126</v>
      </c>
      <c r="EU632" s="1481">
        <f>EU633+EU636</f>
        <v>93.123392475263501</v>
      </c>
      <c r="EV632" s="1479"/>
      <c r="EW632" s="1482">
        <f>EW633+EW636</f>
        <v>-36.436957348446356</v>
      </c>
      <c r="EX632" s="1479"/>
      <c r="EY632" s="1479"/>
      <c r="EZ632" s="1479"/>
      <c r="FA632" s="1480"/>
      <c r="FB632" s="1479"/>
      <c r="FC632" s="1479"/>
      <c r="FD632" s="1479"/>
      <c r="FE632" s="1479"/>
      <c r="FF632" s="1479"/>
      <c r="FG632" s="1480"/>
      <c r="FH632" s="1479"/>
      <c r="FI632" s="1479"/>
      <c r="FJ632" s="1479"/>
      <c r="FK632" s="1479"/>
      <c r="FL632" s="1479"/>
      <c r="FM632" s="1480"/>
      <c r="FQ632"/>
      <c r="FR632"/>
      <c r="FS632"/>
      <c r="FT632"/>
      <c r="FU632"/>
      <c r="FV632"/>
      <c r="GB632" s="24"/>
      <c r="GC632" s="24"/>
      <c r="GD632" s="24"/>
      <c r="GE632" s="24"/>
      <c r="GF632" s="24"/>
      <c r="GG632" s="24"/>
      <c r="GH632" s="24"/>
      <c r="GI632" s="24"/>
      <c r="GJ632"/>
      <c r="GK632"/>
      <c r="GL632"/>
      <c r="GM632"/>
      <c r="GN632"/>
      <c r="GO632"/>
      <c r="GP632"/>
      <c r="GQ632"/>
      <c r="GR632"/>
      <c r="GS632"/>
      <c r="GT632"/>
      <c r="GU632"/>
      <c r="GV632"/>
      <c r="GW632"/>
      <c r="GX632"/>
      <c r="GY632"/>
      <c r="GZ632"/>
      <c r="HA632"/>
      <c r="HB632"/>
      <c r="HC632"/>
      <c r="HD632"/>
      <c r="HE632"/>
      <c r="HF632"/>
      <c r="HG632"/>
      <c r="HH632"/>
      <c r="HI632"/>
      <c r="HJ632"/>
      <c r="HK632"/>
      <c r="HL632"/>
      <c r="HM632"/>
      <c r="HN632"/>
      <c r="HO632"/>
      <c r="HP632"/>
      <c r="HQ632"/>
      <c r="HR632"/>
      <c r="HS632"/>
      <c r="HT632"/>
      <c r="HU632"/>
      <c r="HV632"/>
      <c r="HW632"/>
      <c r="HX632"/>
      <c r="HY632"/>
      <c r="HZ632"/>
      <c r="IA632"/>
      <c r="IB632"/>
      <c r="IC632"/>
      <c r="ID632"/>
      <c r="IE632"/>
      <c r="IF632"/>
      <c r="IG632"/>
      <c r="IH632"/>
      <c r="II632"/>
      <c r="IJ632"/>
      <c r="IK632"/>
      <c r="IL632"/>
      <c r="IM632"/>
      <c r="IN632"/>
      <c r="IO632"/>
      <c r="IP632"/>
      <c r="IQ632"/>
      <c r="IR632"/>
      <c r="IS632"/>
      <c r="IT632"/>
      <c r="IU632"/>
      <c r="IV632"/>
      <c r="IW632"/>
      <c r="IX632"/>
      <c r="IY632"/>
      <c r="IZ632"/>
      <c r="JA632"/>
      <c r="JB632"/>
      <c r="JC632"/>
      <c r="JD632"/>
      <c r="JE632"/>
      <c r="JF632"/>
      <c r="JG632"/>
      <c r="JH632"/>
      <c r="JI632"/>
      <c r="JJ632"/>
      <c r="JK632"/>
      <c r="JL632"/>
      <c r="JM632"/>
      <c r="JN632"/>
    </row>
    <row r="633" spans="1:274" s="749" customFormat="1" ht="12.75" hidden="1" customHeight="1" outlineLevel="1" x14ac:dyDescent="0.2">
      <c r="A633" s="750" t="s">
        <v>635</v>
      </c>
      <c r="B633" s="747"/>
      <c r="C633" s="65"/>
      <c r="D633" s="65"/>
      <c r="E633" s="65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5"/>
      <c r="AC633" s="65"/>
      <c r="AD633" s="65"/>
      <c r="AE633" s="65"/>
      <c r="AF633" s="65"/>
      <c r="AG633" s="65"/>
      <c r="AH633" s="65"/>
      <c r="AI633" s="65"/>
      <c r="AJ633" s="65"/>
      <c r="AK633" s="65"/>
      <c r="AL633" s="65"/>
      <c r="AM633" s="65"/>
      <c r="AN633" s="65"/>
      <c r="AO633" s="65"/>
      <c r="AP633" s="65"/>
      <c r="AQ633" s="65"/>
      <c r="AR633" s="65"/>
      <c r="AS633" s="65"/>
      <c r="AT633" s="65"/>
      <c r="AU633" s="65"/>
      <c r="AV633" s="65"/>
      <c r="AW633" s="65"/>
      <c r="AX633" s="65"/>
      <c r="AY633" s="65"/>
      <c r="AZ633" s="65"/>
      <c r="BA633" s="65"/>
      <c r="BB633" s="65"/>
      <c r="BC633" s="748"/>
      <c r="BD633" s="65"/>
      <c r="BE633" s="65"/>
      <c r="BF633" s="65"/>
      <c r="BG633" s="65"/>
      <c r="BH633" s="65"/>
      <c r="BI633" s="751">
        <f>BI634*BI635*BI$604</f>
        <v>182.59165609593811</v>
      </c>
      <c r="BJ633" s="752"/>
      <c r="BK633" s="752">
        <f>BK634*BK635*BK$604</f>
        <v>48.775165873790861</v>
      </c>
      <c r="BL633" s="752">
        <f>BL634*BL635*BL$604</f>
        <v>30.787683517487903</v>
      </c>
      <c r="BM633" s="752">
        <f>BM634*BM635*BM$604</f>
        <v>34.184692554765107</v>
      </c>
      <c r="BN633" s="752">
        <f>BN634*BN635*BN$604</f>
        <v>23.822171124452836</v>
      </c>
      <c r="BO633" s="751">
        <f>BO634*BO635*BO$604</f>
        <v>134.88831531722769</v>
      </c>
      <c r="BP633" s="752"/>
      <c r="BQ633" s="752">
        <f>BQ634*BQ635*BQ$604</f>
        <v>37.43781416742587</v>
      </c>
      <c r="BR633" s="752">
        <f>BR634*BR635*BR$604</f>
        <v>24.788583260609879</v>
      </c>
      <c r="BS633" s="752">
        <f>BS634*BS635*BS$604</f>
        <v>25.124223370693059</v>
      </c>
      <c r="BT633" s="752">
        <f>BT634*BT635*BT$604</f>
        <v>11.213992898780726</v>
      </c>
      <c r="BU633" s="751">
        <f>BU634*BU635*BU$604</f>
        <v>92.445612796920045</v>
      </c>
      <c r="BV633" s="65"/>
      <c r="BW633" s="752">
        <f>BW634*BW635*BW$604</f>
        <v>22.928424943845826</v>
      </c>
      <c r="BX633" s="752">
        <f>BX634*BX635*BX$604</f>
        <v>6.2046901532794312</v>
      </c>
      <c r="BY633" s="752">
        <f>BY634*BY635*BY$604</f>
        <v>22.70180583185876</v>
      </c>
      <c r="BZ633" s="752">
        <f>BZ634*BZ635*BZ$604</f>
        <v>23.943269394563639</v>
      </c>
      <c r="CA633" s="751">
        <f>CA634*CA635*CA$604</f>
        <v>66.837981361819814</v>
      </c>
      <c r="CB633" s="65"/>
      <c r="CC633" s="752">
        <f>CC634*CC635*CC$604</f>
        <v>29.611573533560737</v>
      </c>
      <c r="CD633" s="752">
        <f>CD634*CD635*CD$604</f>
        <v>30.874323499567847</v>
      </c>
      <c r="CE633" s="752">
        <f>CE634*CE635*CE$604</f>
        <v>5.327010973485284</v>
      </c>
      <c r="CF633" s="752">
        <f>CF634*CF635*CF$604</f>
        <v>-25.880159424500789</v>
      </c>
      <c r="CG633" s="751">
        <f>CG634*CG635*CG$604</f>
        <v>39.025287671360744</v>
      </c>
      <c r="CH633" s="65"/>
      <c r="CI633" s="752">
        <f>CI634*CI635*CI$604</f>
        <v>-17.971773635092859</v>
      </c>
      <c r="CJ633" s="752">
        <f>CJ634*CJ635*CJ$604</f>
        <v>-0.93081449048181897</v>
      </c>
      <c r="CK633" s="752">
        <f>CK634*CK635*CK$604</f>
        <v>-24.076400679117146</v>
      </c>
      <c r="CL633" s="752">
        <f>CL634*CL635*CL$604</f>
        <v>-1.44464167945489</v>
      </c>
      <c r="CM633" s="751">
        <f>CM634*CM635*CM$604</f>
        <v>-35.1690878878455</v>
      </c>
      <c r="CN633" s="65"/>
      <c r="CO633" s="752">
        <f>CO634*CO635*CO$604</f>
        <v>-25.246744584566994</v>
      </c>
      <c r="CP633" s="752">
        <f>CP634*CP635*CP$604</f>
        <v>-25.388191013332172</v>
      </c>
      <c r="CQ633" s="752">
        <f>CQ634*CQ635*CQ$604</f>
        <v>18.86068856312367</v>
      </c>
      <c r="CR633" s="752">
        <f>CR634*CR635*CR$604</f>
        <v>-2.7053380118366523</v>
      </c>
      <c r="CS633" s="751">
        <f>CS634*CS635*CS$604</f>
        <v>-30.372779034519919</v>
      </c>
      <c r="CT633" s="65"/>
      <c r="CU633" s="752">
        <f>CU634*CU635*CU$604</f>
        <v>46.471163085854791</v>
      </c>
      <c r="CV633" s="752">
        <f>CV634*CV635*CV$604</f>
        <v>71.205061435723294</v>
      </c>
      <c r="CW633" s="752">
        <f>CW634*CW635*CW$604</f>
        <v>77.48703024228449</v>
      </c>
      <c r="CX633" s="752">
        <f>CX634*CX635*CX$604</f>
        <v>96.668595376051599</v>
      </c>
      <c r="CY633" s="751">
        <f>CY634*CY635*CY$604</f>
        <v>322.5060195142122</v>
      </c>
      <c r="CZ633" s="65"/>
      <c r="DA633" s="752">
        <f>DA634*DA635*DA$604</f>
        <v>96.331496506779715</v>
      </c>
      <c r="DB633" s="752">
        <f>DB634*DB635*DB$604</f>
        <v>68.305073947631215</v>
      </c>
      <c r="DC633" s="752">
        <f>DC634*DC635*DC$604</f>
        <v>-45.722910551954875</v>
      </c>
      <c r="DD633" s="752">
        <f>DD634*DD635*DD$604</f>
        <v>-201.2499988507536</v>
      </c>
      <c r="DE633" s="751">
        <f>DE634*DE635*DE$604</f>
        <v>-175.91507777369205</v>
      </c>
      <c r="DF633" s="65"/>
      <c r="DG633" s="752">
        <f>DG634*DG635*DG$604</f>
        <v>-342.25550497954066</v>
      </c>
      <c r="DH633" s="752">
        <f>DH634*DH635*DH$604</f>
        <v>-297.67893179231777</v>
      </c>
      <c r="DI633" s="752">
        <f>DI634*DI635*DI$604</f>
        <v>-221.53330678621191</v>
      </c>
      <c r="DJ633" s="752">
        <f>DJ634*DJ635*DJ$604</f>
        <v>27.357732900924525</v>
      </c>
      <c r="DK633" s="751">
        <f>DK634*DK635*DK$604</f>
        <v>-747.15696332479013</v>
      </c>
      <c r="DL633" s="65"/>
      <c r="DM633" s="752">
        <f>DM634*DM635*DM$604</f>
        <v>62.208869744866703</v>
      </c>
      <c r="DN633" s="752">
        <f>DN634*DN635*DN$604</f>
        <v>81.621252925509197</v>
      </c>
      <c r="DO633" s="752">
        <f>DO634*DO635*DO$604</f>
        <v>61.930478312623471</v>
      </c>
      <c r="DP633" s="752">
        <f>DP634*DP635*DP$604</f>
        <v>36.353946119739682</v>
      </c>
      <c r="DQ633" s="751">
        <f>DQ634*DQ635*DQ$604</f>
        <v>248.67195292562616</v>
      </c>
      <c r="DR633" s="65"/>
      <c r="DS633" s="752">
        <f>DS634*DS635*DS$604</f>
        <v>66.300172672647705</v>
      </c>
      <c r="DT633" s="752">
        <f>DT634*DT635*DT$604</f>
        <v>40.883750184320618</v>
      </c>
      <c r="DU633" s="752">
        <f>DU634*DU635*DU$604</f>
        <v>94.321782537144216</v>
      </c>
      <c r="DV633" s="752">
        <f>DV634*DV635*DV$604</f>
        <v>65.573187523458643</v>
      </c>
      <c r="DW633" s="751">
        <f>DW634*DW635*DW$604</f>
        <v>266.66243202240173</v>
      </c>
      <c r="DX633" s="65"/>
      <c r="DY633" s="752">
        <f>DY634*DY635*DY$604</f>
        <v>61.495628195775353</v>
      </c>
      <c r="DZ633" s="752">
        <f>DZ634*DZ635*DZ$604</f>
        <v>50.632890803124063</v>
      </c>
      <c r="EA633" s="752">
        <f>EA634*EA635*EA$604</f>
        <v>16.045168458302541</v>
      </c>
      <c r="EB633" s="752">
        <f>EB634*EB635*EB$604</f>
        <v>-10.289024709802085</v>
      </c>
      <c r="EC633" s="751">
        <f>EC634*EC635*EC$604</f>
        <v>170.29918779099063</v>
      </c>
      <c r="ED633" s="65"/>
      <c r="EE633" s="752">
        <f>EE634*EE635*EE$604</f>
        <v>55.534388111808219</v>
      </c>
      <c r="EF633" s="752">
        <f>EF634*EF635*EF$604</f>
        <v>29.608927924161488</v>
      </c>
      <c r="EG633" s="752">
        <f>EG634*EG635*EG$604</f>
        <v>26.543129367320109</v>
      </c>
      <c r="EH633" s="752">
        <f>EH634*EH635*EH$604</f>
        <v>123.75210378227736</v>
      </c>
      <c r="EI633" s="751">
        <f>EI634*EI635*EI$604</f>
        <v>204.61669997096863</v>
      </c>
      <c r="EJ633" s="65"/>
      <c r="EK633" s="752">
        <f>EK634*EK635*EK$604</f>
        <v>14.961079769508759</v>
      </c>
      <c r="EL633" s="752">
        <f>EL634*EL635*EL$604</f>
        <v>65.771355114223098</v>
      </c>
      <c r="EM633" s="752">
        <f>EM634*EM635*EM$604</f>
        <v>51.245160141814893</v>
      </c>
      <c r="EN633" s="752">
        <f>EN634*EN635*EN$604</f>
        <v>60.542892178275004</v>
      </c>
      <c r="EO633" s="751">
        <f>EO634*EO635*EO$604</f>
        <v>190.44250771580491</v>
      </c>
      <c r="EP633" s="65"/>
      <c r="EQ633" s="752">
        <f>EQ634*EQ635*EQ$604</f>
        <v>2.0517029692877413</v>
      </c>
      <c r="ER633" s="752">
        <f>ER634*ER635*ER$604</f>
        <v>18.758142345771866</v>
      </c>
      <c r="ES633" s="752">
        <f>ES634*ES635*ES$604</f>
        <v>-13.546424067583764</v>
      </c>
      <c r="ET633" s="752">
        <f>ET634*ET635*ET$604</f>
        <v>-26.340747061454177</v>
      </c>
      <c r="EU633" s="751">
        <f>EU634*EU635*EU$604</f>
        <v>-20.830803569903374</v>
      </c>
      <c r="EV633" s="65"/>
      <c r="EW633" s="752">
        <f>EW634*EW635*EW$604</f>
        <v>-61.908895591717858</v>
      </c>
      <c r="EX633" s="65"/>
      <c r="EY633" s="65"/>
      <c r="EZ633" s="65"/>
      <c r="FA633" s="748"/>
      <c r="FB633" s="65"/>
      <c r="FC633" s="65"/>
      <c r="FD633" s="65"/>
      <c r="FE633" s="65"/>
      <c r="FF633" s="65"/>
      <c r="FG633" s="748"/>
      <c r="FH633" s="65"/>
      <c r="FI633" s="65"/>
      <c r="FJ633" s="65"/>
      <c r="FK633" s="65"/>
      <c r="FL633" s="65"/>
      <c r="FM633" s="748"/>
      <c r="FQ633"/>
      <c r="FR633"/>
      <c r="FS633"/>
      <c r="FT633"/>
      <c r="FU633"/>
      <c r="FV633"/>
      <c r="GB633" s="24"/>
      <c r="GC633" s="24"/>
      <c r="GD633" s="24"/>
      <c r="GE633" s="24"/>
      <c r="GF633" s="24"/>
      <c r="GG633" s="24"/>
      <c r="GH633" s="24"/>
      <c r="GI633" s="24"/>
      <c r="GJ633"/>
      <c r="GK633"/>
      <c r="GL633"/>
      <c r="GM633"/>
      <c r="GN633"/>
      <c r="GO633"/>
      <c r="GP633"/>
      <c r="GQ633"/>
      <c r="GR633"/>
      <c r="GS633"/>
      <c r="GT633"/>
      <c r="GU633"/>
      <c r="GV633"/>
      <c r="GW633"/>
      <c r="GX633"/>
      <c r="GY633"/>
      <c r="GZ633"/>
      <c r="HA633"/>
      <c r="HB633"/>
      <c r="HC633"/>
      <c r="HD633"/>
      <c r="HE633"/>
      <c r="HF633"/>
      <c r="HG633"/>
      <c r="HH633"/>
      <c r="HI633"/>
      <c r="HJ633"/>
      <c r="HK633"/>
      <c r="HL633"/>
      <c r="HM633"/>
      <c r="HN633"/>
      <c r="HO633"/>
      <c r="HP633"/>
      <c r="HQ633"/>
      <c r="HR633"/>
      <c r="HS633"/>
      <c r="HT633"/>
      <c r="HU633"/>
      <c r="HV633"/>
      <c r="HW633"/>
      <c r="HX633"/>
      <c r="HY633"/>
      <c r="HZ633"/>
      <c r="IA633"/>
      <c r="IB633"/>
      <c r="IC633"/>
      <c r="ID633"/>
      <c r="IE633"/>
      <c r="IF633"/>
      <c r="IG633"/>
      <c r="IH633"/>
      <c r="II633"/>
      <c r="IJ633"/>
      <c r="IK633"/>
      <c r="IL633"/>
      <c r="IM633"/>
      <c r="IN633"/>
      <c r="IO633"/>
      <c r="IP633"/>
      <c r="IQ633"/>
      <c r="IR633"/>
      <c r="IS633"/>
      <c r="IT633"/>
      <c r="IU633"/>
      <c r="IV633"/>
      <c r="IW633"/>
      <c r="IX633"/>
      <c r="IY633"/>
      <c r="IZ633"/>
      <c r="JA633"/>
      <c r="JB633"/>
      <c r="JC633"/>
      <c r="JD633"/>
      <c r="JE633"/>
      <c r="JF633"/>
      <c r="JG633"/>
      <c r="JH633"/>
      <c r="JI633"/>
      <c r="JJ633"/>
      <c r="JK633"/>
      <c r="JL633"/>
      <c r="JM633"/>
      <c r="JN633"/>
    </row>
    <row r="634" spans="1:274" s="64" customFormat="1" ht="12.75" hidden="1" customHeight="1" outlineLevel="2" x14ac:dyDescent="0.2">
      <c r="A634" s="753" t="s">
        <v>636</v>
      </c>
      <c r="B634" s="71"/>
      <c r="C634" s="71"/>
      <c r="D634" s="71"/>
      <c r="E634" s="71"/>
      <c r="F634" s="71"/>
      <c r="G634" s="71"/>
      <c r="H634" s="71"/>
      <c r="I634" s="71"/>
      <c r="J634" s="71"/>
      <c r="K634" s="71"/>
      <c r="L634" s="71"/>
      <c r="M634" s="71"/>
      <c r="N634" s="71"/>
      <c r="O634" s="71"/>
      <c r="P634" s="71"/>
      <c r="Q634" s="71"/>
      <c r="R634" s="71"/>
      <c r="S634" s="71"/>
      <c r="T634" s="71"/>
      <c r="U634" s="71"/>
      <c r="V634" s="71"/>
      <c r="W634" s="71"/>
      <c r="X634" s="71"/>
      <c r="Y634" s="71"/>
      <c r="Z634" s="71"/>
      <c r="AA634" s="71"/>
      <c r="AB634" s="71"/>
      <c r="AC634" s="71"/>
      <c r="AD634" s="71"/>
      <c r="AE634" s="71"/>
      <c r="AF634" s="71"/>
      <c r="AG634" s="71"/>
      <c r="AH634" s="71"/>
      <c r="AI634" s="71"/>
      <c r="AJ634" s="71"/>
      <c r="AK634" s="71"/>
      <c r="AL634" s="71"/>
      <c r="AM634" s="71"/>
      <c r="AN634" s="71"/>
      <c r="AO634" s="71"/>
      <c r="AP634" s="71"/>
      <c r="AQ634" s="71"/>
      <c r="AR634" s="71"/>
      <c r="AS634" s="71"/>
      <c r="AT634" s="71"/>
      <c r="AU634" s="71"/>
      <c r="AV634" s="71"/>
      <c r="AW634" s="71"/>
      <c r="AX634" s="71"/>
      <c r="AY634" s="71"/>
      <c r="AZ634" s="71"/>
      <c r="BA634" s="71"/>
      <c r="BB634" s="71"/>
      <c r="BC634" s="754"/>
      <c r="BD634" s="71"/>
      <c r="BE634" s="71"/>
      <c r="BF634" s="71"/>
      <c r="BG634" s="71"/>
      <c r="BH634" s="71"/>
      <c r="BI634" s="754">
        <f>(BI560/BI$604)-(BC560/BC$604)</f>
        <v>6.4808471579541671E-2</v>
      </c>
      <c r="BJ634" s="71"/>
      <c r="BK634" s="71">
        <f>(BK560/BK$604)-(BE560/BE$604)</f>
        <v>7.6274540538422364E-2</v>
      </c>
      <c r="BL634" s="71">
        <f>(BL560/BL$604)-(BF560/BF$604)</f>
        <v>4.2997805445261661E-2</v>
      </c>
      <c r="BM634" s="71">
        <f>(BM560/BM$604)-(BG560/BG$604)</f>
        <v>5.0895832317478684E-2</v>
      </c>
      <c r="BN634" s="71">
        <f>(BN560/BN$604)-(BH560/BH$604)</f>
        <v>3.234642027716339E-2</v>
      </c>
      <c r="BO634" s="754">
        <f>(BO560/BO$604)-(BI560/BI$604)</f>
        <v>4.8703059709492458E-2</v>
      </c>
      <c r="BP634" s="71"/>
      <c r="BQ634" s="71">
        <f>(BQ560/BQ$604)-(BK560/BK$604)</f>
        <v>5.278228355151432E-2</v>
      </c>
      <c r="BR634" s="71">
        <f>(BR560/BR$604)-(BL560/BL$604)</f>
        <v>3.2790892740177435E-2</v>
      </c>
      <c r="BS634" s="71">
        <f>(BS560/BS$604)-(BM560/BM$604)</f>
        <v>3.3081945308981286E-2</v>
      </c>
      <c r="BT634" s="71">
        <f>(BT560/BT$604)-(BN560/BN$604)</f>
        <v>1.5423051371790564E-2</v>
      </c>
      <c r="BU634" s="754">
        <f>(BU560/BU$604)-(BO560/BO$604)</f>
        <v>3.1273100061208758E-2</v>
      </c>
      <c r="BV634" s="71"/>
      <c r="BW634" s="71">
        <f>(BW560/BW$604)-(BQ560/BQ$604)</f>
        <v>3.1890758865928126E-2</v>
      </c>
      <c r="BX634" s="71">
        <f>(BX560/BX$604)-(BR560/BR$604)</f>
        <v>8.3248020767847652E-3</v>
      </c>
      <c r="BY634" s="71">
        <f>(BY560/BY$604)-(BS560/BS$604)</f>
        <v>2.6276049609701257E-2</v>
      </c>
      <c r="BZ634" s="71">
        <f>(BZ560/BZ$604)-(BT560/BT$604)</f>
        <v>2.5400819973335431E-2</v>
      </c>
      <c r="CA634" s="754">
        <f>(CA560/CA$604)-(BU560/BU$604)</f>
        <v>2.0266798582430912E-2</v>
      </c>
      <c r="CB634" s="71"/>
      <c r="CC634" s="71">
        <f>(CC560/CC$604)-(BW560/BW$604)</f>
        <v>3.3573976103450809E-2</v>
      </c>
      <c r="CD634" s="71">
        <f>(CD560/CD$604)-(BX560/BX$604)</f>
        <v>3.5111479063625495E-2</v>
      </c>
      <c r="CE634" s="71">
        <f>(CE560/CE$604)-(BY560/BY$604)</f>
        <v>5.0113158745554442E-3</v>
      </c>
      <c r="CF634" s="71">
        <f>(CF560/CF$604)-(BZ560/BZ$604)</f>
        <v>-2.0338557956141923E-2</v>
      </c>
      <c r="CG634" s="754">
        <f>(CG560/CG$604)-(CA560/CA$604)</f>
        <v>9.5193865670410993E-3</v>
      </c>
      <c r="CH634" s="71"/>
      <c r="CI634" s="71">
        <f>(CI560/CI$604)-(CC560/CC$604)</f>
        <v>-1.5469164419315118E-2</v>
      </c>
      <c r="CJ634" s="71">
        <f>(CJ560/CJ$604)-(CD560/CD$604)</f>
        <v>-7.7824579372687275E-4</v>
      </c>
      <c r="CK634" s="71">
        <f>(CK560/CK$604)-(CE560/CE$604)</f>
        <v>-1.8318723308608675E-2</v>
      </c>
      <c r="CL634" s="71">
        <f>(CL560/CL$604)-(CF560/CF$604)</f>
        <v>-8.9372461213149679E-4</v>
      </c>
      <c r="CM634" s="754">
        <f>(CM560/CM$604)-(CG560/CG$604)</f>
        <v>-6.6499444239466188E-3</v>
      </c>
      <c r="CN634" s="71"/>
      <c r="CO634" s="71">
        <f>(CO560/CO$604)-(CI560/CI$604)</f>
        <v>-1.648078768844885E-2</v>
      </c>
      <c r="CP634" s="71">
        <f>(CP560/CP$604)-(CJ560/CJ$604)</f>
        <v>-1.4714726187797733E-2</v>
      </c>
      <c r="CQ634" s="71">
        <f>(CQ560/CQ$604)-(CK560/CK$604)</f>
        <v>1.1150598192243011E-2</v>
      </c>
      <c r="CR634" s="71">
        <f>(CR560/CR$604)-(CL560/CL$604)</f>
        <v>-1.3324353918040543E-3</v>
      </c>
      <c r="CS634" s="754">
        <f>(CS560/CS$604)-(CM560/CM$604)</f>
        <v>-4.3530891084090917E-3</v>
      </c>
      <c r="CT634" s="71"/>
      <c r="CU634" s="71">
        <f>(CU560/CU$604)-(CO560/CO$604)</f>
        <v>2.5547111408689482E-2</v>
      </c>
      <c r="CV634" s="71">
        <f>(CV560/CV$604)-(CP560/CP$604)</f>
        <v>4.1310053791717483E-2</v>
      </c>
      <c r="CW634" s="71">
        <f>(CW560/CW$604)-(CQ560/CQ$604)</f>
        <v>4.6412311162877251E-2</v>
      </c>
      <c r="CX634" s="71">
        <f>(CX560/CX$604)-(CR560/CR$604)</f>
        <v>5.2075860700606491E-2</v>
      </c>
      <c r="CY634" s="754">
        <f>(CY560/CY$604)-(CS560/CS$604)</f>
        <v>4.5892844323125903E-2</v>
      </c>
      <c r="CZ634" s="71"/>
      <c r="DA634" s="71">
        <f>(DA560/DA$604)-(CU560/CU$604)</f>
        <v>5.9323858373793059E-2</v>
      </c>
      <c r="DB634" s="71">
        <f>(DB560/DB$604)-(CV560/CV$604)</f>
        <v>4.0137283081208674E-2</v>
      </c>
      <c r="DC634" s="71">
        <f>(DC560/DC$604)-(CW560/CW$604)</f>
        <v>-2.5563555346248767E-2</v>
      </c>
      <c r="DD634" s="71">
        <f>(DD560/DD$604)-(CX560/CX$604)</f>
        <v>-8.6714088221474417E-2</v>
      </c>
      <c r="DE634" s="754">
        <f>(DE560/DE$604)-(CY560/CY$604)</f>
        <v>-2.3270016808104477E-2</v>
      </c>
      <c r="DF634" s="71"/>
      <c r="DG634" s="71">
        <f>(DG560/DG$604)-(DA560/DA$604)</f>
        <v>-0.15946056493662197</v>
      </c>
      <c r="DH634" s="71">
        <f>(DH560/DH$604)-(DB560/DB$604)</f>
        <v>-0.13136776061745653</v>
      </c>
      <c r="DI634" s="71">
        <f>(DI560/DI$604)-(DC560/DC$604)</f>
        <v>-8.720169349122453E-2</v>
      </c>
      <c r="DJ634" s="71">
        <f>(DJ560/DJ$604)-(DD560/DD$604)</f>
        <v>8.3157332115595395E-3</v>
      </c>
      <c r="DK634" s="754">
        <f>(DK560/DK$604)-(DE560/DE$604)</f>
        <v>-7.2398078394797838E-2</v>
      </c>
      <c r="DL634" s="71"/>
      <c r="DM634" s="71">
        <f>(DM560/DM$604)-(DG560/DG$604)</f>
        <v>2.2511604100833305E-2</v>
      </c>
      <c r="DN634" s="71">
        <f>(DN560/DN$604)-(DH560/DH$604)</f>
        <v>2.9544353259116696E-2</v>
      </c>
      <c r="DO634" s="71">
        <f>(DO560/DO$604)-(DI560/DI$604)</f>
        <v>2.2428588723426957E-2</v>
      </c>
      <c r="DP634" s="71">
        <f>(DP560/DP$604)-(DJ560/DJ$604)</f>
        <v>1.1688534274464479E-2</v>
      </c>
      <c r="DQ634" s="754">
        <f>(DQ560/DQ$604)-(DK560/DK$604)</f>
        <v>2.1845246626533199E-2</v>
      </c>
      <c r="DR634" s="71"/>
      <c r="DS634" s="71">
        <f>(DS560/DS$604)-(DM560/DM$604)</f>
        <v>2.4462068609981458E-2</v>
      </c>
      <c r="DT634" s="71">
        <f>(DT560/DT$604)-(DN560/DN$604)</f>
        <v>1.4378991634597604E-2</v>
      </c>
      <c r="DU634" s="71">
        <f>(DU560/DU$604)-(DO560/DO$604)</f>
        <v>3.5373410522384241E-2</v>
      </c>
      <c r="DV634" s="71">
        <f>(DV560/DV$604)-(DP560/DP$604)</f>
        <v>2.1879573864831692E-2</v>
      </c>
      <c r="DW634" s="754">
        <f>(DW560/DW$604)-(DQ560/DQ$604)</f>
        <v>2.3730236871449484E-2</v>
      </c>
      <c r="DX634" s="71"/>
      <c r="DY634" s="71">
        <f>(DY560/DY$604)-(DS560/DS$604)</f>
        <v>2.3881567733453957E-2</v>
      </c>
      <c r="DZ634" s="71">
        <f>(DZ560/DZ$604)-(DT560/DT$604)</f>
        <v>1.8685391654371664E-2</v>
      </c>
      <c r="EA634" s="71">
        <f>(EA560/EA$604)-(DU560/DU$604)</f>
        <v>5.7888434700029134E-3</v>
      </c>
      <c r="EB634" s="71">
        <f>(EB560/EB$604)-(DV560/DV$604)</f>
        <v>-3.2415236128821578E-3</v>
      </c>
      <c r="EC634" s="754">
        <f>(EC560/EC$604)-(DW560/DW$604)</f>
        <v>1.4829672050077347E-2</v>
      </c>
      <c r="ED634" s="71"/>
      <c r="EE634" s="71">
        <f>(EE560/EE$604)-(DY560/DY$604)</f>
        <v>2.1237142311239521E-2</v>
      </c>
      <c r="EF634" s="71">
        <f>(EF560/EF$604)-(DZ560/DZ$604)</f>
        <v>1.0081747900983318E-2</v>
      </c>
      <c r="EG634" s="71">
        <f>(EG560/EG$604)-(EA560/EA$604)</f>
        <v>9.5552870274775437E-3</v>
      </c>
      <c r="EH634" s="71">
        <f>(EH560/EH$604)-(EB560/EB$604)</f>
        <v>3.9575792695501266E-2</v>
      </c>
      <c r="EI634" s="754">
        <f>(EI560/EI$604)-(EC560/EC$604)</f>
        <v>1.762460162798446E-2</v>
      </c>
      <c r="EJ634" s="71"/>
      <c r="EK634" s="71">
        <f>(EK560/EK$604)-(EE560/EE$604)</f>
        <v>5.7398944414459585E-3</v>
      </c>
      <c r="EL634" s="71">
        <f>(EL560/EL$604)-(EF560/EF$604)</f>
        <v>2.3836700336116179E-2</v>
      </c>
      <c r="EM634" s="71">
        <f>(EM560/EM$604)-(EG560/EG$604)</f>
        <v>1.8346976535577764E-2</v>
      </c>
      <c r="EN634" s="71">
        <f>(EN560/EN$604)-(EH560/EH$604)</f>
        <v>1.6334072089580931E-2</v>
      </c>
      <c r="EO634" s="754">
        <f>(EO560/EO$604)-(EI560/EI$604)</f>
        <v>1.6045691972763898E-2</v>
      </c>
      <c r="EP634" s="71"/>
      <c r="EQ634" s="71">
        <f>(EQ560/EQ$604)-(EK560/EK$604)</f>
        <v>6.921701314122064E-4</v>
      </c>
      <c r="ER634" s="71">
        <f>(ER560/ER$604)-(EL560/EL$604)</f>
        <v>6.2847851158029933E-3</v>
      </c>
      <c r="ES634" s="71">
        <f>(ES560/ES$604)-(EM560/EM$604)</f>
        <v>-4.4935013270278601E-3</v>
      </c>
      <c r="ET634" s="71">
        <f>(ET560/ET$604)-(EN560/EN$604)</f>
        <v>-6.8236837435949327E-3</v>
      </c>
      <c r="EU634" s="754">
        <f>(EU560/EU$604)-(EO560/EO$604)</f>
        <v>-1.6253839512965218E-3</v>
      </c>
      <c r="EV634" s="71"/>
      <c r="EW634" s="71">
        <f>(EW560/EW$604)-(EQ560/EQ$604)</f>
        <v>-1.9033233397555804E-2</v>
      </c>
      <c r="EX634" s="71"/>
      <c r="EY634" s="71"/>
      <c r="EZ634" s="71"/>
      <c r="FA634" s="754"/>
      <c r="FB634" s="71"/>
      <c r="FC634" s="71"/>
      <c r="FD634" s="71"/>
      <c r="FE634" s="71"/>
      <c r="FF634" s="71"/>
      <c r="FG634" s="754"/>
      <c r="FH634" s="71"/>
      <c r="FI634" s="71"/>
      <c r="FJ634" s="71"/>
      <c r="FK634" s="71"/>
      <c r="FL634" s="71"/>
      <c r="FM634" s="754"/>
      <c r="FQ634"/>
      <c r="FR634"/>
      <c r="FS634"/>
      <c r="FT634"/>
      <c r="FU634"/>
      <c r="FV634"/>
      <c r="GB634" s="24"/>
      <c r="GC634" s="24"/>
      <c r="GD634" s="24"/>
      <c r="GE634" s="24"/>
      <c r="GF634" s="24"/>
      <c r="GG634" s="24"/>
      <c r="GH634" s="24"/>
      <c r="GI634" s="24"/>
      <c r="GJ634"/>
      <c r="GK634"/>
      <c r="GL634"/>
      <c r="GM634"/>
      <c r="GN634"/>
      <c r="GO634"/>
      <c r="GP634"/>
      <c r="GQ634"/>
      <c r="GR634"/>
      <c r="GS634"/>
      <c r="GT634"/>
      <c r="GU634"/>
      <c r="GV634"/>
      <c r="GW634"/>
      <c r="GX634"/>
      <c r="GY634"/>
      <c r="GZ634"/>
      <c r="HA634"/>
      <c r="HB634"/>
      <c r="HC634"/>
      <c r="HD634"/>
      <c r="HE634"/>
      <c r="HF634"/>
      <c r="HG634"/>
      <c r="HH634"/>
      <c r="HI634"/>
      <c r="HJ634"/>
      <c r="HK634"/>
      <c r="HL634"/>
      <c r="HM634"/>
      <c r="HN634"/>
      <c r="HO634"/>
      <c r="HP634"/>
      <c r="HQ634"/>
      <c r="HR634"/>
      <c r="HS634"/>
      <c r="HT634"/>
      <c r="HU634"/>
      <c r="HV634"/>
      <c r="HW634"/>
      <c r="HX634"/>
      <c r="HY634"/>
      <c r="HZ634"/>
      <c r="IA634"/>
      <c r="IB634"/>
      <c r="IC634"/>
      <c r="ID634"/>
      <c r="IE634"/>
      <c r="IF634"/>
      <c r="IG634"/>
      <c r="IH634"/>
      <c r="II634"/>
      <c r="IJ634"/>
      <c r="IK634"/>
      <c r="IL634"/>
      <c r="IM634"/>
      <c r="IN634"/>
      <c r="IO634"/>
      <c r="IP634"/>
      <c r="IQ634"/>
      <c r="IR634"/>
      <c r="IS634"/>
      <c r="IT634"/>
      <c r="IU634"/>
      <c r="IV634"/>
      <c r="IW634"/>
      <c r="IX634"/>
      <c r="IY634"/>
      <c r="IZ634"/>
      <c r="JA634"/>
      <c r="JB634"/>
      <c r="JC634"/>
      <c r="JD634"/>
      <c r="JE634"/>
      <c r="JF634"/>
      <c r="JG634"/>
      <c r="JH634"/>
      <c r="JI634"/>
      <c r="JJ634"/>
      <c r="JK634"/>
      <c r="JL634"/>
      <c r="JM634"/>
      <c r="JN634"/>
    </row>
    <row r="635" spans="1:274" s="64" customFormat="1" ht="12.75" hidden="1" customHeight="1" outlineLevel="2" x14ac:dyDescent="0.2">
      <c r="A635" s="753" t="s">
        <v>637</v>
      </c>
      <c r="B635" s="71"/>
      <c r="C635" s="71"/>
      <c r="D635" s="71"/>
      <c r="E635" s="71"/>
      <c r="F635" s="71"/>
      <c r="G635" s="71"/>
      <c r="H635" s="71"/>
      <c r="I635" s="71"/>
      <c r="J635" s="71"/>
      <c r="K635" s="71"/>
      <c r="L635" s="71"/>
      <c r="M635" s="71"/>
      <c r="N635" s="71"/>
      <c r="O635" s="71"/>
      <c r="P635" s="71"/>
      <c r="Q635" s="71"/>
      <c r="R635" s="71"/>
      <c r="S635" s="71"/>
      <c r="T635" s="71"/>
      <c r="U635" s="71"/>
      <c r="V635" s="71"/>
      <c r="W635" s="71"/>
      <c r="X635" s="71"/>
      <c r="Y635" s="71"/>
      <c r="Z635" s="71"/>
      <c r="AA635" s="71"/>
      <c r="AB635" s="71"/>
      <c r="AC635" s="71"/>
      <c r="AD635" s="71"/>
      <c r="AE635" s="71"/>
      <c r="AF635" s="71"/>
      <c r="AG635" s="71"/>
      <c r="AH635" s="71"/>
      <c r="AI635" s="71"/>
      <c r="AJ635" s="71"/>
      <c r="AK635" s="71"/>
      <c r="AL635" s="71"/>
      <c r="AM635" s="71"/>
      <c r="AN635" s="71"/>
      <c r="AO635" s="71"/>
      <c r="AP635" s="71"/>
      <c r="AQ635" s="71"/>
      <c r="AR635" s="71"/>
      <c r="AS635" s="71"/>
      <c r="AT635" s="71"/>
      <c r="AU635" s="71"/>
      <c r="AV635" s="71"/>
      <c r="AW635" s="71"/>
      <c r="AX635" s="71"/>
      <c r="AY635" s="71"/>
      <c r="AZ635" s="71"/>
      <c r="BA635" s="71"/>
      <c r="BB635" s="71"/>
      <c r="BC635" s="754"/>
      <c r="BD635" s="71"/>
      <c r="BE635" s="71"/>
      <c r="BF635" s="71"/>
      <c r="BG635" s="71"/>
      <c r="BH635" s="71"/>
      <c r="BI635" s="754">
        <f>BC563-BC$607</f>
        <v>0.29126477198315504</v>
      </c>
      <c r="BJ635" s="71"/>
      <c r="BK635" s="71">
        <f>BE563-BE$607</f>
        <v>0.31531977218964524</v>
      </c>
      <c r="BL635" s="71">
        <f>BF563-BF$607</f>
        <v>0.3101035874054503</v>
      </c>
      <c r="BM635" s="71">
        <f>BG563-BG$607</f>
        <v>0.2911399901063807</v>
      </c>
      <c r="BN635" s="71">
        <f>BH563-BH$607</f>
        <v>0.26014485772456775</v>
      </c>
      <c r="BO635" s="754">
        <f>BI563-BI$607</f>
        <v>0.2923067645335814</v>
      </c>
      <c r="BP635" s="71"/>
      <c r="BQ635" s="71">
        <f>BK563-BK$607</f>
        <v>0.34232022404568097</v>
      </c>
      <c r="BR635" s="71">
        <f>BL563-BL$607</f>
        <v>0.30262585652895924</v>
      </c>
      <c r="BS635" s="71">
        <f>BM563-BM$607</f>
        <v>0.30269200163033994</v>
      </c>
      <c r="BT635" s="71">
        <f>BN563-BN$607</f>
        <v>0.236299321893921</v>
      </c>
      <c r="BU635" s="754">
        <f>BO563-BO$607</f>
        <v>0.29106680518517669</v>
      </c>
      <c r="BV635" s="71"/>
      <c r="BW635" s="71">
        <f>BQ563-BQ$607</f>
        <v>0.32459037512229005</v>
      </c>
      <c r="BX635" s="71">
        <f>BR563-BR$607</f>
        <v>0.27043753494716771</v>
      </c>
      <c r="BY635" s="71">
        <f>BS563-BS$607</f>
        <v>0.27933182041250137</v>
      </c>
      <c r="BZ635" s="71">
        <f>BT563-BT$607</f>
        <v>0.23245819269456014</v>
      </c>
      <c r="CA635" s="754">
        <f>BU563-BU$607</f>
        <v>0.27212684593296665</v>
      </c>
      <c r="CB635" s="71"/>
      <c r="CC635" s="71">
        <f>BW563-BW$607</f>
        <v>0.30339867323904723</v>
      </c>
      <c r="CD635" s="71">
        <f>BX563-BX$607</f>
        <v>0.25908155079593986</v>
      </c>
      <c r="CE635" s="71">
        <f>BY563-BY$607</f>
        <v>0.30079129819066386</v>
      </c>
      <c r="CF635" s="71">
        <f>BZ563-BZ$607</f>
        <v>0.25779330771962394</v>
      </c>
      <c r="CG635" s="754">
        <f>CA563-CA$607</f>
        <v>0.27754106584628691</v>
      </c>
      <c r="CH635" s="71"/>
      <c r="CI635" s="71">
        <f>CC563-CC$607</f>
        <v>0.3173396623795931</v>
      </c>
      <c r="CJ635" s="71">
        <f>CD563-CD$607</f>
        <v>0.28369112614001335</v>
      </c>
      <c r="CK635" s="71">
        <f>CE563-CE$607</f>
        <v>0.29541595925297115</v>
      </c>
      <c r="CL635" s="71">
        <f>CF563-CF$607</f>
        <v>0.27480928510056402</v>
      </c>
      <c r="CM635" s="754">
        <f>CG563-CG$607</f>
        <v>0.29045632927577414</v>
      </c>
      <c r="CN635" s="71"/>
      <c r="CO635" s="71">
        <f>CI563-CI$607</f>
        <v>0.33352698403638736</v>
      </c>
      <c r="CP635" s="71">
        <f>CJ563-CJ$607</f>
        <v>0.32165536743980405</v>
      </c>
      <c r="CQ635" s="71">
        <f>CK563-CK$607</f>
        <v>0.31492288766123921</v>
      </c>
      <c r="CR635" s="71">
        <f>CL563-CL$607</f>
        <v>0.27885879338327313</v>
      </c>
      <c r="CS635" s="754">
        <f>CM563-CM$607</f>
        <v>0.30860689105522021</v>
      </c>
      <c r="CT635" s="71"/>
      <c r="CU635" s="71">
        <f>CO563-CO$607</f>
        <v>0.33549204511326647</v>
      </c>
      <c r="CV635" s="71">
        <f>CP563-CP$607</f>
        <v>0.30309018775401009</v>
      </c>
      <c r="CW635" s="71">
        <f>CQ563-CQ$607</f>
        <v>0.303331418494585</v>
      </c>
      <c r="CX635" s="71">
        <f>CR563-CR$607</f>
        <v>0.26973312460140664</v>
      </c>
      <c r="CY635" s="754">
        <f>CS563-CS$607</f>
        <v>0.29910068021393632</v>
      </c>
      <c r="CZ635" s="71"/>
      <c r="DA635" s="71">
        <f>CU563-CU$607</f>
        <v>0.3207236533346921</v>
      </c>
      <c r="DB635" s="71">
        <f>CV563-CV$607</f>
        <v>0.28981372401339267</v>
      </c>
      <c r="DC635" s="71">
        <f>CW563-CW$607</f>
        <v>0.27648747492634618</v>
      </c>
      <c r="DD635" s="71">
        <f>CX563-CX$607</f>
        <v>0.24100160645828961</v>
      </c>
      <c r="DE635" s="754">
        <f>CY563-CY$607</f>
        <v>0.27963791685667039</v>
      </c>
      <c r="DF635" s="71"/>
      <c r="DG635" s="71">
        <f>DA563-DA$607</f>
        <v>0.28285888274788218</v>
      </c>
      <c r="DH635" s="71">
        <f>DB563-DB$607</f>
        <v>0.26199524226115423</v>
      </c>
      <c r="DI635" s="71">
        <f>DC563-DC$607</f>
        <v>0.28846034238059459</v>
      </c>
      <c r="DJ635" s="71">
        <f>DD563-DD$607</f>
        <v>0.30444902968267462</v>
      </c>
      <c r="DK635" s="754">
        <f>DE563-DE$607</f>
        <v>0.2878694971080763</v>
      </c>
      <c r="DL635" s="71"/>
      <c r="DM635" s="71">
        <f>DG563-DG$607</f>
        <v>0.32905613937948219</v>
      </c>
      <c r="DN635" s="71">
        <f>DH563-DH$607</f>
        <v>0.31354766316927074</v>
      </c>
      <c r="DO635" s="71">
        <f>DI563-DI$607</f>
        <v>0.30470419200140075</v>
      </c>
      <c r="DP635" s="71">
        <f>DJ563-DJ$607</f>
        <v>0.28403861437796829</v>
      </c>
      <c r="DQ635" s="754">
        <f>DK563-DK$607</f>
        <v>0.30583121915693212</v>
      </c>
      <c r="DR635" s="71"/>
      <c r="DS635" s="71">
        <f>DM563-DM$607</f>
        <v>0.33016514523874652</v>
      </c>
      <c r="DT635" s="71">
        <f>DN563-DN$607</f>
        <v>0.31200454795960408</v>
      </c>
      <c r="DU635" s="71">
        <f>DO563-DO$607</f>
        <v>0.29726420873836024</v>
      </c>
      <c r="DV635" s="71">
        <f>DP563-DP$607</f>
        <v>0.27342439403571062</v>
      </c>
      <c r="DW635" s="754">
        <f>DQ563-DQ$607</f>
        <v>0.30164665237302546</v>
      </c>
      <c r="DX635" s="71"/>
      <c r="DY635" s="71">
        <f>DS563-DS$607</f>
        <v>0.30724552665944771</v>
      </c>
      <c r="DZ635" s="71">
        <f>DT563-DT$607</f>
        <v>0.29190542591259327</v>
      </c>
      <c r="EA635" s="71">
        <f>DU563-DU$607</f>
        <v>0.2975566190555381</v>
      </c>
      <c r="EB635" s="71">
        <f>DV563-DV$607</f>
        <v>0.26938235355243256</v>
      </c>
      <c r="EC635" s="754">
        <f>DW563-DW$607</f>
        <v>0.29978798661145822</v>
      </c>
      <c r="ED635" s="71"/>
      <c r="EE635" s="71">
        <f>DY563-DY$607</f>
        <v>0.30403036867385702</v>
      </c>
      <c r="EF635" s="71">
        <f>DZ563-DZ$607</f>
        <v>0.30560711540834007</v>
      </c>
      <c r="EG635" s="71">
        <f>EA563-EA$607</f>
        <v>0.29757337063081779</v>
      </c>
      <c r="EH635" s="71">
        <f>EB563-EB$607</f>
        <v>0.29204862477186633</v>
      </c>
      <c r="EI635" s="754">
        <f>EC563-EC$607</f>
        <v>0.30349830248700649</v>
      </c>
      <c r="EJ635" s="71"/>
      <c r="EK635" s="71">
        <f>EE563-EE$607</f>
        <v>0.30842596424285063</v>
      </c>
      <c r="EL635" s="71">
        <f>EF563-EF$607</f>
        <v>0.3066852807360515</v>
      </c>
      <c r="EM635" s="71">
        <f>EG563-EG$607</f>
        <v>0.30986376636370061</v>
      </c>
      <c r="EN635" s="71">
        <f>EH563-EH$607</f>
        <v>0.34983860667044642</v>
      </c>
      <c r="EO635" s="754">
        <f>EI563-EI$607</f>
        <v>0.32028395536161813</v>
      </c>
      <c r="EP635" s="71"/>
      <c r="EQ635" s="71">
        <f>EK563-EK$607</f>
        <v>0.34414953343356425</v>
      </c>
      <c r="ER635" s="71">
        <f>EL563-EL$607</f>
        <v>0.32907289119150473</v>
      </c>
      <c r="ES635" s="71">
        <f>EM563-EM$607</f>
        <v>0.32506686369642834</v>
      </c>
      <c r="ET635" s="71">
        <f>EN563-EN$607</f>
        <v>0.35278693005084083</v>
      </c>
      <c r="EU635" s="754">
        <f>EO563-EO$607</f>
        <v>0.33816005500872603</v>
      </c>
      <c r="EV635" s="71"/>
      <c r="EW635" s="71">
        <f>EQ563-EQ$607</f>
        <v>0.35309092372194451</v>
      </c>
      <c r="EX635" s="71"/>
      <c r="EY635" s="71"/>
      <c r="EZ635" s="71"/>
      <c r="FA635" s="754"/>
      <c r="FB635" s="71"/>
      <c r="FC635" s="71"/>
      <c r="FD635" s="71"/>
      <c r="FE635" s="71"/>
      <c r="FF635" s="71"/>
      <c r="FG635" s="754"/>
      <c r="FH635" s="71"/>
      <c r="FI635" s="71"/>
      <c r="FJ635" s="71"/>
      <c r="FK635" s="71"/>
      <c r="FL635" s="71"/>
      <c r="FM635" s="754"/>
      <c r="FQ635"/>
      <c r="FR635"/>
      <c r="FS635"/>
      <c r="FT635"/>
      <c r="FU635"/>
      <c r="FV635"/>
      <c r="GB635" s="24"/>
      <c r="GC635" s="24"/>
      <c r="GD635" s="24"/>
      <c r="GE635" s="24"/>
      <c r="GF635" s="24"/>
      <c r="GG635" s="24"/>
      <c r="GH635" s="24"/>
      <c r="GI635" s="24"/>
      <c r="GJ635"/>
      <c r="GK635"/>
      <c r="GL635"/>
      <c r="GM635"/>
      <c r="GN635"/>
      <c r="GO635"/>
      <c r="GP635"/>
      <c r="GQ635"/>
      <c r="GR635"/>
      <c r="GS635"/>
      <c r="GT635"/>
      <c r="GU635"/>
      <c r="GV635"/>
      <c r="GW635"/>
      <c r="GX635"/>
      <c r="GY635"/>
      <c r="GZ635"/>
      <c r="HA635"/>
      <c r="HB635"/>
      <c r="HC635"/>
      <c r="HD635"/>
      <c r="HE635"/>
      <c r="HF635"/>
      <c r="HG635"/>
      <c r="HH635"/>
      <c r="HI635"/>
      <c r="HJ635"/>
      <c r="HK635"/>
      <c r="HL635"/>
      <c r="HM635"/>
      <c r="HN635"/>
      <c r="HO635"/>
      <c r="HP635"/>
      <c r="HQ635"/>
      <c r="HR635"/>
      <c r="HS635"/>
      <c r="HT635"/>
      <c r="HU635"/>
      <c r="HV635"/>
      <c r="HW635"/>
      <c r="HX635"/>
      <c r="HY635"/>
      <c r="HZ635"/>
      <c r="IA635"/>
      <c r="IB635"/>
      <c r="IC635"/>
      <c r="ID635"/>
      <c r="IE635"/>
      <c r="IF635"/>
      <c r="IG635"/>
      <c r="IH635"/>
      <c r="II635"/>
      <c r="IJ635"/>
      <c r="IK635"/>
      <c r="IL635"/>
      <c r="IM635"/>
      <c r="IN635"/>
      <c r="IO635"/>
      <c r="IP635"/>
      <c r="IQ635"/>
      <c r="IR635"/>
      <c r="IS635"/>
      <c r="IT635"/>
      <c r="IU635"/>
      <c r="IV635"/>
      <c r="IW635"/>
      <c r="IX635"/>
      <c r="IY635"/>
      <c r="IZ635"/>
      <c r="JA635"/>
      <c r="JB635"/>
      <c r="JC635"/>
      <c r="JD635"/>
      <c r="JE635"/>
      <c r="JF635"/>
      <c r="JG635"/>
      <c r="JH635"/>
      <c r="JI635"/>
      <c r="JJ635"/>
      <c r="JK635"/>
      <c r="JL635"/>
      <c r="JM635"/>
      <c r="JN635"/>
    </row>
    <row r="636" spans="1:274" s="749" customFormat="1" ht="12.75" hidden="1" customHeight="1" outlineLevel="1" x14ac:dyDescent="0.2">
      <c r="A636" s="750" t="s">
        <v>638</v>
      </c>
      <c r="B636" s="747"/>
      <c r="C636" s="65"/>
      <c r="D636" s="65"/>
      <c r="E636" s="65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5"/>
      <c r="AC636" s="65"/>
      <c r="AD636" s="65"/>
      <c r="AE636" s="65"/>
      <c r="AF636" s="65"/>
      <c r="AG636" s="65"/>
      <c r="AH636" s="65"/>
      <c r="AI636" s="65"/>
      <c r="AJ636" s="65"/>
      <c r="AK636" s="65"/>
      <c r="AL636" s="65"/>
      <c r="AM636" s="65"/>
      <c r="AN636" s="65"/>
      <c r="AO636" s="65"/>
      <c r="AP636" s="65"/>
      <c r="AQ636" s="65"/>
      <c r="AR636" s="65"/>
      <c r="AS636" s="65"/>
      <c r="AT636" s="65"/>
      <c r="AU636" s="65"/>
      <c r="AV636" s="65"/>
      <c r="AW636" s="65"/>
      <c r="AX636" s="65"/>
      <c r="AY636" s="65"/>
      <c r="AZ636" s="65"/>
      <c r="BA636" s="65"/>
      <c r="BB636" s="65"/>
      <c r="BC636" s="748"/>
      <c r="BD636" s="65"/>
      <c r="BE636" s="65"/>
      <c r="BF636" s="65"/>
      <c r="BG636" s="65"/>
      <c r="BH636" s="65"/>
      <c r="BI636" s="751">
        <f>(BI563-BC563)*BI560</f>
        <v>107.11511663132359</v>
      </c>
      <c r="BJ636" s="752"/>
      <c r="BK636" s="752">
        <f>(BK563-BE563)*BK560</f>
        <v>6.3949880668258006</v>
      </c>
      <c r="BL636" s="752">
        <f>(BL563-BF563)*BL560</f>
        <v>2.6174801362088393</v>
      </c>
      <c r="BM636" s="752">
        <f>(BM563-BG563)*BM560</f>
        <v>6.5536332179931547</v>
      </c>
      <c r="BN636" s="752">
        <f>(BN563-BH563)*BN560</f>
        <v>-2.3647798742137489</v>
      </c>
      <c r="BO636" s="751">
        <f>(BO563-BI563)*BO560</f>
        <v>13.383333333333431</v>
      </c>
      <c r="BP636" s="752"/>
      <c r="BQ636" s="752">
        <f>(BQ563-BK563)*BQ560</f>
        <v>6.2519337016574736</v>
      </c>
      <c r="BR636" s="752">
        <f>(BR563-BL563)*BR560</f>
        <v>-9.5513626834381835</v>
      </c>
      <c r="BS636" s="752">
        <f>(BS563-BM563)*BS560</f>
        <v>-2.602985074626945</v>
      </c>
      <c r="BT636" s="752">
        <f>(BT563-BN563)*BT560</f>
        <v>-6.0140845070423472</v>
      </c>
      <c r="BU636" s="751">
        <f>(BU563-BO563)*BU560</f>
        <v>-12.04377704250436</v>
      </c>
      <c r="BV636" s="65"/>
      <c r="BW636" s="752">
        <f>(BW563-BQ563)*BW560</f>
        <v>2.9303675048354858</v>
      </c>
      <c r="BX636" s="752">
        <f>(BX563-BR563)*BX560</f>
        <v>21.095152603231643</v>
      </c>
      <c r="BY636" s="752">
        <f>(BY563-BS563)*BY560</f>
        <v>46.054421768707591</v>
      </c>
      <c r="BZ636" s="752">
        <f>(BZ563-BT563)*BZ560</f>
        <v>14.448132780083053</v>
      </c>
      <c r="CA636" s="751">
        <f>(CA563-BU563)*CA560</f>
        <v>85.945904173106655</v>
      </c>
      <c r="CB636" s="65"/>
      <c r="CC636" s="752">
        <f>(CC563-BW563)*CC560</f>
        <v>29.007653061224588</v>
      </c>
      <c r="CD636" s="752">
        <f>(CD563-BX563)*CD560</f>
        <v>12.774760383386665</v>
      </c>
      <c r="CE636" s="752">
        <f>(CE563-BY563)*CE560</f>
        <v>-12.806662312214314</v>
      </c>
      <c r="CF636" s="752">
        <f>(CF563-BZ563)*CF560</f>
        <v>9.631578947368439</v>
      </c>
      <c r="CG636" s="751">
        <f>(CG563-CA563)*CG560</f>
        <v>34.674867256636851</v>
      </c>
      <c r="CH636" s="65"/>
      <c r="CI636" s="752">
        <f>(CI563-CC563)*CI560</f>
        <v>-4.5703839122469558E-2</v>
      </c>
      <c r="CJ636" s="752">
        <f>(CJ563-CD563)*CJ560</f>
        <v>13.635761589403915</v>
      </c>
      <c r="CK636" s="752">
        <f>(CK563-CE563)*CK560</f>
        <v>2.8975664968874404</v>
      </c>
      <c r="CL636" s="752">
        <f>(CL563-CF563)*CL560</f>
        <v>13.470888661899886</v>
      </c>
      <c r="CM636" s="751">
        <f>(CM563-CG563)*CM560</f>
        <v>30.000996157677594</v>
      </c>
      <c r="CN636" s="65"/>
      <c r="CO636" s="752">
        <f>(CO563-CI563)*CO560</f>
        <v>13.129353233830656</v>
      </c>
      <c r="CP636" s="752">
        <f>(CP563-CJ563)*CP560</f>
        <v>6.6902912621358706</v>
      </c>
      <c r="CQ636" s="752">
        <f>(CQ563-CK563)*CQ560</f>
        <v>8.0961269248714434</v>
      </c>
      <c r="CR636" s="752">
        <f>(CR563-CL563)*CR560</f>
        <v>8.4742268041237914</v>
      </c>
      <c r="CS636" s="751">
        <f>(CS563-CM563)*CS560</f>
        <v>36.384849549233415</v>
      </c>
      <c r="CT636" s="65"/>
      <c r="CU636" s="752">
        <f>(CU563-CO563)*CU560</f>
        <v>-1.7301717089123996</v>
      </c>
      <c r="CV636" s="752">
        <f>(CV563-CP563)*CV560</f>
        <v>23.953579858379239</v>
      </c>
      <c r="CW636" s="752">
        <f>(CW563-CQ563)*CW560</f>
        <v>23.377030600680314</v>
      </c>
      <c r="CX636" s="752">
        <f>(CX563-CR563)*CX560</f>
        <v>7.0564066852368175</v>
      </c>
      <c r="CY636" s="751">
        <f>(CY563-CS563)*CY560</f>
        <v>53.308936899209968</v>
      </c>
      <c r="CZ636" s="65"/>
      <c r="DA636" s="752">
        <f>(DA563-CU563)*DA560</f>
        <v>64.724388631857394</v>
      </c>
      <c r="DB636" s="752">
        <f>(DB563-CV563)*DB560</f>
        <v>24.112627986347977</v>
      </c>
      <c r="DC636" s="752">
        <f>(DC563-CW563)*DC560</f>
        <v>22.586590296495931</v>
      </c>
      <c r="DD636" s="752">
        <f>(DD563-CX563)*DD560</f>
        <v>41.314350797266506</v>
      </c>
      <c r="DE636" s="751">
        <f>(DE563-CY563)*DE560</f>
        <v>153.36950904392714</v>
      </c>
      <c r="DF636" s="65"/>
      <c r="DG636" s="752">
        <f>(DG563-DA563)*DG560</f>
        <v>-41.77799104286624</v>
      </c>
      <c r="DH636" s="752">
        <f>(DH563-DB563)*DH560</f>
        <v>-8.7460901563934552</v>
      </c>
      <c r="DI636" s="752">
        <f>(DI563-DC563)*DI560</f>
        <v>2.9244658441164355</v>
      </c>
      <c r="DJ636" s="752">
        <f>(DJ563-DD563)*DJ560</f>
        <v>-14.210389610389962</v>
      </c>
      <c r="DK636" s="751">
        <f>(DK563-DE563)*DK560</f>
        <v>-62.314383301706556</v>
      </c>
      <c r="DL636" s="65"/>
      <c r="DM636" s="752">
        <f>(DM563-DG563)*DM560</f>
        <v>42.994244604316229</v>
      </c>
      <c r="DN636" s="752">
        <f>(DN563-DH563)*DN560</f>
        <v>39.300790837196303</v>
      </c>
      <c r="DO636" s="752">
        <f>(DO563-DI563)*DO560</f>
        <v>14.760383386581498</v>
      </c>
      <c r="DP636" s="752">
        <f>(DP563-DJ563)*DP560</f>
        <v>-5.6674208144792884</v>
      </c>
      <c r="DQ636" s="751">
        <f>(DQ563-DK563)*DQ560</f>
        <v>91.279107286903582</v>
      </c>
      <c r="DR636" s="65"/>
      <c r="DS636" s="752">
        <f>(DS563-DM563)*DS560</f>
        <v>16.469640644361952</v>
      </c>
      <c r="DT636" s="752">
        <f>(DT563-DN563)*DT560</f>
        <v>9.9739739739739477</v>
      </c>
      <c r="DU636" s="752">
        <f>(DU563-DO563)*DU560</f>
        <v>25.132743362831988</v>
      </c>
      <c r="DV636" s="752">
        <f>(DV563-DP563)*DV560</f>
        <v>51.653762923779674</v>
      </c>
      <c r="DW636" s="751">
        <f>(DW563-DQ563)*DW560</f>
        <v>103.01660720876026</v>
      </c>
      <c r="DX636" s="65"/>
      <c r="DY636" s="752">
        <f>(DY563-DS563)*DY560</f>
        <v>7.3486127864897508</v>
      </c>
      <c r="DZ636" s="752">
        <f>(DZ563-DT563)*DZ560</f>
        <v>19.376172607880068</v>
      </c>
      <c r="EA636" s="752">
        <f>(EA563-DU563)*EA560</f>
        <v>16.041436464088576</v>
      </c>
      <c r="EB636" s="752">
        <f>(EB563-DV563)*EB560</f>
        <v>35.094481035657665</v>
      </c>
      <c r="EC636" s="751">
        <f>(EC563-DW563)*EC560</f>
        <v>77.743296805780545</v>
      </c>
      <c r="ED636" s="65"/>
      <c r="EE636" s="752">
        <f>(EE563-DY563)*EE560</f>
        <v>37.620036101083031</v>
      </c>
      <c r="EF636" s="752">
        <f>(EF563-DZ563)*EF560</f>
        <v>8.4722160726148985</v>
      </c>
      <c r="EG636" s="752">
        <f>(EG563-EA563)*EG560</f>
        <v>-1.0578313253014109</v>
      </c>
      <c r="EH636" s="752">
        <f>(EH563-EB563)*EH560</f>
        <v>-24.306709265175886</v>
      </c>
      <c r="EI636" s="751">
        <f>(EI563-EC563)*EI560</f>
        <v>20.597946070625646</v>
      </c>
      <c r="EJ636" s="65"/>
      <c r="EK636" s="752">
        <f>(EK563-EE563)*EK560</f>
        <v>-15.846966814627098</v>
      </c>
      <c r="EL636" s="752">
        <f>(EL563-EF563)*EL560</f>
        <v>-0.27969830295421261</v>
      </c>
      <c r="EM636" s="752">
        <f>(EM563-EG563)*EM560</f>
        <v>5.3012435677528638</v>
      </c>
      <c r="EN636" s="752">
        <f>(EN563-EH563)*EN560</f>
        <v>65.249040511727031</v>
      </c>
      <c r="EO636" s="751">
        <f>(EO563-EI563)*EO560</f>
        <v>53.299607593594558</v>
      </c>
      <c r="EP636" s="65"/>
      <c r="EQ636" s="752">
        <f>(EQ563-EK563)*EQ560</f>
        <v>19.538854588034852</v>
      </c>
      <c r="ER636" s="752">
        <f>(ER563-EL563)*ER560</f>
        <v>55.578688874652926</v>
      </c>
      <c r="ES636" s="752">
        <f>(ES563-EM563)*ES560</f>
        <v>28.497536945812985</v>
      </c>
      <c r="ET636" s="752">
        <f>(ET563-EN563)*ET560</f>
        <v>10.396551724138051</v>
      </c>
      <c r="EU636" s="751">
        <f>(EU563-EO563)*EU560</f>
        <v>113.95419604516687</v>
      </c>
      <c r="EV636" s="65"/>
      <c r="EW636" s="752">
        <f>(EW563-EQ563)*EW560</f>
        <v>25.471938243271506</v>
      </c>
      <c r="EX636" s="65"/>
      <c r="EY636" s="65"/>
      <c r="EZ636" s="65"/>
      <c r="FA636" s="748"/>
      <c r="FB636" s="65"/>
      <c r="FC636" s="65"/>
      <c r="FD636" s="65"/>
      <c r="FE636" s="65"/>
      <c r="FF636" s="65"/>
      <c r="FG636" s="748"/>
      <c r="FH636" s="65"/>
      <c r="FI636" s="65"/>
      <c r="FJ636" s="65"/>
      <c r="FK636" s="65"/>
      <c r="FL636" s="65"/>
      <c r="FM636" s="748"/>
      <c r="FQ636"/>
      <c r="FR636"/>
      <c r="FS636"/>
      <c r="FT636"/>
      <c r="FU636"/>
      <c r="FV636"/>
      <c r="GB636" s="24"/>
      <c r="GC636" s="24"/>
      <c r="GD636" s="24"/>
      <c r="GE636" s="24"/>
      <c r="GF636" s="24"/>
      <c r="GG636" s="24"/>
      <c r="GH636" s="24"/>
      <c r="GI636" s="24"/>
      <c r="GJ636"/>
      <c r="GK636"/>
      <c r="GL636"/>
      <c r="GM636"/>
      <c r="GN636"/>
      <c r="GO636"/>
      <c r="GP636"/>
      <c r="GQ636"/>
      <c r="GR636"/>
      <c r="GS636"/>
      <c r="GT636"/>
      <c r="GU636"/>
      <c r="GV636"/>
      <c r="GW636"/>
      <c r="GX636"/>
      <c r="GY636"/>
      <c r="GZ636"/>
      <c r="HA636"/>
      <c r="HB636"/>
      <c r="HC636"/>
      <c r="HD636"/>
      <c r="HE636"/>
      <c r="HF636"/>
      <c r="HG636"/>
      <c r="HH636"/>
      <c r="HI636"/>
      <c r="HJ636"/>
      <c r="HK636"/>
      <c r="HL636"/>
      <c r="HM636"/>
      <c r="HN636"/>
      <c r="HO636"/>
      <c r="HP636"/>
      <c r="HQ636"/>
      <c r="HR636"/>
      <c r="HS636"/>
      <c r="HT636"/>
      <c r="HU636"/>
      <c r="HV636"/>
      <c r="HW636"/>
      <c r="HX636"/>
      <c r="HY636"/>
      <c r="HZ636"/>
      <c r="IA636"/>
      <c r="IB636"/>
      <c r="IC636"/>
      <c r="ID636"/>
      <c r="IE636"/>
      <c r="IF636"/>
      <c r="IG636"/>
      <c r="IH636"/>
      <c r="II636"/>
      <c r="IJ636"/>
      <c r="IK636"/>
      <c r="IL636"/>
      <c r="IM636"/>
      <c r="IN636"/>
      <c r="IO636"/>
      <c r="IP636"/>
      <c r="IQ636"/>
      <c r="IR636"/>
      <c r="IS636"/>
      <c r="IT636"/>
      <c r="IU636"/>
      <c r="IV636"/>
      <c r="IW636"/>
      <c r="IX636"/>
      <c r="IY636"/>
      <c r="IZ636"/>
      <c r="JA636"/>
      <c r="JB636"/>
      <c r="JC636"/>
      <c r="JD636"/>
      <c r="JE636"/>
      <c r="JF636"/>
      <c r="JG636"/>
      <c r="JH636"/>
      <c r="JI636"/>
      <c r="JJ636"/>
      <c r="JK636"/>
      <c r="JL636"/>
      <c r="JM636"/>
      <c r="JN636"/>
    </row>
    <row r="637" spans="1:274" s="749" customFormat="1" ht="6" hidden="1" customHeight="1" outlineLevel="1" x14ac:dyDescent="0.2">
      <c r="A637" s="750"/>
      <c r="B637" s="747"/>
      <c r="C637" s="65"/>
      <c r="D637" s="65"/>
      <c r="E637" s="65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5"/>
      <c r="AC637" s="65"/>
      <c r="AD637" s="65"/>
      <c r="AE637" s="65"/>
      <c r="AF637" s="65"/>
      <c r="AG637" s="65"/>
      <c r="AH637" s="65"/>
      <c r="AI637" s="65"/>
      <c r="AJ637" s="65"/>
      <c r="AK637" s="65"/>
      <c r="AL637" s="65"/>
      <c r="AM637" s="65"/>
      <c r="AN637" s="65"/>
      <c r="AO637" s="65"/>
      <c r="AP637" s="65"/>
      <c r="AQ637" s="65"/>
      <c r="AR637" s="65"/>
      <c r="AS637" s="65"/>
      <c r="AT637" s="65"/>
      <c r="AU637" s="65"/>
      <c r="AV637" s="65"/>
      <c r="AW637" s="65"/>
      <c r="AX637" s="65"/>
      <c r="AY637" s="65"/>
      <c r="AZ637" s="65"/>
      <c r="BA637" s="65"/>
      <c r="BB637" s="65"/>
      <c r="BC637" s="748"/>
      <c r="BD637" s="65"/>
      <c r="BE637" s="65"/>
      <c r="BF637" s="65"/>
      <c r="BG637" s="65"/>
      <c r="BH637" s="65"/>
      <c r="BI637" s="751"/>
      <c r="BJ637" s="752"/>
      <c r="BK637" s="752"/>
      <c r="BL637" s="752"/>
      <c r="BM637" s="752"/>
      <c r="BN637" s="752"/>
      <c r="BO637" s="751"/>
      <c r="BP637" s="752"/>
      <c r="BQ637" s="752"/>
      <c r="BR637" s="752"/>
      <c r="BS637" s="752"/>
      <c r="BT637" s="752"/>
      <c r="BU637" s="751"/>
      <c r="BV637" s="65"/>
      <c r="BW637" s="752"/>
      <c r="BX637" s="752"/>
      <c r="BY637" s="752"/>
      <c r="BZ637" s="752"/>
      <c r="CA637" s="751"/>
      <c r="CB637" s="65"/>
      <c r="CC637" s="752"/>
      <c r="CD637" s="752"/>
      <c r="CE637" s="752"/>
      <c r="CF637" s="752"/>
      <c r="CG637" s="751"/>
      <c r="CH637" s="65"/>
      <c r="CI637" s="752"/>
      <c r="CJ637" s="752"/>
      <c r="CK637" s="752"/>
      <c r="CL637" s="752"/>
      <c r="CM637" s="751"/>
      <c r="CN637" s="65"/>
      <c r="CO637" s="752"/>
      <c r="CP637" s="752"/>
      <c r="CQ637" s="752"/>
      <c r="CR637" s="752"/>
      <c r="CS637" s="751"/>
      <c r="CT637" s="65"/>
      <c r="CU637" s="752"/>
      <c r="CV637" s="752"/>
      <c r="CW637" s="752"/>
      <c r="CX637" s="752"/>
      <c r="CY637" s="751"/>
      <c r="CZ637" s="65"/>
      <c r="DA637" s="752"/>
      <c r="DB637" s="752"/>
      <c r="DC637" s="752"/>
      <c r="DD637" s="752"/>
      <c r="DE637" s="751"/>
      <c r="DF637" s="65"/>
      <c r="DG637" s="752"/>
      <c r="DH637" s="752"/>
      <c r="DI637" s="752"/>
      <c r="DJ637" s="752"/>
      <c r="DK637" s="751"/>
      <c r="DL637" s="65"/>
      <c r="DM637" s="752"/>
      <c r="DN637" s="752"/>
      <c r="DO637" s="752"/>
      <c r="DP637" s="752"/>
      <c r="DQ637" s="751"/>
      <c r="DR637" s="65"/>
      <c r="DS637" s="752"/>
      <c r="DT637" s="752"/>
      <c r="DU637" s="752"/>
      <c r="DV637" s="752"/>
      <c r="DW637" s="751"/>
      <c r="DX637" s="65"/>
      <c r="DY637" s="752"/>
      <c r="DZ637" s="752"/>
      <c r="EA637" s="752"/>
      <c r="EB637" s="752"/>
      <c r="EC637" s="751"/>
      <c r="ED637" s="65"/>
      <c r="EE637" s="752"/>
      <c r="EF637" s="752"/>
      <c r="EG637" s="752"/>
      <c r="EH637" s="752"/>
      <c r="EI637" s="751"/>
      <c r="EJ637" s="65"/>
      <c r="EK637" s="752"/>
      <c r="EL637" s="752"/>
      <c r="EM637" s="752"/>
      <c r="EN637" s="752"/>
      <c r="EO637" s="751"/>
      <c r="EP637" s="65"/>
      <c r="EQ637" s="752"/>
      <c r="ER637" s="752"/>
      <c r="ES637" s="752"/>
      <c r="ET637" s="752"/>
      <c r="EU637" s="751"/>
      <c r="EV637" s="65"/>
      <c r="EW637" s="752"/>
      <c r="EX637" s="65"/>
      <c r="EY637" s="65"/>
      <c r="EZ637" s="65"/>
      <c r="FA637" s="748"/>
      <c r="FB637" s="65"/>
      <c r="FC637" s="65"/>
      <c r="FD637" s="65"/>
      <c r="FE637" s="65"/>
      <c r="FF637" s="65"/>
      <c r="FG637" s="748"/>
      <c r="FH637" s="65"/>
      <c r="FI637" s="65"/>
      <c r="FJ637" s="65"/>
      <c r="FK637" s="65"/>
      <c r="FL637" s="65"/>
      <c r="FM637" s="748"/>
      <c r="FQ637"/>
      <c r="FR637"/>
      <c r="FS637"/>
      <c r="FT637"/>
      <c r="FU637"/>
      <c r="FV637"/>
      <c r="GB637" s="24"/>
      <c r="GC637" s="24"/>
      <c r="GD637" s="24"/>
      <c r="GE637" s="24"/>
      <c r="GF637" s="24"/>
      <c r="GG637" s="24"/>
      <c r="GH637" s="24"/>
      <c r="GI637" s="24"/>
      <c r="GJ637"/>
      <c r="GK637"/>
      <c r="GL637"/>
      <c r="GM637"/>
      <c r="GN637"/>
      <c r="GO637"/>
      <c r="GP637"/>
      <c r="GQ637"/>
      <c r="GR637"/>
      <c r="GS637"/>
      <c r="GT637"/>
      <c r="GU637"/>
      <c r="GV637"/>
      <c r="GW637"/>
      <c r="GX637"/>
      <c r="GY637"/>
      <c r="GZ637"/>
      <c r="HA637"/>
      <c r="HB637"/>
      <c r="HC637"/>
      <c r="HD637"/>
      <c r="HE637"/>
      <c r="HF637"/>
      <c r="HG637"/>
      <c r="HH637"/>
      <c r="HI637"/>
      <c r="HJ637"/>
      <c r="HK637"/>
      <c r="HL637"/>
      <c r="HM637"/>
      <c r="HN637"/>
      <c r="HO637"/>
      <c r="HP637"/>
      <c r="HQ637"/>
      <c r="HR637"/>
      <c r="HS637"/>
      <c r="HT637"/>
      <c r="HU637"/>
      <c r="HV637"/>
      <c r="HW637"/>
      <c r="HX637"/>
      <c r="HY637"/>
      <c r="HZ637"/>
      <c r="IA637"/>
      <c r="IB637"/>
      <c r="IC637"/>
      <c r="ID637"/>
      <c r="IE637"/>
      <c r="IF637"/>
      <c r="IG637"/>
      <c r="IH637"/>
      <c r="II637"/>
      <c r="IJ637"/>
      <c r="IK637"/>
      <c r="IL637"/>
      <c r="IM637"/>
      <c r="IN637"/>
      <c r="IO637"/>
      <c r="IP637"/>
      <c r="IQ637"/>
      <c r="IR637"/>
      <c r="IS637"/>
      <c r="IT637"/>
      <c r="IU637"/>
      <c r="IV637"/>
      <c r="IW637"/>
      <c r="IX637"/>
      <c r="IY637"/>
      <c r="IZ637"/>
      <c r="JA637"/>
      <c r="JB637"/>
      <c r="JC637"/>
      <c r="JD637"/>
      <c r="JE637"/>
      <c r="JF637"/>
      <c r="JG637"/>
      <c r="JH637"/>
      <c r="JI637"/>
      <c r="JJ637"/>
      <c r="JK637"/>
      <c r="JL637"/>
      <c r="JM637"/>
      <c r="JN637"/>
    </row>
    <row r="638" spans="1:274" s="749" customFormat="1" ht="12.75" hidden="1" customHeight="1" outlineLevel="1" x14ac:dyDescent="0.2">
      <c r="A638" s="1478" t="str">
        <f>A565</f>
        <v>Hardware Systems Products</v>
      </c>
      <c r="B638" s="1479"/>
      <c r="C638" s="1479"/>
      <c r="D638" s="1479"/>
      <c r="E638" s="1479"/>
      <c r="F638" s="1479"/>
      <c r="G638" s="1479"/>
      <c r="H638" s="1479"/>
      <c r="I638" s="1479"/>
      <c r="J638" s="1479"/>
      <c r="K638" s="1479"/>
      <c r="L638" s="1479"/>
      <c r="M638" s="1479"/>
      <c r="N638" s="1479"/>
      <c r="O638" s="1479"/>
      <c r="P638" s="1479"/>
      <c r="Q638" s="1479"/>
      <c r="R638" s="1479"/>
      <c r="S638" s="1479"/>
      <c r="T638" s="1479"/>
      <c r="U638" s="1479"/>
      <c r="V638" s="1479"/>
      <c r="W638" s="1479"/>
      <c r="X638" s="1479"/>
      <c r="Y638" s="1479"/>
      <c r="Z638" s="1479"/>
      <c r="AA638" s="1479"/>
      <c r="AB638" s="1479"/>
      <c r="AC638" s="1479"/>
      <c r="AD638" s="1479"/>
      <c r="AE638" s="1479"/>
      <c r="AF638" s="1479"/>
      <c r="AG638" s="1479"/>
      <c r="AH638" s="1479"/>
      <c r="AI638" s="1479"/>
      <c r="AJ638" s="1479"/>
      <c r="AK638" s="1479"/>
      <c r="AL638" s="1479"/>
      <c r="AM638" s="1479"/>
      <c r="AN638" s="1479"/>
      <c r="AO638" s="1479"/>
      <c r="AP638" s="1479"/>
      <c r="AQ638" s="1479"/>
      <c r="AR638" s="1479"/>
      <c r="AS638" s="1479"/>
      <c r="AT638" s="1479"/>
      <c r="AU638" s="1479"/>
      <c r="AV638" s="1479"/>
      <c r="AW638" s="1479"/>
      <c r="AX638" s="1479"/>
      <c r="AY638" s="1479"/>
      <c r="AZ638" s="1479"/>
      <c r="BA638" s="1479"/>
      <c r="BB638" s="1479"/>
      <c r="BC638" s="1480"/>
      <c r="BD638" s="1479"/>
      <c r="BE638" s="1479"/>
      <c r="BF638" s="1479"/>
      <c r="BG638" s="1479"/>
      <c r="BH638" s="1479"/>
      <c r="BI638" s="1481"/>
      <c r="BJ638" s="1482"/>
      <c r="BK638" s="1482"/>
      <c r="BL638" s="1482"/>
      <c r="BM638" s="1482"/>
      <c r="BN638" s="1482"/>
      <c r="BO638" s="1481"/>
      <c r="BP638" s="1482"/>
      <c r="BQ638" s="1482"/>
      <c r="BR638" s="1482"/>
      <c r="BS638" s="1482"/>
      <c r="BT638" s="1482"/>
      <c r="BU638" s="1481"/>
      <c r="BV638" s="1479"/>
      <c r="BW638" s="1482"/>
      <c r="BX638" s="1482"/>
      <c r="BY638" s="1482"/>
      <c r="BZ638" s="1482"/>
      <c r="CA638" s="1481"/>
      <c r="CB638" s="1479"/>
      <c r="CC638" s="1482"/>
      <c r="CD638" s="1482"/>
      <c r="CE638" s="1482"/>
      <c r="CF638" s="1482"/>
      <c r="CG638" s="1481"/>
      <c r="CH638" s="1479"/>
      <c r="CI638" s="1482"/>
      <c r="CJ638" s="1482"/>
      <c r="CK638" s="1482"/>
      <c r="CL638" s="1482"/>
      <c r="CM638" s="1481"/>
      <c r="CN638" s="1479"/>
      <c r="CO638" s="1482"/>
      <c r="CP638" s="1482"/>
      <c r="CQ638" s="1482"/>
      <c r="CR638" s="1482"/>
      <c r="CS638" s="1481"/>
      <c r="CT638" s="1479"/>
      <c r="CU638" s="1482"/>
      <c r="CV638" s="1482"/>
      <c r="CW638" s="1482"/>
      <c r="CX638" s="1482"/>
      <c r="CY638" s="1481"/>
      <c r="CZ638" s="1479"/>
      <c r="DA638" s="1482"/>
      <c r="DB638" s="1482"/>
      <c r="DC638" s="1482">
        <f>DC639+DC642</f>
        <v>-158.1765988372093</v>
      </c>
      <c r="DD638" s="1482">
        <f>DD639+DD642</f>
        <v>-500.91238012205753</v>
      </c>
      <c r="DE638" s="1481">
        <f>DE639+DE642</f>
        <v>-613.55943817833577</v>
      </c>
      <c r="DF638" s="1479"/>
      <c r="DG638" s="1482">
        <f>DG639+DG642</f>
        <v>-407</v>
      </c>
      <c r="DH638" s="1482">
        <f>DH639+DH642</f>
        <v>-380.79836512261573</v>
      </c>
      <c r="DI638" s="1482">
        <f>DI639+DI642</f>
        <v>-119.62241290561326</v>
      </c>
      <c r="DJ638" s="1482">
        <f>DJ639+DJ642</f>
        <v>156.14772760357528</v>
      </c>
      <c r="DK638" s="1481">
        <f>DK639+DK642</f>
        <v>-620.5292925090414</v>
      </c>
      <c r="DL638" s="1479"/>
      <c r="DM638" s="1482">
        <f>DM639+DM642</f>
        <v>61.35958939273484</v>
      </c>
      <c r="DN638" s="1482">
        <f>DN639+DN642</f>
        <v>-40.072399364316972</v>
      </c>
      <c r="DO638" s="1482">
        <f>DO639+DO642</f>
        <v>-20.508387483871431</v>
      </c>
      <c r="DP638" s="1482">
        <f>DP639+DP642</f>
        <v>-24.66146051872596</v>
      </c>
      <c r="DQ638" s="1481">
        <f>DQ639+DQ642</f>
        <v>-31.024299653950976</v>
      </c>
      <c r="DR638" s="1479"/>
      <c r="DS638" s="1482">
        <f>DS639+DS642</f>
        <v>30.06933081403097</v>
      </c>
      <c r="DT638" s="1482">
        <f>DT639+DT642</f>
        <v>89.930645189607773</v>
      </c>
      <c r="DU638" s="1482">
        <f>DU639+DU642</f>
        <v>50.79737331210714</v>
      </c>
      <c r="DV638" s="1482">
        <f>DV639+DV642</f>
        <v>39.439794533058112</v>
      </c>
      <c r="DW638" s="1481">
        <f>DW639+DW642</f>
        <v>213.14835531075678</v>
      </c>
      <c r="DX638" s="1479"/>
      <c r="DY638" s="1482">
        <f>DY639+DY642</f>
        <v>21.72549706822528</v>
      </c>
      <c r="DZ638" s="1482">
        <f>DZ639+DZ642</f>
        <v>-34.21482643111618</v>
      </c>
      <c r="EA638" s="1482">
        <f>EA639+EA642</f>
        <v>-21.743045193379665</v>
      </c>
      <c r="EB638" s="1482">
        <f>EB639+EB642</f>
        <v>-9.0615537062543687</v>
      </c>
      <c r="EC638" s="1481">
        <f>EC639+EC642</f>
        <v>-57.748798799138171</v>
      </c>
      <c r="ED638" s="1479"/>
      <c r="EE638" s="1482">
        <f>EE639+EE642</f>
        <v>22.56595499610269</v>
      </c>
      <c r="EF638" s="1482">
        <f>EF639+EF642</f>
        <v>36.44979405584435</v>
      </c>
      <c r="EG638" s="1482">
        <f>EG639+EG642</f>
        <v>20.085010036680636</v>
      </c>
      <c r="EH638" s="1482">
        <f>EH639+EH642</f>
        <v>-21.307018774806263</v>
      </c>
      <c r="EI638" s="1481">
        <f>EI639+EI642</f>
        <v>70.061472417879784</v>
      </c>
      <c r="EJ638" s="1479"/>
      <c r="EK638" s="1482">
        <f>EK639+EK642</f>
        <v>-14.930438730711158</v>
      </c>
      <c r="EL638" s="1482">
        <f>EL639+EL642</f>
        <v>-23.471656616362829</v>
      </c>
      <c r="EM638" s="1482">
        <f>EM639+EM642</f>
        <v>-7.7516928217061434</v>
      </c>
      <c r="EN638" s="1482">
        <f>EN639+EN642</f>
        <v>-13.531659266229497</v>
      </c>
      <c r="EO638" s="1481">
        <f>EO639+EO642</f>
        <v>-58.828451748211393</v>
      </c>
      <c r="EP638" s="1479"/>
      <c r="EQ638" s="1482">
        <f>EQ639+EQ642</f>
        <v>23.890373485490315</v>
      </c>
      <c r="ER638" s="1482">
        <f>ER639+ER642</f>
        <v>70.097908631912929</v>
      </c>
      <c r="ES638" s="1482">
        <f>ES639+ES642</f>
        <v>27.438467607694001</v>
      </c>
      <c r="ET638" s="1482"/>
      <c r="EU638" s="1481"/>
      <c r="EV638" s="1479"/>
      <c r="EW638" s="1482"/>
      <c r="EX638" s="1479"/>
      <c r="EY638" s="1479"/>
      <c r="EZ638" s="1479"/>
      <c r="FA638" s="1480"/>
      <c r="FB638" s="1479"/>
      <c r="FC638" s="1479"/>
      <c r="FD638" s="1479"/>
      <c r="FE638" s="1479"/>
      <c r="FF638" s="1479"/>
      <c r="FG638" s="1480"/>
      <c r="FH638" s="1479"/>
      <c r="FI638" s="1479"/>
      <c r="FJ638" s="1479"/>
      <c r="FK638" s="1479"/>
      <c r="FL638" s="1479"/>
      <c r="FM638" s="1480"/>
      <c r="FQ638"/>
      <c r="FR638"/>
      <c r="FS638"/>
      <c r="FT638"/>
      <c r="FU638"/>
      <c r="FV638"/>
      <c r="GB638" s="24"/>
      <c r="GC638" s="24"/>
      <c r="GD638" s="24"/>
      <c r="GE638" s="24"/>
      <c r="GF638" s="24"/>
      <c r="GG638" s="24"/>
      <c r="GH638" s="24"/>
      <c r="GI638" s="24"/>
      <c r="GJ638"/>
      <c r="GK638"/>
      <c r="GL638"/>
      <c r="GM638"/>
      <c r="GN638"/>
      <c r="GO638"/>
      <c r="GP638"/>
      <c r="GQ638"/>
      <c r="GR638"/>
      <c r="GS638"/>
      <c r="GT638"/>
      <c r="GU638"/>
      <c r="GV638"/>
      <c r="GW638"/>
      <c r="GX638"/>
      <c r="GY638"/>
      <c r="GZ638"/>
      <c r="HA638"/>
      <c r="HB638"/>
      <c r="HC638"/>
      <c r="HD638"/>
      <c r="HE638"/>
      <c r="HF638"/>
      <c r="HG638"/>
      <c r="HH638"/>
      <c r="HI638"/>
      <c r="HJ638"/>
      <c r="HK638"/>
      <c r="HL638"/>
      <c r="HM638"/>
      <c r="HN638"/>
      <c r="HO638"/>
      <c r="HP638"/>
      <c r="HQ638"/>
      <c r="HR638"/>
      <c r="HS638"/>
      <c r="HT638"/>
      <c r="HU638"/>
      <c r="HV638"/>
      <c r="HW638"/>
      <c r="HX638"/>
      <c r="HY638"/>
      <c r="HZ638"/>
      <c r="IA638"/>
      <c r="IB638"/>
      <c r="IC638"/>
      <c r="ID638"/>
      <c r="IE638"/>
      <c r="IF638"/>
      <c r="IG638"/>
      <c r="IH638"/>
      <c r="II638"/>
      <c r="IJ638"/>
      <c r="IK638"/>
      <c r="IL638"/>
      <c r="IM638"/>
      <c r="IN638"/>
      <c r="IO638"/>
      <c r="IP638"/>
      <c r="IQ638"/>
      <c r="IR638"/>
      <c r="IS638"/>
      <c r="IT638"/>
      <c r="IU638"/>
      <c r="IV638"/>
      <c r="IW638"/>
      <c r="IX638"/>
      <c r="IY638"/>
      <c r="IZ638"/>
      <c r="JA638"/>
      <c r="JB638"/>
      <c r="JC638"/>
      <c r="JD638"/>
      <c r="JE638"/>
      <c r="JF638"/>
      <c r="JG638"/>
      <c r="JH638"/>
      <c r="JI638"/>
      <c r="JJ638"/>
      <c r="JK638"/>
      <c r="JL638"/>
      <c r="JM638"/>
      <c r="JN638"/>
    </row>
    <row r="639" spans="1:274" s="749" customFormat="1" ht="12.75" hidden="1" customHeight="1" outlineLevel="1" x14ac:dyDescent="0.2">
      <c r="A639" s="750" t="s">
        <v>635</v>
      </c>
      <c r="B639" s="747"/>
      <c r="C639" s="65"/>
      <c r="D639" s="65"/>
      <c r="E639" s="65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5"/>
      <c r="AC639" s="65"/>
      <c r="AD639" s="65"/>
      <c r="AE639" s="65"/>
      <c r="AF639" s="65"/>
      <c r="AG639" s="65"/>
      <c r="AH639" s="65"/>
      <c r="AI639" s="65"/>
      <c r="AJ639" s="65"/>
      <c r="AK639" s="65"/>
      <c r="AL639" s="65"/>
      <c r="AM639" s="65"/>
      <c r="AN639" s="65"/>
      <c r="AO639" s="65"/>
      <c r="AP639" s="65"/>
      <c r="AQ639" s="65"/>
      <c r="AR639" s="65"/>
      <c r="AS639" s="65"/>
      <c r="AT639" s="65"/>
      <c r="AU639" s="65"/>
      <c r="AV639" s="65"/>
      <c r="AW639" s="65"/>
      <c r="AX639" s="65"/>
      <c r="AY639" s="65"/>
      <c r="AZ639" s="65"/>
      <c r="BA639" s="65"/>
      <c r="BB639" s="65"/>
      <c r="BC639" s="748"/>
      <c r="BD639" s="65"/>
      <c r="BE639" s="65"/>
      <c r="BF639" s="65"/>
      <c r="BG639" s="65"/>
      <c r="BH639" s="65"/>
      <c r="BI639" s="751"/>
      <c r="BJ639" s="752"/>
      <c r="BK639" s="752"/>
      <c r="BL639" s="752"/>
      <c r="BM639" s="752"/>
      <c r="BN639" s="752"/>
      <c r="BO639" s="751"/>
      <c r="BP639" s="752"/>
      <c r="BQ639" s="752"/>
      <c r="BR639" s="752"/>
      <c r="BS639" s="752"/>
      <c r="BT639" s="752"/>
      <c r="BU639" s="751"/>
      <c r="BV639" s="65"/>
      <c r="BW639" s="752"/>
      <c r="BX639" s="752"/>
      <c r="BY639" s="752"/>
      <c r="BZ639" s="752"/>
      <c r="CA639" s="751"/>
      <c r="CB639" s="65"/>
      <c r="CC639" s="752"/>
      <c r="CD639" s="752"/>
      <c r="CE639" s="752"/>
      <c r="CF639" s="752"/>
      <c r="CG639" s="751"/>
      <c r="CH639" s="65"/>
      <c r="CI639" s="752"/>
      <c r="CJ639" s="752"/>
      <c r="CK639" s="752"/>
      <c r="CL639" s="752"/>
      <c r="CM639" s="751"/>
      <c r="CN639" s="65"/>
      <c r="CO639" s="752"/>
      <c r="CP639" s="752"/>
      <c r="CQ639" s="752"/>
      <c r="CR639" s="752"/>
      <c r="CS639" s="751"/>
      <c r="CT639" s="65"/>
      <c r="CU639" s="752"/>
      <c r="CV639" s="752"/>
      <c r="CW639" s="752"/>
      <c r="CX639" s="752"/>
      <c r="CY639" s="751"/>
      <c r="CZ639" s="65"/>
      <c r="DA639" s="752"/>
      <c r="DB639" s="752"/>
      <c r="DC639" s="752">
        <f>DC640*DC641*DC$604</f>
        <v>-158.1765988372093</v>
      </c>
      <c r="DD639" s="752">
        <f>DD640*DD641*DD$604</f>
        <v>-500.91238012205753</v>
      </c>
      <c r="DE639" s="1086">
        <f>DE640*DE641*DE$604</f>
        <v>-613.55943817833577</v>
      </c>
      <c r="DF639" s="65"/>
      <c r="DG639" s="752">
        <f>DG640*DG641*DG$604</f>
        <v>-407</v>
      </c>
      <c r="DH639" s="752">
        <f>DH640*DH641*DH$604</f>
        <v>-380.79836512261573</v>
      </c>
      <c r="DI639" s="752">
        <f>DI640*DI641*DI$604</f>
        <v>-410.79548982869022</v>
      </c>
      <c r="DJ639" s="752">
        <f>DJ640*DJ641*DJ$604</f>
        <v>80.726803029366039</v>
      </c>
      <c r="DK639" s="1086">
        <f>DK640*DK641*DK$604</f>
        <v>-995.35916524849222</v>
      </c>
      <c r="DL639" s="65"/>
      <c r="DM639" s="752">
        <f>DM640*DM641*DM$604</f>
        <v>52.689524517850678</v>
      </c>
      <c r="DN639" s="752">
        <f>DN640*DN641*DN$604</f>
        <v>51.881737326330516</v>
      </c>
      <c r="DO639" s="752">
        <f>DO640*DO641*DO$604</f>
        <v>60.045235704534406</v>
      </c>
      <c r="DP639" s="752">
        <f>DP640*DP641*DP$604</f>
        <v>59.857570623142564</v>
      </c>
      <c r="DQ639" s="1086">
        <f>DQ640*DQ641*DQ$604</f>
        <v>221.59893174723567</v>
      </c>
      <c r="DR639" s="65"/>
      <c r="DS639" s="752">
        <f>DS640*DS641*DS$604</f>
        <v>72.612576683807475</v>
      </c>
      <c r="DT639" s="752">
        <f>DT640*DT641*DT$604</f>
        <v>99.753310457183844</v>
      </c>
      <c r="DU639" s="752">
        <f>DU640*DU641*DU$604</f>
        <v>77.594841666537505</v>
      </c>
      <c r="DV639" s="752">
        <f>DV640*DV641*DV$604</f>
        <v>51.470532237976144</v>
      </c>
      <c r="DW639" s="1086">
        <f>DW640*DW641*DW$604</f>
        <v>304.95342455559609</v>
      </c>
      <c r="DX639" s="65"/>
      <c r="DY639" s="752">
        <f>DY640*DY641*DY$604</f>
        <v>50.731915553462755</v>
      </c>
      <c r="DZ639" s="752">
        <f>DZ640*DZ641*DZ$604</f>
        <v>14.561740326377016</v>
      </c>
      <c r="EA639" s="752">
        <f>EA640*EA641*EA$604</f>
        <v>-12.844386475048806</v>
      </c>
      <c r="EB639" s="752">
        <f>EB640*EB641*EB$604</f>
        <v>19.302403890918765</v>
      </c>
      <c r="EC639" s="1086">
        <f>EC640*EC641*EC$604</f>
        <v>60.03557310986281</v>
      </c>
      <c r="ED639" s="65"/>
      <c r="EE639" s="752">
        <f>EE640*EE641*EE$604</f>
        <v>48.835013292066812</v>
      </c>
      <c r="EF639" s="752">
        <f>EF640*EF641*EF$604</f>
        <v>10.878365484415777</v>
      </c>
      <c r="EG639" s="752">
        <f>EG640*EG641*EG$604</f>
        <v>6.8615617608185655</v>
      </c>
      <c r="EH639" s="752">
        <f>EH640*EH641*EH$604</f>
        <v>-13.157249189552802</v>
      </c>
      <c r="EI639" s="1086">
        <f>EI640*EI641*EI$604</f>
        <v>67.677063815729312</v>
      </c>
      <c r="EJ639" s="65"/>
      <c r="EK639" s="752">
        <f>EK640*EK641*EK$604</f>
        <v>-1.0377051666973074</v>
      </c>
      <c r="EL639" s="752">
        <f>EL640*EL641*EL$604</f>
        <v>44.821230412925864</v>
      </c>
      <c r="EM639" s="752">
        <f>EM640*EM641*EM$604</f>
        <v>36.770779088406215</v>
      </c>
      <c r="EN639" s="752">
        <f>EN640*EN641*EN$604</f>
        <v>33.886433643305963</v>
      </c>
      <c r="EO639" s="1086">
        <f>EO640*EO641*EO$604</f>
        <v>118.0179199332045</v>
      </c>
      <c r="EP639" s="65"/>
      <c r="EQ639" s="752">
        <f>EQ640*EQ641*EQ$604</f>
        <v>57.574584011806103</v>
      </c>
      <c r="ER639" s="752">
        <f>ER640*ER641*ER$604</f>
        <v>44.588310028073479</v>
      </c>
      <c r="ES639" s="752">
        <f>ES640*ES641*ES$604</f>
        <v>50.703368269945656</v>
      </c>
      <c r="ET639" s="752"/>
      <c r="EU639" s="1086"/>
      <c r="EV639" s="65"/>
      <c r="EW639" s="752"/>
      <c r="EX639" s="65"/>
      <c r="EY639" s="65"/>
      <c r="EZ639" s="65"/>
      <c r="FA639" s="748"/>
      <c r="FB639" s="65"/>
      <c r="FC639" s="65"/>
      <c r="FD639" s="65"/>
      <c r="FE639" s="65"/>
      <c r="FF639" s="65"/>
      <c r="FG639" s="748"/>
      <c r="FH639" s="65"/>
      <c r="FI639" s="65"/>
      <c r="FJ639" s="65"/>
      <c r="FK639" s="65"/>
      <c r="FL639" s="65"/>
      <c r="FM639" s="748"/>
      <c r="FQ639"/>
      <c r="FR639"/>
      <c r="FS639"/>
      <c r="FT639"/>
      <c r="FU639"/>
      <c r="FV639"/>
      <c r="GB639" s="24"/>
      <c r="GC639" s="24"/>
      <c r="GD639" s="24"/>
      <c r="GE639" s="24"/>
      <c r="GF639" s="24"/>
      <c r="GG639" s="24"/>
      <c r="GH639" s="24"/>
      <c r="GI639" s="24"/>
      <c r="GJ639"/>
      <c r="GK639"/>
      <c r="GL639"/>
      <c r="GM639"/>
      <c r="GN639"/>
      <c r="GO639"/>
      <c r="GP639"/>
      <c r="GQ639"/>
      <c r="GR639"/>
      <c r="GS639"/>
      <c r="GT639"/>
      <c r="GU639"/>
      <c r="GV639"/>
      <c r="GW639"/>
      <c r="GX639"/>
      <c r="GY639"/>
      <c r="GZ639"/>
      <c r="HA639"/>
      <c r="HB639"/>
      <c r="HC639"/>
      <c r="HD639"/>
      <c r="HE639"/>
      <c r="HF639"/>
      <c r="HG639"/>
      <c r="HH639"/>
      <c r="HI639"/>
      <c r="HJ639"/>
      <c r="HK639"/>
      <c r="HL639"/>
      <c r="HM639"/>
      <c r="HN639"/>
      <c r="HO639"/>
      <c r="HP639"/>
      <c r="HQ639"/>
      <c r="HR639"/>
      <c r="HS639"/>
      <c r="HT639"/>
      <c r="HU639"/>
      <c r="HV639"/>
      <c r="HW639"/>
      <c r="HX639"/>
      <c r="HY639"/>
      <c r="HZ639"/>
      <c r="IA639"/>
      <c r="IB639"/>
      <c r="IC639"/>
      <c r="ID639"/>
      <c r="IE639"/>
      <c r="IF639"/>
      <c r="IG639"/>
      <c r="IH639"/>
      <c r="II639"/>
      <c r="IJ639"/>
      <c r="IK639"/>
      <c r="IL639"/>
      <c r="IM639"/>
      <c r="IN639"/>
      <c r="IO639"/>
      <c r="IP639"/>
      <c r="IQ639"/>
      <c r="IR639"/>
      <c r="IS639"/>
      <c r="IT639"/>
      <c r="IU639"/>
      <c r="IV639"/>
      <c r="IW639"/>
      <c r="IX639"/>
      <c r="IY639"/>
      <c r="IZ639"/>
      <c r="JA639"/>
      <c r="JB639"/>
      <c r="JC639"/>
      <c r="JD639"/>
      <c r="JE639"/>
      <c r="JF639"/>
      <c r="JG639"/>
      <c r="JH639"/>
      <c r="JI639"/>
      <c r="JJ639"/>
      <c r="JK639"/>
      <c r="JL639"/>
      <c r="JM639"/>
      <c r="JN639"/>
    </row>
    <row r="640" spans="1:274" s="749" customFormat="1" ht="12.75" hidden="1" customHeight="1" outlineLevel="2" x14ac:dyDescent="0.2">
      <c r="A640" s="753" t="s">
        <v>636</v>
      </c>
      <c r="B640" s="506"/>
      <c r="C640" s="506"/>
      <c r="D640" s="506"/>
      <c r="E640" s="506"/>
      <c r="F640" s="506"/>
      <c r="G640" s="506"/>
      <c r="H640" s="506"/>
      <c r="I640" s="506"/>
      <c r="J640" s="506"/>
      <c r="K640" s="506"/>
      <c r="L640" s="506"/>
      <c r="M640" s="506"/>
      <c r="N640" s="506"/>
      <c r="O640" s="506"/>
      <c r="P640" s="506"/>
      <c r="Q640" s="506"/>
      <c r="R640" s="506"/>
      <c r="S640" s="506"/>
      <c r="T640" s="506"/>
      <c r="U640" s="506"/>
      <c r="V640" s="506"/>
      <c r="W640" s="506"/>
      <c r="X640" s="506"/>
      <c r="Y640" s="506"/>
      <c r="Z640" s="506"/>
      <c r="AA640" s="506"/>
      <c r="AB640" s="506"/>
      <c r="AC640" s="506"/>
      <c r="AD640" s="506"/>
      <c r="AE640" s="506"/>
      <c r="AF640" s="506"/>
      <c r="AG640" s="506"/>
      <c r="AH640" s="506"/>
      <c r="AI640" s="506"/>
      <c r="AJ640" s="506"/>
      <c r="AK640" s="506"/>
      <c r="AL640" s="506"/>
      <c r="AM640" s="506"/>
      <c r="AN640" s="506"/>
      <c r="AO640" s="506"/>
      <c r="AP640" s="506"/>
      <c r="AQ640" s="506"/>
      <c r="AR640" s="506"/>
      <c r="AS640" s="506"/>
      <c r="AT640" s="506"/>
      <c r="AU640" s="506"/>
      <c r="AV640" s="506"/>
      <c r="AW640" s="506"/>
      <c r="AX640" s="506"/>
      <c r="AY640" s="506"/>
      <c r="AZ640" s="506"/>
      <c r="BA640" s="506"/>
      <c r="BB640" s="506"/>
      <c r="BC640" s="1080"/>
      <c r="BD640" s="506"/>
      <c r="BE640" s="506"/>
      <c r="BF640" s="506"/>
      <c r="BG640" s="506"/>
      <c r="BH640" s="506"/>
      <c r="BI640" s="1081"/>
      <c r="BJ640" s="1082"/>
      <c r="BK640" s="1082"/>
      <c r="BL640" s="1082"/>
      <c r="BM640" s="1082"/>
      <c r="BN640" s="1082"/>
      <c r="BO640" s="1081"/>
      <c r="BP640" s="1082"/>
      <c r="BQ640" s="1082"/>
      <c r="BR640" s="1082"/>
      <c r="BS640" s="1082"/>
      <c r="BT640" s="1082"/>
      <c r="BU640" s="1081"/>
      <c r="BV640" s="506"/>
      <c r="BW640" s="1082"/>
      <c r="BX640" s="1082"/>
      <c r="BY640" s="1082"/>
      <c r="BZ640" s="1082"/>
      <c r="CA640" s="1081"/>
      <c r="CB640" s="506"/>
      <c r="CC640" s="1082"/>
      <c r="CD640" s="1082"/>
      <c r="CE640" s="1082"/>
      <c r="CF640" s="1082"/>
      <c r="CG640" s="1081"/>
      <c r="CH640" s="506"/>
      <c r="CI640" s="1082"/>
      <c r="CJ640" s="1082"/>
      <c r="CK640" s="1082"/>
      <c r="CL640" s="1082"/>
      <c r="CM640" s="1081"/>
      <c r="CN640" s="506"/>
      <c r="CO640" s="1082"/>
      <c r="CP640" s="1082"/>
      <c r="CQ640" s="1082"/>
      <c r="CR640" s="1082"/>
      <c r="CS640" s="1081"/>
      <c r="CT640" s="506"/>
      <c r="CU640" s="1082"/>
      <c r="CV640" s="1082"/>
      <c r="CW640" s="1082"/>
      <c r="CX640" s="1082"/>
      <c r="CY640" s="1081"/>
      <c r="CZ640" s="506"/>
      <c r="DA640" s="1082"/>
      <c r="DB640" s="1082"/>
      <c r="DC640" s="71">
        <f>(DC566/DC$604)-(CW566/CW$604)</f>
        <v>4.0191683413201423E-2</v>
      </c>
      <c r="DD640" s="71">
        <f>(DD566/DD$604)-(CX566/CX$604)</f>
        <v>0.1280373831775701</v>
      </c>
      <c r="DE640" s="1139">
        <f>(DE566/DE$604)-(CY566/CY$604)</f>
        <v>5.5226751498113485E-2</v>
      </c>
      <c r="DF640" s="506"/>
      <c r="DG640" s="71">
        <f>(DG566/DG$604)-(DA566/DA$604)</f>
        <v>0.14219820769636268</v>
      </c>
      <c r="DH640" s="71">
        <f>(DH566/DH$604)-(DB566/DB$604)</f>
        <v>0.12856977685281534</v>
      </c>
      <c r="DI640" s="71">
        <f>(DI566/DI$604)-(DC566/DC$604)</f>
        <v>7.7328471009416949E-2</v>
      </c>
      <c r="DJ640" s="71">
        <f>(DJ566/DJ$604)-(DD566/DD$604)</f>
        <v>-2.1059778143329863E-2</v>
      </c>
      <c r="DK640" s="1139">
        <f>(DK566/DK$604)-(DE566/DE$604)</f>
        <v>6.7004768725038535E-2</v>
      </c>
      <c r="DL640" s="506"/>
      <c r="DM640" s="71">
        <f>(DM566/DM$604)-(DG566/DG$604)</f>
        <v>-1.9669034083597742E-2</v>
      </c>
      <c r="DN640" s="71">
        <f>(DN566/DN$604)-(DH566/DH$604)</f>
        <v>-2.0409522625145379E-2</v>
      </c>
      <c r="DO640" s="71">
        <f>(DO566/DO$604)-(DI566/DI$604)</f>
        <v>-2.1625208494567172E-2</v>
      </c>
      <c r="DP640" s="71">
        <f>(DP566/DP$604)-(DJ566/DJ$604)</f>
        <v>-1.7845184942916037E-2</v>
      </c>
      <c r="DQ640" s="1139">
        <f>(DQ566/DQ$604)-(DK566/DK$604)</f>
        <v>-1.9413218726684972E-2</v>
      </c>
      <c r="DR640" s="506"/>
      <c r="DS640" s="71">
        <f>(DS566/DS$604)-(DM566/DM$604)</f>
        <v>-2.7633327590106879E-2</v>
      </c>
      <c r="DT640" s="71">
        <f>(DT566/DT$604)-(DN566/DN$604)</f>
        <v>-2.7615976821766308E-2</v>
      </c>
      <c r="DU640" s="71">
        <f>(DU566/DU$604)-(DO566/DO$604)</f>
        <v>-2.1090040688363357E-2</v>
      </c>
      <c r="DV640" s="71">
        <f>(DV566/DV$604)-(DP566/DP$604)</f>
        <v>-1.1675983634796508E-2</v>
      </c>
      <c r="DW640" s="1139">
        <f>(DW566/DW$604)-(DQ566/DQ$604)</f>
        <v>-2.1402039718892082E-2</v>
      </c>
      <c r="DX640" s="506"/>
      <c r="DY640" s="71">
        <f>(DY566/DY$604)-(DS566/DS$604)</f>
        <v>-1.5072435928397229E-2</v>
      </c>
      <c r="DZ640" s="71">
        <f>(DZ566/DZ$604)-(DT566/DT$604)</f>
        <v>-3.6294869286872394E-3</v>
      </c>
      <c r="EA640" s="71">
        <f>(EA566/EA$604)-(DU566/DU$604)</f>
        <v>3.0265494033610008E-3</v>
      </c>
      <c r="EB640" s="71">
        <f>(EB566/EB$604)-(DV566/DV$604)</f>
        <v>-3.7909862316274079E-3</v>
      </c>
      <c r="EC640" s="1139">
        <f>(EC566/EC$604)-(DW566/DW$604)</f>
        <v>-3.7260826933583902E-3</v>
      </c>
      <c r="ED640" s="506"/>
      <c r="EE640" s="71">
        <f>(EE566/EE$604)-(DY566/DY$604)</f>
        <v>-1.2621921895214216E-2</v>
      </c>
      <c r="EF640" s="71">
        <f>(EF566/EF$604)-(DZ566/DZ$604)</f>
        <v>-2.3050089995889506E-3</v>
      </c>
      <c r="EG640" s="71">
        <f>(EG566/EG$604)-(EA566/EA$604)</f>
        <v>-1.5593603741682893E-3</v>
      </c>
      <c r="EH640" s="71">
        <f>(EH566/EH$604)-(EB566/EB$604)</f>
        <v>2.733167501820552E-3</v>
      </c>
      <c r="EI640" s="1139">
        <f>(EI566/EI$604)-(EC566/EC$604)</f>
        <v>-3.8397621234553259E-3</v>
      </c>
      <c r="EJ640" s="506"/>
      <c r="EK640" s="71">
        <f>(EK566/EK$604)-(EE566/EE$604)</f>
        <v>2.4615113357674689E-4</v>
      </c>
      <c r="EL640" s="71">
        <f>(EL566/EL$604)-(EF566/EF$604)</f>
        <v>-1.092188551230569E-2</v>
      </c>
      <c r="EM640" s="71">
        <f>(EM566/EM$604)-(EG566/EG$604)</f>
        <v>-9.265216079397523E-3</v>
      </c>
      <c r="EN640" s="71">
        <f>(EN566/EN$604)-(EH566/EH$604)</f>
        <v>-8.0644978588586408E-3</v>
      </c>
      <c r="EO640" s="1139">
        <f>(EO566/EO$604)-(EI566/EI$604)</f>
        <v>-7.1693580515133359E-3</v>
      </c>
      <c r="EP640" s="506"/>
      <c r="EQ640" s="71">
        <f>(EQ566/EQ$604)-(EK566/EK$604)</f>
        <v>-1.3807792589328342E-2</v>
      </c>
      <c r="ER640" s="71">
        <f>(ER566/ER$604)-(EL566/EL$604)</f>
        <v>-8.8918650943184685E-3</v>
      </c>
      <c r="ES640" s="71">
        <f>(ES566/ES$604)-(EM566/EM$604)</f>
        <v>-1.0936142800222738E-2</v>
      </c>
      <c r="ET640" s="71"/>
      <c r="EU640" s="1139"/>
      <c r="EV640" s="506"/>
      <c r="EW640" s="71"/>
      <c r="EX640" s="506"/>
      <c r="EY640" s="506"/>
      <c r="EZ640" s="506"/>
      <c r="FA640" s="1080"/>
      <c r="FB640" s="506"/>
      <c r="FC640" s="506"/>
      <c r="FD640" s="506"/>
      <c r="FE640" s="506"/>
      <c r="FF640" s="506"/>
      <c r="FG640" s="1080"/>
      <c r="FH640" s="506"/>
      <c r="FI640" s="506"/>
      <c r="FJ640" s="506"/>
      <c r="FK640" s="506"/>
      <c r="FL640" s="506"/>
      <c r="FM640" s="1080"/>
      <c r="FQ640"/>
      <c r="FR640"/>
      <c r="FS640"/>
      <c r="FT640"/>
      <c r="FU640"/>
      <c r="FV640"/>
      <c r="GB640" s="24"/>
      <c r="GC640" s="24"/>
      <c r="GD640" s="24"/>
      <c r="GE640" s="24"/>
      <c r="GF640" s="24"/>
      <c r="GG640" s="24"/>
      <c r="GH640" s="24"/>
      <c r="GI640" s="24"/>
      <c r="GJ640"/>
      <c r="GK640"/>
      <c r="GL640"/>
      <c r="GM640"/>
      <c r="GN640"/>
      <c r="GO640"/>
      <c r="GP640"/>
      <c r="GQ640"/>
      <c r="GR640"/>
      <c r="GS640"/>
      <c r="GT640"/>
      <c r="GU640"/>
      <c r="GV640"/>
      <c r="GW640"/>
      <c r="GX640"/>
      <c r="GY640"/>
      <c r="GZ640"/>
      <c r="HA640"/>
      <c r="HB640"/>
      <c r="HC640"/>
      <c r="HD640"/>
      <c r="HE640"/>
      <c r="HF640"/>
      <c r="HG640"/>
      <c r="HH640"/>
      <c r="HI640"/>
      <c r="HJ640"/>
      <c r="HK640"/>
      <c r="HL640"/>
      <c r="HM640"/>
      <c r="HN640"/>
      <c r="HO640"/>
      <c r="HP640"/>
      <c r="HQ640"/>
      <c r="HR640"/>
      <c r="HS640"/>
      <c r="HT640"/>
      <c r="HU640"/>
      <c r="HV640"/>
      <c r="HW640"/>
      <c r="HX640"/>
      <c r="HY640"/>
      <c r="HZ640"/>
      <c r="IA640"/>
      <c r="IB640"/>
      <c r="IC640"/>
      <c r="ID640"/>
      <c r="IE640"/>
      <c r="IF640"/>
      <c r="IG640"/>
      <c r="IH640"/>
      <c r="II640"/>
      <c r="IJ640"/>
      <c r="IK640"/>
      <c r="IL640"/>
      <c r="IM640"/>
      <c r="IN640"/>
      <c r="IO640"/>
      <c r="IP640"/>
      <c r="IQ640"/>
      <c r="IR640"/>
      <c r="IS640"/>
      <c r="IT640"/>
      <c r="IU640"/>
      <c r="IV640"/>
      <c r="IW640"/>
      <c r="IX640"/>
      <c r="IY640"/>
      <c r="IZ640"/>
      <c r="JA640"/>
      <c r="JB640"/>
      <c r="JC640"/>
      <c r="JD640"/>
      <c r="JE640"/>
      <c r="JF640"/>
      <c r="JG640"/>
      <c r="JH640"/>
      <c r="JI640"/>
      <c r="JJ640"/>
      <c r="JK640"/>
      <c r="JL640"/>
      <c r="JM640"/>
      <c r="JN640"/>
    </row>
    <row r="641" spans="1:274" s="749" customFormat="1" ht="12.75" hidden="1" customHeight="1" outlineLevel="2" x14ac:dyDescent="0.2">
      <c r="A641" s="753" t="s">
        <v>637</v>
      </c>
      <c r="B641" s="506"/>
      <c r="C641" s="506"/>
      <c r="D641" s="506"/>
      <c r="E641" s="506"/>
      <c r="F641" s="506"/>
      <c r="G641" s="506"/>
      <c r="H641" s="506"/>
      <c r="I641" s="506"/>
      <c r="J641" s="506"/>
      <c r="K641" s="506"/>
      <c r="L641" s="506"/>
      <c r="M641" s="506"/>
      <c r="N641" s="506"/>
      <c r="O641" s="506"/>
      <c r="P641" s="506"/>
      <c r="Q641" s="506"/>
      <c r="R641" s="506"/>
      <c r="S641" s="506"/>
      <c r="T641" s="506"/>
      <c r="U641" s="506"/>
      <c r="V641" s="506"/>
      <c r="W641" s="506"/>
      <c r="X641" s="506"/>
      <c r="Y641" s="506"/>
      <c r="Z641" s="506"/>
      <c r="AA641" s="506"/>
      <c r="AB641" s="506"/>
      <c r="AC641" s="506"/>
      <c r="AD641" s="506"/>
      <c r="AE641" s="506"/>
      <c r="AF641" s="506"/>
      <c r="AG641" s="506"/>
      <c r="AH641" s="506"/>
      <c r="AI641" s="506"/>
      <c r="AJ641" s="506"/>
      <c r="AK641" s="506"/>
      <c r="AL641" s="506"/>
      <c r="AM641" s="506"/>
      <c r="AN641" s="506"/>
      <c r="AO641" s="506"/>
      <c r="AP641" s="506"/>
      <c r="AQ641" s="506"/>
      <c r="AR641" s="506"/>
      <c r="AS641" s="506"/>
      <c r="AT641" s="506"/>
      <c r="AU641" s="506"/>
      <c r="AV641" s="506"/>
      <c r="AW641" s="506"/>
      <c r="AX641" s="506"/>
      <c r="AY641" s="506"/>
      <c r="AZ641" s="506"/>
      <c r="BA641" s="506"/>
      <c r="BB641" s="506"/>
      <c r="BC641" s="1080"/>
      <c r="BD641" s="506"/>
      <c r="BE641" s="506"/>
      <c r="BF641" s="506"/>
      <c r="BG641" s="506"/>
      <c r="BH641" s="506"/>
      <c r="BI641" s="1081"/>
      <c r="BJ641" s="1082"/>
      <c r="BK641" s="1082"/>
      <c r="BL641" s="1082"/>
      <c r="BM641" s="1082"/>
      <c r="BN641" s="1082"/>
      <c r="BO641" s="1081"/>
      <c r="BP641" s="1082"/>
      <c r="BQ641" s="1082"/>
      <c r="BR641" s="1082"/>
      <c r="BS641" s="1082"/>
      <c r="BT641" s="1082"/>
      <c r="BU641" s="1081"/>
      <c r="BV641" s="506"/>
      <c r="BW641" s="1082"/>
      <c r="BX641" s="1082"/>
      <c r="BY641" s="1082"/>
      <c r="BZ641" s="1082"/>
      <c r="CA641" s="1081"/>
      <c r="CB641" s="506"/>
      <c r="CC641" s="1082"/>
      <c r="CD641" s="1082"/>
      <c r="CE641" s="1082"/>
      <c r="CF641" s="1082"/>
      <c r="CG641" s="1081"/>
      <c r="CH641" s="506"/>
      <c r="CI641" s="1082"/>
      <c r="CJ641" s="1082"/>
      <c r="CK641" s="1082"/>
      <c r="CL641" s="1082"/>
      <c r="CM641" s="1081"/>
      <c r="CN641" s="506"/>
      <c r="CO641" s="1082"/>
      <c r="CP641" s="1082"/>
      <c r="CQ641" s="1082"/>
      <c r="CR641" s="1082"/>
      <c r="CS641" s="1081"/>
      <c r="CT641" s="506"/>
      <c r="CU641" s="1082"/>
      <c r="CV641" s="1082"/>
      <c r="CW641" s="1082"/>
      <c r="CX641" s="1082"/>
      <c r="CY641" s="1081"/>
      <c r="CZ641" s="506"/>
      <c r="DA641" s="1082"/>
      <c r="DB641" s="1082"/>
      <c r="DC641" s="71">
        <f>CW570-CW$607</f>
        <v>-0.60837153398926658</v>
      </c>
      <c r="DD641" s="71">
        <f>CX570-CX$607</f>
        <v>-0.406254971712942</v>
      </c>
      <c r="DE641" s="1139">
        <f>CY570-CY$607</f>
        <v>-0.41095742677718405</v>
      </c>
      <c r="DF641" s="506"/>
      <c r="DG641" s="71">
        <f>DA570-DA$607</f>
        <v>-0.37720111214087115</v>
      </c>
      <c r="DH641" s="71">
        <f>DB570-DB$607</f>
        <v>-0.3424445729519926</v>
      </c>
      <c r="DI641" s="71">
        <f>DC570-DC$607</f>
        <v>-0.60319571447257336</v>
      </c>
      <c r="DJ641" s="71">
        <f>DD570-DD$607</f>
        <v>-0.35473088205198167</v>
      </c>
      <c r="DK641" s="1139">
        <f>DE570-DE$607</f>
        <v>-0.41436679597882764</v>
      </c>
      <c r="DL641" s="506"/>
      <c r="DM641" s="71">
        <f>DG570-DG$607</f>
        <v>-0.31898141204369812</v>
      </c>
      <c r="DN641" s="71">
        <f>DH570-DH$607</f>
        <v>-0.28850707155399513</v>
      </c>
      <c r="DO641" s="71">
        <f>DI570-DI$607</f>
        <v>-0.30640383226122825</v>
      </c>
      <c r="DP641" s="71">
        <f>DJ570-DJ$607</f>
        <v>-0.30632603827042132</v>
      </c>
      <c r="DQ641" s="1139">
        <f>DK570-DK$607</f>
        <v>-0.30667761547652467</v>
      </c>
      <c r="DR641" s="506"/>
      <c r="DS641" s="71">
        <f>DM570-DM$607</f>
        <v>-0.32010201420070633</v>
      </c>
      <c r="DT641" s="71">
        <f>DN570-DN$607</f>
        <v>-0.39637434509924696</v>
      </c>
      <c r="DU641" s="71">
        <f>DO570-DO$607</f>
        <v>-0.41016914801727722</v>
      </c>
      <c r="DV641" s="71">
        <f>DP570-DP$607</f>
        <v>-0.40217493824388062</v>
      </c>
      <c r="DW641" s="1139">
        <f>DQ570-DQ$607</f>
        <v>-0.38248736789326909</v>
      </c>
      <c r="DX641" s="506"/>
      <c r="DY641" s="71">
        <f>DS570-DS$607</f>
        <v>-0.40160764720020659</v>
      </c>
      <c r="DZ641" s="71">
        <f>DT570-DT$607</f>
        <v>-0.43219495699020866</v>
      </c>
      <c r="EA641" s="71">
        <f>DU570-DU$607</f>
        <v>-0.4555989745583473</v>
      </c>
      <c r="EB641" s="71">
        <f>DV570-DV$607</f>
        <v>-0.43211895177344151</v>
      </c>
      <c r="EC641" s="1139">
        <f>DW570-DW$607</f>
        <v>-0.42061946581766585</v>
      </c>
      <c r="ED641" s="506"/>
      <c r="EE641" s="71">
        <f>DY570-DY$607</f>
        <v>-0.44983876085294361</v>
      </c>
      <c r="EF641" s="71">
        <f>DZ570-DZ$607</f>
        <v>-0.49109739770086641</v>
      </c>
      <c r="EG641" s="71">
        <f>EA570-EA$607</f>
        <v>-0.47137024080552326</v>
      </c>
      <c r="EH641" s="71">
        <f>EB570-EB$607</f>
        <v>-0.44960491389805907</v>
      </c>
      <c r="EI641" s="1139">
        <f>EC570-EC$607</f>
        <v>-0.46075673032496106</v>
      </c>
      <c r="EJ641" s="506"/>
      <c r="EK641" s="71">
        <f>EE570-EE$607</f>
        <v>-0.49884317788749921</v>
      </c>
      <c r="EL641" s="71">
        <f>EF570-EF$607</f>
        <v>-0.45612978693451878</v>
      </c>
      <c r="EM641" s="71">
        <f>EG570-EG$607</f>
        <v>-0.44028077851266534</v>
      </c>
      <c r="EN641" s="71">
        <f>EH570-EH$607</f>
        <v>-0.39659530828151401</v>
      </c>
      <c r="EO641" s="1139">
        <f>EI570-EI$607</f>
        <v>-0.44421930468059773</v>
      </c>
      <c r="EP641" s="506"/>
      <c r="EQ641" s="71">
        <f>EK570-EK$607</f>
        <v>-0.48411897688844041</v>
      </c>
      <c r="ER641" s="71">
        <f>EL570-EL$607</f>
        <v>-0.55286724428794476</v>
      </c>
      <c r="ES641" s="71">
        <f>EM570-EM$607</f>
        <v>-0.49992579607586146</v>
      </c>
      <c r="ET641" s="71"/>
      <c r="EU641" s="1139"/>
      <c r="EV641" s="506"/>
      <c r="EW641" s="71"/>
      <c r="EX641" s="506"/>
      <c r="EY641" s="506"/>
      <c r="EZ641" s="506"/>
      <c r="FA641" s="1080"/>
      <c r="FB641" s="506"/>
      <c r="FC641" s="506"/>
      <c r="FD641" s="506"/>
      <c r="FE641" s="506"/>
      <c r="FF641" s="506"/>
      <c r="FG641" s="1080"/>
      <c r="FH641" s="506"/>
      <c r="FI641" s="506"/>
      <c r="FJ641" s="506"/>
      <c r="FK641" s="506"/>
      <c r="FL641" s="506"/>
      <c r="FM641" s="1080"/>
      <c r="FQ641"/>
      <c r="FR641"/>
      <c r="FS641"/>
      <c r="FT641"/>
      <c r="FU641"/>
      <c r="FV641"/>
      <c r="GB641" s="24"/>
      <c r="GC641" s="24"/>
      <c r="GD641" s="24"/>
      <c r="GE641" s="24"/>
      <c r="GF641" s="24"/>
      <c r="GG641" s="24"/>
      <c r="GH641" s="24"/>
      <c r="GI641" s="24"/>
      <c r="GJ641"/>
      <c r="GK641"/>
      <c r="GL641"/>
      <c r="GM641"/>
      <c r="GN641"/>
      <c r="GO641"/>
      <c r="GP641"/>
      <c r="GQ641"/>
      <c r="GR641"/>
      <c r="GS641"/>
      <c r="GT641"/>
      <c r="GU641"/>
      <c r="GV641"/>
      <c r="GW641"/>
      <c r="GX641"/>
      <c r="GY641"/>
      <c r="GZ641"/>
      <c r="HA641"/>
      <c r="HB641"/>
      <c r="HC641"/>
      <c r="HD641"/>
      <c r="HE641"/>
      <c r="HF641"/>
      <c r="HG641"/>
      <c r="HH641"/>
      <c r="HI641"/>
      <c r="HJ641"/>
      <c r="HK641"/>
      <c r="HL641"/>
      <c r="HM641"/>
      <c r="HN641"/>
      <c r="HO641"/>
      <c r="HP641"/>
      <c r="HQ641"/>
      <c r="HR641"/>
      <c r="HS641"/>
      <c r="HT641"/>
      <c r="HU641"/>
      <c r="HV641"/>
      <c r="HW641"/>
      <c r="HX641"/>
      <c r="HY641"/>
      <c r="HZ641"/>
      <c r="IA641"/>
      <c r="IB641"/>
      <c r="IC641"/>
      <c r="ID641"/>
      <c r="IE641"/>
      <c r="IF641"/>
      <c r="IG641"/>
      <c r="IH641"/>
      <c r="II641"/>
      <c r="IJ641"/>
      <c r="IK641"/>
      <c r="IL641"/>
      <c r="IM641"/>
      <c r="IN641"/>
      <c r="IO641"/>
      <c r="IP641"/>
      <c r="IQ641"/>
      <c r="IR641"/>
      <c r="IS641"/>
      <c r="IT641"/>
      <c r="IU641"/>
      <c r="IV641"/>
      <c r="IW641"/>
      <c r="IX641"/>
      <c r="IY641"/>
      <c r="IZ641"/>
      <c r="JA641"/>
      <c r="JB641"/>
      <c r="JC641"/>
      <c r="JD641"/>
      <c r="JE641"/>
      <c r="JF641"/>
      <c r="JG641"/>
      <c r="JH641"/>
      <c r="JI641"/>
      <c r="JJ641"/>
      <c r="JK641"/>
      <c r="JL641"/>
      <c r="JM641"/>
      <c r="JN641"/>
    </row>
    <row r="642" spans="1:274" s="749" customFormat="1" ht="12.75" hidden="1" customHeight="1" outlineLevel="1" x14ac:dyDescent="0.2">
      <c r="A642" s="750" t="s">
        <v>638</v>
      </c>
      <c r="B642" s="747"/>
      <c r="C642" s="65"/>
      <c r="D642" s="65"/>
      <c r="E642" s="65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5"/>
      <c r="AC642" s="65"/>
      <c r="AD642" s="65"/>
      <c r="AE642" s="65"/>
      <c r="AF642" s="65"/>
      <c r="AG642" s="65"/>
      <c r="AH642" s="65"/>
      <c r="AI642" s="65"/>
      <c r="AJ642" s="65"/>
      <c r="AK642" s="65"/>
      <c r="AL642" s="65"/>
      <c r="AM642" s="65"/>
      <c r="AN642" s="65"/>
      <c r="AO642" s="65"/>
      <c r="AP642" s="65"/>
      <c r="AQ642" s="65"/>
      <c r="AR642" s="65"/>
      <c r="AS642" s="65"/>
      <c r="AT642" s="65"/>
      <c r="AU642" s="65"/>
      <c r="AV642" s="65"/>
      <c r="AW642" s="65"/>
      <c r="AX642" s="65"/>
      <c r="AY642" s="65"/>
      <c r="AZ642" s="65"/>
      <c r="BA642" s="65"/>
      <c r="BB642" s="65"/>
      <c r="BC642" s="748"/>
      <c r="BD642" s="65"/>
      <c r="BE642" s="65"/>
      <c r="BF642" s="65"/>
      <c r="BG642" s="65"/>
      <c r="BH642" s="65"/>
      <c r="BI642" s="751"/>
      <c r="BJ642" s="752"/>
      <c r="BK642" s="752"/>
      <c r="BL642" s="752"/>
      <c r="BM642" s="752"/>
      <c r="BN642" s="752"/>
      <c r="BO642" s="751"/>
      <c r="BP642" s="752"/>
      <c r="BQ642" s="752"/>
      <c r="BR642" s="752"/>
      <c r="BS642" s="752"/>
      <c r="BT642" s="752"/>
      <c r="BU642" s="751"/>
      <c r="BV642" s="65"/>
      <c r="BW642" s="752"/>
      <c r="BX642" s="752"/>
      <c r="BY642" s="752"/>
      <c r="BZ642" s="752"/>
      <c r="CA642" s="751"/>
      <c r="CB642" s="65"/>
      <c r="CC642" s="752"/>
      <c r="CD642" s="752"/>
      <c r="CE642" s="752"/>
      <c r="CF642" s="752"/>
      <c r="CG642" s="751"/>
      <c r="CH642" s="65"/>
      <c r="CI642" s="752"/>
      <c r="CJ642" s="752"/>
      <c r="CK642" s="752"/>
      <c r="CL642" s="752"/>
      <c r="CM642" s="751"/>
      <c r="CN642" s="65"/>
      <c r="CO642" s="752"/>
      <c r="CP642" s="752"/>
      <c r="CQ642" s="752"/>
      <c r="CR642" s="752"/>
      <c r="CS642" s="751"/>
      <c r="CT642" s="65"/>
      <c r="CU642" s="752"/>
      <c r="CV642" s="752"/>
      <c r="CW642" s="752"/>
      <c r="CX642" s="752"/>
      <c r="CY642" s="751"/>
      <c r="CZ642" s="65"/>
      <c r="DA642" s="752"/>
      <c r="DB642" s="752"/>
      <c r="DC642" s="752">
        <f>(DC570-CW570)*DC566</f>
        <v>0</v>
      </c>
      <c r="DD642" s="752">
        <f>(DD570-CX570)*DD566</f>
        <v>0</v>
      </c>
      <c r="DE642" s="1086">
        <f>(DE570-CY570)*DE566</f>
        <v>0</v>
      </c>
      <c r="DF642" s="65"/>
      <c r="DG642" s="752">
        <f>(DG570-DA570)*DG566</f>
        <v>0</v>
      </c>
      <c r="DH642" s="752">
        <f>(DH570-DB570)*DH566</f>
        <v>0</v>
      </c>
      <c r="DI642" s="752">
        <f>(DI570-DC570)*DI566</f>
        <v>291.17307692307696</v>
      </c>
      <c r="DJ642" s="752">
        <f>(DJ570-DD570)*DJ566</f>
        <v>75.420924574209252</v>
      </c>
      <c r="DK642" s="1086">
        <f>(DK570-DE570)*DK566</f>
        <v>374.82987273945082</v>
      </c>
      <c r="DL642" s="65"/>
      <c r="DM642" s="752">
        <f>(DM570-DG570)*DM566</f>
        <v>8.6700648748841633</v>
      </c>
      <c r="DN642" s="752">
        <f>(DN570-DH570)*DN566</f>
        <v>-91.954136690647488</v>
      </c>
      <c r="DO642" s="752">
        <f>(DO570-DI570)*DO566</f>
        <v>-80.553623188405837</v>
      </c>
      <c r="DP642" s="752">
        <f>(DP570-DJ570)*DP566</f>
        <v>-84.519031141868524</v>
      </c>
      <c r="DQ642" s="1086">
        <f>(DQ570-DK570)*DQ566</f>
        <v>-252.62323140118664</v>
      </c>
      <c r="DR642" s="65"/>
      <c r="DS642" s="752">
        <f>(DS570-DM570)*DS566</f>
        <v>-42.543245869776506</v>
      </c>
      <c r="DT642" s="752">
        <f>(DT570-DN570)*DT566</f>
        <v>-9.8226652675760668</v>
      </c>
      <c r="DU642" s="752">
        <f>(DU570-DO570)*DU566</f>
        <v>-26.797468354430368</v>
      </c>
      <c r="DV642" s="752">
        <f>(DV570-DP570)*DV566</f>
        <v>-12.030737704918032</v>
      </c>
      <c r="DW642" s="1086">
        <f>(DW570-DQ570)*DW566</f>
        <v>-91.805069244839302</v>
      </c>
      <c r="DX642" s="65"/>
      <c r="DY642" s="752">
        <f>(DY570-DS570)*DY566</f>
        <v>-29.006418485237475</v>
      </c>
      <c r="DZ642" s="752">
        <f>(DZ570-DT570)*DZ566</f>
        <v>-48.7765667574932</v>
      </c>
      <c r="EA642" s="752">
        <f>(EA570-DU570)*EA566</f>
        <v>-8.898658718330859</v>
      </c>
      <c r="EB642" s="752">
        <f>(EB570-DV570)*EB566</f>
        <v>-28.363957597173133</v>
      </c>
      <c r="EC642" s="1086">
        <f>(EC570-DW570)*EC566</f>
        <v>-117.78437190900098</v>
      </c>
      <c r="ED642" s="65"/>
      <c r="EE642" s="752">
        <f>(EE570-DY570)*EE566</f>
        <v>-26.269058295964122</v>
      </c>
      <c r="EF642" s="752">
        <f>(EF570-DZ570)*EF566</f>
        <v>25.571428571428573</v>
      </c>
      <c r="EG642" s="752">
        <f>(EG570-EA570)*EG566</f>
        <v>13.223448275862069</v>
      </c>
      <c r="EH642" s="752">
        <f>(EH570-EB570)*EH566</f>
        <v>-8.1497695852534608</v>
      </c>
      <c r="EI642" s="1086">
        <f>(EI570-EC570)*EI566</f>
        <v>2.3844086021504673</v>
      </c>
      <c r="EJ642" s="65"/>
      <c r="EK642" s="752">
        <f>(EK570-EE570)*EK566</f>
        <v>-13.892733564013851</v>
      </c>
      <c r="EL642" s="752">
        <f>(EL570-EF570)*EL566</f>
        <v>-68.292887029288693</v>
      </c>
      <c r="EM642" s="752">
        <f>(EM570-EG570)*EM566</f>
        <v>-44.522471910112358</v>
      </c>
      <c r="EN642" s="752">
        <f>(EN570-EH570)*EN566</f>
        <v>-47.41809290953546</v>
      </c>
      <c r="EO642" s="1086">
        <f>(EO570-EI570)*EO566</f>
        <v>-176.84637168141589</v>
      </c>
      <c r="EP642" s="65"/>
      <c r="EQ642" s="752">
        <f>(EQ570-EK570)*EQ566</f>
        <v>-33.684210526315788</v>
      </c>
      <c r="ER642" s="752">
        <f>(ER570-EL570)*ER566</f>
        <v>25.509598603839443</v>
      </c>
      <c r="ES642" s="752">
        <f>(ES570-EM570)*ES566</f>
        <v>-23.264900662251655</v>
      </c>
      <c r="ET642" s="752"/>
      <c r="EU642" s="1086"/>
      <c r="EV642" s="65"/>
      <c r="EW642" s="752"/>
      <c r="EX642" s="65"/>
      <c r="EY642" s="65"/>
      <c r="EZ642" s="65"/>
      <c r="FA642" s="748"/>
      <c r="FB642" s="65"/>
      <c r="FC642" s="65"/>
      <c r="FD642" s="65"/>
      <c r="FE642" s="65"/>
      <c r="FF642" s="65"/>
      <c r="FG642" s="748"/>
      <c r="FH642" s="65"/>
      <c r="FI642" s="65"/>
      <c r="FJ642" s="65"/>
      <c r="FK642" s="65"/>
      <c r="FL642" s="65"/>
      <c r="FM642" s="748"/>
      <c r="FQ642"/>
      <c r="FR642"/>
      <c r="FS642"/>
      <c r="FT642"/>
      <c r="FU642"/>
      <c r="FV642"/>
      <c r="GB642" s="24"/>
      <c r="GC642" s="24"/>
      <c r="GD642" s="24"/>
      <c r="GE642" s="24"/>
      <c r="GF642" s="24"/>
      <c r="GG642" s="24"/>
      <c r="GH642" s="24"/>
      <c r="GI642" s="24"/>
      <c r="GJ642"/>
      <c r="GK642"/>
      <c r="GL642"/>
      <c r="GM642"/>
      <c r="GN642"/>
      <c r="GO642"/>
      <c r="GP642"/>
      <c r="GQ642"/>
      <c r="GR642"/>
      <c r="GS642"/>
      <c r="GT642"/>
      <c r="GU642"/>
      <c r="GV642"/>
      <c r="GW642"/>
      <c r="GX642"/>
      <c r="GY642"/>
      <c r="GZ642"/>
      <c r="HA642"/>
      <c r="HB642"/>
      <c r="HC642"/>
      <c r="HD642"/>
      <c r="HE642"/>
      <c r="HF642"/>
      <c r="HG642"/>
      <c r="HH642"/>
      <c r="HI642"/>
      <c r="HJ642"/>
      <c r="HK642"/>
      <c r="HL642"/>
      <c r="HM642"/>
      <c r="HN642"/>
      <c r="HO642"/>
      <c r="HP642"/>
      <c r="HQ642"/>
      <c r="HR642"/>
      <c r="HS642"/>
      <c r="HT642"/>
      <c r="HU642"/>
      <c r="HV642"/>
      <c r="HW642"/>
      <c r="HX642"/>
      <c r="HY642"/>
      <c r="HZ642"/>
      <c r="IA642"/>
      <c r="IB642"/>
      <c r="IC642"/>
      <c r="ID642"/>
      <c r="IE642"/>
      <c r="IF642"/>
      <c r="IG642"/>
      <c r="IH642"/>
      <c r="II642"/>
      <c r="IJ642"/>
      <c r="IK642"/>
      <c r="IL642"/>
      <c r="IM642"/>
      <c r="IN642"/>
      <c r="IO642"/>
      <c r="IP642"/>
      <c r="IQ642"/>
      <c r="IR642"/>
      <c r="IS642"/>
      <c r="IT642"/>
      <c r="IU642"/>
      <c r="IV642"/>
      <c r="IW642"/>
      <c r="IX642"/>
      <c r="IY642"/>
      <c r="IZ642"/>
      <c r="JA642"/>
      <c r="JB642"/>
      <c r="JC642"/>
      <c r="JD642"/>
      <c r="JE642"/>
      <c r="JF642"/>
      <c r="JG642"/>
      <c r="JH642"/>
      <c r="JI642"/>
      <c r="JJ642"/>
      <c r="JK642"/>
      <c r="JL642"/>
      <c r="JM642"/>
      <c r="JN642"/>
    </row>
    <row r="643" spans="1:274" s="749" customFormat="1" ht="6" hidden="1" customHeight="1" outlineLevel="1" x14ac:dyDescent="0.2">
      <c r="A643" s="750"/>
      <c r="B643" s="747"/>
      <c r="C643" s="65"/>
      <c r="D643" s="65"/>
      <c r="E643" s="65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5"/>
      <c r="AC643" s="65"/>
      <c r="AD643" s="65"/>
      <c r="AE643" s="65"/>
      <c r="AF643" s="65"/>
      <c r="AG643" s="65"/>
      <c r="AH643" s="65"/>
      <c r="AI643" s="65"/>
      <c r="AJ643" s="65"/>
      <c r="AK643" s="65"/>
      <c r="AL643" s="65"/>
      <c r="AM643" s="65"/>
      <c r="AN643" s="65"/>
      <c r="AO643" s="65"/>
      <c r="AP643" s="65"/>
      <c r="AQ643" s="65"/>
      <c r="AR643" s="65"/>
      <c r="AS643" s="65"/>
      <c r="AT643" s="65"/>
      <c r="AU643" s="65"/>
      <c r="AV643" s="65"/>
      <c r="AW643" s="65"/>
      <c r="AX643" s="65"/>
      <c r="AY643" s="65"/>
      <c r="AZ643" s="65"/>
      <c r="BA643" s="65"/>
      <c r="BB643" s="65"/>
      <c r="BC643" s="748"/>
      <c r="BD643" s="65"/>
      <c r="BE643" s="65"/>
      <c r="BF643" s="65"/>
      <c r="BG643" s="65"/>
      <c r="BH643" s="65"/>
      <c r="BI643" s="751"/>
      <c r="BJ643" s="752"/>
      <c r="BK643" s="752"/>
      <c r="BL643" s="752"/>
      <c r="BM643" s="752"/>
      <c r="BN643" s="752"/>
      <c r="BO643" s="751"/>
      <c r="BP643" s="752"/>
      <c r="BQ643" s="752"/>
      <c r="BR643" s="752"/>
      <c r="BS643" s="752"/>
      <c r="BT643" s="752"/>
      <c r="BU643" s="751"/>
      <c r="BV643" s="65"/>
      <c r="BW643" s="752"/>
      <c r="BX643" s="752"/>
      <c r="BY643" s="752"/>
      <c r="BZ643" s="752"/>
      <c r="CA643" s="751"/>
      <c r="CB643" s="65"/>
      <c r="CC643" s="752"/>
      <c r="CD643" s="752"/>
      <c r="CE643" s="752"/>
      <c r="CF643" s="752"/>
      <c r="CG643" s="751"/>
      <c r="CH643" s="65"/>
      <c r="CI643" s="752"/>
      <c r="CJ643" s="752"/>
      <c r="CK643" s="752"/>
      <c r="CL643" s="752"/>
      <c r="CM643" s="751"/>
      <c r="CN643" s="65"/>
      <c r="CO643" s="752"/>
      <c r="CP643" s="752"/>
      <c r="CQ643" s="752"/>
      <c r="CR643" s="752"/>
      <c r="CS643" s="751"/>
      <c r="CT643" s="65"/>
      <c r="CU643" s="752"/>
      <c r="CV643" s="752"/>
      <c r="CW643" s="752"/>
      <c r="CX643" s="752"/>
      <c r="CY643" s="751"/>
      <c r="CZ643" s="65"/>
      <c r="DA643" s="752"/>
      <c r="DB643" s="752"/>
      <c r="DC643" s="752"/>
      <c r="DD643" s="752"/>
      <c r="DE643" s="1086"/>
      <c r="DF643" s="65"/>
      <c r="DG643" s="752"/>
      <c r="DH643" s="752"/>
      <c r="DI643" s="752"/>
      <c r="DJ643" s="752"/>
      <c r="DK643" s="1086"/>
      <c r="DL643" s="65"/>
      <c r="DM643" s="752"/>
      <c r="DN643" s="752"/>
      <c r="DO643" s="752"/>
      <c r="DP643" s="752"/>
      <c r="DQ643" s="1086"/>
      <c r="DR643" s="65"/>
      <c r="DS643" s="752"/>
      <c r="DT643" s="752"/>
      <c r="DU643" s="752"/>
      <c r="DV643" s="752"/>
      <c r="DW643" s="1086"/>
      <c r="DX643" s="65"/>
      <c r="DY643" s="752"/>
      <c r="DZ643" s="752"/>
      <c r="EA643" s="752"/>
      <c r="EB643" s="752"/>
      <c r="EC643" s="1086"/>
      <c r="ED643" s="65"/>
      <c r="EE643" s="752"/>
      <c r="EF643" s="752"/>
      <c r="EG643" s="752"/>
      <c r="EH643" s="752"/>
      <c r="EI643" s="1086"/>
      <c r="EJ643" s="65"/>
      <c r="EK643" s="752"/>
      <c r="EL643" s="752"/>
      <c r="EM643" s="752"/>
      <c r="EN643" s="752"/>
      <c r="EO643" s="1086"/>
      <c r="EP643" s="65"/>
      <c r="EQ643" s="752"/>
      <c r="ER643" s="752"/>
      <c r="ES643" s="752"/>
      <c r="ET643" s="752"/>
      <c r="EU643" s="1086"/>
      <c r="EV643" s="65"/>
      <c r="EW643" s="752"/>
      <c r="EX643" s="65"/>
      <c r="EY643" s="65"/>
      <c r="EZ643" s="65"/>
      <c r="FA643" s="748"/>
      <c r="FB643" s="65"/>
      <c r="FC643" s="65"/>
      <c r="FD643" s="65"/>
      <c r="FE643" s="65"/>
      <c r="FF643" s="65"/>
      <c r="FG643" s="748"/>
      <c r="FH643" s="65"/>
      <c r="FI643" s="65"/>
      <c r="FJ643" s="65"/>
      <c r="FK643" s="65"/>
      <c r="FL643" s="65"/>
      <c r="FM643" s="748"/>
      <c r="FQ643"/>
      <c r="FR643"/>
      <c r="FS643"/>
      <c r="FT643"/>
      <c r="FU643"/>
      <c r="FV643"/>
      <c r="GB643" s="24"/>
      <c r="GC643" s="24"/>
      <c r="GD643" s="24"/>
      <c r="GE643" s="24"/>
      <c r="GF643" s="24"/>
      <c r="GG643" s="24"/>
      <c r="GH643" s="24"/>
      <c r="GI643" s="24"/>
      <c r="GJ643"/>
      <c r="GK643"/>
      <c r="GL643"/>
      <c r="GM643"/>
      <c r="GN643"/>
      <c r="GO643"/>
      <c r="GP643"/>
      <c r="GQ643"/>
      <c r="GR643"/>
      <c r="GS643"/>
      <c r="GT643"/>
      <c r="GU643"/>
      <c r="GV643"/>
      <c r="GW643"/>
      <c r="GX643"/>
      <c r="GY643"/>
      <c r="GZ643"/>
      <c r="HA643"/>
      <c r="HB643"/>
      <c r="HC643"/>
      <c r="HD643"/>
      <c r="HE643"/>
      <c r="HF643"/>
      <c r="HG643"/>
      <c r="HH643"/>
      <c r="HI643"/>
      <c r="HJ643"/>
      <c r="HK643"/>
      <c r="HL643"/>
      <c r="HM643"/>
      <c r="HN643"/>
      <c r="HO643"/>
      <c r="HP643"/>
      <c r="HQ643"/>
      <c r="HR643"/>
      <c r="HS643"/>
      <c r="HT643"/>
      <c r="HU643"/>
      <c r="HV643"/>
      <c r="HW643"/>
      <c r="HX643"/>
      <c r="HY643"/>
      <c r="HZ643"/>
      <c r="IA643"/>
      <c r="IB643"/>
      <c r="IC643"/>
      <c r="ID643"/>
      <c r="IE643"/>
      <c r="IF643"/>
      <c r="IG643"/>
      <c r="IH643"/>
      <c r="II643"/>
      <c r="IJ643"/>
      <c r="IK643"/>
      <c r="IL643"/>
      <c r="IM643"/>
      <c r="IN643"/>
      <c r="IO643"/>
      <c r="IP643"/>
      <c r="IQ643"/>
      <c r="IR643"/>
      <c r="IS643"/>
      <c r="IT643"/>
      <c r="IU643"/>
      <c r="IV643"/>
      <c r="IW643"/>
      <c r="IX643"/>
      <c r="IY643"/>
      <c r="IZ643"/>
      <c r="JA643"/>
      <c r="JB643"/>
      <c r="JC643"/>
      <c r="JD643"/>
      <c r="JE643"/>
      <c r="JF643"/>
      <c r="JG643"/>
      <c r="JH643"/>
      <c r="JI643"/>
      <c r="JJ643"/>
      <c r="JK643"/>
      <c r="JL643"/>
      <c r="JM643"/>
      <c r="JN643"/>
    </row>
    <row r="644" spans="1:274" s="749" customFormat="1" ht="12.75" hidden="1" customHeight="1" outlineLevel="1" x14ac:dyDescent="0.2">
      <c r="A644" s="1478" t="str">
        <f>A572</f>
        <v>Hardware Systems Support</v>
      </c>
      <c r="B644" s="1479"/>
      <c r="C644" s="1479"/>
      <c r="D644" s="1479"/>
      <c r="E644" s="1479"/>
      <c r="F644" s="1479"/>
      <c r="G644" s="1479"/>
      <c r="H644" s="1479"/>
      <c r="I644" s="1479"/>
      <c r="J644" s="1479"/>
      <c r="K644" s="1479"/>
      <c r="L644" s="1479"/>
      <c r="M644" s="1479"/>
      <c r="N644" s="1479"/>
      <c r="O644" s="1479"/>
      <c r="P644" s="1479"/>
      <c r="Q644" s="1479"/>
      <c r="R644" s="1479"/>
      <c r="S644" s="1479"/>
      <c r="T644" s="1479"/>
      <c r="U644" s="1479"/>
      <c r="V644" s="1479"/>
      <c r="W644" s="1479"/>
      <c r="X644" s="1479"/>
      <c r="Y644" s="1479"/>
      <c r="Z644" s="1479"/>
      <c r="AA644" s="1479"/>
      <c r="AB644" s="1479"/>
      <c r="AC644" s="1479"/>
      <c r="AD644" s="1479"/>
      <c r="AE644" s="1479"/>
      <c r="AF644" s="1479"/>
      <c r="AG644" s="1479"/>
      <c r="AH644" s="1479"/>
      <c r="AI644" s="1479"/>
      <c r="AJ644" s="1479"/>
      <c r="AK644" s="1479"/>
      <c r="AL644" s="1479"/>
      <c r="AM644" s="1479"/>
      <c r="AN644" s="1479"/>
      <c r="AO644" s="1479"/>
      <c r="AP644" s="1479"/>
      <c r="AQ644" s="1479"/>
      <c r="AR644" s="1479"/>
      <c r="AS644" s="1479"/>
      <c r="AT644" s="1479"/>
      <c r="AU644" s="1479"/>
      <c r="AV644" s="1479"/>
      <c r="AW644" s="1479"/>
      <c r="AX644" s="1479"/>
      <c r="AY644" s="1479"/>
      <c r="AZ644" s="1479"/>
      <c r="BA644" s="1479"/>
      <c r="BB644" s="1479"/>
      <c r="BC644" s="1480"/>
      <c r="BD644" s="1479"/>
      <c r="BE644" s="1479"/>
      <c r="BF644" s="1479"/>
      <c r="BG644" s="1479"/>
      <c r="BH644" s="1479"/>
      <c r="BI644" s="1481"/>
      <c r="BJ644" s="1482"/>
      <c r="BK644" s="1482"/>
      <c r="BL644" s="1482"/>
      <c r="BM644" s="1482"/>
      <c r="BN644" s="1482"/>
      <c r="BO644" s="1481"/>
      <c r="BP644" s="1482"/>
      <c r="BQ644" s="1482"/>
      <c r="BR644" s="1482"/>
      <c r="BS644" s="1482"/>
      <c r="BT644" s="1482"/>
      <c r="BU644" s="1481"/>
      <c r="BV644" s="1479"/>
      <c r="BW644" s="1482"/>
      <c r="BX644" s="1482"/>
      <c r="BY644" s="1482"/>
      <c r="BZ644" s="1482"/>
      <c r="CA644" s="1481"/>
      <c r="CB644" s="1479"/>
      <c r="CC644" s="1482"/>
      <c r="CD644" s="1482"/>
      <c r="CE644" s="1482"/>
      <c r="CF644" s="1482"/>
      <c r="CG644" s="1481"/>
      <c r="CH644" s="1479"/>
      <c r="CI644" s="1482"/>
      <c r="CJ644" s="1482"/>
      <c r="CK644" s="1482"/>
      <c r="CL644" s="1482"/>
      <c r="CM644" s="1481"/>
      <c r="CN644" s="1479"/>
      <c r="CO644" s="1482"/>
      <c r="CP644" s="1482"/>
      <c r="CQ644" s="1482"/>
      <c r="CR644" s="1482"/>
      <c r="CS644" s="1481"/>
      <c r="CT644" s="1479"/>
      <c r="CU644" s="1482"/>
      <c r="CV644" s="1482"/>
      <c r="CW644" s="1482"/>
      <c r="CX644" s="1482"/>
      <c r="CY644" s="1481"/>
      <c r="CZ644" s="1479"/>
      <c r="DA644" s="1482"/>
      <c r="DB644" s="1482"/>
      <c r="DC644" s="1482">
        <f>DC645+DC648</f>
        <v>-25.672056686046524</v>
      </c>
      <c r="DD644" s="1482">
        <f>DD645+DD648</f>
        <v>-76.294245858761954</v>
      </c>
      <c r="DE644" s="1481">
        <f>DE645+DE648</f>
        <v>-76.038987018514504</v>
      </c>
      <c r="DF644" s="1479"/>
      <c r="DG644" s="1482">
        <f>DG645+DG648</f>
        <v>-54.409638554216876</v>
      </c>
      <c r="DH644" s="1482">
        <f>DH645+DH648</f>
        <v>-114.15258855585829</v>
      </c>
      <c r="DI644" s="1482">
        <f>DI645+DI648</f>
        <v>-13.039182458614921</v>
      </c>
      <c r="DJ644" s="1482">
        <f>DJ645+DJ648</f>
        <v>7.3743616618627437</v>
      </c>
      <c r="DK644" s="1481">
        <f>DK645+DK648</f>
        <v>-138.86092725696065</v>
      </c>
      <c r="DL644" s="1479"/>
      <c r="DM644" s="1482">
        <f>DM645+DM648</f>
        <v>11.799208805402312</v>
      </c>
      <c r="DN644" s="1482">
        <f>DN645+DN648</f>
        <v>78.141696952328218</v>
      </c>
      <c r="DO644" s="1482">
        <f>DO645+DO648</f>
        <v>20.677758109385088</v>
      </c>
      <c r="DP644" s="1482">
        <f>DP645+DP648</f>
        <v>31.520049835558304</v>
      </c>
      <c r="DQ644" s="1481">
        <f>DQ645+DQ648</f>
        <v>143.56830431306653</v>
      </c>
      <c r="DR644" s="1479"/>
      <c r="DS644" s="1482">
        <f>DS645+DS648</f>
        <v>27.705933681235219</v>
      </c>
      <c r="DT644" s="1482">
        <f>DT645+DT648</f>
        <v>9.5836926585034199</v>
      </c>
      <c r="DU644" s="1482">
        <f>DU645+DU648</f>
        <v>22.832353992294486</v>
      </c>
      <c r="DV644" s="1482">
        <f>DV645+DV648</f>
        <v>20.653453180709327</v>
      </c>
      <c r="DW644" s="1481">
        <f>DW645+DW648</f>
        <v>82.679362719020048</v>
      </c>
      <c r="DX644" s="1479"/>
      <c r="DY644" s="1482">
        <f>DY645+DY648</f>
        <v>19.020096284363884</v>
      </c>
      <c r="DZ644" s="1482">
        <f>DZ645+DZ648</f>
        <v>25.418706452023425</v>
      </c>
      <c r="EA644" s="1482">
        <f>EA645+EA648</f>
        <v>21.243478260869534</v>
      </c>
      <c r="EB644" s="1482">
        <f>EB645+EB648</f>
        <v>19.392684446130051</v>
      </c>
      <c r="EC644" s="1481">
        <f>EC645+EC648</f>
        <v>84.417108724432964</v>
      </c>
      <c r="ED644" s="1479"/>
      <c r="EE644" s="1482">
        <f>EE645+EE648</f>
        <v>13.23905689713756</v>
      </c>
      <c r="EF644" s="1482">
        <f>EF645+EF648</f>
        <v>-3.4866076042881047</v>
      </c>
      <c r="EG644" s="1482">
        <f>EG645+EG648</f>
        <v>-14.324545713068199</v>
      </c>
      <c r="EH644" s="1482">
        <f>EH645+EH648</f>
        <v>15.448964441130812</v>
      </c>
      <c r="EI644" s="1481">
        <f>EI645+EI648</f>
        <v>10.720518233051859</v>
      </c>
      <c r="EJ644" s="1479"/>
      <c r="EK644" s="1482">
        <f>EK645+EK648</f>
        <v>1.9912125629084052</v>
      </c>
      <c r="EL644" s="1482">
        <f>EL645+EL648</f>
        <v>18.821168408731378</v>
      </c>
      <c r="EM644" s="1482">
        <f>EM645+EM648</f>
        <v>23.200213214661428</v>
      </c>
      <c r="EN644" s="1482">
        <f>EN645+EN648</f>
        <v>6.7751604330881499</v>
      </c>
      <c r="EO644" s="1481">
        <f>EO645+EO648</f>
        <v>51.140255165570267</v>
      </c>
      <c r="EP644" s="1479"/>
      <c r="EQ644" s="1482">
        <f>EQ645+EQ648</f>
        <v>19.944933828274493</v>
      </c>
      <c r="ER644" s="1482">
        <f>ER645+ER648</f>
        <v>15.827163869190878</v>
      </c>
      <c r="ES644" s="1482">
        <f>ES645+ES648</f>
        <v>15.038949027297713</v>
      </c>
      <c r="ET644" s="1482"/>
      <c r="EU644" s="1481"/>
      <c r="EV644" s="1479"/>
      <c r="EW644" s="1482"/>
      <c r="EX644" s="1479"/>
      <c r="EY644" s="1479"/>
      <c r="EZ644" s="1479"/>
      <c r="FA644" s="1480"/>
      <c r="FB644" s="1479"/>
      <c r="FC644" s="1479"/>
      <c r="FD644" s="1479"/>
      <c r="FE644" s="1479"/>
      <c r="FF644" s="1479"/>
      <c r="FG644" s="1480"/>
      <c r="FH644" s="1479"/>
      <c r="FI644" s="1479"/>
      <c r="FJ644" s="1479"/>
      <c r="FK644" s="1479"/>
      <c r="FL644" s="1479"/>
      <c r="FM644" s="1480"/>
      <c r="FQ644"/>
      <c r="FR644"/>
      <c r="FS644"/>
      <c r="FT644"/>
      <c r="FU644"/>
      <c r="FV644"/>
      <c r="GB644" s="24"/>
      <c r="GC644" s="24"/>
      <c r="GD644" s="24"/>
      <c r="GE644" s="24"/>
      <c r="GF644" s="24"/>
      <c r="GG644" s="24"/>
      <c r="GH644" s="24"/>
      <c r="GI644" s="24"/>
      <c r="GJ644"/>
      <c r="GK644"/>
      <c r="GL644"/>
      <c r="GM644"/>
      <c r="GN644"/>
      <c r="GO644"/>
      <c r="GP644"/>
      <c r="GQ644"/>
      <c r="GR644"/>
      <c r="GS644"/>
      <c r="GT644"/>
      <c r="GU644"/>
      <c r="GV644"/>
      <c r="GW644"/>
      <c r="GX644"/>
      <c r="GY644"/>
      <c r="GZ644"/>
      <c r="HA644"/>
      <c r="HB644"/>
      <c r="HC644"/>
      <c r="HD644"/>
      <c r="HE644"/>
      <c r="HF644"/>
      <c r="HG644"/>
      <c r="HH644"/>
      <c r="HI644"/>
      <c r="HJ644"/>
      <c r="HK644"/>
      <c r="HL644"/>
      <c r="HM644"/>
      <c r="HN644"/>
      <c r="HO644"/>
      <c r="HP644"/>
      <c r="HQ644"/>
      <c r="HR644"/>
      <c r="HS644"/>
      <c r="HT644"/>
      <c r="HU644"/>
      <c r="HV644"/>
      <c r="HW644"/>
      <c r="HX644"/>
      <c r="HY644"/>
      <c r="HZ644"/>
      <c r="IA644"/>
      <c r="IB644"/>
      <c r="IC644"/>
      <c r="ID644"/>
      <c r="IE644"/>
      <c r="IF644"/>
      <c r="IG644"/>
      <c r="IH644"/>
      <c r="II644"/>
      <c r="IJ644"/>
      <c r="IK644"/>
      <c r="IL644"/>
      <c r="IM644"/>
      <c r="IN644"/>
      <c r="IO644"/>
      <c r="IP644"/>
      <c r="IQ644"/>
      <c r="IR644"/>
      <c r="IS644"/>
      <c r="IT644"/>
      <c r="IU644"/>
      <c r="IV644"/>
      <c r="IW644"/>
      <c r="IX644"/>
      <c r="IY644"/>
      <c r="IZ644"/>
      <c r="JA644"/>
      <c r="JB644"/>
      <c r="JC644"/>
      <c r="JD644"/>
      <c r="JE644"/>
      <c r="JF644"/>
      <c r="JG644"/>
      <c r="JH644"/>
      <c r="JI644"/>
      <c r="JJ644"/>
      <c r="JK644"/>
      <c r="JL644"/>
      <c r="JM644"/>
      <c r="JN644"/>
    </row>
    <row r="645" spans="1:274" s="749" customFormat="1" ht="12.75" hidden="1" customHeight="1" outlineLevel="1" x14ac:dyDescent="0.2">
      <c r="A645" s="750" t="s">
        <v>635</v>
      </c>
      <c r="B645" s="747"/>
      <c r="C645" s="65"/>
      <c r="D645" s="65"/>
      <c r="E645" s="65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5"/>
      <c r="AC645" s="65"/>
      <c r="AD645" s="65"/>
      <c r="AE645" s="65"/>
      <c r="AF645" s="65"/>
      <c r="AG645" s="65"/>
      <c r="AH645" s="65"/>
      <c r="AI645" s="65"/>
      <c r="AJ645" s="65"/>
      <c r="AK645" s="65"/>
      <c r="AL645" s="65"/>
      <c r="AM645" s="65"/>
      <c r="AN645" s="65"/>
      <c r="AO645" s="65"/>
      <c r="AP645" s="65"/>
      <c r="AQ645" s="65"/>
      <c r="AR645" s="65"/>
      <c r="AS645" s="65"/>
      <c r="AT645" s="65"/>
      <c r="AU645" s="65"/>
      <c r="AV645" s="65"/>
      <c r="AW645" s="65"/>
      <c r="AX645" s="65"/>
      <c r="AY645" s="65"/>
      <c r="AZ645" s="65"/>
      <c r="BA645" s="65"/>
      <c r="BB645" s="65"/>
      <c r="BC645" s="748"/>
      <c r="BD645" s="65"/>
      <c r="BE645" s="65"/>
      <c r="BF645" s="65"/>
      <c r="BG645" s="65"/>
      <c r="BH645" s="65"/>
      <c r="BI645" s="751"/>
      <c r="BJ645" s="752"/>
      <c r="BK645" s="752"/>
      <c r="BL645" s="752"/>
      <c r="BM645" s="752"/>
      <c r="BN645" s="752"/>
      <c r="BO645" s="751"/>
      <c r="BP645" s="752"/>
      <c r="BQ645" s="752"/>
      <c r="BR645" s="752"/>
      <c r="BS645" s="752"/>
      <c r="BT645" s="752"/>
      <c r="BU645" s="751"/>
      <c r="BV645" s="65"/>
      <c r="BW645" s="752"/>
      <c r="BX645" s="752"/>
      <c r="BY645" s="752"/>
      <c r="BZ645" s="752"/>
      <c r="CA645" s="751"/>
      <c r="CB645" s="65"/>
      <c r="CC645" s="752"/>
      <c r="CD645" s="752"/>
      <c r="CE645" s="752"/>
      <c r="CF645" s="752"/>
      <c r="CG645" s="751"/>
      <c r="CH645" s="65"/>
      <c r="CI645" s="752"/>
      <c r="CJ645" s="752"/>
      <c r="CK645" s="752"/>
      <c r="CL645" s="752"/>
      <c r="CM645" s="751"/>
      <c r="CN645" s="65"/>
      <c r="CO645" s="752"/>
      <c r="CP645" s="752"/>
      <c r="CQ645" s="752"/>
      <c r="CR645" s="752"/>
      <c r="CS645" s="751"/>
      <c r="CT645" s="65"/>
      <c r="CU645" s="752"/>
      <c r="CV645" s="752"/>
      <c r="CW645" s="752"/>
      <c r="CX645" s="752"/>
      <c r="CY645" s="751"/>
      <c r="CZ645" s="65"/>
      <c r="DA645" s="752"/>
      <c r="DB645" s="752"/>
      <c r="DC645" s="752">
        <f>DC646*DC647*DC$604</f>
        <v>-25.672056686046524</v>
      </c>
      <c r="DD645" s="752">
        <f>DD646*DD647*DD$604</f>
        <v>-76.294245858761954</v>
      </c>
      <c r="DE645" s="1086">
        <f>DE646*DE647*DE$604</f>
        <v>-76.038987018514504</v>
      </c>
      <c r="DF645" s="65"/>
      <c r="DG645" s="752">
        <f>DG646*DG647*DG$604</f>
        <v>-54.409638554216876</v>
      </c>
      <c r="DH645" s="752">
        <f>DH646*DH647*DH$604</f>
        <v>-114.15258855585829</v>
      </c>
      <c r="DI645" s="752">
        <f>DI646*DI647*DI$604</f>
        <v>-38.088071347503799</v>
      </c>
      <c r="DJ645" s="752">
        <f>DJ646*DJ647*DJ$604</f>
        <v>4.9347692310039433</v>
      </c>
      <c r="DK645" s="1086">
        <f>DK646*DK647*DK$604</f>
        <v>-130.22934830959207</v>
      </c>
      <c r="DL645" s="65"/>
      <c r="DM645" s="752">
        <f>DM646*DM647*DM$604</f>
        <v>2.1050911583434933</v>
      </c>
      <c r="DN645" s="752">
        <f>DN646*DN647*DN$604</f>
        <v>7.2933004508704995</v>
      </c>
      <c r="DO645" s="752">
        <f>DO646*DO647*DO$604</f>
        <v>3.5923922557264962</v>
      </c>
      <c r="DP645" s="752">
        <f>DP646*DP647*DP$604</f>
        <v>6.7119103006745551</v>
      </c>
      <c r="DQ645" s="1086">
        <f>DQ646*DQ647*DQ$604</f>
        <v>20.931772947752759</v>
      </c>
      <c r="DR645" s="65"/>
      <c r="DS645" s="752">
        <f>DS646*DS647*DS$604</f>
        <v>1.0473970958693373</v>
      </c>
      <c r="DT645" s="752">
        <f>DT646*DT647*DT$604</f>
        <v>0.7950491253803571</v>
      </c>
      <c r="DU645" s="752">
        <f>DU646*DU647*DU$604</f>
        <v>1.2192392381961179</v>
      </c>
      <c r="DV645" s="752">
        <f>DV646*DV647*DV$604</f>
        <v>0.76419698236222</v>
      </c>
      <c r="DW645" s="1086">
        <f>DW646*DW647*DW$604</f>
        <v>5.1635942559462844</v>
      </c>
      <c r="DX645" s="65"/>
      <c r="DY645" s="752">
        <f>DY646*DY647*DY$604</f>
        <v>1.8366180557674909E-2</v>
      </c>
      <c r="DZ645" s="752">
        <f>DZ646*DZ647*DZ$604</f>
        <v>-0.23553083611215472</v>
      </c>
      <c r="EA645" s="752">
        <f>EA646*EA647*EA$604</f>
        <v>-3.6242018850714063E-2</v>
      </c>
      <c r="EB645" s="752">
        <f>EB646*EB647*EB$604</f>
        <v>0.78110011904317134</v>
      </c>
      <c r="EC645" s="1086">
        <f>EC646*EC647*EC$604</f>
        <v>-4.5718950685145671E-2</v>
      </c>
      <c r="ED645" s="65"/>
      <c r="EE645" s="752">
        <f>EE646*EE647*EE$604</f>
        <v>-0.73079234909359514</v>
      </c>
      <c r="EF645" s="752">
        <f>EF646*EF647*EF$604</f>
        <v>-0.49313288976934422</v>
      </c>
      <c r="EG645" s="752">
        <f>EG646*EG647*EG$604</f>
        <v>-0.34454571306819565</v>
      </c>
      <c r="EH645" s="752">
        <f>EH646*EH647*EH$604</f>
        <v>1.0888304377807563</v>
      </c>
      <c r="EI645" s="1086">
        <f>EI646*EI647*EI$604</f>
        <v>-0.61600025469223407</v>
      </c>
      <c r="EJ645" s="65"/>
      <c r="EK645" s="752">
        <f>EK646*EK647*EK$604</f>
        <v>-0.93395750511880404</v>
      </c>
      <c r="EL645" s="752">
        <f>EL646*EL647*EL$604</f>
        <v>-0.77010784328802073</v>
      </c>
      <c r="EM645" s="752">
        <f>EM646*EM647*EM$604</f>
        <v>-0.53958270370591133</v>
      </c>
      <c r="EN645" s="752">
        <f>EN646*EN647*EN$604</f>
        <v>-2.7511553563855311</v>
      </c>
      <c r="EO645" s="1086">
        <f>EO646*EO647*EO$604</f>
        <v>-5.7699797337585368</v>
      </c>
      <c r="EP645" s="65"/>
      <c r="EQ645" s="752">
        <f>EQ646*EQ647*EQ$604</f>
        <v>-3.3627584794178365</v>
      </c>
      <c r="ER645" s="752">
        <f>ER646*ER647*ER$604</f>
        <v>-3.1528361308091184</v>
      </c>
      <c r="ES645" s="752">
        <f>ES646*ES647*ES$604</f>
        <v>-2.8141583173350906</v>
      </c>
      <c r="ET645" s="752"/>
      <c r="EU645" s="1086"/>
      <c r="EV645" s="65"/>
      <c r="EW645" s="752"/>
      <c r="EX645" s="65"/>
      <c r="EY645" s="65"/>
      <c r="EZ645" s="65"/>
      <c r="FA645" s="748"/>
      <c r="FB645" s="65"/>
      <c r="FC645" s="65"/>
      <c r="FD645" s="65"/>
      <c r="FE645" s="65"/>
      <c r="FF645" s="65"/>
      <c r="FG645" s="748"/>
      <c r="FH645" s="65"/>
      <c r="FI645" s="65"/>
      <c r="FJ645" s="65"/>
      <c r="FK645" s="65"/>
      <c r="FL645" s="65"/>
      <c r="FM645" s="748"/>
      <c r="FQ645"/>
      <c r="FR645"/>
      <c r="FS645"/>
      <c r="FT645"/>
      <c r="FU645"/>
      <c r="FV645"/>
      <c r="GB645" s="24"/>
      <c r="GC645" s="24"/>
      <c r="GD645" s="24"/>
      <c r="GE645" s="24"/>
      <c r="GF645" s="24"/>
      <c r="GG645" s="24"/>
      <c r="GH645" s="24"/>
      <c r="GI645" s="24"/>
      <c r="GJ645"/>
      <c r="GK645"/>
      <c r="GL645"/>
      <c r="GM645"/>
      <c r="GN645"/>
      <c r="GO645"/>
      <c r="GP645"/>
      <c r="GQ645"/>
      <c r="GR645"/>
      <c r="GS645"/>
      <c r="GT645"/>
      <c r="GU645"/>
      <c r="GV645"/>
      <c r="GW645"/>
      <c r="GX645"/>
      <c r="GY645"/>
      <c r="GZ645"/>
      <c r="HA645"/>
      <c r="HB645"/>
      <c r="HC645"/>
      <c r="HD645"/>
      <c r="HE645"/>
      <c r="HF645"/>
      <c r="HG645"/>
      <c r="HH645"/>
      <c r="HI645"/>
      <c r="HJ645"/>
      <c r="HK645"/>
      <c r="HL645"/>
      <c r="HM645"/>
      <c r="HN645"/>
      <c r="HO645"/>
      <c r="HP645"/>
      <c r="HQ645"/>
      <c r="HR645"/>
      <c r="HS645"/>
      <c r="HT645"/>
      <c r="HU645"/>
      <c r="HV645"/>
      <c r="HW645"/>
      <c r="HX645"/>
      <c r="HY645"/>
      <c r="HZ645"/>
      <c r="IA645"/>
      <c r="IB645"/>
      <c r="IC645"/>
      <c r="ID645"/>
      <c r="IE645"/>
      <c r="IF645"/>
      <c r="IG645"/>
      <c r="IH645"/>
      <c r="II645"/>
      <c r="IJ645"/>
      <c r="IK645"/>
      <c r="IL645"/>
      <c r="IM645"/>
      <c r="IN645"/>
      <c r="IO645"/>
      <c r="IP645"/>
      <c r="IQ645"/>
      <c r="IR645"/>
      <c r="IS645"/>
      <c r="IT645"/>
      <c r="IU645"/>
      <c r="IV645"/>
      <c r="IW645"/>
      <c r="IX645"/>
      <c r="IY645"/>
      <c r="IZ645"/>
      <c r="JA645"/>
      <c r="JB645"/>
      <c r="JC645"/>
      <c r="JD645"/>
      <c r="JE645"/>
      <c r="JF645"/>
      <c r="JG645"/>
      <c r="JH645"/>
      <c r="JI645"/>
      <c r="JJ645"/>
      <c r="JK645"/>
      <c r="JL645"/>
      <c r="JM645"/>
      <c r="JN645"/>
    </row>
    <row r="646" spans="1:274" s="749" customFormat="1" ht="12.75" hidden="1" customHeight="1" outlineLevel="2" x14ac:dyDescent="0.2">
      <c r="A646" s="753" t="s">
        <v>636</v>
      </c>
      <c r="B646" s="506"/>
      <c r="C646" s="506"/>
      <c r="D646" s="506"/>
      <c r="E646" s="506"/>
      <c r="F646" s="506"/>
      <c r="G646" s="506"/>
      <c r="H646" s="506"/>
      <c r="I646" s="506"/>
      <c r="J646" s="506"/>
      <c r="K646" s="506"/>
      <c r="L646" s="506"/>
      <c r="M646" s="506"/>
      <c r="N646" s="506"/>
      <c r="O646" s="506"/>
      <c r="P646" s="506"/>
      <c r="Q646" s="506"/>
      <c r="R646" s="506"/>
      <c r="S646" s="506"/>
      <c r="T646" s="506"/>
      <c r="U646" s="506"/>
      <c r="V646" s="506"/>
      <c r="W646" s="506"/>
      <c r="X646" s="506"/>
      <c r="Y646" s="506"/>
      <c r="Z646" s="506"/>
      <c r="AA646" s="506"/>
      <c r="AB646" s="506"/>
      <c r="AC646" s="506"/>
      <c r="AD646" s="506"/>
      <c r="AE646" s="506"/>
      <c r="AF646" s="506"/>
      <c r="AG646" s="506"/>
      <c r="AH646" s="506"/>
      <c r="AI646" s="506"/>
      <c r="AJ646" s="506"/>
      <c r="AK646" s="506"/>
      <c r="AL646" s="506"/>
      <c r="AM646" s="506"/>
      <c r="AN646" s="506"/>
      <c r="AO646" s="506"/>
      <c r="AP646" s="506"/>
      <c r="AQ646" s="506"/>
      <c r="AR646" s="506"/>
      <c r="AS646" s="506"/>
      <c r="AT646" s="506"/>
      <c r="AU646" s="506"/>
      <c r="AV646" s="506"/>
      <c r="AW646" s="506"/>
      <c r="AX646" s="506"/>
      <c r="AY646" s="506"/>
      <c r="AZ646" s="506"/>
      <c r="BA646" s="506"/>
      <c r="BB646" s="506"/>
      <c r="BC646" s="1080"/>
      <c r="BD646" s="506"/>
      <c r="BE646" s="506"/>
      <c r="BF646" s="506"/>
      <c r="BG646" s="506"/>
      <c r="BH646" s="506"/>
      <c r="BI646" s="1081"/>
      <c r="BJ646" s="1082"/>
      <c r="BK646" s="1082"/>
      <c r="BL646" s="1082"/>
      <c r="BM646" s="1082"/>
      <c r="BN646" s="1082"/>
      <c r="BO646" s="1081"/>
      <c r="BP646" s="1082"/>
      <c r="BQ646" s="1082"/>
      <c r="BR646" s="1082"/>
      <c r="BS646" s="1082"/>
      <c r="BT646" s="1082"/>
      <c r="BU646" s="1081"/>
      <c r="BV646" s="506"/>
      <c r="BW646" s="1082"/>
      <c r="BX646" s="1082"/>
      <c r="BY646" s="1082"/>
      <c r="BZ646" s="1082"/>
      <c r="CA646" s="1081"/>
      <c r="CB646" s="506"/>
      <c r="CC646" s="1082"/>
      <c r="CD646" s="1082"/>
      <c r="CE646" s="1082"/>
      <c r="CF646" s="1082"/>
      <c r="CG646" s="1081"/>
      <c r="CH646" s="506"/>
      <c r="CI646" s="1082"/>
      <c r="CJ646" s="1082"/>
      <c r="CK646" s="1082"/>
      <c r="CL646" s="1082"/>
      <c r="CM646" s="1081"/>
      <c r="CN646" s="506"/>
      <c r="CO646" s="1082"/>
      <c r="CP646" s="1082"/>
      <c r="CQ646" s="1082"/>
      <c r="CR646" s="1082"/>
      <c r="CS646" s="1081"/>
      <c r="CT646" s="506"/>
      <c r="CU646" s="1082"/>
      <c r="CV646" s="1082"/>
      <c r="CW646" s="1082"/>
      <c r="CX646" s="1082"/>
      <c r="CY646" s="1081"/>
      <c r="CZ646" s="506"/>
      <c r="DA646" s="1082"/>
      <c r="DB646" s="1082"/>
      <c r="DC646" s="71">
        <f>(DC573/DC$604)-(CW573/CW$604)</f>
        <v>3.4781264492193535E-2</v>
      </c>
      <c r="DD646" s="71">
        <f>(DD573/DD$604)-(CX573/CX$604)</f>
        <v>7.1339563862928349E-2</v>
      </c>
      <c r="DE646" s="1139">
        <f>(DE573/DE$604)-(CY573/CY$604)</f>
        <v>3.3735296293556261E-2</v>
      </c>
      <c r="DF646" s="506"/>
      <c r="DG646" s="71">
        <f>(DG573/DG$604)-(DA573/DA$604)</f>
        <v>8.9615181866104371E-2</v>
      </c>
      <c r="DH646" s="71">
        <f>(DH573/DH$604)-(DB573/DB$604)</f>
        <v>7.9315527806682856E-2</v>
      </c>
      <c r="DI646" s="71">
        <f>(DI573/DI$604)-(DC573/DC$604)</f>
        <v>3.9704939663591642E-2</v>
      </c>
      <c r="DJ646" s="71">
        <f>(DJ573/DJ$604)-(DD573/DD$604)</f>
        <v>-7.6712314550068245E-3</v>
      </c>
      <c r="DK646" s="1139">
        <f>(DK573/DK$604)-(DE573/DE$604)</f>
        <v>4.1857451265718493E-2</v>
      </c>
      <c r="DL646" s="506"/>
      <c r="DM646" s="71">
        <f>(DM573/DM$604)-(DG573/DG$604)</f>
        <v>-1.1501345238335861E-2</v>
      </c>
      <c r="DN646" s="71">
        <f>(DN573/DN$604)-(DH573/DH$604)</f>
        <v>-7.360017648925507E-3</v>
      </c>
      <c r="DO646" s="71">
        <f>(DO573/DO$604)-(DI573/DI$604)</f>
        <v>-7.1721454490979164E-3</v>
      </c>
      <c r="DP646" s="71">
        <f>(DP573/DP$604)-(DJ573/DJ$604)</f>
        <v>-8.4171908554101088E-3</v>
      </c>
      <c r="DQ646" s="1139">
        <f>(DQ573/DQ$604)-(DK573/DK$604)</f>
        <v>-8.2920302222875691E-3</v>
      </c>
      <c r="DR646" s="506"/>
      <c r="DS646" s="71">
        <f>(DS573/DS$604)-(DM573/DM$604)</f>
        <v>-7.7033115942686942E-3</v>
      </c>
      <c r="DT646" s="71">
        <f>(DT573/DT$604)-(DN573/DN$604)</f>
        <v>-7.2128348587339741E-3</v>
      </c>
      <c r="DU646" s="71">
        <f>(DU573/DU$604)-(DO573/DO$604)</f>
        <v>-3.5459427646582775E-3</v>
      </c>
      <c r="DV646" s="71">
        <f>(DV573/DV$604)-(DP573/DP$604)</f>
        <v>-1.6976336608956893E-3</v>
      </c>
      <c r="DW646" s="1139">
        <f>(DW573/DW$604)-(DQ573/DQ$604)</f>
        <v>-4.8359493988345548E-3</v>
      </c>
      <c r="DX646" s="506"/>
      <c r="DY646" s="71">
        <f>(DY573/DY$604)-(DS573/DS$604)</f>
        <v>8.2202478155805891E-4</v>
      </c>
      <c r="DZ646" s="71">
        <f>(DZ573/DZ$604)-(DT573/DT$604)</f>
        <v>1.2920117633486994E-3</v>
      </c>
      <c r="EA646" s="71">
        <f>(EA573/EA$604)-(DU573/DU$604)</f>
        <v>6.4412238325281534E-4</v>
      </c>
      <c r="EB646" s="71">
        <f>(EB573/EB$604)-(DV573/DV$604)</f>
        <v>-2.8872938544435289E-3</v>
      </c>
      <c r="EC646" s="1139">
        <f>(EC573/EC$604)-(DW573/DW$604)</f>
        <v>3.7134128755614282E-4</v>
      </c>
      <c r="ED646" s="506"/>
      <c r="EE646" s="71">
        <f>(EE573/EE$604)-(DY573/DY$604)</f>
        <v>-2.8684061108374403E-3</v>
      </c>
      <c r="EF646" s="71">
        <f>(EF573/EF$604)-(DZ573/DZ$604)</f>
        <v>-1.6226163027466822E-3</v>
      </c>
      <c r="EG646" s="71">
        <f>(EG573/EG$604)-(EA573/EA$604)</f>
        <v>-1.4234863167118944E-3</v>
      </c>
      <c r="EH646" s="71">
        <f>(EH573/EH$604)-(EB573/EB$604)</f>
        <v>4.3445265997942711E-3</v>
      </c>
      <c r="EI646" s="1139">
        <f>(EI573/EI$604)-(EC573/EC$604)</f>
        <v>-5.1419983298140598E-4</v>
      </c>
      <c r="EJ646" s="506"/>
      <c r="EK646" s="71">
        <f>(EK573/EK$604)-(EE573/EE$604)</f>
        <v>-2.2181254815248908E-3</v>
      </c>
      <c r="EL646" s="71">
        <f>(EL573/EL$604)-(EF573/EF$604)</f>
        <v>-3.2805824857563282E-3</v>
      </c>
      <c r="EM646" s="71">
        <f>(EM573/EM$604)-(EG573/EG$604)</f>
        <v>-4.0803872426502241E-3</v>
      </c>
      <c r="EN646" s="71">
        <f>(EN573/EN$604)-(EH573/EH$604)</f>
        <v>-2.3443885841113454E-3</v>
      </c>
      <c r="EO646" s="1139">
        <f>(EO573/EO$604)-(EI573/EI$604)</f>
        <v>-3.0078796547561293E-3</v>
      </c>
      <c r="EP646" s="506"/>
      <c r="EQ646" s="71">
        <f>(EQ573/EQ$604)-(EK573/EK$604)</f>
        <v>-4.1467148440818211E-3</v>
      </c>
      <c r="ER646" s="71">
        <f>(ER573/ER$604)-(EL573/EL$604)</f>
        <v>-4.1303857380366529E-3</v>
      </c>
      <c r="ES646" s="71">
        <f>(ES573/ES$604)-(EM573/EM$604)</f>
        <v>-4.1315694241038509E-3</v>
      </c>
      <c r="ET646" s="71"/>
      <c r="EU646" s="1139"/>
      <c r="EV646" s="506"/>
      <c r="EW646" s="71"/>
      <c r="EX646" s="506"/>
      <c r="EY646" s="506"/>
      <c r="EZ646" s="506"/>
      <c r="FA646" s="1080"/>
      <c r="FB646" s="506"/>
      <c r="FC646" s="506"/>
      <c r="FD646" s="506"/>
      <c r="FE646" s="506"/>
      <c r="FF646" s="506"/>
      <c r="FG646" s="1080"/>
      <c r="FH646" s="506"/>
      <c r="FI646" s="506"/>
      <c r="FJ646" s="506"/>
      <c r="FK646" s="506"/>
      <c r="FL646" s="506"/>
      <c r="FM646" s="1080"/>
      <c r="FQ646"/>
      <c r="FR646"/>
      <c r="FS646"/>
      <c r="FT646"/>
      <c r="FU646"/>
      <c r="FV646"/>
      <c r="GB646" s="24"/>
      <c r="GC646" s="24"/>
      <c r="GD646" s="24"/>
      <c r="GE646" s="24"/>
      <c r="GF646" s="24"/>
      <c r="GG646" s="24"/>
      <c r="GH646" s="24"/>
      <c r="GI646" s="24"/>
      <c r="GJ646"/>
      <c r="GK646"/>
      <c r="GL646"/>
      <c r="GM646"/>
      <c r="GN646"/>
      <c r="GO646"/>
      <c r="GP646"/>
      <c r="GQ646"/>
      <c r="GR646"/>
      <c r="GS646"/>
      <c r="GT646"/>
      <c r="GU646"/>
      <c r="GV646"/>
      <c r="GW646"/>
      <c r="GX646"/>
      <c r="GY646"/>
      <c r="GZ646"/>
      <c r="HA646"/>
      <c r="HB646"/>
      <c r="HC646"/>
      <c r="HD646"/>
      <c r="HE646"/>
      <c r="HF646"/>
      <c r="HG646"/>
      <c r="HH646"/>
      <c r="HI646"/>
      <c r="HJ646"/>
      <c r="HK646"/>
      <c r="HL646"/>
      <c r="HM646"/>
      <c r="HN646"/>
      <c r="HO646"/>
      <c r="HP646"/>
      <c r="HQ646"/>
      <c r="HR646"/>
      <c r="HS646"/>
      <c r="HT646"/>
      <c r="HU646"/>
      <c r="HV646"/>
      <c r="HW646"/>
      <c r="HX646"/>
      <c r="HY646"/>
      <c r="HZ646"/>
      <c r="IA646"/>
      <c r="IB646"/>
      <c r="IC646"/>
      <c r="ID646"/>
      <c r="IE646"/>
      <c r="IF646"/>
      <c r="IG646"/>
      <c r="IH646"/>
      <c r="II646"/>
      <c r="IJ646"/>
      <c r="IK646"/>
      <c r="IL646"/>
      <c r="IM646"/>
      <c r="IN646"/>
      <c r="IO646"/>
      <c r="IP646"/>
      <c r="IQ646"/>
      <c r="IR646"/>
      <c r="IS646"/>
      <c r="IT646"/>
      <c r="IU646"/>
      <c r="IV646"/>
      <c r="IW646"/>
      <c r="IX646"/>
      <c r="IY646"/>
      <c r="IZ646"/>
      <c r="JA646"/>
      <c r="JB646"/>
      <c r="JC646"/>
      <c r="JD646"/>
      <c r="JE646"/>
      <c r="JF646"/>
      <c r="JG646"/>
      <c r="JH646"/>
      <c r="JI646"/>
      <c r="JJ646"/>
      <c r="JK646"/>
      <c r="JL646"/>
      <c r="JM646"/>
      <c r="JN646"/>
    </row>
    <row r="647" spans="1:274" s="749" customFormat="1" ht="12.75" hidden="1" customHeight="1" outlineLevel="2" x14ac:dyDescent="0.2">
      <c r="A647" s="753" t="s">
        <v>637</v>
      </c>
      <c r="B647" s="506"/>
      <c r="C647" s="506"/>
      <c r="D647" s="506"/>
      <c r="E647" s="506"/>
      <c r="F647" s="506"/>
      <c r="G647" s="506"/>
      <c r="H647" s="506"/>
      <c r="I647" s="506"/>
      <c r="J647" s="506"/>
      <c r="K647" s="506"/>
      <c r="L647" s="506"/>
      <c r="M647" s="506"/>
      <c r="N647" s="506"/>
      <c r="O647" s="506"/>
      <c r="P647" s="506"/>
      <c r="Q647" s="506"/>
      <c r="R647" s="506"/>
      <c r="S647" s="506"/>
      <c r="T647" s="506"/>
      <c r="U647" s="506"/>
      <c r="V647" s="506"/>
      <c r="W647" s="506"/>
      <c r="X647" s="506"/>
      <c r="Y647" s="506"/>
      <c r="Z647" s="506"/>
      <c r="AA647" s="506"/>
      <c r="AB647" s="506"/>
      <c r="AC647" s="506"/>
      <c r="AD647" s="506"/>
      <c r="AE647" s="506"/>
      <c r="AF647" s="506"/>
      <c r="AG647" s="506"/>
      <c r="AH647" s="506"/>
      <c r="AI647" s="506"/>
      <c r="AJ647" s="506"/>
      <c r="AK647" s="506"/>
      <c r="AL647" s="506"/>
      <c r="AM647" s="506"/>
      <c r="AN647" s="506"/>
      <c r="AO647" s="506"/>
      <c r="AP647" s="506"/>
      <c r="AQ647" s="506"/>
      <c r="AR647" s="506"/>
      <c r="AS647" s="506"/>
      <c r="AT647" s="506"/>
      <c r="AU647" s="506"/>
      <c r="AV647" s="506"/>
      <c r="AW647" s="506"/>
      <c r="AX647" s="506"/>
      <c r="AY647" s="506"/>
      <c r="AZ647" s="506"/>
      <c r="BA647" s="506"/>
      <c r="BB647" s="506"/>
      <c r="BC647" s="1080"/>
      <c r="BD647" s="506"/>
      <c r="BE647" s="506"/>
      <c r="BF647" s="506"/>
      <c r="BG647" s="506"/>
      <c r="BH647" s="506"/>
      <c r="BI647" s="1081"/>
      <c r="BJ647" s="1082"/>
      <c r="BK647" s="1082"/>
      <c r="BL647" s="1082"/>
      <c r="BM647" s="1082"/>
      <c r="BN647" s="1082"/>
      <c r="BO647" s="1081"/>
      <c r="BP647" s="1082"/>
      <c r="BQ647" s="1082"/>
      <c r="BR647" s="1082"/>
      <c r="BS647" s="1082"/>
      <c r="BT647" s="1082"/>
      <c r="BU647" s="1081"/>
      <c r="BV647" s="506"/>
      <c r="BW647" s="1082"/>
      <c r="BX647" s="1082"/>
      <c r="BY647" s="1082"/>
      <c r="BZ647" s="1082"/>
      <c r="CA647" s="1081"/>
      <c r="CB647" s="506"/>
      <c r="CC647" s="1082"/>
      <c r="CD647" s="1082"/>
      <c r="CE647" s="1082"/>
      <c r="CF647" s="1082"/>
      <c r="CG647" s="1081"/>
      <c r="CH647" s="506"/>
      <c r="CI647" s="1082"/>
      <c r="CJ647" s="1082"/>
      <c r="CK647" s="1082"/>
      <c r="CL647" s="1082"/>
      <c r="CM647" s="1081"/>
      <c r="CN647" s="506"/>
      <c r="CO647" s="1082"/>
      <c r="CP647" s="1082"/>
      <c r="CQ647" s="1082"/>
      <c r="CR647" s="1082"/>
      <c r="CS647" s="1081"/>
      <c r="CT647" s="506"/>
      <c r="CU647" s="1082"/>
      <c r="CV647" s="1082"/>
      <c r="CW647" s="1082"/>
      <c r="CX647" s="1082"/>
      <c r="CY647" s="1081"/>
      <c r="CZ647" s="506"/>
      <c r="DA647" s="1082"/>
      <c r="DB647" s="1082"/>
      <c r="DC647" s="71">
        <f>CW576-CW$607</f>
        <v>-0.11409802971576233</v>
      </c>
      <c r="DD647" s="71">
        <f>CX576-CX$607</f>
        <v>-0.11105421522381653</v>
      </c>
      <c r="DE647" s="1139">
        <f>CY576-CY$607</f>
        <v>-8.3376082257143103E-2</v>
      </c>
      <c r="DF647" s="506"/>
      <c r="DG647" s="71">
        <f>DA576-DA$607</f>
        <v>-8.0014174344436584E-2</v>
      </c>
      <c r="DH647" s="71">
        <f>DB576-DB$607</f>
        <v>-0.16640319031466222</v>
      </c>
      <c r="DI647" s="71">
        <f>DC576-DC$607</f>
        <v>-0.10892221019906911</v>
      </c>
      <c r="DJ647" s="71">
        <f>DD576-DD$607</f>
        <v>-5.9530125562856195E-2</v>
      </c>
      <c r="DK647" s="1139">
        <f>DE576-DE$607</f>
        <v>-8.6785451458786689E-2</v>
      </c>
      <c r="DL647" s="506"/>
      <c r="DM647" s="71">
        <f>DG576-DG$607</f>
        <v>-2.1794474247263551E-2</v>
      </c>
      <c r="DN647" s="71">
        <f>DH576-DH$607</f>
        <v>-0.11246568891666475</v>
      </c>
      <c r="DO647" s="71">
        <f>DI576-DI$607</f>
        <v>-5.5272690515028255E-2</v>
      </c>
      <c r="DP647" s="71">
        <f>DJ576-DJ$607</f>
        <v>-7.2822376887947682E-2</v>
      </c>
      <c r="DQ647" s="1139">
        <f>DK576-DK$607</f>
        <v>-6.7819893261694131E-2</v>
      </c>
      <c r="DR647" s="506"/>
      <c r="DS647" s="71">
        <f>DM576-DM$607</f>
        <v>-1.6563177063063872E-2</v>
      </c>
      <c r="DT647" s="71">
        <f>DN576-DN$607</f>
        <v>-1.2095577402350899E-2</v>
      </c>
      <c r="DU647" s="71">
        <f>DO576-DO$607</f>
        <v>-3.8332290125221102E-2</v>
      </c>
      <c r="DV647" s="71">
        <f>DP576-DP$607</f>
        <v>-4.1068719574323564E-2</v>
      </c>
      <c r="DW647" s="1139">
        <f>DQ576-DQ$607</f>
        <v>-2.8662172712686895E-2</v>
      </c>
      <c r="DX647" s="506"/>
      <c r="DY647" s="71">
        <f>DS576-DS$607</f>
        <v>2.6658646662178764E-3</v>
      </c>
      <c r="DZ647" s="71">
        <f>DT576-DT$607</f>
        <v>-1.9637805556227184E-2</v>
      </c>
      <c r="EA647" s="71">
        <f>DU576-DU$607</f>
        <v>-6.0403364751190347E-3</v>
      </c>
      <c r="EB647" s="71">
        <f>DV576-DV$607</f>
        <v>-2.2959363280716238E-2</v>
      </c>
      <c r="EC647" s="1139">
        <f>DW576-DW$607</f>
        <v>-3.2140765110116876E-3</v>
      </c>
      <c r="ED647" s="506"/>
      <c r="EE647" s="71">
        <f>DY576-DY$607</f>
        <v>2.9621319819476799E-2</v>
      </c>
      <c r="EF647" s="71">
        <f>DZ576-DZ$607</f>
        <v>3.1624578528450797E-2</v>
      </c>
      <c r="EG647" s="71">
        <f>EA576-EA$607</f>
        <v>2.5928609769189426E-2</v>
      </c>
      <c r="EH647" s="71">
        <f>EB576-EB$607</f>
        <v>2.3407228225770571E-2</v>
      </c>
      <c r="EI647" s="1139">
        <f>EC576-EC$607</f>
        <v>3.1317238520386925E-2</v>
      </c>
      <c r="EJ647" s="506"/>
      <c r="EK647" s="71">
        <f>EE576-EE$607</f>
        <v>4.9823347546203656E-2</v>
      </c>
      <c r="EL647" s="71">
        <f>EF576-EF$607</f>
        <v>2.6091729300556921E-2</v>
      </c>
      <c r="EM647" s="71">
        <f>EG576-EG$607</f>
        <v>1.4670303043552657E-2</v>
      </c>
      <c r="EN647" s="71">
        <f>EH576-EH$607</f>
        <v>0.11076041045771912</v>
      </c>
      <c r="EO647" s="1139">
        <f>EI576-EI$607</f>
        <v>5.1765876765027974E-2</v>
      </c>
      <c r="EP647" s="506"/>
      <c r="EQ647" s="71">
        <f>EK576-EK$607</f>
        <v>9.4153627699953613E-2</v>
      </c>
      <c r="ER647" s="71">
        <f>EL576-EL$607</f>
        <v>8.4159568340962165E-2</v>
      </c>
      <c r="ES647" s="71">
        <f>EM576-EM$607</f>
        <v>7.3445700912203038E-2</v>
      </c>
      <c r="ET647" s="71"/>
      <c r="EU647" s="1139"/>
      <c r="EV647" s="506"/>
      <c r="EW647" s="71"/>
      <c r="EX647" s="506"/>
      <c r="EY647" s="506"/>
      <c r="EZ647" s="506"/>
      <c r="FA647" s="1080"/>
      <c r="FB647" s="506"/>
      <c r="FC647" s="506"/>
      <c r="FD647" s="506"/>
      <c r="FE647" s="506"/>
      <c r="FF647" s="506"/>
      <c r="FG647" s="1080"/>
      <c r="FH647" s="506"/>
      <c r="FI647" s="506"/>
      <c r="FJ647" s="506"/>
      <c r="FK647" s="506"/>
      <c r="FL647" s="506"/>
      <c r="FM647" s="1080"/>
      <c r="FQ647"/>
      <c r="FR647"/>
      <c r="FS647"/>
      <c r="FT647"/>
      <c r="FU647"/>
      <c r="FV647"/>
      <c r="GB647" s="24"/>
      <c r="GC647" s="24"/>
      <c r="GD647" s="24"/>
      <c r="GE647" s="24"/>
      <c r="GF647" s="24"/>
      <c r="GG647" s="24"/>
      <c r="GH647" s="24"/>
      <c r="GI647" s="24"/>
      <c r="GJ647"/>
      <c r="GK647"/>
      <c r="GL647"/>
      <c r="GM647"/>
      <c r="GN647"/>
      <c r="GO647"/>
      <c r="GP647"/>
      <c r="GQ647"/>
      <c r="GR647"/>
      <c r="GS647"/>
      <c r="GT647"/>
      <c r="GU647"/>
      <c r="GV647"/>
      <c r="GW647"/>
      <c r="GX647"/>
      <c r="GY647"/>
      <c r="GZ647"/>
      <c r="HA647"/>
      <c r="HB647"/>
      <c r="HC647"/>
      <c r="HD647"/>
      <c r="HE647"/>
      <c r="HF647"/>
      <c r="HG647"/>
      <c r="HH647"/>
      <c r="HI647"/>
      <c r="HJ647"/>
      <c r="HK647"/>
      <c r="HL647"/>
      <c r="HM647"/>
      <c r="HN647"/>
      <c r="HO647"/>
      <c r="HP647"/>
      <c r="HQ647"/>
      <c r="HR647"/>
      <c r="HS647"/>
      <c r="HT647"/>
      <c r="HU647"/>
      <c r="HV647"/>
      <c r="HW647"/>
      <c r="HX647"/>
      <c r="HY647"/>
      <c r="HZ647"/>
      <c r="IA647"/>
      <c r="IB647"/>
      <c r="IC647"/>
      <c r="ID647"/>
      <c r="IE647"/>
      <c r="IF647"/>
      <c r="IG647"/>
      <c r="IH647"/>
      <c r="II647"/>
      <c r="IJ647"/>
      <c r="IK647"/>
      <c r="IL647"/>
      <c r="IM647"/>
      <c r="IN647"/>
      <c r="IO647"/>
      <c r="IP647"/>
      <c r="IQ647"/>
      <c r="IR647"/>
      <c r="IS647"/>
      <c r="IT647"/>
      <c r="IU647"/>
      <c r="IV647"/>
      <c r="IW647"/>
      <c r="IX647"/>
      <c r="IY647"/>
      <c r="IZ647"/>
      <c r="JA647"/>
      <c r="JB647"/>
      <c r="JC647"/>
      <c r="JD647"/>
      <c r="JE647"/>
      <c r="JF647"/>
      <c r="JG647"/>
      <c r="JH647"/>
      <c r="JI647"/>
      <c r="JJ647"/>
      <c r="JK647"/>
      <c r="JL647"/>
      <c r="JM647"/>
      <c r="JN647"/>
    </row>
    <row r="648" spans="1:274" s="749" customFormat="1" ht="12.75" hidden="1" customHeight="1" outlineLevel="1" x14ac:dyDescent="0.2">
      <c r="A648" s="750" t="s">
        <v>638</v>
      </c>
      <c r="B648" s="747"/>
      <c r="C648" s="65"/>
      <c r="D648" s="65"/>
      <c r="E648" s="65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5"/>
      <c r="AC648" s="65"/>
      <c r="AD648" s="65"/>
      <c r="AE648" s="65"/>
      <c r="AF648" s="65"/>
      <c r="AG648" s="65"/>
      <c r="AH648" s="65"/>
      <c r="AI648" s="65"/>
      <c r="AJ648" s="65"/>
      <c r="AK648" s="65"/>
      <c r="AL648" s="65"/>
      <c r="AM648" s="65"/>
      <c r="AN648" s="65"/>
      <c r="AO648" s="65"/>
      <c r="AP648" s="65"/>
      <c r="AQ648" s="65"/>
      <c r="AR648" s="65"/>
      <c r="AS648" s="65"/>
      <c r="AT648" s="65"/>
      <c r="AU648" s="65"/>
      <c r="AV648" s="65"/>
      <c r="AW648" s="65"/>
      <c r="AX648" s="65"/>
      <c r="AY648" s="65"/>
      <c r="AZ648" s="65"/>
      <c r="BA648" s="65"/>
      <c r="BB648" s="65"/>
      <c r="BC648" s="748"/>
      <c r="BD648" s="65"/>
      <c r="BE648" s="65"/>
      <c r="BF648" s="65"/>
      <c r="BG648" s="65"/>
      <c r="BH648" s="65"/>
      <c r="BI648" s="751"/>
      <c r="BJ648" s="752"/>
      <c r="BK648" s="752"/>
      <c r="BL648" s="752"/>
      <c r="BM648" s="752"/>
      <c r="BN648" s="752"/>
      <c r="BO648" s="751"/>
      <c r="BP648" s="752"/>
      <c r="BQ648" s="752"/>
      <c r="BR648" s="752"/>
      <c r="BS648" s="752"/>
      <c r="BT648" s="752"/>
      <c r="BU648" s="751"/>
      <c r="BV648" s="65"/>
      <c r="BW648" s="752"/>
      <c r="BX648" s="752"/>
      <c r="BY648" s="752"/>
      <c r="BZ648" s="752"/>
      <c r="CA648" s="751"/>
      <c r="CB648" s="65"/>
      <c r="CC648" s="752"/>
      <c r="CD648" s="752"/>
      <c r="CE648" s="752"/>
      <c r="CF648" s="752"/>
      <c r="CG648" s="751"/>
      <c r="CH648" s="65"/>
      <c r="CI648" s="752"/>
      <c r="CJ648" s="752"/>
      <c r="CK648" s="752"/>
      <c r="CL648" s="752"/>
      <c r="CM648" s="751"/>
      <c r="CN648" s="65"/>
      <c r="CO648" s="752"/>
      <c r="CP648" s="752"/>
      <c r="CQ648" s="752"/>
      <c r="CR648" s="752"/>
      <c r="CS648" s="751"/>
      <c r="CT648" s="65"/>
      <c r="CU648" s="752"/>
      <c r="CV648" s="752"/>
      <c r="CW648" s="752"/>
      <c r="CX648" s="752"/>
      <c r="CY648" s="751"/>
      <c r="CZ648" s="65"/>
      <c r="DA648" s="752"/>
      <c r="DB648" s="752"/>
      <c r="DC648" s="752">
        <f>(DC576-CW576)*DC573</f>
        <v>0</v>
      </c>
      <c r="DD648" s="752">
        <f>(DD576-CX576)*DD573</f>
        <v>0</v>
      </c>
      <c r="DE648" s="1086">
        <f>(DE576-CY576)*DE573</f>
        <v>0</v>
      </c>
      <c r="DF648" s="65"/>
      <c r="DG648" s="752">
        <f>(DG576-DA576)*DG573</f>
        <v>0</v>
      </c>
      <c r="DH648" s="752">
        <f>(DH576-DB576)*DH573</f>
        <v>0</v>
      </c>
      <c r="DI648" s="752">
        <f>(DI576-DC576)*DI573</f>
        <v>25.048888888888879</v>
      </c>
      <c r="DJ648" s="752">
        <f>(DJ576-DD576)*DJ573</f>
        <v>2.4395924308588004</v>
      </c>
      <c r="DK648" s="1086">
        <f>(DK576-DE576)*DK573</f>
        <v>-8.631578947368574</v>
      </c>
      <c r="DL648" s="65"/>
      <c r="DM648" s="752">
        <f>(DM576-DG576)*DM573</f>
        <v>9.6941176470588193</v>
      </c>
      <c r="DN648" s="752">
        <f>(DN576-DH576)*DN573</f>
        <v>70.848396501457714</v>
      </c>
      <c r="DO648" s="752">
        <f>(DO576-DI576)*DO573</f>
        <v>17.08536585365859</v>
      </c>
      <c r="DP648" s="752">
        <f>(DP576-DJ576)*DP573</f>
        <v>24.80813953488375</v>
      </c>
      <c r="DQ648" s="1086">
        <f>(DQ576-DK576)*DQ573</f>
        <v>122.63653136531377</v>
      </c>
      <c r="DR648" s="65"/>
      <c r="DS648" s="752">
        <f>(DS576-DM576)*DS573</f>
        <v>26.658536585365884</v>
      </c>
      <c r="DT648" s="752">
        <f>(DT576-DN576)*DT573</f>
        <v>8.7886435331230626</v>
      </c>
      <c r="DU648" s="752">
        <f>(DU576-DO576)*DU573</f>
        <v>21.613114754098369</v>
      </c>
      <c r="DV648" s="752">
        <f>(DV576-DP576)*DV573</f>
        <v>19.889256198347109</v>
      </c>
      <c r="DW648" s="1086">
        <f>(DW576-DQ576)*DW573</f>
        <v>77.515768463073769</v>
      </c>
      <c r="DX648" s="65"/>
      <c r="DY648" s="752">
        <f>(DY576-DS576)*DY573</f>
        <v>19.00173010380621</v>
      </c>
      <c r="DZ648" s="752">
        <f>(DZ576-DT576)*DZ573</f>
        <v>25.65423728813558</v>
      </c>
      <c r="EA648" s="752">
        <f>(EA576-DU576)*EA573</f>
        <v>21.279720279720248</v>
      </c>
      <c r="EB648" s="752">
        <f>(EB576-DV576)*EB573</f>
        <v>18.611584327086881</v>
      </c>
      <c r="EC648" s="1086">
        <f>(EC576-DW576)*EC573</f>
        <v>84.462827675118106</v>
      </c>
      <c r="ED648" s="65"/>
      <c r="EE648" s="752">
        <f>(EE576-DY576)*EE573</f>
        <v>13.969849246231156</v>
      </c>
      <c r="EF648" s="752">
        <f>(EF576-DZ576)*EF573</f>
        <v>-2.9934747145187606</v>
      </c>
      <c r="EG648" s="752">
        <f>(EG576-EA576)*EG573</f>
        <v>-13.980000000000004</v>
      </c>
      <c r="EH648" s="752">
        <f>(EH576-EB576)*EH573</f>
        <v>14.360134003350055</v>
      </c>
      <c r="EI648" s="1086">
        <f>(EI576-EC576)*EI573</f>
        <v>11.336518487744092</v>
      </c>
      <c r="EJ648" s="65"/>
      <c r="EK648" s="752">
        <f>(EK576-EE576)*EK573</f>
        <v>2.9251700680272092</v>
      </c>
      <c r="EL648" s="752">
        <f>(EL576-EF576)*EL573</f>
        <v>19.591276252019398</v>
      </c>
      <c r="EM648" s="752">
        <f>(EM576-EG576)*EM573</f>
        <v>23.739795918367339</v>
      </c>
      <c r="EN648" s="752">
        <f>(EN576-EH576)*EN573</f>
        <v>9.5263157894736814</v>
      </c>
      <c r="EO648" s="1086">
        <f>(EO576-EI576)*EO573</f>
        <v>56.910234899328806</v>
      </c>
      <c r="EP648" s="65"/>
      <c r="EQ648" s="752">
        <f>(EQ576-EK576)*EQ573</f>
        <v>23.307692307692328</v>
      </c>
      <c r="ER648" s="752">
        <f>(ER576-EL576)*ER573</f>
        <v>18.979999999999997</v>
      </c>
      <c r="ES648" s="752">
        <f>(ES576-EM576)*ES573</f>
        <v>17.853107344632804</v>
      </c>
      <c r="ET648" s="752"/>
      <c r="EU648" s="1086"/>
      <c r="EV648" s="65"/>
      <c r="EW648" s="752"/>
      <c r="EX648" s="65"/>
      <c r="EY648" s="65"/>
      <c r="EZ648" s="65"/>
      <c r="FA648" s="748"/>
      <c r="FB648" s="65"/>
      <c r="FC648" s="65"/>
      <c r="FD648" s="65"/>
      <c r="FE648" s="65"/>
      <c r="FF648" s="65"/>
      <c r="FG648" s="748"/>
      <c r="FH648" s="65"/>
      <c r="FI648" s="65"/>
      <c r="FJ648" s="65"/>
      <c r="FK648" s="65"/>
      <c r="FL648" s="65"/>
      <c r="FM648" s="748"/>
      <c r="FQ648"/>
      <c r="FR648"/>
      <c r="FS648"/>
      <c r="FT648"/>
      <c r="FU648"/>
      <c r="FV648"/>
      <c r="GB648" s="24"/>
      <c r="GC648" s="24"/>
      <c r="GD648" s="24"/>
      <c r="GE648" s="24"/>
      <c r="GF648" s="24"/>
      <c r="GG648" s="24"/>
      <c r="GH648" s="24"/>
      <c r="GI648" s="24"/>
      <c r="GJ648"/>
      <c r="GK648"/>
      <c r="GL648"/>
      <c r="GM648"/>
      <c r="GN648"/>
      <c r="GO648"/>
      <c r="GP648"/>
      <c r="GQ648"/>
      <c r="GR648"/>
      <c r="GS648"/>
      <c r="GT648"/>
      <c r="GU648"/>
      <c r="GV648"/>
      <c r="GW648"/>
      <c r="GX648"/>
      <c r="GY648"/>
      <c r="GZ648"/>
      <c r="HA648"/>
      <c r="HB648"/>
      <c r="HC648"/>
      <c r="HD648"/>
      <c r="HE648"/>
      <c r="HF648"/>
      <c r="HG648"/>
      <c r="HH648"/>
      <c r="HI648"/>
      <c r="HJ648"/>
      <c r="HK648"/>
      <c r="HL648"/>
      <c r="HM648"/>
      <c r="HN648"/>
      <c r="HO648"/>
      <c r="HP648"/>
      <c r="HQ648"/>
      <c r="HR648"/>
      <c r="HS648"/>
      <c r="HT648"/>
      <c r="HU648"/>
      <c r="HV648"/>
      <c r="HW648"/>
      <c r="HX648"/>
      <c r="HY648"/>
      <c r="HZ648"/>
      <c r="IA648"/>
      <c r="IB648"/>
      <c r="IC648"/>
      <c r="ID648"/>
      <c r="IE648"/>
      <c r="IF648"/>
      <c r="IG648"/>
      <c r="IH648"/>
      <c r="II648"/>
      <c r="IJ648"/>
      <c r="IK648"/>
      <c r="IL648"/>
      <c r="IM648"/>
      <c r="IN648"/>
      <c r="IO648"/>
      <c r="IP648"/>
      <c r="IQ648"/>
      <c r="IR648"/>
      <c r="IS648"/>
      <c r="IT648"/>
      <c r="IU648"/>
      <c r="IV648"/>
      <c r="IW648"/>
      <c r="IX648"/>
      <c r="IY648"/>
      <c r="IZ648"/>
      <c r="JA648"/>
      <c r="JB648"/>
      <c r="JC648"/>
      <c r="JD648"/>
      <c r="JE648"/>
      <c r="JF648"/>
      <c r="JG648"/>
      <c r="JH648"/>
      <c r="JI648"/>
      <c r="JJ648"/>
      <c r="JK648"/>
      <c r="JL648"/>
      <c r="JM648"/>
      <c r="JN648"/>
    </row>
    <row r="649" spans="1:274" s="749" customFormat="1" ht="6" hidden="1" customHeight="1" outlineLevel="1" x14ac:dyDescent="0.2">
      <c r="A649" s="750"/>
      <c r="B649" s="747"/>
      <c r="C649" s="65"/>
      <c r="D649" s="65"/>
      <c r="E649" s="65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5"/>
      <c r="AC649" s="65"/>
      <c r="AD649" s="65"/>
      <c r="AE649" s="65"/>
      <c r="AF649" s="65"/>
      <c r="AG649" s="65"/>
      <c r="AH649" s="65"/>
      <c r="AI649" s="65"/>
      <c r="AJ649" s="65"/>
      <c r="AK649" s="65"/>
      <c r="AL649" s="65"/>
      <c r="AM649" s="65"/>
      <c r="AN649" s="65"/>
      <c r="AO649" s="65"/>
      <c r="AP649" s="65"/>
      <c r="AQ649" s="65"/>
      <c r="AR649" s="65"/>
      <c r="AS649" s="65"/>
      <c r="AT649" s="65"/>
      <c r="AU649" s="65"/>
      <c r="AV649" s="65"/>
      <c r="AW649" s="65"/>
      <c r="AX649" s="65"/>
      <c r="AY649" s="65"/>
      <c r="AZ649" s="65"/>
      <c r="BA649" s="65"/>
      <c r="BB649" s="65"/>
      <c r="BC649" s="748"/>
      <c r="BD649" s="65"/>
      <c r="BE649" s="65"/>
      <c r="BF649" s="65"/>
      <c r="BG649" s="65"/>
      <c r="BH649" s="65"/>
      <c r="BI649" s="751"/>
      <c r="BJ649" s="752"/>
      <c r="BK649" s="752"/>
      <c r="BL649" s="752"/>
      <c r="BM649" s="752"/>
      <c r="BN649" s="752"/>
      <c r="BO649" s="751"/>
      <c r="BP649" s="752"/>
      <c r="BQ649" s="752"/>
      <c r="BR649" s="752"/>
      <c r="BS649" s="752"/>
      <c r="BT649" s="752"/>
      <c r="BU649" s="751"/>
      <c r="BV649" s="65"/>
      <c r="BW649" s="752"/>
      <c r="BX649" s="752"/>
      <c r="BY649" s="752"/>
      <c r="BZ649" s="752"/>
      <c r="CA649" s="751"/>
      <c r="CB649" s="65"/>
      <c r="CC649" s="752"/>
      <c r="CD649" s="752"/>
      <c r="CE649" s="752"/>
      <c r="CF649" s="752"/>
      <c r="CG649" s="751"/>
      <c r="CH649" s="65"/>
      <c r="CI649" s="752"/>
      <c r="CJ649" s="752"/>
      <c r="CK649" s="752"/>
      <c r="CL649" s="752"/>
      <c r="CM649" s="751"/>
      <c r="CN649" s="65"/>
      <c r="CO649" s="752"/>
      <c r="CP649" s="752"/>
      <c r="CQ649" s="752"/>
      <c r="CR649" s="752"/>
      <c r="CS649" s="751"/>
      <c r="CT649" s="65"/>
      <c r="CU649" s="752"/>
      <c r="CV649" s="752"/>
      <c r="CW649" s="752"/>
      <c r="CX649" s="752"/>
      <c r="CY649" s="751"/>
      <c r="CZ649" s="65"/>
      <c r="DA649" s="752"/>
      <c r="DB649" s="752"/>
      <c r="DC649" s="752"/>
      <c r="DD649" s="65"/>
      <c r="DE649" s="751"/>
      <c r="DF649" s="65"/>
      <c r="DG649" s="752"/>
      <c r="DH649" s="752"/>
      <c r="DI649" s="752"/>
      <c r="DJ649" s="65"/>
      <c r="DK649" s="751"/>
      <c r="DL649" s="65"/>
      <c r="DM649" s="752"/>
      <c r="DN649" s="752"/>
      <c r="DO649" s="752"/>
      <c r="DP649" s="65"/>
      <c r="DQ649" s="751"/>
      <c r="DR649" s="65"/>
      <c r="DS649" s="752"/>
      <c r="DT649" s="752"/>
      <c r="DU649" s="752"/>
      <c r="DV649" s="65"/>
      <c r="DW649" s="751"/>
      <c r="DX649" s="65"/>
      <c r="DY649" s="65"/>
      <c r="DZ649" s="752"/>
      <c r="EA649" s="752"/>
      <c r="EB649" s="65"/>
      <c r="EC649" s="751"/>
      <c r="ED649" s="65"/>
      <c r="EE649" s="65"/>
      <c r="EF649" s="752"/>
      <c r="EG649" s="752"/>
      <c r="EH649" s="65"/>
      <c r="EI649" s="751"/>
      <c r="EJ649" s="65"/>
      <c r="EK649" s="65"/>
      <c r="EL649" s="752"/>
      <c r="EM649" s="752"/>
      <c r="EN649" s="65"/>
      <c r="EO649" s="751"/>
      <c r="EP649" s="65"/>
      <c r="EQ649" s="65"/>
      <c r="ER649" s="752"/>
      <c r="ES649" s="752"/>
      <c r="ET649" s="65"/>
      <c r="EU649" s="751"/>
      <c r="EV649" s="65"/>
      <c r="EW649" s="65"/>
      <c r="EX649" s="65"/>
      <c r="EY649" s="65"/>
      <c r="EZ649" s="65"/>
      <c r="FA649" s="748"/>
      <c r="FB649" s="65"/>
      <c r="FC649" s="65"/>
      <c r="FD649" s="65"/>
      <c r="FE649" s="65"/>
      <c r="FF649" s="65"/>
      <c r="FG649" s="748"/>
      <c r="FH649" s="65"/>
      <c r="FI649" s="65"/>
      <c r="FJ649" s="65"/>
      <c r="FK649" s="65"/>
      <c r="FL649" s="65"/>
      <c r="FM649" s="748"/>
      <c r="FQ649"/>
      <c r="FR649"/>
      <c r="FS649"/>
      <c r="FT649"/>
      <c r="FU649"/>
      <c r="FV649"/>
      <c r="GB649" s="24"/>
      <c r="GC649" s="24"/>
      <c r="GD649" s="24"/>
      <c r="GE649" s="24"/>
      <c r="GF649" s="24"/>
      <c r="GG649" s="24"/>
      <c r="GH649" s="24"/>
      <c r="GI649" s="24"/>
      <c r="GJ649"/>
      <c r="GK649"/>
      <c r="GL649"/>
      <c r="GM649"/>
      <c r="GN649"/>
      <c r="GO649"/>
      <c r="GP649"/>
      <c r="GQ649"/>
      <c r="GR649"/>
      <c r="GS649"/>
      <c r="GT649"/>
      <c r="GU649"/>
      <c r="GV649"/>
      <c r="GW649"/>
      <c r="GX649"/>
      <c r="GY649"/>
      <c r="GZ649"/>
      <c r="HA649"/>
      <c r="HB649"/>
      <c r="HC649"/>
      <c r="HD649"/>
      <c r="HE649"/>
      <c r="HF649"/>
      <c r="HG649"/>
      <c r="HH649"/>
      <c r="HI649"/>
      <c r="HJ649"/>
      <c r="HK649"/>
      <c r="HL649"/>
      <c r="HM649"/>
      <c r="HN649"/>
      <c r="HO649"/>
      <c r="HP649"/>
      <c r="HQ649"/>
      <c r="HR649"/>
      <c r="HS649"/>
      <c r="HT649"/>
      <c r="HU649"/>
      <c r="HV649"/>
      <c r="HW649"/>
      <c r="HX649"/>
      <c r="HY649"/>
      <c r="HZ649"/>
      <c r="IA649"/>
      <c r="IB649"/>
      <c r="IC649"/>
      <c r="ID649"/>
      <c r="IE649"/>
      <c r="IF649"/>
      <c r="IG649"/>
      <c r="IH649"/>
      <c r="II649"/>
      <c r="IJ649"/>
      <c r="IK649"/>
      <c r="IL649"/>
      <c r="IM649"/>
      <c r="IN649"/>
      <c r="IO649"/>
      <c r="IP649"/>
      <c r="IQ649"/>
      <c r="IR649"/>
      <c r="IS649"/>
      <c r="IT649"/>
      <c r="IU649"/>
      <c r="IV649"/>
      <c r="IW649"/>
      <c r="IX649"/>
      <c r="IY649"/>
      <c r="IZ649"/>
      <c r="JA649"/>
      <c r="JB649"/>
      <c r="JC649"/>
      <c r="JD649"/>
      <c r="JE649"/>
      <c r="JF649"/>
      <c r="JG649"/>
      <c r="JH649"/>
      <c r="JI649"/>
      <c r="JJ649"/>
      <c r="JK649"/>
      <c r="JL649"/>
      <c r="JM649"/>
      <c r="JN649"/>
    </row>
    <row r="650" spans="1:274" s="749" customFormat="1" ht="12.75" hidden="1" customHeight="1" outlineLevel="1" x14ac:dyDescent="0.2">
      <c r="A650" s="1478" t="str">
        <f>A578</f>
        <v>Hardware Products &amp; Support</v>
      </c>
      <c r="B650" s="747"/>
      <c r="C650" s="65"/>
      <c r="D650" s="65"/>
      <c r="E650" s="65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5"/>
      <c r="AC650" s="65"/>
      <c r="AD650" s="65"/>
      <c r="AE650" s="65"/>
      <c r="AF650" s="65"/>
      <c r="AG650" s="65"/>
      <c r="AH650" s="65"/>
      <c r="AI650" s="65"/>
      <c r="AJ650" s="65"/>
      <c r="AK650" s="65"/>
      <c r="AL650" s="65"/>
      <c r="AM650" s="65"/>
      <c r="AN650" s="65"/>
      <c r="AO650" s="65"/>
      <c r="AP650" s="65"/>
      <c r="AQ650" s="65"/>
      <c r="AR650" s="65"/>
      <c r="AS650" s="65"/>
      <c r="AT650" s="65"/>
      <c r="AU650" s="65"/>
      <c r="AV650" s="65"/>
      <c r="AW650" s="65"/>
      <c r="AX650" s="65"/>
      <c r="AY650" s="65"/>
      <c r="AZ650" s="65"/>
      <c r="BA650" s="65"/>
      <c r="BB650" s="65"/>
      <c r="BC650" s="1853"/>
      <c r="BD650" s="65"/>
      <c r="BE650" s="65"/>
      <c r="BF650" s="65"/>
      <c r="BG650" s="65"/>
      <c r="BH650" s="65"/>
      <c r="BI650" s="1854"/>
      <c r="BJ650" s="752"/>
      <c r="BK650" s="752"/>
      <c r="BL650" s="752"/>
      <c r="BM650" s="752"/>
      <c r="BN650" s="752"/>
      <c r="BO650" s="1854"/>
      <c r="BP650" s="752"/>
      <c r="BQ650" s="752"/>
      <c r="BR650" s="752"/>
      <c r="BS650" s="752"/>
      <c r="BT650" s="752"/>
      <c r="BU650" s="1854"/>
      <c r="BV650" s="65"/>
      <c r="BW650" s="752"/>
      <c r="BX650" s="752"/>
      <c r="BY650" s="752"/>
      <c r="BZ650" s="752"/>
      <c r="CA650" s="1854"/>
      <c r="CB650" s="65"/>
      <c r="CC650" s="752"/>
      <c r="CD650" s="752"/>
      <c r="CE650" s="752"/>
      <c r="CF650" s="752"/>
      <c r="CG650" s="1854"/>
      <c r="CH650" s="65"/>
      <c r="CI650" s="752"/>
      <c r="CJ650" s="752"/>
      <c r="CK650" s="752"/>
      <c r="CL650" s="752"/>
      <c r="CM650" s="1854"/>
      <c r="CN650" s="65"/>
      <c r="CO650" s="752"/>
      <c r="CP650" s="752"/>
      <c r="CQ650" s="752"/>
      <c r="CR650" s="752"/>
      <c r="CS650" s="1854"/>
      <c r="CT650" s="65"/>
      <c r="CU650" s="752"/>
      <c r="CV650" s="752"/>
      <c r="CW650" s="752"/>
      <c r="CX650" s="752"/>
      <c r="CY650" s="1854"/>
      <c r="CZ650" s="65"/>
      <c r="DA650" s="752"/>
      <c r="DB650" s="752"/>
      <c r="DC650" s="752"/>
      <c r="DD650" s="65"/>
      <c r="DE650" s="1854"/>
      <c r="DF650" s="65"/>
      <c r="DG650" s="752"/>
      <c r="DH650" s="752"/>
      <c r="DI650" s="752"/>
      <c r="DJ650" s="65"/>
      <c r="DK650" s="1854"/>
      <c r="DL650" s="65"/>
      <c r="DM650" s="752"/>
      <c r="DN650" s="752"/>
      <c r="DO650" s="752"/>
      <c r="DP650" s="65"/>
      <c r="DQ650" s="1854"/>
      <c r="DR650" s="65"/>
      <c r="DS650" s="752"/>
      <c r="DT650" s="752"/>
      <c r="DU650" s="752"/>
      <c r="DV650" s="65"/>
      <c r="DW650" s="1854"/>
      <c r="DX650" s="65"/>
      <c r="DY650" s="1482">
        <f>DY651+DY654</f>
        <v>40.745593352589154</v>
      </c>
      <c r="DZ650" s="1482">
        <f>DZ651+DZ654</f>
        <v>-8.7961199790927456</v>
      </c>
      <c r="EA650" s="1482">
        <f>EA651+EA654</f>
        <v>-0.49956693251004225</v>
      </c>
      <c r="EB650" s="1482">
        <f>EB651+EB654</f>
        <v>10.331130739875642</v>
      </c>
      <c r="EC650" s="1481">
        <f>EC651+EC654</f>
        <v>26.668309925294878</v>
      </c>
      <c r="ED650" s="65"/>
      <c r="EE650" s="1482">
        <f>EE651+EE654</f>
        <v>35.805011893240199</v>
      </c>
      <c r="EF650" s="1482">
        <f>EF651+EF654</f>
        <v>32.963186451556211</v>
      </c>
      <c r="EG650" s="1482">
        <f>EG651+EG654</f>
        <v>5.7604643236124176</v>
      </c>
      <c r="EH650" s="1482">
        <f>EH651+EH654</f>
        <v>-5.8580543336754225</v>
      </c>
      <c r="EI650" s="1481">
        <f>EI651+EI654</f>
        <v>80.781990650931704</v>
      </c>
      <c r="EJ650" s="65"/>
      <c r="EK650" s="1482">
        <f>EK651+EK654</f>
        <v>-12.939226167802726</v>
      </c>
      <c r="EL650" s="1482">
        <f>EL651+EL654</f>
        <v>-4.6504882076314615</v>
      </c>
      <c r="EM650" s="1482">
        <f>EM651+EM654</f>
        <v>15.448520392955302</v>
      </c>
      <c r="EN650" s="1482">
        <f>EN651+EN654</f>
        <v>-6.7564988331413538</v>
      </c>
      <c r="EO650" s="1481">
        <f>EO651+EO654</f>
        <v>-7.6881965826411971</v>
      </c>
      <c r="EP650" s="65"/>
      <c r="EQ650" s="1482">
        <f>EQ651+EQ654</f>
        <v>43.835307313764766</v>
      </c>
      <c r="ER650" s="1482">
        <f>ER651+ER654</f>
        <v>85.925072501103827</v>
      </c>
      <c r="ES650" s="1482">
        <f>ES651+ES654</f>
        <v>42.477416634991599</v>
      </c>
      <c r="ET650" s="1482">
        <f>ET651+ET654</f>
        <v>81.898931855672885</v>
      </c>
      <c r="EU650" s="1481">
        <f>EU651+EU654</f>
        <v>255.13673655730037</v>
      </c>
      <c r="EV650" s="65"/>
      <c r="EW650" s="1482">
        <f>EW651+EW654</f>
        <v>38.88723072293616</v>
      </c>
      <c r="EX650" s="65"/>
      <c r="EY650" s="65"/>
      <c r="EZ650" s="65"/>
      <c r="FA650" s="1853"/>
      <c r="FB650" s="65"/>
      <c r="FC650" s="65"/>
      <c r="FD650" s="65"/>
      <c r="FE650" s="65"/>
      <c r="FF650" s="65"/>
      <c r="FG650" s="1853"/>
      <c r="FH650" s="65"/>
      <c r="FI650" s="65"/>
      <c r="FJ650" s="65"/>
      <c r="FK650" s="65"/>
      <c r="FL650" s="65"/>
      <c r="FM650" s="1853"/>
      <c r="FQ650"/>
      <c r="FR650"/>
      <c r="FS650"/>
      <c r="FT650"/>
      <c r="FU650"/>
      <c r="FV650"/>
      <c r="GB650" s="24"/>
      <c r="GC650" s="24"/>
      <c r="GD650" s="24"/>
      <c r="GE650" s="24"/>
      <c r="GF650" s="24"/>
      <c r="GG650" s="24"/>
      <c r="GH650" s="24"/>
      <c r="GI650" s="24"/>
      <c r="GJ650"/>
      <c r="GK650"/>
      <c r="GL650"/>
      <c r="GM650"/>
      <c r="GN650"/>
      <c r="GO650"/>
      <c r="GP650"/>
      <c r="GQ650"/>
      <c r="GR650"/>
      <c r="GS650"/>
      <c r="GT650"/>
      <c r="GU650"/>
      <c r="GV650"/>
      <c r="GW650"/>
      <c r="GX650"/>
      <c r="GY650"/>
      <c r="GZ650"/>
      <c r="HA650"/>
      <c r="HB650"/>
      <c r="HC650"/>
      <c r="HD650"/>
      <c r="HE650"/>
      <c r="HF650"/>
      <c r="HG650"/>
      <c r="HH650"/>
      <c r="HI650"/>
      <c r="HJ650"/>
      <c r="HK650"/>
      <c r="HL650"/>
      <c r="HM650"/>
      <c r="HN650"/>
      <c r="HO650"/>
      <c r="HP650"/>
      <c r="HQ650"/>
      <c r="HR650"/>
      <c r="HS650"/>
      <c r="HT650"/>
      <c r="HU650"/>
      <c r="HV650"/>
      <c r="HW650"/>
      <c r="HX650"/>
      <c r="HY650"/>
      <c r="HZ650"/>
      <c r="IA650"/>
      <c r="IB650"/>
      <c r="IC650"/>
      <c r="ID650"/>
      <c r="IE650"/>
      <c r="IF650"/>
      <c r="IG650"/>
      <c r="IH650"/>
      <c r="II650"/>
      <c r="IJ650"/>
      <c r="IK650"/>
      <c r="IL650"/>
      <c r="IM650"/>
      <c r="IN650"/>
      <c r="IO650"/>
      <c r="IP650"/>
      <c r="IQ650"/>
      <c r="IR650"/>
      <c r="IS650"/>
      <c r="IT650"/>
      <c r="IU650"/>
      <c r="IV650"/>
      <c r="IW650"/>
      <c r="IX650"/>
      <c r="IY650"/>
      <c r="IZ650"/>
      <c r="JA650"/>
      <c r="JB650"/>
      <c r="JC650"/>
      <c r="JD650"/>
      <c r="JE650"/>
      <c r="JF650"/>
      <c r="JG650"/>
      <c r="JH650"/>
      <c r="JI650"/>
      <c r="JJ650"/>
      <c r="JK650"/>
      <c r="JL650"/>
      <c r="JM650"/>
      <c r="JN650"/>
    </row>
    <row r="651" spans="1:274" s="749" customFormat="1" ht="12.75" hidden="1" customHeight="1" outlineLevel="1" x14ac:dyDescent="0.2">
      <c r="A651" s="750" t="s">
        <v>635</v>
      </c>
      <c r="B651" s="747"/>
      <c r="C651" s="65"/>
      <c r="D651" s="65"/>
      <c r="E651" s="65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5"/>
      <c r="AC651" s="65"/>
      <c r="AD651" s="65"/>
      <c r="AE651" s="65"/>
      <c r="AF651" s="65"/>
      <c r="AG651" s="65"/>
      <c r="AH651" s="65"/>
      <c r="AI651" s="65"/>
      <c r="AJ651" s="65"/>
      <c r="AK651" s="65"/>
      <c r="AL651" s="65"/>
      <c r="AM651" s="65"/>
      <c r="AN651" s="65"/>
      <c r="AO651" s="65"/>
      <c r="AP651" s="65"/>
      <c r="AQ651" s="65"/>
      <c r="AR651" s="65"/>
      <c r="AS651" s="65"/>
      <c r="AT651" s="65"/>
      <c r="AU651" s="65"/>
      <c r="AV651" s="65"/>
      <c r="AW651" s="65"/>
      <c r="AX651" s="65"/>
      <c r="AY651" s="65"/>
      <c r="AZ651" s="65"/>
      <c r="BA651" s="65"/>
      <c r="BB651" s="65"/>
      <c r="BC651" s="1853"/>
      <c r="BD651" s="65"/>
      <c r="BE651" s="65"/>
      <c r="BF651" s="65"/>
      <c r="BG651" s="65"/>
      <c r="BH651" s="65"/>
      <c r="BI651" s="1854"/>
      <c r="BJ651" s="752"/>
      <c r="BK651" s="752"/>
      <c r="BL651" s="752"/>
      <c r="BM651" s="752"/>
      <c r="BN651" s="752"/>
      <c r="BO651" s="1854"/>
      <c r="BP651" s="752"/>
      <c r="BQ651" s="752"/>
      <c r="BR651" s="752"/>
      <c r="BS651" s="752"/>
      <c r="BT651" s="752"/>
      <c r="BU651" s="1854"/>
      <c r="BV651" s="65"/>
      <c r="BW651" s="752"/>
      <c r="BX651" s="752"/>
      <c r="BY651" s="752"/>
      <c r="BZ651" s="752"/>
      <c r="CA651" s="1854"/>
      <c r="CB651" s="65"/>
      <c r="CC651" s="752"/>
      <c r="CD651" s="752"/>
      <c r="CE651" s="752"/>
      <c r="CF651" s="752"/>
      <c r="CG651" s="1854"/>
      <c r="CH651" s="65"/>
      <c r="CI651" s="752"/>
      <c r="CJ651" s="752"/>
      <c r="CK651" s="752"/>
      <c r="CL651" s="752"/>
      <c r="CM651" s="1854"/>
      <c r="CN651" s="65"/>
      <c r="CO651" s="752"/>
      <c r="CP651" s="752"/>
      <c r="CQ651" s="752"/>
      <c r="CR651" s="752"/>
      <c r="CS651" s="1854"/>
      <c r="CT651" s="65"/>
      <c r="CU651" s="752"/>
      <c r="CV651" s="752"/>
      <c r="CW651" s="752"/>
      <c r="CX651" s="752"/>
      <c r="CY651" s="1854"/>
      <c r="CZ651" s="65"/>
      <c r="DA651" s="752"/>
      <c r="DB651" s="752"/>
      <c r="DC651" s="752"/>
      <c r="DD651" s="65"/>
      <c r="DE651" s="1854"/>
      <c r="DF651" s="65"/>
      <c r="DG651" s="752"/>
      <c r="DH651" s="752"/>
      <c r="DI651" s="752"/>
      <c r="DJ651" s="65"/>
      <c r="DK651" s="1854"/>
      <c r="DL651" s="65"/>
      <c r="DM651" s="752"/>
      <c r="DN651" s="752"/>
      <c r="DO651" s="752"/>
      <c r="DP651" s="65"/>
      <c r="DQ651" s="1854"/>
      <c r="DR651" s="65"/>
      <c r="DS651" s="752"/>
      <c r="DT651" s="752"/>
      <c r="DU651" s="752"/>
      <c r="DV651" s="65"/>
      <c r="DW651" s="1854"/>
      <c r="DX651" s="65"/>
      <c r="DY651" s="752">
        <f>DY652*DY653*DY$604</f>
        <v>27.399241104984153</v>
      </c>
      <c r="DZ651" s="752">
        <f>DZ652*DZ653*DZ$604</f>
        <v>5.3889253381277857</v>
      </c>
      <c r="EA651" s="752">
        <f>EA652*EA653*EA$604</f>
        <v>-8.5043939638857822</v>
      </c>
      <c r="EB651" s="752">
        <f>EB652*EB653*EB$604</f>
        <v>20.842272801157009</v>
      </c>
      <c r="EC651" s="1086">
        <f>EC652*EC653*EC$604</f>
        <v>30.765324850667906</v>
      </c>
      <c r="ED651" s="65"/>
      <c r="EE651" s="752">
        <f>EE652*EE653*EE$604</f>
        <v>29.809751229733081</v>
      </c>
      <c r="EF651" s="752">
        <f>EF652*EF653*EF$604</f>
        <v>9.4221163686625058</v>
      </c>
      <c r="EG651" s="752">
        <f>EG652*EG653*EG$604</f>
        <v>6.8548039462539503</v>
      </c>
      <c r="EH651" s="752">
        <f>EH652*EH653*EH$604</f>
        <v>-19.464197678385322</v>
      </c>
      <c r="EI651" s="1086">
        <f>EI652*EI653*EI$604</f>
        <v>40.093526968969975</v>
      </c>
      <c r="EJ651" s="65"/>
      <c r="EK651" s="752">
        <f>EK652*EK653*EK$604</f>
        <v>3.7022832661595517</v>
      </c>
      <c r="EL651" s="752">
        <f>EL652*EL653*EL$604</f>
        <v>29.734990834284723</v>
      </c>
      <c r="EM651" s="752">
        <f>EM652*EM653*EM$604</f>
        <v>28.210058854493745</v>
      </c>
      <c r="EN651" s="752">
        <f>EN652*EN653*EN$604</f>
        <v>20.314574372260211</v>
      </c>
      <c r="EO651" s="1086">
        <f>EO652*EO653*EO$604</f>
        <v>81.922669226535206</v>
      </c>
      <c r="EP651" s="65"/>
      <c r="EQ651" s="752">
        <f>EQ652*EQ653*EQ$604</f>
        <v>30.588185967440612</v>
      </c>
      <c r="ER651" s="752">
        <f>ER652*ER653*ER$604</f>
        <v>28.450450951682591</v>
      </c>
      <c r="ES651" s="752">
        <f>ES652*ES653*ES$604</f>
        <v>32.374332934551106</v>
      </c>
      <c r="ET651" s="752">
        <f>ET652*ET653*ET$604</f>
        <v>45.341989577981771</v>
      </c>
      <c r="EU651" s="1086">
        <f>EU652*EU653*EU$604</f>
        <v>137.92941164832629</v>
      </c>
      <c r="EV651" s="65"/>
      <c r="EW651" s="752">
        <f>EW652*EW653*EW$604</f>
        <v>21.963535943819696</v>
      </c>
      <c r="EX651" s="65"/>
      <c r="EY651" s="65"/>
      <c r="EZ651" s="65"/>
      <c r="FA651" s="1853"/>
      <c r="FB651" s="65"/>
      <c r="FC651" s="65"/>
      <c r="FD651" s="65"/>
      <c r="FE651" s="65"/>
      <c r="FF651" s="65"/>
      <c r="FG651" s="1853"/>
      <c r="FH651" s="65"/>
      <c r="FI651" s="65"/>
      <c r="FJ651" s="65"/>
      <c r="FK651" s="65"/>
      <c r="FL651" s="65"/>
      <c r="FM651" s="1853"/>
      <c r="FQ651"/>
      <c r="FR651"/>
      <c r="FS651"/>
      <c r="FT651"/>
      <c r="FU651"/>
      <c r="FV651"/>
      <c r="GB651" s="24"/>
      <c r="GC651" s="24"/>
      <c r="GD651" s="24"/>
      <c r="GE651" s="24"/>
      <c r="GF651" s="24"/>
      <c r="GG651" s="24"/>
      <c r="GH651" s="24"/>
      <c r="GI651" s="24"/>
      <c r="GJ651"/>
      <c r="GK651"/>
      <c r="GL651"/>
      <c r="GM651"/>
      <c r="GN651"/>
      <c r="GO651"/>
      <c r="GP651"/>
      <c r="GQ651"/>
      <c r="GR651"/>
      <c r="GS651"/>
      <c r="GT651"/>
      <c r="GU651"/>
      <c r="GV651"/>
      <c r="GW651"/>
      <c r="GX651"/>
      <c r="GY651"/>
      <c r="GZ651"/>
      <c r="HA651"/>
      <c r="HB651"/>
      <c r="HC651"/>
      <c r="HD651"/>
      <c r="HE651"/>
      <c r="HF651"/>
      <c r="HG651"/>
      <c r="HH651"/>
      <c r="HI651"/>
      <c r="HJ651"/>
      <c r="HK651"/>
      <c r="HL651"/>
      <c r="HM651"/>
      <c r="HN651"/>
      <c r="HO651"/>
      <c r="HP651"/>
      <c r="HQ651"/>
      <c r="HR651"/>
      <c r="HS651"/>
      <c r="HT651"/>
      <c r="HU651"/>
      <c r="HV651"/>
      <c r="HW651"/>
      <c r="HX651"/>
      <c r="HY651"/>
      <c r="HZ651"/>
      <c r="IA651"/>
      <c r="IB651"/>
      <c r="IC651"/>
      <c r="ID651"/>
      <c r="IE651"/>
      <c r="IF651"/>
      <c r="IG651"/>
      <c r="IH651"/>
      <c r="II651"/>
      <c r="IJ651"/>
      <c r="IK651"/>
      <c r="IL651"/>
      <c r="IM651"/>
      <c r="IN651"/>
      <c r="IO651"/>
      <c r="IP651"/>
      <c r="IQ651"/>
      <c r="IR651"/>
      <c r="IS651"/>
      <c r="IT651"/>
      <c r="IU651"/>
      <c r="IV651"/>
      <c r="IW651"/>
      <c r="IX651"/>
      <c r="IY651"/>
      <c r="IZ651"/>
      <c r="JA651"/>
      <c r="JB651"/>
      <c r="JC651"/>
      <c r="JD651"/>
      <c r="JE651"/>
      <c r="JF651"/>
      <c r="JG651"/>
      <c r="JH651"/>
      <c r="JI651"/>
      <c r="JJ651"/>
      <c r="JK651"/>
      <c r="JL651"/>
      <c r="JM651"/>
      <c r="JN651"/>
    </row>
    <row r="652" spans="1:274" s="749" customFormat="1" ht="12.75" hidden="1" customHeight="1" outlineLevel="1" x14ac:dyDescent="0.2">
      <c r="A652" s="753" t="s">
        <v>636</v>
      </c>
      <c r="B652" s="747"/>
      <c r="C652" s="65"/>
      <c r="D652" s="65"/>
      <c r="E652" s="65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5"/>
      <c r="AC652" s="65"/>
      <c r="AD652" s="65"/>
      <c r="AE652" s="65"/>
      <c r="AF652" s="65"/>
      <c r="AG652" s="65"/>
      <c r="AH652" s="65"/>
      <c r="AI652" s="65"/>
      <c r="AJ652" s="65"/>
      <c r="AK652" s="65"/>
      <c r="AL652" s="65"/>
      <c r="AM652" s="65"/>
      <c r="AN652" s="65"/>
      <c r="AO652" s="65"/>
      <c r="AP652" s="65"/>
      <c r="AQ652" s="65"/>
      <c r="AR652" s="65"/>
      <c r="AS652" s="65"/>
      <c r="AT652" s="65"/>
      <c r="AU652" s="65"/>
      <c r="AV652" s="65"/>
      <c r="AW652" s="65"/>
      <c r="AX652" s="65"/>
      <c r="AY652" s="65"/>
      <c r="AZ652" s="65"/>
      <c r="BA652" s="65"/>
      <c r="BB652" s="65"/>
      <c r="BC652" s="1853"/>
      <c r="BD652" s="65"/>
      <c r="BE652" s="65"/>
      <c r="BF652" s="65"/>
      <c r="BG652" s="65"/>
      <c r="BH652" s="65"/>
      <c r="BI652" s="1854"/>
      <c r="BJ652" s="752"/>
      <c r="BK652" s="752"/>
      <c r="BL652" s="752"/>
      <c r="BM652" s="752"/>
      <c r="BN652" s="752"/>
      <c r="BO652" s="1854"/>
      <c r="BP652" s="752"/>
      <c r="BQ652" s="752"/>
      <c r="BR652" s="752"/>
      <c r="BS652" s="752"/>
      <c r="BT652" s="752"/>
      <c r="BU652" s="1854"/>
      <c r="BV652" s="65"/>
      <c r="BW652" s="752"/>
      <c r="BX652" s="752"/>
      <c r="BY652" s="752"/>
      <c r="BZ652" s="752"/>
      <c r="CA652" s="1854"/>
      <c r="CB652" s="65"/>
      <c r="CC652" s="752"/>
      <c r="CD652" s="752"/>
      <c r="CE652" s="752"/>
      <c r="CF652" s="752"/>
      <c r="CG652" s="1854"/>
      <c r="CH652" s="65"/>
      <c r="CI652" s="752"/>
      <c r="CJ652" s="752"/>
      <c r="CK652" s="752"/>
      <c r="CL652" s="752"/>
      <c r="CM652" s="1854"/>
      <c r="CN652" s="65"/>
      <c r="CO652" s="752"/>
      <c r="CP652" s="752"/>
      <c r="CQ652" s="752"/>
      <c r="CR652" s="752"/>
      <c r="CS652" s="1854"/>
      <c r="CT652" s="65"/>
      <c r="CU652" s="752"/>
      <c r="CV652" s="752"/>
      <c r="CW652" s="752"/>
      <c r="CX652" s="752"/>
      <c r="CY652" s="1854"/>
      <c r="CZ652" s="65"/>
      <c r="DA652" s="752"/>
      <c r="DB652" s="752"/>
      <c r="DC652" s="752"/>
      <c r="DD652" s="65"/>
      <c r="DE652" s="1854"/>
      <c r="DF652" s="65"/>
      <c r="DG652" s="752"/>
      <c r="DH652" s="752"/>
      <c r="DI652" s="752"/>
      <c r="DJ652" s="65"/>
      <c r="DK652" s="1854"/>
      <c r="DL652" s="65"/>
      <c r="DM652" s="752"/>
      <c r="DN652" s="752"/>
      <c r="DO652" s="752"/>
      <c r="DP652" s="65"/>
      <c r="DQ652" s="1854"/>
      <c r="DR652" s="65"/>
      <c r="DS652" s="752"/>
      <c r="DT652" s="752"/>
      <c r="DU652" s="752"/>
      <c r="DV652" s="65"/>
      <c r="DW652" s="1854"/>
      <c r="DX652" s="65"/>
      <c r="DY652" s="71">
        <f>(DY579/DY$604)-(DS579/DS$604)</f>
        <v>-1.425041114683917E-2</v>
      </c>
      <c r="DZ652" s="71">
        <f>(DZ579/DZ$604)-(DT579/DT$604)</f>
        <v>-2.3374751653385262E-3</v>
      </c>
      <c r="EA652" s="71">
        <f>(EA579/EA$604)-(DU579/DU$604)</f>
        <v>3.6706717866138161E-3</v>
      </c>
      <c r="EB652" s="71">
        <f>(EB579/EB$604)-(DV579/DV$604)</f>
        <v>-6.6782800860709368E-3</v>
      </c>
      <c r="EC652" s="1139">
        <f>(EC579/EC$604)-(DW579/DW$604)</f>
        <v>-3.3547414058022473E-3</v>
      </c>
      <c r="ED652" s="65"/>
      <c r="EE652" s="71">
        <f>(EE579/EE$604)-(DY579/DY$604)</f>
        <v>-1.5490328006051629E-2</v>
      </c>
      <c r="EF652" s="71">
        <f>(EF579/EF$604)-(DZ579/DZ$604)</f>
        <v>-3.9276253023356467E-3</v>
      </c>
      <c r="EG652" s="71">
        <f>(EG579/EG$604)-(EA579/EA$604)</f>
        <v>-2.9828466908801976E-3</v>
      </c>
      <c r="EH652" s="71">
        <f>(EH579/EH$604)-(EB579/EB$604)</f>
        <v>7.0776941016148232E-3</v>
      </c>
      <c r="EI652" s="1139">
        <f>(EI579/EI$604)-(EC579/EC$604)</f>
        <v>-4.3539619564367249E-3</v>
      </c>
      <c r="EJ652" s="65"/>
      <c r="EK652" s="71">
        <f>(EK579/EK$604)-(EE579/EE$604)</f>
        <v>-1.9719743479481577E-3</v>
      </c>
      <c r="EL652" s="71">
        <f>(EL579/EL$604)-(EF579/EF$604)</f>
        <v>-1.4202467998062018E-2</v>
      </c>
      <c r="EM652" s="71">
        <f>(EM579/EM$604)-(EG579/EG$604)</f>
        <v>-1.3345603322047733E-2</v>
      </c>
      <c r="EN652" s="71">
        <f>(EN579/EN$604)-(EH579/EH$604)</f>
        <v>-1.0408886442969986E-2</v>
      </c>
      <c r="EO652" s="1139">
        <f>(EO579/EO$604)-(EI579/EI$604)</f>
        <v>-1.0177237706269465E-2</v>
      </c>
      <c r="EP652" s="65"/>
      <c r="EQ652" s="71">
        <f>(EQ579/EQ$604)-(EK579/EK$604)</f>
        <v>-1.7954507433410163E-2</v>
      </c>
      <c r="ER652" s="71">
        <f>(ER579/ER$604)-(EL579/EL$604)</f>
        <v>-1.3022250832355114E-2</v>
      </c>
      <c r="ES652" s="71">
        <f>(ES579/ES$604)-(EM579/EM$604)</f>
        <v>-1.5067712224326582E-2</v>
      </c>
      <c r="ET652" s="71">
        <f>(ET579/ET$604)-(EN579/EN$604)</f>
        <v>-1.9190930703389592E-2</v>
      </c>
      <c r="EU652" s="1139">
        <f>(EU579/EU$604)-(EO579/EO$604)</f>
        <v>-1.6440746844005344E-2</v>
      </c>
      <c r="EV652" s="65"/>
      <c r="EW652" s="71">
        <f>(EW579/EW$604)-(EQ579/EQ$604)</f>
        <v>-1.3272671615612602E-2</v>
      </c>
      <c r="EX652" s="65"/>
      <c r="EY652" s="65"/>
      <c r="EZ652" s="65"/>
      <c r="FA652" s="1853"/>
      <c r="FB652" s="65"/>
      <c r="FC652" s="65"/>
      <c r="FD652" s="65"/>
      <c r="FE652" s="65"/>
      <c r="FF652" s="65"/>
      <c r="FG652" s="1853"/>
      <c r="FH652" s="65"/>
      <c r="FI652" s="65"/>
      <c r="FJ652" s="65"/>
      <c r="FK652" s="65"/>
      <c r="FL652" s="65"/>
      <c r="FM652" s="1853"/>
      <c r="FQ652"/>
      <c r="FR652"/>
      <c r="FS652"/>
      <c r="FT652"/>
      <c r="FU652"/>
      <c r="FV652"/>
      <c r="GB652" s="24"/>
      <c r="GC652" s="24"/>
      <c r="GD652" s="24"/>
      <c r="GE652" s="24"/>
      <c r="GF652" s="24"/>
      <c r="GG652" s="24"/>
      <c r="GH652" s="24"/>
      <c r="GI652" s="24"/>
      <c r="GJ652"/>
      <c r="GK652"/>
      <c r="GL652"/>
      <c r="GM652"/>
      <c r="GN652"/>
      <c r="GO652"/>
      <c r="GP652"/>
      <c r="GQ652"/>
      <c r="GR652"/>
      <c r="GS652"/>
      <c r="GT652"/>
      <c r="GU652"/>
      <c r="GV652"/>
      <c r="GW652"/>
      <c r="GX652"/>
      <c r="GY652"/>
      <c r="GZ652"/>
      <c r="HA652"/>
      <c r="HB652"/>
      <c r="HC652"/>
      <c r="HD652"/>
      <c r="HE652"/>
      <c r="HF652"/>
      <c r="HG652"/>
      <c r="HH652"/>
      <c r="HI652"/>
      <c r="HJ652"/>
      <c r="HK652"/>
      <c r="HL652"/>
      <c r="HM652"/>
      <c r="HN652"/>
      <c r="HO652"/>
      <c r="HP652"/>
      <c r="HQ652"/>
      <c r="HR652"/>
      <c r="HS652"/>
      <c r="HT652"/>
      <c r="HU652"/>
      <c r="HV652"/>
      <c r="HW652"/>
      <c r="HX652"/>
      <c r="HY652"/>
      <c r="HZ652"/>
      <c r="IA652"/>
      <c r="IB652"/>
      <c r="IC652"/>
      <c r="ID652"/>
      <c r="IE652"/>
      <c r="IF652"/>
      <c r="IG652"/>
      <c r="IH652"/>
      <c r="II652"/>
      <c r="IJ652"/>
      <c r="IK652"/>
      <c r="IL652"/>
      <c r="IM652"/>
      <c r="IN652"/>
      <c r="IO652"/>
      <c r="IP652"/>
      <c r="IQ652"/>
      <c r="IR652"/>
      <c r="IS652"/>
      <c r="IT652"/>
      <c r="IU652"/>
      <c r="IV652"/>
      <c r="IW652"/>
      <c r="IX652"/>
      <c r="IY652"/>
      <c r="IZ652"/>
      <c r="JA652"/>
      <c r="JB652"/>
      <c r="JC652"/>
      <c r="JD652"/>
      <c r="JE652"/>
      <c r="JF652"/>
      <c r="JG652"/>
      <c r="JH652"/>
      <c r="JI652"/>
      <c r="JJ652"/>
      <c r="JK652"/>
      <c r="JL652"/>
      <c r="JM652"/>
      <c r="JN652"/>
    </row>
    <row r="653" spans="1:274" s="749" customFormat="1" ht="12.75" hidden="1" customHeight="1" outlineLevel="1" x14ac:dyDescent="0.2">
      <c r="A653" s="753" t="s">
        <v>637</v>
      </c>
      <c r="B653" s="747"/>
      <c r="C653" s="65"/>
      <c r="D653" s="65"/>
      <c r="E653" s="65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5"/>
      <c r="AC653" s="65"/>
      <c r="AD653" s="65"/>
      <c r="AE653" s="65"/>
      <c r="AF653" s="65"/>
      <c r="AG653" s="65"/>
      <c r="AH653" s="65"/>
      <c r="AI653" s="65"/>
      <c r="AJ653" s="65"/>
      <c r="AK653" s="65"/>
      <c r="AL653" s="65"/>
      <c r="AM653" s="65"/>
      <c r="AN653" s="65"/>
      <c r="AO653" s="65"/>
      <c r="AP653" s="65"/>
      <c r="AQ653" s="65"/>
      <c r="AR653" s="65"/>
      <c r="AS653" s="65"/>
      <c r="AT653" s="65"/>
      <c r="AU653" s="65"/>
      <c r="AV653" s="65"/>
      <c r="AW653" s="65"/>
      <c r="AX653" s="65"/>
      <c r="AY653" s="65"/>
      <c r="AZ653" s="65"/>
      <c r="BA653" s="65"/>
      <c r="BB653" s="65"/>
      <c r="BC653" s="1853"/>
      <c r="BD653" s="65"/>
      <c r="BE653" s="65"/>
      <c r="BF653" s="65"/>
      <c r="BG653" s="65"/>
      <c r="BH653" s="65"/>
      <c r="BI653" s="1854"/>
      <c r="BJ653" s="752"/>
      <c r="BK653" s="752"/>
      <c r="BL653" s="752"/>
      <c r="BM653" s="752"/>
      <c r="BN653" s="752"/>
      <c r="BO653" s="1854"/>
      <c r="BP653" s="752"/>
      <c r="BQ653" s="752"/>
      <c r="BR653" s="752"/>
      <c r="BS653" s="752"/>
      <c r="BT653" s="752"/>
      <c r="BU653" s="1854"/>
      <c r="BV653" s="65"/>
      <c r="BW653" s="752"/>
      <c r="BX653" s="752"/>
      <c r="BY653" s="752"/>
      <c r="BZ653" s="752"/>
      <c r="CA653" s="1854"/>
      <c r="CB653" s="65"/>
      <c r="CC653" s="752"/>
      <c r="CD653" s="752"/>
      <c r="CE653" s="752"/>
      <c r="CF653" s="752"/>
      <c r="CG653" s="1854"/>
      <c r="CH653" s="65"/>
      <c r="CI653" s="752"/>
      <c r="CJ653" s="752"/>
      <c r="CK653" s="752"/>
      <c r="CL653" s="752"/>
      <c r="CM653" s="1854"/>
      <c r="CN653" s="65"/>
      <c r="CO653" s="752"/>
      <c r="CP653" s="752"/>
      <c r="CQ653" s="752"/>
      <c r="CR653" s="752"/>
      <c r="CS653" s="1854"/>
      <c r="CT653" s="65"/>
      <c r="CU653" s="752"/>
      <c r="CV653" s="752"/>
      <c r="CW653" s="752"/>
      <c r="CX653" s="752"/>
      <c r="CY653" s="1854"/>
      <c r="CZ653" s="65"/>
      <c r="DA653" s="752"/>
      <c r="DB653" s="752"/>
      <c r="DC653" s="752"/>
      <c r="DD653" s="65"/>
      <c r="DE653" s="1854"/>
      <c r="DF653" s="65"/>
      <c r="DG653" s="752"/>
      <c r="DH653" s="752"/>
      <c r="DI653" s="752"/>
      <c r="DJ653" s="65"/>
      <c r="DK653" s="1854"/>
      <c r="DL653" s="65"/>
      <c r="DM653" s="752"/>
      <c r="DN653" s="752"/>
      <c r="DO653" s="752"/>
      <c r="DP653" s="65"/>
      <c r="DQ653" s="1854"/>
      <c r="DR653" s="65"/>
      <c r="DS653" s="752"/>
      <c r="DT653" s="752"/>
      <c r="DU653" s="752"/>
      <c r="DV653" s="65"/>
      <c r="DW653" s="1854"/>
      <c r="DX653" s="65"/>
      <c r="DY653" s="71">
        <f>DS582-DS$607</f>
        <v>-0.22941156034774279</v>
      </c>
      <c r="DZ653" s="71">
        <f>DT582-DT$607</f>
        <v>-0.24835151337536798</v>
      </c>
      <c r="EA653" s="71">
        <f>DU582-DU$607</f>
        <v>-0.24872243313951664</v>
      </c>
      <c r="EB653" s="71">
        <f>DV582-DV$607</f>
        <v>-0.26486499742439573</v>
      </c>
      <c r="EC653" s="1139">
        <f>DW582-DW$607</f>
        <v>-0.239406342512333</v>
      </c>
      <c r="ED653" s="65"/>
      <c r="EE653" s="71">
        <f>DY582-DY$607</f>
        <v>-0.22374265646002495</v>
      </c>
      <c r="EF653" s="71">
        <f>DZ582-DZ$607</f>
        <v>-0.24962899421286983</v>
      </c>
      <c r="EG653" s="71">
        <f>EA582-EA$607</f>
        <v>-0.24617830846980426</v>
      </c>
      <c r="EH653" s="71">
        <f>EB582-EB$607</f>
        <v>-0.25684843004281932</v>
      </c>
      <c r="EI653" s="1139">
        <f>EC582-EC$607</f>
        <v>-0.2407266275921443</v>
      </c>
      <c r="EJ653" s="65"/>
      <c r="EK653" s="71">
        <f>EE582-EE$607</f>
        <v>-0.22215714276312759</v>
      </c>
      <c r="EL653" s="71">
        <f>EF582-EF$607</f>
        <v>-0.23270529700224946</v>
      </c>
      <c r="EM653" s="71">
        <f>EG582-EG$607</f>
        <v>-0.23450290470108365</v>
      </c>
      <c r="EN653" s="71">
        <f>EH582-EH$607</f>
        <v>-0.18420545871690258</v>
      </c>
      <c r="EO653" s="1139">
        <f>EI582-EI$607</f>
        <v>-0.21722205519578841</v>
      </c>
      <c r="EP653" s="65"/>
      <c r="EQ653" s="71">
        <f>EK582-EK$607</f>
        <v>-0.19779976877071476</v>
      </c>
      <c r="ER653" s="71">
        <f>EL582-EL$607</f>
        <v>-0.24087726481697525</v>
      </c>
      <c r="ES653" s="71">
        <f>EM582-EM$607</f>
        <v>-0.23167886664796516</v>
      </c>
      <c r="ET653" s="71">
        <f>EN582-EN$607</f>
        <v>-0.21592743464339798</v>
      </c>
      <c r="EU653" s="1139">
        <f>EO582-EO$607</f>
        <v>-0.22136430425876652</v>
      </c>
      <c r="EV653" s="65"/>
      <c r="EW653" s="71">
        <f>EQ582-EQ$607</f>
        <v>-0.17963459550497357</v>
      </c>
      <c r="EX653" s="65"/>
      <c r="EY653" s="65"/>
      <c r="EZ653" s="65"/>
      <c r="FA653" s="1853"/>
      <c r="FB653" s="65"/>
      <c r="FC653" s="65"/>
      <c r="FD653" s="65"/>
      <c r="FE653" s="65"/>
      <c r="FF653" s="65"/>
      <c r="FG653" s="1853"/>
      <c r="FH653" s="65"/>
      <c r="FI653" s="65"/>
      <c r="FJ653" s="65"/>
      <c r="FK653" s="65"/>
      <c r="FL653" s="65"/>
      <c r="FM653" s="1853"/>
      <c r="FQ653"/>
      <c r="FR653"/>
      <c r="FS653"/>
      <c r="FT653"/>
      <c r="FU653"/>
      <c r="FV653"/>
      <c r="GB653" s="24"/>
      <c r="GC653" s="24"/>
      <c r="GD653" s="24"/>
      <c r="GE653" s="24"/>
      <c r="GF653" s="24"/>
      <c r="GG653" s="24"/>
      <c r="GH653" s="24"/>
      <c r="GI653" s="24"/>
      <c r="GJ653"/>
      <c r="GK653"/>
      <c r="GL653"/>
      <c r="GM653"/>
      <c r="GN653"/>
      <c r="GO653"/>
      <c r="GP653"/>
      <c r="GQ653"/>
      <c r="GR653"/>
      <c r="GS653"/>
      <c r="GT653"/>
      <c r="GU653"/>
      <c r="GV653"/>
      <c r="GW653"/>
      <c r="GX653"/>
      <c r="GY653"/>
      <c r="GZ653"/>
      <c r="HA653"/>
      <c r="HB653"/>
      <c r="HC653"/>
      <c r="HD653"/>
      <c r="HE653"/>
      <c r="HF653"/>
      <c r="HG653"/>
      <c r="HH653"/>
      <c r="HI653"/>
      <c r="HJ653"/>
      <c r="HK653"/>
      <c r="HL653"/>
      <c r="HM653"/>
      <c r="HN653"/>
      <c r="HO653"/>
      <c r="HP653"/>
      <c r="HQ653"/>
      <c r="HR653"/>
      <c r="HS653"/>
      <c r="HT653"/>
      <c r="HU653"/>
      <c r="HV653"/>
      <c r="HW653"/>
      <c r="HX653"/>
      <c r="HY653"/>
      <c r="HZ653"/>
      <c r="IA653"/>
      <c r="IB653"/>
      <c r="IC653"/>
      <c r="ID653"/>
      <c r="IE653"/>
      <c r="IF653"/>
      <c r="IG653"/>
      <c r="IH653"/>
      <c r="II653"/>
      <c r="IJ653"/>
      <c r="IK653"/>
      <c r="IL653"/>
      <c r="IM653"/>
      <c r="IN653"/>
      <c r="IO653"/>
      <c r="IP653"/>
      <c r="IQ653"/>
      <c r="IR653"/>
      <c r="IS653"/>
      <c r="IT653"/>
      <c r="IU653"/>
      <c r="IV653"/>
      <c r="IW653"/>
      <c r="IX653"/>
      <c r="IY653"/>
      <c r="IZ653"/>
      <c r="JA653"/>
      <c r="JB653"/>
      <c r="JC653"/>
      <c r="JD653"/>
      <c r="JE653"/>
      <c r="JF653"/>
      <c r="JG653"/>
      <c r="JH653"/>
      <c r="JI653"/>
      <c r="JJ653"/>
      <c r="JK653"/>
      <c r="JL653"/>
      <c r="JM653"/>
      <c r="JN653"/>
    </row>
    <row r="654" spans="1:274" s="749" customFormat="1" ht="12.75" hidden="1" customHeight="1" outlineLevel="1" x14ac:dyDescent="0.2">
      <c r="A654" s="750" t="s">
        <v>638</v>
      </c>
      <c r="B654" s="747"/>
      <c r="C654" s="65"/>
      <c r="D654" s="65"/>
      <c r="E654" s="65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5"/>
      <c r="AC654" s="65"/>
      <c r="AD654" s="65"/>
      <c r="AE654" s="65"/>
      <c r="AF654" s="65"/>
      <c r="AG654" s="65"/>
      <c r="AH654" s="65"/>
      <c r="AI654" s="65"/>
      <c r="AJ654" s="65"/>
      <c r="AK654" s="65"/>
      <c r="AL654" s="65"/>
      <c r="AM654" s="65"/>
      <c r="AN654" s="65"/>
      <c r="AO654" s="65"/>
      <c r="AP654" s="65"/>
      <c r="AQ654" s="65"/>
      <c r="AR654" s="65"/>
      <c r="AS654" s="65"/>
      <c r="AT654" s="65"/>
      <c r="AU654" s="65"/>
      <c r="AV654" s="65"/>
      <c r="AW654" s="65"/>
      <c r="AX654" s="65"/>
      <c r="AY654" s="65"/>
      <c r="AZ654" s="65"/>
      <c r="BA654" s="65"/>
      <c r="BB654" s="65"/>
      <c r="BC654" s="1853"/>
      <c r="BD654" s="65"/>
      <c r="BE654" s="65"/>
      <c r="BF654" s="65"/>
      <c r="BG654" s="65"/>
      <c r="BH654" s="65"/>
      <c r="BI654" s="1854"/>
      <c r="BJ654" s="752"/>
      <c r="BK654" s="752"/>
      <c r="BL654" s="752"/>
      <c r="BM654" s="752"/>
      <c r="BN654" s="752"/>
      <c r="BO654" s="1854"/>
      <c r="BP654" s="752"/>
      <c r="BQ654" s="752"/>
      <c r="BR654" s="752"/>
      <c r="BS654" s="752"/>
      <c r="BT654" s="752"/>
      <c r="BU654" s="1854"/>
      <c r="BV654" s="65"/>
      <c r="BW654" s="752"/>
      <c r="BX654" s="752"/>
      <c r="BY654" s="752"/>
      <c r="BZ654" s="752"/>
      <c r="CA654" s="1854"/>
      <c r="CB654" s="65"/>
      <c r="CC654" s="752"/>
      <c r="CD654" s="752"/>
      <c r="CE654" s="752"/>
      <c r="CF654" s="752"/>
      <c r="CG654" s="1854"/>
      <c r="CH654" s="65"/>
      <c r="CI654" s="752"/>
      <c r="CJ654" s="752"/>
      <c r="CK654" s="752"/>
      <c r="CL654" s="752"/>
      <c r="CM654" s="1854"/>
      <c r="CN654" s="65"/>
      <c r="CO654" s="752"/>
      <c r="CP654" s="752"/>
      <c r="CQ654" s="752"/>
      <c r="CR654" s="752"/>
      <c r="CS654" s="1854"/>
      <c r="CT654" s="65"/>
      <c r="CU654" s="752"/>
      <c r="CV654" s="752"/>
      <c r="CW654" s="752"/>
      <c r="CX654" s="752"/>
      <c r="CY654" s="1854"/>
      <c r="CZ654" s="65"/>
      <c r="DA654" s="752"/>
      <c r="DB654" s="752"/>
      <c r="DC654" s="752"/>
      <c r="DD654" s="65"/>
      <c r="DE654" s="1854"/>
      <c r="DF654" s="65"/>
      <c r="DG654" s="752"/>
      <c r="DH654" s="752"/>
      <c r="DI654" s="752"/>
      <c r="DJ654" s="65"/>
      <c r="DK654" s="1854"/>
      <c r="DL654" s="65"/>
      <c r="DM654" s="752"/>
      <c r="DN654" s="752"/>
      <c r="DO654" s="752"/>
      <c r="DP654" s="65"/>
      <c r="DQ654" s="1854"/>
      <c r="DR654" s="65"/>
      <c r="DS654" s="752"/>
      <c r="DT654" s="752"/>
      <c r="DU654" s="752"/>
      <c r="DV654" s="65"/>
      <c r="DW654" s="1854"/>
      <c r="DX654" s="65"/>
      <c r="DY654" s="752">
        <f>(DY582-DS582)*DY579</f>
        <v>13.346352247605001</v>
      </c>
      <c r="DZ654" s="752">
        <f>(DZ582-DT582)*DZ579</f>
        <v>-14.185045317220531</v>
      </c>
      <c r="EA654" s="752">
        <f>(EA582-DU582)*EA579</f>
        <v>8.0048270313757399</v>
      </c>
      <c r="EB654" s="752">
        <f>(EB582-DV582)*EB579</f>
        <v>-10.511142061281367</v>
      </c>
      <c r="EC654" s="1086">
        <f>(EC582-DW582)*EC579</f>
        <v>-4.0970149253730295</v>
      </c>
      <c r="ED654" s="65"/>
      <c r="EE654" s="752">
        <f>(EE582-DY582)*EE579</f>
        <v>5.9952606635071151</v>
      </c>
      <c r="EF654" s="752">
        <f>(EF582-DZ582)*EF579</f>
        <v>23.541070082893704</v>
      </c>
      <c r="EG654" s="752">
        <f>(EG582-EA582)*EG579</f>
        <v>-1.0943396226415325</v>
      </c>
      <c r="EH654" s="752">
        <f>(EH582-EB582)*EH579</f>
        <v>13.606143344709899</v>
      </c>
      <c r="EI654" s="1086">
        <f>(EI582-EC582)*EI579</f>
        <v>40.688463681961728</v>
      </c>
      <c r="EJ654" s="65"/>
      <c r="EK654" s="752">
        <f>(EK582-EE582)*EK579</f>
        <v>-16.641509433962277</v>
      </c>
      <c r="EL654" s="752">
        <f>(EL582-EF582)*EL579</f>
        <v>-34.385479041916184</v>
      </c>
      <c r="EM654" s="752">
        <f>(EM582-EG582)*EM579</f>
        <v>-12.761538461538443</v>
      </c>
      <c r="EN654" s="752">
        <f>(EN582-EH582)*EN579</f>
        <v>-27.071073205401564</v>
      </c>
      <c r="EO654" s="1086">
        <f>(EO582-EI582)*EO579</f>
        <v>-89.610865809176403</v>
      </c>
      <c r="EP654" s="65"/>
      <c r="EQ654" s="752">
        <f>(EQ582-EK582)*EQ579</f>
        <v>13.247121346324155</v>
      </c>
      <c r="ER654" s="752">
        <f>(ER582-EL582)*ER579</f>
        <v>57.474621549421236</v>
      </c>
      <c r="ES654" s="752">
        <f>(ES582-EM582)*ES579</f>
        <v>10.103083700440495</v>
      </c>
      <c r="ET654" s="752">
        <f>(ET582-EN582)*ET579</f>
        <v>36.556942277691121</v>
      </c>
      <c r="EU654" s="1086">
        <f>(EU582-EO582)*EU579</f>
        <v>117.20732490897409</v>
      </c>
      <c r="EV654" s="65"/>
      <c r="EW654" s="752">
        <f>(EW582-EQ582)*EW579</f>
        <v>16.923694779116463</v>
      </c>
      <c r="EX654" s="65"/>
      <c r="EY654" s="65"/>
      <c r="EZ654" s="65"/>
      <c r="FA654" s="1853"/>
      <c r="FB654" s="65"/>
      <c r="FC654" s="65"/>
      <c r="FD654" s="65"/>
      <c r="FE654" s="65"/>
      <c r="FF654" s="65"/>
      <c r="FG654" s="1853"/>
      <c r="FH654" s="65"/>
      <c r="FI654" s="65"/>
      <c r="FJ654" s="65"/>
      <c r="FK654" s="65"/>
      <c r="FL654" s="65"/>
      <c r="FM654" s="1853"/>
      <c r="FQ654"/>
      <c r="FR654"/>
      <c r="FS654"/>
      <c r="FT654"/>
      <c r="FU654"/>
      <c r="FV654"/>
      <c r="GB654" s="24"/>
      <c r="GC654" s="24"/>
      <c r="GD654" s="24"/>
      <c r="GE654" s="24"/>
      <c r="GF654" s="24"/>
      <c r="GG654" s="24"/>
      <c r="GH654" s="24"/>
      <c r="GI654" s="24"/>
      <c r="GJ654"/>
      <c r="GK654"/>
      <c r="GL654"/>
      <c r="GM654"/>
      <c r="GN654"/>
      <c r="GO654"/>
      <c r="GP654"/>
      <c r="GQ654"/>
      <c r="GR654"/>
      <c r="GS654"/>
      <c r="GT654"/>
      <c r="GU654"/>
      <c r="GV654"/>
      <c r="GW654"/>
      <c r="GX654"/>
      <c r="GY654"/>
      <c r="GZ654"/>
      <c r="HA654"/>
      <c r="HB654"/>
      <c r="HC654"/>
      <c r="HD654"/>
      <c r="HE654"/>
      <c r="HF654"/>
      <c r="HG654"/>
      <c r="HH654"/>
      <c r="HI654"/>
      <c r="HJ654"/>
      <c r="HK654"/>
      <c r="HL654"/>
      <c r="HM654"/>
      <c r="HN654"/>
      <c r="HO654"/>
      <c r="HP654"/>
      <c r="HQ654"/>
      <c r="HR654"/>
      <c r="HS654"/>
      <c r="HT654"/>
      <c r="HU654"/>
      <c r="HV654"/>
      <c r="HW654"/>
      <c r="HX654"/>
      <c r="HY654"/>
      <c r="HZ654"/>
      <c r="IA654"/>
      <c r="IB654"/>
      <c r="IC654"/>
      <c r="ID654"/>
      <c r="IE654"/>
      <c r="IF654"/>
      <c r="IG654"/>
      <c r="IH654"/>
      <c r="II654"/>
      <c r="IJ654"/>
      <c r="IK654"/>
      <c r="IL654"/>
      <c r="IM654"/>
      <c r="IN654"/>
      <c r="IO654"/>
      <c r="IP654"/>
      <c r="IQ654"/>
      <c r="IR654"/>
      <c r="IS654"/>
      <c r="IT654"/>
      <c r="IU654"/>
      <c r="IV654"/>
      <c r="IW654"/>
      <c r="IX654"/>
      <c r="IY654"/>
      <c r="IZ654"/>
      <c r="JA654"/>
      <c r="JB654"/>
      <c r="JC654"/>
      <c r="JD654"/>
      <c r="JE654"/>
      <c r="JF654"/>
      <c r="JG654"/>
      <c r="JH654"/>
      <c r="JI654"/>
      <c r="JJ654"/>
      <c r="JK654"/>
      <c r="JL654"/>
      <c r="JM654"/>
      <c r="JN654"/>
    </row>
    <row r="655" spans="1:274" s="749" customFormat="1" ht="6" hidden="1" customHeight="1" outlineLevel="1" x14ac:dyDescent="0.2">
      <c r="A655" s="750"/>
      <c r="B655" s="747"/>
      <c r="C655" s="65"/>
      <c r="D655" s="65"/>
      <c r="E655" s="65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5"/>
      <c r="AC655" s="65"/>
      <c r="AD655" s="65"/>
      <c r="AE655" s="65"/>
      <c r="AF655" s="65"/>
      <c r="AG655" s="65"/>
      <c r="AH655" s="65"/>
      <c r="AI655" s="65"/>
      <c r="AJ655" s="65"/>
      <c r="AK655" s="65"/>
      <c r="AL655" s="65"/>
      <c r="AM655" s="65"/>
      <c r="AN655" s="65"/>
      <c r="AO655" s="65"/>
      <c r="AP655" s="65"/>
      <c r="AQ655" s="65"/>
      <c r="AR655" s="65"/>
      <c r="AS655" s="65"/>
      <c r="AT655" s="65"/>
      <c r="AU655" s="65"/>
      <c r="AV655" s="65"/>
      <c r="AW655" s="65"/>
      <c r="AX655" s="65"/>
      <c r="AY655" s="65"/>
      <c r="AZ655" s="65"/>
      <c r="BA655" s="65"/>
      <c r="BB655" s="65"/>
      <c r="BC655" s="1853"/>
      <c r="BD655" s="65"/>
      <c r="BE655" s="65"/>
      <c r="BF655" s="65"/>
      <c r="BG655" s="65"/>
      <c r="BH655" s="65"/>
      <c r="BI655" s="1854"/>
      <c r="BJ655" s="752"/>
      <c r="BK655" s="752"/>
      <c r="BL655" s="752"/>
      <c r="BM655" s="752"/>
      <c r="BN655" s="752"/>
      <c r="BO655" s="1854"/>
      <c r="BP655" s="752"/>
      <c r="BQ655" s="752"/>
      <c r="BR655" s="752"/>
      <c r="BS655" s="752"/>
      <c r="BT655" s="752"/>
      <c r="BU655" s="1854"/>
      <c r="BV655" s="65"/>
      <c r="BW655" s="752"/>
      <c r="BX655" s="752"/>
      <c r="BY655" s="752"/>
      <c r="BZ655" s="752"/>
      <c r="CA655" s="1854"/>
      <c r="CB655" s="65"/>
      <c r="CC655" s="752"/>
      <c r="CD655" s="752"/>
      <c r="CE655" s="752"/>
      <c r="CF655" s="752"/>
      <c r="CG655" s="1854"/>
      <c r="CH655" s="65"/>
      <c r="CI655" s="752"/>
      <c r="CJ655" s="752"/>
      <c r="CK655" s="752"/>
      <c r="CL655" s="752"/>
      <c r="CM655" s="1854"/>
      <c r="CN655" s="65"/>
      <c r="CO655" s="752"/>
      <c r="CP655" s="752"/>
      <c r="CQ655" s="752"/>
      <c r="CR655" s="752"/>
      <c r="CS655" s="1854"/>
      <c r="CT655" s="65"/>
      <c r="CU655" s="752"/>
      <c r="CV655" s="752"/>
      <c r="CW655" s="752"/>
      <c r="CX655" s="752"/>
      <c r="CY655" s="1854"/>
      <c r="CZ655" s="65"/>
      <c r="DA655" s="752"/>
      <c r="DB655" s="752"/>
      <c r="DC655" s="752"/>
      <c r="DD655" s="65"/>
      <c r="DE655" s="1854"/>
      <c r="DF655" s="65"/>
      <c r="DG655" s="752"/>
      <c r="DH655" s="752"/>
      <c r="DI655" s="752"/>
      <c r="DJ655" s="65"/>
      <c r="DK655" s="1854"/>
      <c r="DL655" s="65"/>
      <c r="DM655" s="752"/>
      <c r="DN655" s="752"/>
      <c r="DO655" s="752"/>
      <c r="DP655" s="65"/>
      <c r="DQ655" s="1854"/>
      <c r="DR655" s="65"/>
      <c r="DS655" s="752"/>
      <c r="DT655" s="752"/>
      <c r="DU655" s="752"/>
      <c r="DV655" s="65"/>
      <c r="DW655" s="1854"/>
      <c r="DX655" s="65"/>
      <c r="DY655" s="65"/>
      <c r="DZ655" s="752"/>
      <c r="EA655" s="752"/>
      <c r="EB655" s="65"/>
      <c r="EC655" s="1854"/>
      <c r="ED655" s="65"/>
      <c r="EE655" s="65"/>
      <c r="EF655" s="752"/>
      <c r="EG655" s="752"/>
      <c r="EH655" s="65"/>
      <c r="EI655" s="1854"/>
      <c r="EJ655" s="65"/>
      <c r="EK655" s="65"/>
      <c r="EL655" s="752"/>
      <c r="EM655" s="752"/>
      <c r="EN655" s="65"/>
      <c r="EO655" s="1854"/>
      <c r="EP655" s="65"/>
      <c r="EQ655" s="65"/>
      <c r="ER655" s="752"/>
      <c r="ES655" s="752"/>
      <c r="ET655" s="65"/>
      <c r="EU655" s="1854"/>
      <c r="EV655" s="65"/>
      <c r="EW655" s="65"/>
      <c r="EX655" s="65"/>
      <c r="EY655" s="65"/>
      <c r="EZ655" s="65"/>
      <c r="FA655" s="1853"/>
      <c r="FB655" s="65"/>
      <c r="FC655" s="65"/>
      <c r="FD655" s="65"/>
      <c r="FE655" s="65"/>
      <c r="FF655" s="65"/>
      <c r="FG655" s="1853"/>
      <c r="FH655" s="65"/>
      <c r="FI655" s="65"/>
      <c r="FJ655" s="65"/>
      <c r="FK655" s="65"/>
      <c r="FL655" s="65"/>
      <c r="FM655" s="1853"/>
      <c r="FQ655"/>
      <c r="FR655"/>
      <c r="FS655"/>
      <c r="FT655"/>
      <c r="FU655"/>
      <c r="FV655"/>
      <c r="GB655" s="24"/>
      <c r="GC655" s="24"/>
      <c r="GD655" s="24"/>
      <c r="GE655" s="24"/>
      <c r="GF655" s="24"/>
      <c r="GG655" s="24"/>
      <c r="GH655" s="24"/>
      <c r="GI655" s="24"/>
      <c r="GJ655"/>
      <c r="GK655"/>
      <c r="GL655"/>
      <c r="GM655"/>
      <c r="GN655"/>
      <c r="GO655"/>
      <c r="GP655"/>
      <c r="GQ655"/>
      <c r="GR655"/>
      <c r="GS655"/>
      <c r="GT655"/>
      <c r="GU655"/>
      <c r="GV655"/>
      <c r="GW655"/>
      <c r="GX655"/>
      <c r="GY655"/>
      <c r="GZ655"/>
      <c r="HA655"/>
      <c r="HB655"/>
      <c r="HC655"/>
      <c r="HD655"/>
      <c r="HE655"/>
      <c r="HF655"/>
      <c r="HG655"/>
      <c r="HH655"/>
      <c r="HI655"/>
      <c r="HJ655"/>
      <c r="HK655"/>
      <c r="HL655"/>
      <c r="HM655"/>
      <c r="HN655"/>
      <c r="HO655"/>
      <c r="HP655"/>
      <c r="HQ655"/>
      <c r="HR655"/>
      <c r="HS655"/>
      <c r="HT655"/>
      <c r="HU655"/>
      <c r="HV655"/>
      <c r="HW655"/>
      <c r="HX655"/>
      <c r="HY655"/>
      <c r="HZ655"/>
      <c r="IA655"/>
      <c r="IB655"/>
      <c r="IC655"/>
      <c r="ID655"/>
      <c r="IE655"/>
      <c r="IF655"/>
      <c r="IG655"/>
      <c r="IH655"/>
      <c r="II655"/>
      <c r="IJ655"/>
      <c r="IK655"/>
      <c r="IL655"/>
      <c r="IM655"/>
      <c r="IN655"/>
      <c r="IO655"/>
      <c r="IP655"/>
      <c r="IQ655"/>
      <c r="IR655"/>
      <c r="IS655"/>
      <c r="IT655"/>
      <c r="IU655"/>
      <c r="IV655"/>
      <c r="IW655"/>
      <c r="IX655"/>
      <c r="IY655"/>
      <c r="IZ655"/>
      <c r="JA655"/>
      <c r="JB655"/>
      <c r="JC655"/>
      <c r="JD655"/>
      <c r="JE655"/>
      <c r="JF655"/>
      <c r="JG655"/>
      <c r="JH655"/>
      <c r="JI655"/>
      <c r="JJ655"/>
      <c r="JK655"/>
      <c r="JL655"/>
      <c r="JM655"/>
      <c r="JN655"/>
    </row>
    <row r="656" spans="1:274" s="749" customFormat="1" ht="12.75" hidden="1" customHeight="1" outlineLevel="1" x14ac:dyDescent="0.2">
      <c r="A656" s="1478" t="str">
        <f>A584</f>
        <v>Consulting/Services</v>
      </c>
      <c r="B656" s="1479"/>
      <c r="C656" s="1479"/>
      <c r="D656" s="1479"/>
      <c r="E656" s="1479"/>
      <c r="F656" s="1479"/>
      <c r="G656" s="1479"/>
      <c r="H656" s="1479"/>
      <c r="I656" s="1479"/>
      <c r="J656" s="1479"/>
      <c r="K656" s="1479"/>
      <c r="L656" s="1479"/>
      <c r="M656" s="1479"/>
      <c r="N656" s="1479"/>
      <c r="O656" s="1479"/>
      <c r="P656" s="1479"/>
      <c r="Q656" s="1479"/>
      <c r="R656" s="1479"/>
      <c r="S656" s="1479"/>
      <c r="T656" s="1479"/>
      <c r="U656" s="1479"/>
      <c r="V656" s="1479"/>
      <c r="W656" s="1479"/>
      <c r="X656" s="1479"/>
      <c r="Y656" s="1479"/>
      <c r="Z656" s="1479"/>
      <c r="AA656" s="1479"/>
      <c r="AB656" s="1479"/>
      <c r="AC656" s="1479"/>
      <c r="AD656" s="1479"/>
      <c r="AE656" s="1479"/>
      <c r="AF656" s="1479"/>
      <c r="AG656" s="1479"/>
      <c r="AH656" s="1479"/>
      <c r="AI656" s="1479"/>
      <c r="AJ656" s="1479"/>
      <c r="AK656" s="1479"/>
      <c r="AL656" s="1479"/>
      <c r="AM656" s="1479"/>
      <c r="AN656" s="1479"/>
      <c r="AO656" s="1479"/>
      <c r="AP656" s="1479"/>
      <c r="AQ656" s="1479"/>
      <c r="AR656" s="1479"/>
      <c r="AS656" s="1479"/>
      <c r="AT656" s="1479"/>
      <c r="AU656" s="1479"/>
      <c r="AV656" s="1479"/>
      <c r="AW656" s="1479"/>
      <c r="AX656" s="1479"/>
      <c r="AY656" s="1479"/>
      <c r="AZ656" s="1479"/>
      <c r="BA656" s="1479"/>
      <c r="BB656" s="1479"/>
      <c r="BC656" s="1480"/>
      <c r="BD656" s="1479"/>
      <c r="BE656" s="1479"/>
      <c r="BF656" s="1479"/>
      <c r="BG656" s="1479"/>
      <c r="BH656" s="1479"/>
      <c r="BI656" s="1481">
        <f>BI657+BI660</f>
        <v>102.89250943461202</v>
      </c>
      <c r="BJ656" s="1482"/>
      <c r="BK656" s="1482">
        <f>BK657+BK660</f>
        <v>-31.280011110623789</v>
      </c>
      <c r="BL656" s="1482">
        <f>BL657+BL660</f>
        <v>0.75090795141585964</v>
      </c>
      <c r="BM656" s="1482">
        <f>BM657+BM660</f>
        <v>-10.478076619615308</v>
      </c>
      <c r="BN656" s="1482">
        <f>BN657+BN660</f>
        <v>-15.650487764424874</v>
      </c>
      <c r="BO656" s="1481">
        <f>BO657+BO660</f>
        <v>-53.368422789637656</v>
      </c>
      <c r="BP656" s="1482"/>
      <c r="BQ656" s="1482">
        <f>BQ657+BQ660</f>
        <v>17.999186925450001</v>
      </c>
      <c r="BR656" s="1482">
        <f>BR657+BR660</f>
        <v>27.730663018399568</v>
      </c>
      <c r="BS656" s="1482">
        <f>BS657+BS660</f>
        <v>13.099026370243116</v>
      </c>
      <c r="BT656" s="1482">
        <f>BT657+BT660</f>
        <v>43.158498013802642</v>
      </c>
      <c r="BU656" s="1481">
        <f>BU657+BU660</f>
        <v>105.90769324078788</v>
      </c>
      <c r="BV656" s="1479"/>
      <c r="BW656" s="1482">
        <f>BW657+BW660</f>
        <v>17.128457107824872</v>
      </c>
      <c r="BX656" s="1482">
        <f>BX657+BX660</f>
        <v>21.381630204083216</v>
      </c>
      <c r="BY656" s="1482">
        <f>BY657+BY660</f>
        <v>-5.0525567502626316</v>
      </c>
      <c r="BZ656" s="1482">
        <f>BZ657+BZ660</f>
        <v>-18.377407350646603</v>
      </c>
      <c r="CA656" s="1481">
        <f>CA657+CA660</f>
        <v>31.530510584701354</v>
      </c>
      <c r="CB656" s="1479"/>
      <c r="CC656" s="1482">
        <f>CC657+CC660</f>
        <v>-0.87024647259348775</v>
      </c>
      <c r="CD656" s="1482">
        <f>CD657+CD660</f>
        <v>-25.919557750763069</v>
      </c>
      <c r="CE656" s="1482">
        <f>CE657+CE660</f>
        <v>14.185159505695237</v>
      </c>
      <c r="CF656" s="1482">
        <f>CF657+CF660</f>
        <v>-8.033944179979045</v>
      </c>
      <c r="CG656" s="1481">
        <f>CG657+CG660</f>
        <v>-22.8551123056234</v>
      </c>
      <c r="CH656" s="1479"/>
      <c r="CI656" s="1482">
        <f>CI657+CI660</f>
        <v>-21.242994827971206</v>
      </c>
      <c r="CJ656" s="1482">
        <f>CJ657+CJ660</f>
        <v>-26.253717173604244</v>
      </c>
      <c r="CK656" s="1482">
        <f>CK657+CK660</f>
        <v>-17.126938601775809</v>
      </c>
      <c r="CL656" s="1482">
        <f>CL657+CL660</f>
        <v>-18.406024011726132</v>
      </c>
      <c r="CM656" s="1481">
        <f>CM657+CM660</f>
        <v>-86.048729022148919</v>
      </c>
      <c r="CN656" s="1479"/>
      <c r="CO656" s="1482">
        <f>CO657+CO660</f>
        <v>18.967341447435224</v>
      </c>
      <c r="CP656" s="1482">
        <f>CP657+CP660</f>
        <v>7.3691865541589019</v>
      </c>
      <c r="CQ656" s="1482">
        <f>CQ657+CQ660</f>
        <v>-16.723539592416781</v>
      </c>
      <c r="CR656" s="1482">
        <f>CR657+CR660</f>
        <v>4.3308319308407768</v>
      </c>
      <c r="CS656" s="1481">
        <f>CS657+CS660</f>
        <v>11.712034129607563</v>
      </c>
      <c r="CT656" s="1479"/>
      <c r="CU656" s="1482">
        <f>CU657+CU660</f>
        <v>5.1727898013471929</v>
      </c>
      <c r="CV656" s="1482">
        <f>CV657+CV660</f>
        <v>48.153693131106856</v>
      </c>
      <c r="CW656" s="1482">
        <f>CW657+CW660</f>
        <v>83.369362888286133</v>
      </c>
      <c r="CX656" s="1482">
        <f>CX657+CX660</f>
        <v>76.783750845382826</v>
      </c>
      <c r="CY656" s="1481">
        <f>CY657+CY660</f>
        <v>199.30919376993069</v>
      </c>
      <c r="CZ656" s="1479"/>
      <c r="DA656" s="1482">
        <f>DA657+DA660</f>
        <v>77.934890722810394</v>
      </c>
      <c r="DB656" s="1482">
        <f>DB657+DB660</f>
        <v>46.497980225013499</v>
      </c>
      <c r="DC656" s="1482">
        <f>DC657+DC660</f>
        <v>94.838792123170435</v>
      </c>
      <c r="DD656" s="1482">
        <f>DD657+DD660</f>
        <v>148.13074806673819</v>
      </c>
      <c r="DE656" s="1481">
        <f>DE657+DE660</f>
        <v>407.16727026950014</v>
      </c>
      <c r="DF656" s="1479"/>
      <c r="DG656" s="1482">
        <f>DG657+DG660</f>
        <v>204.83490906148788</v>
      </c>
      <c r="DH656" s="1482">
        <f>DH657+DH660</f>
        <v>183.21802703821396</v>
      </c>
      <c r="DI656" s="1482">
        <f>DI657+DI660</f>
        <v>108.6704471455611</v>
      </c>
      <c r="DJ656" s="1482">
        <f>DJ657+DJ660</f>
        <v>58.357645985578515</v>
      </c>
      <c r="DK656" s="1481">
        <f>DK657+DK660</f>
        <v>496.84031075179769</v>
      </c>
      <c r="DL656" s="1479"/>
      <c r="DM656" s="1482">
        <f>DM657+DM660</f>
        <v>-136.85565544214444</v>
      </c>
      <c r="DN656" s="1482">
        <f>DN657+DN660</f>
        <v>-130.84378000668698</v>
      </c>
      <c r="DO656" s="1482">
        <f>DO657+DO660</f>
        <v>-151.15896424091264</v>
      </c>
      <c r="DP656" s="1482">
        <f>DP657+DP660</f>
        <v>-107.95553876694446</v>
      </c>
      <c r="DQ656" s="1481">
        <f>DQ657+DQ660</f>
        <v>-533.7423792697374</v>
      </c>
      <c r="DR656" s="1479"/>
      <c r="DS656" s="1482">
        <f>DS657+DS660</f>
        <v>29.375442323700494</v>
      </c>
      <c r="DT656" s="1482">
        <f>DT657+DT660</f>
        <v>-4.7657336558684094</v>
      </c>
      <c r="DU656" s="1482">
        <f>DU657+DU660</f>
        <v>35.911734951664066</v>
      </c>
      <c r="DV656" s="1482">
        <f>DV657+DV660</f>
        <v>82.102950297116379</v>
      </c>
      <c r="DW656" s="1481">
        <f>DW657+DW660</f>
        <v>142.02807605979208</v>
      </c>
      <c r="DX656" s="1479"/>
      <c r="DY656" s="1482">
        <f>DY657+DY660</f>
        <v>96.950902673145862</v>
      </c>
      <c r="DZ656" s="1482">
        <f>DZ657+DZ660</f>
        <v>130.34671464461186</v>
      </c>
      <c r="EA656" s="1482">
        <f>EA657+EA660</f>
        <v>98.342453477403311</v>
      </c>
      <c r="EB656" s="1482">
        <f>EB657+EB660</f>
        <v>-129.63621942626432</v>
      </c>
      <c r="EC656" s="1481">
        <f>EC657+EC660</f>
        <v>187.73331691658518</v>
      </c>
      <c r="ED656" s="1479"/>
      <c r="EE656" s="1482">
        <f>EE657+EE660</f>
        <v>7.7343197957675898</v>
      </c>
      <c r="EF656" s="1482">
        <f>EF657+EF660</f>
        <v>-2.5632638251620925</v>
      </c>
      <c r="EG656" s="1482">
        <f>EG657+EG660</f>
        <v>-16.862435673477542</v>
      </c>
      <c r="EH656" s="1482">
        <f>EH657+EH660</f>
        <v>82.835921575371316</v>
      </c>
      <c r="EI656" s="1481">
        <f>EI657+EI660</f>
        <v>88.145994220289566</v>
      </c>
      <c r="EJ656" s="1479"/>
      <c r="EK656" s="1482">
        <f>EK657+EK660</f>
        <v>-17.362129759410625</v>
      </c>
      <c r="EL656" s="1482">
        <f>EL657+EL660</f>
        <v>19.423859674008458</v>
      </c>
      <c r="EM656" s="1482">
        <f>EM657+EM660</f>
        <v>26.640647573550012</v>
      </c>
      <c r="EN656" s="1482">
        <f>EN657+EN660</f>
        <v>38.625609712727368</v>
      </c>
      <c r="EO656" s="1481">
        <f>EO657+EO660</f>
        <v>68.786254126260303</v>
      </c>
      <c r="EP656" s="1479"/>
      <c r="EQ656" s="1482">
        <f>EQ657+EQ660</f>
        <v>-2.3429622295487711</v>
      </c>
      <c r="ER656" s="1482">
        <f>ER657+ER660</f>
        <v>-6.2969263994225599</v>
      </c>
      <c r="ES656" s="1482">
        <f>ES657+ES660</f>
        <v>1.6836846846576328</v>
      </c>
      <c r="ET656" s="1482">
        <f>ET657+ET660</f>
        <v>-11.85090162245849</v>
      </c>
      <c r="EU656" s="1481">
        <f>EU657+EU660</f>
        <v>-17.648609012312143</v>
      </c>
      <c r="EV656" s="1479"/>
      <c r="EW656" s="1482">
        <f>EW657+EW660</f>
        <v>44.54269514130506</v>
      </c>
      <c r="EX656" s="1479"/>
      <c r="EY656" s="1479"/>
      <c r="EZ656" s="1479"/>
      <c r="FA656" s="1480"/>
      <c r="FB656" s="1479"/>
      <c r="FC656" s="1479"/>
      <c r="FD656" s="1479"/>
      <c r="FE656" s="1479"/>
      <c r="FF656" s="1479"/>
      <c r="FG656" s="1480"/>
      <c r="FH656" s="1479"/>
      <c r="FI656" s="1479"/>
      <c r="FJ656" s="1479"/>
      <c r="FK656" s="1479"/>
      <c r="FL656" s="1479"/>
      <c r="FM656" s="1480"/>
      <c r="FQ656"/>
      <c r="FR656"/>
      <c r="FS656"/>
      <c r="FT656"/>
      <c r="FU656"/>
      <c r="FV656"/>
      <c r="GB656" s="24"/>
      <c r="GC656" s="24"/>
      <c r="GD656" s="24"/>
      <c r="GE656" s="24"/>
      <c r="GF656" s="24"/>
      <c r="GG656" s="24"/>
      <c r="GH656" s="24"/>
      <c r="GI656" s="24"/>
      <c r="GJ656"/>
      <c r="GK656"/>
      <c r="GL656"/>
      <c r="GM656"/>
      <c r="GN656"/>
      <c r="GO656"/>
      <c r="GP656"/>
      <c r="GQ656"/>
      <c r="GR656"/>
      <c r="GS656"/>
      <c r="GT656"/>
      <c r="GU656"/>
      <c r="GV656"/>
      <c r="GW656"/>
      <c r="GX656"/>
      <c r="GY656"/>
      <c r="GZ656"/>
      <c r="HA656"/>
      <c r="HB656"/>
      <c r="HC656"/>
      <c r="HD656"/>
      <c r="HE656"/>
      <c r="HF656"/>
      <c r="HG656"/>
      <c r="HH656"/>
      <c r="HI656"/>
      <c r="HJ656"/>
      <c r="HK656"/>
      <c r="HL656"/>
      <c r="HM656"/>
      <c r="HN656"/>
      <c r="HO656"/>
      <c r="HP656"/>
      <c r="HQ656"/>
      <c r="HR656"/>
      <c r="HS656"/>
      <c r="HT656"/>
      <c r="HU656"/>
      <c r="HV656"/>
      <c r="HW656"/>
      <c r="HX656"/>
      <c r="HY656"/>
      <c r="HZ656"/>
      <c r="IA656"/>
      <c r="IB656"/>
      <c r="IC656"/>
      <c r="ID656"/>
      <c r="IE656"/>
      <c r="IF656"/>
      <c r="IG656"/>
      <c r="IH656"/>
      <c r="II656"/>
      <c r="IJ656"/>
      <c r="IK656"/>
      <c r="IL656"/>
      <c r="IM656"/>
      <c r="IN656"/>
      <c r="IO656"/>
      <c r="IP656"/>
      <c r="IQ656"/>
      <c r="IR656"/>
      <c r="IS656"/>
      <c r="IT656"/>
      <c r="IU656"/>
      <c r="IV656"/>
      <c r="IW656"/>
      <c r="IX656"/>
      <c r="IY656"/>
      <c r="IZ656"/>
      <c r="JA656"/>
      <c r="JB656"/>
      <c r="JC656"/>
      <c r="JD656"/>
      <c r="JE656"/>
      <c r="JF656"/>
      <c r="JG656"/>
      <c r="JH656"/>
      <c r="JI656"/>
      <c r="JJ656"/>
      <c r="JK656"/>
      <c r="JL656"/>
      <c r="JM656"/>
      <c r="JN656"/>
    </row>
    <row r="657" spans="1:274" s="749" customFormat="1" ht="12.75" hidden="1" customHeight="1" outlineLevel="1" x14ac:dyDescent="0.2">
      <c r="A657" s="750" t="s">
        <v>635</v>
      </c>
      <c r="B657" s="747"/>
      <c r="C657" s="65"/>
      <c r="D657" s="65"/>
      <c r="E657" s="65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5"/>
      <c r="AC657" s="65"/>
      <c r="AD657" s="65"/>
      <c r="AE657" s="65"/>
      <c r="AF657" s="65"/>
      <c r="AG657" s="65"/>
      <c r="AH657" s="65"/>
      <c r="AI657" s="65"/>
      <c r="AJ657" s="65"/>
      <c r="AK657" s="65"/>
      <c r="AL657" s="65"/>
      <c r="AM657" s="65"/>
      <c r="AN657" s="65"/>
      <c r="AO657" s="65"/>
      <c r="AP657" s="65"/>
      <c r="AQ657" s="65"/>
      <c r="AR657" s="65"/>
      <c r="AS657" s="65"/>
      <c r="AT657" s="65"/>
      <c r="AU657" s="65"/>
      <c r="AV657" s="65"/>
      <c r="AW657" s="65"/>
      <c r="AX657" s="65"/>
      <c r="AY657" s="65"/>
      <c r="AZ657" s="65"/>
      <c r="BA657" s="65"/>
      <c r="BB657" s="65"/>
      <c r="BC657" s="748"/>
      <c r="BD657" s="65"/>
      <c r="BE657" s="65"/>
      <c r="BF657" s="65"/>
      <c r="BG657" s="65"/>
      <c r="BH657" s="65"/>
      <c r="BI657" s="751">
        <f>BI658*BI659*BI$604</f>
        <v>8.4279704275197851</v>
      </c>
      <c r="BJ657" s="752"/>
      <c r="BK657" s="752">
        <f>BK658*BK659*BK$604</f>
        <v>10.873835043222357</v>
      </c>
      <c r="BL657" s="752">
        <f>BL658*BL659*BL$604</f>
        <v>13.182860614137754</v>
      </c>
      <c r="BM657" s="752">
        <f>BM658*BM659*BM$604</f>
        <v>12.653502327753113</v>
      </c>
      <c r="BN657" s="752">
        <f>BN658*BN659*BN$604</f>
        <v>18.622239508302393</v>
      </c>
      <c r="BO657" s="751">
        <f>BO658*BO659*BO$604</f>
        <v>58.324002223072092</v>
      </c>
      <c r="BP657" s="752"/>
      <c r="BQ657" s="752">
        <f>BQ658*BQ659*BQ$604</f>
        <v>17.389884599868608</v>
      </c>
      <c r="BR657" s="752">
        <f>BR658*BR659*BR$604</f>
        <v>35.823378250187638</v>
      </c>
      <c r="BS657" s="752">
        <f>BS658*BS659*BS$604</f>
        <v>35.872919144135892</v>
      </c>
      <c r="BT657" s="752">
        <f>BT658*BT659*BT$604</f>
        <v>25.931225286529919</v>
      </c>
      <c r="BU657" s="751">
        <f>BU658*BU659*BU$604</f>
        <v>119.01385762434954</v>
      </c>
      <c r="BV657" s="65"/>
      <c r="BW657" s="752">
        <f>BW658*BW659*BW$604</f>
        <v>27.676680458078678</v>
      </c>
      <c r="BX657" s="752">
        <f>BX658*BX659*BX$604</f>
        <v>18.01200995091866</v>
      </c>
      <c r="BY657" s="752">
        <f>BY658*BY659*BY$604</f>
        <v>-3.8085889218444025</v>
      </c>
      <c r="BZ657" s="752">
        <f>BZ658*BZ659*BZ$604</f>
        <v>-11.491693064932326</v>
      </c>
      <c r="CA657" s="751">
        <f>CA658*CA659*CA$604</f>
        <v>39.165150281287922</v>
      </c>
      <c r="CB657" s="65"/>
      <c r="CC657" s="752">
        <f>CC658*CC659*CC$604</f>
        <v>-7.6804447728767711</v>
      </c>
      <c r="CD657" s="752">
        <f>CD658*CD659*CD$604</f>
        <v>-9.2605246718826582</v>
      </c>
      <c r="CE657" s="752">
        <f>CE658*CE659*CE$604</f>
        <v>16.561227881763617</v>
      </c>
      <c r="CF657" s="752">
        <f>CF658*CF659*CF$604</f>
        <v>32.031347916240897</v>
      </c>
      <c r="CG657" s="751">
        <f>CG658*CG659*CG$604</f>
        <v>33.508473440479058</v>
      </c>
      <c r="CH657" s="65"/>
      <c r="CI657" s="752">
        <f>CI658*CI659*CI$604</f>
        <v>-14.142994827971206</v>
      </c>
      <c r="CJ657" s="752">
        <f>CJ658*CJ659*CJ$604</f>
        <v>-38.2121330151884</v>
      </c>
      <c r="CK657" s="752">
        <f>CK658*CK659*CK$604</f>
        <v>-29.04693860177581</v>
      </c>
      <c r="CL657" s="752">
        <f>CL658*CL659*CL$604</f>
        <v>-29.530227833382188</v>
      </c>
      <c r="CM657" s="751">
        <f>CM658*CM659*CM$604</f>
        <v>-113.18786768755356</v>
      </c>
      <c r="CN657" s="65"/>
      <c r="CO657" s="752">
        <f>CO658*CO659*CO$604</f>
        <v>0.84784459208931129</v>
      </c>
      <c r="CP657" s="752">
        <f>CP658*CP659*CP$604</f>
        <v>13.723616933905737</v>
      </c>
      <c r="CQ657" s="752">
        <f>CQ658*CQ659*CQ$604</f>
        <v>-1.7800613315472165</v>
      </c>
      <c r="CR657" s="752">
        <f>CR658*CR659*CR$604</f>
        <v>25.227637827646671</v>
      </c>
      <c r="CS657" s="751">
        <f>CS658*CS659*CS$604</f>
        <v>37.484745458965662</v>
      </c>
      <c r="CT657" s="65"/>
      <c r="CU657" s="752">
        <f>CU658*CU659*CU$604</f>
        <v>34.675302364161261</v>
      </c>
      <c r="CV657" s="752">
        <f>CV658*CV659*CV$604</f>
        <v>38.206505989889862</v>
      </c>
      <c r="CW657" s="752">
        <f>CW658*CW659*CW$604</f>
        <v>49.461358109313615</v>
      </c>
      <c r="CX657" s="752">
        <f>CX658*CX659*CX$604</f>
        <v>58.973224529593352</v>
      </c>
      <c r="CY657" s="751">
        <f>CY658*CY659*CY$604</f>
        <v>167.88186313877844</v>
      </c>
      <c r="CZ657" s="65"/>
      <c r="DA657" s="752">
        <f>DA658*DA659*DA$604</f>
        <v>67.277548065467741</v>
      </c>
      <c r="DB657" s="752">
        <f>DB658*DB659*DB$604</f>
        <v>77.770707497740773</v>
      </c>
      <c r="DC657" s="752">
        <f>DC658*DC659*DC$604</f>
        <v>111.14117939107494</v>
      </c>
      <c r="DD657" s="752">
        <f>DD658*DD659*DD$604</f>
        <v>178.87719049882099</v>
      </c>
      <c r="DE657" s="751">
        <f>DE658*DE659*DE$604</f>
        <v>470.46096787893816</v>
      </c>
      <c r="DF657" s="65"/>
      <c r="DG657" s="752">
        <f>DG658*DG659*DG$604</f>
        <v>167.37512150458346</v>
      </c>
      <c r="DH657" s="752">
        <f>DH658*DH659*DH$604</f>
        <v>147.49378901208914</v>
      </c>
      <c r="DI657" s="752">
        <f>DI658*DI659*DI$604</f>
        <v>79.408101466548743</v>
      </c>
      <c r="DJ657" s="752">
        <f>DJ658*DJ659*DJ$604</f>
        <v>5.4648392154797802</v>
      </c>
      <c r="DK657" s="751">
        <f>DK658*DK659*DK$604</f>
        <v>340.80925714736145</v>
      </c>
      <c r="DL657" s="65"/>
      <c r="DM657" s="752">
        <f>DM658*DM659*DM$604</f>
        <v>-180.86470521590007</v>
      </c>
      <c r="DN657" s="752">
        <f>DN658*DN659*DN$604</f>
        <v>-184.76350789784345</v>
      </c>
      <c r="DO657" s="752">
        <f>DO658*DO659*DO$604</f>
        <v>-174.3954037402172</v>
      </c>
      <c r="DP657" s="752">
        <f>DP658*DP659*DP$604</f>
        <v>-173.7731408077608</v>
      </c>
      <c r="DQ657" s="751">
        <f>DQ658*DQ659*DQ$604</f>
        <v>-719.14155196880665</v>
      </c>
      <c r="DR657" s="65"/>
      <c r="DS657" s="752">
        <f>DS658*DS659*DS$604</f>
        <v>15.053079454502168</v>
      </c>
      <c r="DT657" s="752">
        <f>DT658*DT659*DT$604</f>
        <v>38.091529857645092</v>
      </c>
      <c r="DU657" s="752">
        <f>DU658*DU659*DU$604</f>
        <v>35.537935825026494</v>
      </c>
      <c r="DV657" s="752">
        <f>DV658*DV659*DV$604</f>
        <v>43.312560901921692</v>
      </c>
      <c r="DW657" s="751">
        <f>DW658*DW659*DW$604</f>
        <v>132.28586042751078</v>
      </c>
      <c r="DX657" s="65"/>
      <c r="DY657" s="752">
        <f>DY658*DY659*DY$604</f>
        <v>85.374874050605612</v>
      </c>
      <c r="DZ657" s="752">
        <f>DZ658*DZ659*DZ$604</f>
        <v>82.961621476909997</v>
      </c>
      <c r="EA657" s="752">
        <f>EA658*EA659*EA$604</f>
        <v>86.691357195229827</v>
      </c>
      <c r="EB657" s="752">
        <f>EB658*EB659*EB$604</f>
        <v>-80.517280725440941</v>
      </c>
      <c r="EC657" s="751">
        <f>EC658*EC659*EC$604</f>
        <v>134.56851181059019</v>
      </c>
      <c r="ED657" s="65"/>
      <c r="EE657" s="752">
        <f>EE658*EE659*EE$604</f>
        <v>33.473733476549342</v>
      </c>
      <c r="EF657" s="752">
        <f>EF658*EF659*EF$604</f>
        <v>23.910802564879393</v>
      </c>
      <c r="EG657" s="752">
        <f>EG658*EG659*EG$604</f>
        <v>12.04275620011162</v>
      </c>
      <c r="EH657" s="752">
        <f>EH658*EH659*EH$604</f>
        <v>140.304872324836</v>
      </c>
      <c r="EI657" s="751">
        <f>EI658*EI659*EI$604</f>
        <v>235.95088396142097</v>
      </c>
      <c r="EJ657" s="65"/>
      <c r="EK657" s="752">
        <f>EK658*EK659*EK$604</f>
        <v>-8.2419430616276461</v>
      </c>
      <c r="EL657" s="752">
        <f>EL658*EL659*EL$604</f>
        <v>6.4153217871354711</v>
      </c>
      <c r="EM657" s="752">
        <f>EM658*EM659*EM$604</f>
        <v>15.963115559580284</v>
      </c>
      <c r="EN657" s="752">
        <f>EN658*EN659*EN$604</f>
        <v>6.252276379394039</v>
      </c>
      <c r="EO657" s="751">
        <f>EO658*EO659*EO$604</f>
        <v>20.908967326372895</v>
      </c>
      <c r="EP657" s="65"/>
      <c r="EQ657" s="752">
        <f>EQ658*EQ659*EQ$604</f>
        <v>27.130355635880463</v>
      </c>
      <c r="ER657" s="752">
        <f>ER658*ER659*ER$604</f>
        <v>9.5893845054498268</v>
      </c>
      <c r="ES657" s="752">
        <f>ES658*ES659*ES$604</f>
        <v>1.5891071310636831</v>
      </c>
      <c r="ET657" s="752">
        <f>ET658*ET659*ET$604</f>
        <v>3.0232402539717218</v>
      </c>
      <c r="EU657" s="751">
        <f>EU658*EU659*EU$604</f>
        <v>41.98453755212315</v>
      </c>
      <c r="EV657" s="65"/>
      <c r="EW657" s="752">
        <f>EW658*EW659*EW$604</f>
        <v>1.7456654383347661</v>
      </c>
      <c r="EX657" s="65"/>
      <c r="EY657" s="65"/>
      <c r="EZ657" s="65"/>
      <c r="FA657" s="748"/>
      <c r="FB657" s="65"/>
      <c r="FC657" s="65"/>
      <c r="FD657" s="65"/>
      <c r="FE657" s="65"/>
      <c r="FF657" s="65"/>
      <c r="FG657" s="748"/>
      <c r="FH657" s="65"/>
      <c r="FI657" s="65"/>
      <c r="FJ657" s="65"/>
      <c r="FK657" s="65"/>
      <c r="FL657" s="65"/>
      <c r="FM657" s="748"/>
      <c r="FQ657"/>
      <c r="FR657"/>
      <c r="FS657"/>
      <c r="FT657"/>
      <c r="FU657"/>
      <c r="FV657"/>
      <c r="GB657" s="24"/>
      <c r="GC657" s="24"/>
      <c r="GD657" s="24"/>
      <c r="GE657" s="24"/>
      <c r="GF657" s="24"/>
      <c r="GG657" s="24"/>
      <c r="GH657" s="24"/>
      <c r="GI657" s="24"/>
      <c r="GJ657"/>
      <c r="GK657"/>
      <c r="GL657"/>
      <c r="GM657"/>
      <c r="GN657"/>
      <c r="GO657"/>
      <c r="GP657"/>
      <c r="GQ657"/>
      <c r="GR657"/>
      <c r="GS657"/>
      <c r="GT657"/>
      <c r="GU657"/>
      <c r="GV657"/>
      <c r="GW657"/>
      <c r="GX657"/>
      <c r="GY657"/>
      <c r="GZ657"/>
      <c r="HA657"/>
      <c r="HB657"/>
      <c r="HC657"/>
      <c r="HD657"/>
      <c r="HE657"/>
      <c r="HF657"/>
      <c r="HG657"/>
      <c r="HH657"/>
      <c r="HI657"/>
      <c r="HJ657"/>
      <c r="HK657"/>
      <c r="HL657"/>
      <c r="HM657"/>
      <c r="HN657"/>
      <c r="HO657"/>
      <c r="HP657"/>
      <c r="HQ657"/>
      <c r="HR657"/>
      <c r="HS657"/>
      <c r="HT657"/>
      <c r="HU657"/>
      <c r="HV657"/>
      <c r="HW657"/>
      <c r="HX657"/>
      <c r="HY657"/>
      <c r="HZ657"/>
      <c r="IA657"/>
      <c r="IB657"/>
      <c r="IC657"/>
      <c r="ID657"/>
      <c r="IE657"/>
      <c r="IF657"/>
      <c r="IG657"/>
      <c r="IH657"/>
      <c r="II657"/>
      <c r="IJ657"/>
      <c r="IK657"/>
      <c r="IL657"/>
      <c r="IM657"/>
      <c r="IN657"/>
      <c r="IO657"/>
      <c r="IP657"/>
      <c r="IQ657"/>
      <c r="IR657"/>
      <c r="IS657"/>
      <c r="IT657"/>
      <c r="IU657"/>
      <c r="IV657"/>
      <c r="IW657"/>
      <c r="IX657"/>
      <c r="IY657"/>
      <c r="IZ657"/>
      <c r="JA657"/>
      <c r="JB657"/>
      <c r="JC657"/>
      <c r="JD657"/>
      <c r="JE657"/>
      <c r="JF657"/>
      <c r="JG657"/>
      <c r="JH657"/>
      <c r="JI657"/>
      <c r="JJ657"/>
      <c r="JK657"/>
      <c r="JL657"/>
      <c r="JM657"/>
      <c r="JN657"/>
    </row>
    <row r="658" spans="1:274" s="64" customFormat="1" ht="12.75" hidden="1" customHeight="1" outlineLevel="2" x14ac:dyDescent="0.2">
      <c r="A658" s="753" t="s">
        <v>636</v>
      </c>
      <c r="B658" s="71"/>
      <c r="C658" s="71"/>
      <c r="D658" s="71"/>
      <c r="E658" s="71"/>
      <c r="F658" s="71"/>
      <c r="G658" s="71"/>
      <c r="H658" s="71"/>
      <c r="I658" s="71"/>
      <c r="J658" s="71"/>
      <c r="K658" s="71"/>
      <c r="L658" s="71"/>
      <c r="M658" s="71"/>
      <c r="N658" s="71"/>
      <c r="O658" s="71"/>
      <c r="P658" s="71"/>
      <c r="Q658" s="71"/>
      <c r="R658" s="71"/>
      <c r="S658" s="71"/>
      <c r="T658" s="71"/>
      <c r="U658" s="71"/>
      <c r="V658" s="71"/>
      <c r="W658" s="71"/>
      <c r="X658" s="71"/>
      <c r="Y658" s="71"/>
      <c r="Z658" s="71"/>
      <c r="AA658" s="71"/>
      <c r="AB658" s="71"/>
      <c r="AC658" s="71"/>
      <c r="AD658" s="71"/>
      <c r="AE658" s="71"/>
      <c r="AF658" s="71"/>
      <c r="AG658" s="71"/>
      <c r="AH658" s="71"/>
      <c r="AI658" s="71"/>
      <c r="AJ658" s="71"/>
      <c r="AK658" s="71"/>
      <c r="AL658" s="71"/>
      <c r="AM658" s="71"/>
      <c r="AN658" s="71"/>
      <c r="AO658" s="71"/>
      <c r="AP658" s="71"/>
      <c r="AQ658" s="71"/>
      <c r="AR658" s="71"/>
      <c r="AS658" s="71"/>
      <c r="AT658" s="71"/>
      <c r="AU658" s="71"/>
      <c r="AV658" s="71"/>
      <c r="AW658" s="71"/>
      <c r="AX658" s="71"/>
      <c r="AY658" s="71"/>
      <c r="AZ658" s="71"/>
      <c r="BA658" s="71"/>
      <c r="BB658" s="71"/>
      <c r="BC658" s="754"/>
      <c r="BD658" s="71"/>
      <c r="BE658" s="71"/>
      <c r="BF658" s="71"/>
      <c r="BG658" s="71"/>
      <c r="BH658" s="71"/>
      <c r="BI658" s="754">
        <f>(BI585/BI$604)-(BC585/BC$604)</f>
        <v>-2.4711071846856003E-3</v>
      </c>
      <c r="BJ658" s="71"/>
      <c r="BK658" s="71">
        <f>(BK585/BK$604)-(BE585/BE$604)</f>
        <v>-1.7549015766030546E-2</v>
      </c>
      <c r="BL658" s="71">
        <f>(BL585/BL$604)-(BF585/BF$604)</f>
        <v>-1.683638375228827E-2</v>
      </c>
      <c r="BM658" s="71">
        <f>(BM585/BM$604)-(BG585/BG$604)</f>
        <v>-1.6396110313014023E-2</v>
      </c>
      <c r="BN658" s="71">
        <f>(BN585/BN$604)-(BH585/BH$604)</f>
        <v>-1.902373377059674E-2</v>
      </c>
      <c r="BO658" s="754">
        <f>(BO585/BO$604)-(BI585/BI$604)</f>
        <v>-1.8441877903486198E-2</v>
      </c>
      <c r="BP658" s="71"/>
      <c r="BQ658" s="71">
        <f>(BQ585/BQ$604)-(BK585/BK$604)</f>
        <v>-2.1877118030964177E-2</v>
      </c>
      <c r="BR658" s="71">
        <f>(BR585/BR$604)-(BL585/BL$604)</f>
        <v>-3.8062325130784558E-2</v>
      </c>
      <c r="BS658" s="71">
        <f>(BS585/BS$604)-(BM585/BM$604)</f>
        <v>-3.7290980040126043E-2</v>
      </c>
      <c r="BT658" s="71">
        <f>(BT585/BT$604)-(BN585/BN$604)</f>
        <v>-1.8925524742489014E-2</v>
      </c>
      <c r="BU658" s="754">
        <f>(BU585/BU$604)-(BO585/BO$604)</f>
        <v>-2.9137663530715063E-2</v>
      </c>
      <c r="BV658" s="71"/>
      <c r="BW658" s="71">
        <f>(BW585/BW$604)-(BQ585/BQ$604)</f>
        <v>-3.0786494330512393E-2</v>
      </c>
      <c r="BX658" s="71">
        <f>(BX585/BX$604)-(BR585/BR$604)</f>
        <v>-1.5528533131294597E-2</v>
      </c>
      <c r="BY658" s="71">
        <f>(BY585/BY$604)-(BS585/BS$604)</f>
        <v>2.6446016455213273E-3</v>
      </c>
      <c r="BZ658" s="71">
        <f>(BZ585/BZ$604)-(BT585/BT$604)</f>
        <v>7.0299228955774395E-3</v>
      </c>
      <c r="CA658" s="754">
        <f>(CA585/CA$604)-(BU585/BU$604)</f>
        <v>-7.5729422234366572E-3</v>
      </c>
      <c r="CB658" s="71"/>
      <c r="CC658" s="71">
        <f>(CC585/CC$604)-(BW585/BW$604)</f>
        <v>5.7507332266398259E-3</v>
      </c>
      <c r="CD658" s="71">
        <f>(CD585/CD$604)-(BX585/BX$604)</f>
        <v>6.1940177877292113E-3</v>
      </c>
      <c r="CE658" s="71">
        <f>(CE585/CE$604)-(BY585/BY$604)</f>
        <v>-9.8266692355870044E-3</v>
      </c>
      <c r="CF658" s="71">
        <f>(CF585/CF$604)-(BZ585/BZ$604)</f>
        <v>-1.6297985359331885E-2</v>
      </c>
      <c r="CG658" s="754">
        <f>(CG585/CG$604)-(CA585/CA$604)</f>
        <v>-5.1464738940000532E-3</v>
      </c>
      <c r="CH658" s="71"/>
      <c r="CI658" s="71">
        <f>(CI585/CI$604)-(CC585/CC$604)</f>
        <v>8.604347444925442E-3</v>
      </c>
      <c r="CJ658" s="71">
        <f>(CJ585/CJ$604)-(CD585/CD$604)</f>
        <v>1.9851277899720354E-2</v>
      </c>
      <c r="CK658" s="71">
        <f>(CK585/CK$604)-(CE585/CE$604)</f>
        <v>1.3608292586686083E-2</v>
      </c>
      <c r="CL658" s="71">
        <f>(CL585/CL$604)-(CF585/CF$604)</f>
        <v>1.1159778176641988E-2</v>
      </c>
      <c r="CM658" s="754">
        <f>(CM585/CM$604)-(CG585/CG$604)</f>
        <v>1.3528953416416217E-2</v>
      </c>
      <c r="CN658" s="71"/>
      <c r="CO658" s="71">
        <f>(CO585/CO$604)-(CI585/CI$604)</f>
        <v>-4.1581987672534293E-4</v>
      </c>
      <c r="CP658" s="71">
        <f>(CP585/CP$604)-(CJ585/CJ$604)</f>
        <v>-6.2644419823208175E-3</v>
      </c>
      <c r="CQ658" s="71">
        <f>(CQ585/CQ$604)-(CK585/CK$604)</f>
        <v>7.4587018795402305E-4</v>
      </c>
      <c r="CR658" s="71">
        <f>(CR585/CR$604)-(CL585/CL$604)</f>
        <v>-7.9117204112318373E-3</v>
      </c>
      <c r="CS658" s="754">
        <f>(CS585/CS$604)-(CM585/CM$604)</f>
        <v>-3.8085050931938869E-3</v>
      </c>
      <c r="CT658" s="71"/>
      <c r="CU658" s="71">
        <f>(CU585/CU$604)-(CO585/CO$604)</f>
        <v>-1.5063016283098196E-2</v>
      </c>
      <c r="CV658" s="71">
        <f>(CV585/CV$604)-(CP585/CP$604)</f>
        <v>-1.5376887538818135E-2</v>
      </c>
      <c r="CW658" s="71">
        <f>(CW585/CW$604)-(CQ585/CQ$604)</f>
        <v>-1.8845622810701762E-2</v>
      </c>
      <c r="CX658" s="71">
        <f>(CX585/CX$604)-(CR585/CR$604)</f>
        <v>-1.8154583468192445E-2</v>
      </c>
      <c r="CY658" s="754">
        <f>(CY585/CY$604)-(CS585/CS$604)</f>
        <v>-1.5678021879788812E-2</v>
      </c>
      <c r="CZ658" s="71"/>
      <c r="DA658" s="71">
        <f>(DA585/DA$604)-(CU585/CU$604)</f>
        <v>-2.8084206136578055E-2</v>
      </c>
      <c r="DB658" s="71">
        <f>(DB585/DB$604)-(CV585/CV$604)</f>
        <v>-2.9665421974396408E-2</v>
      </c>
      <c r="DC658" s="71">
        <f>(DC585/DC$604)-(CW585/CW$604)</f>
        <v>-3.682123733225004E-2</v>
      </c>
      <c r="DD658" s="71">
        <f>(DD585/DD$604)-(CX585/CX$604)</f>
        <v>-3.8697908037672896E-2</v>
      </c>
      <c r="DE658" s="754">
        <f>(DE585/DE$604)-(CY585/CY$604)</f>
        <v>-3.7033813779981758E-2</v>
      </c>
      <c r="DF658" s="71"/>
      <c r="DG658" s="71">
        <f>(DG585/DG$604)-(DA585/DA$604)</f>
        <v>-4.2785181879639672E-2</v>
      </c>
      <c r="DH658" s="71">
        <f>(DH585/DH$604)-(DB585/DB$604)</f>
        <v>-3.235558961156304E-2</v>
      </c>
      <c r="DI658" s="71">
        <f>(DI585/DI$604)-(DC585/DC$604)</f>
        <v>-1.8530436877746762E-2</v>
      </c>
      <c r="DJ658" s="71">
        <f>(DJ585/DJ$604)-(DD585/DD$604)</f>
        <v>-1.071805613934329E-3</v>
      </c>
      <c r="DK658" s="754">
        <f>(DK585/DK$604)-(DE585/DE$604)</f>
        <v>-1.913868263828937E-2</v>
      </c>
      <c r="DL658" s="71"/>
      <c r="DM658" s="71">
        <f>(DM585/DM$604)-(DG585/DG$604)</f>
        <v>5.3730222686502016E-2</v>
      </c>
      <c r="DN658" s="71">
        <f>(DN585/DN$604)-(DH585/DH$604)</f>
        <v>4.9396560042072088E-2</v>
      </c>
      <c r="DO658" s="71">
        <f>(DO585/DO$604)-(DI585/DI$604)</f>
        <v>4.4712193860158747E-2</v>
      </c>
      <c r="DP658" s="71">
        <f>(DP585/DP$604)-(DJ585/DJ$604)</f>
        <v>3.7676024735116706E-2</v>
      </c>
      <c r="DQ658" s="754">
        <f>(DQ585/DQ$604)-(DK585/DK$604)</f>
        <v>4.5916498525880534E-2</v>
      </c>
      <c r="DR658" s="71"/>
      <c r="DS658" s="71">
        <f>(DS585/DS$604)-(DM585/DM$604)</f>
        <v>-4.9130405985960135E-3</v>
      </c>
      <c r="DT658" s="71">
        <f>(DT585/DT$604)-(DN585/DN$604)</f>
        <v>-1.070799953615835E-2</v>
      </c>
      <c r="DU658" s="71">
        <f>(DU585/DU$604)-(DO585/DO$604)</f>
        <v>-9.4064252528167774E-3</v>
      </c>
      <c r="DV658" s="71">
        <f>(DV585/DV$604)-(DP585/DP$604)</f>
        <v>-1.0511131412783967E-2</v>
      </c>
      <c r="DW658" s="754">
        <f>(DW585/DW$604)-(DQ585/DQ$604)</f>
        <v>-9.0746727517186238E-3</v>
      </c>
      <c r="DX658" s="71"/>
      <c r="DY658" s="71">
        <f>(DY585/DY$604)-(DS585/DS$604)</f>
        <v>-2.6300563335886595E-2</v>
      </c>
      <c r="DZ658" s="71">
        <f>(DZ585/DZ$604)-(DT585/DT$604)</f>
        <v>-1.9823743632070262E-2</v>
      </c>
      <c r="EA658" s="71">
        <f>(EA585/EA$604)-(DU585/DU$604)</f>
        <v>-2.1829968206779807E-2</v>
      </c>
      <c r="EB658" s="71">
        <f>(EB585/EB$604)-(DV585/DV$604)</f>
        <v>1.9182931238940146E-2</v>
      </c>
      <c r="EC658" s="754">
        <f>(EC585/EC$604)-(DW585/DW$604)</f>
        <v>-8.8498859511074307E-3</v>
      </c>
      <c r="ED658" s="71"/>
      <c r="EE658" s="71">
        <f>(EE585/EE$604)-(DY585/DY$604)</f>
        <v>-1.0251844278075059E-2</v>
      </c>
      <c r="EF658" s="71">
        <f>(EF585/EF$604)-(DZ585/DZ$604)</f>
        <v>-6.3431380670450066E-3</v>
      </c>
      <c r="EG658" s="71">
        <f>(EG585/EG$604)-(EA585/EA$604)</f>
        <v>-3.0961229893097658E-3</v>
      </c>
      <c r="EH658" s="71">
        <f>(EH585/EH$604)-(EB585/EB$604)</f>
        <v>-3.4842951460409013E-2</v>
      </c>
      <c r="EI658" s="754">
        <f>(EI585/EI$604)-(EC585/EC$604)</f>
        <v>-1.6030837857906557E-2</v>
      </c>
      <c r="EJ658" s="71"/>
      <c r="EK658" s="71">
        <f>(EK585/EK$604)-(EE585/EE$604)</f>
        <v>2.3601865482202611E-3</v>
      </c>
      <c r="EL658" s="71">
        <f>(EL585/EL$604)-(EF585/EF$604)</f>
        <v>-1.6928871075882895E-3</v>
      </c>
      <c r="EM658" s="71">
        <f>(EM585/EM$604)-(EG585/EG$604)</f>
        <v>-4.0450200123143543E-3</v>
      </c>
      <c r="EN658" s="71">
        <f>(EN585/EN$604)-(EH585/EH$604)</f>
        <v>-1.5654174805833504E-3</v>
      </c>
      <c r="EO658" s="754">
        <f>(EO585/EO$604)-(EI585/EI$604)</f>
        <v>-1.3739266952961932E-3</v>
      </c>
      <c r="EP658" s="71"/>
      <c r="EQ658" s="71">
        <f>(EQ585/EQ$604)-(EK585/EK$604)</f>
        <v>-8.1880833230398159E-3</v>
      </c>
      <c r="ER658" s="71">
        <f>(ER585/ER$604)-(EL585/EL$604)</f>
        <v>-2.7556900934392198E-3</v>
      </c>
      <c r="ES658" s="71">
        <f>(ES585/ES$604)-(EM585/EM$604)</f>
        <v>-4.1765238163297969E-4</v>
      </c>
      <c r="ET658" s="71">
        <f>(ET585/ET$604)-(EN585/EN$604)</f>
        <v>-7.8821369598283675E-4</v>
      </c>
      <c r="EU658" s="754">
        <f>(EU585/EU$604)-(EO585/EO$604)</f>
        <v>-2.9037564141196764E-3</v>
      </c>
      <c r="EV658" s="71"/>
      <c r="EW658" s="71">
        <f>(EW585/EW$604)-(EQ585/EQ$604)</f>
        <v>-4.5518848579323423E-4</v>
      </c>
      <c r="EX658" s="71"/>
      <c r="EY658" s="71"/>
      <c r="EZ658" s="71"/>
      <c r="FA658" s="754"/>
      <c r="FB658" s="71"/>
      <c r="FC658" s="71"/>
      <c r="FD658" s="71"/>
      <c r="FE658" s="71"/>
      <c r="FF658" s="71"/>
      <c r="FG658" s="754"/>
      <c r="FH658" s="71"/>
      <c r="FI658" s="71"/>
      <c r="FJ658" s="71"/>
      <c r="FK658" s="71"/>
      <c r="FL658" s="71"/>
      <c r="FM658" s="754"/>
      <c r="FQ658"/>
      <c r="FR658"/>
      <c r="FS658"/>
      <c r="FT658"/>
      <c r="FU658"/>
      <c r="FV658"/>
      <c r="GB658" s="24"/>
      <c r="GC658" s="24"/>
      <c r="GD658" s="24"/>
      <c r="GE658" s="24"/>
      <c r="GF658" s="24"/>
      <c r="GG658" s="24"/>
      <c r="GH658" s="24"/>
      <c r="GI658" s="24"/>
      <c r="GJ658"/>
      <c r="GK658"/>
      <c r="GL658"/>
      <c r="GM658"/>
      <c r="GN658"/>
      <c r="GO658"/>
      <c r="GP658"/>
      <c r="GQ658"/>
      <c r="GR658"/>
      <c r="GS658"/>
      <c r="GT658"/>
      <c r="GU658"/>
      <c r="GV658"/>
      <c r="GW658"/>
      <c r="GX658"/>
      <c r="GY658"/>
      <c r="GZ658"/>
      <c r="HA658"/>
      <c r="HB658"/>
      <c r="HC658"/>
      <c r="HD658"/>
      <c r="HE658"/>
      <c r="HF658"/>
      <c r="HG658"/>
      <c r="HH658"/>
      <c r="HI658"/>
      <c r="HJ658"/>
      <c r="HK658"/>
      <c r="HL658"/>
      <c r="HM658"/>
      <c r="HN658"/>
      <c r="HO658"/>
      <c r="HP658"/>
      <c r="HQ658"/>
      <c r="HR658"/>
      <c r="HS658"/>
      <c r="HT658"/>
      <c r="HU658"/>
      <c r="HV658"/>
      <c r="HW658"/>
      <c r="HX658"/>
      <c r="HY658"/>
      <c r="HZ658"/>
      <c r="IA658"/>
      <c r="IB658"/>
      <c r="IC658"/>
      <c r="ID658"/>
      <c r="IE658"/>
      <c r="IF658"/>
      <c r="IG658"/>
      <c r="IH658"/>
      <c r="II658"/>
      <c r="IJ658"/>
      <c r="IK658"/>
      <c r="IL658"/>
      <c r="IM658"/>
      <c r="IN658"/>
      <c r="IO658"/>
      <c r="IP658"/>
      <c r="IQ658"/>
      <c r="IR658"/>
      <c r="IS658"/>
      <c r="IT658"/>
      <c r="IU658"/>
      <c r="IV658"/>
      <c r="IW658"/>
      <c r="IX658"/>
      <c r="IY658"/>
      <c r="IZ658"/>
      <c r="JA658"/>
      <c r="JB658"/>
      <c r="JC658"/>
      <c r="JD658"/>
      <c r="JE658"/>
      <c r="JF658"/>
      <c r="JG658"/>
      <c r="JH658"/>
      <c r="JI658"/>
      <c r="JJ658"/>
      <c r="JK658"/>
      <c r="JL658"/>
      <c r="JM658"/>
      <c r="JN658"/>
    </row>
    <row r="659" spans="1:274" s="64" customFormat="1" ht="12.75" hidden="1" customHeight="1" outlineLevel="2" x14ac:dyDescent="0.2">
      <c r="A659" s="753" t="s">
        <v>637</v>
      </c>
      <c r="B659" s="71"/>
      <c r="C659" s="71"/>
      <c r="D659" s="71"/>
      <c r="E659" s="71"/>
      <c r="F659" s="71"/>
      <c r="G659" s="71"/>
      <c r="H659" s="71"/>
      <c r="I659" s="71"/>
      <c r="J659" s="71"/>
      <c r="K659" s="71"/>
      <c r="L659" s="71"/>
      <c r="M659" s="71"/>
      <c r="N659" s="71"/>
      <c r="O659" s="71"/>
      <c r="P659" s="71"/>
      <c r="Q659" s="71"/>
      <c r="R659" s="71"/>
      <c r="S659" s="71"/>
      <c r="T659" s="71"/>
      <c r="U659" s="71"/>
      <c r="V659" s="71"/>
      <c r="W659" s="71"/>
      <c r="X659" s="71"/>
      <c r="Y659" s="71"/>
      <c r="Z659" s="71"/>
      <c r="AA659" s="71"/>
      <c r="AB659" s="71"/>
      <c r="AC659" s="71"/>
      <c r="AD659" s="71"/>
      <c r="AE659" s="71"/>
      <c r="AF659" s="71"/>
      <c r="AG659" s="71"/>
      <c r="AH659" s="71"/>
      <c r="AI659" s="71"/>
      <c r="AJ659" s="71"/>
      <c r="AK659" s="71"/>
      <c r="AL659" s="71"/>
      <c r="AM659" s="71"/>
      <c r="AN659" s="71"/>
      <c r="AO659" s="71"/>
      <c r="AP659" s="71"/>
      <c r="AQ659" s="71"/>
      <c r="AR659" s="71"/>
      <c r="AS659" s="71"/>
      <c r="AT659" s="71"/>
      <c r="AU659" s="71"/>
      <c r="AV659" s="71"/>
      <c r="AW659" s="71"/>
      <c r="AX659" s="71"/>
      <c r="AY659" s="71"/>
      <c r="AZ659" s="71"/>
      <c r="BA659" s="71"/>
      <c r="BB659" s="71"/>
      <c r="BC659" s="754"/>
      <c r="BD659" s="71"/>
      <c r="BE659" s="71"/>
      <c r="BF659" s="71"/>
      <c r="BG659" s="71"/>
      <c r="BH659" s="71"/>
      <c r="BI659" s="754">
        <f>BC588-BC$607</f>
        <v>-0.35259019567117711</v>
      </c>
      <c r="BJ659" s="71"/>
      <c r="BK659" s="71">
        <f>BE588-BE$607</f>
        <v>-0.30553574460859234</v>
      </c>
      <c r="BL659" s="71">
        <f>BF588-BF$607</f>
        <v>-0.33910712213879635</v>
      </c>
      <c r="BM659" s="71">
        <f>BG588-BG$607</f>
        <v>-0.33452018108283799</v>
      </c>
      <c r="BN659" s="71">
        <f>BH588-BH$607</f>
        <v>-0.3457771409933143</v>
      </c>
      <c r="BO659" s="754">
        <f>BI588-BI$607</f>
        <v>-0.33378203397514589</v>
      </c>
      <c r="BP659" s="71"/>
      <c r="BQ659" s="71">
        <f>BK588-BK$607</f>
        <v>-0.38363377826705192</v>
      </c>
      <c r="BR659" s="71">
        <f>BL588-BL$607</f>
        <v>-0.37677214699749612</v>
      </c>
      <c r="BS659" s="71">
        <f>BM588-BM$607</f>
        <v>-0.38340896208256414</v>
      </c>
      <c r="BT659" s="71">
        <f>BN588-BN$607</f>
        <v>-0.44529478822131591</v>
      </c>
      <c r="BU659" s="754">
        <f>BO588-BO$607</f>
        <v>-0.40217967253406589</v>
      </c>
      <c r="BV659" s="71"/>
      <c r="BW659" s="71">
        <f>BQ588-BQ$607</f>
        <v>-0.40586353213256765</v>
      </c>
      <c r="BX659" s="71">
        <f>BR588-BR$607</f>
        <v>-0.42087442105583206</v>
      </c>
      <c r="BY659" s="71">
        <f>BS588-BS$607</f>
        <v>-0.46561173341653694</v>
      </c>
      <c r="BZ659" s="71">
        <f>BT588-BT$607</f>
        <v>-0.40312765990374055</v>
      </c>
      <c r="CA659" s="754">
        <f>BU588-BU$607</f>
        <v>-0.42674492829682487</v>
      </c>
      <c r="CB659" s="71"/>
      <c r="CC659" s="71">
        <f>BW588-BW$607</f>
        <v>-0.4594286956688558</v>
      </c>
      <c r="CD659" s="71">
        <f>BX588-BX$607</f>
        <v>-0.44050547129187484</v>
      </c>
      <c r="CE659" s="71">
        <f>BY588-BY$607</f>
        <v>-0.47689157485471739</v>
      </c>
      <c r="CF659" s="71">
        <f>BZ588-BZ$607</f>
        <v>-0.39816780437371024</v>
      </c>
      <c r="CG659" s="754">
        <f>CA588-CA$607</f>
        <v>-0.44079328581029509</v>
      </c>
      <c r="CH659" s="71"/>
      <c r="CI659" s="71">
        <f>CC588-CC$607</f>
        <v>-0.44897660818713453</v>
      </c>
      <c r="CJ659" s="71">
        <f>CD588-CD$607</f>
        <v>-0.45657508591165541</v>
      </c>
      <c r="CK659" s="71">
        <f>CE588-CE$607</f>
        <v>-0.47977136389360497</v>
      </c>
      <c r="CL659" s="71">
        <f>CF588-CF$607</f>
        <v>-0.44986915318626186</v>
      </c>
      <c r="CM659" s="754">
        <f>CG588-CG$607</f>
        <v>-0.45948721550326788</v>
      </c>
      <c r="CN659" s="71"/>
      <c r="CO659" s="71">
        <f>CI588-CI$607</f>
        <v>-0.44393007031449971</v>
      </c>
      <c r="CP659" s="71">
        <f>CJ588-CJ$607</f>
        <v>-0.4084109960848365</v>
      </c>
      <c r="CQ659" s="71">
        <f>CK588-CK$607</f>
        <v>-0.44434118072453993</v>
      </c>
      <c r="CR659" s="71">
        <f>CL588-CL$607</f>
        <v>-0.43794001104439728</v>
      </c>
      <c r="CS659" s="754">
        <f>CM588-CM$607</f>
        <v>-0.43533007488508024</v>
      </c>
      <c r="CT659" s="71"/>
      <c r="CU659" s="71">
        <f>CO588-CO$607</f>
        <v>-0.42456950548518774</v>
      </c>
      <c r="CV659" s="71">
        <f>CP588-CP$607</f>
        <v>-0.43690363361303952</v>
      </c>
      <c r="CW659" s="71">
        <f>CQ588-CQ$607</f>
        <v>-0.4768448726923451</v>
      </c>
      <c r="CX659" s="71">
        <f>CR588-CR$607</f>
        <v>-0.47201295368623453</v>
      </c>
      <c r="CY659" s="754">
        <f>CS588-CS$607</f>
        <v>-0.45576090074659353</v>
      </c>
      <c r="CZ659" s="71"/>
      <c r="DA659" s="71">
        <f>CU588-CU$607</f>
        <v>-0.47315134146561666</v>
      </c>
      <c r="DB659" s="71">
        <f>CV588-CV$607</f>
        <v>-0.4464568313697907</v>
      </c>
      <c r="DC659" s="71">
        <f>CW588-CW$607</f>
        <v>-0.46659434566035407</v>
      </c>
      <c r="DD659" s="71">
        <f>CX588-CX$607</f>
        <v>-0.4799999473663038</v>
      </c>
      <c r="DE659" s="754">
        <f>CY588-CY$607</f>
        <v>-0.46991017595148454</v>
      </c>
      <c r="DF659" s="71"/>
      <c r="DG659" s="71">
        <f>DA588-DA$607</f>
        <v>-0.51554929886465439</v>
      </c>
      <c r="DH659" s="71">
        <f>DB588-DB$607</f>
        <v>-0.52705813029189719</v>
      </c>
      <c r="DI659" s="71">
        <f>DC588-DC$607</f>
        <v>-0.48657653118672339</v>
      </c>
      <c r="DJ659" s="71">
        <f>DD588-DD$607</f>
        <v>-0.47184178497203288</v>
      </c>
      <c r="DK659" s="754">
        <f>DE588-DE$607</f>
        <v>-0.49671832430634</v>
      </c>
      <c r="DL659" s="71"/>
      <c r="DM659" s="71">
        <f>DG588-DG$607</f>
        <v>-0.40082916504666022</v>
      </c>
      <c r="DN659" s="71">
        <f>DH588-DH$607</f>
        <v>-0.4245162234161789</v>
      </c>
      <c r="DO659" s="71">
        <f>DI588-DI$607</f>
        <v>-0.43041262063477448</v>
      </c>
      <c r="DP659" s="71">
        <f>DJ588-DJ$607</f>
        <v>-0.42121464077024479</v>
      </c>
      <c r="DQ659" s="754">
        <f>DK588-DK$607</f>
        <v>-0.42078241668217131</v>
      </c>
      <c r="DR659" s="71"/>
      <c r="DS659" s="71">
        <f>DM588-DM$607</f>
        <v>-0.37323704759923759</v>
      </c>
      <c r="DT659" s="71">
        <f>DN588-DN$607</f>
        <v>-0.39035406064900446</v>
      </c>
      <c r="DU659" s="71">
        <f>DO588-DO$607</f>
        <v>-0.42118718310252801</v>
      </c>
      <c r="DV659" s="71">
        <f>DP588-DP$607</f>
        <v>-0.3759362622147065</v>
      </c>
      <c r="DW659" s="754">
        <f>DQ588-DQ$607</f>
        <v>-0.39131022970186469</v>
      </c>
      <c r="DX659" s="71"/>
      <c r="DY659" s="71">
        <f>DS588-DS$607</f>
        <v>-0.38731934124399003</v>
      </c>
      <c r="DZ659" s="71">
        <f>DT588-DT$607</f>
        <v>-0.45082003526461756</v>
      </c>
      <c r="EA659" s="71">
        <f>DU588-DU$607</f>
        <v>-0.4263240565681814</v>
      </c>
      <c r="EB659" s="71">
        <f>DV588-DV$607</f>
        <v>-0.35621996076415979</v>
      </c>
      <c r="EC659" s="754">
        <f>DW588-DW$607</f>
        <v>-0.39695289286973223</v>
      </c>
      <c r="ED659" s="71"/>
      <c r="EE659" s="71">
        <f>DY588-DY$607</f>
        <v>-0.37962360185731103</v>
      </c>
      <c r="EF659" s="71">
        <f>DZ588-DZ$607</f>
        <v>-0.39225329574473122</v>
      </c>
      <c r="EG659" s="71">
        <f>EA588-EA$607</f>
        <v>-0.41667108925263152</v>
      </c>
      <c r="EH659" s="71">
        <f>EB588-EB$607</f>
        <v>-0.37608846580469585</v>
      </c>
      <c r="EI659" s="754">
        <f>EC588-EC$607</f>
        <v>-0.38476883354252001</v>
      </c>
      <c r="EJ659" s="71"/>
      <c r="EK659" s="71">
        <f>EE588-EE$607</f>
        <v>-0.41321414282917635</v>
      </c>
      <c r="EL659" s="71">
        <f>EF588-EF$607</f>
        <v>-0.42120423296170728</v>
      </c>
      <c r="EM659" s="71">
        <f>EG588-EG$607</f>
        <v>-0.43780370169221827</v>
      </c>
      <c r="EN659" s="71">
        <f>EH588-EH$607</f>
        <v>-0.37697020640702339</v>
      </c>
      <c r="EO659" s="754">
        <f>EI588-EI$607</f>
        <v>-0.41067547159924306</v>
      </c>
      <c r="EP659" s="71"/>
      <c r="EQ659" s="71">
        <f>EK588-EK$607</f>
        <v>-0.3846969880416134</v>
      </c>
      <c r="ER659" s="71">
        <f>EL588-EL$607</f>
        <v>-0.38366578496002923</v>
      </c>
      <c r="ES659" s="71">
        <f>EM588-EM$607</f>
        <v>-0.41027128600011586</v>
      </c>
      <c r="ET659" s="71">
        <f>EN588-EN$607</f>
        <v>-0.35053547342719188</v>
      </c>
      <c r="EU659" s="754">
        <f>EO588-EO$607</f>
        <v>-0.38150606006494314</v>
      </c>
      <c r="EV659" s="71"/>
      <c r="EW659" s="71">
        <f>EQ588-EQ$607</f>
        <v>-0.41630901595906716</v>
      </c>
      <c r="EX659" s="71"/>
      <c r="EY659" s="71"/>
      <c r="EZ659" s="71"/>
      <c r="FA659" s="754"/>
      <c r="FB659" s="71"/>
      <c r="FC659" s="71"/>
      <c r="FD659" s="71"/>
      <c r="FE659" s="71"/>
      <c r="FF659" s="71"/>
      <c r="FG659" s="754"/>
      <c r="FH659" s="71"/>
      <c r="FI659" s="71"/>
      <c r="FJ659" s="71"/>
      <c r="FK659" s="71"/>
      <c r="FL659" s="71"/>
      <c r="FM659" s="754"/>
      <c r="FQ659"/>
      <c r="FR659"/>
      <c r="FS659"/>
      <c r="FT659"/>
      <c r="FU659"/>
      <c r="FV659"/>
      <c r="GB659" s="24"/>
      <c r="GC659" s="24"/>
      <c r="GD659" s="24"/>
      <c r="GE659" s="24"/>
      <c r="GF659" s="24"/>
      <c r="GG659" s="24"/>
      <c r="GH659" s="24"/>
      <c r="GI659" s="24"/>
      <c r="GJ659"/>
      <c r="GK659"/>
      <c r="GL659"/>
      <c r="GM659"/>
      <c r="GN659"/>
      <c r="GO659"/>
      <c r="GP659"/>
      <c r="GQ659"/>
      <c r="GR659"/>
      <c r="GS659"/>
      <c r="GT659"/>
      <c r="GU659"/>
      <c r="GV659"/>
      <c r="GW659"/>
      <c r="GX659"/>
      <c r="GY659"/>
      <c r="GZ659"/>
      <c r="HA659"/>
      <c r="HB659"/>
      <c r="HC659"/>
      <c r="HD659"/>
      <c r="HE659"/>
      <c r="HF659"/>
      <c r="HG659"/>
      <c r="HH659"/>
      <c r="HI659"/>
      <c r="HJ659"/>
      <c r="HK659"/>
      <c r="HL659"/>
      <c r="HM659"/>
      <c r="HN659"/>
      <c r="HO659"/>
      <c r="HP659"/>
      <c r="HQ659"/>
      <c r="HR659"/>
      <c r="HS659"/>
      <c r="HT659"/>
      <c r="HU659"/>
      <c r="HV659"/>
      <c r="HW659"/>
      <c r="HX659"/>
      <c r="HY659"/>
      <c r="HZ659"/>
      <c r="IA659"/>
      <c r="IB659"/>
      <c r="IC659"/>
      <c r="ID659"/>
      <c r="IE659"/>
      <c r="IF659"/>
      <c r="IG659"/>
      <c r="IH659"/>
      <c r="II659"/>
      <c r="IJ659"/>
      <c r="IK659"/>
      <c r="IL659"/>
      <c r="IM659"/>
      <c r="IN659"/>
      <c r="IO659"/>
      <c r="IP659"/>
      <c r="IQ659"/>
      <c r="IR659"/>
      <c r="IS659"/>
      <c r="IT659"/>
      <c r="IU659"/>
      <c r="IV659"/>
      <c r="IW659"/>
      <c r="IX659"/>
      <c r="IY659"/>
      <c r="IZ659"/>
      <c r="JA659"/>
      <c r="JB659"/>
      <c r="JC659"/>
      <c r="JD659"/>
      <c r="JE659"/>
      <c r="JF659"/>
      <c r="JG659"/>
      <c r="JH659"/>
      <c r="JI659"/>
      <c r="JJ659"/>
      <c r="JK659"/>
      <c r="JL659"/>
      <c r="JM659"/>
      <c r="JN659"/>
    </row>
    <row r="660" spans="1:274" s="749" customFormat="1" ht="12.75" hidden="1" customHeight="1" outlineLevel="1" x14ac:dyDescent="0.2">
      <c r="A660" s="750" t="s">
        <v>638</v>
      </c>
      <c r="B660" s="747"/>
      <c r="C660" s="65"/>
      <c r="D660" s="65"/>
      <c r="E660" s="65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5"/>
      <c r="AC660" s="65"/>
      <c r="AD660" s="65"/>
      <c r="AE660" s="65"/>
      <c r="AF660" s="65"/>
      <c r="AG660" s="65"/>
      <c r="AH660" s="65"/>
      <c r="AI660" s="65"/>
      <c r="AJ660" s="65"/>
      <c r="AK660" s="65"/>
      <c r="AL660" s="65"/>
      <c r="AM660" s="65"/>
      <c r="AN660" s="65"/>
      <c r="AO660" s="65"/>
      <c r="AP660" s="65"/>
      <c r="AQ660" s="65"/>
      <c r="AR660" s="65"/>
      <c r="AS660" s="65"/>
      <c r="AT660" s="65"/>
      <c r="AU660" s="65"/>
      <c r="AV660" s="65"/>
      <c r="AW660" s="65"/>
      <c r="AX660" s="65"/>
      <c r="AY660" s="65"/>
      <c r="AZ660" s="65"/>
      <c r="BA660" s="65"/>
      <c r="BB660" s="65"/>
      <c r="BC660" s="748"/>
      <c r="BD660" s="65"/>
      <c r="BE660" s="65"/>
      <c r="BF660" s="65"/>
      <c r="BG660" s="65"/>
      <c r="BH660" s="65"/>
      <c r="BI660" s="751">
        <f>(BI588-BC588)*BI585</f>
        <v>94.464539007092242</v>
      </c>
      <c r="BJ660" s="752"/>
      <c r="BK660" s="752">
        <f>(BK588-BE588)*BK585</f>
        <v>-42.153846153846146</v>
      </c>
      <c r="BL660" s="752">
        <f>(BL588-BF588)*BL585</f>
        <v>-12.431952662721894</v>
      </c>
      <c r="BM660" s="752">
        <f>(BM588-BG588)*BM585</f>
        <v>-23.131578947368421</v>
      </c>
      <c r="BN660" s="752">
        <f>(BN588-BH588)*BN585</f>
        <v>-34.272727272727266</v>
      </c>
      <c r="BO660" s="751">
        <f>(BO588-BI588)*BO585</f>
        <v>-111.69242501270975</v>
      </c>
      <c r="BP660" s="752"/>
      <c r="BQ660" s="752">
        <f>(BQ588-BK588)*BQ585</f>
        <v>0.60930232558139341</v>
      </c>
      <c r="BR660" s="752">
        <f>(BR588-BL588)*BR585</f>
        <v>-8.0927152317880715</v>
      </c>
      <c r="BS660" s="752">
        <f>(BS588-BM588)*BS585</f>
        <v>-22.773892773892776</v>
      </c>
      <c r="BT660" s="752">
        <f>(BT588-BN588)*BT585</f>
        <v>17.227272727272723</v>
      </c>
      <c r="BU660" s="751">
        <f>(BU588-BO588)*BU585</f>
        <v>-13.106164383561659</v>
      </c>
      <c r="BV660" s="65"/>
      <c r="BW660" s="752">
        <f>(BW588-BQ588)*BW585</f>
        <v>-10.548223350253807</v>
      </c>
      <c r="BX660" s="752">
        <f>(BX588-BR588)*BX585</f>
        <v>3.3696202531645545</v>
      </c>
      <c r="BY660" s="752">
        <f>(BY588-BS588)*BY585</f>
        <v>-1.2439678284182287</v>
      </c>
      <c r="BZ660" s="752">
        <f>(BZ588-BT588)*BZ585</f>
        <v>-6.8857142857142772</v>
      </c>
      <c r="CA660" s="751">
        <f>(CA588-BU588)*CA585</f>
        <v>-7.6346396965865662</v>
      </c>
      <c r="CB660" s="65"/>
      <c r="CC660" s="752">
        <f>(CC588-BW588)*CC585</f>
        <v>6.8101983002832833</v>
      </c>
      <c r="CD660" s="752">
        <f>(CD588-BX588)*CD585</f>
        <v>-16.659033078880409</v>
      </c>
      <c r="CE660" s="752">
        <f>(CE588-BY588)*CE585</f>
        <v>-2.3760683760683801</v>
      </c>
      <c r="CF660" s="752">
        <f>(CF588-BZ588)*CF585</f>
        <v>-40.065292096219942</v>
      </c>
      <c r="CG660" s="751">
        <f>(CG588-CA588)*CG585</f>
        <v>-56.363585746102459</v>
      </c>
      <c r="CH660" s="65"/>
      <c r="CI660" s="752">
        <f>(CI588-CC588)*CI585</f>
        <v>-7.0999999999999988</v>
      </c>
      <c r="CJ660" s="752">
        <f>(CJ588-CD588)*CJ585</f>
        <v>11.958415841584156</v>
      </c>
      <c r="CK660" s="752">
        <f>(CK588-CE588)*CK585</f>
        <v>11.920000000000002</v>
      </c>
      <c r="CL660" s="752">
        <f>(CL588-CF588)*CL585</f>
        <v>11.124203821656055</v>
      </c>
      <c r="CM660" s="751">
        <f>(CM588-CG588)*CM585</f>
        <v>27.139138665404648</v>
      </c>
      <c r="CN660" s="65"/>
      <c r="CO660" s="752">
        <f>(CO588-CI588)*CO585</f>
        <v>18.119496855345911</v>
      </c>
      <c r="CP660" s="752">
        <f>(CP588-CJ588)*CP585</f>
        <v>-6.3544303797468347</v>
      </c>
      <c r="CQ660" s="752">
        <f>(CQ588-CK588)*CQ585</f>
        <v>-14.943478260869563</v>
      </c>
      <c r="CR660" s="752">
        <f>(CR588-CL588)*CR585</f>
        <v>-20.896805896805894</v>
      </c>
      <c r="CS660" s="751">
        <f>(CS588-CM588)*CS585</f>
        <v>-25.772711329358099</v>
      </c>
      <c r="CT660" s="65"/>
      <c r="CU660" s="752">
        <f>(CU588-CO588)*CU585</f>
        <v>-29.502512562814069</v>
      </c>
      <c r="CV660" s="752">
        <f>(CV588-CP588)*CV585</f>
        <v>9.947187141216995</v>
      </c>
      <c r="CW660" s="752">
        <f>(CW588-CQ588)*CW585</f>
        <v>33.908004778972511</v>
      </c>
      <c r="CX660" s="752">
        <f>(CX588-CR588)*CX585</f>
        <v>17.810526315789474</v>
      </c>
      <c r="CY660" s="751">
        <f>(CY588-CS588)*CY585</f>
        <v>31.427330631152238</v>
      </c>
      <c r="CZ660" s="65"/>
      <c r="DA660" s="752">
        <f>(DA588-CU588)*DA585</f>
        <v>10.657342657342651</v>
      </c>
      <c r="DB660" s="752">
        <f>(DB588-CV588)*DB585</f>
        <v>-31.272727272727273</v>
      </c>
      <c r="DC660" s="752">
        <f>(DC588-CW588)*DC585</f>
        <v>-16.302387267904507</v>
      </c>
      <c r="DD660" s="752">
        <f>(DD588-CX588)*DD585</f>
        <v>-30.746442432082798</v>
      </c>
      <c r="DE660" s="751">
        <f>(DE588-CY588)*DE585</f>
        <v>-63.293697609438027</v>
      </c>
      <c r="DF660" s="65"/>
      <c r="DG660" s="752">
        <f>(DG588-DA588)*DG585</f>
        <v>37.459787556904416</v>
      </c>
      <c r="DH660" s="752">
        <f>(DH588-DB588)*DH585</f>
        <v>35.724238026124809</v>
      </c>
      <c r="DI660" s="752">
        <f>(DI588-DC588)*DI585</f>
        <v>29.262345679012352</v>
      </c>
      <c r="DJ660" s="752">
        <f>(DJ588-DD588)*DJ585</f>
        <v>52.892806770098737</v>
      </c>
      <c r="DK660" s="751">
        <f>(DK588-DE588)*DK585</f>
        <v>156.03105360443624</v>
      </c>
      <c r="DL660" s="65"/>
      <c r="DM660" s="752">
        <f>(DM588-DG588)*DM585</f>
        <v>44.009049773755628</v>
      </c>
      <c r="DN660" s="752">
        <f>(DN588-DH588)*DN585</f>
        <v>53.919727891156462</v>
      </c>
      <c r="DO660" s="752">
        <f>(DO588-DI588)*DO585</f>
        <v>23.236439499304577</v>
      </c>
      <c r="DP660" s="752">
        <f>(DP588-DJ588)*DP585</f>
        <v>65.81760204081634</v>
      </c>
      <c r="DQ660" s="751">
        <f>(DQ588-DK588)*DQ585</f>
        <v>185.39917269906928</v>
      </c>
      <c r="DR660" s="65"/>
      <c r="DS660" s="752">
        <f>(DS588-DM588)*DS585</f>
        <v>14.322362869198326</v>
      </c>
      <c r="DT660" s="752">
        <f>(DT588-DN588)*DT585</f>
        <v>-42.857263513513502</v>
      </c>
      <c r="DU660" s="752">
        <f>(DU588-DO588)*DU585</f>
        <v>0.37379912663756809</v>
      </c>
      <c r="DV660" s="752">
        <f>(DV588-DP588)*DV585</f>
        <v>38.790389395194687</v>
      </c>
      <c r="DW660" s="751">
        <f>(DW588-DQ588)*DW585</f>
        <v>9.7422156322812974</v>
      </c>
      <c r="DX660" s="65"/>
      <c r="DY660" s="752">
        <f>(DY588-DS588)*DY585</f>
        <v>11.576028622540253</v>
      </c>
      <c r="DZ660" s="752">
        <f>(DZ588-DT588)*DZ585</f>
        <v>47.385093167701861</v>
      </c>
      <c r="EA660" s="752">
        <f>(EA588-DU588)*EA585</f>
        <v>11.651096282173487</v>
      </c>
      <c r="EB660" s="752">
        <f>(EB588-DV588)*EB585</f>
        <v>-49.118938700823385</v>
      </c>
      <c r="EC660" s="751">
        <f>(EC588-DW588)*EC585</f>
        <v>53.164805105994986</v>
      </c>
      <c r="ED660" s="65"/>
      <c r="EE660" s="752">
        <f>(EE588-DY588)*EE585</f>
        <v>-25.739413680781752</v>
      </c>
      <c r="EF660" s="752">
        <f>(EF588-DZ588)*EF585</f>
        <v>-26.474066390041486</v>
      </c>
      <c r="EG660" s="752">
        <f>(EG588-EA588)*EG585</f>
        <v>-28.905191873589164</v>
      </c>
      <c r="EH660" s="752">
        <f>(EH588-EB588)*EH585</f>
        <v>-57.468950749464689</v>
      </c>
      <c r="EI660" s="751">
        <f>(EI588-EC588)*EI585</f>
        <v>-147.8048897411314</v>
      </c>
      <c r="EJ660" s="65"/>
      <c r="EK660" s="752">
        <f>(EK588-EE588)*EK585</f>
        <v>-9.1201866977829784</v>
      </c>
      <c r="EL660" s="752">
        <f>(EL588-EF588)*EL585</f>
        <v>13.008537886872986</v>
      </c>
      <c r="EM660" s="752">
        <f>(EM588-EG588)*EM585</f>
        <v>10.677532013969728</v>
      </c>
      <c r="EN660" s="752">
        <f>(EN588-EH588)*EN585</f>
        <v>32.373333333333328</v>
      </c>
      <c r="EO660" s="751">
        <f>(EO588-EI588)*EO585</f>
        <v>47.877286799887415</v>
      </c>
      <c r="EP660" s="65"/>
      <c r="EQ660" s="752">
        <f>(EQ588-EK588)*EQ585</f>
        <v>-29.473317865429234</v>
      </c>
      <c r="ER660" s="752">
        <f>(ER588-EL588)*ER585</f>
        <v>-15.886310904872387</v>
      </c>
      <c r="ES660" s="752">
        <f>(ES588-EM588)*ES585</f>
        <v>9.4577553593949593E-2</v>
      </c>
      <c r="ET660" s="752">
        <f>(ET588-EN588)*ET585</f>
        <v>-14.874141876430212</v>
      </c>
      <c r="EU660" s="751">
        <f>(EU588-EO588)*EU585</f>
        <v>-59.633146564435293</v>
      </c>
      <c r="EV660" s="65"/>
      <c r="EW660" s="752">
        <f>(EW588-EQ588)*EW585</f>
        <v>42.797029702970292</v>
      </c>
      <c r="EX660" s="65"/>
      <c r="EY660" s="65"/>
      <c r="EZ660" s="65"/>
      <c r="FA660" s="748"/>
      <c r="FB660" s="65"/>
      <c r="FC660" s="65"/>
      <c r="FD660" s="65"/>
      <c r="FE660" s="65"/>
      <c r="FF660" s="65"/>
      <c r="FG660" s="748"/>
      <c r="FH660" s="65"/>
      <c r="FI660" s="65"/>
      <c r="FJ660" s="65"/>
      <c r="FK660" s="65"/>
      <c r="FL660" s="65"/>
      <c r="FM660" s="748"/>
      <c r="FQ660"/>
      <c r="FR660"/>
      <c r="FS660"/>
      <c r="FT660"/>
      <c r="FU660"/>
      <c r="FV660"/>
      <c r="GB660" s="24"/>
      <c r="GC660" s="24"/>
      <c r="GD660" s="24"/>
      <c r="GE660" s="24"/>
      <c r="GF660" s="24"/>
      <c r="GG660" s="24"/>
      <c r="GH660" s="24"/>
      <c r="GI660" s="24"/>
      <c r="GJ660"/>
      <c r="GK660"/>
      <c r="GL660"/>
      <c r="GM660"/>
      <c r="GN660"/>
      <c r="GO660"/>
      <c r="GP660"/>
      <c r="GQ660"/>
      <c r="GR660"/>
      <c r="GS660"/>
      <c r="GT660"/>
      <c r="GU660"/>
      <c r="GV660"/>
      <c r="GW660"/>
      <c r="GX660"/>
      <c r="GY660"/>
      <c r="GZ660"/>
      <c r="HA660"/>
      <c r="HB660"/>
      <c r="HC660"/>
      <c r="HD660"/>
      <c r="HE660"/>
      <c r="HF660"/>
      <c r="HG660"/>
      <c r="HH660"/>
      <c r="HI660"/>
      <c r="HJ660"/>
      <c r="HK660"/>
      <c r="HL660"/>
      <c r="HM660"/>
      <c r="HN660"/>
      <c r="HO660"/>
      <c r="HP660"/>
      <c r="HQ660"/>
      <c r="HR660"/>
      <c r="HS660"/>
      <c r="HT660"/>
      <c r="HU660"/>
      <c r="HV660"/>
      <c r="HW660"/>
      <c r="HX660"/>
      <c r="HY660"/>
      <c r="HZ660"/>
      <c r="IA660"/>
      <c r="IB660"/>
      <c r="IC660"/>
      <c r="ID660"/>
      <c r="IE660"/>
      <c r="IF660"/>
      <c r="IG660"/>
      <c r="IH660"/>
      <c r="II660"/>
      <c r="IJ660"/>
      <c r="IK660"/>
      <c r="IL660"/>
      <c r="IM660"/>
      <c r="IN660"/>
      <c r="IO660"/>
      <c r="IP660"/>
      <c r="IQ660"/>
      <c r="IR660"/>
      <c r="IS660"/>
      <c r="IT660"/>
      <c r="IU660"/>
      <c r="IV660"/>
      <c r="IW660"/>
      <c r="IX660"/>
      <c r="IY660"/>
      <c r="IZ660"/>
      <c r="JA660"/>
      <c r="JB660"/>
      <c r="JC660"/>
      <c r="JD660"/>
      <c r="JE660"/>
      <c r="JF660"/>
      <c r="JG660"/>
      <c r="JH660"/>
      <c r="JI660"/>
      <c r="JJ660"/>
      <c r="JK660"/>
      <c r="JL660"/>
      <c r="JM660"/>
      <c r="JN660"/>
    </row>
    <row r="661" spans="1:274" s="749" customFormat="1" ht="6" hidden="1" customHeight="1" outlineLevel="1" x14ac:dyDescent="0.2">
      <c r="A661" s="750"/>
      <c r="B661" s="747"/>
      <c r="C661" s="65"/>
      <c r="D661" s="65"/>
      <c r="E661" s="65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5"/>
      <c r="AC661" s="65"/>
      <c r="AD661" s="65"/>
      <c r="AE661" s="65"/>
      <c r="AF661" s="65"/>
      <c r="AG661" s="65"/>
      <c r="AH661" s="65"/>
      <c r="AI661" s="65"/>
      <c r="AJ661" s="65"/>
      <c r="AK661" s="65"/>
      <c r="AL661" s="65"/>
      <c r="AM661" s="65"/>
      <c r="AN661" s="65"/>
      <c r="AO661" s="65"/>
      <c r="AP661" s="65"/>
      <c r="AQ661" s="65"/>
      <c r="AR661" s="65"/>
      <c r="AS661" s="65"/>
      <c r="AT661" s="65"/>
      <c r="AU661" s="65"/>
      <c r="AV661" s="65"/>
      <c r="AW661" s="65"/>
      <c r="AX661" s="65"/>
      <c r="AY661" s="65"/>
      <c r="AZ661" s="65"/>
      <c r="BA661" s="65"/>
      <c r="BB661" s="65"/>
      <c r="BC661" s="748"/>
      <c r="BD661" s="65"/>
      <c r="BE661" s="65"/>
      <c r="BF661" s="65"/>
      <c r="BG661" s="65"/>
      <c r="BH661" s="65"/>
      <c r="BI661" s="751"/>
      <c r="BJ661" s="752"/>
      <c r="BK661" s="752"/>
      <c r="BL661" s="752"/>
      <c r="BM661" s="752"/>
      <c r="BN661" s="752"/>
      <c r="BO661" s="751"/>
      <c r="BP661" s="752"/>
      <c r="BQ661" s="752"/>
      <c r="BR661" s="752"/>
      <c r="BS661" s="752"/>
      <c r="BT661" s="752"/>
      <c r="BU661" s="751"/>
      <c r="BV661" s="65"/>
      <c r="BW661" s="752"/>
      <c r="BX661" s="752"/>
      <c r="BY661" s="752"/>
      <c r="BZ661" s="752"/>
      <c r="CA661" s="751"/>
      <c r="CB661" s="65"/>
      <c r="CC661" s="752"/>
      <c r="CD661" s="752"/>
      <c r="CE661" s="752"/>
      <c r="CF661" s="752"/>
      <c r="CG661" s="751"/>
      <c r="CH661" s="65"/>
      <c r="CI661" s="752"/>
      <c r="CJ661" s="752"/>
      <c r="CK661" s="752"/>
      <c r="CL661" s="752"/>
      <c r="CM661" s="751"/>
      <c r="CN661" s="65"/>
      <c r="CO661" s="752"/>
      <c r="CP661" s="752"/>
      <c r="CQ661" s="752"/>
      <c r="CR661" s="752"/>
      <c r="CS661" s="751"/>
      <c r="CT661" s="65"/>
      <c r="CU661" s="752"/>
      <c r="CV661" s="752"/>
      <c r="CW661" s="752"/>
      <c r="CX661" s="752"/>
      <c r="CY661" s="751"/>
      <c r="CZ661" s="65"/>
      <c r="DA661" s="752"/>
      <c r="DB661" s="752"/>
      <c r="DC661" s="752"/>
      <c r="DD661" s="752"/>
      <c r="DE661" s="751"/>
      <c r="DF661" s="65"/>
      <c r="DG661" s="752"/>
      <c r="DH661" s="752"/>
      <c r="DI661" s="752"/>
      <c r="DJ661" s="752"/>
      <c r="DK661" s="751"/>
      <c r="DL661" s="65"/>
      <c r="DM661" s="752"/>
      <c r="DN661" s="752"/>
      <c r="DO661" s="752"/>
      <c r="DP661" s="752"/>
      <c r="DQ661" s="751"/>
      <c r="DR661" s="65"/>
      <c r="DS661" s="752"/>
      <c r="DT661" s="752"/>
      <c r="DU661" s="752"/>
      <c r="DV661" s="752"/>
      <c r="DW661" s="751"/>
      <c r="DX661" s="65"/>
      <c r="DY661" s="752"/>
      <c r="DZ661" s="752"/>
      <c r="EA661" s="752"/>
      <c r="EB661" s="752"/>
      <c r="EC661" s="751"/>
      <c r="ED661" s="65"/>
      <c r="EE661" s="752"/>
      <c r="EF661" s="752"/>
      <c r="EG661" s="752"/>
      <c r="EH661" s="752"/>
      <c r="EI661" s="751"/>
      <c r="EJ661" s="65"/>
      <c r="EK661" s="752"/>
      <c r="EL661" s="752"/>
      <c r="EM661" s="752"/>
      <c r="EN661" s="752"/>
      <c r="EO661" s="751"/>
      <c r="EP661" s="65"/>
      <c r="EQ661" s="752"/>
      <c r="ER661" s="752"/>
      <c r="ES661" s="752"/>
      <c r="ET661" s="752"/>
      <c r="EU661" s="751"/>
      <c r="EV661" s="65"/>
      <c r="EW661" s="752"/>
      <c r="EX661" s="65"/>
      <c r="EY661" s="65"/>
      <c r="EZ661" s="65"/>
      <c r="FA661" s="748"/>
      <c r="FB661" s="65"/>
      <c r="FC661" s="65"/>
      <c r="FD661" s="65"/>
      <c r="FE661" s="65"/>
      <c r="FF661" s="65"/>
      <c r="FG661" s="748"/>
      <c r="FH661" s="65"/>
      <c r="FI661" s="65"/>
      <c r="FJ661" s="65"/>
      <c r="FK661" s="65"/>
      <c r="FL661" s="65"/>
      <c r="FM661" s="748"/>
      <c r="FQ661"/>
      <c r="FR661"/>
      <c r="FS661"/>
      <c r="FT661"/>
      <c r="FU661"/>
      <c r="FV661"/>
      <c r="GB661" s="24"/>
      <c r="GC661" s="24"/>
      <c r="GD661" s="24"/>
      <c r="GE661" s="24"/>
      <c r="GF661" s="24"/>
      <c r="GG661" s="24"/>
      <c r="GH661" s="24"/>
      <c r="GI661" s="24"/>
      <c r="GJ661"/>
      <c r="GK661"/>
      <c r="GL661"/>
      <c r="GM661"/>
      <c r="GN661"/>
      <c r="GO661"/>
      <c r="GP661"/>
      <c r="GQ661"/>
      <c r="GR661"/>
      <c r="GS661"/>
      <c r="GT661"/>
      <c r="GU661"/>
      <c r="GV661"/>
      <c r="GW661"/>
      <c r="GX661"/>
      <c r="GY661"/>
      <c r="GZ661"/>
      <c r="HA661"/>
      <c r="HB661"/>
      <c r="HC661"/>
      <c r="HD661"/>
      <c r="HE661"/>
      <c r="HF661"/>
      <c r="HG661"/>
      <c r="HH661"/>
      <c r="HI661"/>
      <c r="HJ661"/>
      <c r="HK661"/>
      <c r="HL661"/>
      <c r="HM661"/>
      <c r="HN661"/>
      <c r="HO661"/>
      <c r="HP661"/>
      <c r="HQ661"/>
      <c r="HR661"/>
      <c r="HS661"/>
      <c r="HT661"/>
      <c r="HU661"/>
      <c r="HV661"/>
      <c r="HW661"/>
      <c r="HX661"/>
      <c r="HY661"/>
      <c r="HZ661"/>
      <c r="IA661"/>
      <c r="IB661"/>
      <c r="IC661"/>
      <c r="ID661"/>
      <c r="IE661"/>
      <c r="IF661"/>
      <c r="IG661"/>
      <c r="IH661"/>
      <c r="II661"/>
      <c r="IJ661"/>
      <c r="IK661"/>
      <c r="IL661"/>
      <c r="IM661"/>
      <c r="IN661"/>
      <c r="IO661"/>
      <c r="IP661"/>
      <c r="IQ661"/>
      <c r="IR661"/>
      <c r="IS661"/>
      <c r="IT661"/>
      <c r="IU661"/>
      <c r="IV661"/>
      <c r="IW661"/>
      <c r="IX661"/>
      <c r="IY661"/>
      <c r="IZ661"/>
      <c r="JA661"/>
      <c r="JB661"/>
      <c r="JC661"/>
      <c r="JD661"/>
      <c r="JE661"/>
      <c r="JF661"/>
      <c r="JG661"/>
      <c r="JH661"/>
      <c r="JI661"/>
      <c r="JJ661"/>
      <c r="JK661"/>
      <c r="JL661"/>
      <c r="JM661"/>
      <c r="JN661"/>
    </row>
    <row r="662" spans="1:274" s="749" customFormat="1" ht="12.75" hidden="1" customHeight="1" outlineLevel="1" x14ac:dyDescent="0.2">
      <c r="A662" s="1478" t="str">
        <f>A590</f>
        <v>Cloud Services (OnDemand) / IaaS</v>
      </c>
      <c r="B662" s="1479"/>
      <c r="C662" s="1479"/>
      <c r="D662" s="1479"/>
      <c r="E662" s="1479"/>
      <c r="F662" s="1479"/>
      <c r="G662" s="1479"/>
      <c r="H662" s="1479"/>
      <c r="I662" s="1479"/>
      <c r="J662" s="1479"/>
      <c r="K662" s="1479"/>
      <c r="L662" s="1479"/>
      <c r="M662" s="1479"/>
      <c r="N662" s="1479"/>
      <c r="O662" s="1479"/>
      <c r="P662" s="1479"/>
      <c r="Q662" s="1479"/>
      <c r="R662" s="1479"/>
      <c r="S662" s="1479"/>
      <c r="T662" s="1479"/>
      <c r="U662" s="1479"/>
      <c r="V662" s="1479"/>
      <c r="W662" s="1479"/>
      <c r="X662" s="1479"/>
      <c r="Y662" s="1479"/>
      <c r="Z662" s="1479"/>
      <c r="AA662" s="1479"/>
      <c r="AB662" s="1479"/>
      <c r="AC662" s="1479"/>
      <c r="AD662" s="1479"/>
      <c r="AE662" s="1479"/>
      <c r="AF662" s="1479"/>
      <c r="AG662" s="1479"/>
      <c r="AH662" s="1479"/>
      <c r="AI662" s="1479"/>
      <c r="AJ662" s="1479"/>
      <c r="AK662" s="1479"/>
      <c r="AL662" s="1479"/>
      <c r="AM662" s="1479"/>
      <c r="AN662" s="1479"/>
      <c r="AO662" s="1479"/>
      <c r="AP662" s="1479"/>
      <c r="AQ662" s="1479"/>
      <c r="AR662" s="1479"/>
      <c r="AS662" s="1479"/>
      <c r="AT662" s="1479"/>
      <c r="AU662" s="1479"/>
      <c r="AV662" s="1479"/>
      <c r="AW662" s="1479"/>
      <c r="AX662" s="1479"/>
      <c r="AY662" s="1479"/>
      <c r="AZ662" s="1479"/>
      <c r="BA662" s="1479"/>
      <c r="BB662" s="1479"/>
      <c r="BC662" s="1480"/>
      <c r="BD662" s="1479"/>
      <c r="BE662" s="1479"/>
      <c r="BF662" s="1479"/>
      <c r="BG662" s="1479"/>
      <c r="BH662" s="1479"/>
      <c r="BI662" s="1481">
        <f>BI663+BI666</f>
        <v>-8.9049013054977806</v>
      </c>
      <c r="BJ662" s="1482"/>
      <c r="BK662" s="1482">
        <f>BK663+BK666</f>
        <v>-8.1490513573966066</v>
      </c>
      <c r="BL662" s="1482">
        <f>BL663+BL666</f>
        <v>-8.3873548831297242</v>
      </c>
      <c r="BM662" s="1482">
        <f>BM663+BM666</f>
        <v>-0.95310287490568868</v>
      </c>
      <c r="BN662" s="1482">
        <f>BN663+BN666</f>
        <v>3.8012039595080394</v>
      </c>
      <c r="BO662" s="1481">
        <f>BO663+BO666</f>
        <v>-14.335311347025192</v>
      </c>
      <c r="BP662" s="1482"/>
      <c r="BQ662" s="1482">
        <f>BQ663+BQ666</f>
        <v>-4.5487747472271822</v>
      </c>
      <c r="BR662" s="1482">
        <f>BR663+BR666</f>
        <v>-10.16989144292177</v>
      </c>
      <c r="BS662" s="1482">
        <f>BS663+BS666</f>
        <v>-8.9465126490699678</v>
      </c>
      <c r="BT662" s="1482">
        <f>BT663+BT666</f>
        <v>-3.3421030796321869</v>
      </c>
      <c r="BU662" s="1481">
        <f>BU663+BU666</f>
        <v>-26.486346121232788</v>
      </c>
      <c r="BV662" s="1479"/>
      <c r="BW662" s="1482">
        <f>BW663+BW666</f>
        <v>1.1705894739195908</v>
      </c>
      <c r="BX662" s="1482">
        <f>BX663+BX666</f>
        <v>7.2911648774584128</v>
      </c>
      <c r="BY662" s="1482">
        <f>BY663+BY666</f>
        <v>-0.43896623411200109</v>
      </c>
      <c r="BZ662" s="1482">
        <f>BZ663+BZ666</f>
        <v>-36.078905745913382</v>
      </c>
      <c r="CA662" s="1481">
        <f>CA663+CA666</f>
        <v>-27.326672848036957</v>
      </c>
      <c r="CB662" s="1479"/>
      <c r="CC662" s="1482">
        <f>CC663+CC666</f>
        <v>-8.8596222146354897</v>
      </c>
      <c r="CD662" s="1482">
        <f>CD663+CD666</f>
        <v>-12.329180455467529</v>
      </c>
      <c r="CE662" s="1482">
        <f>CE663+CE666</f>
        <v>-17.49062414644877</v>
      </c>
      <c r="CF662" s="1482">
        <f>CF663+CF666</f>
        <v>8.6680838835919793</v>
      </c>
      <c r="CG662" s="1481">
        <f>CG663+CG666</f>
        <v>-29.031004507443825</v>
      </c>
      <c r="CH662" s="1479"/>
      <c r="CI662" s="1482">
        <f>CI663+CI666</f>
        <v>-30.460274352892899</v>
      </c>
      <c r="CJ662" s="1482">
        <f>CJ663+CJ666</f>
        <v>-26.636984952821514</v>
      </c>
      <c r="CK662" s="1482">
        <f>CK663+CK666</f>
        <v>-5.9354848318012925</v>
      </c>
      <c r="CL662" s="1482">
        <f>CL663+CL666</f>
        <v>17.929822226935897</v>
      </c>
      <c r="CM662" s="1481">
        <f>CM663+CM666</f>
        <v>-45.571169899964573</v>
      </c>
      <c r="CN662" s="1479"/>
      <c r="CO662" s="1482">
        <f>CO663+CO666</f>
        <v>22.341565021535231</v>
      </c>
      <c r="CP662" s="1482">
        <f>CP663+CP666</f>
        <v>26.696119688617308</v>
      </c>
      <c r="CQ662" s="1482">
        <f>CQ663+CQ666</f>
        <v>22.022398804542945</v>
      </c>
      <c r="CR662" s="1482">
        <f>CR663+CR666</f>
        <v>19.200734240586229</v>
      </c>
      <c r="CS662" s="1481">
        <f>CS663+CS666</f>
        <v>90.209109832247989</v>
      </c>
      <c r="CT662" s="1479"/>
      <c r="CU662" s="1482">
        <f>CU663+CU666</f>
        <v>23.849791774597691</v>
      </c>
      <c r="CV662" s="1482">
        <f>CV663+CV666</f>
        <v>20.306982439062647</v>
      </c>
      <c r="CW662" s="1482">
        <f>CW663+CW666</f>
        <v>16.487899097191349</v>
      </c>
      <c r="CX662" s="1482">
        <f>CX663+CX666</f>
        <v>-7.7930917497704026</v>
      </c>
      <c r="CY662" s="1481">
        <f>CY663+CY666</f>
        <v>47.704660269255591</v>
      </c>
      <c r="CZ662" s="1479"/>
      <c r="DA662" s="1482">
        <f>DA663+DA666</f>
        <v>11.54717218986108</v>
      </c>
      <c r="DB662" s="1482">
        <f>DB663+DB666</f>
        <v>6.7669484501701156</v>
      </c>
      <c r="DC662" s="1482">
        <f>DC663+DC666</f>
        <v>-18.250339043856055</v>
      </c>
      <c r="DD662" s="1482">
        <f>DD663+DD666</f>
        <v>-35.744655390266658</v>
      </c>
      <c r="DE662" s="1481">
        <f>DE663+DE666</f>
        <v>-31.562831745385974</v>
      </c>
      <c r="DF662" s="1479"/>
      <c r="DG662" s="1482">
        <f>DG663+DG666</f>
        <v>-47.408493940208785</v>
      </c>
      <c r="DH662" s="1482">
        <f>DH663+DH666</f>
        <v>-41.441753316900417</v>
      </c>
      <c r="DI662" s="1482">
        <f>DI663+DI666</f>
        <v>-10.575621760878603</v>
      </c>
      <c r="DJ662" s="1482">
        <f>DJ663+DJ666</f>
        <v>21.403660678758957</v>
      </c>
      <c r="DK662" s="1481">
        <f>DK663+DK666</f>
        <v>-69.549079713182962</v>
      </c>
      <c r="DL662" s="1479"/>
      <c r="DM662" s="1482">
        <f>DM663+DM666</f>
        <v>131.42320220118387</v>
      </c>
      <c r="DN662" s="1482">
        <f>DN663+DN666</f>
        <v>124.45956062600516</v>
      </c>
      <c r="DO662" s="1482">
        <f>DO663+DO666</f>
        <v>137.85439854382579</v>
      </c>
      <c r="DP662" s="1482">
        <f>DP663+DP666</f>
        <v>140.35867594894273</v>
      </c>
      <c r="DQ662" s="1481">
        <f>DQ663+DQ666</f>
        <v>359.92757521285222</v>
      </c>
      <c r="DR662" s="1479"/>
      <c r="DS662" s="1482">
        <f>DS663+DS666</f>
        <v>0</v>
      </c>
      <c r="DT662" s="1482">
        <f>DT663+DT666</f>
        <v>0</v>
      </c>
      <c r="DU662" s="1482">
        <f>DU663+DU666</f>
        <v>0</v>
      </c>
      <c r="DV662" s="1482">
        <f>DV663+DV666</f>
        <v>0</v>
      </c>
      <c r="DW662" s="1481">
        <f>DW663+DW666</f>
        <v>-6.5416586791884477</v>
      </c>
      <c r="DX662" s="1479"/>
      <c r="DY662" s="1482">
        <f>DY663+DY666</f>
        <v>-46.5416006821781</v>
      </c>
      <c r="DZ662" s="1482">
        <f>DZ663+DZ666</f>
        <v>-52.40656205420828</v>
      </c>
      <c r="EA662" s="1482">
        <f>EA663+EA666</f>
        <v>-41.307803790412478</v>
      </c>
      <c r="EB662" s="1482">
        <f>EB663+EB666</f>
        <v>-62.372320043791618</v>
      </c>
      <c r="EC662" s="1481">
        <f>EC663+EC666</f>
        <v>-2.9899058155153773</v>
      </c>
      <c r="ED662" s="1479"/>
      <c r="EE662" s="1482">
        <f>EE663+EE666</f>
        <v>4.8584909210142495</v>
      </c>
      <c r="EF662" s="1482">
        <f>EF663+EF666</f>
        <v>6.0445334559904715</v>
      </c>
      <c r="EG662" s="1482">
        <f>EG663+EG666</f>
        <v>-11.752161091677387</v>
      </c>
      <c r="EH662" s="1482">
        <f>EH663+EH666</f>
        <v>0.43834438441180268</v>
      </c>
      <c r="EI662" s="1481">
        <f>EI663+EI666</f>
        <v>2.130802697115314</v>
      </c>
      <c r="EJ662" s="1479"/>
      <c r="EK662" s="1482">
        <f>EK663+EK666</f>
        <v>-5.7858511435165063</v>
      </c>
      <c r="EL662" s="1482">
        <f>EL663+EL666</f>
        <v>1.6317998724446916</v>
      </c>
      <c r="EM662" s="1482">
        <f>EM663+EM666</f>
        <v>5.1141881562009708</v>
      </c>
      <c r="EN662" s="1482">
        <f>EN663+EN666</f>
        <v>-0.71698634215752222</v>
      </c>
      <c r="EO662" s="1481">
        <f>EO663+EO666</f>
        <v>0.60631203241948484</v>
      </c>
      <c r="EP662" s="1479"/>
      <c r="EQ662" s="1482">
        <f>EQ663+EQ666</f>
        <v>3.2389247845973945</v>
      </c>
      <c r="ER662" s="1482">
        <f>ER663+ER666</f>
        <v>-15.805490941499039</v>
      </c>
      <c r="ES662" s="1482">
        <f>ES663+ES666</f>
        <v>-23.78242734510215</v>
      </c>
      <c r="ET662" s="1482"/>
      <c r="EU662" s="1481"/>
      <c r="EV662" s="1479"/>
      <c r="EW662" s="1482"/>
      <c r="EX662" s="1479"/>
      <c r="EY662" s="1479"/>
      <c r="EZ662" s="1479"/>
      <c r="FA662" s="1480"/>
      <c r="FB662" s="1479"/>
      <c r="FC662" s="1479"/>
      <c r="FD662" s="1479"/>
      <c r="FE662" s="1479"/>
      <c r="FF662" s="1479"/>
      <c r="FG662" s="1480"/>
      <c r="FH662" s="1479"/>
      <c r="FI662" s="1479"/>
      <c r="FJ662" s="1479"/>
      <c r="FK662" s="1479"/>
      <c r="FL662" s="1479"/>
      <c r="FM662" s="1480"/>
      <c r="FQ662"/>
      <c r="FR662"/>
      <c r="FS662"/>
      <c r="FT662"/>
      <c r="FU662"/>
      <c r="FV662"/>
      <c r="GB662" s="24"/>
      <c r="GC662" s="24"/>
      <c r="GD662" s="24"/>
      <c r="GE662" s="24"/>
      <c r="GF662" s="24"/>
      <c r="GG662" s="24"/>
      <c r="GH662" s="24"/>
      <c r="GI662" s="24"/>
      <c r="GJ662"/>
      <c r="GK662"/>
      <c r="GL662"/>
      <c r="GM662"/>
      <c r="GN662"/>
      <c r="GO662"/>
      <c r="GP662"/>
      <c r="GQ662"/>
      <c r="GR662"/>
      <c r="GS662"/>
      <c r="GT662"/>
      <c r="GU662"/>
      <c r="GV662"/>
      <c r="GW662"/>
      <c r="GX662"/>
      <c r="GY662"/>
      <c r="GZ662"/>
      <c r="HA662"/>
      <c r="HB662"/>
      <c r="HC662"/>
      <c r="HD662"/>
      <c r="HE662"/>
      <c r="HF662"/>
      <c r="HG662"/>
      <c r="HH662"/>
      <c r="HI662"/>
      <c r="HJ662"/>
      <c r="HK662"/>
      <c r="HL662"/>
      <c r="HM662"/>
      <c r="HN662"/>
      <c r="HO662"/>
      <c r="HP662"/>
      <c r="HQ662"/>
      <c r="HR662"/>
      <c r="HS662"/>
      <c r="HT662"/>
      <c r="HU662"/>
      <c r="HV662"/>
      <c r="HW662"/>
      <c r="HX662"/>
      <c r="HY662"/>
      <c r="HZ662"/>
      <c r="IA662"/>
      <c r="IB662"/>
      <c r="IC662"/>
      <c r="ID662"/>
      <c r="IE662"/>
      <c r="IF662"/>
      <c r="IG662"/>
      <c r="IH662"/>
      <c r="II662"/>
      <c r="IJ662"/>
      <c r="IK662"/>
      <c r="IL662"/>
      <c r="IM662"/>
      <c r="IN662"/>
      <c r="IO662"/>
      <c r="IP662"/>
      <c r="IQ662"/>
      <c r="IR662"/>
      <c r="IS662"/>
      <c r="IT662"/>
      <c r="IU662"/>
      <c r="IV662"/>
      <c r="IW662"/>
      <c r="IX662"/>
      <c r="IY662"/>
      <c r="IZ662"/>
      <c r="JA662"/>
      <c r="JB662"/>
      <c r="JC662"/>
      <c r="JD662"/>
      <c r="JE662"/>
      <c r="JF662"/>
      <c r="JG662"/>
      <c r="JH662"/>
      <c r="JI662"/>
      <c r="JJ662"/>
      <c r="JK662"/>
      <c r="JL662"/>
      <c r="JM662"/>
      <c r="JN662"/>
    </row>
    <row r="663" spans="1:274" s="749" customFormat="1" ht="12.75" hidden="1" customHeight="1" outlineLevel="1" x14ac:dyDescent="0.2">
      <c r="A663" s="750" t="s">
        <v>635</v>
      </c>
      <c r="B663" s="747"/>
      <c r="C663" s="65"/>
      <c r="D663" s="65"/>
      <c r="E663" s="65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5"/>
      <c r="AC663" s="65"/>
      <c r="AD663" s="65"/>
      <c r="AE663" s="65"/>
      <c r="AF663" s="65"/>
      <c r="AG663" s="65"/>
      <c r="AH663" s="65"/>
      <c r="AI663" s="65"/>
      <c r="AJ663" s="65"/>
      <c r="AK663" s="65"/>
      <c r="AL663" s="65"/>
      <c r="AM663" s="65"/>
      <c r="AN663" s="65"/>
      <c r="AO663" s="65"/>
      <c r="AP663" s="65"/>
      <c r="AQ663" s="65"/>
      <c r="AR663" s="65"/>
      <c r="AS663" s="65"/>
      <c r="AT663" s="65"/>
      <c r="AU663" s="65"/>
      <c r="AV663" s="65"/>
      <c r="AW663" s="65"/>
      <c r="AX663" s="65"/>
      <c r="AY663" s="65"/>
      <c r="AZ663" s="65"/>
      <c r="BA663" s="65"/>
      <c r="BB663" s="65"/>
      <c r="BC663" s="748"/>
      <c r="BD663" s="65"/>
      <c r="BE663" s="65"/>
      <c r="BF663" s="65"/>
      <c r="BG663" s="65"/>
      <c r="BH663" s="65"/>
      <c r="BI663" s="751">
        <f>BI664*BI665*BI$604</f>
        <v>-10.792225249159745</v>
      </c>
      <c r="BJ663" s="752"/>
      <c r="BK663" s="752">
        <f>BK664*BK665*BK$604</f>
        <v>0.92323779922990101</v>
      </c>
      <c r="BL663" s="752">
        <f>BL664*BL665*BL$604</f>
        <v>1.6849342734967832</v>
      </c>
      <c r="BM663" s="752">
        <f>BM664*BM665*BM$604</f>
        <v>2.8093132324768657</v>
      </c>
      <c r="BN663" s="752">
        <f>BN664*BN665*BN$604</f>
        <v>4.8558623446012108</v>
      </c>
      <c r="BO663" s="751">
        <f>BO664*BO665*BO$604</f>
        <v>10.14755469658852</v>
      </c>
      <c r="BP663" s="752"/>
      <c r="BQ663" s="752">
        <f>BQ664*BQ665*BQ$604</f>
        <v>1.1387252527728178</v>
      </c>
      <c r="BR663" s="752">
        <f>BR664*BR665*BR$604</f>
        <v>1.1426085570782292</v>
      </c>
      <c r="BS663" s="752">
        <f>BS664*BS665*BS$604</f>
        <v>1.736027033469713</v>
      </c>
      <c r="BT663" s="752">
        <f>BT664*BT665*BT$604</f>
        <v>0.24880601127690516</v>
      </c>
      <c r="BU663" s="751">
        <f>BU664*BU665*BU$604</f>
        <v>4.8327200266271282</v>
      </c>
      <c r="BV663" s="65"/>
      <c r="BW663" s="752">
        <f>BW664*BW665*BW$604</f>
        <v>-2.2627438594137432</v>
      </c>
      <c r="BX663" s="752">
        <f>BX664*BX665*BX$604</f>
        <v>-0.60114281484927823</v>
      </c>
      <c r="BY663" s="752">
        <f>BY664*BY665*BY$604</f>
        <v>-0.26154687927329001</v>
      </c>
      <c r="BZ663" s="752">
        <f>BZ664*BZ665*BZ$604</f>
        <v>2.9351787611288693</v>
      </c>
      <c r="CA663" s="751">
        <f>CA664*CA665*CA$604</f>
        <v>0.35937366359094763</v>
      </c>
      <c r="CB663" s="65"/>
      <c r="CC663" s="752">
        <f>CC664*CC665*CC$604</f>
        <v>2.802349616350428</v>
      </c>
      <c r="CD663" s="752">
        <f>CD664*CD665*CD$604</f>
        <v>1.1228743390530176</v>
      </c>
      <c r="CE663" s="752">
        <f>CE664*CE665*CE$604</f>
        <v>-3.7763384321630569</v>
      </c>
      <c r="CF663" s="752">
        <f>CF664*CF665*CF$604</f>
        <v>-21.704009139663832</v>
      </c>
      <c r="CG663" s="751">
        <f>CG664*CG665*CG$604</f>
        <v>-12.2492455497891</v>
      </c>
      <c r="CH663" s="65"/>
      <c r="CI663" s="752">
        <f>CI664*CI665*CI$604</f>
        <v>-8.6031314957500413</v>
      </c>
      <c r="CJ663" s="752">
        <f>CJ664*CJ665*CJ$604</f>
        <v>-16.763421734430711</v>
      </c>
      <c r="CK663" s="752">
        <f>CK664*CK665*CK$604</f>
        <v>-12.935484831801292</v>
      </c>
      <c r="CL663" s="752">
        <f>CL664*CL665*CL$604</f>
        <v>4.7084481811343686</v>
      </c>
      <c r="CM663" s="751">
        <f>CM664*CM665*CM$604</f>
        <v>-35.314888492929391</v>
      </c>
      <c r="CN663" s="65"/>
      <c r="CO663" s="752">
        <f>CO664*CO665*CO$604</f>
        <v>-0.71443497846476844</v>
      </c>
      <c r="CP663" s="752">
        <f>CP664*CP665*CP$604</f>
        <v>6.2746911171887367</v>
      </c>
      <c r="CQ663" s="752">
        <f>CQ664*CQ665*CQ$604</f>
        <v>-1.4001364067246642</v>
      </c>
      <c r="CR663" s="752">
        <f>CR664*CR665*CR$604</f>
        <v>-6.3127792729272878</v>
      </c>
      <c r="CS663" s="751">
        <f>CS664*CS665*CS$604</f>
        <v>-3.2323316091934617</v>
      </c>
      <c r="CT663" s="65"/>
      <c r="CU663" s="752">
        <f>CU664*CU665*CU$604</f>
        <v>-3.9350183519845863</v>
      </c>
      <c r="CV663" s="752">
        <f>CV664*CV665*CV$604</f>
        <v>-5.5313409142307641</v>
      </c>
      <c r="CW663" s="752">
        <f>CW664*CW665*CW$604</f>
        <v>-5.3856641211994534</v>
      </c>
      <c r="CX663" s="752">
        <f>CX664*CX665*CX$604</f>
        <v>-7.4053366477295857</v>
      </c>
      <c r="CY663" s="751">
        <f>CY664*CY665*CY$604</f>
        <v>-24.885267788298385</v>
      </c>
      <c r="CZ663" s="65"/>
      <c r="DA663" s="752">
        <f>DA664*DA665*DA$604</f>
        <v>0.70101834370723204</v>
      </c>
      <c r="DB663" s="752">
        <f>DB664*DB665*DB$604</f>
        <v>2.4865251697468285</v>
      </c>
      <c r="DC663" s="752">
        <f>DC664*DC665*DC$604</f>
        <v>3.61353530169368</v>
      </c>
      <c r="DD663" s="752">
        <f>DD664*DD665*DD$604</f>
        <v>-7.4031919756325051</v>
      </c>
      <c r="DE663" s="751">
        <f>DE664*DE665*DE$604</f>
        <v>3.7935785110243119</v>
      </c>
      <c r="DF663" s="65"/>
      <c r="DG663" s="752">
        <f>DG664*DG665*DG$604</f>
        <v>-17.44182727354212</v>
      </c>
      <c r="DH663" s="752">
        <f>DH664*DH665*DH$604</f>
        <v>-27.415157572219556</v>
      </c>
      <c r="DI663" s="752">
        <f>DI664*DI665*DI$604</f>
        <v>-21.042911480504777</v>
      </c>
      <c r="DJ663" s="752">
        <f>DJ664*DJ665*DJ$604</f>
        <v>-8.8783065343558079</v>
      </c>
      <c r="DK663" s="751">
        <f>DK664*DK665*DK$604</f>
        <v>-80.879406657940564</v>
      </c>
      <c r="DL663" s="65"/>
      <c r="DM663" s="752">
        <f>DM664*DM665*DM$604</f>
        <v>131.42320220118387</v>
      </c>
      <c r="DN663" s="752">
        <f>DN664*DN665*DN$604</f>
        <v>124.45956062600516</v>
      </c>
      <c r="DO663" s="752">
        <f>DO664*DO665*DO$604</f>
        <v>137.85439854382579</v>
      </c>
      <c r="DP663" s="752">
        <f>DP664*DP665*DP$604</f>
        <v>140.35867594894273</v>
      </c>
      <c r="DQ663" s="751">
        <f>DQ664*DQ665*DQ$604</f>
        <v>354.16740079424756</v>
      </c>
      <c r="DR663" s="65"/>
      <c r="DS663" s="752">
        <f>DS664*DS665*DS$604</f>
        <v>0</v>
      </c>
      <c r="DT663" s="752">
        <f>DT664*DT665*DT$604</f>
        <v>0</v>
      </c>
      <c r="DU663" s="752">
        <f>DU664*DU665*DU$604</f>
        <v>0</v>
      </c>
      <c r="DV663" s="752">
        <f>DV664*DV665*DV$604</f>
        <v>0</v>
      </c>
      <c r="DW663" s="751">
        <f>DW664*DW665*DW$604</f>
        <v>9.8372233083891842</v>
      </c>
      <c r="DX663" s="65"/>
      <c r="DY663" s="752">
        <f>DY664*DY665*DY$604</f>
        <v>-68.5416006821781</v>
      </c>
      <c r="DZ663" s="752">
        <f>DZ664*DZ665*DZ$604</f>
        <v>-62.40656205420828</v>
      </c>
      <c r="EA663" s="752">
        <f>EA664*EA665*EA$604</f>
        <v>-77.307803790412478</v>
      </c>
      <c r="EB663" s="752">
        <f>EB664*EB665*EB$604</f>
        <v>-85.372320043791618</v>
      </c>
      <c r="EC663" s="751">
        <f>EC664*EC665*EC$604</f>
        <v>5.7912758037406347</v>
      </c>
      <c r="ED663" s="65"/>
      <c r="EE663" s="752">
        <f>EE664*EE665*EE$604</f>
        <v>-11.288298069811434</v>
      </c>
      <c r="EF663" s="752">
        <f>EF664*EF665*EF$604</f>
        <v>-28.976085100710559</v>
      </c>
      <c r="EG663" s="752">
        <f>EG664*EG665*EG$604</f>
        <v>-11.63645861233854</v>
      </c>
      <c r="EH663" s="752">
        <f>EH664*EH665*EH$604</f>
        <v>-20.034523832642464</v>
      </c>
      <c r="EI663" s="751">
        <f>EI664*EI665*EI$604</f>
        <v>-66.535863969551343</v>
      </c>
      <c r="EJ663" s="65"/>
      <c r="EK663" s="752">
        <f>EK664*EK665*EK$604</f>
        <v>-7.7713583898933205</v>
      </c>
      <c r="EL663" s="752">
        <f>EL664*EL665*EL$604</f>
        <v>-6.077877546910142</v>
      </c>
      <c r="EM663" s="752">
        <f>EM664*EM665*EM$604</f>
        <v>-0.77613442444419167</v>
      </c>
      <c r="EN663" s="752">
        <f>EN664*EN665*EN$604</f>
        <v>-2.9607363421575221</v>
      </c>
      <c r="EO663" s="751">
        <f>EO664*EO665*EO$604</f>
        <v>-17.518687967580508</v>
      </c>
      <c r="EP663" s="65"/>
      <c r="EQ663" s="752">
        <f>EQ664*EQ665*EQ$604</f>
        <v>-2.1173252154026039</v>
      </c>
      <c r="ER663" s="752">
        <f>ER664*ER665*ER$604</f>
        <v>-2.0479151839232865</v>
      </c>
      <c r="ES663" s="752">
        <f>ES664*ES665*ES$604</f>
        <v>-6.0587431345758365</v>
      </c>
      <c r="ET663" s="752"/>
      <c r="EU663" s="751"/>
      <c r="EV663" s="65"/>
      <c r="EW663" s="752"/>
      <c r="EX663" s="65"/>
      <c r="EY663" s="65"/>
      <c r="EZ663" s="65"/>
      <c r="FA663" s="748"/>
      <c r="FB663" s="65"/>
      <c r="FC663" s="65"/>
      <c r="FD663" s="65"/>
      <c r="FE663" s="65"/>
      <c r="FF663" s="65"/>
      <c r="FG663" s="748"/>
      <c r="FH663" s="65"/>
      <c r="FI663" s="65"/>
      <c r="FJ663" s="65"/>
      <c r="FK663" s="65"/>
      <c r="FL663" s="65"/>
      <c r="FM663" s="748"/>
      <c r="FQ663"/>
      <c r="FR663"/>
      <c r="FS663"/>
      <c r="FT663"/>
      <c r="FU663"/>
      <c r="FV663"/>
      <c r="GB663" s="24"/>
      <c r="GC663" s="24"/>
      <c r="GD663" s="24"/>
      <c r="GE663" s="24"/>
      <c r="GF663" s="24"/>
      <c r="GG663" s="24"/>
      <c r="GH663" s="24"/>
      <c r="GI663" s="24"/>
      <c r="GJ663"/>
      <c r="GK663"/>
      <c r="GL663"/>
      <c r="GM663"/>
      <c r="GN663"/>
      <c r="GO663"/>
      <c r="GP663"/>
      <c r="GQ663"/>
      <c r="GR663"/>
      <c r="GS663"/>
      <c r="GT663"/>
      <c r="GU663"/>
      <c r="GV663"/>
      <c r="GW663"/>
      <c r="GX663"/>
      <c r="GY663"/>
      <c r="GZ663"/>
      <c r="HA663"/>
      <c r="HB663"/>
      <c r="HC663"/>
      <c r="HD663"/>
      <c r="HE663"/>
      <c r="HF663"/>
      <c r="HG663"/>
      <c r="HH663"/>
      <c r="HI663"/>
      <c r="HJ663"/>
      <c r="HK663"/>
      <c r="HL663"/>
      <c r="HM663"/>
      <c r="HN663"/>
      <c r="HO663"/>
      <c r="HP663"/>
      <c r="HQ663"/>
      <c r="HR663"/>
      <c r="HS663"/>
      <c r="HT663"/>
      <c r="HU663"/>
      <c r="HV663"/>
      <c r="HW663"/>
      <c r="HX663"/>
      <c r="HY663"/>
      <c r="HZ663"/>
      <c r="IA663"/>
      <c r="IB663"/>
      <c r="IC663"/>
      <c r="ID663"/>
      <c r="IE663"/>
      <c r="IF663"/>
      <c r="IG663"/>
      <c r="IH663"/>
      <c r="II663"/>
      <c r="IJ663"/>
      <c r="IK663"/>
      <c r="IL663"/>
      <c r="IM663"/>
      <c r="IN663"/>
      <c r="IO663"/>
      <c r="IP663"/>
      <c r="IQ663"/>
      <c r="IR663"/>
      <c r="IS663"/>
      <c r="IT663"/>
      <c r="IU663"/>
      <c r="IV663"/>
      <c r="IW663"/>
      <c r="IX663"/>
      <c r="IY663"/>
      <c r="IZ663"/>
      <c r="JA663"/>
      <c r="JB663"/>
      <c r="JC663"/>
      <c r="JD663"/>
      <c r="JE663"/>
      <c r="JF663"/>
      <c r="JG663"/>
      <c r="JH663"/>
      <c r="JI663"/>
      <c r="JJ663"/>
      <c r="JK663"/>
      <c r="JL663"/>
      <c r="JM663"/>
      <c r="JN663"/>
    </row>
    <row r="664" spans="1:274" s="64" customFormat="1" ht="12.75" hidden="1" customHeight="1" outlineLevel="2" x14ac:dyDescent="0.2">
      <c r="A664" s="753" t="s">
        <v>636</v>
      </c>
      <c r="B664" s="71"/>
      <c r="C664" s="71"/>
      <c r="D664" s="71"/>
      <c r="E664" s="71"/>
      <c r="F664" s="71"/>
      <c r="G664" s="71"/>
      <c r="H664" s="71"/>
      <c r="I664" s="71"/>
      <c r="J664" s="71"/>
      <c r="K664" s="71"/>
      <c r="L664" s="71"/>
      <c r="M664" s="71"/>
      <c r="N664" s="71"/>
      <c r="O664" s="71"/>
      <c r="P664" s="71"/>
      <c r="Q664" s="71"/>
      <c r="R664" s="71"/>
      <c r="S664" s="71"/>
      <c r="T664" s="71"/>
      <c r="U664" s="71"/>
      <c r="V664" s="71"/>
      <c r="W664" s="71"/>
      <c r="X664" s="71"/>
      <c r="Y664" s="71"/>
      <c r="Z664" s="71"/>
      <c r="AA664" s="71"/>
      <c r="AB664" s="71"/>
      <c r="AC664" s="71"/>
      <c r="AD664" s="71"/>
      <c r="AE664" s="71"/>
      <c r="AF664" s="71"/>
      <c r="AG664" s="71"/>
      <c r="AH664" s="71"/>
      <c r="AI664" s="71"/>
      <c r="AJ664" s="71"/>
      <c r="AK664" s="71"/>
      <c r="AL664" s="71"/>
      <c r="AM664" s="71"/>
      <c r="AN664" s="71"/>
      <c r="AO664" s="71"/>
      <c r="AP664" s="71"/>
      <c r="AQ664" s="71"/>
      <c r="AR664" s="71"/>
      <c r="AS664" s="71"/>
      <c r="AT664" s="71"/>
      <c r="AU664" s="71"/>
      <c r="AV664" s="71"/>
      <c r="AW664" s="71"/>
      <c r="AX664" s="71"/>
      <c r="AY664" s="71"/>
      <c r="AZ664" s="71"/>
      <c r="BA664" s="71"/>
      <c r="BB664" s="71"/>
      <c r="BC664" s="754"/>
      <c r="BD664" s="71"/>
      <c r="BE664" s="71"/>
      <c r="BF664" s="71"/>
      <c r="BG664" s="71"/>
      <c r="BH664" s="71"/>
      <c r="BI664" s="754">
        <f>(BI591/BI$604)-(BC591/BC$604)</f>
        <v>7.2751098499625813E-3</v>
      </c>
      <c r="BJ664" s="71"/>
      <c r="BK664" s="71">
        <f>(BK591/BK$604)-(BE591/BE$604)</f>
        <v>-5.0864062071397792E-3</v>
      </c>
      <c r="BL664" s="71">
        <f>(BL591/BL$604)-(BF591/BF$604)</f>
        <v>-7.156322901616257E-3</v>
      </c>
      <c r="BM664" s="71">
        <f>(BM591/BM$604)-(BG591/BG$604)</f>
        <v>-5.7514924768089365E-3</v>
      </c>
      <c r="BN664" s="71">
        <f>(BN591/BN$604)-(BH591/BH$604)</f>
        <v>-5.7009199502534129E-3</v>
      </c>
      <c r="BO664" s="754">
        <f>(BO591/BO$604)-(BI591/BI$604)</f>
        <v>-6.061143999823243E-3</v>
      </c>
      <c r="BP664" s="71"/>
      <c r="BQ664" s="71">
        <f>(BQ591/BQ$604)-(BK591/BK$604)</f>
        <v>-2.6006564468102934E-3</v>
      </c>
      <c r="BR664" s="71">
        <f>(BR591/BR$604)-(BL591/BL$604)</f>
        <v>-1.6968100248930182E-3</v>
      </c>
      <c r="BS664" s="71">
        <f>(BS591/BS$604)-(BM591/BM$604)</f>
        <v>-2.5971522026556164E-3</v>
      </c>
      <c r="BT664" s="71">
        <f>(BT591/BT$604)-(BN591/BN$604)</f>
        <v>-2.3889370974838897E-4</v>
      </c>
      <c r="BU664" s="754">
        <f>(BU591/BU$604)-(BO591/BO$604)</f>
        <v>-1.7203083091113722E-3</v>
      </c>
      <c r="BV664" s="71"/>
      <c r="BW664" s="71">
        <f>(BW591/BW$604)-(BQ591/BQ$604)</f>
        <v>3.0966471147058049E-3</v>
      </c>
      <c r="BX664" s="71">
        <f>(BX591/BX$604)-(BR591/BR$604)</f>
        <v>4.668466267934504E-4</v>
      </c>
      <c r="BY664" s="71">
        <f>(BY591/BY$604)-(BS591/BS$604)</f>
        <v>1.8388376690342198E-4</v>
      </c>
      <c r="BZ664" s="71">
        <f>(BZ591/BZ$604)-(BT591/BT$604)</f>
        <v>-1.8660384291872383E-3</v>
      </c>
      <c r="CA664" s="754">
        <f>(CA591/CA$604)-(BU591/BU$604)</f>
        <v>-7.157913251031045E-5</v>
      </c>
      <c r="CB664" s="71"/>
      <c r="CC664" s="71">
        <f>(CC591/CC$604)-(BW591/BW$604)</f>
        <v>-3.1584072383854349E-3</v>
      </c>
      <c r="CD664" s="71">
        <f>(CD591/CD$604)-(BX591/BX$604)</f>
        <v>-8.5419244923808785E-4</v>
      </c>
      <c r="CE664" s="71">
        <f>(CE591/CE$604)-(BY591/BY$604)</f>
        <v>2.2697618863340568E-3</v>
      </c>
      <c r="CF664" s="71">
        <f>(CF591/CF$604)-(BZ591/BZ$604)</f>
        <v>5.3313235555679898E-3</v>
      </c>
      <c r="CG664" s="754">
        <f>(CG591/CG$604)-(CA591/CA$604)</f>
        <v>1.6125658050054024E-3</v>
      </c>
      <c r="CH664" s="71"/>
      <c r="CI664" s="71">
        <f>(CI591/CI$604)-(CC591/CC$604)</f>
        <v>5.2479077572460016E-3</v>
      </c>
      <c r="CJ664" s="71">
        <f>(CJ591/CJ$604)-(CD591/CD$604)</f>
        <v>7.5733602886665675E-3</v>
      </c>
      <c r="CK664" s="71">
        <f>(CK591/CK$604)-(CE591/CE$604)</f>
        <v>4.7525988747781425E-3</v>
      </c>
      <c r="CL664" s="71">
        <f>(CL591/CL$604)-(CF591/CF$604)</f>
        <v>-1.3781985752208334E-3</v>
      </c>
      <c r="CM664" s="754">
        <f>(CM591/CM$604)-(CG591/CG$604)</f>
        <v>3.5364182881504717E-3</v>
      </c>
      <c r="CN664" s="71"/>
      <c r="CO664" s="71">
        <f>(CO591/CO$604)-(CI591/CI$604)</f>
        <v>2.5649758700177494E-4</v>
      </c>
      <c r="CP664" s="71">
        <f>(CP591/CP$604)-(CJ591/CJ$604)</f>
        <v>-2.0733486437802331E-3</v>
      </c>
      <c r="CQ664" s="71">
        <f>(CQ591/CQ$604)-(CK591/CK$604)</f>
        <v>4.7891704151634129E-4</v>
      </c>
      <c r="CR664" s="71">
        <f>(CR591/CR$604)-(CL591/CL$604)</f>
        <v>1.7578695155715668E-3</v>
      </c>
      <c r="CS664" s="754">
        <f>(CS591/CS$604)-(CM591/CM$604)</f>
        <v>2.5886360246137399E-4</v>
      </c>
      <c r="CT664" s="71"/>
      <c r="CU664" s="71">
        <f>(CU591/CU$604)-(CO591/CO$604)</f>
        <v>1.5644145345550531E-3</v>
      </c>
      <c r="CV664" s="71">
        <f>(CV591/CV$604)-(CP591/CP$604)</f>
        <v>2.1002083981586234E-3</v>
      </c>
      <c r="CW664" s="71">
        <f>(CW591/CW$604)-(CQ591/CQ$604)</f>
        <v>2.3058330591072609E-3</v>
      </c>
      <c r="CX664" s="71">
        <f>(CX591/CX$604)-(CR591/CR$604)</f>
        <v>2.86847316234453E-3</v>
      </c>
      <c r="CY664" s="754">
        <f>(CY591/CY$604)-(CS591/CS$604)</f>
        <v>2.45858207550698E-3</v>
      </c>
      <c r="CZ664" s="71"/>
      <c r="DA664" s="71">
        <f>(DA591/DA$604)-(CU591/CU$604)</f>
        <v>-4.125444701082101E-4</v>
      </c>
      <c r="DB664" s="71">
        <f>(DB591/DB$604)-(CV591/CV$604)</f>
        <v>-1.2173421000810161E-3</v>
      </c>
      <c r="DC664" s="71">
        <f>(DC591/DC$604)-(CW591/CW$604)</f>
        <v>-1.6211877667012958E-3</v>
      </c>
      <c r="DD664" s="71">
        <f>(DD591/DD$604)-(CX591/CX$604)</f>
        <v>1.8840064061649807E-3</v>
      </c>
      <c r="DE664" s="754">
        <f>(DE591/DE$604)-(CY591/CY$604)</f>
        <v>-3.8801800159180694E-4</v>
      </c>
      <c r="DF664" s="71"/>
      <c r="DG664" s="71">
        <f>(DG591/DG$604)-(DA591/DA$604)</f>
        <v>6.8833801116995955E-3</v>
      </c>
      <c r="DH664" s="71">
        <f>(DH591/DH$604)-(DB591/DB$604)</f>
        <v>8.797618158751401E-3</v>
      </c>
      <c r="DI664" s="71">
        <f>(DI591/DI$604)-(DC591/DC$604)</f>
        <v>5.4112614329973954E-3</v>
      </c>
      <c r="DJ664" s="71">
        <f>(DJ591/DJ$604)-(DD591/DD$604)</f>
        <v>1.8280486841566607E-3</v>
      </c>
      <c r="DK664" s="754">
        <f>(DK591/DK$604)-(DE591/DE$604)</f>
        <v>5.5716129562143335E-3</v>
      </c>
      <c r="DL664" s="71"/>
      <c r="DM664" s="71">
        <f>(DM591/DM$604)-(DG591/DG$604)</f>
        <v>-4.2435424354243544E-2</v>
      </c>
      <c r="DN664" s="71">
        <f>(DN591/DN$604)-(DH591/DH$604)</f>
        <v>-4.0813966932593364E-2</v>
      </c>
      <c r="DO664" s="71">
        <f>(DO591/DO$604)-(DI591/DI$604)</f>
        <v>-3.8492108550017029E-2</v>
      </c>
      <c r="DP664" s="71">
        <f>(DP591/DP$604)-(DJ591/DJ$604)</f>
        <v>-3.3499907458819173E-2</v>
      </c>
      <c r="DQ664" s="754">
        <f>(DQ591/DQ$604)-(DK591/DK$604)</f>
        <v>-2.5405602339705874E-2</v>
      </c>
      <c r="DR664" s="71"/>
      <c r="DS664" s="71">
        <f>(DS591/DS$604)-(DM591/DM$604)</f>
        <v>0</v>
      </c>
      <c r="DT664" s="71">
        <f>(DT591/DT$604)-(DN591/DN$604)</f>
        <v>0</v>
      </c>
      <c r="DU664" s="71">
        <f>(DU591/DU$604)-(DO591/DO$604)</f>
        <v>0</v>
      </c>
      <c r="DV664" s="71">
        <f>(DV591/DV$604)-(DP591/DP$604)</f>
        <v>0</v>
      </c>
      <c r="DW664" s="754">
        <f>(DW591/DW$604)-(DQ591/DQ$604)</f>
        <v>-7.0907710670153543E-4</v>
      </c>
      <c r="DX664" s="71"/>
      <c r="DY664" s="71">
        <f>(DY591/DY$604)-(DS591/DS$604)</f>
        <v>1.3005607922682258E-2</v>
      </c>
      <c r="DZ664" s="71">
        <f>(DZ591/DZ$604)-(DT591/DT$604)</f>
        <v>1.0449208230098029E-2</v>
      </c>
      <c r="EA664" s="71">
        <f>(EA591/EA$604)-(DU591/DU$604)</f>
        <v>1.2989801395598497E-2</v>
      </c>
      <c r="EB664" s="71">
        <f>(EB591/EB$604)-(DV591/DV$604)</f>
        <v>1.0947975897479419E-2</v>
      </c>
      <c r="EC664" s="754">
        <f>(EC591/EC$604)-(DW591/DW$604)</f>
        <v>-3.6332804825805858E-4</v>
      </c>
      <c r="ED664" s="71"/>
      <c r="EE664" s="71">
        <f>(EE591/EE$604)-(DY591/DY$604)</f>
        <v>3.0390380487164154E-3</v>
      </c>
      <c r="EF664" s="71">
        <f>(EF591/EF$604)-(DZ591/DZ$604)</f>
        <v>5.6798240279664867E-3</v>
      </c>
      <c r="EG664" s="71">
        <f>(EG591/EG$604)-(EA591/EA$604)</f>
        <v>3.6143764297898277E-3</v>
      </c>
      <c r="EH664" s="71">
        <f>(EH591/EH$604)-(EB591/EB$604)</f>
        <v>3.9955190123926263E-3</v>
      </c>
      <c r="EI664" s="754">
        <f>(EI591/EI$604)-(EC591/EC$604)</f>
        <v>3.9900378908375323E-3</v>
      </c>
      <c r="EJ664" s="71"/>
      <c r="EK664" s="71">
        <f>(EK591/EK$604)-(EE591/EE$604)</f>
        <v>2.8880247184605162E-3</v>
      </c>
      <c r="EL664" s="71">
        <f>(EL591/EL$604)-(EF591/EF$604)</f>
        <v>2.2104142240962042E-3</v>
      </c>
      <c r="EM664" s="71">
        <f>(EM591/EM$604)-(EG591/EG$604)</f>
        <v>2.5848026203124583E-4</v>
      </c>
      <c r="EN664" s="71">
        <f>(EN591/EN$604)-(EH591/EH$604)</f>
        <v>1.007425335526729E-3</v>
      </c>
      <c r="EO664" s="754">
        <f>(EO591/EO$604)-(EI591/EI$604)</f>
        <v>1.5384255921506509E-3</v>
      </c>
      <c r="EP664" s="71"/>
      <c r="EQ664" s="71">
        <f>(EQ591/EQ$604)-(EK591/EK$604)</f>
        <v>9.2103881902273407E-4</v>
      </c>
      <c r="ER664" s="71">
        <f>(ER591/ER$604)-(EL591/EL$604)</f>
        <v>9.54930585093966E-4</v>
      </c>
      <c r="ES664" s="71">
        <f>(ES591/ES$604)-(EM591/EM$604)</f>
        <v>2.3307859496733765E-3</v>
      </c>
      <c r="ET664" s="71"/>
      <c r="EU664" s="754"/>
      <c r="EV664" s="71"/>
      <c r="EW664" s="71"/>
      <c r="EX664" s="71"/>
      <c r="EY664" s="71"/>
      <c r="EZ664" s="71"/>
      <c r="FA664" s="754"/>
      <c r="FB664" s="71"/>
      <c r="FC664" s="71"/>
      <c r="FD664" s="71"/>
      <c r="FE664" s="71"/>
      <c r="FF664" s="71"/>
      <c r="FG664" s="754"/>
      <c r="FH664" s="71"/>
      <c r="FI664" s="71"/>
      <c r="FJ664" s="71"/>
      <c r="FK664" s="71"/>
      <c r="FL664" s="71"/>
      <c r="FM664" s="754"/>
      <c r="FQ664"/>
      <c r="FR664"/>
      <c r="FS664"/>
      <c r="FT664"/>
      <c r="FU664"/>
      <c r="FV664"/>
      <c r="GB664" s="24"/>
      <c r="GC664" s="24"/>
      <c r="GD664" s="24"/>
      <c r="GE664" s="24"/>
      <c r="GF664" s="24"/>
      <c r="GG664" s="24"/>
      <c r="GH664" s="24"/>
      <c r="GI664" s="24"/>
      <c r="GJ664"/>
      <c r="GK664"/>
      <c r="GL664"/>
      <c r="GM664"/>
      <c r="GN664"/>
      <c r="GO664"/>
      <c r="GP664"/>
      <c r="GQ664"/>
      <c r="GR664"/>
      <c r="GS664"/>
      <c r="GT664"/>
      <c r="GU664"/>
      <c r="GV664"/>
      <c r="GW664"/>
      <c r="GX664"/>
      <c r="GY664"/>
      <c r="GZ664"/>
      <c r="HA664"/>
      <c r="HB664"/>
      <c r="HC664"/>
      <c r="HD664"/>
      <c r="HE664"/>
      <c r="HF664"/>
      <c r="HG664"/>
      <c r="HH664"/>
      <c r="HI664"/>
      <c r="HJ664"/>
      <c r="HK664"/>
      <c r="HL664"/>
      <c r="HM664"/>
      <c r="HN664"/>
      <c r="HO664"/>
      <c r="HP664"/>
      <c r="HQ664"/>
      <c r="HR664"/>
      <c r="HS664"/>
      <c r="HT664"/>
      <c r="HU664"/>
      <c r="HV664"/>
      <c r="HW664"/>
      <c r="HX664"/>
      <c r="HY664"/>
      <c r="HZ664"/>
      <c r="IA664"/>
      <c r="IB664"/>
      <c r="IC664"/>
      <c r="ID664"/>
      <c r="IE664"/>
      <c r="IF664"/>
      <c r="IG664"/>
      <c r="IH664"/>
      <c r="II664"/>
      <c r="IJ664"/>
      <c r="IK664"/>
      <c r="IL664"/>
      <c r="IM664"/>
      <c r="IN664"/>
      <c r="IO664"/>
      <c r="IP664"/>
      <c r="IQ664"/>
      <c r="IR664"/>
      <c r="IS664"/>
      <c r="IT664"/>
      <c r="IU664"/>
      <c r="IV664"/>
      <c r="IW664"/>
      <c r="IX664"/>
      <c r="IY664"/>
      <c r="IZ664"/>
      <c r="JA664"/>
      <c r="JB664"/>
      <c r="JC664"/>
      <c r="JD664"/>
      <c r="JE664"/>
      <c r="JF664"/>
      <c r="JG664"/>
      <c r="JH664"/>
      <c r="JI664"/>
      <c r="JJ664"/>
      <c r="JK664"/>
      <c r="JL664"/>
      <c r="JM664"/>
      <c r="JN664"/>
    </row>
    <row r="665" spans="1:274" s="64" customFormat="1" ht="12.75" hidden="1" customHeight="1" outlineLevel="2" x14ac:dyDescent="0.2">
      <c r="A665" s="753" t="s">
        <v>637</v>
      </c>
      <c r="B665" s="71"/>
      <c r="C665" s="71"/>
      <c r="D665" s="71"/>
      <c r="E665" s="71"/>
      <c r="F665" s="71"/>
      <c r="G665" s="71"/>
      <c r="H665" s="71"/>
      <c r="I665" s="71"/>
      <c r="J665" s="71"/>
      <c r="K665" s="71"/>
      <c r="L665" s="71"/>
      <c r="M665" s="71"/>
      <c r="N665" s="71"/>
      <c r="O665" s="71"/>
      <c r="P665" s="71"/>
      <c r="Q665" s="71"/>
      <c r="R665" s="71"/>
      <c r="S665" s="71"/>
      <c r="T665" s="71"/>
      <c r="U665" s="71"/>
      <c r="V665" s="71"/>
      <c r="W665" s="71"/>
      <c r="X665" s="71"/>
      <c r="Y665" s="71"/>
      <c r="Z665" s="71"/>
      <c r="AA665" s="71"/>
      <c r="AB665" s="71"/>
      <c r="AC665" s="71"/>
      <c r="AD665" s="71"/>
      <c r="AE665" s="71"/>
      <c r="AF665" s="71"/>
      <c r="AG665" s="71"/>
      <c r="AH665" s="71"/>
      <c r="AI665" s="71"/>
      <c r="AJ665" s="71"/>
      <c r="AK665" s="71"/>
      <c r="AL665" s="71"/>
      <c r="AM665" s="71"/>
      <c r="AN665" s="71"/>
      <c r="AO665" s="71"/>
      <c r="AP665" s="71"/>
      <c r="AQ665" s="71"/>
      <c r="AR665" s="71"/>
      <c r="AS665" s="71"/>
      <c r="AT665" s="71"/>
      <c r="AU665" s="71"/>
      <c r="AV665" s="71"/>
      <c r="AW665" s="71"/>
      <c r="AX665" s="71"/>
      <c r="AY665" s="71"/>
      <c r="AZ665" s="71"/>
      <c r="BA665" s="71"/>
      <c r="BB665" s="71"/>
      <c r="BC665" s="754"/>
      <c r="BD665" s="71"/>
      <c r="BE665" s="71"/>
      <c r="BF665" s="71"/>
      <c r="BG665" s="71"/>
      <c r="BH665" s="71"/>
      <c r="BI665" s="754">
        <f>BC595-BC$607</f>
        <v>-0.15335934960185338</v>
      </c>
      <c r="BJ665" s="71"/>
      <c r="BK665" s="71">
        <f>BE595-BE$607</f>
        <v>-8.9502380382457003E-2</v>
      </c>
      <c r="BL665" s="71">
        <f>BF595-BF$607</f>
        <v>-0.10196922142350912</v>
      </c>
      <c r="BM665" s="71">
        <f>BG595-BG$607</f>
        <v>-0.21172493794142738</v>
      </c>
      <c r="BN665" s="71">
        <f>BH595-BH$607</f>
        <v>-0.30087184865719185</v>
      </c>
      <c r="BO665" s="754">
        <f>BI595-BI$607</f>
        <v>-0.17669635073121609</v>
      </c>
      <c r="BP665" s="71"/>
      <c r="BQ665" s="71">
        <f>BK595-BK$607</f>
        <v>-0.21132273175542404</v>
      </c>
      <c r="BR665" s="71">
        <f>BL595-BL$607</f>
        <v>-0.26957016024252922</v>
      </c>
      <c r="BS665" s="71">
        <f>BM595-BM$607</f>
        <v>-0.26641484508844715</v>
      </c>
      <c r="BT665" s="71">
        <f>BN595-BN$607</f>
        <v>-0.33847660640313409</v>
      </c>
      <c r="BU665" s="754">
        <f>BO595-BO$607</f>
        <v>-0.27660667535907524</v>
      </c>
      <c r="BV665" s="71"/>
      <c r="BW665" s="71">
        <f>BQ595-BQ$607</f>
        <v>-0.3298906048906049</v>
      </c>
      <c r="BX665" s="71">
        <f>BR595-BR$607</f>
        <v>-0.46722300917657206</v>
      </c>
      <c r="BY665" s="71">
        <f>BS595-BS$607</f>
        <v>-0.45986063076151662</v>
      </c>
      <c r="BZ665" s="71">
        <f>BT595-BT$607</f>
        <v>-0.38790297848187605</v>
      </c>
      <c r="CA665" s="754">
        <f>BU595-BU$607</f>
        <v>-0.41427910640519516</v>
      </c>
      <c r="CB665" s="71"/>
      <c r="CC665" s="71">
        <f>BW595-BW$607</f>
        <v>-0.30521730836486188</v>
      </c>
      <c r="CD665" s="71">
        <f>BX595-BX$607</f>
        <v>-0.3873143527446965</v>
      </c>
      <c r="CE665" s="71">
        <f>BY595-BY$607</f>
        <v>-0.47078656874971131</v>
      </c>
      <c r="CF665" s="71">
        <f>BZ595-BZ$607</f>
        <v>-0.82476414418031141</v>
      </c>
      <c r="CG665" s="754">
        <f>CA595-CA$607</f>
        <v>-0.51425911287441872</v>
      </c>
      <c r="CH665" s="71"/>
      <c r="CI665" s="71">
        <f>CC595-CC$607</f>
        <v>-0.44778613199665834</v>
      </c>
      <c r="CJ665" s="71">
        <f>CD595-CD$607</f>
        <v>-0.52501710252711009</v>
      </c>
      <c r="CK665" s="71">
        <f>CE595-CE$607</f>
        <v>-0.61177136389360498</v>
      </c>
      <c r="CL665" s="71">
        <f>CF595-CF$607</f>
        <v>-0.58081921882539256</v>
      </c>
      <c r="CM665" s="754">
        <f>CG595-CG$607</f>
        <v>-0.54844359227591477</v>
      </c>
      <c r="CN665" s="71"/>
      <c r="CO665" s="71">
        <f>CI595-CI$607</f>
        <v>-0.60643321496858782</v>
      </c>
      <c r="CP665" s="71">
        <f>CJ595-CJ$607</f>
        <v>-0.56419761452968276</v>
      </c>
      <c r="CQ665" s="71">
        <f>CK595-CK$607</f>
        <v>-0.54432076839549315</v>
      </c>
      <c r="CR665" s="71">
        <f>CL595-CL$607</f>
        <v>-0.49322256632695255</v>
      </c>
      <c r="CS665" s="754">
        <f>CM595-CM$607</f>
        <v>-0.5522854027137859</v>
      </c>
      <c r="CT665" s="71"/>
      <c r="CU665" s="71">
        <f>CO595-CO$607</f>
        <v>-0.4639117865105678</v>
      </c>
      <c r="CV665" s="71">
        <f>CP595-CP$607</f>
        <v>-0.4631106913689399</v>
      </c>
      <c r="CW665" s="71">
        <f>CQ595-CQ$607</f>
        <v>-0.42435857104030372</v>
      </c>
      <c r="CX665" s="71">
        <f>CR595-CR$607</f>
        <v>-0.37512788386883383</v>
      </c>
      <c r="CY665" s="754">
        <f>CS595-CS$607</f>
        <v>-0.43080641152962895</v>
      </c>
      <c r="CZ665" s="71"/>
      <c r="DA665" s="71">
        <f>CU595-CU$607</f>
        <v>-0.33562220393647912</v>
      </c>
      <c r="DB665" s="71">
        <f>CV595-CV$607</f>
        <v>-0.34785173276469211</v>
      </c>
      <c r="DC665" s="71">
        <f>CW595-CW$607</f>
        <v>-0.34455759923292345</v>
      </c>
      <c r="DD665" s="71">
        <f>CX595-CX$607</f>
        <v>-0.40804715021866866</v>
      </c>
      <c r="DE665" s="754">
        <f>CY595-CY$607</f>
        <v>-0.36164868684553719</v>
      </c>
      <c r="DF665" s="71"/>
      <c r="DG665" s="71">
        <f>DA595-DA$607</f>
        <v>-0.33393574297188755</v>
      </c>
      <c r="DH665" s="71">
        <f>DB595-DB$607</f>
        <v>-0.36029624905791635</v>
      </c>
      <c r="DI665" s="71">
        <f>DC595-DC$607</f>
        <v>-0.44154941684496729</v>
      </c>
      <c r="DJ665" s="71">
        <f>DD595-DD$607</f>
        <v>-0.44944589142536129</v>
      </c>
      <c r="DK665" s="754">
        <f>DE595-DE$607</f>
        <v>-0.40491872149972902</v>
      </c>
      <c r="DL665" s="71"/>
      <c r="DM665" s="71">
        <f>DG595-DG$607</f>
        <v>-0.3687802250693315</v>
      </c>
      <c r="DN665" s="71">
        <f>DH595-DH$607</f>
        <v>-0.34609414637006297</v>
      </c>
      <c r="DO665" s="71">
        <f>DI595-DI$607</f>
        <v>-0.39520721817888893</v>
      </c>
      <c r="DP665" s="71">
        <f>DJ595-DJ$607</f>
        <v>-0.38263221885120091</v>
      </c>
      <c r="DQ665" s="754">
        <f>DK595-DK$607</f>
        <v>-0.37453382958710391</v>
      </c>
      <c r="DR665" s="71"/>
      <c r="DS665" s="71">
        <f>DM595-DM$607</f>
        <v>-0.60192903072160042</v>
      </c>
      <c r="DT665" s="71">
        <f>DN595-DN$607</f>
        <v>-0.62092838497332881</v>
      </c>
      <c r="DU665" s="71">
        <f>DO595-DO$607</f>
        <v>-0.6334142573383359</v>
      </c>
      <c r="DV665" s="71">
        <f>DP595-DP$607</f>
        <v>-0.64602739726027403</v>
      </c>
      <c r="DW665" s="754">
        <f>DQ595-DQ$607</f>
        <v>-0.37240698123229371</v>
      </c>
      <c r="DX665" s="71"/>
      <c r="DY665" s="71">
        <f>DS595-DS$607</f>
        <v>-0.62882202460713854</v>
      </c>
      <c r="DZ665" s="71">
        <f>DT595-DT$607</f>
        <v>-0.64336661911554927</v>
      </c>
      <c r="EA665" s="71">
        <f>DU595-DU$607</f>
        <v>-0.63890746934225195</v>
      </c>
      <c r="EB665" s="71">
        <f>DV595-DV$607</f>
        <v>-0.66180093057202805</v>
      </c>
      <c r="EC665" s="754">
        <f>DW595-DW$607</f>
        <v>-0.41611034982805195</v>
      </c>
      <c r="ED665" s="71"/>
      <c r="EE665" s="71">
        <f>DY595-DY$607</f>
        <v>-0.43186040070977494</v>
      </c>
      <c r="EF665" s="71">
        <f>DZ595-DZ$607</f>
        <v>-0.53086175705285465</v>
      </c>
      <c r="EG665" s="71">
        <f>EA595-EA$607</f>
        <v>-0.34488406240711911</v>
      </c>
      <c r="EH665" s="71">
        <f>EB595-EB$607</f>
        <v>-0.46831494854957911</v>
      </c>
      <c r="EI665" s="754">
        <f>EC595-EC$607</f>
        <v>-0.43592650961188806</v>
      </c>
      <c r="EJ665" s="71"/>
      <c r="EK665" s="71">
        <f>EE595-EE$607</f>
        <v>-0.31841090267562422</v>
      </c>
      <c r="EL665" s="71">
        <f>EF595-EF$607</f>
        <v>-0.30561914672216445</v>
      </c>
      <c r="EM665" s="71">
        <f>EG595-EG$607</f>
        <v>-0.33311332653731196</v>
      </c>
      <c r="EN665" s="71">
        <f>EH595-EH$607</f>
        <v>-0.27738687307369003</v>
      </c>
      <c r="EO665" s="754">
        <f>EI595-EI$607</f>
        <v>-0.30729452591953577</v>
      </c>
      <c r="EP665" s="71"/>
      <c r="EQ665" s="71">
        <f>EK595-EK$607</f>
        <v>-0.26690406460773869</v>
      </c>
      <c r="ER665" s="71">
        <f>EL595-EL$607</f>
        <v>-0.23644649226509851</v>
      </c>
      <c r="ES665" s="71">
        <f>EM595-EM$607</f>
        <v>-0.28029352002148711</v>
      </c>
      <c r="ET665" s="71"/>
      <c r="EU665" s="754"/>
      <c r="EV665" s="71"/>
      <c r="EW665" s="71"/>
      <c r="EX665" s="71"/>
      <c r="EY665" s="71"/>
      <c r="EZ665" s="71"/>
      <c r="FA665" s="754"/>
      <c r="FB665" s="71"/>
      <c r="FC665" s="71"/>
      <c r="FD665" s="71"/>
      <c r="FE665" s="71"/>
      <c r="FF665" s="71"/>
      <c r="FG665" s="754"/>
      <c r="FH665" s="71"/>
      <c r="FI665" s="71"/>
      <c r="FJ665" s="71"/>
      <c r="FK665" s="71"/>
      <c r="FL665" s="71"/>
      <c r="FM665" s="754"/>
      <c r="FQ665"/>
      <c r="FR665"/>
      <c r="FS665"/>
      <c r="FT665"/>
      <c r="FU665"/>
      <c r="FV665"/>
      <c r="GB665" s="24"/>
      <c r="GC665" s="24"/>
      <c r="GD665" s="24"/>
      <c r="GE665" s="24"/>
      <c r="GF665" s="24"/>
      <c r="GG665" s="24"/>
      <c r="GH665" s="24"/>
      <c r="GI665" s="24"/>
      <c r="GJ665"/>
      <c r="GK665"/>
      <c r="GL665"/>
      <c r="GM665"/>
      <c r="GN665"/>
      <c r="GO665"/>
      <c r="GP665"/>
      <c r="GQ665"/>
      <c r="GR665"/>
      <c r="GS665"/>
      <c r="GT665"/>
      <c r="GU665"/>
      <c r="GV665"/>
      <c r="GW665"/>
      <c r="GX665"/>
      <c r="GY665"/>
      <c r="GZ665"/>
      <c r="HA665"/>
      <c r="HB665"/>
      <c r="HC665"/>
      <c r="HD665"/>
      <c r="HE665"/>
      <c r="HF665"/>
      <c r="HG665"/>
      <c r="HH665"/>
      <c r="HI665"/>
      <c r="HJ665"/>
      <c r="HK665"/>
      <c r="HL665"/>
      <c r="HM665"/>
      <c r="HN665"/>
      <c r="HO665"/>
      <c r="HP665"/>
      <c r="HQ665"/>
      <c r="HR665"/>
      <c r="HS665"/>
      <c r="HT665"/>
      <c r="HU665"/>
      <c r="HV665"/>
      <c r="HW665"/>
      <c r="HX665"/>
      <c r="HY665"/>
      <c r="HZ665"/>
      <c r="IA665"/>
      <c r="IB665"/>
      <c r="IC665"/>
      <c r="ID665"/>
      <c r="IE665"/>
      <c r="IF665"/>
      <c r="IG665"/>
      <c r="IH665"/>
      <c r="II665"/>
      <c r="IJ665"/>
      <c r="IK665"/>
      <c r="IL665"/>
      <c r="IM665"/>
      <c r="IN665"/>
      <c r="IO665"/>
      <c r="IP665"/>
      <c r="IQ665"/>
      <c r="IR665"/>
      <c r="IS665"/>
      <c r="IT665"/>
      <c r="IU665"/>
      <c r="IV665"/>
      <c r="IW665"/>
      <c r="IX665"/>
      <c r="IY665"/>
      <c r="IZ665"/>
      <c r="JA665"/>
      <c r="JB665"/>
      <c r="JC665"/>
      <c r="JD665"/>
      <c r="JE665"/>
      <c r="JF665"/>
      <c r="JG665"/>
      <c r="JH665"/>
      <c r="JI665"/>
      <c r="JJ665"/>
      <c r="JK665"/>
      <c r="JL665"/>
      <c r="JM665"/>
      <c r="JN665"/>
    </row>
    <row r="666" spans="1:274" s="749" customFormat="1" ht="12.75" hidden="1" customHeight="1" outlineLevel="1" x14ac:dyDescent="0.2">
      <c r="A666" s="750" t="s">
        <v>638</v>
      </c>
      <c r="B666" s="747"/>
      <c r="C666" s="65"/>
      <c r="D666" s="65"/>
      <c r="E666" s="65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5"/>
      <c r="AC666" s="65"/>
      <c r="AD666" s="65"/>
      <c r="AE666" s="65"/>
      <c r="AF666" s="65"/>
      <c r="AG666" s="65"/>
      <c r="AH666" s="65"/>
      <c r="AI666" s="65"/>
      <c r="AJ666" s="65"/>
      <c r="AK666" s="65"/>
      <c r="AL666" s="65"/>
      <c r="AM666" s="65"/>
      <c r="AN666" s="65"/>
      <c r="AO666" s="65"/>
      <c r="AP666" s="65"/>
      <c r="AQ666" s="65"/>
      <c r="AR666" s="65"/>
      <c r="AS666" s="65"/>
      <c r="AT666" s="65"/>
      <c r="AU666" s="65"/>
      <c r="AV666" s="65"/>
      <c r="AW666" s="65"/>
      <c r="AX666" s="65"/>
      <c r="AY666" s="65"/>
      <c r="AZ666" s="65"/>
      <c r="BA666" s="65"/>
      <c r="BB666" s="65"/>
      <c r="BC666" s="748"/>
      <c r="BD666" s="65"/>
      <c r="BE666" s="65"/>
      <c r="BF666" s="65"/>
      <c r="BG666" s="65"/>
      <c r="BH666" s="65"/>
      <c r="BI666" s="751">
        <f>(BI595-BC595)*BI591</f>
        <v>1.8873239436619653</v>
      </c>
      <c r="BJ666" s="752"/>
      <c r="BK666" s="752">
        <f>(BK595-BE595)*BK591</f>
        <v>-9.0722891566265069</v>
      </c>
      <c r="BL666" s="752">
        <f>(BL595-BF595)*BL591</f>
        <v>-10.072289156626507</v>
      </c>
      <c r="BM666" s="752">
        <f>(BM595-BG595)*BM591</f>
        <v>-3.7624161073825544</v>
      </c>
      <c r="BN666" s="752">
        <f>(BN595-BH595)*BN591</f>
        <v>-1.0546583850931714</v>
      </c>
      <c r="BO666" s="751">
        <f>(BO595-BI595)*BO591</f>
        <v>-24.482866043613711</v>
      </c>
      <c r="BP666" s="752"/>
      <c r="BQ666" s="752">
        <f>(BQ595-BK595)*BQ591</f>
        <v>-5.6875</v>
      </c>
      <c r="BR666" s="752">
        <f>(BR595-BL595)*BR591</f>
        <v>-11.3125</v>
      </c>
      <c r="BS666" s="752">
        <f>(BS595-BM595)*BS591</f>
        <v>-10.68253968253968</v>
      </c>
      <c r="BT666" s="752">
        <f>(BT595-BN595)*BT591</f>
        <v>-3.5909090909090922</v>
      </c>
      <c r="BU666" s="751">
        <f>(BU595-BO595)*BU591</f>
        <v>-31.319066147859917</v>
      </c>
      <c r="BV666" s="65"/>
      <c r="BW666" s="752">
        <f>(BW595-BQ595)*BW591</f>
        <v>3.433333333333334</v>
      </c>
      <c r="BX666" s="752">
        <f>(BX595-BR595)*BX591</f>
        <v>7.8923076923076909</v>
      </c>
      <c r="BY666" s="752">
        <f>(BY595-BS595)*BY591</f>
        <v>-0.17741935483871105</v>
      </c>
      <c r="BZ666" s="752">
        <f>(BZ595-BT595)*BZ591</f>
        <v>-39.014084507042249</v>
      </c>
      <c r="CA666" s="751">
        <f>(CA595-BU595)*CA591</f>
        <v>-27.686046511627904</v>
      </c>
      <c r="CB666" s="65"/>
      <c r="CC666" s="752">
        <f>(CC595-BW595)*CC591</f>
        <v>-11.661971830985918</v>
      </c>
      <c r="CD666" s="752">
        <f>(CD595-BX595)*CD591</f>
        <v>-13.452054794520548</v>
      </c>
      <c r="CE666" s="752">
        <f>(CE595-BY595)*CE591</f>
        <v>-13.714285714285714</v>
      </c>
      <c r="CF666" s="752">
        <f>(CF595-BZ595)*CF591</f>
        <v>30.372093023255811</v>
      </c>
      <c r="CG666" s="751">
        <f>(CG595-CA595)*CG591</f>
        <v>-16.781758957654723</v>
      </c>
      <c r="CH666" s="65"/>
      <c r="CI666" s="752">
        <f>(CI595-CC595)*CI591</f>
        <v>-21.857142857142858</v>
      </c>
      <c r="CJ666" s="752">
        <f>(CJ595-CD595)*CJ591</f>
        <v>-9.8735632183908031</v>
      </c>
      <c r="CK666" s="752">
        <f>(CK595-CE595)*CK591</f>
        <v>6.9999999999999991</v>
      </c>
      <c r="CL666" s="752">
        <f>(CL595-CF595)*CL591</f>
        <v>13.221374045801529</v>
      </c>
      <c r="CM666" s="751">
        <f>(CM595-CG595)*CM591</f>
        <v>-10.256281407035178</v>
      </c>
      <c r="CN666" s="65"/>
      <c r="CO666" s="752">
        <f>(CO595-CI595)*CO591</f>
        <v>23.056000000000001</v>
      </c>
      <c r="CP666" s="752">
        <f>(CP595-CJ595)*CP591</f>
        <v>20.421428571428571</v>
      </c>
      <c r="CQ666" s="752">
        <f>(CQ595-CK595)*CQ591</f>
        <v>23.422535211267608</v>
      </c>
      <c r="CR666" s="752">
        <f>(CR595-CL595)*CR591</f>
        <v>25.513513513513516</v>
      </c>
      <c r="CS666" s="751">
        <f>(CS595-CM595)*CS591</f>
        <v>93.441441441441455</v>
      </c>
      <c r="CT666" s="65"/>
      <c r="CU666" s="752">
        <f>(CU595-CO595)*CU591</f>
        <v>27.784810126582276</v>
      </c>
      <c r="CV666" s="752">
        <f>(CV595-CP595)*CV591</f>
        <v>25.838323353293411</v>
      </c>
      <c r="CW666" s="752">
        <f>(CW595-CQ595)*CW591</f>
        <v>21.873563218390803</v>
      </c>
      <c r="CX666" s="752">
        <f>(CX595-CR595)*CX591</f>
        <v>-0.38775510204081737</v>
      </c>
      <c r="CY666" s="751">
        <f>(CY595-CS595)*CY591</f>
        <v>72.589928057553976</v>
      </c>
      <c r="CZ666" s="65"/>
      <c r="DA666" s="752">
        <f>(DA595-CU595)*DA591</f>
        <v>10.846153846153847</v>
      </c>
      <c r="DB666" s="752">
        <f>(DB595-CV595)*DB591</f>
        <v>4.2804232804232871</v>
      </c>
      <c r="DC666" s="752">
        <f>(DC595-CW595)*DC591</f>
        <v>-21.863874345549736</v>
      </c>
      <c r="DD666" s="752">
        <f>(DD595-CX595)*DD591</f>
        <v>-28.341463414634152</v>
      </c>
      <c r="DE666" s="751">
        <f>(DE595-CY595)*DE591</f>
        <v>-35.356410256410285</v>
      </c>
      <c r="DF666" s="65"/>
      <c r="DG666" s="752">
        <f>(DG595-DA595)*DG591</f>
        <v>-29.966666666666661</v>
      </c>
      <c r="DH666" s="752">
        <f>(DH595-DB595)*DH591</f>
        <v>-14.026595744680863</v>
      </c>
      <c r="DI666" s="752">
        <f>(DI595-DC595)*DI591</f>
        <v>10.467289719626175</v>
      </c>
      <c r="DJ666" s="752">
        <f>(DJ595-DD595)*DJ591</f>
        <v>30.281967213114765</v>
      </c>
      <c r="DK666" s="751">
        <f>(DK595-DE595)*DK591</f>
        <v>11.330326944757607</v>
      </c>
      <c r="DL666" s="65"/>
      <c r="DM666" s="752"/>
      <c r="DN666" s="752"/>
      <c r="DO666" s="752">
        <f>(DO595-DI595)*DO591</f>
        <v>0</v>
      </c>
      <c r="DP666" s="752">
        <f>(DP595-DJ595)*DP591</f>
        <v>0</v>
      </c>
      <c r="DQ666" s="751">
        <f>(DQ595-DK595)*DQ591</f>
        <v>5.760174418604648</v>
      </c>
      <c r="DR666" s="65"/>
      <c r="DS666" s="752">
        <f>(DS595-DM595)*DS591</f>
        <v>0</v>
      </c>
      <c r="DT666" s="752">
        <f>(DT595-DN595)*DT591</f>
        <v>0</v>
      </c>
      <c r="DU666" s="752">
        <f>(DU595-DO595)*DU591</f>
        <v>0</v>
      </c>
      <c r="DV666" s="752">
        <f>(DV595-DP595)*DV591</f>
        <v>0</v>
      </c>
      <c r="DW666" s="751">
        <f>(DW595-DQ595)*DW591</f>
        <v>-16.378881987577632</v>
      </c>
      <c r="DX666" s="65"/>
      <c r="DY666" s="752">
        <f>(DY595-DS595)*DY591</f>
        <v>22</v>
      </c>
      <c r="DZ666" s="752">
        <f>(DZ595-DT595)*DZ591</f>
        <v>10</v>
      </c>
      <c r="EA666" s="752">
        <f>(EA595-DU595)*EA591</f>
        <v>36</v>
      </c>
      <c r="EB666" s="752">
        <f>(EB595-DV595)*EB591</f>
        <v>23</v>
      </c>
      <c r="EC666" s="751">
        <f>(EC595-DW595)*EC591</f>
        <v>-8.7811816192560119</v>
      </c>
      <c r="ED666" s="65"/>
      <c r="EE666" s="752">
        <f>(EE595-DY595)*EE591</f>
        <v>16.146788990825684</v>
      </c>
      <c r="EF666" s="752">
        <f>(EF595-DZ595)*EF591</f>
        <v>35.020618556701031</v>
      </c>
      <c r="EG666" s="752">
        <f>(EG595-EA595)*EG591</f>
        <v>-0.11570247933884725</v>
      </c>
      <c r="EH666" s="752">
        <f>(EH595-EB595)*EH591</f>
        <v>20.472868217054266</v>
      </c>
      <c r="EI666" s="751">
        <f>(EI595-EC595)*EI591</f>
        <v>68.666666666666657</v>
      </c>
      <c r="EJ666" s="65"/>
      <c r="EK666" s="752">
        <f>(EK595-EE595)*EK591</f>
        <v>1.9855072463768142</v>
      </c>
      <c r="EL666" s="752">
        <f>(EL595-EF595)*EL591</f>
        <v>7.7096774193548336</v>
      </c>
      <c r="EM666" s="752">
        <f>(EM595-EG595)*EM591</f>
        <v>5.8903225806451625</v>
      </c>
      <c r="EN666" s="752">
        <f>(EN595-EH595)*EN591</f>
        <v>2.2437499999999999</v>
      </c>
      <c r="EO666" s="751">
        <f>(EO595-EI595)*EO591</f>
        <v>18.124999999999993</v>
      </c>
      <c r="EP666" s="65"/>
      <c r="EQ666" s="752">
        <f>(EQ595-EK595)*EQ591</f>
        <v>5.3562499999999984</v>
      </c>
      <c r="ER666" s="752">
        <f>(ER595-EL595)*ER591</f>
        <v>-13.757575757575752</v>
      </c>
      <c r="ES666" s="752">
        <f>(ES595-EM595)*ES591</f>
        <v>-17.723684210526315</v>
      </c>
      <c r="ET666" s="752"/>
      <c r="EU666" s="751"/>
      <c r="EV666" s="65"/>
      <c r="EW666" s="752"/>
      <c r="EX666" s="65"/>
      <c r="EY666" s="65"/>
      <c r="EZ666" s="65"/>
      <c r="FA666" s="748"/>
      <c r="FB666" s="65"/>
      <c r="FC666" s="65"/>
      <c r="FD666" s="65"/>
      <c r="FE666" s="65"/>
      <c r="FF666" s="65"/>
      <c r="FG666" s="748"/>
      <c r="FH666" s="65"/>
      <c r="FI666" s="65"/>
      <c r="FJ666" s="65"/>
      <c r="FK666" s="65"/>
      <c r="FL666" s="65"/>
      <c r="FM666" s="748"/>
      <c r="FQ666"/>
      <c r="FR666"/>
      <c r="FS666"/>
      <c r="FT666"/>
      <c r="FU666"/>
      <c r="FV666"/>
      <c r="GB666" s="24"/>
      <c r="GC666" s="24"/>
      <c r="GD666" s="24"/>
      <c r="GE666" s="24"/>
      <c r="GF666" s="24"/>
      <c r="GG666" s="24"/>
      <c r="GH666" s="24"/>
      <c r="GI666" s="24"/>
      <c r="GJ666"/>
      <c r="GK666"/>
      <c r="GL666"/>
      <c r="GM666"/>
      <c r="GN666"/>
      <c r="GO666"/>
      <c r="GP666"/>
      <c r="GQ666"/>
      <c r="GR666"/>
      <c r="GS666"/>
      <c r="GT666"/>
      <c r="GU666"/>
      <c r="GV666"/>
      <c r="GW666"/>
      <c r="GX666"/>
      <c r="GY666"/>
      <c r="GZ666"/>
      <c r="HA666"/>
      <c r="HB666"/>
      <c r="HC666"/>
      <c r="HD666"/>
      <c r="HE666"/>
      <c r="HF666"/>
      <c r="HG666"/>
      <c r="HH666"/>
      <c r="HI666"/>
      <c r="HJ666"/>
      <c r="HK666"/>
      <c r="HL666"/>
      <c r="HM666"/>
      <c r="HN666"/>
      <c r="HO666"/>
      <c r="HP666"/>
      <c r="HQ666"/>
      <c r="HR666"/>
      <c r="HS666"/>
      <c r="HT666"/>
      <c r="HU666"/>
      <c r="HV666"/>
      <c r="HW666"/>
      <c r="HX666"/>
      <c r="HY666"/>
      <c r="HZ666"/>
      <c r="IA666"/>
      <c r="IB666"/>
      <c r="IC666"/>
      <c r="ID666"/>
      <c r="IE666"/>
      <c r="IF666"/>
      <c r="IG666"/>
      <c r="IH666"/>
      <c r="II666"/>
      <c r="IJ666"/>
      <c r="IK666"/>
      <c r="IL666"/>
      <c r="IM666"/>
      <c r="IN666"/>
      <c r="IO666"/>
      <c r="IP666"/>
      <c r="IQ666"/>
      <c r="IR666"/>
      <c r="IS666"/>
      <c r="IT666"/>
      <c r="IU666"/>
      <c r="IV666"/>
      <c r="IW666"/>
      <c r="IX666"/>
      <c r="IY666"/>
      <c r="IZ666"/>
      <c r="JA666"/>
      <c r="JB666"/>
      <c r="JC666"/>
      <c r="JD666"/>
      <c r="JE666"/>
      <c r="JF666"/>
      <c r="JG666"/>
      <c r="JH666"/>
      <c r="JI666"/>
      <c r="JJ666"/>
      <c r="JK666"/>
      <c r="JL666"/>
      <c r="JM666"/>
      <c r="JN666"/>
    </row>
    <row r="667" spans="1:274" s="749" customFormat="1" ht="6" hidden="1" customHeight="1" outlineLevel="1" x14ac:dyDescent="0.2">
      <c r="A667" s="750"/>
      <c r="B667" s="747"/>
      <c r="C667" s="65"/>
      <c r="D667" s="65"/>
      <c r="E667" s="65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5"/>
      <c r="AC667" s="65"/>
      <c r="AD667" s="65"/>
      <c r="AE667" s="65"/>
      <c r="AF667" s="65"/>
      <c r="AG667" s="65"/>
      <c r="AH667" s="65"/>
      <c r="AI667" s="65"/>
      <c r="AJ667" s="65"/>
      <c r="AK667" s="65"/>
      <c r="AL667" s="65"/>
      <c r="AM667" s="65"/>
      <c r="AN667" s="65"/>
      <c r="AO667" s="65"/>
      <c r="AP667" s="65"/>
      <c r="AQ667" s="65"/>
      <c r="AR667" s="65"/>
      <c r="AS667" s="65"/>
      <c r="AT667" s="65"/>
      <c r="AU667" s="65"/>
      <c r="AV667" s="65"/>
      <c r="AW667" s="65"/>
      <c r="AX667" s="65"/>
      <c r="AY667" s="65"/>
      <c r="AZ667" s="65"/>
      <c r="BA667" s="65"/>
      <c r="BB667" s="65"/>
      <c r="BC667" s="748"/>
      <c r="BD667" s="65"/>
      <c r="BE667" s="65"/>
      <c r="BF667" s="65"/>
      <c r="BG667" s="65"/>
      <c r="BH667" s="65"/>
      <c r="BI667" s="751"/>
      <c r="BJ667" s="752"/>
      <c r="BK667" s="752"/>
      <c r="BL667" s="752"/>
      <c r="BM667" s="752"/>
      <c r="BN667" s="752"/>
      <c r="BO667" s="751"/>
      <c r="BP667" s="752"/>
      <c r="BQ667" s="752"/>
      <c r="BR667" s="752"/>
      <c r="BS667" s="752"/>
      <c r="BT667" s="752"/>
      <c r="BU667" s="751"/>
      <c r="BV667" s="65"/>
      <c r="BW667" s="752"/>
      <c r="BX667" s="752"/>
      <c r="BY667" s="752"/>
      <c r="BZ667" s="752"/>
      <c r="CA667" s="751"/>
      <c r="CB667" s="65"/>
      <c r="CC667" s="752"/>
      <c r="CD667" s="752"/>
      <c r="CE667" s="752"/>
      <c r="CF667" s="752"/>
      <c r="CG667" s="751"/>
      <c r="CH667" s="65"/>
      <c r="CI667" s="752"/>
      <c r="CJ667" s="752"/>
      <c r="CK667" s="752"/>
      <c r="CL667" s="752"/>
      <c r="CM667" s="751"/>
      <c r="CN667" s="65"/>
      <c r="CO667" s="752"/>
      <c r="CP667" s="752"/>
      <c r="CQ667" s="752"/>
      <c r="CR667" s="752"/>
      <c r="CS667" s="751"/>
      <c r="CT667" s="65"/>
      <c r="CU667" s="752"/>
      <c r="CV667" s="752"/>
      <c r="CW667" s="752"/>
      <c r="CX667" s="752"/>
      <c r="CY667" s="751"/>
      <c r="CZ667" s="65"/>
      <c r="DA667" s="752"/>
      <c r="DB667" s="752"/>
      <c r="DC667" s="752"/>
      <c r="DD667" s="752"/>
      <c r="DE667" s="751"/>
      <c r="DF667" s="65"/>
      <c r="DG667" s="752"/>
      <c r="DH667" s="752"/>
      <c r="DI667" s="752"/>
      <c r="DJ667" s="752"/>
      <c r="DK667" s="751"/>
      <c r="DL667" s="65"/>
      <c r="DM667" s="752"/>
      <c r="DN667" s="752"/>
      <c r="DO667" s="752"/>
      <c r="DP667" s="752"/>
      <c r="DQ667" s="751"/>
      <c r="DR667" s="65"/>
      <c r="DS667" s="752"/>
      <c r="DT667" s="752"/>
      <c r="DU667" s="752"/>
      <c r="DV667" s="752"/>
      <c r="DW667" s="751"/>
      <c r="DX667" s="65"/>
      <c r="DY667" s="752"/>
      <c r="DZ667" s="752"/>
      <c r="EA667" s="752"/>
      <c r="EB667" s="752"/>
      <c r="EC667" s="751"/>
      <c r="ED667" s="65"/>
      <c r="EE667" s="752"/>
      <c r="EF667" s="752"/>
      <c r="EG667" s="752"/>
      <c r="EH667" s="752"/>
      <c r="EI667" s="751"/>
      <c r="EJ667" s="65"/>
      <c r="EK667" s="752"/>
      <c r="EL667" s="752"/>
      <c r="EM667" s="752"/>
      <c r="EN667" s="752"/>
      <c r="EO667" s="751"/>
      <c r="EP667" s="65"/>
      <c r="EQ667" s="752"/>
      <c r="ER667" s="752"/>
      <c r="ES667" s="752"/>
      <c r="ET667" s="752"/>
      <c r="EU667" s="751"/>
      <c r="EV667" s="65"/>
      <c r="EW667" s="752"/>
      <c r="EX667" s="65"/>
      <c r="EY667" s="65"/>
      <c r="EZ667" s="65"/>
      <c r="FA667" s="748"/>
      <c r="FB667" s="65"/>
      <c r="FC667" s="65"/>
      <c r="FD667" s="65"/>
      <c r="FE667" s="65"/>
      <c r="FF667" s="65"/>
      <c r="FG667" s="748"/>
      <c r="FH667" s="65"/>
      <c r="FI667" s="65"/>
      <c r="FJ667" s="65"/>
      <c r="FK667" s="65"/>
      <c r="FL667" s="65"/>
      <c r="FM667" s="748"/>
      <c r="FQ667"/>
      <c r="FR667"/>
      <c r="FS667"/>
      <c r="FT667"/>
      <c r="FU667"/>
      <c r="FV667"/>
      <c r="GB667" s="24"/>
      <c r="GC667" s="24"/>
      <c r="GD667" s="24"/>
      <c r="GE667" s="24"/>
      <c r="GF667" s="24"/>
      <c r="GG667" s="24"/>
      <c r="GH667" s="24"/>
      <c r="GI667" s="24"/>
      <c r="GJ667"/>
      <c r="GK667"/>
      <c r="GL667"/>
      <c r="GM667"/>
      <c r="GN667"/>
      <c r="GO667"/>
      <c r="GP667"/>
      <c r="GQ667"/>
      <c r="GR667"/>
      <c r="GS667"/>
      <c r="GT667"/>
      <c r="GU667"/>
      <c r="GV667"/>
      <c r="GW667"/>
      <c r="GX667"/>
      <c r="GY667"/>
      <c r="GZ667"/>
      <c r="HA667"/>
      <c r="HB667"/>
      <c r="HC667"/>
      <c r="HD667"/>
      <c r="HE667"/>
      <c r="HF667"/>
      <c r="HG667"/>
      <c r="HH667"/>
      <c r="HI667"/>
      <c r="HJ667"/>
      <c r="HK667"/>
      <c r="HL667"/>
      <c r="HM667"/>
      <c r="HN667"/>
      <c r="HO667"/>
      <c r="HP667"/>
      <c r="HQ667"/>
      <c r="HR667"/>
      <c r="HS667"/>
      <c r="HT667"/>
      <c r="HU667"/>
      <c r="HV667"/>
      <c r="HW667"/>
      <c r="HX667"/>
      <c r="HY667"/>
      <c r="HZ667"/>
      <c r="IA667"/>
      <c r="IB667"/>
      <c r="IC667"/>
      <c r="ID667"/>
      <c r="IE667"/>
      <c r="IF667"/>
      <c r="IG667"/>
      <c r="IH667"/>
      <c r="II667"/>
      <c r="IJ667"/>
      <c r="IK667"/>
      <c r="IL667"/>
      <c r="IM667"/>
      <c r="IN667"/>
      <c r="IO667"/>
      <c r="IP667"/>
      <c r="IQ667"/>
      <c r="IR667"/>
      <c r="IS667"/>
      <c r="IT667"/>
      <c r="IU667"/>
      <c r="IV667"/>
      <c r="IW667"/>
      <c r="IX667"/>
      <c r="IY667"/>
      <c r="IZ667"/>
      <c r="JA667"/>
      <c r="JB667"/>
      <c r="JC667"/>
      <c r="JD667"/>
      <c r="JE667"/>
      <c r="JF667"/>
      <c r="JG667"/>
      <c r="JH667"/>
      <c r="JI667"/>
      <c r="JJ667"/>
      <c r="JK667"/>
      <c r="JL667"/>
      <c r="JM667"/>
      <c r="JN667"/>
    </row>
    <row r="668" spans="1:274" s="749" customFormat="1" ht="12.75" hidden="1" customHeight="1" outlineLevel="1" x14ac:dyDescent="0.2">
      <c r="A668" s="1478" t="str">
        <f>A597</f>
        <v>Education</v>
      </c>
      <c r="B668" s="1479"/>
      <c r="C668" s="1479"/>
      <c r="D668" s="1479"/>
      <c r="E668" s="1479"/>
      <c r="F668" s="1479"/>
      <c r="G668" s="1479"/>
      <c r="H668" s="1479"/>
      <c r="I668" s="1479"/>
      <c r="J668" s="1479"/>
      <c r="K668" s="1479"/>
      <c r="L668" s="1479"/>
      <c r="M668" s="1479"/>
      <c r="N668" s="1479"/>
      <c r="O668" s="1479"/>
      <c r="P668" s="1479"/>
      <c r="Q668" s="1479"/>
      <c r="R668" s="1479"/>
      <c r="S668" s="1479"/>
      <c r="T668" s="1479"/>
      <c r="U668" s="1479"/>
      <c r="V668" s="1479"/>
      <c r="W668" s="1479"/>
      <c r="X668" s="1479"/>
      <c r="Y668" s="1479"/>
      <c r="Z668" s="1479"/>
      <c r="AA668" s="1479"/>
      <c r="AB668" s="1479"/>
      <c r="AC668" s="1479"/>
      <c r="AD668" s="1479"/>
      <c r="AE668" s="1479"/>
      <c r="AF668" s="1479"/>
      <c r="AG668" s="1479"/>
      <c r="AH668" s="1479"/>
      <c r="AI668" s="1479"/>
      <c r="AJ668" s="1479"/>
      <c r="AK668" s="1479"/>
      <c r="AL668" s="1479"/>
      <c r="AM668" s="1479"/>
      <c r="AN668" s="1479"/>
      <c r="AO668" s="1479"/>
      <c r="AP668" s="1479"/>
      <c r="AQ668" s="1479"/>
      <c r="AR668" s="1479"/>
      <c r="AS668" s="1479"/>
      <c r="AT668" s="1479"/>
      <c r="AU668" s="1479"/>
      <c r="AV668" s="1479"/>
      <c r="AW668" s="1479"/>
      <c r="AX668" s="1479"/>
      <c r="AY668" s="1479"/>
      <c r="AZ668" s="1479"/>
      <c r="BA668" s="1479"/>
      <c r="BB668" s="1479"/>
      <c r="BC668" s="1480"/>
      <c r="BD668" s="1479"/>
      <c r="BE668" s="1479"/>
      <c r="BF668" s="1479"/>
      <c r="BG668" s="1479"/>
      <c r="BH668" s="1479"/>
      <c r="BI668" s="1481">
        <f>BI669+BI672</f>
        <v>18.604958056789435</v>
      </c>
      <c r="BJ668" s="1482"/>
      <c r="BK668" s="1482">
        <f>BK669+BK672</f>
        <v>-12.770009502507202</v>
      </c>
      <c r="BL668" s="1482">
        <f>BL669+BL672</f>
        <v>-9.6008108537532664</v>
      </c>
      <c r="BM668" s="1482">
        <f>BM669+BM672</f>
        <v>-9.1182166104162867</v>
      </c>
      <c r="BN668" s="1482">
        <f>BN669+BN672</f>
        <v>14.453288020249548</v>
      </c>
      <c r="BO668" s="1481">
        <f>BO669+BO672</f>
        <v>-16.876518133880396</v>
      </c>
      <c r="BP668" s="1482"/>
      <c r="BQ668" s="1482">
        <f>BQ669+BQ672</f>
        <v>2.9255278176534434</v>
      </c>
      <c r="BR668" s="1482">
        <f>BR669+BR672</f>
        <v>-3.207930029198272</v>
      </c>
      <c r="BS668" s="1482">
        <f>BS669+BS672</f>
        <v>5.1766405517667424</v>
      </c>
      <c r="BT668" s="1482">
        <f>BT669+BT672</f>
        <v>-13.796252221425476</v>
      </c>
      <c r="BU668" s="1481">
        <f>BU669+BU672</f>
        <v>-8.0188060066415616</v>
      </c>
      <c r="BV668" s="1479"/>
      <c r="BW668" s="1482">
        <f>BW669+BW672</f>
        <v>0.74539642372654047</v>
      </c>
      <c r="BX668" s="1482">
        <f>BX669+BX672</f>
        <v>1.668613353452983</v>
      </c>
      <c r="BY668" s="1482">
        <f>BY669+BY672</f>
        <v>4.4095809092845695</v>
      </c>
      <c r="BZ668" s="1482">
        <f>BZ669+BZ672</f>
        <v>6.2535041190106133</v>
      </c>
      <c r="CA668" s="1481">
        <f>CA669+CA672</f>
        <v>15.054179940622241</v>
      </c>
      <c r="CB668" s="1479"/>
      <c r="CC668" s="1482">
        <f>CC669+CC672</f>
        <v>5.0390779061294602</v>
      </c>
      <c r="CD668" s="1482">
        <f>CD669+CD672</f>
        <v>12.973545777414524</v>
      </c>
      <c r="CE668" s="1482">
        <f>CE669+CE672</f>
        <v>7.1476877640226952</v>
      </c>
      <c r="CF668" s="1482">
        <f>CF669+CF672</f>
        <v>-1.4890453550973763</v>
      </c>
      <c r="CG668" s="1481">
        <f>CG669+CG672</f>
        <v>23.210077913647812</v>
      </c>
      <c r="CH668" s="1479"/>
      <c r="CI668" s="1482">
        <f>CI669+CI672</f>
        <v>1.8801280233032969</v>
      </c>
      <c r="CJ668" s="1482">
        <f>CJ669+CJ672</f>
        <v>2.423032569173853</v>
      </c>
      <c r="CK668" s="1482">
        <f>CK669+CK672</f>
        <v>2.7420997864067091</v>
      </c>
      <c r="CL668" s="1482">
        <f>CL669+CL672</f>
        <v>0.47712839417477348</v>
      </c>
      <c r="CM668" s="1481">
        <f>CM669+CM672</f>
        <v>7.1824857482458953</v>
      </c>
      <c r="CN668" s="1479"/>
      <c r="CO668" s="1482">
        <f>CO669+CO672</f>
        <v>4.6959067355541384</v>
      </c>
      <c r="CP668" s="1482">
        <f>CP669+CP672</f>
        <v>-0.71089038235113855</v>
      </c>
      <c r="CQ668" s="1482">
        <f>CQ669+CQ672</f>
        <v>2.1162155385470278</v>
      </c>
      <c r="CR668" s="1482">
        <f>CR669+CR672</f>
        <v>6.517712334416367</v>
      </c>
      <c r="CS668" s="1481">
        <f>CS669+CS672</f>
        <v>12.303287496288728</v>
      </c>
      <c r="CT668" s="1479"/>
      <c r="CU668" s="1482">
        <f>CU669+CU672</f>
        <v>1.2314008447903184</v>
      </c>
      <c r="CV668" s="1482">
        <f>CV669+CV672</f>
        <v>4.0681330879323125</v>
      </c>
      <c r="CW668" s="1482">
        <f>CW669+CW672</f>
        <v>2.8428310307938194</v>
      </c>
      <c r="CX668" s="1482">
        <f>CX669+CX672</f>
        <v>4.5403681186568656</v>
      </c>
      <c r="CY668" s="1481">
        <f>CY669+CY672</f>
        <v>11.44497598622786</v>
      </c>
      <c r="CZ668" s="1479"/>
      <c r="DA668" s="1482">
        <f>DA669+DA672</f>
        <v>5.6188081508985377</v>
      </c>
      <c r="DB668" s="1482">
        <f>DB669+DB672</f>
        <v>7.1677801373194008</v>
      </c>
      <c r="DC668" s="1482">
        <f>DC669+DC672</f>
        <v>10.735215363984755</v>
      </c>
      <c r="DD668" s="1482">
        <f>DD669+DD672</f>
        <v>11.263550061859814</v>
      </c>
      <c r="DE668" s="1481">
        <f>DE669+DE672</f>
        <v>38.896870759994272</v>
      </c>
      <c r="DF668" s="1479"/>
      <c r="DG668" s="1482">
        <f>DG669+DG672</f>
        <v>10.623053144832941</v>
      </c>
      <c r="DH668" s="1482">
        <f>DH669+DH672</f>
        <v>12.105409266903756</v>
      </c>
      <c r="DI668" s="1482">
        <f>DI669+DI672</f>
        <v>8.7090700070189762</v>
      </c>
      <c r="DJ668" s="1482">
        <f>DJ669+DJ672</f>
        <v>7.0989567259634478</v>
      </c>
      <c r="DK668" s="1481">
        <f>DK669+DK672</f>
        <v>35.229151512926087</v>
      </c>
      <c r="DL668" s="1479"/>
      <c r="DM668" s="1482">
        <f>DM669+DM672</f>
        <v>33.797075585316435</v>
      </c>
      <c r="DN668" s="1482">
        <f>DN669+DN672</f>
        <v>27.5085500672607</v>
      </c>
      <c r="DO668" s="1482">
        <f>DO669+DO672</f>
        <v>31.909031170161526</v>
      </c>
      <c r="DP668" s="1482">
        <f>DP669+DP672</f>
        <v>34.035504315522573</v>
      </c>
      <c r="DQ668" s="1481">
        <f>DQ669+DQ672</f>
        <v>127.33793037003322</v>
      </c>
      <c r="DR668" s="1479"/>
      <c r="DS668" s="1482">
        <f>DS669+DS672</f>
        <v>0</v>
      </c>
      <c r="DT668" s="1482">
        <f>DT669+DT672</f>
        <v>0</v>
      </c>
      <c r="DU668" s="1482">
        <f>DU669+DU672</f>
        <v>0</v>
      </c>
      <c r="DV668" s="1482">
        <f>DV669+DV672</f>
        <v>0</v>
      </c>
      <c r="DW668" s="1481">
        <f>DW669+DW672</f>
        <v>0</v>
      </c>
      <c r="DX668" s="1479"/>
      <c r="DY668" s="1482">
        <f>DY669+DY672</f>
        <v>0</v>
      </c>
      <c r="DZ668" s="1482">
        <f>DZ669+DZ672</f>
        <v>0</v>
      </c>
      <c r="EA668" s="1482">
        <f>EA669+EA672</f>
        <v>0</v>
      </c>
      <c r="EB668" s="1482">
        <f>EB669+EB672</f>
        <v>0</v>
      </c>
      <c r="EC668" s="1481">
        <f>EC669+EC672</f>
        <v>0</v>
      </c>
      <c r="ED668" s="1479"/>
      <c r="EE668" s="1482">
        <f>EE669+EE672</f>
        <v>0</v>
      </c>
      <c r="EF668" s="1482">
        <f>EF669+EF672</f>
        <v>0</v>
      </c>
      <c r="EG668" s="1482">
        <f>EG669+EG672</f>
        <v>0</v>
      </c>
      <c r="EH668" s="1482">
        <f>EH669+EH672</f>
        <v>0</v>
      </c>
      <c r="EI668" s="1481">
        <f>EI669+EI672</f>
        <v>0</v>
      </c>
      <c r="EJ668" s="1479"/>
      <c r="EK668" s="1482">
        <f>EK669+EK672</f>
        <v>0</v>
      </c>
      <c r="EL668" s="1482">
        <f>EL669+EL672</f>
        <v>0</v>
      </c>
      <c r="EM668" s="1482">
        <f>EM669+EM672</f>
        <v>0</v>
      </c>
      <c r="EN668" s="1482">
        <f>EN669+EN672</f>
        <v>0</v>
      </c>
      <c r="EO668" s="1481">
        <f>EO669+EO672</f>
        <v>0</v>
      </c>
      <c r="EP668" s="1479"/>
      <c r="EQ668" s="1482">
        <f>EQ669+EQ672</f>
        <v>0</v>
      </c>
      <c r="ER668" s="1482">
        <f>ER669+ER672</f>
        <v>0</v>
      </c>
      <c r="ES668" s="1482">
        <f>ES669+ES672</f>
        <v>0</v>
      </c>
      <c r="ET668" s="1482">
        <f>ET669+ET672</f>
        <v>0</v>
      </c>
      <c r="EU668" s="1481">
        <f>EU669+EU672</f>
        <v>0</v>
      </c>
      <c r="EV668" s="1479"/>
      <c r="EW668" s="1482">
        <f>EW669+EW672</f>
        <v>0</v>
      </c>
      <c r="EX668" s="1479"/>
      <c r="EY668" s="1479"/>
      <c r="EZ668" s="1479"/>
      <c r="FA668" s="1480"/>
      <c r="FB668" s="1479"/>
      <c r="FC668" s="1479"/>
      <c r="FD668" s="1479"/>
      <c r="FE668" s="1479"/>
      <c r="FF668" s="1479"/>
      <c r="FG668" s="1480"/>
      <c r="FH668" s="1479"/>
      <c r="FI668" s="1479"/>
      <c r="FJ668" s="1479"/>
      <c r="FK668" s="1479"/>
      <c r="FL668" s="1479"/>
      <c r="FM668" s="1480"/>
      <c r="FQ668"/>
      <c r="FR668"/>
      <c r="FS668"/>
      <c r="FT668"/>
      <c r="FU668"/>
      <c r="FV668"/>
      <c r="GB668" s="24"/>
      <c r="GC668" s="24"/>
      <c r="GD668" s="24"/>
      <c r="GE668" s="24"/>
      <c r="GF668" s="24"/>
      <c r="GG668" s="24"/>
      <c r="GH668" s="24"/>
      <c r="GI668" s="24"/>
      <c r="GJ668"/>
      <c r="GK668"/>
      <c r="GL668"/>
      <c r="GM668"/>
      <c r="GN668"/>
      <c r="GO668"/>
      <c r="GP668"/>
      <c r="GQ668"/>
      <c r="GR668"/>
      <c r="GS668"/>
      <c r="GT668"/>
      <c r="GU668"/>
      <c r="GV668"/>
      <c r="GW668"/>
      <c r="GX668"/>
      <c r="GY668"/>
      <c r="GZ668"/>
      <c r="HA668"/>
      <c r="HB668"/>
      <c r="HC668"/>
      <c r="HD668"/>
      <c r="HE668"/>
      <c r="HF668"/>
      <c r="HG668"/>
      <c r="HH668"/>
      <c r="HI668"/>
      <c r="HJ668"/>
      <c r="HK668"/>
      <c r="HL668"/>
      <c r="HM668"/>
      <c r="HN668"/>
      <c r="HO668"/>
      <c r="HP668"/>
      <c r="HQ668"/>
      <c r="HR668"/>
      <c r="HS668"/>
      <c r="HT668"/>
      <c r="HU668"/>
      <c r="HV668"/>
      <c r="HW668"/>
      <c r="HX668"/>
      <c r="HY668"/>
      <c r="HZ668"/>
      <c r="IA668"/>
      <c r="IB668"/>
      <c r="IC668"/>
      <c r="ID668"/>
      <c r="IE668"/>
      <c r="IF668"/>
      <c r="IG668"/>
      <c r="IH668"/>
      <c r="II668"/>
      <c r="IJ668"/>
      <c r="IK668"/>
      <c r="IL668"/>
      <c r="IM668"/>
      <c r="IN668"/>
      <c r="IO668"/>
      <c r="IP668"/>
      <c r="IQ668"/>
      <c r="IR668"/>
      <c r="IS668"/>
      <c r="IT668"/>
      <c r="IU668"/>
      <c r="IV668"/>
      <c r="IW668"/>
      <c r="IX668"/>
      <c r="IY668"/>
      <c r="IZ668"/>
      <c r="JA668"/>
      <c r="JB668"/>
      <c r="JC668"/>
      <c r="JD668"/>
      <c r="JE668"/>
      <c r="JF668"/>
      <c r="JG668"/>
      <c r="JH668"/>
      <c r="JI668"/>
      <c r="JJ668"/>
      <c r="JK668"/>
      <c r="JL668"/>
      <c r="JM668"/>
      <c r="JN668"/>
    </row>
    <row r="669" spans="1:274" s="749" customFormat="1" ht="12.75" hidden="1" customHeight="1" outlineLevel="1" x14ac:dyDescent="0.2">
      <c r="A669" s="750" t="s">
        <v>635</v>
      </c>
      <c r="B669" s="747"/>
      <c r="C669" s="65"/>
      <c r="D669" s="65"/>
      <c r="E669" s="65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5"/>
      <c r="AC669" s="65"/>
      <c r="AD669" s="65"/>
      <c r="AE669" s="65"/>
      <c r="AF669" s="65"/>
      <c r="AG669" s="65"/>
      <c r="AH669" s="65"/>
      <c r="AI669" s="65"/>
      <c r="AJ669" s="65"/>
      <c r="AK669" s="65"/>
      <c r="AL669" s="65"/>
      <c r="AM669" s="65"/>
      <c r="AN669" s="65"/>
      <c r="AO669" s="65"/>
      <c r="AP669" s="65"/>
      <c r="AQ669" s="65"/>
      <c r="AR669" s="65"/>
      <c r="AS669" s="65"/>
      <c r="AT669" s="65"/>
      <c r="AU669" s="65"/>
      <c r="AV669" s="65"/>
      <c r="AW669" s="65"/>
      <c r="AX669" s="65"/>
      <c r="AY669" s="65"/>
      <c r="AZ669" s="65"/>
      <c r="BA669" s="65"/>
      <c r="BB669" s="65"/>
      <c r="BC669" s="748"/>
      <c r="BD669" s="65"/>
      <c r="BE669" s="65"/>
      <c r="BF669" s="65"/>
      <c r="BG669" s="65"/>
      <c r="BH669" s="65"/>
      <c r="BI669" s="751">
        <f>BI670*BI671*BI$604</f>
        <v>7.287463456357461</v>
      </c>
      <c r="BJ669" s="752"/>
      <c r="BK669" s="752">
        <f>BK670*BK671*BK$604</f>
        <v>2.0843594295316348</v>
      </c>
      <c r="BL669" s="752">
        <f>BL670*BL671*BL$604</f>
        <v>2.214723126829258</v>
      </c>
      <c r="BM669" s="752">
        <f>BM670*BM671*BM$604</f>
        <v>4.479185986986308</v>
      </c>
      <c r="BN669" s="752">
        <f>BN670*BN671*BN$604</f>
        <v>3.4415233143671951</v>
      </c>
      <c r="BO669" s="751">
        <f>BO670*BO671*BO$604</f>
        <v>13.253916648728298</v>
      </c>
      <c r="BP669" s="752"/>
      <c r="BQ669" s="752">
        <f>BQ670*BQ671*BQ$604</f>
        <v>3.9255278176534434</v>
      </c>
      <c r="BR669" s="752">
        <f>BR670*BR671*BR$604</f>
        <v>3.5768800973840089</v>
      </c>
      <c r="BS669" s="752">
        <f>BS670*BS671*BS$604</f>
        <v>6.2586077648814964</v>
      </c>
      <c r="BT669" s="752">
        <f>BT670*BT671*BT$604</f>
        <v>1.6361802110069545</v>
      </c>
      <c r="BU669" s="751">
        <f>BU670*BU671*BU$604</f>
        <v>15.135040147204595</v>
      </c>
      <c r="BV669" s="65"/>
      <c r="BW669" s="752">
        <f>BW670*BW671*BW$604</f>
        <v>3.345396423726541</v>
      </c>
      <c r="BX669" s="752">
        <f>BX670*BX671*BX$604</f>
        <v>4.0019466867863152</v>
      </c>
      <c r="BY669" s="752">
        <f>BY670*BY671*BY$604</f>
        <v>-2.8923058831682593</v>
      </c>
      <c r="BZ669" s="752">
        <f>BZ670*BZ671*BZ$604</f>
        <v>0.34046064074974364</v>
      </c>
      <c r="CA669" s="751">
        <f>CA670*CA671*CA$604</f>
        <v>7.5502429327482234</v>
      </c>
      <c r="CB669" s="65"/>
      <c r="CC669" s="752">
        <f>CC670*CC671*CC$604</f>
        <v>-1.2572183901668383</v>
      </c>
      <c r="CD669" s="752">
        <f>CD670*CD671*CD$604</f>
        <v>-1.196146896228802E-2</v>
      </c>
      <c r="CE669" s="752">
        <f>CE670*CE671*CE$604</f>
        <v>2.1336032569804422</v>
      </c>
      <c r="CF669" s="752">
        <f>CF670*CF671*CF$604</f>
        <v>2.422065756013736</v>
      </c>
      <c r="CG669" s="751">
        <f>CG670*CG671*CG$604</f>
        <v>3.8438807305492264</v>
      </c>
      <c r="CH669" s="65"/>
      <c r="CI669" s="752">
        <f>CI670*CI671*CI$604</f>
        <v>1.6639118070870837</v>
      </c>
      <c r="CJ669" s="752">
        <f>CJ670*CJ671*CJ$604</f>
        <v>1.5406796279973856</v>
      </c>
      <c r="CK669" s="752">
        <f>CK670*CK671*CK$604</f>
        <v>3.3736787337751282</v>
      </c>
      <c r="CL669" s="752">
        <f>CL670*CL671*CL$604</f>
        <v>2.2791085921945733</v>
      </c>
      <c r="CM669" s="751">
        <f>CM670*CM671*CM$604</f>
        <v>8.5128428911030358</v>
      </c>
      <c r="CN669" s="65"/>
      <c r="CO669" s="752">
        <f>CO670*CO671*CO$604</f>
        <v>0.42317946282686109</v>
      </c>
      <c r="CP669" s="752">
        <f>CP670*CP671*CP$604</f>
        <v>1.9391096176488587</v>
      </c>
      <c r="CQ669" s="752">
        <f>CQ670*CQ671*CQ$604</f>
        <v>0.95342484087260859</v>
      </c>
      <c r="CR669" s="752">
        <f>CR670*CR671*CR$604</f>
        <v>5.526561891938492</v>
      </c>
      <c r="CS669" s="751">
        <f>CS670*CS671*CS$604</f>
        <v>8.6185329743249124</v>
      </c>
      <c r="CT669" s="65"/>
      <c r="CU669" s="752">
        <f>CU670*CU671*CU$604</f>
        <v>5.2314008447903184</v>
      </c>
      <c r="CV669" s="752">
        <f>CV670*CV671*CV$604</f>
        <v>4.790822163562563</v>
      </c>
      <c r="CW669" s="752">
        <f>CW670*CW671*CW$604</f>
        <v>8.6943161793086716</v>
      </c>
      <c r="CX669" s="752">
        <f>CX670*CX671*CX$604</f>
        <v>9.0363030780064584</v>
      </c>
      <c r="CY669" s="751">
        <f>CY670*CY671*CY$604</f>
        <v>25.989223773838479</v>
      </c>
      <c r="CZ669" s="65"/>
      <c r="DA669" s="752">
        <f>DA670*DA671*DA$604</f>
        <v>9.4353219123664296</v>
      </c>
      <c r="DB669" s="752">
        <f>DB670*DB671*DB$604</f>
        <v>8.4613581189707769</v>
      </c>
      <c r="DC669" s="752">
        <f>DC670*DC671*DC$604</f>
        <v>7.9659845947539862</v>
      </c>
      <c r="DD669" s="752">
        <f>DD670*DD671*DD$604</f>
        <v>7.6568084888261092</v>
      </c>
      <c r="DE669" s="751">
        <f>DE670*DE671*DE$604</f>
        <v>39.055312318435824</v>
      </c>
      <c r="DF669" s="65"/>
      <c r="DG669" s="752">
        <f>DG670*DG671*DG$604</f>
        <v>8.956386478166273</v>
      </c>
      <c r="DH669" s="752">
        <f>DH670*DH671*DH$604</f>
        <v>7.2230563257272848</v>
      </c>
      <c r="DI669" s="752">
        <f>DI670*DI671*DI$604</f>
        <v>4.3847456826946525</v>
      </c>
      <c r="DJ669" s="752">
        <f>DJ670*DJ671*DJ$604</f>
        <v>5.221598235397412</v>
      </c>
      <c r="DK669" s="751">
        <f>DK670*DK671*DK$604</f>
        <v>23.048142610848942</v>
      </c>
      <c r="DL669" s="65"/>
      <c r="DM669" s="752">
        <f>DM670*DM671*DM$604</f>
        <v>33.797075585316435</v>
      </c>
      <c r="DN669" s="752">
        <f>DN670*DN671*DN$604</f>
        <v>27.5085500672607</v>
      </c>
      <c r="DO669" s="752">
        <f>DO670*DO671*DO$604</f>
        <v>31.909031170161526</v>
      </c>
      <c r="DP669" s="752">
        <f>DP670*DP671*DP$604</f>
        <v>34.035504315522573</v>
      </c>
      <c r="DQ669" s="751">
        <f>DQ670*DQ671*DQ$604</f>
        <v>127.33793037003322</v>
      </c>
      <c r="DR669" s="65"/>
      <c r="DS669" s="752">
        <f>DS670*DS671*DS$604</f>
        <v>0</v>
      </c>
      <c r="DT669" s="752">
        <f>DT670*DT671*DT$604</f>
        <v>0</v>
      </c>
      <c r="DU669" s="752">
        <f>DU670*DU671*DU$604</f>
        <v>0</v>
      </c>
      <c r="DV669" s="752">
        <f>DV670*DV671*DV$604</f>
        <v>0</v>
      </c>
      <c r="DW669" s="751">
        <f>DW670*DW671*DW$604</f>
        <v>0</v>
      </c>
      <c r="DX669" s="65"/>
      <c r="DY669" s="752">
        <f>DY670*DY671*DY$604</f>
        <v>0</v>
      </c>
      <c r="DZ669" s="752">
        <f>DZ670*DZ671*DZ$604</f>
        <v>0</v>
      </c>
      <c r="EA669" s="752">
        <f>EA670*EA671*EA$604</f>
        <v>0</v>
      </c>
      <c r="EB669" s="752">
        <f>EB670*EB671*EB$604</f>
        <v>0</v>
      </c>
      <c r="EC669" s="751">
        <f>EC670*EC671*EC$604</f>
        <v>0</v>
      </c>
      <c r="ED669" s="65"/>
      <c r="EE669" s="752">
        <f>EE670*EE671*EE$604</f>
        <v>0</v>
      </c>
      <c r="EF669" s="752">
        <f>EF670*EF671*EF$604</f>
        <v>0</v>
      </c>
      <c r="EG669" s="752">
        <f>EG670*EG671*EG$604</f>
        <v>0</v>
      </c>
      <c r="EH669" s="752">
        <f>EH670*EH671*EH$604</f>
        <v>0</v>
      </c>
      <c r="EI669" s="751">
        <f>EI670*EI671*EI$604</f>
        <v>0</v>
      </c>
      <c r="EJ669" s="65"/>
      <c r="EK669" s="752">
        <f>EK670*EK671*EK$604</f>
        <v>0</v>
      </c>
      <c r="EL669" s="752">
        <f>EL670*EL671*EL$604</f>
        <v>0</v>
      </c>
      <c r="EM669" s="752">
        <f>EM670*EM671*EM$604</f>
        <v>0</v>
      </c>
      <c r="EN669" s="752">
        <f>EN670*EN671*EN$604</f>
        <v>0</v>
      </c>
      <c r="EO669" s="751">
        <f>EO670*EO671*EO$604</f>
        <v>0</v>
      </c>
      <c r="EP669" s="65"/>
      <c r="EQ669" s="752">
        <f>EQ670*EQ671*EQ$604</f>
        <v>0</v>
      </c>
      <c r="ER669" s="752">
        <f>ER670*ER671*ER$604</f>
        <v>0</v>
      </c>
      <c r="ES669" s="752">
        <f>ES670*ES671*ES$604</f>
        <v>0</v>
      </c>
      <c r="ET669" s="752">
        <f>ET670*ET671*ET$604</f>
        <v>0</v>
      </c>
      <c r="EU669" s="751">
        <f>EU670*EU671*EU$604</f>
        <v>0</v>
      </c>
      <c r="EV669" s="65"/>
      <c r="EW669" s="752">
        <f>EW670*EW671*EW$604</f>
        <v>0</v>
      </c>
      <c r="EX669" s="65"/>
      <c r="EY669" s="65"/>
      <c r="EZ669" s="65"/>
      <c r="FA669" s="748"/>
      <c r="FB669" s="65"/>
      <c r="FC669" s="65"/>
      <c r="FD669" s="65"/>
      <c r="FE669" s="65"/>
      <c r="FF669" s="65"/>
      <c r="FG669" s="748"/>
      <c r="FH669" s="65"/>
      <c r="FI669" s="65"/>
      <c r="FJ669" s="65"/>
      <c r="FK669" s="65"/>
      <c r="FL669" s="65"/>
      <c r="FM669" s="748"/>
      <c r="FQ669"/>
      <c r="FR669"/>
      <c r="FS669"/>
      <c r="FT669"/>
      <c r="FU669"/>
      <c r="FV669"/>
      <c r="GB669" s="24"/>
      <c r="GC669" s="24"/>
      <c r="GD669" s="24"/>
      <c r="GE669" s="24"/>
      <c r="GF669" s="24"/>
      <c r="GG669" s="24"/>
      <c r="GH669" s="24"/>
      <c r="GI669" s="24"/>
      <c r="GJ669"/>
      <c r="GK669"/>
      <c r="GL669"/>
      <c r="GM669"/>
      <c r="GN669"/>
      <c r="GO669"/>
      <c r="GP669"/>
      <c r="GQ669"/>
      <c r="GR669"/>
      <c r="GS669"/>
      <c r="GT669"/>
      <c r="GU669"/>
      <c r="GV669"/>
      <c r="GW669"/>
      <c r="GX669"/>
      <c r="GY669"/>
      <c r="GZ669"/>
      <c r="HA669"/>
      <c r="HB669"/>
      <c r="HC669"/>
      <c r="HD669"/>
      <c r="HE669"/>
      <c r="HF669"/>
      <c r="HG669"/>
      <c r="HH669"/>
      <c r="HI669"/>
      <c r="HJ669"/>
      <c r="HK669"/>
      <c r="HL669"/>
      <c r="HM669"/>
      <c r="HN669"/>
      <c r="HO669"/>
      <c r="HP669"/>
      <c r="HQ669"/>
      <c r="HR669"/>
      <c r="HS669"/>
      <c r="HT669"/>
      <c r="HU669"/>
      <c r="HV669"/>
      <c r="HW669"/>
      <c r="HX669"/>
      <c r="HY669"/>
      <c r="HZ669"/>
      <c r="IA669"/>
      <c r="IB669"/>
      <c r="IC669"/>
      <c r="ID669"/>
      <c r="IE669"/>
      <c r="IF669"/>
      <c r="IG669"/>
      <c r="IH669"/>
      <c r="II669"/>
      <c r="IJ669"/>
      <c r="IK669"/>
      <c r="IL669"/>
      <c r="IM669"/>
      <c r="IN669"/>
      <c r="IO669"/>
      <c r="IP669"/>
      <c r="IQ669"/>
      <c r="IR669"/>
      <c r="IS669"/>
      <c r="IT669"/>
      <c r="IU669"/>
      <c r="IV669"/>
      <c r="IW669"/>
      <c r="IX669"/>
      <c r="IY669"/>
      <c r="IZ669"/>
      <c r="JA669"/>
      <c r="JB669"/>
      <c r="JC669"/>
      <c r="JD669"/>
      <c r="JE669"/>
      <c r="JF669"/>
      <c r="JG669"/>
      <c r="JH669"/>
      <c r="JI669"/>
      <c r="JJ669"/>
      <c r="JK669"/>
      <c r="JL669"/>
      <c r="JM669"/>
      <c r="JN669"/>
    </row>
    <row r="670" spans="1:274" s="64" customFormat="1" ht="12.75" hidden="1" customHeight="1" outlineLevel="2" x14ac:dyDescent="0.2">
      <c r="A670" s="753" t="s">
        <v>636</v>
      </c>
      <c r="B670" s="71"/>
      <c r="C670" s="71"/>
      <c r="D670" s="71"/>
      <c r="E670" s="71"/>
      <c r="F670" s="71"/>
      <c r="G670" s="71"/>
      <c r="H670" s="71"/>
      <c r="I670" s="71"/>
      <c r="J670" s="71"/>
      <c r="K670" s="71"/>
      <c r="L670" s="71"/>
      <c r="M670" s="71"/>
      <c r="N670" s="71"/>
      <c r="O670" s="71"/>
      <c r="P670" s="71"/>
      <c r="Q670" s="71"/>
      <c r="R670" s="71"/>
      <c r="S670" s="71"/>
      <c r="T670" s="71"/>
      <c r="U670" s="71"/>
      <c r="V670" s="71"/>
      <c r="W670" s="71"/>
      <c r="X670" s="71"/>
      <c r="Y670" s="71"/>
      <c r="Z670" s="71"/>
      <c r="AA670" s="71"/>
      <c r="AB670" s="71"/>
      <c r="AC670" s="71"/>
      <c r="AD670" s="71"/>
      <c r="AE670" s="71"/>
      <c r="AF670" s="71"/>
      <c r="AG670" s="71"/>
      <c r="AH670" s="71"/>
      <c r="AI670" s="71"/>
      <c r="AJ670" s="71"/>
      <c r="AK670" s="71"/>
      <c r="AL670" s="71"/>
      <c r="AM670" s="71"/>
      <c r="AN670" s="71"/>
      <c r="AO670" s="71"/>
      <c r="AP670" s="71"/>
      <c r="AQ670" s="71"/>
      <c r="AR670" s="71"/>
      <c r="AS670" s="71"/>
      <c r="AT670" s="71"/>
      <c r="AU670" s="71"/>
      <c r="AV670" s="71"/>
      <c r="AW670" s="71"/>
      <c r="AX670" s="71"/>
      <c r="AY670" s="71"/>
      <c r="AZ670" s="71"/>
      <c r="BA670" s="71"/>
      <c r="BB670" s="71"/>
      <c r="BC670" s="754"/>
      <c r="BD670" s="71"/>
      <c r="BE670" s="71"/>
      <c r="BF670" s="71"/>
      <c r="BG670" s="71"/>
      <c r="BH670" s="71"/>
      <c r="BI670" s="754">
        <f>(BI598/BI$604)-(BC598/BC$604)</f>
        <v>-4.1966313599300711E-3</v>
      </c>
      <c r="BJ670" s="71"/>
      <c r="BK670" s="71">
        <f>(BK598/BK$604)-(BE598/BE$604)</f>
        <v>-9.9716551066525577E-3</v>
      </c>
      <c r="BL670" s="71">
        <f>(BL598/BL$604)-(BF598/BF$604)</f>
        <v>-9.0633654934472729E-3</v>
      </c>
      <c r="BM670" s="71">
        <f>(BM598/BM$604)-(BG598/BG$604)</f>
        <v>-7.7278046219871437E-3</v>
      </c>
      <c r="BN670" s="71">
        <f>(BN598/BN$604)-(BH598/BH$604)</f>
        <v>-4.4969772208280981E-3</v>
      </c>
      <c r="BO670" s="754">
        <f>(BO598/BO$604)-(BI598/BI$604)</f>
        <v>-7.8593435417301447E-3</v>
      </c>
      <c r="BP670" s="71"/>
      <c r="BQ670" s="71">
        <f>(BQ598/BQ$604)-(BK598/BK$604)</f>
        <v>-6.5454296223526991E-3</v>
      </c>
      <c r="BR670" s="71">
        <f>(BR598/BR$604)-(BL598/BL$604)</f>
        <v>-5.3908869841650664E-3</v>
      </c>
      <c r="BS670" s="71">
        <f>(BS598/BS$604)-(BM598/BM$604)</f>
        <v>-5.3173119466064338E-3</v>
      </c>
      <c r="BT670" s="71">
        <f>(BT598/BT$604)-(BN598/BN$604)</f>
        <v>-3.7147340479328009E-3</v>
      </c>
      <c r="BU670" s="754">
        <f>(BU598/BU$604)-(BO598/BO$604)</f>
        <v>-5.1748501737018601E-3</v>
      </c>
      <c r="BV670" s="71"/>
      <c r="BW670" s="71">
        <f>(BW598/BW$604)-(BQ598/BQ$604)</f>
        <v>-4.5782964518856183E-3</v>
      </c>
      <c r="BX670" s="71">
        <f>(BX598/BX$604)-(BR598/BR$604)</f>
        <v>-3.7867739765106746E-3</v>
      </c>
      <c r="BY670" s="71">
        <f>(BY598/BY$604)-(BS598/BS$604)</f>
        <v>1.8311060460389772E-3</v>
      </c>
      <c r="BZ670" s="71">
        <f>(BZ598/BZ$604)-(BT598/BT$604)</f>
        <v>-2.2961818063056694E-4</v>
      </c>
      <c r="CA670" s="754">
        <f>(CA598/CA$604)-(BU598/BU$604)</f>
        <v>-1.5755696407111046E-3</v>
      </c>
      <c r="CB670" s="71"/>
      <c r="CC670" s="71">
        <f>(CC598/CC$604)-(BW598/BW$604)</f>
        <v>1.07656384798583E-3</v>
      </c>
      <c r="CD670" s="71">
        <f>(CD598/CD$604)-(BX598/BX$604)</f>
        <v>7.9111691168483322E-6</v>
      </c>
      <c r="CE670" s="71">
        <f>(CE598/CE$604)-(BY598/BY$604)</f>
        <v>-1.4496834683937684E-3</v>
      </c>
      <c r="CF670" s="71">
        <f>(CF598/CF$604)-(BZ598/BZ$604)</f>
        <v>-1.7329087286440288E-3</v>
      </c>
      <c r="CG670" s="754">
        <f>(CG598/CG$604)-(CA598/CA$604)</f>
        <v>-6.8700168950016141E-4</v>
      </c>
      <c r="CH670" s="71"/>
      <c r="CI670" s="71">
        <f>(CI598/CI$604)-(CC598/CC$604)</f>
        <v>-1.41864803349806E-3</v>
      </c>
      <c r="CJ670" s="71">
        <f>(CJ598/CJ$604)-(CD598/CD$604)</f>
        <v>-1.3250305539745863E-3</v>
      </c>
      <c r="CK670" s="71">
        <f>(CK598/CK$604)-(CE598/CE$604)</f>
        <v>-2.1751897853087704E-3</v>
      </c>
      <c r="CL670" s="71">
        <f>(CL598/CL$604)-(CF598/CF$604)</f>
        <v>-1.2507598105805304E-3</v>
      </c>
      <c r="CM670" s="754">
        <f>(CM598/CM$604)-(CG598/CG$604)</f>
        <v>-1.4928813928969976E-3</v>
      </c>
      <c r="CN670" s="71"/>
      <c r="CO670" s="71">
        <f>(CO598/CO$604)-(CI598/CI$604)</f>
        <v>-3.0538258967171411E-4</v>
      </c>
      <c r="CP670" s="71">
        <f>(CP598/CP$604)-(CJ598/CJ$604)</f>
        <v>-1.5342284709221783E-3</v>
      </c>
      <c r="CQ670" s="71">
        <f>(CQ598/CQ$604)-(CK598/CK$604)</f>
        <v>-5.2549469506472241E-4</v>
      </c>
      <c r="CR670" s="71">
        <f>(CR598/CR$604)-(CL598/CL$604)</f>
        <v>-2.3178687795845435E-3</v>
      </c>
      <c r="CS670" s="754">
        <f>(CS598/CS$604)-(CM598/CM$604)</f>
        <v>-1.2623551043991453E-3</v>
      </c>
      <c r="CT670" s="71"/>
      <c r="CU670" s="71">
        <f>(CU598/CU$604)-(CO598/CO$604)</f>
        <v>-3.6284828090281905E-3</v>
      </c>
      <c r="CV670" s="71">
        <f>(CV598/CV$604)-(CP598/CP$604)</f>
        <v>-3.0184164808286958E-3</v>
      </c>
      <c r="CW670" s="71">
        <f>(CW598/CW$604)-(CQ598/CQ$604)</f>
        <v>-4.6331802358055545E-3</v>
      </c>
      <c r="CX670" s="71">
        <f>(CX598/CX$604)-(CR598/CR$604)</f>
        <v>-3.9609967637400934E-3</v>
      </c>
      <c r="CY670" s="754">
        <f>(CY598/CY$604)-(CS598/CS$604)</f>
        <v>-3.6055733633487304E-3</v>
      </c>
      <c r="CZ670" s="71"/>
      <c r="DA670" s="71">
        <f>(DA598/DA$604)-(CU598/CU$604)</f>
        <v>-5.8824652244136265E-3</v>
      </c>
      <c r="DB670" s="71">
        <f>(DB598/DB$604)-(CV598/CV$604)</f>
        <v>-4.6910432944010632E-3</v>
      </c>
      <c r="DC670" s="71">
        <f>(DC598/DC$604)-(CW598/CW$604)</f>
        <v>-2.7323401949188794E-3</v>
      </c>
      <c r="DD670" s="71">
        <f>(DD598/DD$604)-(CX598/CX$604)</f>
        <v>-1.925018174641328E-3</v>
      </c>
      <c r="DE670" s="754">
        <f>(DE598/DE$604)-(CY598/CY$604)</f>
        <v>-3.9206813775904091E-3</v>
      </c>
      <c r="DF670" s="71"/>
      <c r="DG670" s="71">
        <f>(DG598/DG$604)-(DA598/DA$604)</f>
        <v>-2.7553458994424608E-3</v>
      </c>
      <c r="DH670" s="71">
        <f>(DH598/DH$604)-(DB598/DB$604)</f>
        <v>-2.3353450320917225E-3</v>
      </c>
      <c r="DI670" s="71">
        <f>(DI598/DI$604)-(DC598/DC$604)</f>
        <v>-1.220027570151716E-3</v>
      </c>
      <c r="DJ670" s="71">
        <f>(DJ598/DJ$604)-(DD598/DD$604)</f>
        <v>-1.4755273261710493E-3</v>
      </c>
      <c r="DK670" s="754">
        <f>(DK598/DK$604)-(DE598/DE$604)</f>
        <v>-1.7265927538533277E-3</v>
      </c>
      <c r="DL670" s="71"/>
      <c r="DM670" s="71">
        <f>(DM598/DM$604)-(DG598/DG$604)</f>
        <v>-1.1465471797575118E-2</v>
      </c>
      <c r="DN670" s="71">
        <f>(DN598/DN$604)-(DH598/DH$604)</f>
        <v>-1.2140131807145335E-2</v>
      </c>
      <c r="DO670" s="71">
        <f>(DO598/DO$604)-(DI598/DI$604)</f>
        <v>-1.021914386283638E-2</v>
      </c>
      <c r="DP670" s="71">
        <f>(DP598/DP$604)-(DJ598/DJ$604)</f>
        <v>-9.5317416250231355E-3</v>
      </c>
      <c r="DQ670" s="754">
        <f>(DQ598/DQ$604)-(DK598/DK$604)</f>
        <v>-1.0739191073919107E-2</v>
      </c>
      <c r="DR670" s="71"/>
      <c r="DS670" s="71">
        <f>(DS598/DS$604)-(DM598/DM$604)</f>
        <v>0</v>
      </c>
      <c r="DT670" s="71">
        <f>(DT598/DT$604)-(DN598/DN$604)</f>
        <v>0</v>
      </c>
      <c r="DU670" s="71">
        <f>(DU598/DU$604)-(DO598/DO$604)</f>
        <v>0</v>
      </c>
      <c r="DV670" s="71">
        <f>(DV598/DV$604)-(DP598/DP$604)</f>
        <v>0</v>
      </c>
      <c r="DW670" s="754">
        <f>(DW598/DW$604)-(DQ598/DQ$604)</f>
        <v>0</v>
      </c>
      <c r="DX670" s="71"/>
      <c r="DY670" s="71">
        <f>(DY598/DY$604)-(DS598/DS$604)</f>
        <v>0</v>
      </c>
      <c r="DZ670" s="71">
        <f>(DZ598/DZ$604)-(DT598/DT$604)</f>
        <v>0</v>
      </c>
      <c r="EA670" s="71">
        <f>(EA598/EA$604)-(DU598/DU$604)</f>
        <v>0</v>
      </c>
      <c r="EB670" s="71">
        <f>(EB598/EB$604)-(DV598/DV$604)</f>
        <v>0</v>
      </c>
      <c r="EC670" s="754">
        <f>(EC598/EC$604)-(DW598/DW$604)</f>
        <v>0</v>
      </c>
      <c r="ED670" s="71"/>
      <c r="EE670" s="71">
        <f>(EE598/EE$604)-(DY598/DY$604)</f>
        <v>0</v>
      </c>
      <c r="EF670" s="71">
        <f>(EF598/EF$604)-(DZ598/DZ$604)</f>
        <v>0</v>
      </c>
      <c r="EG670" s="71">
        <f>(EG598/EG$604)-(EA598/EA$604)</f>
        <v>0</v>
      </c>
      <c r="EH670" s="71">
        <f>(EH598/EH$604)-(EB598/EB$604)</f>
        <v>0</v>
      </c>
      <c r="EI670" s="754">
        <f>(EI598/EI$604)-(EC598/EC$604)</f>
        <v>0</v>
      </c>
      <c r="EJ670" s="71"/>
      <c r="EK670" s="71">
        <f>(EK598/EK$604)-(EE598/EE$604)</f>
        <v>0</v>
      </c>
      <c r="EL670" s="71">
        <f>(EL598/EL$604)-(EF598/EF$604)</f>
        <v>0</v>
      </c>
      <c r="EM670" s="71">
        <f>(EM598/EM$604)-(EG598/EG$604)</f>
        <v>0</v>
      </c>
      <c r="EN670" s="71">
        <f>(EN598/EN$604)-(EH598/EH$604)</f>
        <v>0</v>
      </c>
      <c r="EO670" s="754">
        <f>(EO598/EO$604)-(EI598/EI$604)</f>
        <v>0</v>
      </c>
      <c r="EP670" s="71"/>
      <c r="EQ670" s="71">
        <f>(EQ598/EQ$604)-(EK598/EK$604)</f>
        <v>0</v>
      </c>
      <c r="ER670" s="71">
        <f>(ER598/ER$604)-(EL598/EL$604)</f>
        <v>0</v>
      </c>
      <c r="ES670" s="71">
        <f>(ES598/ES$604)-(EM598/EM$604)</f>
        <v>0</v>
      </c>
      <c r="ET670" s="71">
        <f>(ET598/ET$604)-(EN598/EN$604)</f>
        <v>0</v>
      </c>
      <c r="EU670" s="754">
        <f>(EU598/EU$604)-(EO598/EO$604)</f>
        <v>0</v>
      </c>
      <c r="EV670" s="71"/>
      <c r="EW670" s="71">
        <f>(EW598/EW$604)-(EQ598/EQ$604)</f>
        <v>0</v>
      </c>
      <c r="EX670" s="71"/>
      <c r="EY670" s="71"/>
      <c r="EZ670" s="71"/>
      <c r="FA670" s="754"/>
      <c r="FB670" s="71"/>
      <c r="FC670" s="71"/>
      <c r="FD670" s="71"/>
      <c r="FE670" s="71"/>
      <c r="FF670" s="71"/>
      <c r="FG670" s="754"/>
      <c r="FH670" s="71"/>
      <c r="FI670" s="71"/>
      <c r="FJ670" s="71"/>
      <c r="FK670" s="71"/>
      <c r="FL670" s="71"/>
      <c r="FM670" s="754"/>
      <c r="FQ670"/>
      <c r="FR670"/>
      <c r="FS670"/>
      <c r="FT670"/>
      <c r="FU670"/>
      <c r="FV670"/>
      <c r="GB670" s="24"/>
      <c r="GC670" s="24"/>
      <c r="GD670" s="24"/>
      <c r="GE670" s="24"/>
      <c r="GF670" s="24"/>
      <c r="GG670" s="24"/>
      <c r="GH670" s="24"/>
      <c r="GI670" s="24"/>
      <c r="GJ670"/>
      <c r="GK670"/>
      <c r="GL670"/>
      <c r="GM670"/>
      <c r="GN670"/>
      <c r="GO670"/>
      <c r="GP670"/>
      <c r="GQ670"/>
      <c r="GR670"/>
      <c r="GS670"/>
      <c r="GT670"/>
      <c r="GU670"/>
      <c r="GV670"/>
      <c r="GW670"/>
      <c r="GX670"/>
      <c r="GY670"/>
      <c r="GZ670"/>
      <c r="HA670"/>
      <c r="HB670"/>
      <c r="HC670"/>
      <c r="HD670"/>
      <c r="HE670"/>
      <c r="HF670"/>
      <c r="HG670"/>
      <c r="HH670"/>
      <c r="HI670"/>
      <c r="HJ670"/>
      <c r="HK670"/>
      <c r="HL670"/>
      <c r="HM670"/>
      <c r="HN670"/>
      <c r="HO670"/>
      <c r="HP670"/>
      <c r="HQ670"/>
      <c r="HR670"/>
      <c r="HS670"/>
      <c r="HT670"/>
      <c r="HU670"/>
      <c r="HV670"/>
      <c r="HW670"/>
      <c r="HX670"/>
      <c r="HY670"/>
      <c r="HZ670"/>
      <c r="IA670"/>
      <c r="IB670"/>
      <c r="IC670"/>
      <c r="ID670"/>
      <c r="IE670"/>
      <c r="IF670"/>
      <c r="IG670"/>
      <c r="IH670"/>
      <c r="II670"/>
      <c r="IJ670"/>
      <c r="IK670"/>
      <c r="IL670"/>
      <c r="IM670"/>
      <c r="IN670"/>
      <c r="IO670"/>
      <c r="IP670"/>
      <c r="IQ670"/>
      <c r="IR670"/>
      <c r="IS670"/>
      <c r="IT670"/>
      <c r="IU670"/>
      <c r="IV670"/>
      <c r="IW670"/>
      <c r="IX670"/>
      <c r="IY670"/>
      <c r="IZ670"/>
      <c r="JA670"/>
      <c r="JB670"/>
      <c r="JC670"/>
      <c r="JD670"/>
      <c r="JE670"/>
      <c r="JF670"/>
      <c r="JG670"/>
      <c r="JH670"/>
      <c r="JI670"/>
      <c r="JJ670"/>
      <c r="JK670"/>
      <c r="JL670"/>
      <c r="JM670"/>
      <c r="JN670"/>
    </row>
    <row r="671" spans="1:274" s="64" customFormat="1" ht="12.75" hidden="1" customHeight="1" outlineLevel="2" x14ac:dyDescent="0.2">
      <c r="A671" s="753" t="s">
        <v>637</v>
      </c>
      <c r="B671" s="71"/>
      <c r="C671" s="71"/>
      <c r="D671" s="71"/>
      <c r="E671" s="71"/>
      <c r="F671" s="71"/>
      <c r="G671" s="71"/>
      <c r="H671" s="71"/>
      <c r="I671" s="71"/>
      <c r="J671" s="71"/>
      <c r="K671" s="71"/>
      <c r="L671" s="71"/>
      <c r="M671" s="71"/>
      <c r="N671" s="71"/>
      <c r="O671" s="71"/>
      <c r="P671" s="71"/>
      <c r="Q671" s="71"/>
      <c r="R671" s="71"/>
      <c r="S671" s="71"/>
      <c r="T671" s="71"/>
      <c r="U671" s="71"/>
      <c r="V671" s="71"/>
      <c r="W671" s="71"/>
      <c r="X671" s="71"/>
      <c r="Y671" s="71"/>
      <c r="Z671" s="71"/>
      <c r="AA671" s="71"/>
      <c r="AB671" s="71"/>
      <c r="AC671" s="71"/>
      <c r="AD671" s="71"/>
      <c r="AE671" s="71"/>
      <c r="AF671" s="71"/>
      <c r="AG671" s="71"/>
      <c r="AH671" s="71"/>
      <c r="AI671" s="71"/>
      <c r="AJ671" s="71"/>
      <c r="AK671" s="71"/>
      <c r="AL671" s="71"/>
      <c r="AM671" s="71"/>
      <c r="AN671" s="71"/>
      <c r="AO671" s="71"/>
      <c r="AP671" s="71"/>
      <c r="AQ671" s="71"/>
      <c r="AR671" s="71"/>
      <c r="AS671" s="71"/>
      <c r="AT671" s="71"/>
      <c r="AU671" s="71"/>
      <c r="AV671" s="71"/>
      <c r="AW671" s="71"/>
      <c r="AX671" s="71"/>
      <c r="AY671" s="71"/>
      <c r="AZ671" s="71"/>
      <c r="BA671" s="71"/>
      <c r="BB671" s="71"/>
      <c r="BC671" s="754"/>
      <c r="BD671" s="71"/>
      <c r="BE671" s="71"/>
      <c r="BF671" s="71"/>
      <c r="BG671" s="71"/>
      <c r="BH671" s="71"/>
      <c r="BI671" s="754">
        <f>BC601-BC$607</f>
        <v>-0.17952063698055326</v>
      </c>
      <c r="BJ671" s="71"/>
      <c r="BK671" s="71">
        <f>BE601-BE$607</f>
        <v>-0.10307121884309567</v>
      </c>
      <c r="BL671" s="71">
        <f>BF601-BF$607</f>
        <v>-0.10582932202007012</v>
      </c>
      <c r="BM671" s="71">
        <f>BG601-BG$607</f>
        <v>-0.25124380833278104</v>
      </c>
      <c r="BN671" s="71">
        <f>BH601-BH$607</f>
        <v>-0.27032745698748056</v>
      </c>
      <c r="BO671" s="754">
        <f>BI601-BI$607</f>
        <v>-0.17798309053888234</v>
      </c>
      <c r="BP671" s="71"/>
      <c r="BQ671" s="71">
        <f>BK601-BK$607</f>
        <v>-0.28944773175542404</v>
      </c>
      <c r="BR671" s="71">
        <f>BL601-BL$607</f>
        <v>-0.26561446403999756</v>
      </c>
      <c r="BS671" s="71">
        <f>BM601-BM$607</f>
        <v>-0.46912106418810884</v>
      </c>
      <c r="BT671" s="71">
        <f>BN601-BN$607</f>
        <v>-0.14314491107143879</v>
      </c>
      <c r="BU671" s="754">
        <f>BO601-BO$607</f>
        <v>-0.28798051552668968</v>
      </c>
      <c r="BV671" s="71"/>
      <c r="BW671" s="71">
        <f>BQ601-BQ$607</f>
        <v>-0.3298906048906049</v>
      </c>
      <c r="BX671" s="71">
        <f>BR601-BR$607</f>
        <v>-0.38346232541588832</v>
      </c>
      <c r="BY671" s="71">
        <f>BS601-BS$607</f>
        <v>-0.51068229844258783</v>
      </c>
      <c r="BZ671" s="71">
        <f>BT601-BT$607</f>
        <v>-0.3656535398209248</v>
      </c>
      <c r="CA671" s="754">
        <f>BU601-BU$607</f>
        <v>-0.3954180919389802</v>
      </c>
      <c r="CB671" s="71"/>
      <c r="CC671" s="71">
        <f>BW601-BW$607</f>
        <v>-0.40172226402474714</v>
      </c>
      <c r="CD671" s="71">
        <f>BX601-BX$607</f>
        <v>-0.44548389810900063</v>
      </c>
      <c r="CE671" s="71">
        <f>BY601-BY$607</f>
        <v>-0.4164606130153049</v>
      </c>
      <c r="CF671" s="71">
        <f>BZ601-BZ$607</f>
        <v>-0.28316207699684887</v>
      </c>
      <c r="CG671" s="754">
        <f>CA601-CA$607</f>
        <v>-0.37879322307306995</v>
      </c>
      <c r="CH671" s="71"/>
      <c r="CI671" s="71">
        <f>CC601-CC$607</f>
        <v>-0.32037300458353091</v>
      </c>
      <c r="CJ671" s="71">
        <f>CD601-CD$607</f>
        <v>-0.27579465492738053</v>
      </c>
      <c r="CK671" s="71">
        <f>CE601-CE$607</f>
        <v>-0.34861346915676289</v>
      </c>
      <c r="CL671" s="71">
        <f>CF601-CF$607</f>
        <v>-0.30978906237463294</v>
      </c>
      <c r="CM671" s="754">
        <f>CG601-CG$607</f>
        <v>-0.3131749873465059</v>
      </c>
      <c r="CN671" s="71"/>
      <c r="CO671" s="71">
        <f>CI601-CI$607</f>
        <v>-0.30170594224131508</v>
      </c>
      <c r="CP671" s="71">
        <f>CJ601-CJ$607</f>
        <v>-0.23562618595825424</v>
      </c>
      <c r="CQ671" s="71">
        <f>CK601-CK$607</f>
        <v>-0.33780258955500841</v>
      </c>
      <c r="CR671" s="71">
        <f>CL601-CL$607</f>
        <v>-0.32747274570987528</v>
      </c>
      <c r="CS671" s="754">
        <f>CM601-CM$607</f>
        <v>-0.30197462682161463</v>
      </c>
      <c r="CT671" s="71"/>
      <c r="CU671" s="71">
        <f>CO601-CO$607</f>
        <v>-0.26590923163889202</v>
      </c>
      <c r="CV671" s="71">
        <f>CP601-CP$607</f>
        <v>-0.27909217378226453</v>
      </c>
      <c r="CW671" s="71">
        <f>CQ601-CQ$607</f>
        <v>-0.34093988434404787</v>
      </c>
      <c r="CX671" s="71">
        <f>CR601-CR$607</f>
        <v>-0.33149091688691912</v>
      </c>
      <c r="CY671" s="754">
        <f>CS601-CS$607</f>
        <v>-0.30679164104513162</v>
      </c>
      <c r="CZ671" s="71"/>
      <c r="DA671" s="71">
        <f>CU601-CU$607</f>
        <v>-0.31680310254857036</v>
      </c>
      <c r="DB671" s="71">
        <f>CV601-CV$607</f>
        <v>-0.30717409575677984</v>
      </c>
      <c r="DC671" s="71">
        <f>CW601-CW$607</f>
        <v>-0.45067922629695889</v>
      </c>
      <c r="DD671" s="71">
        <f>CX601-CX$607</f>
        <v>-0.41303481807287529</v>
      </c>
      <c r="DE671" s="754">
        <f>CY601-CY$607</f>
        <v>-0.36847519367204407</v>
      </c>
      <c r="DF671" s="71"/>
      <c r="DG671" s="71">
        <f>DA601-DA$607</f>
        <v>-0.42838018741633199</v>
      </c>
      <c r="DH671" s="71">
        <f>DB601-DB$607</f>
        <v>-0.35760538547844201</v>
      </c>
      <c r="DI671" s="71">
        <f>DC601-DC$607</f>
        <v>-0.40808136935822825</v>
      </c>
      <c r="DJ671" s="71">
        <f>DD601-DD$607</f>
        <v>-0.32748486451537057</v>
      </c>
      <c r="DK671" s="754">
        <f>DE601-DE$607</f>
        <v>-0.37235471586609581</v>
      </c>
      <c r="DL671" s="71"/>
      <c r="DM671" s="71">
        <f>DG601-DG$607</f>
        <v>-0.35100339919655354</v>
      </c>
      <c r="DN671" s="71">
        <f>DH601-DH$607</f>
        <v>-0.25716928464066863</v>
      </c>
      <c r="DO671" s="71">
        <f>DI601-DI$607</f>
        <v>-0.34456808346895773</v>
      </c>
      <c r="DP671" s="71">
        <f>DJ601-DJ$607</f>
        <v>-0.3260962536095553</v>
      </c>
      <c r="DQ671" s="754">
        <f>DK601-DK$607</f>
        <v>-0.31856508902534009</v>
      </c>
      <c r="DR671" s="71"/>
      <c r="DS671" s="71">
        <f>DM601-DM$607</f>
        <v>-0.60192903072160042</v>
      </c>
      <c r="DT671" s="71">
        <f>DN601-DN$607</f>
        <v>-0.62092838497332881</v>
      </c>
      <c r="DU671" s="71">
        <f>DO601-DO$607</f>
        <v>-0.6334142573383359</v>
      </c>
      <c r="DV671" s="71">
        <f>DP601-DP$607</f>
        <v>-0.64602739726027403</v>
      </c>
      <c r="DW671" s="754">
        <f>DQ601-DQ$607</f>
        <v>-0.62706536632546139</v>
      </c>
      <c r="DX671" s="71"/>
      <c r="DY671" s="71">
        <f>DS601-DS$607</f>
        <v>-0.62882202460713854</v>
      </c>
      <c r="DZ671" s="71">
        <f>DT601-DT$607</f>
        <v>-0.64336661911554927</v>
      </c>
      <c r="EA671" s="71">
        <f>DU601-DU$607</f>
        <v>-0.63890746934225195</v>
      </c>
      <c r="EB671" s="71">
        <f>DV601-DV$607</f>
        <v>-0.66180093057202805</v>
      </c>
      <c r="EC671" s="754">
        <f>DW601-DW$607</f>
        <v>-0.63492873057203447</v>
      </c>
      <c r="ED671" s="71"/>
      <c r="EE671" s="71">
        <f>DY601-DY$607</f>
        <v>-0.63369526309509605</v>
      </c>
      <c r="EF671" s="71">
        <f>DZ601-DZ$607</f>
        <v>-0.63395454055800926</v>
      </c>
      <c r="EG671" s="71">
        <f>EA601-EA$607</f>
        <v>-0.64240472356414391</v>
      </c>
      <c r="EH671" s="71">
        <f>EB601-EB$607</f>
        <v>-0.64660952219298995</v>
      </c>
      <c r="EI671" s="754">
        <f>EC601-EC$607</f>
        <v>-0.63548791312066</v>
      </c>
      <c r="EJ671" s="71"/>
      <c r="EK671" s="71">
        <f>EE601-EE$607</f>
        <v>-0.63725148238576912</v>
      </c>
      <c r="EL671" s="71">
        <f>EF601-EF$607</f>
        <v>-0.63465140478668058</v>
      </c>
      <c r="EM671" s="71">
        <f>EG601-EG$607</f>
        <v>-0.62988752008569904</v>
      </c>
      <c r="EN671" s="71">
        <f>EH601-EH$607</f>
        <v>-0.58363687307369005</v>
      </c>
      <c r="EO671" s="754">
        <f>EI601-EI$607</f>
        <v>-0.61979452591953577</v>
      </c>
      <c r="EP671" s="71"/>
      <c r="EQ671" s="71">
        <f>EK601-EK$607</f>
        <v>-0.59815406460773868</v>
      </c>
      <c r="ER671" s="71">
        <f>EL601-EL$607</f>
        <v>-0.61220406802267424</v>
      </c>
      <c r="ES671" s="71">
        <f>EM601-EM$607</f>
        <v>-0.61581983581096078</v>
      </c>
      <c r="ET671" s="71">
        <f>EN601-EN$607</f>
        <v>-0.59424256724870217</v>
      </c>
      <c r="EU671" s="754">
        <f>EO601-EO$607</f>
        <v>-0.60474404296084405</v>
      </c>
      <c r="EV671" s="71"/>
      <c r="EW671" s="71">
        <f>EQ601-EQ$607</f>
        <v>-0.59328921397886913</v>
      </c>
      <c r="EX671" s="71"/>
      <c r="EY671" s="71"/>
      <c r="EZ671" s="71"/>
      <c r="FA671" s="754"/>
      <c r="FB671" s="71"/>
      <c r="FC671" s="71"/>
      <c r="FD671" s="71"/>
      <c r="FE671" s="71"/>
      <c r="FF671" s="71"/>
      <c r="FG671" s="754"/>
      <c r="FH671" s="71"/>
      <c r="FI671" s="71"/>
      <c r="FJ671" s="71"/>
      <c r="FK671" s="71"/>
      <c r="FL671" s="71"/>
      <c r="FM671" s="754"/>
      <c r="FQ671"/>
      <c r="FR671"/>
      <c r="FS671"/>
      <c r="FT671"/>
      <c r="FU671"/>
      <c r="FV671"/>
      <c r="GB671" s="24"/>
      <c r="GC671" s="24"/>
      <c r="GD671" s="24"/>
      <c r="GE671" s="24"/>
      <c r="GF671" s="24"/>
      <c r="GG671" s="24"/>
      <c r="GH671" s="24"/>
      <c r="GI671" s="24"/>
      <c r="GJ671"/>
      <c r="GK671"/>
      <c r="GL671"/>
      <c r="GM671"/>
      <c r="GN671"/>
      <c r="GO671"/>
      <c r="GP671"/>
      <c r="GQ671"/>
      <c r="GR671"/>
      <c r="GS671"/>
      <c r="GT671"/>
      <c r="GU671"/>
      <c r="GV671"/>
      <c r="GW671"/>
      <c r="GX671"/>
      <c r="GY671"/>
      <c r="GZ671"/>
      <c r="HA671"/>
      <c r="HB671"/>
      <c r="HC671"/>
      <c r="HD671"/>
      <c r="HE671"/>
      <c r="HF671"/>
      <c r="HG671"/>
      <c r="HH671"/>
      <c r="HI671"/>
      <c r="HJ671"/>
      <c r="HK671"/>
      <c r="HL671"/>
      <c r="HM671"/>
      <c r="HN671"/>
      <c r="HO671"/>
      <c r="HP671"/>
      <c r="HQ671"/>
      <c r="HR671"/>
      <c r="HS671"/>
      <c r="HT671"/>
      <c r="HU671"/>
      <c r="HV671"/>
      <c r="HW671"/>
      <c r="HX671"/>
      <c r="HY671"/>
      <c r="HZ671"/>
      <c r="IA671"/>
      <c r="IB671"/>
      <c r="IC671"/>
      <c r="ID671"/>
      <c r="IE671"/>
      <c r="IF671"/>
      <c r="IG671"/>
      <c r="IH671"/>
      <c r="II671"/>
      <c r="IJ671"/>
      <c r="IK671"/>
      <c r="IL671"/>
      <c r="IM671"/>
      <c r="IN671"/>
      <c r="IO671"/>
      <c r="IP671"/>
      <c r="IQ671"/>
      <c r="IR671"/>
      <c r="IS671"/>
      <c r="IT671"/>
      <c r="IU671"/>
      <c r="IV671"/>
      <c r="IW671"/>
      <c r="IX671"/>
      <c r="IY671"/>
      <c r="IZ671"/>
      <c r="JA671"/>
      <c r="JB671"/>
      <c r="JC671"/>
      <c r="JD671"/>
      <c r="JE671"/>
      <c r="JF671"/>
      <c r="JG671"/>
      <c r="JH671"/>
      <c r="JI671"/>
      <c r="JJ671"/>
      <c r="JK671"/>
      <c r="JL671"/>
      <c r="JM671"/>
      <c r="JN671"/>
    </row>
    <row r="672" spans="1:274" s="749" customFormat="1" ht="12.75" hidden="1" customHeight="1" outlineLevel="1" x14ac:dyDescent="0.2">
      <c r="A672" s="750" t="s">
        <v>638</v>
      </c>
      <c r="B672" s="747"/>
      <c r="C672" s="65"/>
      <c r="D672" s="65"/>
      <c r="E672" s="65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5"/>
      <c r="AC672" s="65"/>
      <c r="AD672" s="65"/>
      <c r="AE672" s="65"/>
      <c r="AF672" s="65"/>
      <c r="AG672" s="65"/>
      <c r="AH672" s="65"/>
      <c r="AI672" s="65"/>
      <c r="AJ672" s="65"/>
      <c r="AK672" s="65"/>
      <c r="AL672" s="65"/>
      <c r="AM672" s="65"/>
      <c r="AN672" s="65"/>
      <c r="AO672" s="65"/>
      <c r="AP672" s="65"/>
      <c r="AQ672" s="65"/>
      <c r="AR672" s="65"/>
      <c r="AS672" s="65"/>
      <c r="AT672" s="65"/>
      <c r="AU672" s="65"/>
      <c r="AV672" s="65"/>
      <c r="AW672" s="65"/>
      <c r="AX672" s="65"/>
      <c r="AY672" s="65"/>
      <c r="AZ672" s="65"/>
      <c r="BA672" s="65"/>
      <c r="BB672" s="65"/>
      <c r="BC672" s="748"/>
      <c r="BD672" s="65"/>
      <c r="BE672" s="65"/>
      <c r="BF672" s="65"/>
      <c r="BG672" s="65"/>
      <c r="BH672" s="65"/>
      <c r="BI672" s="751">
        <f>(BI601-BC601)*BI598</f>
        <v>11.317494600431976</v>
      </c>
      <c r="BJ672" s="752"/>
      <c r="BK672" s="752">
        <f>(BK601-BE601)*BK598</f>
        <v>-14.854368932038836</v>
      </c>
      <c r="BL672" s="752">
        <f>(BL601-BF601)*BL598</f>
        <v>-11.815533980582524</v>
      </c>
      <c r="BM672" s="752">
        <f>(BM601-BG601)*BM598</f>
        <v>-13.597402597402596</v>
      </c>
      <c r="BN672" s="752">
        <f>(BN601-BH601)*BN598</f>
        <v>11.011764705882353</v>
      </c>
      <c r="BO672" s="751">
        <f>(BO601-BI601)*BO598</f>
        <v>-30.130434782608692</v>
      </c>
      <c r="BP672" s="752"/>
      <c r="BQ672" s="752">
        <f>(BQ601-BK601)*BQ598</f>
        <v>-0.99999999999999978</v>
      </c>
      <c r="BR672" s="752">
        <f>(BR601-BL601)*BR598</f>
        <v>-6.7848101265822809</v>
      </c>
      <c r="BS672" s="752">
        <f>(BS601-BM601)*BS598</f>
        <v>-1.081967213114754</v>
      </c>
      <c r="BT672" s="752">
        <f>(BT601-BN601)*BT598</f>
        <v>-15.43243243243243</v>
      </c>
      <c r="BU672" s="751">
        <f>(BU601-BO601)*BU598</f>
        <v>-23.153846153846157</v>
      </c>
      <c r="BV672" s="65"/>
      <c r="BW672" s="752">
        <f>(BW601-BQ601)*BW598</f>
        <v>-2.6000000000000005</v>
      </c>
      <c r="BX672" s="752">
        <f>(BX601-BR601)*BX598</f>
        <v>-2.3333333333333321</v>
      </c>
      <c r="BY672" s="752">
        <f>(BY601-BS601)*BY598</f>
        <v>7.3018867924528283</v>
      </c>
      <c r="BZ672" s="752">
        <f>(BZ601-BT601)*BZ598</f>
        <v>5.9130434782608701</v>
      </c>
      <c r="CA672" s="751">
        <f>(CA601-BU601)*CA598</f>
        <v>7.5039370078740175</v>
      </c>
      <c r="CB672" s="65"/>
      <c r="CC672" s="752">
        <f>(CC601-BW601)*CC598</f>
        <v>6.2962962962962985</v>
      </c>
      <c r="CD672" s="752">
        <f>(CD601-BX601)*CD598</f>
        <v>12.985507246376812</v>
      </c>
      <c r="CE672" s="752">
        <f>(CE601-BY601)*CE598</f>
        <v>5.0140845070422531</v>
      </c>
      <c r="CF672" s="752">
        <f>(CF601-BZ601)*CF598</f>
        <v>-3.9111111111111123</v>
      </c>
      <c r="CG672" s="751">
        <f>(CG601-CA601)*CG598</f>
        <v>19.366197183098585</v>
      </c>
      <c r="CH672" s="65"/>
      <c r="CI672" s="752">
        <f>(CI601-CC601)*CI598</f>
        <v>0.21621621621621312</v>
      </c>
      <c r="CJ672" s="752">
        <f>(CJ601-CD601)*CJ598</f>
        <v>0.88235294117646745</v>
      </c>
      <c r="CK672" s="752">
        <f>(CK601-CE601)*CK598</f>
        <v>-0.63157894736841891</v>
      </c>
      <c r="CL672" s="752">
        <f>(CL601-CF601)*CL598</f>
        <v>-1.8019801980197998</v>
      </c>
      <c r="CM672" s="751">
        <f>(CM601-CG601)*CM598</f>
        <v>-1.330357142857141</v>
      </c>
      <c r="CN672" s="65"/>
      <c r="CO672" s="752">
        <f>(CO601-CI601)*CO598</f>
        <v>4.2727272727272769</v>
      </c>
      <c r="CP672" s="752">
        <f>(CP601-CJ601)*CP598</f>
        <v>-2.6499999999999972</v>
      </c>
      <c r="CQ672" s="752">
        <f>(CQ601-CK601)*CQ598</f>
        <v>1.1627906976744191</v>
      </c>
      <c r="CR672" s="752">
        <f>(CR601-CL601)*CR598</f>
        <v>0.99115044247787509</v>
      </c>
      <c r="CS672" s="751">
        <f>(CS601-CM601)*CS598</f>
        <v>3.6847545219638169</v>
      </c>
      <c r="CT672" s="65"/>
      <c r="CU672" s="752">
        <f>(CU601-CO601)*CU598</f>
        <v>-4</v>
      </c>
      <c r="CV672" s="752">
        <f>(CV601-CP601)*CV598</f>
        <v>-0.72268907563025031</v>
      </c>
      <c r="CW672" s="752">
        <f>(CW601-CQ601)*CW598</f>
        <v>-5.8514851485148522</v>
      </c>
      <c r="CX672" s="752">
        <f>(CX601-CR601)*CX598</f>
        <v>-4.4959349593495928</v>
      </c>
      <c r="CY672" s="751">
        <f>(CY601-CS601)*CY598</f>
        <v>-14.544247787610619</v>
      </c>
      <c r="CZ672" s="65"/>
      <c r="DA672" s="752">
        <f>(DA601-CU601)*DA598</f>
        <v>-3.8165137614678919</v>
      </c>
      <c r="DB672" s="752">
        <f>(DB601-CV601)*DB598</f>
        <v>-1.2935779816513757</v>
      </c>
      <c r="DC672" s="752">
        <f>(DC601-CW601)*DC598</f>
        <v>2.7692307692307692</v>
      </c>
      <c r="DD672" s="752">
        <f>(DD601-CX601)*DD598</f>
        <v>3.6067415730337045</v>
      </c>
      <c r="DE672" s="751">
        <f>(DE601-CY601)*DE598</f>
        <v>-0.15844155844154895</v>
      </c>
      <c r="DF672" s="65"/>
      <c r="DG672" s="752">
        <f>(DG601-DA601)*DG598</f>
        <v>1.6666666666666687</v>
      </c>
      <c r="DH672" s="752">
        <f>(DH601-DB601)*DH598</f>
        <v>4.882352941176471</v>
      </c>
      <c r="DI672" s="752">
        <f>(DI601-DC601)*DI598</f>
        <v>4.3243243243243246</v>
      </c>
      <c r="DJ672" s="752">
        <f>(DJ601-DD601)*DJ598</f>
        <v>1.8773584905660359</v>
      </c>
      <c r="DK672" s="751">
        <f>(DK601-DE601)*DK598</f>
        <v>12.181008902077144</v>
      </c>
      <c r="DL672" s="65"/>
      <c r="DM672" s="752"/>
      <c r="DN672" s="752">
        <f>(DN601-DH601)*DN598</f>
        <v>0</v>
      </c>
      <c r="DO672" s="752">
        <f>(DO601-DI601)*DO598</f>
        <v>0</v>
      </c>
      <c r="DP672" s="752">
        <f>(DP601-DJ601)*DP598</f>
        <v>0</v>
      </c>
      <c r="DQ672" s="751">
        <f>(DQ601-DK601)*DQ598</f>
        <v>0</v>
      </c>
      <c r="DR672" s="65"/>
      <c r="DS672" s="752"/>
      <c r="DT672" s="752">
        <f>(DT601-DN601)*DT598</f>
        <v>0</v>
      </c>
      <c r="DU672" s="752">
        <f>(DU601-DO601)*DU598</f>
        <v>0</v>
      </c>
      <c r="DV672" s="752">
        <f>(DV601-DP601)*DV598</f>
        <v>0</v>
      </c>
      <c r="DW672" s="751">
        <f>(DW601-DQ601)*DW598</f>
        <v>0</v>
      </c>
      <c r="DX672" s="65"/>
      <c r="DY672" s="752">
        <f>(DY601-DS601)*DY598</f>
        <v>0</v>
      </c>
      <c r="DZ672" s="752">
        <f>(DZ601-DT601)*DZ598</f>
        <v>0</v>
      </c>
      <c r="EA672" s="752">
        <f>(EA601-DU601)*EA598</f>
        <v>0</v>
      </c>
      <c r="EB672" s="752">
        <f>(EB601-DV601)*EB598</f>
        <v>0</v>
      </c>
      <c r="EC672" s="751">
        <f>(EC601-DW601)*EC598</f>
        <v>0</v>
      </c>
      <c r="ED672" s="65"/>
      <c r="EE672" s="752">
        <f>(EE601-DY601)*EE598</f>
        <v>0</v>
      </c>
      <c r="EF672" s="752">
        <f>(EF601-DZ601)*EF598</f>
        <v>0</v>
      </c>
      <c r="EG672" s="752">
        <f>(EG601-EA601)*EG598</f>
        <v>0</v>
      </c>
      <c r="EH672" s="752">
        <f>(EH601-EB601)*EH598</f>
        <v>0</v>
      </c>
      <c r="EI672" s="751">
        <f>(EI601-EC601)*EI598</f>
        <v>0</v>
      </c>
      <c r="EJ672" s="65"/>
      <c r="EK672" s="752">
        <f>(EK601-EE601)*EK598</f>
        <v>0</v>
      </c>
      <c r="EL672" s="752">
        <f>(EL601-EF601)*EL598</f>
        <v>0</v>
      </c>
      <c r="EM672" s="752">
        <f>(EM601-EG601)*EM598</f>
        <v>0</v>
      </c>
      <c r="EN672" s="752">
        <f>(EN601-EH601)*EN598</f>
        <v>0</v>
      </c>
      <c r="EO672" s="751">
        <f>(EO601-EI601)*EO598</f>
        <v>0</v>
      </c>
      <c r="EP672" s="65"/>
      <c r="EQ672" s="752">
        <f>(EQ601-EK601)*EQ598</f>
        <v>0</v>
      </c>
      <c r="ER672" s="752">
        <f>(ER601-EL601)*ER598</f>
        <v>0</v>
      </c>
      <c r="ES672" s="752">
        <f>(ES601-EM601)*ES598</f>
        <v>0</v>
      </c>
      <c r="ET672" s="752">
        <f>(ET601-EN601)*ET598</f>
        <v>0</v>
      </c>
      <c r="EU672" s="751">
        <f>(EU601-EO601)*EU598</f>
        <v>0</v>
      </c>
      <c r="EV672" s="65"/>
      <c r="EW672" s="752">
        <f>(EW601-EQ601)*EW598</f>
        <v>0</v>
      </c>
      <c r="EX672" s="65"/>
      <c r="EY672" s="65"/>
      <c r="EZ672" s="65"/>
      <c r="FA672" s="748"/>
      <c r="FB672" s="65"/>
      <c r="FC672" s="65"/>
      <c r="FD672" s="65"/>
      <c r="FE672" s="65"/>
      <c r="FF672" s="65"/>
      <c r="FG672" s="748"/>
      <c r="FH672" s="65"/>
      <c r="FI672" s="65"/>
      <c r="FJ672" s="65"/>
      <c r="FK672" s="65"/>
      <c r="FL672" s="65"/>
      <c r="FM672" s="748"/>
      <c r="FQ672"/>
      <c r="FR672"/>
      <c r="FS672"/>
      <c r="FT672"/>
      <c r="FU672"/>
      <c r="FV672"/>
      <c r="GB672" s="24"/>
      <c r="GC672" s="24"/>
      <c r="GD672" s="24"/>
      <c r="GE672" s="24"/>
      <c r="GF672" s="24"/>
      <c r="GG672" s="24"/>
      <c r="GH672" s="24"/>
      <c r="GI672" s="24"/>
      <c r="GJ672"/>
      <c r="GK672"/>
      <c r="GL672"/>
      <c r="GM672"/>
      <c r="GN672"/>
      <c r="GO672"/>
      <c r="GP672"/>
      <c r="GQ672"/>
      <c r="GR672"/>
      <c r="GS672"/>
      <c r="GT672"/>
      <c r="GU672"/>
      <c r="GV672"/>
      <c r="GW672"/>
      <c r="GX672"/>
      <c r="GY672"/>
      <c r="GZ672"/>
      <c r="HA672"/>
      <c r="HB672"/>
      <c r="HC672"/>
      <c r="HD672"/>
      <c r="HE672"/>
      <c r="HF672"/>
      <c r="HG672"/>
      <c r="HH672"/>
      <c r="HI672"/>
      <c r="HJ672"/>
      <c r="HK672"/>
      <c r="HL672"/>
      <c r="HM672"/>
      <c r="HN672"/>
      <c r="HO672"/>
      <c r="HP672"/>
      <c r="HQ672"/>
      <c r="HR672"/>
      <c r="HS672"/>
      <c r="HT672"/>
      <c r="HU672"/>
      <c r="HV672"/>
      <c r="HW672"/>
      <c r="HX672"/>
      <c r="HY672"/>
      <c r="HZ672"/>
      <c r="IA672"/>
      <c r="IB672"/>
      <c r="IC672"/>
      <c r="ID672"/>
      <c r="IE672"/>
      <c r="IF672"/>
      <c r="IG672"/>
      <c r="IH672"/>
      <c r="II672"/>
      <c r="IJ672"/>
      <c r="IK672"/>
      <c r="IL672"/>
      <c r="IM672"/>
      <c r="IN672"/>
      <c r="IO672"/>
      <c r="IP672"/>
      <c r="IQ672"/>
      <c r="IR672"/>
      <c r="IS672"/>
      <c r="IT672"/>
      <c r="IU672"/>
      <c r="IV672"/>
      <c r="IW672"/>
      <c r="IX672"/>
      <c r="IY672"/>
      <c r="IZ672"/>
      <c r="JA672"/>
      <c r="JB672"/>
      <c r="JC672"/>
      <c r="JD672"/>
      <c r="JE672"/>
      <c r="JF672"/>
      <c r="JG672"/>
      <c r="JH672"/>
      <c r="JI672"/>
      <c r="JJ672"/>
      <c r="JK672"/>
      <c r="JL672"/>
      <c r="JM672"/>
      <c r="JN672"/>
    </row>
    <row r="673" spans="1:274" s="749" customFormat="1" ht="6" hidden="1" customHeight="1" outlineLevel="1" x14ac:dyDescent="0.2">
      <c r="A673" s="750"/>
      <c r="B673" s="747"/>
      <c r="C673" s="65"/>
      <c r="D673" s="65"/>
      <c r="E673" s="65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5"/>
      <c r="AC673" s="65"/>
      <c r="AD673" s="65"/>
      <c r="AE673" s="65"/>
      <c r="AF673" s="65"/>
      <c r="AG673" s="65"/>
      <c r="AH673" s="65"/>
      <c r="AI673" s="65"/>
      <c r="AJ673" s="65"/>
      <c r="AK673" s="65"/>
      <c r="AL673" s="65"/>
      <c r="AM673" s="65"/>
      <c r="AN673" s="65"/>
      <c r="AO673" s="65"/>
      <c r="AP673" s="65"/>
      <c r="AQ673" s="65"/>
      <c r="AR673" s="65"/>
      <c r="AS673" s="65"/>
      <c r="AT673" s="65"/>
      <c r="AU673" s="65"/>
      <c r="AV673" s="65"/>
      <c r="AW673" s="65"/>
      <c r="AX673" s="65"/>
      <c r="AY673" s="65"/>
      <c r="AZ673" s="65"/>
      <c r="BA673" s="65"/>
      <c r="BB673" s="65"/>
      <c r="BC673" s="748"/>
      <c r="BD673" s="65"/>
      <c r="BE673" s="65"/>
      <c r="BF673" s="65"/>
      <c r="BG673" s="65"/>
      <c r="BH673" s="65"/>
      <c r="BI673" s="751"/>
      <c r="BJ673" s="752"/>
      <c r="BK673" s="752"/>
      <c r="BL673" s="752"/>
      <c r="BM673" s="752"/>
      <c r="BN673" s="752"/>
      <c r="BO673" s="751"/>
      <c r="BP673" s="752"/>
      <c r="BQ673" s="752"/>
      <c r="BR673" s="752"/>
      <c r="BS673" s="752"/>
      <c r="BT673" s="752"/>
      <c r="BU673" s="751"/>
      <c r="BV673" s="65"/>
      <c r="BW673" s="752"/>
      <c r="BX673" s="752"/>
      <c r="BY673" s="752"/>
      <c r="BZ673" s="752"/>
      <c r="CA673" s="751"/>
      <c r="CB673" s="65"/>
      <c r="CC673" s="752"/>
      <c r="CD673" s="752"/>
      <c r="CE673" s="752"/>
      <c r="CF673" s="752"/>
      <c r="CG673" s="751"/>
      <c r="CH673" s="65"/>
      <c r="CI673" s="752"/>
      <c r="CJ673" s="752"/>
      <c r="CK673" s="752"/>
      <c r="CL673" s="752"/>
      <c r="CM673" s="751"/>
      <c r="CN673" s="65"/>
      <c r="CO673" s="752"/>
      <c r="CP673" s="752"/>
      <c r="CQ673" s="752"/>
      <c r="CR673" s="752"/>
      <c r="CS673" s="751"/>
      <c r="CT673" s="65"/>
      <c r="CU673" s="752"/>
      <c r="CV673" s="752"/>
      <c r="CW673" s="752"/>
      <c r="CX673" s="752"/>
      <c r="CY673" s="751"/>
      <c r="CZ673" s="65"/>
      <c r="DA673" s="752"/>
      <c r="DB673" s="752"/>
      <c r="DC673" s="752"/>
      <c r="DD673" s="65"/>
      <c r="DE673" s="751"/>
      <c r="DF673" s="65"/>
      <c r="DG673" s="752"/>
      <c r="DH673" s="752"/>
      <c r="DI673" s="752"/>
      <c r="DJ673" s="65"/>
      <c r="DK673" s="751"/>
      <c r="DL673" s="65"/>
      <c r="DM673" s="752"/>
      <c r="DN673" s="752"/>
      <c r="DO673" s="752"/>
      <c r="DP673" s="65"/>
      <c r="DQ673" s="751"/>
      <c r="DR673" s="65"/>
      <c r="DS673" s="752"/>
      <c r="DT673" s="752"/>
      <c r="DU673" s="752"/>
      <c r="DV673" s="65"/>
      <c r="DW673" s="751"/>
      <c r="DX673" s="65"/>
      <c r="DY673" s="65"/>
      <c r="DZ673" s="752"/>
      <c r="EA673" s="752"/>
      <c r="EB673" s="65"/>
      <c r="EC673" s="751"/>
      <c r="ED673" s="65"/>
      <c r="EE673" s="65"/>
      <c r="EF673" s="752"/>
      <c r="EG673" s="752"/>
      <c r="EH673" s="65"/>
      <c r="EI673" s="751"/>
      <c r="EJ673" s="65"/>
      <c r="EK673" s="65"/>
      <c r="EL673" s="752"/>
      <c r="EM673" s="752"/>
      <c r="EN673" s="65"/>
      <c r="EO673" s="751"/>
      <c r="EP673" s="65"/>
      <c r="EQ673" s="65"/>
      <c r="ER673" s="752"/>
      <c r="ES673" s="752"/>
      <c r="ET673" s="65"/>
      <c r="EU673" s="751"/>
      <c r="EV673" s="65"/>
      <c r="EW673" s="65"/>
      <c r="EX673" s="65"/>
      <c r="EY673" s="65"/>
      <c r="EZ673" s="65"/>
      <c r="FA673" s="748"/>
      <c r="FB673" s="65"/>
      <c r="FC673" s="65"/>
      <c r="FD673" s="65"/>
      <c r="FE673" s="65"/>
      <c r="FF673" s="65"/>
      <c r="FG673" s="748"/>
      <c r="FH673" s="65"/>
      <c r="FI673" s="65"/>
      <c r="FJ673" s="65"/>
      <c r="FK673" s="65"/>
      <c r="FL673" s="65"/>
      <c r="FM673" s="748"/>
      <c r="FQ673"/>
      <c r="FR673"/>
      <c r="FS673"/>
      <c r="FT673"/>
      <c r="FU673"/>
      <c r="FV673"/>
      <c r="GB673" s="24"/>
      <c r="GC673" s="24"/>
      <c r="GD673" s="24"/>
      <c r="GE673" s="24"/>
      <c r="GF673" s="24"/>
      <c r="GG673" s="24"/>
      <c r="GH673" s="24"/>
      <c r="GI673" s="24"/>
      <c r="GJ673"/>
      <c r="GK673"/>
      <c r="GL673"/>
      <c r="GM673"/>
      <c r="GN673"/>
      <c r="GO673"/>
      <c r="GP673"/>
      <c r="GQ673"/>
      <c r="GR673"/>
      <c r="GS673"/>
      <c r="GT673"/>
      <c r="GU673"/>
      <c r="GV673"/>
      <c r="GW673"/>
      <c r="GX673"/>
      <c r="GY673"/>
      <c r="GZ673"/>
      <c r="HA673"/>
      <c r="HB673"/>
      <c r="HC673"/>
      <c r="HD673"/>
      <c r="HE673"/>
      <c r="HF673"/>
      <c r="HG673"/>
      <c r="HH673"/>
      <c r="HI673"/>
      <c r="HJ673"/>
      <c r="HK673"/>
      <c r="HL673"/>
      <c r="HM673"/>
      <c r="HN673"/>
      <c r="HO673"/>
      <c r="HP673"/>
      <c r="HQ673"/>
      <c r="HR673"/>
      <c r="HS673"/>
      <c r="HT673"/>
      <c r="HU673"/>
      <c r="HV673"/>
      <c r="HW673"/>
      <c r="HX673"/>
      <c r="HY673"/>
      <c r="HZ673"/>
      <c r="IA673"/>
      <c r="IB673"/>
      <c r="IC673"/>
      <c r="ID673"/>
      <c r="IE673"/>
      <c r="IF673"/>
      <c r="IG673"/>
      <c r="IH673"/>
      <c r="II673"/>
      <c r="IJ673"/>
      <c r="IK673"/>
      <c r="IL673"/>
      <c r="IM673"/>
      <c r="IN673"/>
      <c r="IO673"/>
      <c r="IP673"/>
      <c r="IQ673"/>
      <c r="IR673"/>
      <c r="IS673"/>
      <c r="IT673"/>
      <c r="IU673"/>
      <c r="IV673"/>
      <c r="IW673"/>
      <c r="IX673"/>
      <c r="IY673"/>
      <c r="IZ673"/>
      <c r="JA673"/>
      <c r="JB673"/>
      <c r="JC673"/>
      <c r="JD673"/>
      <c r="JE673"/>
      <c r="JF673"/>
      <c r="JG673"/>
      <c r="JH673"/>
      <c r="JI673"/>
      <c r="JJ673"/>
      <c r="JK673"/>
      <c r="JL673"/>
      <c r="JM673"/>
      <c r="JN673"/>
    </row>
    <row r="674" spans="1:274" s="749" customFormat="1" ht="12.75" hidden="1" customHeight="1" outlineLevel="1" x14ac:dyDescent="0.2">
      <c r="A674" s="755" t="s">
        <v>129</v>
      </c>
      <c r="B674" s="756"/>
      <c r="C674" s="738"/>
      <c r="D674" s="738"/>
      <c r="E674" s="738"/>
      <c r="F674" s="738"/>
      <c r="G674" s="738"/>
      <c r="H674" s="738"/>
      <c r="I674" s="738"/>
      <c r="J674" s="738"/>
      <c r="K674" s="738"/>
      <c r="L674" s="738"/>
      <c r="M674" s="738"/>
      <c r="N674" s="738"/>
      <c r="O674" s="738"/>
      <c r="P674" s="738"/>
      <c r="Q674" s="738"/>
      <c r="R674" s="738"/>
      <c r="S674" s="738"/>
      <c r="T674" s="738"/>
      <c r="U674" s="738"/>
      <c r="V674" s="738"/>
      <c r="W674" s="738"/>
      <c r="X674" s="738"/>
      <c r="Y674" s="738"/>
      <c r="Z674" s="738"/>
      <c r="AA674" s="738"/>
      <c r="AB674" s="738"/>
      <c r="AC674" s="738"/>
      <c r="AD674" s="738"/>
      <c r="AE674" s="738"/>
      <c r="AF674" s="738"/>
      <c r="AG674" s="738"/>
      <c r="AH674" s="738"/>
      <c r="AI674" s="738"/>
      <c r="AJ674" s="738"/>
      <c r="AK674" s="738"/>
      <c r="AL674" s="738"/>
      <c r="AM674" s="738"/>
      <c r="AN674" s="738"/>
      <c r="AO674" s="738"/>
      <c r="AP674" s="738"/>
      <c r="AQ674" s="738"/>
      <c r="AR674" s="738"/>
      <c r="AS674" s="738"/>
      <c r="AT674" s="738"/>
      <c r="AU674" s="738"/>
      <c r="AV674" s="738"/>
      <c r="AW674" s="738"/>
      <c r="AX674" s="738"/>
      <c r="AY674" s="738"/>
      <c r="AZ674" s="738"/>
      <c r="BA674" s="738"/>
      <c r="BB674" s="738"/>
      <c r="BC674" s="757"/>
      <c r="BD674" s="738"/>
      <c r="BE674" s="738"/>
      <c r="BF674" s="738"/>
      <c r="BG674" s="738"/>
      <c r="BH674" s="738"/>
      <c r="BI674" s="758">
        <f>BI675+BI676</f>
        <v>282.61134932944071</v>
      </c>
      <c r="BJ674" s="759"/>
      <c r="BK674" s="760">
        <f>BK675+BK676</f>
        <v>-40.42649006622517</v>
      </c>
      <c r="BL674" s="760">
        <f>BL675+BL676</f>
        <v>23.601260504201658</v>
      </c>
      <c r="BM674" s="760">
        <f>BM675+BM676</f>
        <v>-11.606478810738764</v>
      </c>
      <c r="BN674" s="760">
        <f>BN675+BN676</f>
        <v>61.220616327266299</v>
      </c>
      <c r="BO674" s="758">
        <f>BO675+BO676</f>
        <v>44.023260622350932</v>
      </c>
      <c r="BP674" s="759"/>
      <c r="BQ674" s="760">
        <f>BQ675+BQ676</f>
        <v>49.264299802761357</v>
      </c>
      <c r="BR674" s="760">
        <f>BR675+BR676</f>
        <v>58.988739714161966</v>
      </c>
      <c r="BS674" s="760">
        <f>BS675+BS676</f>
        <v>53.057217165149488</v>
      </c>
      <c r="BT674" s="760">
        <f>BT675+BT676</f>
        <v>-3.5379724478983476</v>
      </c>
      <c r="BU674" s="758">
        <f>BU675+BU676</f>
        <v>165.34680738786298</v>
      </c>
      <c r="BV674" s="738"/>
      <c r="BW674" s="760">
        <f>BW675+BW676</f>
        <v>52.458976833976706</v>
      </c>
      <c r="BX674" s="760">
        <f>BX675+BX676</f>
        <v>77.733386709367494</v>
      </c>
      <c r="BY674" s="760">
        <f>BY675+BY676</f>
        <v>26.667198086887325</v>
      </c>
      <c r="BZ674" s="760">
        <f>BZ675+BZ676</f>
        <v>-68.087422814429729</v>
      </c>
      <c r="CA674" s="758">
        <f>CA675+CA676</f>
        <v>118.73523040567149</v>
      </c>
      <c r="CB674" s="738"/>
      <c r="CC674" s="760">
        <f>CC675+CC676</f>
        <v>10.860045146727003</v>
      </c>
      <c r="CD674" s="760">
        <f>CD675+CD676</f>
        <v>-57.421625544266966</v>
      </c>
      <c r="CE674" s="760">
        <f>CE675+CE676</f>
        <v>-6.6168768186227744</v>
      </c>
      <c r="CF674" s="760">
        <f>CF675+CF676</f>
        <v>-59.710234278668146</v>
      </c>
      <c r="CG674" s="758">
        <f>CG675+CG676</f>
        <v>-117.88357125175365</v>
      </c>
      <c r="CH674" s="738"/>
      <c r="CI674" s="760">
        <f>CI675+CI676</f>
        <v>-59.345029239766127</v>
      </c>
      <c r="CJ674" s="760">
        <f>CJ675+CJ676</f>
        <v>-132.15026517383629</v>
      </c>
      <c r="CK674" s="760">
        <f>CK675+CK676</f>
        <v>-80.770797962648516</v>
      </c>
      <c r="CL674" s="760">
        <f>CL675+CL676</f>
        <v>10.2167747163694</v>
      </c>
      <c r="CM674" s="758">
        <f>CM675+CM676</f>
        <v>-266.52826484327397</v>
      </c>
      <c r="CN674" s="738"/>
      <c r="CO674" s="760">
        <f>CO675+CO676</f>
        <v>15.628243649275973</v>
      </c>
      <c r="CP674" s="760">
        <f>CP675+CP676</f>
        <v>113.70113851992403</v>
      </c>
      <c r="CQ674" s="760">
        <f>CQ675+CQ676</f>
        <v>78.685547314002847</v>
      </c>
      <c r="CR674" s="760">
        <f>CR675+CR676</f>
        <v>87.927575654539666</v>
      </c>
      <c r="CS674" s="758">
        <f>CS675+CS676</f>
        <v>293.21896968365604</v>
      </c>
      <c r="CT674" s="738"/>
      <c r="CU674" s="760">
        <f>CU675+CU676</f>
        <v>76.974091008055865</v>
      </c>
      <c r="CV674" s="760">
        <f>CV675+CV676</f>
        <v>121.99608501118573</v>
      </c>
      <c r="CW674" s="760">
        <f>CW675+CW676</f>
        <v>191.10053993669732</v>
      </c>
      <c r="CX674" s="760">
        <f>CX675+CX676</f>
        <v>213.53316852080729</v>
      </c>
      <c r="CY674" s="758">
        <f>CY675+CY676</f>
        <v>561.67818125525218</v>
      </c>
      <c r="CZ674" s="738"/>
      <c r="DA674" s="760">
        <f>DA675+DA676</f>
        <v>296.5396532644782</v>
      </c>
      <c r="DB674" s="760">
        <f>DB675+DB676</f>
        <v>206.76912256022487</v>
      </c>
      <c r="DC674" s="760">
        <f>DC675+DC676</f>
        <v>150.36627906976756</v>
      </c>
      <c r="DD674" s="760">
        <f>DD675+DD676</f>
        <v>81.029642545771566</v>
      </c>
      <c r="DE674" s="758">
        <f>DE675+DE676</f>
        <v>781.76731219408271</v>
      </c>
      <c r="DF674" s="738"/>
      <c r="DG674" s="760">
        <f>DG675+DG676</f>
        <v>19.638554216867405</v>
      </c>
      <c r="DH674" s="760">
        <f>DH675+DH676</f>
        <v>28.445504087193754</v>
      </c>
      <c r="DI674" s="760">
        <f>DI675+DI676</f>
        <v>-3.5407543034178559</v>
      </c>
      <c r="DJ674" s="760">
        <f>DJ675+DJ676</f>
        <v>18.431181762599007</v>
      </c>
      <c r="DK674" s="758">
        <f>DK675+DK676</f>
        <v>-34.710320294660562</v>
      </c>
      <c r="DL674" s="738"/>
      <c r="DM674" s="760">
        <f>DM675+DM676</f>
        <v>7.0112070733438685</v>
      </c>
      <c r="DN674" s="760">
        <f>DN675+DN676</f>
        <v>62.183564014485874</v>
      </c>
      <c r="DO674" s="760">
        <f>DO675+DO676</f>
        <v>100.13243475656867</v>
      </c>
      <c r="DP674" s="760">
        <f>DP675+DP676</f>
        <v>94.445686085722599</v>
      </c>
      <c r="DQ674" s="758">
        <f>DQ675+DQ676</f>
        <v>77.044112495694321</v>
      </c>
      <c r="DR674" s="738"/>
      <c r="DS674" s="760">
        <f>DS675+DS676</f>
        <v>162.98932231111624</v>
      </c>
      <c r="DT674" s="760">
        <f>DT675+DT676</f>
        <v>104.96528988994349</v>
      </c>
      <c r="DU674" s="760">
        <f>DU675+DU676</f>
        <v>-24.35561562927461</v>
      </c>
      <c r="DV674" s="760">
        <f>DV675+DV676</f>
        <v>112.80045091636926</v>
      </c>
      <c r="DW674" s="758">
        <f>DW675+DW676</f>
        <v>347.56453156862148</v>
      </c>
      <c r="DX674" s="738"/>
      <c r="DY674" s="760">
        <f>DY675+DY676</f>
        <v>9.70184149831681E-2</v>
      </c>
      <c r="DZ674" s="760">
        <f>DZ675+DZ676</f>
        <v>-78.576205270550417</v>
      </c>
      <c r="EA674" s="760">
        <f>EA675+EA676</f>
        <v>33.076490009433385</v>
      </c>
      <c r="EB674" s="760">
        <f>EB675+EB676</f>
        <v>-189.33149567008257</v>
      </c>
      <c r="EC674" s="758">
        <f>EC675+EC676</f>
        <v>-7.3392894437246241</v>
      </c>
      <c r="ED674" s="738"/>
      <c r="EE674" s="760">
        <f>EE675+EE676</f>
        <v>-53.526407002298967</v>
      </c>
      <c r="EF674" s="760">
        <f>EF675+EF676</f>
        <v>-79.573808456506839</v>
      </c>
      <c r="EG674" s="760">
        <f>EG675+EG676</f>
        <v>-164.42912985566042</v>
      </c>
      <c r="EH674" s="760">
        <f>EH675+EH676</f>
        <v>-698.81223437730887</v>
      </c>
      <c r="EI674" s="758">
        <f>EI675+EI676</f>
        <v>-996.341579691775</v>
      </c>
      <c r="EJ674" s="738"/>
      <c r="EK674" s="760">
        <f>EK675+EK676</f>
        <v>-317.47305147433212</v>
      </c>
      <c r="EL674" s="760">
        <f>EL675+EL676</f>
        <v>-197.30820065813356</v>
      </c>
      <c r="EM674" s="760">
        <f>EM675+EM676</f>
        <v>-142.25462644544604</v>
      </c>
      <c r="EN674" s="760">
        <f>EN675+EN676</f>
        <v>113.88626708676128</v>
      </c>
      <c r="EO674" s="758">
        <f>SUM(EK674:EN674)</f>
        <v>-543.14961149115038</v>
      </c>
      <c r="EP674" s="738"/>
      <c r="EQ674" s="760">
        <f>EQ675+EQ676</f>
        <v>-85.73626578021846</v>
      </c>
      <c r="ER674" s="760">
        <f>ER675+ER676</f>
        <v>-130.61596946675925</v>
      </c>
      <c r="ES674" s="760">
        <f>ES675+ES676</f>
        <v>-173.5905739458413</v>
      </c>
      <c r="ET674" s="760">
        <f>ET675+ET676</f>
        <v>214.45181870316048</v>
      </c>
      <c r="EU674" s="758">
        <f>SUM(EQ674:ET674)</f>
        <v>-175.49099048965854</v>
      </c>
      <c r="EV674" s="738"/>
      <c r="EW674" s="760">
        <f>EW675+EW676</f>
        <v>2.7325301037212171</v>
      </c>
      <c r="EX674" s="738"/>
      <c r="EY674" s="738"/>
      <c r="EZ674" s="738"/>
      <c r="FA674" s="757"/>
      <c r="FB674" s="738"/>
      <c r="FC674" s="738"/>
      <c r="FD674" s="738"/>
      <c r="FE674" s="738"/>
      <c r="FF674" s="738"/>
      <c r="FG674" s="757"/>
      <c r="FH674" s="738"/>
      <c r="FI674" s="738"/>
      <c r="FJ674" s="738"/>
      <c r="FK674" s="738"/>
      <c r="FL674" s="738"/>
      <c r="FM674" s="757"/>
      <c r="FQ674"/>
      <c r="FR674"/>
      <c r="FS674"/>
      <c r="FT674"/>
      <c r="FU674"/>
      <c r="FV674"/>
      <c r="GB674" s="24"/>
      <c r="GC674" s="24"/>
      <c r="GD674" s="24"/>
      <c r="GE674" s="24"/>
      <c r="GF674" s="24"/>
      <c r="GG674" s="24"/>
      <c r="GH674" s="24"/>
      <c r="GI674" s="24"/>
      <c r="GJ674"/>
      <c r="GK674"/>
      <c r="GL674"/>
      <c r="GM674"/>
      <c r="GN674"/>
      <c r="GO674"/>
      <c r="GP674"/>
      <c r="GQ674"/>
      <c r="GR674"/>
      <c r="GS674"/>
      <c r="GT674"/>
      <c r="GU674"/>
      <c r="GV674"/>
      <c r="GW674"/>
      <c r="GX674"/>
      <c r="GY674"/>
      <c r="GZ674"/>
      <c r="HA674"/>
      <c r="HB674"/>
      <c r="HC674"/>
      <c r="HD674"/>
      <c r="HE674"/>
      <c r="HF674"/>
      <c r="HG674"/>
      <c r="HH674"/>
      <c r="HI674"/>
      <c r="HJ674"/>
      <c r="HK674"/>
      <c r="HL674"/>
      <c r="HM674"/>
      <c r="HN674"/>
      <c r="HO674"/>
      <c r="HP674"/>
      <c r="HQ674"/>
      <c r="HR674"/>
      <c r="HS674"/>
      <c r="HT674"/>
      <c r="HU674"/>
      <c r="HV674"/>
      <c r="HW674"/>
      <c r="HX674"/>
      <c r="HY674"/>
      <c r="HZ674"/>
      <c r="IA674"/>
      <c r="IB674"/>
      <c r="IC674"/>
      <c r="ID674"/>
      <c r="IE674"/>
      <c r="IF674"/>
      <c r="IG674"/>
      <c r="IH674"/>
      <c r="II674"/>
      <c r="IJ674"/>
      <c r="IK674"/>
      <c r="IL674"/>
      <c r="IM674"/>
      <c r="IN674"/>
      <c r="IO674"/>
      <c r="IP674"/>
      <c r="IQ674"/>
      <c r="IR674"/>
      <c r="IS674"/>
      <c r="IT674"/>
      <c r="IU674"/>
      <c r="IV674"/>
      <c r="IW674"/>
      <c r="IX674"/>
      <c r="IY674"/>
      <c r="IZ674"/>
      <c r="JA674"/>
      <c r="JB674"/>
      <c r="JC674"/>
      <c r="JD674"/>
      <c r="JE674"/>
      <c r="JF674"/>
      <c r="JG674"/>
      <c r="JH674"/>
      <c r="JI674"/>
      <c r="JJ674"/>
      <c r="JK674"/>
      <c r="JL674"/>
      <c r="JM674"/>
      <c r="JN674"/>
    </row>
    <row r="675" spans="1:274" s="749" customFormat="1" ht="12.75" hidden="1" customHeight="1" outlineLevel="1" x14ac:dyDescent="0.2">
      <c r="A675" s="750" t="s">
        <v>635</v>
      </c>
      <c r="B675" s="747"/>
      <c r="C675" s="65"/>
      <c r="D675" s="65"/>
      <c r="E675" s="65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5"/>
      <c r="AC675" s="65"/>
      <c r="AD675" s="65"/>
      <c r="AE675" s="65"/>
      <c r="AF675" s="65"/>
      <c r="AG675" s="65"/>
      <c r="AH675" s="65"/>
      <c r="AI675" s="65"/>
      <c r="AJ675" s="65"/>
      <c r="AK675" s="65"/>
      <c r="AL675" s="65"/>
      <c r="AM675" s="65"/>
      <c r="AN675" s="65"/>
      <c r="AO675" s="65"/>
      <c r="AP675" s="65"/>
      <c r="AQ675" s="65"/>
      <c r="AR675" s="65"/>
      <c r="AS675" s="65"/>
      <c r="AT675" s="65"/>
      <c r="AU675" s="65"/>
      <c r="AV675" s="65"/>
      <c r="AW675" s="65"/>
      <c r="AX675" s="65"/>
      <c r="AY675" s="65"/>
      <c r="AZ675" s="65"/>
      <c r="BA675" s="65"/>
      <c r="BB675" s="65"/>
      <c r="BC675" s="748"/>
      <c r="BD675" s="65"/>
      <c r="BE675" s="65"/>
      <c r="BF675" s="65"/>
      <c r="BG675" s="65"/>
      <c r="BH675" s="65"/>
      <c r="BI675" s="751">
        <f>BI627+BI633+BI657+BI663+BI669</f>
        <v>192.86144675955714</v>
      </c>
      <c r="BJ675" s="752"/>
      <c r="BK675" s="752">
        <f>BK627+BK633+BK657+BK663+BK669</f>
        <v>73.381078814037522</v>
      </c>
      <c r="BL675" s="752">
        <f>BL627+BL633+BL657+BL663+BL669</f>
        <v>50.203059890008106</v>
      </c>
      <c r="BM675" s="752">
        <f>BM627+BM633+BM657+BM663+BM669</f>
        <v>58.157986522009566</v>
      </c>
      <c r="BN675" s="752">
        <f>BN627+BN633+BN657+BN663+BN669</f>
        <v>50.995807930531683</v>
      </c>
      <c r="BO675" s="751">
        <f>BO627+BO633+BO657+BO663+BO669</f>
        <v>228.0132401282371</v>
      </c>
      <c r="BP675" s="752"/>
      <c r="BQ675" s="752">
        <f>BQ627+BQ633+BQ657+BQ663+BQ669</f>
        <v>68.833831280010827</v>
      </c>
      <c r="BR675" s="752">
        <f>BR627+BR633+BR657+BR663+BR669</f>
        <v>62.085858981266909</v>
      </c>
      <c r="BS675" s="752">
        <f>BS627+BS633+BS657+BS663+BS669</f>
        <v>65.161218731753536</v>
      </c>
      <c r="BT675" s="752">
        <f>BT627+BT633+BT657+BT663+BT669</f>
        <v>38.589212895684959</v>
      </c>
      <c r="BU675" s="751">
        <f>BU627+BU633+BU657+BU663+BU669</f>
        <v>227.18159590493073</v>
      </c>
      <c r="BV675" s="65"/>
      <c r="BW675" s="752">
        <f>BW627+BW633+BW657+BW663+BW669</f>
        <v>51.47059858270292</v>
      </c>
      <c r="BX675" s="752">
        <f>BX627+BX633+BX657+BX663+BX669</f>
        <v>24.994850761602617</v>
      </c>
      <c r="BY675" s="752">
        <f>BY627+BY633+BY657+BY663+BY669</f>
        <v>26.977247123185027</v>
      </c>
      <c r="BZ675" s="752">
        <f>BZ627+BZ633+BZ657+BZ663+BZ669</f>
        <v>21.167663134617158</v>
      </c>
      <c r="CA675" s="751">
        <f>CA627+CA633+CA657+CA663+CA669</f>
        <v>127.17641225713392</v>
      </c>
      <c r="CB675" s="65"/>
      <c r="CC675" s="752">
        <f>CC627+CC633+CC657+CC663+CC669</f>
        <v>52.666336343081639</v>
      </c>
      <c r="CD675" s="752">
        <f>CD627+CD633+CD657+CD663+CD669</f>
        <v>35.796067764386017</v>
      </c>
      <c r="CE675" s="752">
        <f>CE627+CE633+CE657+CE663+CE669</f>
        <v>17.685716810518592</v>
      </c>
      <c r="CF675" s="752">
        <f>CF627+CF633+CF657+CF663+CF669</f>
        <v>-24.074987475336286</v>
      </c>
      <c r="CG675" s="751">
        <f>CG627+CG633+CG657+CG663+CG669</f>
        <v>73.925510580126982</v>
      </c>
      <c r="CH675" s="65"/>
      <c r="CI675" s="752">
        <f>CI627+CI633+CI657+CI663+CI669</f>
        <v>-43.370500670545042</v>
      </c>
      <c r="CJ675" s="752">
        <f>CJ627+CJ633+CJ657+CJ663+CJ669</f>
        <v>-37.025959600337309</v>
      </c>
      <c r="CK675" s="752">
        <f>CK627+CK633+CK657+CK663+CK669</f>
        <v>-64.391488708514544</v>
      </c>
      <c r="CL675" s="752">
        <f>CL627+CL633+CL657+CL663+CL669</f>
        <v>-20.844453824599888</v>
      </c>
      <c r="CM675" s="751">
        <f>CM627+CM633+CM657+CM663+CM669</f>
        <v>-150.38888792879777</v>
      </c>
      <c r="CN675" s="65"/>
      <c r="CO675" s="752">
        <f>CO627+CO633+CO657+CO663+CO669</f>
        <v>-52.415667877216393</v>
      </c>
      <c r="CP675" s="752">
        <f>CP627+CP633+CP657+CP663+CP669</f>
        <v>-32.966316908997264</v>
      </c>
      <c r="CQ675" s="752">
        <f>CQ627+CQ633+CQ657+CQ663+CQ669</f>
        <v>28.644979081116595</v>
      </c>
      <c r="CR675" s="752">
        <f>CR627+CR633+CR657+CR663+CR669</f>
        <v>16.475180182113537</v>
      </c>
      <c r="CS675" s="751">
        <f>CS627+CS633+CS657+CS663+CS669</f>
        <v>-21.765874543887712</v>
      </c>
      <c r="CT675" s="65"/>
      <c r="CU675" s="752">
        <f>CU627+CU633+CU657+CU663+CU669</f>
        <v>98.462555559104132</v>
      </c>
      <c r="CV675" s="752">
        <f>CV627+CV633+CV657+CV663+CV669</f>
        <v>132.54004409428666</v>
      </c>
      <c r="CW675" s="752">
        <f>CW627+CW633+CW657+CW663+CW669</f>
        <v>155.7245679263745</v>
      </c>
      <c r="CX675" s="752">
        <f>CX627+CX633+CX657+CX663+CX669</f>
        <v>172.52381093149009</v>
      </c>
      <c r="CY675" s="751">
        <f>CY627+CY633+CY657+CY663+CY669</f>
        <v>594.40963166851816</v>
      </c>
      <c r="CZ675" s="65"/>
      <c r="DA675" s="752">
        <f>DA627+DA633+DA657+DA663+DA669</f>
        <v>221.29197719043015</v>
      </c>
      <c r="DB675" s="752">
        <f>DB627+DB633+DB657+DB663+DB669</f>
        <v>163.24305430507195</v>
      </c>
      <c r="DC675" s="752">
        <f>DC627+DC633+DC657+DC663+DC669</f>
        <v>89.94869582370788</v>
      </c>
      <c r="DD675" s="752">
        <f>DD627+DD633+DD657+DD663+DD669</f>
        <v>42.565529691043139</v>
      </c>
      <c r="DE675" s="751">
        <f>DE627+DE633+DE657+DE663+DE669</f>
        <v>468.57446281066603</v>
      </c>
      <c r="DF675" s="65"/>
      <c r="DG675" s="752">
        <f>DG627+DG633+DG657+DG663+DG669</f>
        <v>-70.347530796196139</v>
      </c>
      <c r="DH675" s="752">
        <f>DH627+DH633+DH657+DH663+DH669</f>
        <v>-66.002106254958065</v>
      </c>
      <c r="DI675" s="752">
        <f>DI627+DI633+DI657+DI663+DI669</f>
        <v>-132.10990450817835</v>
      </c>
      <c r="DJ675" s="752">
        <f>DJ627+DJ633+DJ657+DJ663+DJ669</f>
        <v>24.027838899209481</v>
      </c>
      <c r="DK675" s="751">
        <f>DK627+DK633+DK657+DK663+DK669</f>
        <v>-336.43002079638461</v>
      </c>
      <c r="DL675" s="65"/>
      <c r="DM675" s="752">
        <f>DM627+DM633+DM657+DM663+DM669</f>
        <v>25.196680245974051</v>
      </c>
      <c r="DN675" s="752">
        <f>DN627+DN633+DN657+DN663+DN669</f>
        <v>46.53311057995532</v>
      </c>
      <c r="DO675" s="752">
        <f>DO627+DO633+DO657+DO663+DO669</f>
        <v>43.84989758496836</v>
      </c>
      <c r="DP675" s="752">
        <f>DP627+DP633+DP657+DP663+DP669</f>
        <v>23.92468825965291</v>
      </c>
      <c r="DQ675" s="751">
        <f>DQ627+DQ633+DQ657+DQ663+DQ669</f>
        <v>-31.531001344891664</v>
      </c>
      <c r="DR675" s="65"/>
      <c r="DS675" s="752">
        <f>DS627+DS633+DS657+DS663+DS669</f>
        <v>33.63804217330955</v>
      </c>
      <c r="DT675" s="752">
        <f>DT627+DT633+DT657+DT663+DT669</f>
        <v>23.523726200520315</v>
      </c>
      <c r="DU675" s="752">
        <f>DU627+DU633+DU657+DU663+DU669</f>
        <v>131.60872795720516</v>
      </c>
      <c r="DV675" s="752">
        <f>DV627+DV633+DV657+DV663+DV669</f>
        <v>107.42499707353798</v>
      </c>
      <c r="DW675" s="751">
        <f>DW627+DW633+DW657+DW663+DW669</f>
        <v>342.55189646692349</v>
      </c>
      <c r="DX675" s="65"/>
      <c r="DY675" s="752">
        <f>DY627+DY633+DY657+DY663+DY669</f>
        <v>68.102521751075855</v>
      </c>
      <c r="DZ675" s="752">
        <f>DZ627+DZ633+DZ657+DZ663+DZ669</f>
        <v>82.196307102324567</v>
      </c>
      <c r="EA675" s="752">
        <f>EA627+EA633+EA657+EA663+EA669</f>
        <v>26.754137211757524</v>
      </c>
      <c r="EB675" s="752">
        <f>EB627+EB633+EB657+EB663+EB669</f>
        <v>-151.5661593749839</v>
      </c>
      <c r="EC675" s="751">
        <f>EC627+EC633+EC657+EC669</f>
        <v>321.98159415174587</v>
      </c>
      <c r="ED675" s="65"/>
      <c r="EE675" s="752">
        <f>EE627+EE633+EE657</f>
        <v>28.190671726825059</v>
      </c>
      <c r="EF675" s="752">
        <f t="shared" ref="EF675:EG675" si="178">EF627+EF633+EF657</f>
        <v>26.884728151920601</v>
      </c>
      <c r="EG675" s="752">
        <f t="shared" si="178"/>
        <v>15.765489703858671</v>
      </c>
      <c r="EH675" s="752">
        <f>EH627+EH633+EH657</f>
        <v>264.27957516090856</v>
      </c>
      <c r="EI675" s="758">
        <f>SUM(EE675:EH675)</f>
        <v>335.12046474351291</v>
      </c>
      <c r="EJ675" s="65"/>
      <c r="EK675" s="752">
        <f>EK627+EK633+EK657</f>
        <v>30.44050160494308</v>
      </c>
      <c r="EL675" s="752">
        <f t="shared" ref="EL675:EN675" si="179">EL627+EL633+EL657</f>
        <v>93.315923876512457</v>
      </c>
      <c r="EM675" s="752">
        <f>EM627+EM633+EM657</f>
        <v>69.831088418691266</v>
      </c>
      <c r="EN675" s="752">
        <f t="shared" si="179"/>
        <v>81.060503411192499</v>
      </c>
      <c r="EO675" s="758">
        <f>SUM(EK675:EN675)</f>
        <v>274.64801731133929</v>
      </c>
      <c r="EP675" s="65"/>
      <c r="EQ675" s="752">
        <f>EQ627+EQ633+EQ657</f>
        <v>-102.80634022261988</v>
      </c>
      <c r="ER675" s="752">
        <f t="shared" ref="ER675:ET675" si="180">ER627+ER633+ER657</f>
        <v>-6.3976561527269684</v>
      </c>
      <c r="ES675" s="752">
        <f t="shared" si="180"/>
        <v>-83.206685135359947</v>
      </c>
      <c r="ET675" s="752">
        <f t="shared" si="180"/>
        <v>-111.32707211531401</v>
      </c>
      <c r="EU675" s="758">
        <f>SUM(EQ675:ET675)</f>
        <v>-303.73775362602083</v>
      </c>
      <c r="EV675" s="65"/>
      <c r="EW675" s="752">
        <f>EW627+EW633+EW657</f>
        <v>-236.37076323934596</v>
      </c>
      <c r="EX675" s="752"/>
      <c r="EY675" s="65"/>
      <c r="EZ675" s="65"/>
      <c r="FA675" s="748"/>
      <c r="FB675" s="65"/>
      <c r="FC675" s="65"/>
      <c r="FD675" s="65"/>
      <c r="FE675" s="65"/>
      <c r="FF675" s="65"/>
      <c r="FG675" s="748"/>
      <c r="FH675" s="65"/>
      <c r="FI675" s="65"/>
      <c r="FJ675" s="65"/>
      <c r="FK675" s="65"/>
      <c r="FL675" s="65"/>
      <c r="FM675" s="748"/>
      <c r="FQ675"/>
      <c r="FR675"/>
      <c r="FS675"/>
      <c r="FT675"/>
      <c r="FU675"/>
      <c r="FV675"/>
      <c r="GB675" s="24"/>
      <c r="GC675" s="24"/>
      <c r="GD675" s="24"/>
      <c r="GE675" s="24"/>
      <c r="GF675" s="24"/>
      <c r="GG675" s="24"/>
      <c r="GH675" s="24"/>
      <c r="GI675" s="24"/>
      <c r="GJ675"/>
      <c r="GK675"/>
      <c r="GL675"/>
      <c r="GM675"/>
      <c r="GN675"/>
      <c r="GO675"/>
      <c r="GP675"/>
      <c r="GQ675"/>
      <c r="GR675"/>
      <c r="GS675"/>
      <c r="GT675"/>
      <c r="GU675"/>
      <c r="GV675"/>
      <c r="GW675"/>
      <c r="GX675"/>
      <c r="GY675"/>
      <c r="GZ675"/>
      <c r="HA675"/>
      <c r="HB675"/>
      <c r="HC675"/>
      <c r="HD675"/>
      <c r="HE675"/>
      <c r="HF675"/>
      <c r="HG675"/>
      <c r="HH675"/>
      <c r="HI675"/>
      <c r="HJ675"/>
      <c r="HK675"/>
      <c r="HL675"/>
      <c r="HM675"/>
      <c r="HN675"/>
      <c r="HO675"/>
      <c r="HP675"/>
      <c r="HQ675"/>
      <c r="HR675"/>
      <c r="HS675"/>
      <c r="HT675"/>
      <c r="HU675"/>
      <c r="HV675"/>
      <c r="HW675"/>
      <c r="HX675"/>
      <c r="HY675"/>
      <c r="HZ675"/>
      <c r="IA675"/>
      <c r="IB675"/>
      <c r="IC675"/>
      <c r="ID675"/>
      <c r="IE675"/>
      <c r="IF675"/>
      <c r="IG675"/>
      <c r="IH675"/>
      <c r="II675"/>
      <c r="IJ675"/>
      <c r="IK675"/>
      <c r="IL675"/>
      <c r="IM675"/>
      <c r="IN675"/>
      <c r="IO675"/>
      <c r="IP675"/>
      <c r="IQ675"/>
      <c r="IR675"/>
      <c r="IS675"/>
      <c r="IT675"/>
      <c r="IU675"/>
      <c r="IV675"/>
      <c r="IW675"/>
      <c r="IX675"/>
      <c r="IY675"/>
      <c r="IZ675"/>
      <c r="JA675"/>
      <c r="JB675"/>
      <c r="JC675"/>
      <c r="JD675"/>
      <c r="JE675"/>
      <c r="JF675"/>
      <c r="JG675"/>
      <c r="JH675"/>
      <c r="JI675"/>
      <c r="JJ675"/>
      <c r="JK675"/>
      <c r="JL675"/>
      <c r="JM675"/>
      <c r="JN675"/>
    </row>
    <row r="676" spans="1:274" s="749" customFormat="1" ht="12.75" hidden="1" customHeight="1" outlineLevel="1" thickBot="1" x14ac:dyDescent="0.25">
      <c r="A676" s="1085" t="s">
        <v>638</v>
      </c>
      <c r="B676" s="740"/>
      <c r="C676" s="761"/>
      <c r="D676" s="761"/>
      <c r="E676" s="761"/>
      <c r="F676" s="761"/>
      <c r="G676" s="761"/>
      <c r="H676" s="761"/>
      <c r="I676" s="761"/>
      <c r="J676" s="761"/>
      <c r="K676" s="761"/>
      <c r="L676" s="761"/>
      <c r="M676" s="761"/>
      <c r="N676" s="761"/>
      <c r="O676" s="761"/>
      <c r="P676" s="761"/>
      <c r="Q676" s="761"/>
      <c r="R676" s="761"/>
      <c r="S676" s="761"/>
      <c r="T676" s="761"/>
      <c r="U676" s="761"/>
      <c r="V676" s="761"/>
      <c r="W676" s="761"/>
      <c r="X676" s="761"/>
      <c r="Y676" s="761"/>
      <c r="Z676" s="761"/>
      <c r="AA676" s="761"/>
      <c r="AB676" s="761"/>
      <c r="AC676" s="761"/>
      <c r="AD676" s="761"/>
      <c r="AE676" s="761"/>
      <c r="AF676" s="761"/>
      <c r="AG676" s="761"/>
      <c r="AH676" s="761"/>
      <c r="AI676" s="761"/>
      <c r="AJ676" s="761"/>
      <c r="AK676" s="761"/>
      <c r="AL676" s="761"/>
      <c r="AM676" s="761"/>
      <c r="AN676" s="761"/>
      <c r="AO676" s="761"/>
      <c r="AP676" s="761"/>
      <c r="AQ676" s="761"/>
      <c r="AR676" s="761"/>
      <c r="AS676" s="761"/>
      <c r="AT676" s="761"/>
      <c r="AU676" s="761"/>
      <c r="AV676" s="761"/>
      <c r="AW676" s="761"/>
      <c r="AX676" s="761"/>
      <c r="AY676" s="761"/>
      <c r="AZ676" s="761"/>
      <c r="BA676" s="761"/>
      <c r="BB676" s="761"/>
      <c r="BC676" s="762"/>
      <c r="BD676" s="761"/>
      <c r="BE676" s="761"/>
      <c r="BF676" s="761"/>
      <c r="BG676" s="761"/>
      <c r="BH676" s="761"/>
      <c r="BI676" s="763">
        <f>BI630+BI636+BI660+BI666+BI672</f>
        <v>89.749902569883602</v>
      </c>
      <c r="BJ676" s="764"/>
      <c r="BK676" s="764">
        <f>BK630+BK636+BK660+BK666+BK672</f>
        <v>-113.80756888026269</v>
      </c>
      <c r="BL676" s="764">
        <f>BL630+BL636+BL660+BL666+BL672</f>
        <v>-26.601799385806448</v>
      </c>
      <c r="BM676" s="764">
        <f>BM630+BM636+BM660+BM666+BM672</f>
        <v>-69.76446533274833</v>
      </c>
      <c r="BN676" s="764">
        <f>BN630+BN636+BN660+BN666+BN672</f>
        <v>10.224808396734618</v>
      </c>
      <c r="BO676" s="763">
        <f>BO630+BO636+BO660+BO666+BO672</f>
        <v>-183.98997950588617</v>
      </c>
      <c r="BP676" s="764"/>
      <c r="BQ676" s="764">
        <f>BQ630+BQ636+BQ660+BQ666+BQ672</f>
        <v>-19.56953147724947</v>
      </c>
      <c r="BR676" s="764">
        <f>BR630+BR636+BR660+BR666+BR672</f>
        <v>-3.0971192671049401</v>
      </c>
      <c r="BS676" s="764">
        <f>BS630+BS636+BS660+BS666+BS672</f>
        <v>-12.104001566604047</v>
      </c>
      <c r="BT676" s="764">
        <f>BT630+BT636+BT660+BT666+BT672</f>
        <v>-42.127185343583307</v>
      </c>
      <c r="BU676" s="763">
        <f>BU630+BU636+BU660+BU666+BU672</f>
        <v>-61.83478851706775</v>
      </c>
      <c r="BV676" s="761"/>
      <c r="BW676" s="764">
        <f>BW630+BW636+BW660+BW666+BW672</f>
        <v>0.98837825127378798</v>
      </c>
      <c r="BX676" s="764">
        <f>BX630+BX636+BX660+BX666+BX672</f>
        <v>52.738535947764873</v>
      </c>
      <c r="BY676" s="764">
        <f>BY630+BY636+BY660+BY666+BY672</f>
        <v>-0.31004903629770375</v>
      </c>
      <c r="BZ676" s="764">
        <f>BZ630+BZ636+BZ660+BZ666+BZ672</f>
        <v>-89.255085949046887</v>
      </c>
      <c r="CA676" s="763">
        <f>CA630+CA636+CA660+CA666+CA672</f>
        <v>-8.4411818514624315</v>
      </c>
      <c r="CB676" s="761"/>
      <c r="CC676" s="764">
        <f>CC630+CC636+CC660+CC666+CC672</f>
        <v>-41.806291196354636</v>
      </c>
      <c r="CD676" s="764">
        <f>CD630+CD636+CD660+CD666+CD672</f>
        <v>-93.217693308652983</v>
      </c>
      <c r="CE676" s="764">
        <f>CE630+CE636+CE660+CE666+CE672</f>
        <v>-24.302593629141366</v>
      </c>
      <c r="CF676" s="764">
        <f>CF630+CF636+CF660+CF666+CF672</f>
        <v>-35.63524680333186</v>
      </c>
      <c r="CG676" s="763">
        <f>CG630+CG636+CG660+CG666+CG672</f>
        <v>-191.80908183188063</v>
      </c>
      <c r="CH676" s="761"/>
      <c r="CI676" s="764">
        <f>CI630+CI636+CI660+CI666+CI672</f>
        <v>-15.974528569221086</v>
      </c>
      <c r="CJ676" s="764">
        <f>CJ630+CJ636+CJ660+CJ666+CJ672</f>
        <v>-95.124305573498987</v>
      </c>
      <c r="CK676" s="764">
        <f>CK630+CK636+CK660+CK666+CK672</f>
        <v>-16.379309254133972</v>
      </c>
      <c r="CL676" s="764">
        <f>CL630+CL636+CL660+CL666+CL672</f>
        <v>31.061228540969289</v>
      </c>
      <c r="CM676" s="763">
        <f>CM630+CM636+CM660+CM666+CM672</f>
        <v>-116.13937691447622</v>
      </c>
      <c r="CN676" s="761"/>
      <c r="CO676" s="764">
        <f>CO630+CO636+CO660+CO666+CO672</f>
        <v>68.043911526492366</v>
      </c>
      <c r="CP676" s="764">
        <f>CP630+CP636+CP660+CP666+CP672</f>
        <v>146.6674554289213</v>
      </c>
      <c r="CQ676" s="764">
        <f>CQ630+CQ636+CQ660+CQ666+CQ672</f>
        <v>50.040568232886251</v>
      </c>
      <c r="CR676" s="764">
        <f>CR630+CR636+CR660+CR666+CR672</f>
        <v>71.452395472426133</v>
      </c>
      <c r="CS676" s="763">
        <f>CS630+CS636+CS660+CS666+CS672</f>
        <v>314.98484422754376</v>
      </c>
      <c r="CT676" s="761"/>
      <c r="CU676" s="764">
        <f>CU630+CU636+CU660+CU666+CU672</f>
        <v>-21.488464551048263</v>
      </c>
      <c r="CV676" s="764">
        <f>CV630+CV636+CV660+CV666+CV672</f>
        <v>-10.543959083100923</v>
      </c>
      <c r="CW676" s="764">
        <f>CW630+CW636+CW660+CW666+CW672</f>
        <v>35.375972010322812</v>
      </c>
      <c r="CX676" s="764">
        <f>CX630+CX636+CX660+CX666+CX672</f>
        <v>41.009357589317212</v>
      </c>
      <c r="CY676" s="763">
        <f>CY630+CY636+CY660+CY666+CY672</f>
        <v>-32.731450413266018</v>
      </c>
      <c r="CZ676" s="761"/>
      <c r="DA676" s="764">
        <f>DA630+DA636+DA660+DA666+DA672</f>
        <v>75.247676074048059</v>
      </c>
      <c r="DB676" s="764">
        <f>DB630+DB636+DB660+DB666+DB672</f>
        <v>43.526068255152914</v>
      </c>
      <c r="DC676" s="764">
        <f>DC630+DC636+DC660+DC666+DC672</f>
        <v>60.417583246059685</v>
      </c>
      <c r="DD676" s="764">
        <f>DD630+DD636+DD660+DD666+DD672</f>
        <v>38.464112854728427</v>
      </c>
      <c r="DE676" s="763">
        <f>DE630+DE636+DE660+DE666+DE672</f>
        <v>313.19284938341667</v>
      </c>
      <c r="DF676" s="761"/>
      <c r="DG676" s="764">
        <f>DG630+DG636+DG660+DG666+DG672</f>
        <v>89.986085013063544</v>
      </c>
      <c r="DH676" s="764">
        <f>DH630+DH636+DH660+DH666+DH672</f>
        <v>94.447610342151819</v>
      </c>
      <c r="DI676" s="764">
        <f>DI630+DI636+DI660+DI666+DI672</f>
        <v>128.56915020476049</v>
      </c>
      <c r="DJ676" s="764">
        <f>DJ630+DJ636+DJ660+DJ666+DJ672</f>
        <v>-5.5966571366104736</v>
      </c>
      <c r="DK676" s="763">
        <f>DK630+DK636+DK660+DK666+DK672</f>
        <v>301.71970050172405</v>
      </c>
      <c r="DL676" s="761"/>
      <c r="DM676" s="764">
        <f>DM630+DM636+DM660+DM666+DM672</f>
        <v>-18.185473172630182</v>
      </c>
      <c r="DN676" s="764">
        <f>DN630+DN636+DN660+DN666+DN672</f>
        <v>15.650453434530554</v>
      </c>
      <c r="DO676" s="764">
        <f>DO630+DO636+DO660+DO666+DO672</f>
        <v>56.28253717160031</v>
      </c>
      <c r="DP676" s="764">
        <f>DP630+DP636+DP660+DP666+DP672</f>
        <v>70.520997826069689</v>
      </c>
      <c r="DQ676" s="763">
        <f>DQ630+DQ636+DQ660+DQ666+DQ672</f>
        <v>108.57511384058598</v>
      </c>
      <c r="DR676" s="761"/>
      <c r="DS676" s="764">
        <f>DS630+DS636+DS660+DS666+DS672</f>
        <v>129.3512801378067</v>
      </c>
      <c r="DT676" s="764">
        <f>DT630+DT636+DT660+DT666+DT672</f>
        <v>81.441563689423177</v>
      </c>
      <c r="DU676" s="764">
        <f>DU630+DU636+DU660+DU666+DU672</f>
        <v>-155.96434358647977</v>
      </c>
      <c r="DV676" s="764">
        <f>DV630+DV636+DV660+DV666+DV672</f>
        <v>5.375453842831277</v>
      </c>
      <c r="DW676" s="763">
        <f>DW630+DW636+DW660+DW666+DW672</f>
        <v>5.012635101697974</v>
      </c>
      <c r="DX676" s="761"/>
      <c r="DY676" s="764">
        <f>DY630+DY636+DY660+DY666+DY672</f>
        <v>-68.005503336092687</v>
      </c>
      <c r="DZ676" s="764">
        <f>DZ630+DZ636+DZ660+DZ666+DZ672</f>
        <v>-160.77251237287498</v>
      </c>
      <c r="EA676" s="764">
        <f>EA630+EA636+EA660+EA666+EA672</f>
        <v>6.3223527976758582</v>
      </c>
      <c r="EB676" s="764">
        <f>EB630+EB636+EB660+EB666+EB672</f>
        <v>-37.765336295098685</v>
      </c>
      <c r="EC676" s="763">
        <f>EC630+EC636+EC660+EC672</f>
        <v>-329.32088359547049</v>
      </c>
      <c r="ED676" s="761"/>
      <c r="EE676" s="764">
        <f>EE630+EE636+EE660</f>
        <v>-81.717078729124026</v>
      </c>
      <c r="EF676" s="764">
        <f t="shared" ref="EF676:EH676" si="181">EF630+EF636+EF660</f>
        <v>-106.45853660842744</v>
      </c>
      <c r="EG676" s="764">
        <f t="shared" si="181"/>
        <v>-180.19461955951908</v>
      </c>
      <c r="EH676" s="764">
        <f t="shared" si="181"/>
        <v>-963.09180953821738</v>
      </c>
      <c r="EI676" s="763">
        <f>SUM(EE676:EH676)</f>
        <v>-1331.4620444352879</v>
      </c>
      <c r="EJ676" s="761"/>
      <c r="EK676" s="764">
        <f>EK630+EK636+EK660</f>
        <v>-347.91355307927518</v>
      </c>
      <c r="EL676" s="764">
        <f t="shared" ref="EL676:EN676" si="182">EL630+EL636+EL660</f>
        <v>-290.624124534646</v>
      </c>
      <c r="EM676" s="764">
        <f t="shared" si="182"/>
        <v>-212.08571486413729</v>
      </c>
      <c r="EN676" s="764">
        <f t="shared" si="182"/>
        <v>32.825763675568787</v>
      </c>
      <c r="EO676" s="763">
        <f>SUM(EK676:EN676)</f>
        <v>-817.79762880248984</v>
      </c>
      <c r="EP676" s="761"/>
      <c r="EQ676" s="764">
        <f>EQ630+EQ636+EQ660</f>
        <v>17.070074442401417</v>
      </c>
      <c r="ER676" s="764">
        <f t="shared" ref="ER676:ET676" si="183">ER630+ER636+ER660</f>
        <v>-124.21831331403227</v>
      </c>
      <c r="ES676" s="764">
        <f t="shared" si="183"/>
        <v>-90.383888810481352</v>
      </c>
      <c r="ET676" s="764">
        <f t="shared" si="183"/>
        <v>325.77889081847451</v>
      </c>
      <c r="EU676" s="763">
        <f>SUM(EQ676:ET676)</f>
        <v>128.24676313636229</v>
      </c>
      <c r="EV676" s="761"/>
      <c r="EW676" s="764">
        <f>EW630+EW636+EW660</f>
        <v>239.10329334306718</v>
      </c>
      <c r="EX676" s="761"/>
      <c r="EY676" s="761"/>
      <c r="EZ676" s="761"/>
      <c r="FA676" s="762"/>
      <c r="FB676" s="761"/>
      <c r="FC676" s="761"/>
      <c r="FD676" s="761"/>
      <c r="FE676" s="761"/>
      <c r="FF676" s="761"/>
      <c r="FG676" s="762"/>
      <c r="FH676" s="761"/>
      <c r="FI676" s="761"/>
      <c r="FJ676" s="761"/>
      <c r="FK676" s="761"/>
      <c r="FL676" s="761"/>
      <c r="FM676" s="762"/>
      <c r="FQ676"/>
      <c r="FR676"/>
      <c r="FS676"/>
      <c r="FT676"/>
      <c r="FU676"/>
      <c r="FV676"/>
      <c r="GB676" s="24"/>
      <c r="GC676" s="24"/>
      <c r="GD676" s="24"/>
      <c r="GE676" s="24"/>
      <c r="GF676" s="24"/>
      <c r="GG676" s="24"/>
      <c r="GH676" s="24"/>
      <c r="GI676" s="24"/>
      <c r="GJ676"/>
      <c r="GK676"/>
      <c r="GL676"/>
      <c r="GM676"/>
      <c r="GN676"/>
      <c r="GO676"/>
      <c r="GP676"/>
      <c r="GQ676"/>
      <c r="GR676"/>
      <c r="GS676"/>
      <c r="GT676"/>
      <c r="GU676"/>
      <c r="GV676"/>
      <c r="GW676"/>
      <c r="GX676"/>
      <c r="GY676"/>
      <c r="GZ676"/>
      <c r="HA676"/>
      <c r="HB676"/>
      <c r="HC676"/>
      <c r="HD676"/>
      <c r="HE676"/>
      <c r="HF676"/>
      <c r="HG676"/>
      <c r="HH676"/>
      <c r="HI676"/>
      <c r="HJ676"/>
      <c r="HK676"/>
      <c r="HL676"/>
      <c r="HM676"/>
      <c r="HN676"/>
      <c r="HO676"/>
      <c r="HP676"/>
      <c r="HQ676"/>
      <c r="HR676"/>
      <c r="HS676"/>
      <c r="HT676"/>
      <c r="HU676"/>
      <c r="HV676"/>
      <c r="HW676"/>
      <c r="HX676"/>
      <c r="HY676"/>
      <c r="HZ676"/>
      <c r="IA676"/>
      <c r="IB676"/>
      <c r="IC676"/>
      <c r="ID676"/>
      <c r="IE676"/>
      <c r="IF676"/>
      <c r="IG676"/>
      <c r="IH676"/>
      <c r="II676"/>
      <c r="IJ676"/>
      <c r="IK676"/>
      <c r="IL676"/>
      <c r="IM676"/>
      <c r="IN676"/>
      <c r="IO676"/>
      <c r="IP676"/>
      <c r="IQ676"/>
      <c r="IR676"/>
      <c r="IS676"/>
      <c r="IT676"/>
      <c r="IU676"/>
      <c r="IV676"/>
      <c r="IW676"/>
      <c r="IX676"/>
      <c r="IY676"/>
      <c r="IZ676"/>
      <c r="JA676"/>
      <c r="JB676"/>
      <c r="JC676"/>
      <c r="JD676"/>
      <c r="JE676"/>
      <c r="JF676"/>
      <c r="JG676"/>
      <c r="JH676"/>
      <c r="JI676"/>
      <c r="JJ676"/>
      <c r="JK676"/>
      <c r="JL676"/>
      <c r="JM676"/>
      <c r="JN676"/>
    </row>
    <row r="677" spans="1:274" s="749" customFormat="1" ht="6" hidden="1" customHeight="1" outlineLevel="1" x14ac:dyDescent="0.2">
      <c r="A677" s="750"/>
      <c r="B677" s="747"/>
      <c r="C677" s="65"/>
      <c r="D677" s="65"/>
      <c r="E677" s="65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5"/>
      <c r="AC677" s="65"/>
      <c r="AD677" s="65"/>
      <c r="AE677" s="65"/>
      <c r="AF677" s="65"/>
      <c r="AG677" s="65"/>
      <c r="AH677" s="65"/>
      <c r="AI677" s="65"/>
      <c r="AJ677" s="65"/>
      <c r="AK677" s="65"/>
      <c r="AL677" s="65"/>
      <c r="AM677" s="65"/>
      <c r="AN677" s="65"/>
      <c r="AO677" s="65"/>
      <c r="AP677" s="65"/>
      <c r="AQ677" s="65"/>
      <c r="AR677" s="65"/>
      <c r="AS677" s="65"/>
      <c r="AT677" s="65"/>
      <c r="AU677" s="65"/>
      <c r="AV677" s="65"/>
      <c r="AW677" s="65"/>
      <c r="AX677" s="65"/>
      <c r="AY677" s="65"/>
      <c r="AZ677" s="65"/>
      <c r="BA677" s="65"/>
      <c r="BB677" s="65"/>
      <c r="BC677" s="748"/>
      <c r="BD677" s="65"/>
      <c r="BE677" s="65"/>
      <c r="BF677" s="65"/>
      <c r="BG677" s="65"/>
      <c r="BH677" s="65"/>
      <c r="BI677" s="751"/>
      <c r="BJ677" s="752"/>
      <c r="BK677" s="752"/>
      <c r="BL677" s="752"/>
      <c r="BM677" s="752"/>
      <c r="BN677" s="752"/>
      <c r="BO677" s="751"/>
      <c r="BP677" s="752"/>
      <c r="BQ677" s="752"/>
      <c r="BR677" s="752"/>
      <c r="BS677" s="752"/>
      <c r="BT677" s="752"/>
      <c r="BU677" s="751"/>
      <c r="BV677" s="65"/>
      <c r="BW677" s="752"/>
      <c r="BX677" s="752"/>
      <c r="BY677" s="752"/>
      <c r="BZ677" s="752"/>
      <c r="CA677" s="751"/>
      <c r="CB677" s="65"/>
      <c r="CC677" s="752"/>
      <c r="CD677" s="752"/>
      <c r="CE677" s="752"/>
      <c r="CF677" s="752"/>
      <c r="CG677" s="751"/>
      <c r="CH677" s="65"/>
      <c r="CI677" s="752"/>
      <c r="CJ677" s="752"/>
      <c r="CK677" s="752"/>
      <c r="CL677" s="752"/>
      <c r="CM677" s="751"/>
      <c r="CN677" s="65"/>
      <c r="CO677" s="752"/>
      <c r="CP677" s="752"/>
      <c r="CQ677" s="752"/>
      <c r="CR677" s="752"/>
      <c r="CS677" s="751"/>
      <c r="CT677" s="65"/>
      <c r="CU677" s="752"/>
      <c r="CV677" s="752"/>
      <c r="CW677" s="752"/>
      <c r="CX677" s="752"/>
      <c r="CY677" s="751"/>
      <c r="CZ677" s="65"/>
      <c r="DA677" s="752"/>
      <c r="DB677" s="752"/>
      <c r="DC677" s="752"/>
      <c r="DD677" s="65"/>
      <c r="DE677" s="751"/>
      <c r="DF677" s="65"/>
      <c r="DG677" s="752"/>
      <c r="DH677" s="752"/>
      <c r="DI677" s="752"/>
      <c r="DJ677" s="65"/>
      <c r="DK677" s="751"/>
      <c r="DL677" s="65"/>
      <c r="DM677" s="752"/>
      <c r="DN677" s="752"/>
      <c r="DO677" s="752"/>
      <c r="DP677" s="65"/>
      <c r="DQ677" s="751"/>
      <c r="DR677" s="65"/>
      <c r="DS677" s="752"/>
      <c r="DT677" s="752"/>
      <c r="DU677" s="752"/>
      <c r="DV677" s="65"/>
      <c r="DW677" s="751"/>
      <c r="DX677" s="65"/>
      <c r="DY677" s="65"/>
      <c r="DZ677" s="752"/>
      <c r="EA677" s="752"/>
      <c r="EB677" s="65"/>
      <c r="EC677" s="751"/>
      <c r="ED677" s="65"/>
      <c r="EE677" s="65"/>
      <c r="EF677" s="752"/>
      <c r="EG677" s="752"/>
      <c r="EH677" s="65"/>
      <c r="EI677" s="751"/>
      <c r="EJ677" s="65"/>
      <c r="EK677" s="65"/>
      <c r="EL677" s="752"/>
      <c r="EM677" s="752"/>
      <c r="EN677" s="65"/>
      <c r="EO677" s="751"/>
      <c r="EP677" s="65"/>
      <c r="EQ677" s="65"/>
      <c r="ER677" s="752"/>
      <c r="ES677" s="752"/>
      <c r="ET677" s="65"/>
      <c r="EU677" s="751"/>
      <c r="EV677" s="65"/>
      <c r="EW677" s="65"/>
      <c r="EX677" s="65"/>
      <c r="EY677" s="65"/>
      <c r="EZ677" s="65"/>
      <c r="FA677" s="748"/>
      <c r="FB677" s="65"/>
      <c r="FC677" s="65"/>
      <c r="FD677" s="65"/>
      <c r="FE677" s="65"/>
      <c r="FF677" s="65"/>
      <c r="FG677" s="748"/>
      <c r="FH677" s="65"/>
      <c r="FI677" s="65"/>
      <c r="FJ677" s="65"/>
      <c r="FK677" s="65"/>
      <c r="FL677" s="65"/>
      <c r="FM677" s="748"/>
      <c r="FQ677"/>
      <c r="FR677"/>
      <c r="FS677"/>
      <c r="FT677"/>
      <c r="FU677"/>
      <c r="FV677"/>
      <c r="GB677" s="24"/>
      <c r="GC677" s="24"/>
      <c r="GD677" s="24"/>
      <c r="GE677" s="24"/>
      <c r="GF677" s="24"/>
      <c r="GG677" s="24"/>
      <c r="GH677" s="24"/>
      <c r="GI677" s="24"/>
      <c r="GJ677"/>
      <c r="GK677"/>
      <c r="GL677"/>
      <c r="GM677"/>
      <c r="GN677"/>
      <c r="GO677"/>
      <c r="GP677"/>
      <c r="GQ677"/>
      <c r="GR677"/>
      <c r="GS677"/>
      <c r="GT677"/>
      <c r="GU677"/>
      <c r="GV677"/>
      <c r="GW677"/>
      <c r="GX677"/>
      <c r="GY677"/>
      <c r="GZ677"/>
      <c r="HA677"/>
      <c r="HB677"/>
      <c r="HC677"/>
      <c r="HD677"/>
      <c r="HE677"/>
      <c r="HF677"/>
      <c r="HG677"/>
      <c r="HH677"/>
      <c r="HI677"/>
      <c r="HJ677"/>
      <c r="HK677"/>
      <c r="HL677"/>
      <c r="HM677"/>
      <c r="HN677"/>
      <c r="HO677"/>
      <c r="HP677"/>
      <c r="HQ677"/>
      <c r="HR677"/>
      <c r="HS677"/>
      <c r="HT677"/>
      <c r="HU677"/>
      <c r="HV677"/>
      <c r="HW677"/>
      <c r="HX677"/>
      <c r="HY677"/>
      <c r="HZ677"/>
      <c r="IA677"/>
      <c r="IB677"/>
      <c r="IC677"/>
      <c r="ID677"/>
      <c r="IE677"/>
      <c r="IF677"/>
      <c r="IG677"/>
      <c r="IH677"/>
      <c r="II677"/>
      <c r="IJ677"/>
      <c r="IK677"/>
      <c r="IL677"/>
      <c r="IM677"/>
      <c r="IN677"/>
      <c r="IO677"/>
      <c r="IP677"/>
      <c r="IQ677"/>
      <c r="IR677"/>
      <c r="IS677"/>
      <c r="IT677"/>
      <c r="IU677"/>
      <c r="IV677"/>
      <c r="IW677"/>
      <c r="IX677"/>
      <c r="IY677"/>
      <c r="IZ677"/>
      <c r="JA677"/>
      <c r="JB677"/>
      <c r="JC677"/>
      <c r="JD677"/>
      <c r="JE677"/>
      <c r="JF677"/>
      <c r="JG677"/>
      <c r="JH677"/>
      <c r="JI677"/>
      <c r="JJ677"/>
      <c r="JK677"/>
      <c r="JL677"/>
      <c r="JM677"/>
      <c r="JN677"/>
    </row>
    <row r="678" spans="1:274" s="749" customFormat="1" ht="12.75" hidden="1" customHeight="1" outlineLevel="1" x14ac:dyDescent="0.2">
      <c r="A678" s="750" t="s">
        <v>516</v>
      </c>
      <c r="B678" s="747"/>
      <c r="C678" s="65"/>
      <c r="D678" s="65"/>
      <c r="E678" s="65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5"/>
      <c r="AC678" s="65"/>
      <c r="AD678" s="65"/>
      <c r="AE678" s="65"/>
      <c r="AF678" s="65"/>
      <c r="AG678" s="65"/>
      <c r="AH678" s="65"/>
      <c r="AI678" s="65"/>
      <c r="AJ678" s="65"/>
      <c r="AK678" s="65"/>
      <c r="AL678" s="65"/>
      <c r="AM678" s="65"/>
      <c r="AN678" s="65"/>
      <c r="AO678" s="65"/>
      <c r="AP678" s="65"/>
      <c r="AQ678" s="65"/>
      <c r="AR678" s="65"/>
      <c r="AS678" s="65"/>
      <c r="AT678" s="65"/>
      <c r="AU678" s="65"/>
      <c r="AV678" s="65"/>
      <c r="AW678" s="65"/>
      <c r="AX678" s="65"/>
      <c r="AY678" s="65"/>
      <c r="AZ678" s="65"/>
      <c r="BA678" s="65"/>
      <c r="BB678" s="65"/>
      <c r="BC678" s="481"/>
      <c r="BD678" s="65"/>
      <c r="BE678" s="65"/>
      <c r="BF678" s="65"/>
      <c r="BG678" s="65"/>
      <c r="BH678" s="65"/>
      <c r="BI678" s="1086"/>
      <c r="BJ678" s="752"/>
      <c r="BK678" s="752"/>
      <c r="BL678" s="752"/>
      <c r="BM678" s="752"/>
      <c r="BN678" s="752"/>
      <c r="BO678" s="1086"/>
      <c r="BP678" s="752"/>
      <c r="BQ678" s="752"/>
      <c r="BR678" s="752"/>
      <c r="BS678" s="752"/>
      <c r="BT678" s="752"/>
      <c r="BU678" s="1086"/>
      <c r="BV678" s="65"/>
      <c r="BW678" s="752"/>
      <c r="BX678" s="752"/>
      <c r="BY678" s="752"/>
      <c r="BZ678" s="752"/>
      <c r="CA678" s="1086"/>
      <c r="CB678" s="65"/>
      <c r="CC678" s="752"/>
      <c r="CD678" s="752"/>
      <c r="CE678" s="752"/>
      <c r="CF678" s="752"/>
      <c r="CG678" s="1086"/>
      <c r="CH678" s="65"/>
      <c r="CI678" s="752"/>
      <c r="CJ678" s="752"/>
      <c r="CK678" s="752"/>
      <c r="CL678" s="752"/>
      <c r="CM678" s="1086"/>
      <c r="CN678" s="65"/>
      <c r="CO678" s="752"/>
      <c r="CP678" s="752"/>
      <c r="CQ678" s="752"/>
      <c r="CR678" s="752"/>
      <c r="CS678" s="1086"/>
      <c r="CT678" s="65"/>
      <c r="CU678" s="752"/>
      <c r="CV678" s="752"/>
      <c r="CW678" s="752"/>
      <c r="CX678" s="752"/>
      <c r="CY678" s="1086"/>
      <c r="CZ678" s="65"/>
      <c r="DA678" s="752"/>
      <c r="DB678" s="752"/>
      <c r="DC678" s="752">
        <f>DC639+DC645</f>
        <v>-183.84865552325581</v>
      </c>
      <c r="DD678" s="752">
        <f>DD639+DD645</f>
        <v>-577.20662598081947</v>
      </c>
      <c r="DE678" s="1086">
        <f>DE639+DE645</f>
        <v>-689.59842519685026</v>
      </c>
      <c r="DF678" s="65"/>
      <c r="DG678" s="752">
        <f>DG639+DG645</f>
        <v>-461.40963855421688</v>
      </c>
      <c r="DH678" s="752">
        <f>DH639+DH645</f>
        <v>-494.95095367847404</v>
      </c>
      <c r="DI678" s="752">
        <f>DI639+DI645</f>
        <v>-448.88356117619401</v>
      </c>
      <c r="DJ678" s="752">
        <f>DJ639+DJ645</f>
        <v>85.661572260369979</v>
      </c>
      <c r="DK678" s="1086">
        <f>DK639+DK645</f>
        <v>-1125.5885135580843</v>
      </c>
      <c r="DL678" s="65"/>
      <c r="DM678" s="752">
        <f>DM639+DM645</f>
        <v>54.794615676194169</v>
      </c>
      <c r="DN678" s="752">
        <f>DN639+DN645</f>
        <v>59.175037777201013</v>
      </c>
      <c r="DO678" s="752">
        <f>DO639+DO645</f>
        <v>63.6376279602609</v>
      </c>
      <c r="DP678" s="752">
        <f>DP639+DP645</f>
        <v>66.569480923817125</v>
      </c>
      <c r="DQ678" s="1086">
        <f>DQ639+DQ645</f>
        <v>242.53070469498843</v>
      </c>
      <c r="DR678" s="65"/>
      <c r="DS678" s="752">
        <f>DS639+DS645</f>
        <v>73.659973779676818</v>
      </c>
      <c r="DT678" s="752">
        <f>DT639+DT645</f>
        <v>100.5483595825642</v>
      </c>
      <c r="DU678" s="752">
        <f>DU639+DU645</f>
        <v>78.814080904733629</v>
      </c>
      <c r="DV678" s="752">
        <f>DV639+DV645</f>
        <v>52.234729220338366</v>
      </c>
      <c r="DW678" s="1086">
        <f>DW639+DW645</f>
        <v>310.11701881154238</v>
      </c>
      <c r="DX678" s="65"/>
      <c r="DY678" s="752">
        <f>DY639+DY645</f>
        <v>50.750281734020433</v>
      </c>
      <c r="DZ678" s="752">
        <f>DZ639+DZ645</f>
        <v>14.326209490264862</v>
      </c>
      <c r="EA678" s="752">
        <f>EA639+EA645</f>
        <v>-12.88062849389952</v>
      </c>
      <c r="EB678" s="752">
        <f>EB639+EB645</f>
        <v>20.083504009961935</v>
      </c>
      <c r="EC678" s="1086">
        <f>EC639+EC645</f>
        <v>59.989854159177661</v>
      </c>
      <c r="ED678" s="65"/>
      <c r="EE678" s="752">
        <f>EE651</f>
        <v>29.809751229733081</v>
      </c>
      <c r="EF678" s="752">
        <f t="shared" ref="EF678:EH678" si="184">EF651</f>
        <v>9.4221163686625058</v>
      </c>
      <c r="EG678" s="752">
        <f t="shared" si="184"/>
        <v>6.8548039462539503</v>
      </c>
      <c r="EH678" s="752">
        <f t="shared" si="184"/>
        <v>-19.464197678385322</v>
      </c>
      <c r="EI678" s="1086">
        <f t="shared" ref="EI678:EI679" si="185">SUM(EE678:EH678)</f>
        <v>26.622473866264219</v>
      </c>
      <c r="EJ678" s="65"/>
      <c r="EK678" s="752">
        <f>EK651</f>
        <v>3.7022832661595517</v>
      </c>
      <c r="EL678" s="752">
        <f t="shared" ref="EL678:EN678" si="186">EL651</f>
        <v>29.734990834284723</v>
      </c>
      <c r="EM678" s="752">
        <f t="shared" si="186"/>
        <v>28.210058854493745</v>
      </c>
      <c r="EN678" s="752">
        <f t="shared" si="186"/>
        <v>20.314574372260211</v>
      </c>
      <c r="EO678" s="1086">
        <f t="shared" ref="EO678:EO679" si="187">SUM(EK678:EN678)</f>
        <v>81.961907327198233</v>
      </c>
      <c r="EP678" s="65"/>
      <c r="EQ678" s="752">
        <f>EQ651</f>
        <v>30.588185967440612</v>
      </c>
      <c r="ER678" s="752">
        <f t="shared" ref="ER678:ET678" si="188">ER651</f>
        <v>28.450450951682591</v>
      </c>
      <c r="ES678" s="752">
        <f t="shared" si="188"/>
        <v>32.374332934551106</v>
      </c>
      <c r="ET678" s="752">
        <f t="shared" si="188"/>
        <v>45.341989577981771</v>
      </c>
      <c r="EU678" s="1086">
        <f t="shared" ref="EU678:EU679" si="189">SUM(EQ678:ET678)</f>
        <v>136.75495943165609</v>
      </c>
      <c r="EV678" s="65"/>
      <c r="EW678" s="752">
        <f>EW651</f>
        <v>21.963535943819696</v>
      </c>
      <c r="EX678" s="752"/>
      <c r="EY678" s="65"/>
      <c r="EZ678" s="65"/>
      <c r="FA678" s="481"/>
      <c r="FB678" s="65"/>
      <c r="FC678" s="65"/>
      <c r="FD678" s="65"/>
      <c r="FE678" s="65"/>
      <c r="FF678" s="65"/>
      <c r="FG678" s="481"/>
      <c r="FH678" s="65"/>
      <c r="FI678" s="65"/>
      <c r="FJ678" s="65"/>
      <c r="FK678" s="65"/>
      <c r="FL678" s="65"/>
      <c r="FM678" s="481"/>
      <c r="FQ678"/>
      <c r="FR678"/>
      <c r="FS678"/>
      <c r="FT678"/>
      <c r="FU678"/>
      <c r="FV678"/>
      <c r="GB678" s="24"/>
      <c r="GC678" s="24"/>
      <c r="GD678" s="24"/>
      <c r="GE678" s="24"/>
      <c r="GF678" s="24"/>
      <c r="GG678" s="24"/>
      <c r="GH678" s="24"/>
      <c r="GI678" s="24"/>
      <c r="GJ678"/>
      <c r="GK678"/>
      <c r="GL678"/>
      <c r="GM678"/>
      <c r="GN678"/>
      <c r="GO678"/>
      <c r="GP678"/>
      <c r="GQ678"/>
      <c r="GR678"/>
      <c r="GS678"/>
      <c r="GT678"/>
      <c r="GU678"/>
      <c r="GV678"/>
      <c r="GW678"/>
      <c r="GX678"/>
      <c r="GY678"/>
      <c r="GZ678"/>
      <c r="HA678"/>
      <c r="HB678"/>
      <c r="HC678"/>
      <c r="HD678"/>
      <c r="HE678"/>
      <c r="HF678"/>
      <c r="HG678"/>
      <c r="HH678"/>
      <c r="HI678"/>
      <c r="HJ678"/>
      <c r="HK678"/>
      <c r="HL678"/>
      <c r="HM678"/>
      <c r="HN678"/>
      <c r="HO678"/>
      <c r="HP678"/>
      <c r="HQ678"/>
      <c r="HR678"/>
      <c r="HS678"/>
      <c r="HT678"/>
      <c r="HU678"/>
      <c r="HV678"/>
      <c r="HW678"/>
      <c r="HX678"/>
      <c r="HY678"/>
      <c r="HZ678"/>
      <c r="IA678"/>
      <c r="IB678"/>
      <c r="IC678"/>
      <c r="ID678"/>
      <c r="IE678"/>
      <c r="IF678"/>
      <c r="IG678"/>
      <c r="IH678"/>
      <c r="II678"/>
      <c r="IJ678"/>
      <c r="IK678"/>
      <c r="IL678"/>
      <c r="IM678"/>
      <c r="IN678"/>
      <c r="IO678"/>
      <c r="IP678"/>
      <c r="IQ678"/>
      <c r="IR678"/>
      <c r="IS678"/>
      <c r="IT678"/>
      <c r="IU678"/>
      <c r="IV678"/>
      <c r="IW678"/>
      <c r="IX678"/>
      <c r="IY678"/>
      <c r="IZ678"/>
      <c r="JA678"/>
      <c r="JB678"/>
      <c r="JC678"/>
      <c r="JD678"/>
      <c r="JE678"/>
      <c r="JF678"/>
      <c r="JG678"/>
      <c r="JH678"/>
      <c r="JI678"/>
      <c r="JJ678"/>
      <c r="JK678"/>
      <c r="JL678"/>
      <c r="JM678"/>
      <c r="JN678"/>
    </row>
    <row r="679" spans="1:274" s="749" customFormat="1" ht="12.75" hidden="1" customHeight="1" outlineLevel="1" x14ac:dyDescent="0.2">
      <c r="A679" s="750" t="s">
        <v>517</v>
      </c>
      <c r="B679" s="747"/>
      <c r="C679" s="65"/>
      <c r="D679" s="65"/>
      <c r="E679" s="65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5"/>
      <c r="AC679" s="65"/>
      <c r="AD679" s="65"/>
      <c r="AE679" s="65"/>
      <c r="AF679" s="65"/>
      <c r="AG679" s="65"/>
      <c r="AH679" s="65"/>
      <c r="AI679" s="65"/>
      <c r="AJ679" s="65"/>
      <c r="AK679" s="65"/>
      <c r="AL679" s="65"/>
      <c r="AM679" s="65"/>
      <c r="AN679" s="65"/>
      <c r="AO679" s="65"/>
      <c r="AP679" s="65"/>
      <c r="AQ679" s="65"/>
      <c r="AR679" s="65"/>
      <c r="AS679" s="65"/>
      <c r="AT679" s="65"/>
      <c r="AU679" s="65"/>
      <c r="AV679" s="65"/>
      <c r="AW679" s="65"/>
      <c r="AX679" s="65"/>
      <c r="AY679" s="65"/>
      <c r="AZ679" s="65"/>
      <c r="BA679" s="65"/>
      <c r="BB679" s="65"/>
      <c r="BC679" s="481"/>
      <c r="BD679" s="65"/>
      <c r="BE679" s="65"/>
      <c r="BF679" s="65"/>
      <c r="BG679" s="65"/>
      <c r="BH679" s="65"/>
      <c r="BI679" s="1086"/>
      <c r="BJ679" s="752"/>
      <c r="BK679" s="752"/>
      <c r="BL679" s="752"/>
      <c r="BM679" s="752"/>
      <c r="BN679" s="752"/>
      <c r="BO679" s="1086"/>
      <c r="BP679" s="752"/>
      <c r="BQ679" s="752"/>
      <c r="BR679" s="752"/>
      <c r="BS679" s="752"/>
      <c r="BT679" s="752"/>
      <c r="BU679" s="1086"/>
      <c r="BV679" s="65"/>
      <c r="BW679" s="752"/>
      <c r="BX679" s="752"/>
      <c r="BY679" s="752"/>
      <c r="BZ679" s="752"/>
      <c r="CA679" s="1086"/>
      <c r="CB679" s="65"/>
      <c r="CC679" s="752"/>
      <c r="CD679" s="752"/>
      <c r="CE679" s="752"/>
      <c r="CF679" s="752"/>
      <c r="CG679" s="1086"/>
      <c r="CH679" s="65"/>
      <c r="CI679" s="752"/>
      <c r="CJ679" s="752"/>
      <c r="CK679" s="752"/>
      <c r="CL679" s="752"/>
      <c r="CM679" s="1086"/>
      <c r="CN679" s="65"/>
      <c r="CO679" s="752"/>
      <c r="CP679" s="752"/>
      <c r="CQ679" s="752"/>
      <c r="CR679" s="752"/>
      <c r="CS679" s="1086"/>
      <c r="CT679" s="65"/>
      <c r="CU679" s="752"/>
      <c r="CV679" s="752"/>
      <c r="CW679" s="752"/>
      <c r="CX679" s="752"/>
      <c r="CY679" s="1086"/>
      <c r="CZ679" s="65"/>
      <c r="DA679" s="752"/>
      <c r="DB679" s="752"/>
      <c r="DC679" s="752">
        <f>DC642+DC648</f>
        <v>0</v>
      </c>
      <c r="DD679" s="752">
        <f>DD642+DD648</f>
        <v>0</v>
      </c>
      <c r="DE679" s="1086">
        <f>DE642+DE648</f>
        <v>0</v>
      </c>
      <c r="DF679" s="65"/>
      <c r="DG679" s="752">
        <f>DG642+DG648</f>
        <v>0</v>
      </c>
      <c r="DH679" s="752">
        <f>DH642+DH648</f>
        <v>0</v>
      </c>
      <c r="DI679" s="752">
        <f>DI642+DI648</f>
        <v>316.22196581196584</v>
      </c>
      <c r="DJ679" s="752">
        <f>DJ642+DJ648</f>
        <v>77.860517005068047</v>
      </c>
      <c r="DK679" s="1086">
        <f>DK642+DK648</f>
        <v>366.19829379208227</v>
      </c>
      <c r="DL679" s="65"/>
      <c r="DM679" s="752">
        <f>DM642+DM648</f>
        <v>18.364182521942983</v>
      </c>
      <c r="DN679" s="752">
        <f>DN642+DN648</f>
        <v>-21.105740189189774</v>
      </c>
      <c r="DO679" s="752">
        <f>DO642+DO648</f>
        <v>-63.46825733474725</v>
      </c>
      <c r="DP679" s="752">
        <f>DP642+DP648</f>
        <v>-59.710891606984774</v>
      </c>
      <c r="DQ679" s="1086">
        <f>DQ642+DQ648</f>
        <v>-129.98670003587287</v>
      </c>
      <c r="DR679" s="65"/>
      <c r="DS679" s="752">
        <f>DS642+DS648</f>
        <v>-15.884709284410622</v>
      </c>
      <c r="DT679" s="752">
        <f>DT642+DT648</f>
        <v>-1.0340217344530043</v>
      </c>
      <c r="DU679" s="752">
        <f>DU642+DU648</f>
        <v>-5.184353600331999</v>
      </c>
      <c r="DV679" s="752">
        <f>DV642+DV648</f>
        <v>7.8585184934290773</v>
      </c>
      <c r="DW679" s="1086">
        <f>DW642+DW648</f>
        <v>-14.289300781765533</v>
      </c>
      <c r="DX679" s="65"/>
      <c r="DY679" s="752">
        <f>DY642+DY648</f>
        <v>-10.004688381431265</v>
      </c>
      <c r="DZ679" s="752">
        <f>DZ642+DZ648</f>
        <v>-23.12232946935762</v>
      </c>
      <c r="EA679" s="752">
        <f>EA642+EA648</f>
        <v>12.381061561389389</v>
      </c>
      <c r="EB679" s="752">
        <f>EB642+EB648</f>
        <v>-9.7523732700862524</v>
      </c>
      <c r="EC679" s="1086">
        <f>EC642+EC648</f>
        <v>-33.321544233882875</v>
      </c>
      <c r="ED679" s="65"/>
      <c r="EE679" s="752">
        <f>EE654</f>
        <v>5.9952606635071151</v>
      </c>
      <c r="EF679" s="752">
        <f t="shared" ref="EF679:EH679" si="190">EF654</f>
        <v>23.541070082893704</v>
      </c>
      <c r="EG679" s="752">
        <f t="shared" si="190"/>
        <v>-1.0943396226415325</v>
      </c>
      <c r="EH679" s="752">
        <f t="shared" si="190"/>
        <v>13.606143344709899</v>
      </c>
      <c r="EI679" s="1086">
        <f t="shared" si="185"/>
        <v>42.048134468469186</v>
      </c>
      <c r="EJ679" s="65"/>
      <c r="EK679" s="752">
        <f>EK654</f>
        <v>-16.641509433962277</v>
      </c>
      <c r="EL679" s="752">
        <f t="shared" ref="EL679:EN679" si="191">EL654</f>
        <v>-34.385479041916184</v>
      </c>
      <c r="EM679" s="752">
        <f t="shared" si="191"/>
        <v>-12.761538461538443</v>
      </c>
      <c r="EN679" s="752">
        <f t="shared" si="191"/>
        <v>-27.071073205401564</v>
      </c>
      <c r="EO679" s="1086">
        <f t="shared" si="187"/>
        <v>-90.859600142818465</v>
      </c>
      <c r="EP679" s="65"/>
      <c r="EQ679" s="752">
        <f>EQ654</f>
        <v>13.247121346324155</v>
      </c>
      <c r="ER679" s="752">
        <f t="shared" ref="ER679:ET679" si="192">ER654</f>
        <v>57.474621549421236</v>
      </c>
      <c r="ES679" s="752">
        <f t="shared" si="192"/>
        <v>10.103083700440495</v>
      </c>
      <c r="ET679" s="752">
        <f t="shared" si="192"/>
        <v>36.556942277691121</v>
      </c>
      <c r="EU679" s="1086">
        <f t="shared" si="189"/>
        <v>117.38176887387701</v>
      </c>
      <c r="EV679" s="65"/>
      <c r="EW679" s="752">
        <f>EW654</f>
        <v>16.923694779116463</v>
      </c>
      <c r="EX679" s="65"/>
      <c r="EY679" s="65"/>
      <c r="EZ679" s="65"/>
      <c r="FA679" s="481"/>
      <c r="FB679" s="65"/>
      <c r="FC679" s="65"/>
      <c r="FD679" s="65"/>
      <c r="FE679" s="65"/>
      <c r="FF679" s="65"/>
      <c r="FG679" s="481"/>
      <c r="FH679" s="65"/>
      <c r="FI679" s="65"/>
      <c r="FJ679" s="65"/>
      <c r="FK679" s="65"/>
      <c r="FL679" s="65"/>
      <c r="FM679" s="481"/>
      <c r="FQ679"/>
      <c r="FR679"/>
      <c r="FS679"/>
      <c r="FT679"/>
      <c r="FU679"/>
      <c r="FV679"/>
      <c r="GB679" s="24"/>
      <c r="GC679" s="24"/>
      <c r="GD679" s="24"/>
      <c r="GE679" s="24"/>
      <c r="GF679" s="24"/>
      <c r="GG679" s="24"/>
      <c r="GH679" s="24"/>
      <c r="GI679" s="24"/>
      <c r="GJ679"/>
      <c r="GK679"/>
      <c r="GL679"/>
      <c r="GM679"/>
      <c r="GN679"/>
      <c r="GO679"/>
      <c r="GP679"/>
      <c r="GQ679"/>
      <c r="GR679"/>
      <c r="GS679"/>
      <c r="GT679"/>
      <c r="GU679"/>
      <c r="GV679"/>
      <c r="GW679"/>
      <c r="GX679"/>
      <c r="GY679"/>
      <c r="GZ679"/>
      <c r="HA679"/>
      <c r="HB679"/>
      <c r="HC679"/>
      <c r="HD679"/>
      <c r="HE679"/>
      <c r="HF679"/>
      <c r="HG679"/>
      <c r="HH679"/>
      <c r="HI679"/>
      <c r="HJ679"/>
      <c r="HK679"/>
      <c r="HL679"/>
      <c r="HM679"/>
      <c r="HN679"/>
      <c r="HO679"/>
      <c r="HP679"/>
      <c r="HQ679"/>
      <c r="HR679"/>
      <c r="HS679"/>
      <c r="HT679"/>
      <c r="HU679"/>
      <c r="HV679"/>
      <c r="HW679"/>
      <c r="HX679"/>
      <c r="HY679"/>
      <c r="HZ679"/>
      <c r="IA679"/>
      <c r="IB679"/>
      <c r="IC679"/>
      <c r="ID679"/>
      <c r="IE679"/>
      <c r="IF679"/>
      <c r="IG679"/>
      <c r="IH679"/>
      <c r="II679"/>
      <c r="IJ679"/>
      <c r="IK679"/>
      <c r="IL679"/>
      <c r="IM679"/>
      <c r="IN679"/>
      <c r="IO679"/>
      <c r="IP679"/>
      <c r="IQ679"/>
      <c r="IR679"/>
      <c r="IS679"/>
      <c r="IT679"/>
      <c r="IU679"/>
      <c r="IV679"/>
      <c r="IW679"/>
      <c r="IX679"/>
      <c r="IY679"/>
      <c r="IZ679"/>
      <c r="JA679"/>
      <c r="JB679"/>
      <c r="JC679"/>
      <c r="JD679"/>
      <c r="JE679"/>
      <c r="JF679"/>
      <c r="JG679"/>
      <c r="JH679"/>
      <c r="JI679"/>
      <c r="JJ679"/>
      <c r="JK679"/>
      <c r="JL679"/>
      <c r="JM679"/>
      <c r="JN679"/>
    </row>
    <row r="680" spans="1:274" s="749" customFormat="1" ht="8.25" hidden="1" customHeight="1" outlineLevel="1" x14ac:dyDescent="0.2">
      <c r="A680" s="750"/>
      <c r="B680" s="747"/>
      <c r="C680" s="65"/>
      <c r="D680" s="65"/>
      <c r="E680" s="65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5"/>
      <c r="AC680" s="65"/>
      <c r="AD680" s="65"/>
      <c r="AE680" s="65"/>
      <c r="AF680" s="65"/>
      <c r="AG680" s="65"/>
      <c r="AH680" s="65"/>
      <c r="AI680" s="65"/>
      <c r="AJ680" s="65"/>
      <c r="AK680" s="65"/>
      <c r="AL680" s="65"/>
      <c r="AM680" s="65"/>
      <c r="AN680" s="65"/>
      <c r="AO680" s="65"/>
      <c r="AP680" s="65"/>
      <c r="AQ680" s="65"/>
      <c r="AR680" s="65"/>
      <c r="AS680" s="65"/>
      <c r="AT680" s="65"/>
      <c r="AU680" s="65"/>
      <c r="AV680" s="65"/>
      <c r="AW680" s="65"/>
      <c r="AX680" s="65"/>
      <c r="AY680" s="65"/>
      <c r="AZ680" s="65"/>
      <c r="BA680" s="65"/>
      <c r="BB680" s="65"/>
      <c r="BC680" s="762"/>
      <c r="BD680" s="65"/>
      <c r="BE680" s="65"/>
      <c r="BF680" s="65"/>
      <c r="BG680" s="65"/>
      <c r="BH680" s="65"/>
      <c r="BI680" s="763"/>
      <c r="BJ680" s="752"/>
      <c r="BK680" s="752"/>
      <c r="BL680" s="752"/>
      <c r="BM680" s="752"/>
      <c r="BN680" s="752"/>
      <c r="BO680" s="763"/>
      <c r="BP680" s="752"/>
      <c r="BQ680" s="752"/>
      <c r="BR680" s="752"/>
      <c r="BS680" s="752"/>
      <c r="BT680" s="752"/>
      <c r="BU680" s="763"/>
      <c r="BV680" s="65"/>
      <c r="BW680" s="752"/>
      <c r="BX680" s="752"/>
      <c r="BY680" s="752"/>
      <c r="BZ680" s="752"/>
      <c r="CA680" s="763"/>
      <c r="CB680" s="65"/>
      <c r="CC680" s="752"/>
      <c r="CD680" s="752"/>
      <c r="CE680" s="752"/>
      <c r="CF680" s="752"/>
      <c r="CG680" s="763"/>
      <c r="CH680" s="65"/>
      <c r="CI680" s="752"/>
      <c r="CJ680" s="752"/>
      <c r="CK680" s="752"/>
      <c r="CL680" s="752"/>
      <c r="CM680" s="763"/>
      <c r="CN680" s="65"/>
      <c r="CO680" s="752"/>
      <c r="CP680" s="752"/>
      <c r="CQ680" s="752"/>
      <c r="CR680" s="752"/>
      <c r="CS680" s="763"/>
      <c r="CT680" s="65"/>
      <c r="CU680" s="752"/>
      <c r="CV680" s="752"/>
      <c r="CW680" s="752"/>
      <c r="CX680" s="752"/>
      <c r="CY680" s="763"/>
      <c r="CZ680" s="65"/>
      <c r="DA680" s="752"/>
      <c r="DB680" s="752"/>
      <c r="DC680" s="752"/>
      <c r="DD680" s="65"/>
      <c r="DE680" s="763"/>
      <c r="DF680" s="65"/>
      <c r="DG680" s="752"/>
      <c r="DH680" s="752"/>
      <c r="DI680" s="752"/>
      <c r="DJ680" s="65"/>
      <c r="DK680" s="763"/>
      <c r="DL680" s="65"/>
      <c r="DM680" s="752"/>
      <c r="DN680" s="752"/>
      <c r="DO680" s="752"/>
      <c r="DP680" s="65"/>
      <c r="DQ680" s="763"/>
      <c r="DR680" s="65"/>
      <c r="DS680" s="752"/>
      <c r="DT680" s="752"/>
      <c r="DU680" s="752"/>
      <c r="DV680" s="65"/>
      <c r="DW680" s="763"/>
      <c r="DX680" s="65"/>
      <c r="DY680" s="65"/>
      <c r="DZ680" s="752"/>
      <c r="EA680" s="752"/>
      <c r="EB680" s="65"/>
      <c r="EC680" s="763"/>
      <c r="ED680" s="65"/>
      <c r="EE680" s="65"/>
      <c r="EF680" s="752"/>
      <c r="EG680" s="752"/>
      <c r="EH680" s="65"/>
      <c r="EI680" s="763"/>
      <c r="EJ680" s="65"/>
      <c r="EK680" s="65"/>
      <c r="EL680" s="752"/>
      <c r="EM680" s="752"/>
      <c r="EN680" s="65"/>
      <c r="EO680" s="763"/>
      <c r="EP680" s="65"/>
      <c r="EQ680" s="65"/>
      <c r="ER680" s="752"/>
      <c r="ES680" s="752"/>
      <c r="ET680" s="65"/>
      <c r="EU680" s="763"/>
      <c r="EV680" s="65"/>
      <c r="EW680" s="65"/>
      <c r="EX680" s="65"/>
      <c r="EY680" s="65"/>
      <c r="EZ680" s="65"/>
      <c r="FA680" s="762"/>
      <c r="FB680" s="65"/>
      <c r="FC680" s="65"/>
      <c r="FD680" s="65"/>
      <c r="FE680" s="65"/>
      <c r="FF680" s="65"/>
      <c r="FG680" s="762"/>
      <c r="FH680" s="65"/>
      <c r="FI680" s="65"/>
      <c r="FJ680" s="65"/>
      <c r="FK680" s="65"/>
      <c r="FL680" s="65"/>
      <c r="FM680" s="762"/>
      <c r="FQ680"/>
      <c r="FR680"/>
      <c r="FS680"/>
      <c r="FT680"/>
      <c r="FU680"/>
      <c r="FV680"/>
      <c r="GB680" s="24"/>
      <c r="GC680" s="24"/>
      <c r="GD680" s="24"/>
      <c r="GE680" s="24"/>
      <c r="GF680" s="24"/>
      <c r="GG680" s="24"/>
      <c r="GH680" s="24"/>
      <c r="GI680" s="24"/>
      <c r="GJ680"/>
      <c r="GK680"/>
      <c r="GL680"/>
      <c r="GM680"/>
      <c r="GN680"/>
      <c r="GO680"/>
      <c r="GP680"/>
      <c r="GQ680"/>
      <c r="GR680"/>
      <c r="GS680"/>
      <c r="GT680"/>
      <c r="GU680"/>
      <c r="GV680"/>
      <c r="GW680"/>
      <c r="GX680"/>
      <c r="GY680"/>
      <c r="GZ680"/>
      <c r="HA680"/>
      <c r="HB680"/>
      <c r="HC680"/>
      <c r="HD680"/>
      <c r="HE680"/>
      <c r="HF680"/>
      <c r="HG680"/>
      <c r="HH680"/>
      <c r="HI680"/>
      <c r="HJ680"/>
      <c r="HK680"/>
      <c r="HL680"/>
      <c r="HM680"/>
      <c r="HN680"/>
      <c r="HO680"/>
      <c r="HP680"/>
      <c r="HQ680"/>
      <c r="HR680"/>
      <c r="HS680"/>
      <c r="HT680"/>
      <c r="HU680"/>
      <c r="HV680"/>
      <c r="HW680"/>
      <c r="HX680"/>
      <c r="HY680"/>
      <c r="HZ680"/>
      <c r="IA680"/>
      <c r="IB680"/>
      <c r="IC680"/>
      <c r="ID680"/>
      <c r="IE680"/>
      <c r="IF680"/>
      <c r="IG680"/>
      <c r="IH680"/>
      <c r="II680"/>
      <c r="IJ680"/>
      <c r="IK680"/>
      <c r="IL680"/>
      <c r="IM680"/>
      <c r="IN680"/>
      <c r="IO680"/>
      <c r="IP680"/>
      <c r="IQ680"/>
      <c r="IR680"/>
      <c r="IS680"/>
      <c r="IT680"/>
      <c r="IU680"/>
      <c r="IV680"/>
      <c r="IW680"/>
      <c r="IX680"/>
      <c r="IY680"/>
      <c r="IZ680"/>
      <c r="JA680"/>
      <c r="JB680"/>
      <c r="JC680"/>
      <c r="JD680"/>
      <c r="JE680"/>
      <c r="JF680"/>
      <c r="JG680"/>
      <c r="JH680"/>
      <c r="JI680"/>
      <c r="JJ680"/>
      <c r="JK680"/>
      <c r="JL680"/>
      <c r="JM680"/>
      <c r="JN680"/>
    </row>
    <row r="681" spans="1:274" s="749" customFormat="1" ht="12.75" hidden="1" customHeight="1" outlineLevel="1" x14ac:dyDescent="0.2">
      <c r="A681" s="765" t="s">
        <v>130</v>
      </c>
      <c r="B681" s="766"/>
      <c r="C681" s="767"/>
      <c r="D681" s="767"/>
      <c r="E681" s="767"/>
      <c r="F681" s="767"/>
      <c r="G681" s="767"/>
      <c r="H681" s="767"/>
      <c r="I681" s="767"/>
      <c r="J681" s="767"/>
      <c r="K681" s="767"/>
      <c r="L681" s="767"/>
      <c r="M681" s="767"/>
      <c r="N681" s="767"/>
      <c r="O681" s="767"/>
      <c r="P681" s="767"/>
      <c r="Q681" s="767"/>
      <c r="R681" s="767"/>
      <c r="S681" s="767"/>
      <c r="T681" s="767"/>
      <c r="U681" s="767"/>
      <c r="V681" s="767"/>
      <c r="W681" s="767"/>
      <c r="X681" s="767"/>
      <c r="Y681" s="767"/>
      <c r="Z681" s="767"/>
      <c r="AA681" s="767"/>
      <c r="AB681" s="767"/>
      <c r="AC681" s="767"/>
      <c r="AD681" s="767"/>
      <c r="AE681" s="767"/>
      <c r="AF681" s="767"/>
      <c r="AG681" s="767"/>
      <c r="AH681" s="767"/>
      <c r="AI681" s="767"/>
      <c r="AJ681" s="767"/>
      <c r="AK681" s="767"/>
      <c r="AL681" s="767"/>
      <c r="AM681" s="767"/>
      <c r="AN681" s="767"/>
      <c r="AO681" s="767"/>
      <c r="AP681" s="767"/>
      <c r="AQ681" s="767"/>
      <c r="AR681" s="767"/>
      <c r="AS681" s="767"/>
      <c r="AT681" s="767"/>
      <c r="AU681" s="767"/>
      <c r="AV681" s="767"/>
      <c r="AW681" s="767"/>
      <c r="AX681" s="767"/>
      <c r="AY681" s="767"/>
      <c r="AZ681" s="767"/>
      <c r="BA681" s="767"/>
      <c r="BB681" s="767"/>
      <c r="BC681" s="768"/>
      <c r="BD681" s="767"/>
      <c r="BE681" s="767"/>
      <c r="BF681" s="767"/>
      <c r="BG681" s="767"/>
      <c r="BH681" s="767"/>
      <c r="BI681" s="769">
        <f>(BC613-BI613)*BI604</f>
        <v>-44.99853553507905</v>
      </c>
      <c r="BJ681" s="770"/>
      <c r="BK681" s="770">
        <f>(BE613-BK613)*BK604</f>
        <v>-47.267215894039722</v>
      </c>
      <c r="BL681" s="770">
        <f>(BF613-BL613)*BL604</f>
        <v>-24.660782773109403</v>
      </c>
      <c r="BM681" s="770">
        <f>(BG613-BM613)*BM604</f>
        <v>10.195281562014635</v>
      </c>
      <c r="BN681" s="770">
        <f>(BH613-BN613)*BN604</f>
        <v>-43.197076950801758</v>
      </c>
      <c r="BO681" s="769">
        <f>(BI613-BO613)*BO604</f>
        <v>-102.06337485785197</v>
      </c>
      <c r="BP681" s="770"/>
      <c r="BQ681" s="770">
        <f>(BK613-BQ613)*BQ604</f>
        <v>-25.848126232741571</v>
      </c>
      <c r="BR681" s="770">
        <f>(BL613-BR613)*BR604</f>
        <v>-2.9805110437418629</v>
      </c>
      <c r="BS681" s="770">
        <f>(BM613-BS613)*BS604</f>
        <v>8.2453402687473094</v>
      </c>
      <c r="BT681" s="770">
        <f>(BN613-BT613)*BT604</f>
        <v>29.181208053691257</v>
      </c>
      <c r="BU681" s="769">
        <f>(BO613-BU613)*BU604</f>
        <v>11.408865435356134</v>
      </c>
      <c r="BV681" s="767"/>
      <c r="BW681" s="770">
        <f>(BQ613-BW613)*BW604</f>
        <v>32.527509652509636</v>
      </c>
      <c r="BX681" s="770">
        <f>(BR613-BX613)*BX604</f>
        <v>67.063010408326619</v>
      </c>
      <c r="BY681" s="770">
        <f>(BS613-BY613)*BY604</f>
        <v>8.5623754483858594</v>
      </c>
      <c r="BZ681" s="770">
        <f>(BT613-BZ613)*BZ604</f>
        <v>80.201494962625958</v>
      </c>
      <c r="CA681" s="769">
        <f>(BU613-CA613)*CA604</f>
        <v>211.21246553761367</v>
      </c>
      <c r="CB681" s="767"/>
      <c r="CC681" s="770">
        <f>(BW613-CC613)*CC604</f>
        <v>35.359142212189596</v>
      </c>
      <c r="CD681" s="770">
        <f>(BX613-CD613)*CD604</f>
        <v>-3.0929608127720778</v>
      </c>
      <c r="CE681" s="770">
        <f>(BY613-CE613)*CE604</f>
        <v>43.657613967022279</v>
      </c>
      <c r="CF681" s="770">
        <f>(BZ613-CF613)*CF604</f>
        <v>-10.634586929716262</v>
      </c>
      <c r="CG681" s="769">
        <f>(CA613-CG613)*CG604</f>
        <v>61.73862117336428</v>
      </c>
      <c r="CH681" s="767"/>
      <c r="CI681" s="770">
        <f>(CC613-CI613)*CI604</f>
        <v>90.264877880977025</v>
      </c>
      <c r="CJ681" s="770">
        <f>(CD613-CJ613)*CJ604</f>
        <v>75.526812021213885</v>
      </c>
      <c r="CK681" s="770">
        <f>(CE613-CK613)*CK604</f>
        <v>94.69354838709674</v>
      </c>
      <c r="CL681" s="770">
        <f>(CF613-CL613)*CL604</f>
        <v>81.325020259319118</v>
      </c>
      <c r="CM681" s="769">
        <f>(CG613-CM613)*CM604</f>
        <v>332.51047322456083</v>
      </c>
      <c r="CN681" s="767"/>
      <c r="CO681" s="770">
        <f>(CI613-CO613)*CO604</f>
        <v>12.841573340617298</v>
      </c>
      <c r="CP681" s="770">
        <f>(CJ613-CP613)*CP604</f>
        <v>21.367172675521903</v>
      </c>
      <c r="CQ681" s="770">
        <f>(CK613-CQ613)*CQ604</f>
        <v>21.612497190379866</v>
      </c>
      <c r="CR681" s="770">
        <f>(CL613-CR613)*CR604</f>
        <v>97.800918055083244</v>
      </c>
      <c r="CS681" s="769">
        <f>(CM613-CS613)*CS604</f>
        <v>152.31552065026386</v>
      </c>
      <c r="CT681" s="767"/>
      <c r="CU681" s="770">
        <f>(CO613-CU613)*CU604</f>
        <v>111.4382756368387</v>
      </c>
      <c r="CV681" s="770">
        <f>(CP613-CV613)*CV604</f>
        <v>139.68512304250544</v>
      </c>
      <c r="CW681" s="770">
        <f>(CQ613-CW613)*CW604</f>
        <v>89.951219512195095</v>
      </c>
      <c r="CX681" s="770">
        <f>(CR613-CX613)*CX604</f>
        <v>-49.321384425216237</v>
      </c>
      <c r="CY681" s="769">
        <f>(CS613-CY613)*CY604</f>
        <v>252.80556415586713</v>
      </c>
      <c r="CZ681" s="767"/>
      <c r="DA681" s="770">
        <f>(CU613-DA613)*DA604</f>
        <v>-8.5953522685356987</v>
      </c>
      <c r="DB681" s="770">
        <f>(CV613-DB613)*DB604</f>
        <v>-44.640759627219936</v>
      </c>
      <c r="DC681" s="770">
        <f>(CW613-DC613)*DC604</f>
        <v>-83.478197674418439</v>
      </c>
      <c r="DD681" s="770">
        <f>(CX613-DD613)*DD604</f>
        <v>-7.2721011333914998</v>
      </c>
      <c r="DE681" s="769">
        <f>(CY613-DE613)*DE604</f>
        <v>-105.08169823366575</v>
      </c>
      <c r="DF681" s="767"/>
      <c r="DG681" s="770">
        <f>(DA613-DG613)*DG604</f>
        <v>-85.253012048192701</v>
      </c>
      <c r="DH681" s="770">
        <f>(DB613-DH613)*DH604</f>
        <v>-54.160762942779122</v>
      </c>
      <c r="DI681" s="770">
        <f>(DC613-DI613)*DI604</f>
        <v>99.155820064924953</v>
      </c>
      <c r="DJ681" s="770">
        <f>(DD613-DJ613)*DJ604</f>
        <v>103.35283489096577</v>
      </c>
      <c r="DK681" s="769">
        <f>(DE613-DK613)*DK604</f>
        <v>15.628874750312832</v>
      </c>
      <c r="DL681" s="767"/>
      <c r="DM681" s="770">
        <f>(DG613-DM613)*DM604</f>
        <v>224.24512387981022</v>
      </c>
      <c r="DN681" s="770">
        <f>(DH613-DN613)*DN604</f>
        <v>73.706555671175664</v>
      </c>
      <c r="DO681" s="770">
        <f>(DI613-DO613)*DO604</f>
        <v>100.0082888611332</v>
      </c>
      <c r="DP681" s="770">
        <f>(DJ613-DP613)*DP604</f>
        <v>102.8945030538589</v>
      </c>
      <c r="DQ681" s="769">
        <f>(DK613-DQ613)*DQ604</f>
        <v>361.45288702928895</v>
      </c>
      <c r="DR681" s="767"/>
      <c r="DS681" s="770">
        <f>(DM613-DS613)*DS604</f>
        <v>-117.51047868540137</v>
      </c>
      <c r="DT681" s="770">
        <f>(DN613-DT613)*DT604</f>
        <v>3.8525706503235142</v>
      </c>
      <c r="DU681" s="770">
        <f>(DO613-DU613)*DU604</f>
        <v>-33.583756345177619</v>
      </c>
      <c r="DV681" s="770">
        <f>(DP613-DV613)*DV604</f>
        <v>-117.43086757990851</v>
      </c>
      <c r="DW681" s="769">
        <f>(DQ613-DW613)*DW604</f>
        <v>92.371591305983415</v>
      </c>
      <c r="DX681" s="767"/>
      <c r="DY681" s="770">
        <f>(DS613-DY613)*DY604</f>
        <v>35.958460226580755</v>
      </c>
      <c r="DZ681" s="770">
        <f>(DT613-DZ613)*DZ604</f>
        <v>-18.320421376056171</v>
      </c>
      <c r="EA681" s="770">
        <f>(DU613-EA613)*EA604</f>
        <v>-5.2692307692309281</v>
      </c>
      <c r="EB681" s="770">
        <f>(DV613-EB613)*EB604</f>
        <v>401.06349785603504</v>
      </c>
      <c r="EC681" s="769">
        <f>(DW613-EC613)*EC604</f>
        <v>102.14793439454481</v>
      </c>
      <c r="ED681" s="767"/>
      <c r="EE681" s="770">
        <f>(DY613-EE613)*EE604</f>
        <v>-48.787734160601438</v>
      </c>
      <c r="EF681" s="770">
        <f>(DZ613-EF613)*EF604</f>
        <v>-9.2651082624150725</v>
      </c>
      <c r="EG681" s="770">
        <f>(EA613-EG613)*EG604</f>
        <v>-51.526033279656431</v>
      </c>
      <c r="EH681" s="770">
        <f>(EB613-EH613)*EH604</f>
        <v>1.6068912840532896</v>
      </c>
      <c r="EI681" s="769">
        <f>SUM(EE681:EH681)</f>
        <v>-107.97198441861966</v>
      </c>
      <c r="EJ681" s="767"/>
      <c r="EK681" s="770">
        <f>(EE613-EK613)*EK604</f>
        <v>49.049877921171898</v>
      </c>
      <c r="EL681" s="770">
        <f>(EF613-EL613)*EL604</f>
        <v>-186.82185223725287</v>
      </c>
      <c r="EM681" s="770">
        <f>(EG613-EM613)*EM604</f>
        <v>-112.52897696839852</v>
      </c>
      <c r="EN681" s="770">
        <f>(EH613-EN613)*EN604</f>
        <v>-268.34752965349765</v>
      </c>
      <c r="EO681" s="769">
        <f>SUM(EK681:EN681)</f>
        <v>-518.64848093797718</v>
      </c>
      <c r="EP681" s="767"/>
      <c r="EQ681" s="770">
        <f>(EK613-EQ613)*EQ604</f>
        <v>-95.674121405750782</v>
      </c>
      <c r="ER681" s="770">
        <f>(EL613-ER613)*ER604</f>
        <v>97.475047237968255</v>
      </c>
      <c r="ES681" s="770">
        <f>(EM613-ES613)*ES604</f>
        <v>141.84246727313078</v>
      </c>
      <c r="ET681" s="770">
        <f>(EN613-ET613)*ET604</f>
        <v>-221.85776309580007</v>
      </c>
      <c r="EU681" s="769">
        <f>SUM(EQ681:ET681)</f>
        <v>-78.214369990451814</v>
      </c>
      <c r="EV681" s="767"/>
      <c r="EW681" s="770">
        <f>(EQ613-EW613)*EW604</f>
        <v>103.7846278880762</v>
      </c>
      <c r="EX681" s="767"/>
      <c r="EY681" s="767"/>
      <c r="EZ681" s="767"/>
      <c r="FA681" s="768"/>
      <c r="FB681" s="767"/>
      <c r="FC681" s="767"/>
      <c r="FD681" s="767"/>
      <c r="FE681" s="767"/>
      <c r="FF681" s="767"/>
      <c r="FG681" s="768"/>
      <c r="FH681" s="767"/>
      <c r="FI681" s="767"/>
      <c r="FJ681" s="767"/>
      <c r="FK681" s="767"/>
      <c r="FL681" s="767"/>
      <c r="FM681" s="768"/>
      <c r="FQ681"/>
      <c r="FR681"/>
      <c r="FS681"/>
      <c r="FT681"/>
      <c r="FU681"/>
      <c r="FV681"/>
      <c r="GB681" s="24"/>
      <c r="GC681" s="24"/>
      <c r="GD681" s="24"/>
      <c r="GE681" s="24"/>
      <c r="GF681" s="24"/>
      <c r="GG681" s="24"/>
      <c r="GH681" s="24"/>
      <c r="GI681" s="24"/>
      <c r="GJ681"/>
      <c r="GK681"/>
      <c r="GL681"/>
      <c r="GM681"/>
      <c r="GN681"/>
      <c r="GO681"/>
      <c r="GP681"/>
      <c r="GQ681"/>
      <c r="GR681"/>
      <c r="GS681"/>
      <c r="GT681"/>
      <c r="GU681"/>
      <c r="GV681"/>
      <c r="GW681"/>
      <c r="GX681"/>
      <c r="GY681"/>
      <c r="GZ681"/>
      <c r="HA681"/>
      <c r="HB681"/>
      <c r="HC681"/>
      <c r="HD681"/>
      <c r="HE681"/>
      <c r="HF681"/>
      <c r="HG681"/>
      <c r="HH681"/>
      <c r="HI681"/>
      <c r="HJ681"/>
      <c r="HK681"/>
      <c r="HL681"/>
      <c r="HM681"/>
      <c r="HN681"/>
      <c r="HO681"/>
      <c r="HP681"/>
      <c r="HQ681"/>
      <c r="HR681"/>
      <c r="HS681"/>
      <c r="HT681"/>
      <c r="HU681"/>
      <c r="HV681"/>
      <c r="HW681"/>
      <c r="HX681"/>
      <c r="HY681"/>
      <c r="HZ681"/>
      <c r="IA681"/>
      <c r="IB681"/>
      <c r="IC681"/>
      <c r="ID681"/>
      <c r="IE681"/>
      <c r="IF681"/>
      <c r="IG681"/>
      <c r="IH681"/>
      <c r="II681"/>
      <c r="IJ681"/>
      <c r="IK681"/>
      <c r="IL681"/>
      <c r="IM681"/>
      <c r="IN681"/>
      <c r="IO681"/>
      <c r="IP681"/>
      <c r="IQ681"/>
      <c r="IR681"/>
      <c r="IS681"/>
      <c r="IT681"/>
      <c r="IU681"/>
      <c r="IV681"/>
      <c r="IW681"/>
      <c r="IX681"/>
      <c r="IY681"/>
      <c r="IZ681"/>
      <c r="JA681"/>
      <c r="JB681"/>
      <c r="JC681"/>
      <c r="JD681"/>
      <c r="JE681"/>
      <c r="JF681"/>
      <c r="JG681"/>
      <c r="JH681"/>
      <c r="JI681"/>
      <c r="JJ681"/>
      <c r="JK681"/>
      <c r="JL681"/>
      <c r="JM681"/>
      <c r="JN681"/>
    </row>
    <row r="682" spans="1:274" s="749" customFormat="1" ht="12.75" hidden="1" customHeight="1" outlineLevel="1" x14ac:dyDescent="0.2">
      <c r="A682" s="750"/>
      <c r="B682" s="747"/>
      <c r="C682" s="65"/>
      <c r="D682" s="65"/>
      <c r="E682" s="65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5"/>
      <c r="AC682" s="65"/>
      <c r="AD682" s="65"/>
      <c r="AE682" s="65"/>
      <c r="AF682" s="65"/>
      <c r="AG682" s="65"/>
      <c r="AH682" s="65"/>
      <c r="AI682" s="65"/>
      <c r="AJ682" s="65"/>
      <c r="AK682" s="65"/>
      <c r="AL682" s="65"/>
      <c r="AM682" s="65"/>
      <c r="AN682" s="65"/>
      <c r="AO682" s="65"/>
      <c r="AP682" s="65"/>
      <c r="AQ682" s="65"/>
      <c r="AR682" s="65"/>
      <c r="AS682" s="65"/>
      <c r="AT682" s="65"/>
      <c r="AU682" s="65"/>
      <c r="AV682" s="65"/>
      <c r="AW682" s="65"/>
      <c r="AX682" s="65"/>
      <c r="AY682" s="65"/>
      <c r="AZ682" s="65"/>
      <c r="BA682" s="65"/>
      <c r="BB682" s="65"/>
      <c r="BC682" s="748"/>
      <c r="BD682" s="65"/>
      <c r="BE682" s="65"/>
      <c r="BF682" s="65"/>
      <c r="BG682" s="65"/>
      <c r="BH682" s="65"/>
      <c r="BI682" s="751"/>
      <c r="BJ682" s="752"/>
      <c r="BK682" s="752"/>
      <c r="BL682" s="752"/>
      <c r="BM682" s="752"/>
      <c r="BN682" s="752"/>
      <c r="BO682" s="751"/>
      <c r="BP682" s="752"/>
      <c r="BQ682" s="752"/>
      <c r="BR682" s="752"/>
      <c r="BS682" s="752"/>
      <c r="BT682" s="752"/>
      <c r="BU682" s="751"/>
      <c r="BV682" s="65"/>
      <c r="BW682" s="752"/>
      <c r="BX682" s="65"/>
      <c r="BY682" s="65"/>
      <c r="BZ682" s="752"/>
      <c r="CA682" s="751"/>
      <c r="CB682" s="65"/>
      <c r="CC682" s="752"/>
      <c r="CD682" s="65"/>
      <c r="CE682" s="65"/>
      <c r="CF682" s="752"/>
      <c r="CG682" s="751"/>
      <c r="CH682" s="65"/>
      <c r="CI682" s="752"/>
      <c r="CJ682" s="65"/>
      <c r="CK682" s="65"/>
      <c r="CL682" s="752"/>
      <c r="CM682" s="751"/>
      <c r="CN682" s="65"/>
      <c r="CO682" s="752"/>
      <c r="CP682" s="752"/>
      <c r="CQ682" s="752"/>
      <c r="CR682" s="752"/>
      <c r="CS682" s="751"/>
      <c r="CT682" s="65"/>
      <c r="CU682" s="752"/>
      <c r="CV682" s="752"/>
      <c r="CW682" s="752"/>
      <c r="CX682" s="752"/>
      <c r="CY682" s="751"/>
      <c r="CZ682" s="65"/>
      <c r="DA682" s="752"/>
      <c r="DB682" s="752"/>
      <c r="DC682" s="752"/>
      <c r="DD682" s="752"/>
      <c r="DE682" s="751"/>
      <c r="DF682" s="65"/>
      <c r="DG682" s="752"/>
      <c r="DH682" s="752"/>
      <c r="DI682" s="752"/>
      <c r="DJ682" s="752"/>
      <c r="DK682" s="751"/>
      <c r="DL682" s="65"/>
      <c r="DM682" s="752"/>
      <c r="DN682" s="752"/>
      <c r="DO682" s="752"/>
      <c r="DP682" s="752"/>
      <c r="DQ682" s="751"/>
      <c r="DR682" s="65"/>
      <c r="DS682" s="752"/>
      <c r="DT682" s="752"/>
      <c r="DU682" s="752"/>
      <c r="DV682" s="752"/>
      <c r="DW682" s="751"/>
      <c r="DX682" s="65"/>
      <c r="DY682" s="752"/>
      <c r="DZ682" s="752"/>
      <c r="EA682" s="752"/>
      <c r="EB682" s="752"/>
      <c r="EC682" s="751"/>
      <c r="ED682" s="65"/>
      <c r="EE682" s="752"/>
      <c r="EF682" s="752"/>
      <c r="EG682" s="752"/>
      <c r="EH682" s="752"/>
      <c r="EI682" s="751"/>
      <c r="EJ682" s="65"/>
      <c r="EK682" s="752"/>
      <c r="EL682" s="752"/>
      <c r="EM682" s="752"/>
      <c r="EN682" s="752"/>
      <c r="EO682" s="751"/>
      <c r="EP682" s="65"/>
      <c r="EQ682" s="752"/>
      <c r="ER682" s="752"/>
      <c r="ES682" s="752"/>
      <c r="ET682" s="752"/>
      <c r="EU682" s="751"/>
      <c r="EV682" s="65"/>
      <c r="EW682" s="752"/>
      <c r="EX682" s="65"/>
      <c r="EY682" s="65"/>
      <c r="EZ682" s="65"/>
      <c r="FA682" s="748"/>
      <c r="FB682" s="65"/>
      <c r="FC682" s="65"/>
      <c r="FD682" s="65"/>
      <c r="FE682" s="65"/>
      <c r="FF682" s="65"/>
      <c r="FG682" s="748"/>
      <c r="FH682" s="65"/>
      <c r="FI682" s="65"/>
      <c r="FJ682" s="65"/>
      <c r="FK682" s="65"/>
      <c r="FL682" s="65"/>
      <c r="FM682" s="748"/>
      <c r="FQ682"/>
      <c r="FR682"/>
      <c r="FS682"/>
      <c r="FT682"/>
      <c r="FU682"/>
      <c r="FV682"/>
      <c r="GB682" s="24"/>
      <c r="GC682" s="24"/>
      <c r="GD682" s="24"/>
      <c r="GE682" s="24"/>
      <c r="GF682" s="24"/>
      <c r="GG682" s="24"/>
      <c r="GH682" s="24"/>
      <c r="GI682" s="24"/>
      <c r="GJ682"/>
      <c r="GK682"/>
      <c r="GL682"/>
      <c r="GM682"/>
      <c r="GN682"/>
      <c r="GO682"/>
      <c r="GP682"/>
      <c r="GQ682"/>
      <c r="GR682"/>
      <c r="GS682"/>
      <c r="GT682"/>
      <c r="GU682"/>
      <c r="GV682"/>
      <c r="GW682"/>
      <c r="GX682"/>
      <c r="GY682"/>
      <c r="GZ682"/>
      <c r="HA682"/>
      <c r="HB682"/>
      <c r="HC682"/>
      <c r="HD682"/>
      <c r="HE682"/>
      <c r="HF682"/>
      <c r="HG682"/>
      <c r="HH682"/>
      <c r="HI682"/>
      <c r="HJ682"/>
      <c r="HK682"/>
      <c r="HL682"/>
      <c r="HM682"/>
      <c r="HN682"/>
      <c r="HO682"/>
      <c r="HP682"/>
      <c r="HQ682"/>
      <c r="HR682"/>
      <c r="HS682"/>
      <c r="HT682"/>
      <c r="HU682"/>
      <c r="HV682"/>
      <c r="HW682"/>
      <c r="HX682"/>
      <c r="HY682"/>
      <c r="HZ682"/>
      <c r="IA682"/>
      <c r="IB682"/>
      <c r="IC682"/>
      <c r="ID682"/>
      <c r="IE682"/>
      <c r="IF682"/>
      <c r="IG682"/>
      <c r="IH682"/>
      <c r="II682"/>
      <c r="IJ682"/>
      <c r="IK682"/>
      <c r="IL682"/>
      <c r="IM682"/>
      <c r="IN682"/>
      <c r="IO682"/>
      <c r="IP682"/>
      <c r="IQ682"/>
      <c r="IR682"/>
      <c r="IS682"/>
      <c r="IT682"/>
      <c r="IU682"/>
      <c r="IV682"/>
      <c r="IW682"/>
      <c r="IX682"/>
      <c r="IY682"/>
      <c r="IZ682"/>
      <c r="JA682"/>
      <c r="JB682"/>
      <c r="JC682"/>
      <c r="JD682"/>
      <c r="JE682"/>
      <c r="JF682"/>
      <c r="JG682"/>
      <c r="JH682"/>
      <c r="JI682"/>
      <c r="JJ682"/>
      <c r="JK682"/>
      <c r="JL682"/>
      <c r="JM682"/>
      <c r="JN682"/>
    </row>
    <row r="683" spans="1:274" s="749" customFormat="1" ht="12.75" hidden="1" customHeight="1" outlineLevel="1" x14ac:dyDescent="0.2">
      <c r="A683" s="750" t="s">
        <v>131</v>
      </c>
      <c r="B683" s="747"/>
      <c r="C683" s="65"/>
      <c r="D683" s="65"/>
      <c r="E683" s="65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5"/>
      <c r="AC683" s="65"/>
      <c r="AD683" s="65"/>
      <c r="AE683" s="65"/>
      <c r="AF683" s="65"/>
      <c r="AG683" s="65"/>
      <c r="AH683" s="65"/>
      <c r="AI683" s="65"/>
      <c r="AJ683" s="65"/>
      <c r="AK683" s="65"/>
      <c r="AL683" s="65"/>
      <c r="AM683" s="65"/>
      <c r="AN683" s="65"/>
      <c r="AO683" s="65"/>
      <c r="AP683" s="65"/>
      <c r="AQ683" s="65"/>
      <c r="AR683" s="65"/>
      <c r="AS683" s="65"/>
      <c r="AT683" s="65"/>
      <c r="AU683" s="65"/>
      <c r="AV683" s="65"/>
      <c r="AW683" s="65"/>
      <c r="AX683" s="65"/>
      <c r="AY683" s="65"/>
      <c r="AZ683" s="65"/>
      <c r="BA683" s="65"/>
      <c r="BB683" s="65"/>
      <c r="BC683" s="748"/>
      <c r="BD683" s="65"/>
      <c r="BE683" s="65"/>
      <c r="BF683" s="65"/>
      <c r="BG683" s="65"/>
      <c r="BH683" s="65"/>
      <c r="BI683" s="751">
        <f>BI675</f>
        <v>192.86144675955714</v>
      </c>
      <c r="BJ683" s="752"/>
      <c r="BK683" s="752">
        <f>BK675</f>
        <v>73.381078814037522</v>
      </c>
      <c r="BL683" s="752">
        <f>BL675</f>
        <v>50.203059890008106</v>
      </c>
      <c r="BM683" s="752">
        <f>BM675</f>
        <v>58.157986522009566</v>
      </c>
      <c r="BN683" s="752">
        <f>BN675</f>
        <v>50.995807930531683</v>
      </c>
      <c r="BO683" s="751">
        <f>BO675</f>
        <v>228.0132401282371</v>
      </c>
      <c r="BP683" s="752"/>
      <c r="BQ683" s="752">
        <f>BQ675</f>
        <v>68.833831280010827</v>
      </c>
      <c r="BR683" s="752">
        <f>BR675</f>
        <v>62.085858981266909</v>
      </c>
      <c r="BS683" s="752">
        <f>BS675</f>
        <v>65.161218731753536</v>
      </c>
      <c r="BT683" s="752">
        <f>BT675</f>
        <v>38.589212895684959</v>
      </c>
      <c r="BU683" s="751">
        <f>BU675</f>
        <v>227.18159590493073</v>
      </c>
      <c r="BV683" s="65"/>
      <c r="BW683" s="752">
        <f>BW675</f>
        <v>51.47059858270292</v>
      </c>
      <c r="BX683" s="752">
        <f>BX675</f>
        <v>24.994850761602617</v>
      </c>
      <c r="BY683" s="752">
        <f>BY675</f>
        <v>26.977247123185027</v>
      </c>
      <c r="BZ683" s="752">
        <f>BZ675</f>
        <v>21.167663134617158</v>
      </c>
      <c r="CA683" s="751">
        <f>CA675</f>
        <v>127.17641225713392</v>
      </c>
      <c r="CB683" s="65"/>
      <c r="CC683" s="752">
        <f>CC675</f>
        <v>52.666336343081639</v>
      </c>
      <c r="CD683" s="752">
        <f>CD675</f>
        <v>35.796067764386017</v>
      </c>
      <c r="CE683" s="752">
        <f>CE675</f>
        <v>17.685716810518592</v>
      </c>
      <c r="CF683" s="752">
        <f>CF675</f>
        <v>-24.074987475336286</v>
      </c>
      <c r="CG683" s="751">
        <f>CG675</f>
        <v>73.925510580126982</v>
      </c>
      <c r="CH683" s="65"/>
      <c r="CI683" s="752">
        <f>CI675</f>
        <v>-43.370500670545042</v>
      </c>
      <c r="CJ683" s="752">
        <f>CJ675</f>
        <v>-37.025959600337309</v>
      </c>
      <c r="CK683" s="752">
        <f>CK675</f>
        <v>-64.391488708514544</v>
      </c>
      <c r="CL683" s="752">
        <f>CL675</f>
        <v>-20.844453824599888</v>
      </c>
      <c r="CM683" s="751">
        <f>CM675</f>
        <v>-150.38888792879777</v>
      </c>
      <c r="CN683" s="65"/>
      <c r="CO683" s="752">
        <f>CO675</f>
        <v>-52.415667877216393</v>
      </c>
      <c r="CP683" s="752">
        <f>CP675</f>
        <v>-32.966316908997264</v>
      </c>
      <c r="CQ683" s="752">
        <f>CQ675</f>
        <v>28.644979081116595</v>
      </c>
      <c r="CR683" s="752">
        <f>CR675</f>
        <v>16.475180182113537</v>
      </c>
      <c r="CS683" s="751">
        <f>CS675</f>
        <v>-21.765874543887712</v>
      </c>
      <c r="CT683" s="65"/>
      <c r="CU683" s="752">
        <f>CU675</f>
        <v>98.462555559104132</v>
      </c>
      <c r="CV683" s="752">
        <f>CV675</f>
        <v>132.54004409428666</v>
      </c>
      <c r="CW683" s="752">
        <f>CW675</f>
        <v>155.7245679263745</v>
      </c>
      <c r="CX683" s="752">
        <f>CX675</f>
        <v>172.52381093149009</v>
      </c>
      <c r="CY683" s="751">
        <f>CY675</f>
        <v>594.40963166851816</v>
      </c>
      <c r="CZ683" s="65"/>
      <c r="DA683" s="752">
        <f>DA675</f>
        <v>221.29197719043015</v>
      </c>
      <c r="DB683" s="752">
        <f>DB675</f>
        <v>163.24305430507195</v>
      </c>
      <c r="DC683" s="752">
        <f>DC675+DC678</f>
        <v>-93.899959699547935</v>
      </c>
      <c r="DD683" s="752">
        <f>DD675+DD678</f>
        <v>-534.64109628977633</v>
      </c>
      <c r="DE683" s="1086">
        <f>DE675+DE678</f>
        <v>-221.02396238618422</v>
      </c>
      <c r="DF683" s="65"/>
      <c r="DG683" s="752">
        <f>DG675+DG678</f>
        <v>-531.75716935041305</v>
      </c>
      <c r="DH683" s="752">
        <f>DH675+DH678</f>
        <v>-560.95305993343209</v>
      </c>
      <c r="DI683" s="752">
        <f>DI675+DI678</f>
        <v>-580.99346568437238</v>
      </c>
      <c r="DJ683" s="752">
        <f>DJ675+DJ678</f>
        <v>109.68941115957946</v>
      </c>
      <c r="DK683" s="1086">
        <f>DK675+DK678</f>
        <v>-1462.018534354469</v>
      </c>
      <c r="DL683" s="65"/>
      <c r="DM683" s="752">
        <f>DM675+DM678</f>
        <v>79.99129592216822</v>
      </c>
      <c r="DN683" s="752">
        <f>DN675+DN678</f>
        <v>105.70814835715633</v>
      </c>
      <c r="DO683" s="752">
        <f>DO675+DO678</f>
        <v>107.48752554522926</v>
      </c>
      <c r="DP683" s="752">
        <f>DP675+DP678</f>
        <v>90.494169183470035</v>
      </c>
      <c r="DQ683" s="1086">
        <f>DQ675+DQ678</f>
        <v>210.99970335009675</v>
      </c>
      <c r="DR683" s="65"/>
      <c r="DS683" s="752">
        <f>DS675+DS678</f>
        <v>107.29801595298636</v>
      </c>
      <c r="DT683" s="752">
        <f>DT675+DT678</f>
        <v>124.07208578308452</v>
      </c>
      <c r="DU683" s="752">
        <f>DU675+DU678</f>
        <v>210.42280886193879</v>
      </c>
      <c r="DV683" s="752">
        <f>DV675+DV678</f>
        <v>159.65972629387636</v>
      </c>
      <c r="DW683" s="1086">
        <f>DW675+DW678</f>
        <v>652.66891527846587</v>
      </c>
      <c r="DX683" s="65"/>
      <c r="DY683" s="752">
        <f>DY675+DY678</f>
        <v>118.85280348509629</v>
      </c>
      <c r="DZ683" s="752">
        <f>DZ675+DZ678</f>
        <v>96.522516592589426</v>
      </c>
      <c r="EA683" s="752">
        <f>EA675+EA678</f>
        <v>13.873508717858003</v>
      </c>
      <c r="EB683" s="752">
        <f>EB675+EB678</f>
        <v>-131.48265536502197</v>
      </c>
      <c r="EC683" s="1086">
        <f>EC675+EC678</f>
        <v>381.97144831092351</v>
      </c>
      <c r="ED683" s="65"/>
      <c r="EE683" s="752">
        <f>EE675+EE678</f>
        <v>58.00042295655814</v>
      </c>
      <c r="EF683" s="752">
        <f>EF675+EF678</f>
        <v>36.306844520583105</v>
      </c>
      <c r="EG683" s="752">
        <f>EG675+EG678</f>
        <v>22.620293650112622</v>
      </c>
      <c r="EH683" s="752">
        <f>EH675+EH678</f>
        <v>244.81537748252325</v>
      </c>
      <c r="EI683" s="1086">
        <f t="shared" ref="EI683:EI685" si="193">SUM(EE683:EH683)</f>
        <v>361.74293860977707</v>
      </c>
      <c r="EJ683" s="65"/>
      <c r="EK683" s="752">
        <f>EK675+EK678</f>
        <v>34.142784871102634</v>
      </c>
      <c r="EL683" s="752">
        <f>EL675+EL678</f>
        <v>123.05091471079717</v>
      </c>
      <c r="EM683" s="752">
        <f>EM675+EM678</f>
        <v>98.041147273185004</v>
      </c>
      <c r="EN683" s="752">
        <f>EN675+EN678</f>
        <v>101.37507778345271</v>
      </c>
      <c r="EO683" s="1086">
        <f t="shared" ref="EO683:EO685" si="194">SUM(EK683:EN683)</f>
        <v>356.60992463853751</v>
      </c>
      <c r="EP683" s="65"/>
      <c r="EQ683" s="752">
        <f>EQ675+EQ678</f>
        <v>-72.218154255179272</v>
      </c>
      <c r="ER683" s="752">
        <f>ER675+ER678</f>
        <v>22.052794798955624</v>
      </c>
      <c r="ES683" s="752">
        <f>ES675+ES678</f>
        <v>-50.832352200808842</v>
      </c>
      <c r="ET683" s="752">
        <f>ET675+ET678</f>
        <v>-65.985082537332232</v>
      </c>
      <c r="EU683" s="1086">
        <f t="shared" ref="EU683:EU685" si="195">SUM(EQ683:ET683)</f>
        <v>-166.98279419436471</v>
      </c>
      <c r="EV683" s="65"/>
      <c r="EW683" s="752">
        <f>EW675+EW678</f>
        <v>-214.40722729552627</v>
      </c>
      <c r="EX683" s="752"/>
      <c r="EY683" s="65"/>
      <c r="EZ683" s="65"/>
      <c r="FA683" s="748"/>
      <c r="FB683" s="65"/>
      <c r="FC683" s="65"/>
      <c r="FD683" s="65"/>
      <c r="FE683" s="65"/>
      <c r="FF683" s="65"/>
      <c r="FG683" s="748"/>
      <c r="FH683" s="65"/>
      <c r="FI683" s="65"/>
      <c r="FJ683" s="65"/>
      <c r="FK683" s="65"/>
      <c r="FL683" s="65"/>
      <c r="FM683" s="748"/>
      <c r="FQ683"/>
      <c r="FR683"/>
      <c r="FS683"/>
      <c r="FT683"/>
      <c r="FU683"/>
      <c r="FV683"/>
      <c r="GB683" s="24"/>
      <c r="GC683" s="24"/>
      <c r="GD683" s="24"/>
      <c r="GE683" s="24"/>
      <c r="GF683" s="24"/>
      <c r="GG683" s="24"/>
      <c r="GH683" s="24"/>
      <c r="GI683" s="24"/>
      <c r="GJ683"/>
      <c r="GK683"/>
      <c r="GL683"/>
      <c r="GM683"/>
      <c r="GN683"/>
      <c r="GO683"/>
      <c r="GP683"/>
      <c r="GQ683"/>
      <c r="GR683"/>
      <c r="GS683"/>
      <c r="GT683"/>
      <c r="GU683"/>
      <c r="GV683"/>
      <c r="GW683"/>
      <c r="GX683"/>
      <c r="GY683"/>
      <c r="GZ683"/>
      <c r="HA683"/>
      <c r="HB683"/>
      <c r="HC683"/>
      <c r="HD683"/>
      <c r="HE683"/>
      <c r="HF683"/>
      <c r="HG683"/>
      <c r="HH683"/>
      <c r="HI683"/>
      <c r="HJ683"/>
      <c r="HK683"/>
      <c r="HL683"/>
      <c r="HM683"/>
      <c r="HN683"/>
      <c r="HO683"/>
      <c r="HP683"/>
      <c r="HQ683"/>
      <c r="HR683"/>
      <c r="HS683"/>
      <c r="HT683"/>
      <c r="HU683"/>
      <c r="HV683"/>
      <c r="HW683"/>
      <c r="HX683"/>
      <c r="HY683"/>
      <c r="HZ683"/>
      <c r="IA683"/>
      <c r="IB683"/>
      <c r="IC683"/>
      <c r="ID683"/>
      <c r="IE683"/>
      <c r="IF683"/>
      <c r="IG683"/>
      <c r="IH683"/>
      <c r="II683"/>
      <c r="IJ683"/>
      <c r="IK683"/>
      <c r="IL683"/>
      <c r="IM683"/>
      <c r="IN683"/>
      <c r="IO683"/>
      <c r="IP683"/>
      <c r="IQ683"/>
      <c r="IR683"/>
      <c r="IS683"/>
      <c r="IT683"/>
      <c r="IU683"/>
      <c r="IV683"/>
      <c r="IW683"/>
      <c r="IX683"/>
      <c r="IY683"/>
      <c r="IZ683"/>
      <c r="JA683"/>
      <c r="JB683"/>
      <c r="JC683"/>
      <c r="JD683"/>
      <c r="JE683"/>
      <c r="JF683"/>
      <c r="JG683"/>
      <c r="JH683"/>
      <c r="JI683"/>
      <c r="JJ683"/>
      <c r="JK683"/>
      <c r="JL683"/>
      <c r="JM683"/>
      <c r="JN683"/>
    </row>
    <row r="684" spans="1:274" s="749" customFormat="1" ht="12.75" hidden="1" customHeight="1" outlineLevel="1" thickBot="1" x14ac:dyDescent="0.25">
      <c r="A684" s="750" t="s">
        <v>132</v>
      </c>
      <c r="B684" s="747"/>
      <c r="C684" s="65"/>
      <c r="D684" s="65"/>
      <c r="E684" s="65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5"/>
      <c r="AC684" s="65"/>
      <c r="AD684" s="65"/>
      <c r="AE684" s="65"/>
      <c r="AF684" s="65"/>
      <c r="AG684" s="65"/>
      <c r="AH684" s="65"/>
      <c r="AI684" s="65"/>
      <c r="AJ684" s="65"/>
      <c r="AK684" s="65"/>
      <c r="AL684" s="65"/>
      <c r="AM684" s="65"/>
      <c r="AN684" s="65"/>
      <c r="AO684" s="65"/>
      <c r="AP684" s="65"/>
      <c r="AQ684" s="65"/>
      <c r="AR684" s="65"/>
      <c r="AS684" s="65"/>
      <c r="AT684" s="65"/>
      <c r="AU684" s="65"/>
      <c r="AV684" s="65"/>
      <c r="AW684" s="65"/>
      <c r="AX684" s="65"/>
      <c r="AY684" s="65"/>
      <c r="AZ684" s="65"/>
      <c r="BA684" s="65"/>
      <c r="BB684" s="65"/>
      <c r="BC684" s="748"/>
      <c r="BD684" s="65"/>
      <c r="BE684" s="65"/>
      <c r="BF684" s="65"/>
      <c r="BG684" s="65"/>
      <c r="BH684" s="65"/>
      <c r="BI684" s="751">
        <f>BI676+BI681</f>
        <v>44.751367034804552</v>
      </c>
      <c r="BJ684" s="752"/>
      <c r="BK684" s="752">
        <f>BK676+BK681</f>
        <v>-161.07478477430243</v>
      </c>
      <c r="BL684" s="752">
        <f>BL676+BL681</f>
        <v>-51.262582158915848</v>
      </c>
      <c r="BM684" s="752">
        <f>BM676+BM681</f>
        <v>-59.569183770733694</v>
      </c>
      <c r="BN684" s="752">
        <f>BN676+BN681</f>
        <v>-32.972268554067142</v>
      </c>
      <c r="BO684" s="751">
        <f>BO676+BO681</f>
        <v>-286.05335436373815</v>
      </c>
      <c r="BP684" s="752"/>
      <c r="BQ684" s="752">
        <f>BQ676+BQ681</f>
        <v>-45.41765770999104</v>
      </c>
      <c r="BR684" s="752">
        <f>BR676+BR681</f>
        <v>-6.0776303108468035</v>
      </c>
      <c r="BS684" s="752">
        <f>BS676+BS681</f>
        <v>-3.8586612978567381</v>
      </c>
      <c r="BT684" s="752">
        <f>BT676+BT681</f>
        <v>-12.945977289892049</v>
      </c>
      <c r="BU684" s="751">
        <f>BU676+BU681</f>
        <v>-50.425923081711616</v>
      </c>
      <c r="BV684" s="65"/>
      <c r="BW684" s="752">
        <f>BW676+BW681</f>
        <v>33.515887903783423</v>
      </c>
      <c r="BX684" s="752">
        <f>BX676+BX681</f>
        <v>119.80154635609149</v>
      </c>
      <c r="BY684" s="752">
        <f>BY676+BY681</f>
        <v>8.2523264120881556</v>
      </c>
      <c r="BZ684" s="752">
        <f>BZ676+BZ681</f>
        <v>-9.0535909864209287</v>
      </c>
      <c r="CA684" s="751">
        <f>CA676+CA681</f>
        <v>202.77128368615124</v>
      </c>
      <c r="CB684" s="65"/>
      <c r="CC684" s="752">
        <f>CC676+CC681</f>
        <v>-6.4471489841650396</v>
      </c>
      <c r="CD684" s="752">
        <f>CD676+CD681</f>
        <v>-96.31065412142506</v>
      </c>
      <c r="CE684" s="752">
        <f>CE676+CE681</f>
        <v>19.355020337880912</v>
      </c>
      <c r="CF684" s="752">
        <f>CF676+CF681</f>
        <v>-46.269833733048124</v>
      </c>
      <c r="CG684" s="751">
        <f>CG676+CG681</f>
        <v>-130.07046065851637</v>
      </c>
      <c r="CH684" s="65"/>
      <c r="CI684" s="752">
        <f>CI676+CI681</f>
        <v>74.290349311755932</v>
      </c>
      <c r="CJ684" s="752">
        <f>CJ676+CJ681</f>
        <v>-19.597493552285101</v>
      </c>
      <c r="CK684" s="752">
        <f>CK676+CK681</f>
        <v>78.314239132962769</v>
      </c>
      <c r="CL684" s="752">
        <f>CL676+CL681</f>
        <v>112.3862488002884</v>
      </c>
      <c r="CM684" s="751">
        <f>CM676+CM681</f>
        <v>216.37109631008462</v>
      </c>
      <c r="CN684" s="65"/>
      <c r="CO684" s="752">
        <f>CO676+CO681</f>
        <v>80.885484867109668</v>
      </c>
      <c r="CP684" s="752">
        <f>CP676+CP681</f>
        <v>168.03462810444321</v>
      </c>
      <c r="CQ684" s="752">
        <f>CQ676+CQ681</f>
        <v>71.653065423266113</v>
      </c>
      <c r="CR684" s="752">
        <f>CR676+CR681</f>
        <v>169.25331352750936</v>
      </c>
      <c r="CS684" s="751">
        <f>CS676+CS681</f>
        <v>467.30036487780762</v>
      </c>
      <c r="CT684" s="65"/>
      <c r="CU684" s="752">
        <f>CU676+CU681</f>
        <v>89.949811085790429</v>
      </c>
      <c r="CV684" s="752">
        <f>CV676+CV681</f>
        <v>129.14116395940451</v>
      </c>
      <c r="CW684" s="752">
        <f>CW676+CW681</f>
        <v>125.32719152251791</v>
      </c>
      <c r="CX684" s="752">
        <f>CX676+CX681</f>
        <v>-8.3120268358990259</v>
      </c>
      <c r="CY684" s="751">
        <f>CY676+CY681</f>
        <v>220.07411374260113</v>
      </c>
      <c r="CZ684" s="65"/>
      <c r="DA684" s="752">
        <f>DA676+DA681</f>
        <v>66.652323805512367</v>
      </c>
      <c r="DB684" s="752">
        <f>DB676+DB681</f>
        <v>-1.1146913720670213</v>
      </c>
      <c r="DC684" s="752">
        <f>DC676+DC681+DC679</f>
        <v>-23.060614428358754</v>
      </c>
      <c r="DD684" s="752">
        <f>DD676+DD681+DD679</f>
        <v>31.192011721336925</v>
      </c>
      <c r="DE684" s="1140">
        <f>DE676+DE681+DE679</f>
        <v>208.11115114975092</v>
      </c>
      <c r="DF684" s="65"/>
      <c r="DG684" s="752">
        <f>DG676+DG681+DG679</f>
        <v>4.7330729648708427</v>
      </c>
      <c r="DH684" s="752">
        <f>DH676+DH681+DH679</f>
        <v>40.286847399372697</v>
      </c>
      <c r="DI684" s="752">
        <f>DI676+DI681+DI679</f>
        <v>543.9469360816513</v>
      </c>
      <c r="DJ684" s="752">
        <f>DJ676+DJ681+DJ679</f>
        <v>175.61669475942335</v>
      </c>
      <c r="DK684" s="1140">
        <f>DK676+DK681+DK679</f>
        <v>683.54686904411915</v>
      </c>
      <c r="DL684" s="65"/>
      <c r="DM684" s="752">
        <f>DM676+DM681+DM679</f>
        <v>224.42383322912301</v>
      </c>
      <c r="DN684" s="752">
        <f>DN676+DN681+DN679</f>
        <v>68.251268916516452</v>
      </c>
      <c r="DO684" s="752">
        <f>DO676+DO681+DO679</f>
        <v>92.822568697986242</v>
      </c>
      <c r="DP684" s="752">
        <f>DP676+DP681+DP679</f>
        <v>113.7046092729438</v>
      </c>
      <c r="DQ684" s="1140">
        <f>DQ676+DQ681+DQ679</f>
        <v>340.04130083400207</v>
      </c>
      <c r="DR684" s="65"/>
      <c r="DS684" s="752">
        <f>DS676+DS681+DS679</f>
        <v>-4.0439078320052921</v>
      </c>
      <c r="DT684" s="752">
        <f>DT676+DT681+DT679</f>
        <v>84.260112605293685</v>
      </c>
      <c r="DU684" s="752">
        <f>DU676+DU681+DU679</f>
        <v>-194.73245353198939</v>
      </c>
      <c r="DV684" s="752">
        <f>DV676+DV681+DV679</f>
        <v>-104.19689524364816</v>
      </c>
      <c r="DW684" s="1140">
        <f>DW676+DW681+DW679</f>
        <v>83.094925625915849</v>
      </c>
      <c r="DX684" s="65"/>
      <c r="DY684" s="752">
        <f>DY676+DY681+DY679</f>
        <v>-42.051731490943197</v>
      </c>
      <c r="DZ684" s="752">
        <f>DZ676+DZ681+DZ679</f>
        <v>-202.21526321828878</v>
      </c>
      <c r="EA684" s="752">
        <f>EA676+EA681+EA679</f>
        <v>13.434183589834319</v>
      </c>
      <c r="EB684" s="752">
        <f>EB676+EB681+EB679</f>
        <v>353.54578829085011</v>
      </c>
      <c r="EC684" s="1140">
        <f>EC676+EC681+EC679</f>
        <v>-260.49449343480859</v>
      </c>
      <c r="ED684" s="65"/>
      <c r="EE684" s="752">
        <f>EE676+EE681+EE679</f>
        <v>-124.50955222621835</v>
      </c>
      <c r="EF684" s="752">
        <f>EF676+EF681+EF679</f>
        <v>-92.182574787948795</v>
      </c>
      <c r="EG684" s="752">
        <f>EG676+EG681+EG679</f>
        <v>-232.81499246181704</v>
      </c>
      <c r="EH684" s="752">
        <f>EH676+EH681+EH679</f>
        <v>-947.87877490945414</v>
      </c>
      <c r="EI684" s="1140">
        <f t="shared" si="193"/>
        <v>-1397.3858943854384</v>
      </c>
      <c r="EJ684" s="65"/>
      <c r="EK684" s="752">
        <f>EK676+EK681+EK679</f>
        <v>-315.50518459206552</v>
      </c>
      <c r="EL684" s="752">
        <f>EL676+EL681+EL679</f>
        <v>-511.83145581381507</v>
      </c>
      <c r="EM684" s="752">
        <f>EM676+EM681+EM679</f>
        <v>-337.37623029407428</v>
      </c>
      <c r="EN684" s="752">
        <f>EN676+EN681+EN679</f>
        <v>-262.5928391833304</v>
      </c>
      <c r="EO684" s="1140">
        <f t="shared" si="194"/>
        <v>-1427.3057098832853</v>
      </c>
      <c r="EP684" s="65"/>
      <c r="EQ684" s="752">
        <f>EQ676+EQ681+EQ679</f>
        <v>-65.356925617025212</v>
      </c>
      <c r="ER684" s="752">
        <f>ER676+ER681+ER679</f>
        <v>30.731355473357219</v>
      </c>
      <c r="ES684" s="752">
        <f>ES676+ES681+ES679</f>
        <v>61.56166216308992</v>
      </c>
      <c r="ET684" s="752">
        <f>ET676+ET681+ET679</f>
        <v>140.47807000036556</v>
      </c>
      <c r="EU684" s="1140">
        <f t="shared" si="195"/>
        <v>167.41416201978748</v>
      </c>
      <c r="EV684" s="65"/>
      <c r="EW684" s="752">
        <f>EW676+EW681+EW679</f>
        <v>359.81161601025985</v>
      </c>
      <c r="EX684" s="65"/>
      <c r="EY684" s="65"/>
      <c r="EZ684" s="65"/>
      <c r="FA684" s="748"/>
      <c r="FB684" s="65"/>
      <c r="FC684" s="65"/>
      <c r="FD684" s="65"/>
      <c r="FE684" s="65"/>
      <c r="FF684" s="65"/>
      <c r="FG684" s="748"/>
      <c r="FH684" s="65"/>
      <c r="FI684" s="65"/>
      <c r="FJ684" s="65"/>
      <c r="FK684" s="65"/>
      <c r="FL684" s="65"/>
      <c r="FM684" s="748"/>
      <c r="FQ684"/>
      <c r="FR684"/>
      <c r="FS684"/>
      <c r="FT684"/>
      <c r="FU684"/>
      <c r="FV684"/>
      <c r="GB684" s="24"/>
      <c r="GC684" s="24"/>
      <c r="GD684" s="24"/>
      <c r="GE684" s="24"/>
      <c r="GF684" s="24"/>
      <c r="GG684" s="24"/>
      <c r="GH684" s="24"/>
      <c r="GI684" s="24"/>
      <c r="GJ684"/>
      <c r="GK684"/>
      <c r="GL684"/>
      <c r="GM684"/>
      <c r="GN684"/>
      <c r="GO684"/>
      <c r="GP684"/>
      <c r="GQ684"/>
      <c r="GR684"/>
      <c r="GS684"/>
      <c r="GT684"/>
      <c r="GU684"/>
      <c r="GV684"/>
      <c r="GW684"/>
      <c r="GX684"/>
      <c r="GY684"/>
      <c r="GZ684"/>
      <c r="HA684"/>
      <c r="HB684"/>
      <c r="HC684"/>
      <c r="HD684"/>
      <c r="HE684"/>
      <c r="HF684"/>
      <c r="HG684"/>
      <c r="HH684"/>
      <c r="HI684"/>
      <c r="HJ684"/>
      <c r="HK684"/>
      <c r="HL684"/>
      <c r="HM684"/>
      <c r="HN684"/>
      <c r="HO684"/>
      <c r="HP684"/>
      <c r="HQ684"/>
      <c r="HR684"/>
      <c r="HS684"/>
      <c r="HT684"/>
      <c r="HU684"/>
      <c r="HV684"/>
      <c r="HW684"/>
      <c r="HX684"/>
      <c r="HY684"/>
      <c r="HZ684"/>
      <c r="IA684"/>
      <c r="IB684"/>
      <c r="IC684"/>
      <c r="ID684"/>
      <c r="IE684"/>
      <c r="IF684"/>
      <c r="IG684"/>
      <c r="IH684"/>
      <c r="II684"/>
      <c r="IJ684"/>
      <c r="IK684"/>
      <c r="IL684"/>
      <c r="IM684"/>
      <c r="IN684"/>
      <c r="IO684"/>
      <c r="IP684"/>
      <c r="IQ684"/>
      <c r="IR684"/>
      <c r="IS684"/>
      <c r="IT684"/>
      <c r="IU684"/>
      <c r="IV684"/>
      <c r="IW684"/>
      <c r="IX684"/>
      <c r="IY684"/>
      <c r="IZ684"/>
      <c r="JA684"/>
      <c r="JB684"/>
      <c r="JC684"/>
      <c r="JD684"/>
      <c r="JE684"/>
      <c r="JF684"/>
      <c r="JG684"/>
      <c r="JH684"/>
      <c r="JI684"/>
      <c r="JJ684"/>
      <c r="JK684"/>
      <c r="JL684"/>
      <c r="JM684"/>
      <c r="JN684"/>
    </row>
    <row r="685" spans="1:274" s="749" customFormat="1" ht="12.75" hidden="1" customHeight="1" outlineLevel="1" thickBot="1" x14ac:dyDescent="0.25">
      <c r="A685" s="771" t="s">
        <v>133</v>
      </c>
      <c r="B685" s="772"/>
      <c r="C685" s="117"/>
      <c r="D685" s="117"/>
      <c r="E685" s="117"/>
      <c r="F685" s="117"/>
      <c r="G685" s="117"/>
      <c r="H685" s="117"/>
      <c r="I685" s="117"/>
      <c r="J685" s="117"/>
      <c r="K685" s="117"/>
      <c r="L685" s="117"/>
      <c r="M685" s="117"/>
      <c r="N685" s="117"/>
      <c r="O685" s="117"/>
      <c r="P685" s="117"/>
      <c r="Q685" s="117"/>
      <c r="R685" s="117"/>
      <c r="S685" s="117"/>
      <c r="T685" s="117"/>
      <c r="U685" s="117"/>
      <c r="V685" s="117"/>
      <c r="W685" s="117"/>
      <c r="X685" s="117"/>
      <c r="Y685" s="117"/>
      <c r="Z685" s="117"/>
      <c r="AA685" s="117"/>
      <c r="AB685" s="117"/>
      <c r="AC685" s="117"/>
      <c r="AD685" s="117"/>
      <c r="AE685" s="117"/>
      <c r="AF685" s="117"/>
      <c r="AG685" s="117"/>
      <c r="AH685" s="117"/>
      <c r="AI685" s="117"/>
      <c r="AJ685" s="117"/>
      <c r="AK685" s="117"/>
      <c r="AL685" s="117"/>
      <c r="AM685" s="117"/>
      <c r="AN685" s="117"/>
      <c r="AO685" s="117"/>
      <c r="AP685" s="117"/>
      <c r="AQ685" s="117"/>
      <c r="AR685" s="117"/>
      <c r="AS685" s="117"/>
      <c r="AT685" s="117"/>
      <c r="AU685" s="117"/>
      <c r="AV685" s="117"/>
      <c r="AW685" s="117"/>
      <c r="AX685" s="117"/>
      <c r="AY685" s="117"/>
      <c r="AZ685" s="117"/>
      <c r="BA685" s="117"/>
      <c r="BB685" s="117"/>
      <c r="BC685" s="773"/>
      <c r="BD685" s="117"/>
      <c r="BE685" s="117"/>
      <c r="BF685" s="117"/>
      <c r="BG685" s="117"/>
      <c r="BH685" s="117"/>
      <c r="BI685" s="774">
        <f>BI683+BI684</f>
        <v>237.6128137943617</v>
      </c>
      <c r="BJ685" s="775"/>
      <c r="BK685" s="776">
        <f>BK683+BK684</f>
        <v>-87.693705960264907</v>
      </c>
      <c r="BL685" s="776">
        <f>BL683+BL684</f>
        <v>-1.0595222689077417</v>
      </c>
      <c r="BM685" s="776">
        <f>BM683+BM684</f>
        <v>-1.4111972487241289</v>
      </c>
      <c r="BN685" s="776">
        <f>BN683+BN684</f>
        <v>18.023539376464541</v>
      </c>
      <c r="BO685" s="774">
        <f>BO683+BO684</f>
        <v>-58.040114235501051</v>
      </c>
      <c r="BP685" s="775"/>
      <c r="BQ685" s="776">
        <f>BQ683+BQ684</f>
        <v>23.416173570019787</v>
      </c>
      <c r="BR685" s="776">
        <f>BR683+BR684</f>
        <v>56.00822867042011</v>
      </c>
      <c r="BS685" s="776">
        <f>BS683+BS684</f>
        <v>61.302557433896794</v>
      </c>
      <c r="BT685" s="776">
        <f>BT683+BT684</f>
        <v>25.64323560579291</v>
      </c>
      <c r="BU685" s="774">
        <f>BU683+BU684</f>
        <v>176.75567282321913</v>
      </c>
      <c r="BV685" s="117"/>
      <c r="BW685" s="776">
        <f>BW683+BW684</f>
        <v>84.986486486486342</v>
      </c>
      <c r="BX685" s="776">
        <f>BX683+BX684</f>
        <v>144.79639711769411</v>
      </c>
      <c r="BY685" s="776">
        <f>BY683+BY684</f>
        <v>35.229573535273182</v>
      </c>
      <c r="BZ685" s="776">
        <f>BZ683+BZ684</f>
        <v>12.114072148196229</v>
      </c>
      <c r="CA685" s="774">
        <f>CA683+CA684</f>
        <v>329.94769594328517</v>
      </c>
      <c r="CB685" s="117"/>
      <c r="CC685" s="776">
        <f>CC683+CC684</f>
        <v>46.219187358916599</v>
      </c>
      <c r="CD685" s="776">
        <f>CD683+CD684</f>
        <v>-60.514586357039043</v>
      </c>
      <c r="CE685" s="776">
        <f>CE683+CE684</f>
        <v>37.040737148399501</v>
      </c>
      <c r="CF685" s="776">
        <f>CF683+CF684</f>
        <v>-70.344821208384417</v>
      </c>
      <c r="CG685" s="774">
        <f>CG683+CG684</f>
        <v>-56.144950078389385</v>
      </c>
      <c r="CH685" s="117"/>
      <c r="CI685" s="776">
        <f>CI683+CI684</f>
        <v>30.919848641210891</v>
      </c>
      <c r="CJ685" s="776">
        <f>CJ683+CJ684</f>
        <v>-56.62345315262241</v>
      </c>
      <c r="CK685" s="776">
        <f>CK683+CK684</f>
        <v>13.922750424448225</v>
      </c>
      <c r="CL685" s="776">
        <f>CL683+CL684</f>
        <v>91.541794975688504</v>
      </c>
      <c r="CM685" s="774">
        <f>CM683+CM684</f>
        <v>65.982208381286853</v>
      </c>
      <c r="CN685" s="117"/>
      <c r="CO685" s="776">
        <f>CO683+CO684</f>
        <v>28.469816989893275</v>
      </c>
      <c r="CP685" s="776">
        <f>CP683+CP684</f>
        <v>135.06831119544594</v>
      </c>
      <c r="CQ685" s="776">
        <f>CQ683+CQ684</f>
        <v>100.29804450438272</v>
      </c>
      <c r="CR685" s="776">
        <f>CR683+CR684</f>
        <v>185.72849370962291</v>
      </c>
      <c r="CS685" s="774">
        <f>CS683+CS684</f>
        <v>445.5344903339199</v>
      </c>
      <c r="CT685" s="117"/>
      <c r="CU685" s="776">
        <f>CU683+CU684</f>
        <v>188.41236664489458</v>
      </c>
      <c r="CV685" s="776">
        <f>CV683+CV684</f>
        <v>261.68120805369119</v>
      </c>
      <c r="CW685" s="776">
        <f>CW683+CW684</f>
        <v>281.05175944889243</v>
      </c>
      <c r="CX685" s="776">
        <f>CX683+CX684</f>
        <v>164.21178409559107</v>
      </c>
      <c r="CY685" s="774">
        <f>CY683+CY684</f>
        <v>814.48374541111934</v>
      </c>
      <c r="CZ685" s="117"/>
      <c r="DA685" s="776">
        <f>DA683+DA684</f>
        <v>287.94430099594251</v>
      </c>
      <c r="DB685" s="776">
        <f>DB683+DB684</f>
        <v>162.12836293300492</v>
      </c>
      <c r="DC685" s="776">
        <f>DC683+DC684</f>
        <v>-116.96057412790668</v>
      </c>
      <c r="DD685" s="776">
        <f>DD683+DD684</f>
        <v>-503.44908456843939</v>
      </c>
      <c r="DE685" s="774">
        <f>DE683+DE684</f>
        <v>-12.912811236433299</v>
      </c>
      <c r="DF685" s="117"/>
      <c r="DG685" s="776">
        <f>DG683+DG684</f>
        <v>-527.02409638554218</v>
      </c>
      <c r="DH685" s="776">
        <f>DH683+DH684</f>
        <v>-520.66621253405935</v>
      </c>
      <c r="DI685" s="776">
        <f>DI683+DI684</f>
        <v>-37.04652960272108</v>
      </c>
      <c r="DJ685" s="776">
        <f>DJ683+DJ684</f>
        <v>285.30610591900279</v>
      </c>
      <c r="DK685" s="774">
        <f>DK683+DK684</f>
        <v>-778.47166531034986</v>
      </c>
      <c r="DL685" s="117"/>
      <c r="DM685" s="776">
        <f>DM683+DM684</f>
        <v>304.41512915129124</v>
      </c>
      <c r="DN685" s="776">
        <f>DN683+DN684</f>
        <v>173.95941727367278</v>
      </c>
      <c r="DO685" s="776">
        <f>DO683+DO684</f>
        <v>200.3100942432155</v>
      </c>
      <c r="DP685" s="776">
        <f>DP683+DP684</f>
        <v>204.19877845641383</v>
      </c>
      <c r="DQ685" s="774">
        <f>DQ683+DQ684</f>
        <v>551.04100418409882</v>
      </c>
      <c r="DR685" s="117"/>
      <c r="DS685" s="776">
        <f>DS683+DS684</f>
        <v>103.25410812098107</v>
      </c>
      <c r="DT685" s="776">
        <f>DT683+DT684</f>
        <v>208.3321983883782</v>
      </c>
      <c r="DU685" s="776">
        <f>DU683+DU684</f>
        <v>15.690355329949398</v>
      </c>
      <c r="DV685" s="776">
        <f>DV683+DV684</f>
        <v>55.462831050228203</v>
      </c>
      <c r="DW685" s="774">
        <f>DW683+DW684</f>
        <v>735.76384090438171</v>
      </c>
      <c r="DX685" s="117"/>
      <c r="DY685" s="776">
        <f>DY683+DY684</f>
        <v>76.801071994153091</v>
      </c>
      <c r="DZ685" s="776">
        <f>DZ683+DZ684</f>
        <v>-105.69274662569936</v>
      </c>
      <c r="EA685" s="776">
        <f>EA683+EA684</f>
        <v>27.307692307692321</v>
      </c>
      <c r="EB685" s="776">
        <f>EB683+EB684</f>
        <v>222.06313292582814</v>
      </c>
      <c r="EC685" s="774">
        <f>EC683+EC684</f>
        <v>121.47695487611492</v>
      </c>
      <c r="ED685" s="117"/>
      <c r="EE685" s="776">
        <f>EE683+EE684</f>
        <v>-66.509129269660207</v>
      </c>
      <c r="EF685" s="776">
        <f>EF683+EF684</f>
        <v>-55.875730267365689</v>
      </c>
      <c r="EG685" s="776">
        <f>EG683+EG684</f>
        <v>-210.19469881170443</v>
      </c>
      <c r="EH685" s="776">
        <f>EH683+EH684</f>
        <v>-703.06339742693092</v>
      </c>
      <c r="EI685" s="774">
        <f t="shared" si="193"/>
        <v>-1035.6429557756612</v>
      </c>
      <c r="EJ685" s="117"/>
      <c r="EK685" s="776">
        <f>EK683+EK684</f>
        <v>-281.36239972096291</v>
      </c>
      <c r="EL685" s="776">
        <f>EL683+EL684</f>
        <v>-388.78054110301787</v>
      </c>
      <c r="EM685" s="776">
        <f>EM683+EM684</f>
        <v>-239.33508302088927</v>
      </c>
      <c r="EN685" s="776">
        <f>EN683+EN684</f>
        <v>-161.2177613998777</v>
      </c>
      <c r="EO685" s="774">
        <f t="shared" si="194"/>
        <v>-1070.6957852447476</v>
      </c>
      <c r="EP685" s="117"/>
      <c r="EQ685" s="776">
        <f>EQ683+EQ684</f>
        <v>-137.57507987220447</v>
      </c>
      <c r="ER685" s="776">
        <f>ER683+ER684</f>
        <v>52.784150272312843</v>
      </c>
      <c r="ES685" s="776">
        <f>ES683+ES684</f>
        <v>10.729309962281079</v>
      </c>
      <c r="ET685" s="776">
        <f>ET683+ET684</f>
        <v>74.49298746303333</v>
      </c>
      <c r="EU685" s="774">
        <f t="shared" si="195"/>
        <v>0.4313678254227824</v>
      </c>
      <c r="EV685" s="117"/>
      <c r="EW685" s="776">
        <f>EW683+EW684</f>
        <v>145.40438871473359</v>
      </c>
      <c r="EX685" s="117"/>
      <c r="EY685" s="117"/>
      <c r="EZ685" s="117"/>
      <c r="FA685" s="773"/>
      <c r="FB685" s="117"/>
      <c r="FC685" s="117"/>
      <c r="FD685" s="117"/>
      <c r="FE685" s="117"/>
      <c r="FF685" s="117"/>
      <c r="FG685" s="773"/>
      <c r="FH685" s="117"/>
      <c r="FI685" s="117"/>
      <c r="FJ685" s="117"/>
      <c r="FK685" s="117"/>
      <c r="FL685" s="117"/>
      <c r="FM685" s="773"/>
      <c r="FQ685"/>
      <c r="FR685"/>
      <c r="FS685"/>
      <c r="FT685"/>
      <c r="FU685"/>
      <c r="FV685"/>
      <c r="GB685" s="24"/>
      <c r="GC685" s="24"/>
      <c r="GD685" s="24"/>
      <c r="GE685" s="24"/>
      <c r="GF685" s="24"/>
      <c r="GG685" s="24"/>
      <c r="GH685" s="24"/>
      <c r="GI685" s="24"/>
      <c r="GJ685"/>
      <c r="GK685"/>
      <c r="GL685"/>
      <c r="GM685"/>
      <c r="GN685"/>
      <c r="GO685"/>
      <c r="GP685"/>
      <c r="GQ685"/>
      <c r="GR685"/>
      <c r="GS685"/>
      <c r="GT685"/>
      <c r="GU685"/>
      <c r="GV685"/>
      <c r="GW685"/>
      <c r="GX685"/>
      <c r="GY685"/>
      <c r="GZ685"/>
      <c r="HA685"/>
      <c r="HB685"/>
      <c r="HC685"/>
      <c r="HD685"/>
      <c r="HE685"/>
      <c r="HF685"/>
      <c r="HG685"/>
      <c r="HH685"/>
      <c r="HI685"/>
      <c r="HJ685"/>
      <c r="HK685"/>
      <c r="HL685"/>
      <c r="HM685"/>
      <c r="HN685"/>
      <c r="HO685"/>
      <c r="HP685"/>
      <c r="HQ685"/>
      <c r="HR685"/>
      <c r="HS685"/>
      <c r="HT685"/>
      <c r="HU685"/>
      <c r="HV685"/>
      <c r="HW685"/>
      <c r="HX685"/>
      <c r="HY685"/>
      <c r="HZ685"/>
      <c r="IA685"/>
      <c r="IB685"/>
      <c r="IC685"/>
      <c r="ID685"/>
      <c r="IE685"/>
      <c r="IF685"/>
      <c r="IG685"/>
      <c r="IH685"/>
      <c r="II685"/>
      <c r="IJ685"/>
      <c r="IK685"/>
      <c r="IL685"/>
      <c r="IM685"/>
      <c r="IN685"/>
      <c r="IO685"/>
      <c r="IP685"/>
      <c r="IQ685"/>
      <c r="IR685"/>
      <c r="IS685"/>
      <c r="IT685"/>
      <c r="IU685"/>
      <c r="IV685"/>
      <c r="IW685"/>
      <c r="IX685"/>
      <c r="IY685"/>
      <c r="IZ685"/>
      <c r="JA685"/>
      <c r="JB685"/>
      <c r="JC685"/>
      <c r="JD685"/>
      <c r="JE685"/>
      <c r="JF685"/>
      <c r="JG685"/>
      <c r="JH685"/>
      <c r="JI685"/>
      <c r="JJ685"/>
      <c r="JK685"/>
      <c r="JL685"/>
      <c r="JM685"/>
      <c r="JN685"/>
    </row>
    <row r="686" spans="1:274" s="679" customFormat="1" ht="12.75" customHeight="1" collapsed="1" x14ac:dyDescent="0.2">
      <c r="A686" s="1087" t="s">
        <v>799</v>
      </c>
      <c r="B686" s="1088"/>
      <c r="CU686" s="1089">
        <f>CU685-CU622</f>
        <v>2.5579538487363607E-13</v>
      </c>
      <c r="CV686" s="1089">
        <f>CV685-CV622</f>
        <v>0</v>
      </c>
      <c r="CW686" s="1089">
        <f>CW685-CW622</f>
        <v>0</v>
      </c>
      <c r="CX686" s="1089">
        <f>CX685-CX622</f>
        <v>-3.694822225952521E-13</v>
      </c>
      <c r="DA686" s="1089">
        <f>DA685-DA622</f>
        <v>0</v>
      </c>
      <c r="DB686" s="1089">
        <f>DB685-DB622</f>
        <v>-3.4106051316484809E-13</v>
      </c>
      <c r="DC686" s="1089">
        <f>DC685-DC622</f>
        <v>1.5631940186722204E-13</v>
      </c>
      <c r="DD686" s="1089">
        <f>DD685-DD622</f>
        <v>0</v>
      </c>
      <c r="DE686" s="1089">
        <f>DE685-DE622</f>
        <v>-2.6112445539183682E-13</v>
      </c>
      <c r="DG686" s="1089">
        <f>DG685-DG622</f>
        <v>0</v>
      </c>
      <c r="DH686" s="1089">
        <f>DH685-DH622</f>
        <v>0</v>
      </c>
      <c r="DI686" s="1089">
        <f>DI685-DI622</f>
        <v>-4.4053649617126212E-13</v>
      </c>
      <c r="DJ686" s="1089">
        <f>DJ685-DJ622</f>
        <v>0</v>
      </c>
      <c r="DK686" s="1089">
        <f>DK685-DK622</f>
        <v>0</v>
      </c>
      <c r="DM686" s="1089">
        <f>DM685-DM622</f>
        <v>0</v>
      </c>
      <c r="DN686" s="1089">
        <f>DN685-DN622</f>
        <v>-5.6843418860808015E-13</v>
      </c>
      <c r="DO686" s="1089">
        <f>DO685-DO622</f>
        <v>0</v>
      </c>
      <c r="DP686" s="1089">
        <f>DP685-DP622</f>
        <v>9.9475983006414026E-13</v>
      </c>
      <c r="DQ686" s="1089">
        <f>DQ685-DQ622</f>
        <v>-175.13966527196669</v>
      </c>
      <c r="DS686" s="1089">
        <f>DS685-DS622</f>
        <v>-2.1316282072803006E-13</v>
      </c>
      <c r="DT686" s="1089">
        <f>DT685-DT622</f>
        <v>0</v>
      </c>
      <c r="DU686" s="1089">
        <f>DU685-DU622</f>
        <v>-3.730349362740526E-14</v>
      </c>
      <c r="DV686" s="1089">
        <f>DV685-DV622</f>
        <v>-6.0396132539608516E-13</v>
      </c>
      <c r="DW686" s="1089">
        <f>DW685-DW622</f>
        <v>350.45834132081239</v>
      </c>
      <c r="DY686" s="1089">
        <f>DY685-DY622</f>
        <v>4.5474735088646412E-13</v>
      </c>
      <c r="DZ686" s="1089">
        <f>DZ685-DZ622</f>
        <v>0</v>
      </c>
      <c r="EA686" s="1089">
        <f>EA685-EA622</f>
        <v>2.0961010704922955E-13</v>
      </c>
      <c r="EB686" s="1089">
        <f>EB685-EB622</f>
        <v>1.1368683772161603E-12</v>
      </c>
      <c r="EC686" s="1089">
        <f>EC685-EC622</f>
        <v>-2.0910262260781849</v>
      </c>
      <c r="EE686" s="1089">
        <f>EE685-EE622</f>
        <v>-48.308437228137585</v>
      </c>
      <c r="EF686" s="1089">
        <f>EF685-EF622</f>
        <v>-53.307487242481237</v>
      </c>
      <c r="EG686" s="1089">
        <f>EG685-EG622</f>
        <v>-41.820571060765388</v>
      </c>
      <c r="EH686" s="1089">
        <f>EH685-EH622</f>
        <v>-30.422134590641576</v>
      </c>
      <c r="EI686" s="1089">
        <f>EI685-EI622</f>
        <v>-344.69986592028636</v>
      </c>
      <c r="EK686" s="1089">
        <f>EK685-EK622</f>
        <v>0</v>
      </c>
      <c r="EL686" s="1089">
        <f>EL685-EL622</f>
        <v>-4.5474735088646412E-13</v>
      </c>
      <c r="EM686" s="1089">
        <f>EM685-EM622</f>
        <v>0</v>
      </c>
      <c r="EN686" s="1089">
        <f>EN685-EN622</f>
        <v>-5.2375615306334282</v>
      </c>
      <c r="EO686" s="1089">
        <f>EO685-EO622</f>
        <v>-5.5282689715127162</v>
      </c>
      <c r="EQ686" s="1089">
        <f>EQ685-EQ622</f>
        <v>0</v>
      </c>
      <c r="ER686" s="1089">
        <f>ER685-ER622</f>
        <v>3.0553337637684308E-13</v>
      </c>
      <c r="ES686" s="1089">
        <f>ES685-ES622</f>
        <v>5.1514348342607263E-13</v>
      </c>
      <c r="ET686" s="1089">
        <f>ET685-ET622</f>
        <v>-20.447078605866935</v>
      </c>
      <c r="EU686" s="1089">
        <f>EU685-EU622</f>
        <v>-24.905761461891078</v>
      </c>
      <c r="EW686" s="1089">
        <f>EW685-EW622</f>
        <v>3.1263880373444408E-13</v>
      </c>
      <c r="FQ686"/>
      <c r="FR686"/>
      <c r="FS686"/>
      <c r="FT686"/>
      <c r="FU686"/>
      <c r="FV686"/>
      <c r="GB686" s="80"/>
      <c r="GC686" s="80"/>
      <c r="GD686" s="80"/>
      <c r="GE686" s="80"/>
      <c r="GF686" s="80"/>
      <c r="GG686" s="80"/>
      <c r="GH686" s="80"/>
      <c r="GI686" s="80"/>
      <c r="GJ686"/>
      <c r="GK686"/>
      <c r="GL686"/>
      <c r="GM686"/>
      <c r="GN686"/>
      <c r="GO686"/>
      <c r="GP686"/>
      <c r="GQ686"/>
      <c r="GR686"/>
      <c r="GS686"/>
      <c r="GT686"/>
      <c r="GU686"/>
      <c r="GV686"/>
      <c r="GW686"/>
      <c r="GX686"/>
      <c r="GY686"/>
      <c r="GZ686"/>
      <c r="HA686"/>
      <c r="HB686"/>
      <c r="HC686"/>
      <c r="HD686"/>
      <c r="HE686"/>
      <c r="HF686"/>
      <c r="HG686"/>
      <c r="HH686"/>
      <c r="HI686"/>
      <c r="HJ686"/>
      <c r="HK686"/>
      <c r="HL686"/>
      <c r="HM686"/>
      <c r="HN686"/>
      <c r="HO686"/>
      <c r="HP686"/>
      <c r="HQ686"/>
      <c r="HR686"/>
      <c r="HS686"/>
      <c r="HT686"/>
      <c r="HU686"/>
      <c r="HV686"/>
      <c r="HW686"/>
      <c r="HX686"/>
      <c r="HY686"/>
      <c r="HZ686"/>
      <c r="IA686"/>
      <c r="IB686"/>
      <c r="IC686"/>
      <c r="ID686"/>
      <c r="IE686"/>
      <c r="IF686"/>
      <c r="IG686"/>
      <c r="IH686"/>
      <c r="II686"/>
      <c r="IJ686"/>
      <c r="IK686"/>
      <c r="IL686"/>
      <c r="IM686"/>
      <c r="IN686"/>
      <c r="IO686"/>
      <c r="IP686"/>
      <c r="IQ686"/>
      <c r="IR686"/>
      <c r="IS686"/>
      <c r="IT686"/>
      <c r="IU686"/>
      <c r="IV686"/>
      <c r="IW686"/>
      <c r="IX686"/>
      <c r="IY686"/>
      <c r="IZ686"/>
      <c r="JA686"/>
      <c r="JB686"/>
      <c r="JC686"/>
      <c r="JD686"/>
      <c r="JE686"/>
      <c r="JF686"/>
      <c r="JG686"/>
      <c r="JH686"/>
      <c r="JI686"/>
      <c r="JJ686"/>
      <c r="JK686"/>
      <c r="JL686"/>
      <c r="JM686"/>
      <c r="JN686"/>
    </row>
    <row r="687" spans="1:274" s="679" customFormat="1" ht="12.75" customHeight="1" x14ac:dyDescent="0.2">
      <c r="A687" s="1087"/>
      <c r="B687" s="1088"/>
      <c r="CU687" s="1089"/>
      <c r="CV687" s="1089"/>
      <c r="CW687" s="1089"/>
      <c r="CX687" s="1089"/>
      <c r="DA687" s="1089"/>
      <c r="DB687" s="1089"/>
      <c r="DC687" s="81">
        <f>DC678/DC$604</f>
        <v>-2.8419949841282394E-2</v>
      </c>
      <c r="DD687" s="81">
        <f>DD678/DD$604</f>
        <v>-5.9938382760209706E-2</v>
      </c>
      <c r="DG687" s="81">
        <f>DG678/DG$604</f>
        <v>-6.0807806873249458E-2</v>
      </c>
      <c r="DH687" s="81">
        <f>DH678/DH$604</f>
        <v>-5.7226379197418666E-2</v>
      </c>
      <c r="DI687" s="81">
        <f>DI678/DI$604</f>
        <v>-5.0968952103576021E-2</v>
      </c>
      <c r="DJ687" s="81">
        <f>DJ678/DJ$604</f>
        <v>7.9272230483407348E-3</v>
      </c>
      <c r="DK687" s="81">
        <f>DK678/DK$604</f>
        <v>-3.1397169136906114E-2</v>
      </c>
      <c r="DM687" s="81">
        <f>DM678/DM$604</f>
        <v>6.5247220381274311E-3</v>
      </c>
      <c r="DN687" s="81">
        <f>DN678/DN$604</f>
        <v>6.7160410597209182E-3</v>
      </c>
      <c r="DO687" s="81">
        <f>DO678/DO$604</f>
        <v>7.0224705319202052E-3</v>
      </c>
      <c r="DP687" s="81">
        <f>DP678/DP$604</f>
        <v>6.0794046505769066E-3</v>
      </c>
      <c r="DQ687" s="81">
        <f>DQ678/DQ$604</f>
        <v>6.5159642324222463E-3</v>
      </c>
      <c r="DS687" s="81">
        <f>DS678/DS$604</f>
        <v>8.9730751345689867E-3</v>
      </c>
      <c r="DT687" s="81">
        <f>DT678/DT$604</f>
        <v>1.1033508129327796E-2</v>
      </c>
      <c r="DU687" s="81">
        <f>DU678/DU$604</f>
        <v>8.7864081276180193E-3</v>
      </c>
      <c r="DV687" s="81">
        <f>DV678/DV$604</f>
        <v>4.7655076380201042E-3</v>
      </c>
      <c r="DW687" s="81">
        <f>DW678/DW$604</f>
        <v>8.324618656525444E-3</v>
      </c>
      <c r="DY687" s="81">
        <f>DY678/DY$604</f>
        <v>6.0553969375993838E-3</v>
      </c>
      <c r="DZ687" s="81">
        <f>DZ678/DZ$604</f>
        <v>1.543273671255506E-3</v>
      </c>
      <c r="EA687" s="81">
        <f>EA678/EA$604</f>
        <v>-1.3827835205474524E-3</v>
      </c>
      <c r="EB687" s="81">
        <f>EB678/EB$604</f>
        <v>1.7044474251007328E-3</v>
      </c>
      <c r="EC687" s="81">
        <f>EC678/EC$604</f>
        <v>1.5660693927629526E-3</v>
      </c>
      <c r="EE687" s="81">
        <f>EE678/EE$604</f>
        <v>3.4658471375111129E-3</v>
      </c>
      <c r="EF687" s="81">
        <f>EF678/EF$604</f>
        <v>9.8044915386706621E-4</v>
      </c>
      <c r="EG687" s="81">
        <f>EG678/EG$604</f>
        <v>7.3431215278564014E-4</v>
      </c>
      <c r="EH687" s="81">
        <f>EH678/EH$604</f>
        <v>-1.8178946183230898E-3</v>
      </c>
      <c r="EI687" s="81">
        <f>EI678/EI$604</f>
        <v>6.9595780373471938E-4</v>
      </c>
      <c r="EK687" s="81">
        <f>EK678/EK$604</f>
        <v>4.380881867423443E-4</v>
      </c>
      <c r="EL687" s="81">
        <f>EL678/EL$604</f>
        <v>3.3049895336539651E-3</v>
      </c>
      <c r="EM687" s="81">
        <f>EM678/EM$604</f>
        <v>3.1295827440086248E-3</v>
      </c>
      <c r="EN687" s="81">
        <f>EN678/EN$604</f>
        <v>1.9173737019594348E-3</v>
      </c>
      <c r="EO687" s="81">
        <f>EO678/EO$604</f>
        <v>2.2117793487653678E-3</v>
      </c>
      <c r="EQ687" s="81">
        <f>EQ678/EQ$604</f>
        <v>3.5513974187206098E-3</v>
      </c>
      <c r="ER687" s="81">
        <f>ER678/ER$604</f>
        <v>3.1367641622582791E-3</v>
      </c>
      <c r="ES687" s="81">
        <f>ES678/ES$604</f>
        <v>3.490870491109673E-3</v>
      </c>
      <c r="ET687" s="81">
        <f>ET678/ET$604</f>
        <v>4.1438484352021359E-3</v>
      </c>
      <c r="EU687" s="81">
        <f>EU678/EU$604</f>
        <v>3.6084054838295492E-3</v>
      </c>
      <c r="EW687" s="81">
        <f>EW678/EW$604</f>
        <v>2.3842309969409137E-3</v>
      </c>
      <c r="FQ687"/>
      <c r="FR687"/>
      <c r="FS687"/>
      <c r="FT687"/>
      <c r="FU687"/>
      <c r="FV687"/>
      <c r="GB687" s="80"/>
      <c r="GC687" s="80"/>
      <c r="GD687" s="80"/>
      <c r="GE687" s="80"/>
      <c r="GF687" s="80"/>
      <c r="GG687" s="80"/>
      <c r="GH687" s="80"/>
      <c r="GI687" s="80"/>
      <c r="GJ687"/>
      <c r="GK687"/>
      <c r="GL687"/>
      <c r="GM687"/>
      <c r="GN687"/>
      <c r="GO687"/>
      <c r="GP687"/>
      <c r="GQ687"/>
      <c r="GR687"/>
      <c r="GS687"/>
      <c r="GT687"/>
      <c r="GU687"/>
      <c r="GV687"/>
      <c r="GW687"/>
      <c r="GX687"/>
      <c r="GY687"/>
      <c r="GZ687"/>
      <c r="HA687"/>
      <c r="HB687"/>
      <c r="HC687"/>
      <c r="HD687"/>
      <c r="HE687"/>
      <c r="HF687"/>
      <c r="HG687"/>
      <c r="HH687"/>
      <c r="HI687"/>
      <c r="HJ687"/>
      <c r="HK687"/>
      <c r="HL687"/>
      <c r="HM687"/>
      <c r="HN687"/>
      <c r="HO687"/>
      <c r="HP687"/>
      <c r="HQ687"/>
      <c r="HR687"/>
      <c r="HS687"/>
      <c r="HT687"/>
      <c r="HU687"/>
      <c r="HV687"/>
      <c r="HW687"/>
      <c r="HX687"/>
      <c r="HY687"/>
      <c r="HZ687"/>
      <c r="IA687"/>
      <c r="IB687"/>
      <c r="IC687"/>
      <c r="ID687"/>
      <c r="IE687"/>
      <c r="IF687"/>
      <c r="IG687"/>
      <c r="IH687"/>
      <c r="II687"/>
      <c r="IJ687"/>
      <c r="IK687"/>
      <c r="IL687"/>
      <c r="IM687"/>
      <c r="IN687"/>
      <c r="IO687"/>
      <c r="IP687"/>
      <c r="IQ687"/>
      <c r="IR687"/>
      <c r="IS687"/>
      <c r="IT687"/>
      <c r="IU687"/>
      <c r="IV687"/>
      <c r="IW687"/>
      <c r="IX687"/>
      <c r="IY687"/>
      <c r="IZ687"/>
      <c r="JA687"/>
      <c r="JB687"/>
      <c r="JC687"/>
      <c r="JD687"/>
      <c r="JE687"/>
      <c r="JF687"/>
      <c r="JG687"/>
      <c r="JH687"/>
      <c r="JI687"/>
      <c r="JJ687"/>
      <c r="JK687"/>
      <c r="JL687"/>
      <c r="JM687"/>
      <c r="JN687"/>
    </row>
    <row r="688" spans="1:274" s="1047" customFormat="1" ht="12.75" customHeight="1" x14ac:dyDescent="0.2">
      <c r="A688" s="18" t="s">
        <v>107</v>
      </c>
      <c r="B688" s="1046"/>
      <c r="CI688" s="81">
        <f t="shared" ref="CI688:CJ690" si="196">CI683/CI$604</f>
        <v>-1.1846626787911783E-2</v>
      </c>
      <c r="CJ688" s="81">
        <f t="shared" si="196"/>
        <v>-8.7822484820534417E-3</v>
      </c>
      <c r="CK688" s="81">
        <f t="shared" ref="CK688:CL690" si="197">CK683/CK$604</f>
        <v>-1.4473249878290524E-2</v>
      </c>
      <c r="CL688" s="81">
        <f t="shared" si="197"/>
        <v>-3.5437697763685632E-3</v>
      </c>
      <c r="CO688" s="81">
        <f t="shared" ref="CO688:CP690" si="198">CO683/CO$604</f>
        <v>-1.1412076611629957E-2</v>
      </c>
      <c r="CP688" s="81">
        <f t="shared" si="198"/>
        <v>-6.1458458070464701E-3</v>
      </c>
      <c r="CQ688" s="1048">
        <f t="shared" ref="CQ688:CR690" si="199">CQ683/CQ$604</f>
        <v>5.3332673768602861E-3</v>
      </c>
      <c r="CR688" s="81">
        <f t="shared" si="199"/>
        <v>2.2627633816939344E-3</v>
      </c>
      <c r="CU688" s="81">
        <f t="shared" ref="CU688:CV690" si="200">CU683/CU$604</f>
        <v>1.8159822124512011E-2</v>
      </c>
      <c r="CV688" s="81">
        <f t="shared" si="200"/>
        <v>2.330579287749018E-2</v>
      </c>
      <c r="CW688" s="81">
        <f t="shared" ref="CW688:CY690" si="201">CW683/CW$604</f>
        <v>2.8292981091274438E-2</v>
      </c>
      <c r="CX688" s="81">
        <f t="shared" si="201"/>
        <v>2.5068847854038085E-2</v>
      </c>
      <c r="CY688" s="1048">
        <f t="shared" si="201"/>
        <v>2.5299409732646015E-2</v>
      </c>
      <c r="DA688" s="81">
        <f t="shared" ref="DA688:DB690" si="202">DA683/DA$604</f>
        <v>4.3707678686634437E-2</v>
      </c>
      <c r="DB688" s="81">
        <f t="shared" si="202"/>
        <v>2.7800247667757485E-2</v>
      </c>
      <c r="DC688" s="81">
        <f t="shared" ref="DC688:DG690" si="203">DC683/DC$604</f>
        <v>-1.4515374818294626E-2</v>
      </c>
      <c r="DD688" s="81">
        <f t="shared" si="203"/>
        <v>-5.551828621908373E-2</v>
      </c>
      <c r="DE688" s="1048">
        <f t="shared" si="203"/>
        <v>-8.1757772577563149E-3</v>
      </c>
      <c r="DG688" s="81">
        <f t="shared" si="203"/>
        <v>-7.0078699176385484E-2</v>
      </c>
      <c r="DH688" s="81">
        <f t="shared" ref="DH688:DK690" si="204">DH683/DH$604</f>
        <v>-6.4857562716317735E-2</v>
      </c>
      <c r="DI688" s="81">
        <f t="shared" si="204"/>
        <v>-6.5969508991072151E-2</v>
      </c>
      <c r="DJ688" s="81">
        <f t="shared" si="204"/>
        <v>1.0150787632757678E-2</v>
      </c>
      <c r="DK688" s="1048">
        <f t="shared" si="204"/>
        <v>-4.0781549075438468E-2</v>
      </c>
      <c r="DM688" s="1048">
        <f t="shared" ref="DM688:DQ690" si="205">DM683/DM$604</f>
        <v>9.525041191017887E-3</v>
      </c>
      <c r="DN688" s="81">
        <f t="shared" si="205"/>
        <v>1.1997292969828207E-2</v>
      </c>
      <c r="DO688" s="81">
        <f t="shared" si="205"/>
        <v>1.1861346893095261E-2</v>
      </c>
      <c r="DP688" s="81">
        <f t="shared" si="205"/>
        <v>8.2643076879881303E-3</v>
      </c>
      <c r="DQ688" s="1048">
        <f t="shared" si="205"/>
        <v>5.6688348875660721E-3</v>
      </c>
      <c r="DS688" s="1048">
        <f t="shared" ref="DS688:DT690" si="206">DS683/DS$604</f>
        <v>1.307077792093877E-2</v>
      </c>
      <c r="DT688" s="81">
        <f t="shared" si="206"/>
        <v>1.3614845361909857E-2</v>
      </c>
      <c r="DU688" s="81">
        <f t="shared" ref="DU688:DW690" si="207">DU683/DU$604</f>
        <v>2.3458507119502651E-2</v>
      </c>
      <c r="DV688" s="81">
        <f t="shared" si="207"/>
        <v>1.4566164245404285E-2</v>
      </c>
      <c r="DW688" s="1048">
        <f t="shared" si="207"/>
        <v>1.7519902163006092E-2</v>
      </c>
      <c r="DY688" s="1048">
        <f t="shared" ref="DY688:EC690" si="208">DY683/DY$604</f>
        <v>1.4181219840722622E-2</v>
      </c>
      <c r="DZ688" s="81">
        <f t="shared" si="208"/>
        <v>1.039777190483566E-2</v>
      </c>
      <c r="EA688" s="81">
        <f t="shared" si="208"/>
        <v>1.4893729165709076E-3</v>
      </c>
      <c r="EB688" s="81">
        <f t="shared" si="208"/>
        <v>-1.1158673968006617E-2</v>
      </c>
      <c r="EC688" s="1048">
        <f t="shared" si="208"/>
        <v>9.9715827366711092E-3</v>
      </c>
      <c r="EE688" s="81">
        <f t="shared" ref="EE688:EI690" si="209">EE683/EE$604</f>
        <v>6.7434511052852156E-3</v>
      </c>
      <c r="EF688" s="81">
        <f t="shared" si="209"/>
        <v>3.7780275255549539E-3</v>
      </c>
      <c r="EG688" s="81">
        <f t="shared" si="209"/>
        <v>2.4231701821224019E-3</v>
      </c>
      <c r="EH688" s="81">
        <f t="shared" si="209"/>
        <v>2.2864983420428062E-2</v>
      </c>
      <c r="EI688" s="1048">
        <f t="shared" si="209"/>
        <v>9.4565900350241042E-3</v>
      </c>
      <c r="EK688" s="1048">
        <f t="shared" ref="EK688:EO690" si="210">EK683/EK$604</f>
        <v>4.0400881399955783E-3</v>
      </c>
      <c r="EL688" s="81">
        <f t="shared" si="210"/>
        <v>1.3676882817694472E-2</v>
      </c>
      <c r="EM688" s="81">
        <f t="shared" si="210"/>
        <v>1.0876541743197804E-2</v>
      </c>
      <c r="EN688" s="81">
        <f t="shared" si="210"/>
        <v>9.5681998851772261E-3</v>
      </c>
      <c r="EO688" s="1048">
        <f t="shared" si="210"/>
        <v>9.6232810167724715E-3</v>
      </c>
      <c r="EQ688" s="1048">
        <f t="shared" ref="EQ688:EU690" si="211">EQ683/EQ$604</f>
        <v>-8.3847851219295572E-3</v>
      </c>
      <c r="ER688" s="81">
        <f t="shared" si="211"/>
        <v>2.4313996470733874E-3</v>
      </c>
      <c r="ES688" s="81">
        <f t="shared" si="211"/>
        <v>-5.4811680182023769E-3</v>
      </c>
      <c r="ET688" s="81">
        <f t="shared" si="211"/>
        <v>-6.030440736367413E-3</v>
      </c>
      <c r="EU688" s="1048">
        <f t="shared" si="211"/>
        <v>-4.4059947279443974E-3</v>
      </c>
      <c r="EW688" s="1048">
        <f>EW683/EW$604</f>
        <v>-2.3274774999514358E-2</v>
      </c>
      <c r="EX688" s="1048"/>
      <c r="FQ688"/>
      <c r="FR688"/>
      <c r="FS688"/>
      <c r="FT688"/>
      <c r="FU688"/>
      <c r="FV688"/>
      <c r="GB688" s="856"/>
      <c r="GC688" s="856"/>
      <c r="GD688" s="856"/>
      <c r="GE688" s="856"/>
      <c r="GF688" s="856"/>
      <c r="GG688" s="856"/>
      <c r="GH688" s="856"/>
      <c r="GI688" s="856"/>
      <c r="GJ688"/>
      <c r="GK688"/>
      <c r="GL688"/>
      <c r="GM688"/>
      <c r="GN688"/>
      <c r="GO688"/>
      <c r="GP688"/>
      <c r="GQ688"/>
      <c r="GR688"/>
      <c r="GS688"/>
      <c r="GT688"/>
      <c r="GU688"/>
      <c r="GV688"/>
      <c r="GW688"/>
      <c r="GX688"/>
      <c r="GY688"/>
      <c r="GZ688"/>
      <c r="HA688"/>
      <c r="HB688"/>
      <c r="HC688"/>
      <c r="HD688"/>
      <c r="HE688"/>
      <c r="HF688"/>
      <c r="HG688"/>
      <c r="HH688"/>
      <c r="HI688"/>
      <c r="HJ688"/>
      <c r="HK688"/>
      <c r="HL688"/>
      <c r="HM688"/>
      <c r="HN688"/>
      <c r="HO688"/>
      <c r="HP688"/>
      <c r="HQ688"/>
      <c r="HR688"/>
      <c r="HS688"/>
      <c r="HT688"/>
      <c r="HU688"/>
      <c r="HV688"/>
      <c r="HW688"/>
      <c r="HX688"/>
      <c r="HY688"/>
      <c r="HZ688"/>
      <c r="IA688"/>
      <c r="IB688"/>
      <c r="IC688"/>
      <c r="ID688"/>
      <c r="IE688"/>
      <c r="IF688"/>
      <c r="IG688"/>
      <c r="IH688"/>
      <c r="II688"/>
      <c r="IJ688"/>
      <c r="IK688"/>
      <c r="IL688"/>
      <c r="IM688"/>
      <c r="IN688"/>
      <c r="IO688"/>
      <c r="IP688"/>
      <c r="IQ688"/>
      <c r="IR688"/>
      <c r="IS688"/>
      <c r="IT688"/>
      <c r="IU688"/>
      <c r="IV688"/>
      <c r="IW688"/>
      <c r="IX688"/>
      <c r="IY688"/>
      <c r="IZ688"/>
      <c r="JA688"/>
      <c r="JB688"/>
      <c r="JC688"/>
      <c r="JD688"/>
      <c r="JE688"/>
      <c r="JF688"/>
      <c r="JG688"/>
      <c r="JH688"/>
      <c r="JI688"/>
      <c r="JJ688"/>
      <c r="JK688"/>
      <c r="JL688"/>
      <c r="JM688"/>
      <c r="JN688"/>
    </row>
    <row r="689" spans="1:274" s="1047" customFormat="1" ht="12.75" customHeight="1" x14ac:dyDescent="0.2">
      <c r="A689" s="18" t="s">
        <v>134</v>
      </c>
      <c r="B689" s="1046"/>
      <c r="CI689" s="81">
        <f t="shared" si="196"/>
        <v>2.0292365285920769E-2</v>
      </c>
      <c r="CJ689" s="81">
        <f t="shared" si="196"/>
        <v>-4.6483618482649671E-3</v>
      </c>
      <c r="CK689" s="81">
        <f t="shared" si="197"/>
        <v>1.7602661077312377E-2</v>
      </c>
      <c r="CL689" s="81">
        <f t="shared" si="197"/>
        <v>1.9106808704571304E-2</v>
      </c>
      <c r="CO689" s="81">
        <f t="shared" si="198"/>
        <v>1.7610599796888671E-2</v>
      </c>
      <c r="CP689" s="81">
        <f t="shared" si="198"/>
        <v>3.1326366164139301E-2</v>
      </c>
      <c r="CQ689" s="1048">
        <f t="shared" si="199"/>
        <v>1.3340730855197564E-2</v>
      </c>
      <c r="CR689" s="81">
        <f t="shared" si="199"/>
        <v>2.3245888411963928E-2</v>
      </c>
      <c r="CU689" s="81">
        <f t="shared" si="200"/>
        <v>1.6589784412724167E-2</v>
      </c>
      <c r="CV689" s="81">
        <f t="shared" si="200"/>
        <v>2.2708135037700812E-2</v>
      </c>
      <c r="CW689" s="81">
        <f t="shared" si="201"/>
        <v>2.2770201948131886E-2</v>
      </c>
      <c r="CX689" s="81">
        <f t="shared" si="201"/>
        <v>-1.2077923330280479E-3</v>
      </c>
      <c r="CY689" s="1048">
        <f t="shared" si="201"/>
        <v>9.3668488505044105E-3</v>
      </c>
      <c r="DA689" s="81">
        <f t="shared" si="202"/>
        <v>1.3164590915566338E-2</v>
      </c>
      <c r="DB689" s="81">
        <f t="shared" si="202"/>
        <v>-1.8983163693239464E-4</v>
      </c>
      <c r="DC689" s="81">
        <f t="shared" si="203"/>
        <v>-3.5647881323788459E-3</v>
      </c>
      <c r="DD689" s="81">
        <f t="shared" si="203"/>
        <v>3.2390458692977079E-3</v>
      </c>
      <c r="DE689" s="1048">
        <f t="shared" si="203"/>
        <v>7.6981264759099994E-3</v>
      </c>
      <c r="DG689" s="81">
        <f>DG684/DG$604</f>
        <v>6.2375763901829765E-4</v>
      </c>
      <c r="DH689" s="81">
        <f t="shared" si="204"/>
        <v>4.6579775002165216E-3</v>
      </c>
      <c r="DI689" s="81">
        <f t="shared" si="204"/>
        <v>6.1763022150749552E-2</v>
      </c>
      <c r="DJ689" s="81">
        <f t="shared" si="204"/>
        <v>1.6251776305702698E-2</v>
      </c>
      <c r="DK689" s="1048">
        <f t="shared" si="204"/>
        <v>1.9066858271802486E-2</v>
      </c>
      <c r="DM689" s="1048">
        <f t="shared" si="205"/>
        <v>2.6723485738166589E-2</v>
      </c>
      <c r="DN689" s="81">
        <f t="shared" si="205"/>
        <v>7.7461433340729148E-3</v>
      </c>
      <c r="DO689" s="81">
        <f t="shared" si="205"/>
        <v>1.0243055473183209E-2</v>
      </c>
      <c r="DP689" s="81">
        <f t="shared" si="205"/>
        <v>1.0383982582004E-2</v>
      </c>
      <c r="DQ689" s="1048">
        <f t="shared" si="205"/>
        <v>9.1357379123076232E-3</v>
      </c>
      <c r="DS689" s="1048">
        <f t="shared" si="206"/>
        <v>-4.9261881252348546E-4</v>
      </c>
      <c r="DT689" s="81">
        <f t="shared" si="206"/>
        <v>9.2461442560401279E-3</v>
      </c>
      <c r="DU689" s="81">
        <f t="shared" si="207"/>
        <v>-2.1709303626754672E-2</v>
      </c>
      <c r="DV689" s="81">
        <f t="shared" si="207"/>
        <v>-9.5061486400554833E-3</v>
      </c>
      <c r="DW689" s="1048">
        <f t="shared" si="207"/>
        <v>2.230556616270256E-3</v>
      </c>
      <c r="DY689" s="1048">
        <f t="shared" si="208"/>
        <v>-5.0175076352396127E-3</v>
      </c>
      <c r="DZ689" s="81">
        <f t="shared" si="208"/>
        <v>-2.1783395800742084E-2</v>
      </c>
      <c r="EA689" s="81">
        <f t="shared" si="208"/>
        <v>1.4422097251566633E-3</v>
      </c>
      <c r="EB689" s="81">
        <f t="shared" si="208"/>
        <v>3.0004734642353401E-2</v>
      </c>
      <c r="EC689" s="1048">
        <f t="shared" si="208"/>
        <v>-6.8003574749336548E-3</v>
      </c>
      <c r="EE689" s="81">
        <f t="shared" si="209"/>
        <v>-1.4476171634253965E-2</v>
      </c>
      <c r="EF689" s="81">
        <f t="shared" si="209"/>
        <v>-9.5923594992662637E-3</v>
      </c>
      <c r="EG689" s="81">
        <f t="shared" si="209"/>
        <v>-2.4940009904854531E-2</v>
      </c>
      <c r="EH689" s="81">
        <f t="shared" si="209"/>
        <v>-8.8528885300219864E-2</v>
      </c>
      <c r="EI689" s="1048">
        <f t="shared" si="209"/>
        <v>-3.6530099453256956E-2</v>
      </c>
      <c r="EK689" s="1048">
        <f t="shared" si="210"/>
        <v>-3.733347350515507E-2</v>
      </c>
      <c r="EL689" s="81">
        <f t="shared" si="210"/>
        <v>-5.6889124798690127E-2</v>
      </c>
      <c r="EM689" s="81">
        <f t="shared" si="210"/>
        <v>-3.74280264359967E-2</v>
      </c>
      <c r="EN689" s="81">
        <f t="shared" si="210"/>
        <v>-2.4784600206071771E-2</v>
      </c>
      <c r="EO689" s="1048">
        <f t="shared" si="210"/>
        <v>-3.8516493776703062E-2</v>
      </c>
      <c r="EQ689" s="1048">
        <f t="shared" si="211"/>
        <v>-7.5881720210176726E-3</v>
      </c>
      <c r="ER689" s="81">
        <f t="shared" si="211"/>
        <v>3.3882420588045446E-3</v>
      </c>
      <c r="ES689" s="81">
        <f t="shared" si="211"/>
        <v>6.6380916716724091E-3</v>
      </c>
      <c r="ET689" s="81">
        <f t="shared" si="211"/>
        <v>1.2838427161429864E-2</v>
      </c>
      <c r="EU689" s="1048">
        <f t="shared" si="211"/>
        <v>4.417376765080543E-3</v>
      </c>
      <c r="EW689" s="1048">
        <f t="shared" ref="EW689" si="212">EW684/EW$604</f>
        <v>3.9059011724952221E-2</v>
      </c>
      <c r="EX689" s="1048"/>
      <c r="FQ689"/>
      <c r="FR689"/>
      <c r="FS689"/>
      <c r="FT689"/>
      <c r="FU689"/>
      <c r="FV689"/>
      <c r="GB689" s="856"/>
      <c r="GC689" s="856"/>
      <c r="GD689" s="856"/>
      <c r="GE689" s="856"/>
      <c r="GF689" s="856"/>
      <c r="GG689" s="856"/>
      <c r="GH689" s="856"/>
      <c r="GI689" s="856"/>
      <c r="GJ689"/>
      <c r="GK689"/>
      <c r="GL689"/>
      <c r="GM689"/>
      <c r="GN689"/>
      <c r="GO689"/>
      <c r="GP689"/>
      <c r="GQ689"/>
      <c r="GR689"/>
      <c r="GS689"/>
      <c r="GT689"/>
      <c r="GU689"/>
      <c r="GV689"/>
      <c r="GW689"/>
      <c r="GX689"/>
      <c r="GY689"/>
      <c r="GZ689"/>
      <c r="HA689"/>
      <c r="HB689"/>
      <c r="HC689"/>
      <c r="HD689"/>
      <c r="HE689"/>
      <c r="HF689"/>
      <c r="HG689"/>
      <c r="HH689"/>
      <c r="HI689"/>
      <c r="HJ689"/>
      <c r="HK689"/>
      <c r="HL689"/>
      <c r="HM689"/>
      <c r="HN689"/>
      <c r="HO689"/>
      <c r="HP689"/>
      <c r="HQ689"/>
      <c r="HR689"/>
      <c r="HS689"/>
      <c r="HT689"/>
      <c r="HU689"/>
      <c r="HV689"/>
      <c r="HW689"/>
      <c r="HX689"/>
      <c r="HY689"/>
      <c r="HZ689"/>
      <c r="IA689"/>
      <c r="IB689"/>
      <c r="IC689"/>
      <c r="ID689"/>
      <c r="IE689"/>
      <c r="IF689"/>
      <c r="IG689"/>
      <c r="IH689"/>
      <c r="II689"/>
      <c r="IJ689"/>
      <c r="IK689"/>
      <c r="IL689"/>
      <c r="IM689"/>
      <c r="IN689"/>
      <c r="IO689"/>
      <c r="IP689"/>
      <c r="IQ689"/>
      <c r="IR689"/>
      <c r="IS689"/>
      <c r="IT689"/>
      <c r="IU689"/>
      <c r="IV689"/>
      <c r="IW689"/>
      <c r="IX689"/>
      <c r="IY689"/>
      <c r="IZ689"/>
      <c r="JA689"/>
      <c r="JB689"/>
      <c r="JC689"/>
      <c r="JD689"/>
      <c r="JE689"/>
      <c r="JF689"/>
      <c r="JG689"/>
      <c r="JH689"/>
      <c r="JI689"/>
      <c r="JJ689"/>
      <c r="JK689"/>
      <c r="JL689"/>
      <c r="JM689"/>
      <c r="JN689"/>
    </row>
    <row r="690" spans="1:274" s="1047" customFormat="1" ht="12.75" customHeight="1" x14ac:dyDescent="0.2">
      <c r="A690" s="18" t="s">
        <v>698</v>
      </c>
      <c r="B690" s="1046"/>
      <c r="CI690" s="81">
        <f t="shared" si="196"/>
        <v>8.4457384980089843E-3</v>
      </c>
      <c r="CJ690" s="81">
        <f t="shared" si="196"/>
        <v>-1.3430610330318409E-2</v>
      </c>
      <c r="CK690" s="81">
        <f t="shared" si="197"/>
        <v>3.1294111990218532E-3</v>
      </c>
      <c r="CL690" s="81">
        <f t="shared" si="197"/>
        <v>1.5563038928202738E-2</v>
      </c>
      <c r="CO690" s="81">
        <f t="shared" si="198"/>
        <v>6.1985231852587147E-3</v>
      </c>
      <c r="CP690" s="81">
        <f t="shared" si="198"/>
        <v>2.5180520357092829E-2</v>
      </c>
      <c r="CQ690" s="1048">
        <f t="shared" si="199"/>
        <v>1.8673998232057849E-2</v>
      </c>
      <c r="CR690" s="81">
        <f t="shared" si="199"/>
        <v>2.5508651793657865E-2</v>
      </c>
      <c r="CU690" s="81">
        <f t="shared" si="200"/>
        <v>3.4749606537236181E-2</v>
      </c>
      <c r="CV690" s="81">
        <f t="shared" si="200"/>
        <v>4.6013927915190996E-2</v>
      </c>
      <c r="CW690" s="81">
        <f t="shared" si="201"/>
        <v>5.106318303940633E-2</v>
      </c>
      <c r="CX690" s="81">
        <f t="shared" si="201"/>
        <v>2.3861055521010036E-2</v>
      </c>
      <c r="CY690" s="1048">
        <f t="shared" si="201"/>
        <v>3.4666258583150429E-2</v>
      </c>
      <c r="DA690" s="81">
        <f t="shared" si="202"/>
        <v>5.6872269602200771E-2</v>
      </c>
      <c r="DB690" s="81">
        <f t="shared" si="202"/>
        <v>2.7610416030825088E-2</v>
      </c>
      <c r="DC690" s="81">
        <f t="shared" si="203"/>
        <v>-1.8080162950673471E-2</v>
      </c>
      <c r="DD690" s="81">
        <f t="shared" si="203"/>
        <v>-5.2279240349786024E-2</v>
      </c>
      <c r="DE690" s="1048">
        <f t="shared" si="203"/>
        <v>-4.776507818463157E-4</v>
      </c>
      <c r="DG690" s="81">
        <f>DG685/DG$604</f>
        <v>-6.9454941537367185E-2</v>
      </c>
      <c r="DH690" s="81">
        <f t="shared" si="204"/>
        <v>-6.0199585216101206E-2</v>
      </c>
      <c r="DI690" s="81">
        <f t="shared" si="204"/>
        <v>-4.2064868403225934E-3</v>
      </c>
      <c r="DJ690" s="81">
        <f t="shared" si="204"/>
        <v>2.6402563938460372E-2</v>
      </c>
      <c r="DK690" s="1048">
        <f t="shared" si="204"/>
        <v>-2.1714690803635979E-2</v>
      </c>
      <c r="DM690" s="81">
        <f t="shared" si="205"/>
        <v>3.6248526929184476E-2</v>
      </c>
      <c r="DN690" s="81">
        <f t="shared" si="205"/>
        <v>1.9743436303901123E-2</v>
      </c>
      <c r="DO690" s="81">
        <f t="shared" si="205"/>
        <v>2.2104402366278472E-2</v>
      </c>
      <c r="DP690" s="81">
        <f t="shared" si="205"/>
        <v>1.8648290269992131E-2</v>
      </c>
      <c r="DQ690" s="1048">
        <f t="shared" si="205"/>
        <v>1.4804572799873695E-2</v>
      </c>
      <c r="DS690" s="81">
        <f t="shared" si="206"/>
        <v>1.2578159108415284E-2</v>
      </c>
      <c r="DT690" s="81">
        <f t="shared" si="206"/>
        <v>2.2860989617949985E-2</v>
      </c>
      <c r="DU690" s="81">
        <f t="shared" si="207"/>
        <v>1.7492034927479819E-3</v>
      </c>
      <c r="DV690" s="81">
        <f t="shared" si="207"/>
        <v>5.0600156053488008E-3</v>
      </c>
      <c r="DW690" s="1048">
        <f t="shared" si="207"/>
        <v>1.9750458779276347E-2</v>
      </c>
      <c r="DY690" s="81">
        <f t="shared" si="208"/>
        <v>9.1637122054830083E-3</v>
      </c>
      <c r="DZ690" s="81">
        <f t="shared" si="208"/>
        <v>-1.1385623895906426E-2</v>
      </c>
      <c r="EA690" s="81">
        <f t="shared" si="208"/>
        <v>2.9315826417275707E-3</v>
      </c>
      <c r="EB690" s="81">
        <f t="shared" si="208"/>
        <v>1.8846060674346785E-2</v>
      </c>
      <c r="EC690" s="1048">
        <f t="shared" si="208"/>
        <v>3.1712252617374539E-3</v>
      </c>
      <c r="EE690" s="81">
        <f>EE685/EE$604</f>
        <v>-7.7327205289687484E-3</v>
      </c>
      <c r="EF690" s="81">
        <f t="shared" si="209"/>
        <v>-5.8143319737113102E-3</v>
      </c>
      <c r="EG690" s="81">
        <f t="shared" si="209"/>
        <v>-2.2516839722732128E-2</v>
      </c>
      <c r="EH690" s="81">
        <f t="shared" si="209"/>
        <v>-6.5663901879791806E-2</v>
      </c>
      <c r="EI690" s="1048">
        <f t="shared" si="209"/>
        <v>-2.707350941823285E-2</v>
      </c>
      <c r="EK690" s="1048">
        <f t="shared" si="210"/>
        <v>-3.3293385365159495E-2</v>
      </c>
      <c r="EL690" s="81">
        <f t="shared" si="210"/>
        <v>-4.3212241980995651E-2</v>
      </c>
      <c r="EM690" s="81">
        <f t="shared" si="210"/>
        <v>-2.6551484692798898E-2</v>
      </c>
      <c r="EN690" s="81">
        <f t="shared" si="210"/>
        <v>-1.5216400320894545E-2</v>
      </c>
      <c r="EO690" s="1048">
        <f t="shared" si="210"/>
        <v>-2.8893212759930585E-2</v>
      </c>
      <c r="EQ690" s="1048">
        <f t="shared" si="211"/>
        <v>-1.5972957142947226E-2</v>
      </c>
      <c r="ER690" s="81">
        <f t="shared" si="211"/>
        <v>5.819641705877932E-3</v>
      </c>
      <c r="ES690" s="81">
        <f t="shared" si="211"/>
        <v>1.1569236534700322E-3</v>
      </c>
      <c r="ET690" s="81">
        <f t="shared" si="211"/>
        <v>6.8079864250624499E-3</v>
      </c>
      <c r="EU690" s="1048">
        <f t="shared" si="211"/>
        <v>1.1382037136145608E-5</v>
      </c>
      <c r="EW690" s="1048">
        <f t="shared" ref="EW690" si="213">EW685/EW$604</f>
        <v>1.5784236725437863E-2</v>
      </c>
      <c r="EX690" s="1048"/>
      <c r="FQ690"/>
      <c r="FR690"/>
      <c r="FS690"/>
      <c r="FT690"/>
      <c r="FU690"/>
      <c r="FV690"/>
      <c r="GB690" s="856"/>
      <c r="GC690" s="856"/>
      <c r="GD690" s="856"/>
      <c r="GE690" s="856"/>
      <c r="GF690" s="856"/>
      <c r="GG690" s="856"/>
      <c r="GH690" s="856"/>
      <c r="GI690" s="856"/>
      <c r="GJ690"/>
      <c r="GK690"/>
      <c r="GL690"/>
      <c r="GM690"/>
      <c r="GN690"/>
      <c r="GO690"/>
      <c r="GP690"/>
      <c r="GQ690"/>
      <c r="GR690"/>
      <c r="GS690"/>
      <c r="GT690"/>
      <c r="GU690"/>
      <c r="GV690"/>
      <c r="GW690"/>
      <c r="GX690"/>
      <c r="GY690"/>
      <c r="GZ690"/>
      <c r="HA690"/>
      <c r="HB690"/>
      <c r="HC690"/>
      <c r="HD690"/>
      <c r="HE690"/>
      <c r="HF690"/>
      <c r="HG690"/>
      <c r="HH690"/>
      <c r="HI690"/>
      <c r="HJ690"/>
      <c r="HK690"/>
      <c r="HL690"/>
      <c r="HM690"/>
      <c r="HN690"/>
      <c r="HO690"/>
      <c r="HP690"/>
      <c r="HQ690"/>
      <c r="HR690"/>
      <c r="HS690"/>
      <c r="HT690"/>
      <c r="HU690"/>
      <c r="HV690"/>
      <c r="HW690"/>
      <c r="HX690"/>
      <c r="HY690"/>
      <c r="HZ690"/>
      <c r="IA690"/>
      <c r="IB690"/>
      <c r="IC690"/>
      <c r="ID690"/>
      <c r="IE690"/>
      <c r="IF690"/>
      <c r="IG690"/>
      <c r="IH690"/>
      <c r="II690"/>
      <c r="IJ690"/>
      <c r="IK690"/>
      <c r="IL690"/>
      <c r="IM690"/>
      <c r="IN690"/>
      <c r="IO690"/>
      <c r="IP690"/>
      <c r="IQ690"/>
      <c r="IR690"/>
      <c r="IS690"/>
      <c r="IT690"/>
      <c r="IU690"/>
      <c r="IV690"/>
      <c r="IW690"/>
      <c r="IX690"/>
      <c r="IY690"/>
      <c r="IZ690"/>
      <c r="JA690"/>
      <c r="JB690"/>
      <c r="JC690"/>
      <c r="JD690"/>
      <c r="JE690"/>
      <c r="JF690"/>
      <c r="JG690"/>
      <c r="JH690"/>
      <c r="JI690"/>
      <c r="JJ690"/>
      <c r="JK690"/>
      <c r="JL690"/>
      <c r="JM690"/>
      <c r="JN690"/>
    </row>
    <row r="691" spans="1:274" s="1047" customFormat="1" ht="12.75" customHeight="1" x14ac:dyDescent="0.2">
      <c r="A691" s="18"/>
      <c r="B691" s="1046"/>
      <c r="CI691" s="81"/>
      <c r="CJ691" s="81"/>
      <c r="CK691" s="81"/>
      <c r="CL691" s="81"/>
      <c r="CO691" s="81"/>
      <c r="CP691" s="81"/>
      <c r="CQ691" s="1048"/>
      <c r="CR691" s="81"/>
      <c r="CU691" s="81"/>
      <c r="CV691" s="81"/>
      <c r="CW691" s="81"/>
      <c r="CX691" s="81"/>
      <c r="CY691" s="1048"/>
      <c r="DA691" s="81"/>
      <c r="DB691" s="81"/>
      <c r="DC691" s="81"/>
      <c r="DD691" s="81"/>
      <c r="DE691" s="1048"/>
      <c r="DG691" s="81"/>
      <c r="DH691" s="81"/>
      <c r="DI691" s="81"/>
      <c r="DJ691" s="81"/>
      <c r="DK691" s="1048"/>
      <c r="DM691" s="81"/>
      <c r="DN691" s="81"/>
      <c r="DO691" s="81"/>
      <c r="DP691" s="81"/>
      <c r="DQ691" s="1048"/>
      <c r="DS691" s="81"/>
      <c r="DT691" s="81"/>
      <c r="DU691" s="81"/>
      <c r="DV691" s="81"/>
      <c r="DW691" s="1048"/>
      <c r="DY691" s="81"/>
      <c r="DZ691" s="81"/>
      <c r="EA691" s="81"/>
      <c r="EB691" s="81"/>
      <c r="EC691" s="1048"/>
      <c r="EE691" s="81"/>
      <c r="EF691" s="81"/>
      <c r="EG691" s="81"/>
      <c r="EH691" s="81"/>
      <c r="EI691" s="1048"/>
      <c r="EK691" s="1048"/>
      <c r="EL691" s="81"/>
      <c r="EM691" s="81"/>
      <c r="EN691" s="81"/>
      <c r="EO691" s="1048"/>
      <c r="EQ691" s="1048"/>
      <c r="ER691" s="81"/>
      <c r="ES691" s="81"/>
      <c r="ET691" s="81"/>
      <c r="EU691" s="1048"/>
      <c r="FQ691"/>
      <c r="FR691"/>
      <c r="FS691"/>
      <c r="FT691"/>
      <c r="FU691"/>
      <c r="FV691"/>
      <c r="GB691" s="856"/>
      <c r="GC691" s="856"/>
      <c r="GD691" s="856"/>
      <c r="GE691" s="856"/>
      <c r="GF691" s="856"/>
      <c r="GG691" s="856"/>
      <c r="GH691" s="856"/>
      <c r="GI691" s="856"/>
      <c r="GJ691"/>
      <c r="GK691"/>
      <c r="GL691"/>
      <c r="GM691"/>
      <c r="GN691"/>
      <c r="GO691"/>
      <c r="GP691"/>
      <c r="GQ691"/>
      <c r="GR691"/>
      <c r="GS691"/>
      <c r="GT691"/>
      <c r="GU691"/>
      <c r="GV691"/>
      <c r="GW691"/>
      <c r="GX691"/>
      <c r="GY691"/>
      <c r="GZ691"/>
      <c r="HA691"/>
      <c r="HB691"/>
      <c r="HC691"/>
      <c r="HD691"/>
      <c r="HE691"/>
      <c r="HF691"/>
      <c r="HG691"/>
      <c r="HH691"/>
      <c r="HI691"/>
      <c r="HJ691"/>
      <c r="HK691"/>
      <c r="HL691"/>
      <c r="HM691"/>
      <c r="HN691"/>
      <c r="HO691"/>
      <c r="HP691"/>
      <c r="HQ691"/>
      <c r="HR691"/>
      <c r="HS691"/>
      <c r="HT691"/>
      <c r="HU691"/>
      <c r="HV691"/>
      <c r="HW691"/>
      <c r="HX691"/>
      <c r="HY691"/>
      <c r="HZ691"/>
      <c r="IA691"/>
      <c r="IB691"/>
      <c r="IC691"/>
      <c r="ID691"/>
      <c r="IE691"/>
      <c r="IF691"/>
      <c r="IG691"/>
      <c r="IH691"/>
      <c r="II691"/>
      <c r="IJ691"/>
      <c r="IK691"/>
      <c r="IL691"/>
      <c r="IM691"/>
      <c r="IN691"/>
      <c r="IO691"/>
      <c r="IP691"/>
      <c r="IQ691"/>
      <c r="IR691"/>
      <c r="IS691"/>
      <c r="IT691"/>
      <c r="IU691"/>
      <c r="IV691"/>
      <c r="IW691"/>
      <c r="IX691"/>
      <c r="IY691"/>
      <c r="IZ691"/>
      <c r="JA691"/>
      <c r="JB691"/>
      <c r="JC691"/>
      <c r="JD691"/>
      <c r="JE691"/>
      <c r="JF691"/>
      <c r="JG691"/>
      <c r="JH691"/>
      <c r="JI691"/>
      <c r="JJ691"/>
      <c r="JK691"/>
      <c r="JL691"/>
      <c r="JM691"/>
      <c r="JN691"/>
    </row>
    <row r="692" spans="1:274" s="1047" customFormat="1" ht="12.75" customHeight="1" x14ac:dyDescent="0.2">
      <c r="A692" s="32"/>
      <c r="B692" s="57"/>
      <c r="C692" s="14" t="s">
        <v>8</v>
      </c>
      <c r="D692" s="14"/>
      <c r="E692" s="14"/>
      <c r="F692" s="14"/>
      <c r="G692" s="14"/>
      <c r="H692" s="682"/>
      <c r="I692" s="682"/>
      <c r="J692" s="682"/>
      <c r="K692" s="682"/>
      <c r="L692" s="682"/>
      <c r="M692" s="683"/>
      <c r="N692" s="215"/>
      <c r="O692" s="14" t="s">
        <v>216</v>
      </c>
      <c r="P692" s="15"/>
      <c r="Q692" s="15"/>
      <c r="R692" s="15"/>
      <c r="S692" s="15"/>
      <c r="T692" s="215"/>
      <c r="U692" s="14" t="s">
        <v>1073</v>
      </c>
      <c r="V692" s="15"/>
      <c r="W692" s="15"/>
      <c r="X692" s="15"/>
      <c r="Y692" s="15"/>
      <c r="Z692" s="215"/>
      <c r="AA692" s="14" t="s">
        <v>708</v>
      </c>
      <c r="AB692" s="15"/>
      <c r="AC692" s="15"/>
      <c r="AD692" s="15"/>
      <c r="AE692" s="15"/>
      <c r="AF692" s="215"/>
      <c r="AG692" s="14" t="s">
        <v>709</v>
      </c>
      <c r="AH692" s="15"/>
      <c r="AI692" s="15"/>
      <c r="AJ692" s="15"/>
      <c r="AK692" s="15"/>
      <c r="AL692" s="215"/>
      <c r="AM692" s="14" t="s">
        <v>428</v>
      </c>
      <c r="AN692" s="15"/>
      <c r="AO692" s="15"/>
      <c r="AP692" s="15"/>
      <c r="AQ692" s="15"/>
      <c r="AR692" s="215"/>
      <c r="AS692" s="14" t="s">
        <v>429</v>
      </c>
      <c r="AT692" s="15"/>
      <c r="AU692" s="15"/>
      <c r="AV692" s="15"/>
      <c r="AW692" s="15"/>
      <c r="AX692" s="215"/>
      <c r="AY692" s="14" t="s">
        <v>1044</v>
      </c>
      <c r="AZ692" s="15"/>
      <c r="BA692" s="15"/>
      <c r="BB692" s="15"/>
      <c r="BC692" s="684"/>
      <c r="BD692" s="190"/>
      <c r="BE692" s="15" t="s">
        <v>35</v>
      </c>
      <c r="BF692" s="15"/>
      <c r="BG692" s="15"/>
      <c r="BH692" s="685"/>
      <c r="BI692" s="684"/>
      <c r="BJ692" s="686"/>
      <c r="BK692" s="15" t="s">
        <v>217</v>
      </c>
      <c r="BL692" s="15"/>
      <c r="BM692" s="15"/>
      <c r="BN692" s="15"/>
      <c r="BO692" s="684"/>
      <c r="BP692" s="637"/>
      <c r="BQ692" s="15" t="s">
        <v>872</v>
      </c>
      <c r="BR692" s="15"/>
      <c r="BS692" s="15"/>
      <c r="BT692" s="15"/>
      <c r="BU692" s="684"/>
      <c r="BV692" s="27"/>
      <c r="BW692" s="14" t="s">
        <v>462</v>
      </c>
      <c r="BX692" s="15"/>
      <c r="BY692" s="15"/>
      <c r="BZ692" s="15"/>
      <c r="CA692" s="684"/>
      <c r="CB692" s="27"/>
      <c r="CC692" s="14" t="s">
        <v>420</v>
      </c>
      <c r="CD692" s="15"/>
      <c r="CE692" s="15"/>
      <c r="CF692" s="15"/>
      <c r="CG692" s="684"/>
      <c r="CH692" s="27"/>
      <c r="CI692" s="14" t="s">
        <v>388</v>
      </c>
      <c r="CJ692" s="15"/>
      <c r="CK692" s="15"/>
      <c r="CL692" s="15"/>
      <c r="CM692" s="684"/>
      <c r="CN692" s="27"/>
      <c r="CO692" s="14" t="s">
        <v>693</v>
      </c>
      <c r="CP692" s="15"/>
      <c r="CQ692" s="15"/>
      <c r="CR692" s="15"/>
      <c r="CS692" s="684"/>
      <c r="CT692" s="345"/>
      <c r="CU692" s="14" t="s">
        <v>207</v>
      </c>
      <c r="CV692" s="15"/>
      <c r="CW692" s="15"/>
      <c r="CX692" s="15"/>
      <c r="CY692" s="684"/>
      <c r="CZ692" s="345"/>
      <c r="DA692" s="14">
        <f>DA146</f>
        <v>0</v>
      </c>
      <c r="DB692" s="15"/>
      <c r="DC692" s="15"/>
      <c r="DD692" s="15"/>
      <c r="DE692" s="684"/>
      <c r="DF692" s="345"/>
      <c r="DG692" s="14">
        <f>DG146</f>
        <v>0</v>
      </c>
      <c r="DH692" s="15"/>
      <c r="DI692" s="15"/>
      <c r="DJ692" s="15"/>
      <c r="DK692" s="684"/>
      <c r="DL692" s="345"/>
      <c r="DM692" s="14">
        <f>DM146</f>
        <v>0</v>
      </c>
      <c r="DN692" s="15"/>
      <c r="DO692" s="15"/>
      <c r="DP692" s="15"/>
      <c r="DQ692" s="684"/>
      <c r="DR692" s="345"/>
      <c r="DS692" s="14">
        <f>DS146</f>
        <v>0</v>
      </c>
      <c r="DT692" s="15"/>
      <c r="DU692" s="15"/>
      <c r="DV692" s="15"/>
      <c r="DW692" s="684"/>
      <c r="DX692" s="345"/>
      <c r="DY692" s="14"/>
      <c r="DZ692" s="15"/>
      <c r="EA692" s="15"/>
      <c r="EB692" s="15"/>
      <c r="EC692" s="684"/>
      <c r="ED692" s="345"/>
      <c r="EE692" s="14"/>
      <c r="EF692" s="15"/>
      <c r="EG692" s="15"/>
      <c r="EH692" s="15"/>
      <c r="EI692" s="684"/>
      <c r="EJ692" s="345"/>
      <c r="EK692" s="14"/>
      <c r="EL692" s="15"/>
      <c r="EM692" s="15"/>
      <c r="EN692" s="15"/>
      <c r="EO692" s="684"/>
      <c r="EP692" s="345"/>
      <c r="EQ692" s="14"/>
      <c r="ER692" s="15"/>
      <c r="ES692" s="15"/>
      <c r="ET692" s="15"/>
      <c r="EU692" s="1782"/>
      <c r="EV692" s="345"/>
      <c r="EW692" s="14"/>
      <c r="EX692" s="15"/>
      <c r="EY692" s="15"/>
      <c r="EZ692" s="15"/>
      <c r="FA692" s="1782"/>
      <c r="FB692" s="345"/>
      <c r="FC692" s="14"/>
      <c r="FD692" s="15"/>
      <c r="FE692" s="15"/>
      <c r="FF692" s="15"/>
      <c r="FG692" s="1782"/>
      <c r="FH692" s="345"/>
      <c r="FI692" s="14"/>
      <c r="FJ692" s="15"/>
      <c r="FK692" s="15"/>
      <c r="FL692" s="15"/>
      <c r="FM692" s="1782"/>
      <c r="FQ692"/>
      <c r="FR692"/>
      <c r="FS692"/>
      <c r="FT692"/>
      <c r="FU692"/>
      <c r="FV692"/>
      <c r="GB692" s="856"/>
      <c r="GC692" s="856"/>
      <c r="GD692" s="856"/>
      <c r="GE692" s="856"/>
      <c r="GF692" s="856"/>
      <c r="GG692" s="856"/>
      <c r="GH692" s="856"/>
      <c r="GI692" s="856"/>
      <c r="GJ692"/>
      <c r="GK692"/>
      <c r="GL692"/>
      <c r="GM692"/>
      <c r="GN692"/>
      <c r="GO692"/>
      <c r="GP692"/>
      <c r="GQ692"/>
      <c r="GR692"/>
      <c r="GS692"/>
      <c r="GT692"/>
      <c r="GU692"/>
      <c r="GV692"/>
      <c r="GW692"/>
      <c r="GX692"/>
      <c r="GY692"/>
      <c r="GZ692"/>
      <c r="HA692"/>
      <c r="HB692"/>
      <c r="HC692"/>
      <c r="HD692"/>
      <c r="HE692"/>
      <c r="HF692"/>
      <c r="HG692"/>
      <c r="HH692"/>
      <c r="HI692"/>
      <c r="HJ692"/>
      <c r="HK692"/>
      <c r="HL692"/>
      <c r="HM692"/>
      <c r="HN692"/>
      <c r="HO692"/>
      <c r="HP692"/>
      <c r="HQ692"/>
      <c r="HR692"/>
      <c r="HS692"/>
      <c r="HT692"/>
      <c r="HU692"/>
      <c r="HV692"/>
      <c r="HW692"/>
      <c r="HX692"/>
      <c r="HY692"/>
      <c r="HZ692"/>
      <c r="IA692"/>
      <c r="IB692"/>
      <c r="IC692"/>
      <c r="ID692"/>
      <c r="IE692"/>
      <c r="IF692"/>
      <c r="IG692"/>
      <c r="IH692"/>
      <c r="II692"/>
      <c r="IJ692"/>
      <c r="IK692"/>
      <c r="IL692"/>
      <c r="IM692"/>
      <c r="IN692"/>
      <c r="IO692"/>
      <c r="IP692"/>
      <c r="IQ692"/>
      <c r="IR692"/>
      <c r="IS692"/>
      <c r="IT692"/>
      <c r="IU692"/>
      <c r="IV692"/>
      <c r="IW692"/>
      <c r="IX692"/>
      <c r="IY692"/>
      <c r="IZ692"/>
      <c r="JA692"/>
      <c r="JB692"/>
      <c r="JC692"/>
      <c r="JD692"/>
      <c r="JE692"/>
      <c r="JF692"/>
      <c r="JG692"/>
      <c r="JH692"/>
      <c r="JI692"/>
      <c r="JJ692"/>
      <c r="JK692"/>
      <c r="JL692"/>
      <c r="JM692"/>
      <c r="JN692"/>
    </row>
    <row r="693" spans="1:274" s="1047" customFormat="1" ht="12.75" customHeight="1" x14ac:dyDescent="0.2">
      <c r="A693" s="25"/>
      <c r="B693" s="730"/>
      <c r="C693" s="16" t="s">
        <v>947</v>
      </c>
      <c r="D693" s="16" t="s">
        <v>946</v>
      </c>
      <c r="E693" s="16" t="s">
        <v>406</v>
      </c>
      <c r="F693" s="16" t="s">
        <v>302</v>
      </c>
      <c r="G693" s="16" t="s">
        <v>303</v>
      </c>
      <c r="H693" s="16" t="s">
        <v>304</v>
      </c>
      <c r="I693" s="16" t="s">
        <v>305</v>
      </c>
      <c r="J693" s="16" t="s">
        <v>639</v>
      </c>
      <c r="K693" s="16" t="s">
        <v>640</v>
      </c>
      <c r="L693" s="16" t="s">
        <v>641</v>
      </c>
      <c r="M693" s="16" t="s">
        <v>550</v>
      </c>
      <c r="N693" s="16"/>
      <c r="O693" s="16" t="s">
        <v>292</v>
      </c>
      <c r="P693" s="16" t="s">
        <v>293</v>
      </c>
      <c r="Q693" s="16" t="s">
        <v>290</v>
      </c>
      <c r="R693" s="16" t="s">
        <v>291</v>
      </c>
      <c r="S693" s="16" t="s">
        <v>551</v>
      </c>
      <c r="T693" s="16"/>
      <c r="U693" s="16" t="s">
        <v>288</v>
      </c>
      <c r="V693" s="16" t="s">
        <v>289</v>
      </c>
      <c r="W693" s="16" t="s">
        <v>294</v>
      </c>
      <c r="X693" s="16" t="s">
        <v>930</v>
      </c>
      <c r="Y693" s="16" t="s">
        <v>402</v>
      </c>
      <c r="Z693" s="16"/>
      <c r="AA693" s="16" t="s">
        <v>931</v>
      </c>
      <c r="AB693" s="16" t="s">
        <v>932</v>
      </c>
      <c r="AC693" s="16" t="s">
        <v>933</v>
      </c>
      <c r="AD693" s="16" t="s">
        <v>934</v>
      </c>
      <c r="AE693" s="16" t="s">
        <v>403</v>
      </c>
      <c r="AF693" s="16"/>
      <c r="AG693" s="16" t="s">
        <v>935</v>
      </c>
      <c r="AH693" s="16" t="s">
        <v>936</v>
      </c>
      <c r="AI693" s="16" t="s">
        <v>937</v>
      </c>
      <c r="AJ693" s="16" t="s">
        <v>938</v>
      </c>
      <c r="AK693" s="16" t="s">
        <v>404</v>
      </c>
      <c r="AL693" s="16"/>
      <c r="AM693" s="16" t="s">
        <v>939</v>
      </c>
      <c r="AN693" s="16" t="s">
        <v>144</v>
      </c>
      <c r="AO693" s="16" t="s">
        <v>145</v>
      </c>
      <c r="AP693" s="16" t="s">
        <v>146</v>
      </c>
      <c r="AQ693" s="16" t="s">
        <v>405</v>
      </c>
      <c r="AR693" s="16"/>
      <c r="AS693" s="16" t="s">
        <v>147</v>
      </c>
      <c r="AT693" s="16" t="s">
        <v>148</v>
      </c>
      <c r="AU693" s="16" t="s">
        <v>149</v>
      </c>
      <c r="AV693" s="16" t="s">
        <v>150</v>
      </c>
      <c r="AW693" s="16" t="s">
        <v>552</v>
      </c>
      <c r="AX693" s="16"/>
      <c r="AY693" s="16" t="s">
        <v>151</v>
      </c>
      <c r="AZ693" s="16" t="s">
        <v>152</v>
      </c>
      <c r="BA693" s="16" t="s">
        <v>153</v>
      </c>
      <c r="BB693" s="16" t="s">
        <v>154</v>
      </c>
      <c r="BC693" s="393" t="s">
        <v>553</v>
      </c>
      <c r="BD693" s="16"/>
      <c r="BE693" s="16" t="s">
        <v>917</v>
      </c>
      <c r="BF693" s="16" t="s">
        <v>586</v>
      </c>
      <c r="BG693" s="16" t="s">
        <v>587</v>
      </c>
      <c r="BH693" s="16" t="s">
        <v>588</v>
      </c>
      <c r="BI693" s="393" t="s">
        <v>554</v>
      </c>
      <c r="BJ693" s="16"/>
      <c r="BK693" s="16" t="s">
        <v>589</v>
      </c>
      <c r="BL693" s="16" t="s">
        <v>590</v>
      </c>
      <c r="BM693" s="16" t="s">
        <v>591</v>
      </c>
      <c r="BN693" s="16" t="s">
        <v>592</v>
      </c>
      <c r="BO693" s="393" t="s">
        <v>555</v>
      </c>
      <c r="BP693" s="27"/>
      <c r="BQ693" s="16" t="s">
        <v>28</v>
      </c>
      <c r="BR693" s="16" t="s">
        <v>1092</v>
      </c>
      <c r="BS693" s="16" t="s">
        <v>252</v>
      </c>
      <c r="BT693" s="16" t="s">
        <v>873</v>
      </c>
      <c r="BU693" s="393" t="s">
        <v>874</v>
      </c>
      <c r="BV693" s="27"/>
      <c r="BW693" s="16" t="s">
        <v>366</v>
      </c>
      <c r="BX693" s="16" t="s">
        <v>163</v>
      </c>
      <c r="BY693" s="16" t="s">
        <v>526</v>
      </c>
      <c r="BZ693" s="880" t="s">
        <v>347</v>
      </c>
      <c r="CA693" s="393" t="s">
        <v>77</v>
      </c>
      <c r="CB693" s="27"/>
      <c r="CC693" s="16" t="s">
        <v>306</v>
      </c>
      <c r="CD693" s="16" t="s">
        <v>696</v>
      </c>
      <c r="CE693" s="16" t="s">
        <v>711</v>
      </c>
      <c r="CF693" s="16" t="s">
        <v>421</v>
      </c>
      <c r="CG693" s="393" t="s">
        <v>434</v>
      </c>
      <c r="CH693" s="27"/>
      <c r="CI693" s="16" t="s">
        <v>39</v>
      </c>
      <c r="CJ693" s="16" t="s">
        <v>251</v>
      </c>
      <c r="CK693" s="16" t="s">
        <v>389</v>
      </c>
      <c r="CL693" s="16" t="s">
        <v>528</v>
      </c>
      <c r="CM693" s="393" t="s">
        <v>656</v>
      </c>
      <c r="CN693" s="27"/>
      <c r="CO693" s="16" t="s">
        <v>574</v>
      </c>
      <c r="CP693" s="16" t="s">
        <v>650</v>
      </c>
      <c r="CQ693" s="16" t="s">
        <v>357</v>
      </c>
      <c r="CR693" s="16" t="s">
        <v>694</v>
      </c>
      <c r="CS693" s="393" t="s">
        <v>797</v>
      </c>
      <c r="CT693" s="102"/>
      <c r="CU693" s="16" t="s">
        <v>818</v>
      </c>
      <c r="CV693" s="16" t="s">
        <v>952</v>
      </c>
      <c r="CW693" s="16" t="s">
        <v>677</v>
      </c>
      <c r="CX693" s="880" t="s">
        <v>348</v>
      </c>
      <c r="CY693" s="393" t="s">
        <v>36</v>
      </c>
      <c r="CZ693" s="102"/>
      <c r="DA693" s="880">
        <f>DA147</f>
        <v>0</v>
      </c>
      <c r="DB693" s="880">
        <f>DB147</f>
        <v>0</v>
      </c>
      <c r="DC693" s="880">
        <f>DC147</f>
        <v>0</v>
      </c>
      <c r="DD693" s="880">
        <f>DD147</f>
        <v>0</v>
      </c>
      <c r="DE693" s="393">
        <f>DE147</f>
        <v>0</v>
      </c>
      <c r="DF693" s="102"/>
      <c r="DG693" s="880">
        <f>DG147</f>
        <v>0</v>
      </c>
      <c r="DH693" s="880">
        <f>DH147</f>
        <v>0</v>
      </c>
      <c r="DI693" s="880">
        <f>DI147</f>
        <v>0</v>
      </c>
      <c r="DJ693" s="880">
        <f>DJ147</f>
        <v>0</v>
      </c>
      <c r="DK693" s="393">
        <f>DK147</f>
        <v>0</v>
      </c>
      <c r="DL693" s="102"/>
      <c r="DM693" s="880">
        <f>DM147</f>
        <v>0</v>
      </c>
      <c r="DN693" s="880">
        <f>DN147</f>
        <v>0</v>
      </c>
      <c r="DO693" s="880">
        <f>DO147</f>
        <v>0</v>
      </c>
      <c r="DP693" s="880">
        <f>DP147</f>
        <v>0</v>
      </c>
      <c r="DQ693" s="393">
        <f>DQ147</f>
        <v>0</v>
      </c>
      <c r="DR693" s="102"/>
      <c r="DS693" s="880">
        <f>DS147</f>
        <v>0</v>
      </c>
      <c r="DT693" s="880">
        <f>DT147</f>
        <v>0</v>
      </c>
      <c r="DU693" s="880">
        <f>DU147</f>
        <v>0</v>
      </c>
      <c r="DV693" s="880">
        <f>DV147</f>
        <v>0</v>
      </c>
      <c r="DW693" s="393"/>
      <c r="DX693" s="102"/>
      <c r="DY693" s="880" t="s">
        <v>1111</v>
      </c>
      <c r="DZ693" s="880"/>
      <c r="EA693" s="880"/>
      <c r="EB693" s="880"/>
      <c r="EC693" s="393"/>
      <c r="ED693" s="102"/>
      <c r="EE693" s="880" t="s">
        <v>1156</v>
      </c>
      <c r="EF693" s="880"/>
      <c r="EG693" s="880"/>
      <c r="EH693" s="880"/>
      <c r="EI693" s="393"/>
      <c r="EJ693" s="102"/>
      <c r="EK693" s="880" t="s">
        <v>1207</v>
      </c>
      <c r="EL693" s="880"/>
      <c r="EM693" s="880"/>
      <c r="EN693" s="880"/>
      <c r="EO693" s="393"/>
      <c r="EP693" s="102"/>
      <c r="EQ693" s="880" t="s">
        <v>1247</v>
      </c>
      <c r="ER693" s="880"/>
      <c r="ES693" s="880"/>
      <c r="ET693" s="880"/>
      <c r="EU693" s="393"/>
      <c r="EV693" s="102"/>
      <c r="EW693" s="880" t="s">
        <v>1139</v>
      </c>
      <c r="EX693" s="880"/>
      <c r="EY693" s="880"/>
      <c r="EZ693" s="880"/>
      <c r="FA693" s="393"/>
      <c r="FB693" s="102"/>
      <c r="FC693" s="880" t="s">
        <v>1190</v>
      </c>
      <c r="FD693" s="880"/>
      <c r="FE693" s="880"/>
      <c r="FF693" s="880"/>
      <c r="FG693" s="393"/>
      <c r="FH693" s="102"/>
      <c r="FI693" s="880" t="s">
        <v>1234</v>
      </c>
      <c r="FJ693" s="880"/>
      <c r="FK693" s="880"/>
      <c r="FL693" s="880"/>
      <c r="FM693" s="393"/>
      <c r="FQ693"/>
      <c r="FR693"/>
      <c r="FS693"/>
      <c r="FT693"/>
      <c r="FU693"/>
      <c r="FV693"/>
      <c r="GB693" s="856"/>
      <c r="GC693" s="856"/>
      <c r="GD693" s="856"/>
      <c r="GE693" s="856"/>
      <c r="GF693" s="856"/>
      <c r="GG693" s="856"/>
      <c r="GH693" s="856"/>
      <c r="GI693" s="856"/>
      <c r="GJ693"/>
      <c r="GK693"/>
      <c r="GL693"/>
      <c r="GM693"/>
      <c r="GN693"/>
      <c r="GO693"/>
      <c r="GP693"/>
      <c r="GQ693"/>
      <c r="GR693"/>
      <c r="GS693"/>
      <c r="GT693"/>
      <c r="GU693"/>
      <c r="GV693"/>
      <c r="GW693"/>
      <c r="GX693"/>
      <c r="GY693"/>
      <c r="GZ693"/>
      <c r="HA693"/>
      <c r="HB693"/>
      <c r="HC693"/>
      <c r="HD693"/>
      <c r="HE693"/>
      <c r="HF693"/>
      <c r="HG693"/>
      <c r="HH693"/>
      <c r="HI693"/>
      <c r="HJ693"/>
      <c r="HK693"/>
      <c r="HL693"/>
      <c r="HM693"/>
      <c r="HN693"/>
      <c r="HO693"/>
      <c r="HP693"/>
      <c r="HQ693"/>
      <c r="HR693"/>
      <c r="HS693"/>
      <c r="HT693"/>
      <c r="HU693"/>
      <c r="HV693"/>
      <c r="HW693"/>
      <c r="HX693"/>
      <c r="HY693"/>
      <c r="HZ693"/>
      <c r="IA693"/>
      <c r="IB693"/>
      <c r="IC693"/>
      <c r="ID693"/>
      <c r="IE693"/>
      <c r="IF693"/>
      <c r="IG693"/>
      <c r="IH693"/>
      <c r="II693"/>
      <c r="IJ693"/>
      <c r="IK693"/>
      <c r="IL693"/>
      <c r="IM693"/>
      <c r="IN693"/>
      <c r="IO693"/>
      <c r="IP693"/>
      <c r="IQ693"/>
      <c r="IR693"/>
      <c r="IS693"/>
      <c r="IT693"/>
      <c r="IU693"/>
      <c r="IV693"/>
      <c r="IW693"/>
      <c r="IX693"/>
      <c r="IY693"/>
      <c r="IZ693"/>
      <c r="JA693"/>
      <c r="JB693"/>
      <c r="JC693"/>
      <c r="JD693"/>
      <c r="JE693"/>
      <c r="JF693"/>
      <c r="JG693"/>
      <c r="JH693"/>
      <c r="JI693"/>
      <c r="JJ693"/>
      <c r="JK693"/>
      <c r="JL693"/>
      <c r="JM693"/>
      <c r="JN693"/>
    </row>
    <row r="694" spans="1:274" s="1047" customFormat="1" ht="12.75" customHeight="1" x14ac:dyDescent="0.2">
      <c r="A694" s="1221" t="s">
        <v>1272</v>
      </c>
      <c r="B694" s="1474"/>
      <c r="C694" s="1221"/>
      <c r="D694" s="1221"/>
      <c r="E694" s="1221"/>
      <c r="F694" s="1221"/>
      <c r="G694" s="1221"/>
      <c r="H694" s="1221"/>
      <c r="I694" s="1221"/>
      <c r="J694" s="1221"/>
      <c r="K694" s="1221"/>
      <c r="L694" s="1221"/>
      <c r="M694" s="1221"/>
      <c r="N694" s="1221"/>
      <c r="O694" s="1221"/>
      <c r="P694" s="1221"/>
      <c r="Q694" s="1221"/>
      <c r="R694" s="1221"/>
      <c r="S694" s="1221"/>
      <c r="T694" s="1221"/>
      <c r="U694" s="1221"/>
      <c r="V694" s="1221"/>
      <c r="W694" s="1221"/>
      <c r="X694" s="1221"/>
      <c r="Y694" s="1221"/>
      <c r="Z694" s="1221"/>
      <c r="AA694" s="1221"/>
      <c r="AB694" s="1221"/>
      <c r="AC694" s="1221"/>
      <c r="AD694" s="1221"/>
      <c r="AE694" s="1221"/>
      <c r="AF694" s="1221"/>
      <c r="AG694" s="1221"/>
      <c r="AH694" s="1221"/>
      <c r="AI694" s="1221"/>
      <c r="AJ694" s="1221"/>
      <c r="AK694" s="1221"/>
      <c r="AL694" s="1221"/>
      <c r="AM694" s="1221"/>
      <c r="AN694" s="1221"/>
      <c r="AO694" s="1221"/>
      <c r="AP694" s="1221"/>
      <c r="AQ694" s="1221"/>
      <c r="AR694" s="1221"/>
      <c r="AS694" s="1221"/>
      <c r="AT694" s="1221"/>
      <c r="AU694" s="1221"/>
      <c r="AV694" s="1221"/>
      <c r="AW694" s="1221"/>
      <c r="AX694" s="1221"/>
      <c r="AY694" s="1221"/>
      <c r="AZ694" s="1221"/>
      <c r="BA694" s="1221"/>
      <c r="BB694" s="1221"/>
      <c r="BC694" s="1374"/>
      <c r="BD694" s="1221"/>
      <c r="BE694" s="1221"/>
      <c r="BF694" s="1221"/>
      <c r="BG694" s="1221"/>
      <c r="BH694" s="1221"/>
      <c r="BI694" s="1374"/>
      <c r="BJ694" s="1221"/>
      <c r="BK694" s="1221"/>
      <c r="BL694" s="1221"/>
      <c r="BM694" s="1221"/>
      <c r="BN694" s="1221"/>
      <c r="BO694" s="1374"/>
      <c r="BP694" s="1221"/>
      <c r="BQ694" s="1221"/>
      <c r="BR694" s="1221"/>
      <c r="BS694" s="1221"/>
      <c r="BT694" s="1221"/>
      <c r="BU694" s="1374"/>
      <c r="BV694" s="1221"/>
      <c r="BW694" s="1221"/>
      <c r="BX694" s="1221"/>
      <c r="BY694" s="1221"/>
      <c r="BZ694" s="1221"/>
      <c r="CA694" s="1374"/>
      <c r="CB694" s="1221"/>
      <c r="CC694" s="1221"/>
      <c r="CD694" s="1221"/>
      <c r="CE694" s="1221"/>
      <c r="CF694" s="1221"/>
      <c r="CG694" s="1374"/>
      <c r="CH694" s="1221"/>
      <c r="CI694" s="1221"/>
      <c r="CJ694" s="1221"/>
      <c r="CK694" s="1221"/>
      <c r="CL694" s="1221"/>
      <c r="CM694" s="1374"/>
      <c r="CN694" s="1221"/>
      <c r="CO694" s="1475"/>
      <c r="CP694" s="1475"/>
      <c r="CQ694" s="1475"/>
      <c r="CR694" s="1475"/>
      <c r="CS694" s="1374"/>
      <c r="CT694" s="1476"/>
      <c r="CU694" s="1475"/>
      <c r="CV694" s="1475"/>
      <c r="CW694" s="1475"/>
      <c r="CX694" s="1475"/>
      <c r="CY694" s="1477"/>
      <c r="CZ694" s="1476"/>
      <c r="DA694" s="1475"/>
      <c r="DB694" s="1475"/>
      <c r="DC694" s="1475"/>
      <c r="DD694" s="1475"/>
      <c r="DE694" s="1477"/>
      <c r="DF694" s="1476"/>
      <c r="DG694" s="1475"/>
      <c r="DH694" s="1475"/>
      <c r="DI694" s="1475"/>
      <c r="DJ694" s="1475"/>
      <c r="DK694" s="1477"/>
      <c r="DL694" s="1476"/>
      <c r="DM694" s="1475"/>
      <c r="DN694" s="1475"/>
      <c r="DO694" s="1475"/>
      <c r="DP694" s="1475"/>
      <c r="DQ694" s="1477"/>
      <c r="DR694" s="1476"/>
      <c r="DS694" s="1475"/>
      <c r="DT694" s="1475"/>
      <c r="DU694" s="1475"/>
      <c r="DV694" s="1475"/>
      <c r="DW694" s="1477" t="s">
        <v>385</v>
      </c>
      <c r="DX694" s="1476"/>
      <c r="DY694" s="1475" t="s">
        <v>792</v>
      </c>
      <c r="DZ694" s="1475" t="s">
        <v>1100</v>
      </c>
      <c r="EA694" s="1475" t="s">
        <v>1103</v>
      </c>
      <c r="EB694" s="1475" t="s">
        <v>1108</v>
      </c>
      <c r="EC694" s="1477" t="s">
        <v>225</v>
      </c>
      <c r="ED694" s="1476"/>
      <c r="EE694" s="1475" t="s">
        <v>1124</v>
      </c>
      <c r="EF694" s="1475" t="s">
        <v>1130</v>
      </c>
      <c r="EG694" s="1475" t="s">
        <v>1146</v>
      </c>
      <c r="EH694" s="1475" t="s">
        <v>1155</v>
      </c>
      <c r="EI694" s="1477" t="s">
        <v>226</v>
      </c>
      <c r="EJ694" s="1476"/>
      <c r="EK694" s="1475" t="s">
        <v>1160</v>
      </c>
      <c r="EL694" s="1475" t="s">
        <v>1168</v>
      </c>
      <c r="EM694" s="1475" t="s">
        <v>1173</v>
      </c>
      <c r="EN694" s="1475" t="s">
        <v>1204</v>
      </c>
      <c r="EO694" s="1477" t="s">
        <v>695</v>
      </c>
      <c r="EP694" s="1476"/>
      <c r="EQ694" s="1475" t="s">
        <v>1220</v>
      </c>
      <c r="ER694" s="1475" t="s">
        <v>1228</v>
      </c>
      <c r="ES694" s="1475" t="s">
        <v>1229</v>
      </c>
      <c r="ET694" s="1475" t="s">
        <v>1248</v>
      </c>
      <c r="EU694" s="1477" t="s">
        <v>198</v>
      </c>
      <c r="EV694" s="1476"/>
      <c r="EW694" s="1475" t="s">
        <v>1143</v>
      </c>
      <c r="EX694" s="1475" t="s">
        <v>1144</v>
      </c>
      <c r="EY694" s="1475" t="s">
        <v>1140</v>
      </c>
      <c r="EZ694" s="1475" t="s">
        <v>1141</v>
      </c>
      <c r="FA694" s="1477" t="s">
        <v>1142</v>
      </c>
      <c r="FB694" s="1476"/>
      <c r="FC694" s="1475" t="s">
        <v>1191</v>
      </c>
      <c r="FD694" s="1475" t="s">
        <v>1192</v>
      </c>
      <c r="FE694" s="1475" t="s">
        <v>1193</v>
      </c>
      <c r="FF694" s="1475" t="s">
        <v>1194</v>
      </c>
      <c r="FG694" s="1477" t="s">
        <v>1195</v>
      </c>
      <c r="FH694" s="1476"/>
      <c r="FI694" s="1475" t="s">
        <v>1235</v>
      </c>
      <c r="FJ694" s="1475" t="s">
        <v>1236</v>
      </c>
      <c r="FK694" s="1475" t="s">
        <v>1237</v>
      </c>
      <c r="FL694" s="1475" t="s">
        <v>1238</v>
      </c>
      <c r="FM694" s="1477" t="s">
        <v>1233</v>
      </c>
      <c r="FQ694"/>
      <c r="FR694"/>
      <c r="FS694"/>
      <c r="FT694"/>
      <c r="FU694"/>
      <c r="FV694"/>
      <c r="GB694" s="856"/>
      <c r="GC694" s="856"/>
      <c r="GD694" s="856"/>
      <c r="GE694" s="856"/>
      <c r="GF694" s="856"/>
      <c r="GG694" s="856"/>
      <c r="GH694" s="856"/>
      <c r="GI694" s="856"/>
      <c r="GJ694"/>
      <c r="GK694"/>
      <c r="GL694"/>
      <c r="GM694"/>
      <c r="GN694"/>
      <c r="GO694"/>
      <c r="GP694"/>
      <c r="GQ694"/>
      <c r="GR694"/>
      <c r="GS694"/>
      <c r="GT694"/>
      <c r="GU694"/>
      <c r="GV694"/>
      <c r="GW694"/>
      <c r="GX694"/>
      <c r="GY694"/>
      <c r="GZ694"/>
      <c r="HA694"/>
      <c r="HB694"/>
      <c r="HC694"/>
      <c r="HD694"/>
      <c r="HE694"/>
      <c r="HF694"/>
      <c r="HG694"/>
      <c r="HH694"/>
      <c r="HI694"/>
      <c r="HJ694"/>
      <c r="HK694"/>
      <c r="HL694"/>
      <c r="HM694"/>
      <c r="HN694"/>
      <c r="HO694"/>
      <c r="HP694"/>
      <c r="HQ694"/>
      <c r="HR694"/>
      <c r="HS694"/>
      <c r="HT694"/>
      <c r="HU694"/>
      <c r="HV694"/>
      <c r="HW694"/>
      <c r="HX694"/>
      <c r="HY694"/>
      <c r="HZ694"/>
      <c r="IA694"/>
      <c r="IB694"/>
      <c r="IC694"/>
      <c r="ID694"/>
      <c r="IE694"/>
      <c r="IF694"/>
      <c r="IG694"/>
      <c r="IH694"/>
      <c r="II694"/>
      <c r="IJ694"/>
      <c r="IK694"/>
      <c r="IL694"/>
      <c r="IM694"/>
      <c r="IN694"/>
      <c r="IO694"/>
      <c r="IP694"/>
      <c r="IQ694"/>
      <c r="IR694"/>
      <c r="IS694"/>
      <c r="IT694"/>
      <c r="IU694"/>
      <c r="IV694"/>
      <c r="IW694"/>
      <c r="IX694"/>
      <c r="IY694"/>
      <c r="IZ694"/>
      <c r="JA694"/>
      <c r="JB694"/>
      <c r="JC694"/>
      <c r="JD694"/>
      <c r="JE694"/>
      <c r="JF694"/>
      <c r="JG694"/>
      <c r="JH694"/>
      <c r="JI694"/>
      <c r="JJ694"/>
      <c r="JK694"/>
      <c r="JL694"/>
      <c r="JM694"/>
      <c r="JN694"/>
    </row>
    <row r="695" spans="1:274" s="1047" customFormat="1" ht="12.75" customHeight="1" x14ac:dyDescent="0.2">
      <c r="A695" s="696" t="s">
        <v>1273</v>
      </c>
      <c r="B695" s="697"/>
      <c r="C695" s="698"/>
      <c r="D695" s="698"/>
      <c r="E695" s="698"/>
      <c r="F695" s="698"/>
      <c r="G695" s="698"/>
      <c r="H695" s="698"/>
      <c r="I695" s="698"/>
      <c r="J695" s="698"/>
      <c r="K695" s="698"/>
      <c r="L695" s="698"/>
      <c r="M695" s="698"/>
      <c r="N695" s="698"/>
      <c r="O695" s="698"/>
      <c r="P695" s="698"/>
      <c r="Q695" s="698"/>
      <c r="R695" s="698"/>
      <c r="S695" s="698"/>
      <c r="T695" s="698"/>
      <c r="U695" s="698"/>
      <c r="V695" s="698"/>
      <c r="W695" s="698"/>
      <c r="X695" s="698"/>
      <c r="Y695" s="698"/>
      <c r="Z695" s="698"/>
      <c r="AA695" s="698"/>
      <c r="AB695" s="698"/>
      <c r="AC695" s="698"/>
      <c r="AD695" s="698"/>
      <c r="AE695" s="698"/>
      <c r="AF695" s="698"/>
      <c r="AG695" s="698"/>
      <c r="AH695" s="698"/>
      <c r="AI695" s="698"/>
      <c r="AJ695" s="698"/>
      <c r="AK695" s="698"/>
      <c r="AL695" s="698"/>
      <c r="AM695" s="698"/>
      <c r="AN695" s="698"/>
      <c r="AO695" s="698"/>
      <c r="AP695" s="698"/>
      <c r="AQ695" s="698"/>
      <c r="AR695" s="698"/>
      <c r="AS695" s="698"/>
      <c r="AT695" s="698"/>
      <c r="AU695" s="698"/>
      <c r="AV695" s="698"/>
      <c r="AW695" s="698"/>
      <c r="AX695" s="698"/>
      <c r="AY695" s="698"/>
      <c r="AZ695" s="698"/>
      <c r="BA695" s="698"/>
      <c r="BB695" s="698"/>
      <c r="BC695" s="699"/>
      <c r="BD695" s="698"/>
      <c r="BE695" s="698"/>
      <c r="BF695" s="698"/>
      <c r="BG695" s="698"/>
      <c r="BH695" s="698"/>
      <c r="BI695" s="699"/>
      <c r="BJ695" s="698"/>
      <c r="BK695" s="698"/>
      <c r="BL695" s="698"/>
      <c r="BM695" s="698"/>
      <c r="BN695" s="698"/>
      <c r="BO695" s="699"/>
      <c r="BP695" s="698"/>
      <c r="BQ695" s="698"/>
      <c r="BR695" s="698"/>
      <c r="BS695" s="698"/>
      <c r="BT695" s="698"/>
      <c r="BU695" s="699"/>
      <c r="BV695" s="698"/>
      <c r="BW695" s="698"/>
      <c r="BX695" s="698"/>
      <c r="BY695" s="698"/>
      <c r="BZ695" s="1118"/>
      <c r="CA695" s="678"/>
      <c r="CB695" s="698"/>
      <c r="CC695" s="698"/>
      <c r="CD695" s="698"/>
      <c r="CE695" s="698"/>
      <c r="CF695" s="1118"/>
      <c r="CG695" s="678"/>
      <c r="CH695" s="698"/>
      <c r="CI695" s="698"/>
      <c r="CJ695" s="698"/>
      <c r="CK695" s="698"/>
      <c r="CL695" s="1118"/>
      <c r="CM695" s="143"/>
      <c r="CN695" s="698"/>
      <c r="CO695" s="700"/>
      <c r="CP695" s="700"/>
      <c r="CQ695" s="700"/>
      <c r="CR695" s="1118"/>
      <c r="CS695" s="143"/>
      <c r="CT695" s="700"/>
      <c r="CU695" s="700"/>
      <c r="CV695" s="700"/>
      <c r="CW695" s="700"/>
      <c r="CX695" s="1118"/>
      <c r="CY695" s="701"/>
      <c r="CZ695" s="700"/>
      <c r="DA695" s="700"/>
      <c r="DB695" s="700"/>
      <c r="DC695" s="700"/>
      <c r="DD695" s="700"/>
      <c r="DE695" s="701"/>
      <c r="DF695" s="700"/>
      <c r="DG695" s="700"/>
      <c r="DH695" s="700"/>
      <c r="DI695" s="700"/>
      <c r="DJ695" s="700"/>
      <c r="DK695" s="701"/>
      <c r="DL695" s="700"/>
      <c r="DM695" s="700"/>
      <c r="DN695" s="1118"/>
      <c r="DO695" s="1118"/>
      <c r="DP695" s="1118"/>
      <c r="DQ695" s="701"/>
      <c r="DR695" s="700"/>
      <c r="DS695" s="1118"/>
      <c r="DT695" s="1118"/>
      <c r="DU695" s="1118"/>
      <c r="DV695" s="1118"/>
      <c r="DW695" s="701"/>
      <c r="DX695" s="700"/>
      <c r="DY695" s="1118"/>
      <c r="DZ695" s="1118"/>
      <c r="EA695" s="1118"/>
      <c r="EB695" s="1118"/>
      <c r="EC695" s="701"/>
      <c r="ED695" s="700"/>
      <c r="EE695" s="1118"/>
      <c r="EF695" s="1118"/>
      <c r="EG695" s="1118"/>
      <c r="EH695" s="1118"/>
      <c r="EI695" s="701"/>
      <c r="EJ695" s="700"/>
      <c r="EK695" s="1118"/>
      <c r="EL695" s="1118"/>
      <c r="EM695" s="1118"/>
      <c r="EN695" s="1118"/>
      <c r="EO695" s="701"/>
      <c r="EP695" s="700"/>
      <c r="EQ695" s="1118"/>
      <c r="ER695" s="1118"/>
      <c r="ES695" s="1118"/>
      <c r="ET695" s="1118"/>
      <c r="EU695" s="701"/>
      <c r="EV695" s="700"/>
      <c r="EW695" s="700"/>
      <c r="EX695" s="700"/>
      <c r="EY695" s="700"/>
      <c r="EZ695" s="700"/>
      <c r="FA695" s="701"/>
      <c r="FB695" s="700"/>
      <c r="FC695" s="700"/>
      <c r="FD695" s="700"/>
      <c r="FE695" s="700"/>
      <c r="FF695" s="700"/>
      <c r="FG695" s="701"/>
      <c r="FH695" s="700"/>
      <c r="FI695" s="700"/>
      <c r="FJ695" s="700"/>
      <c r="FK695" s="700"/>
      <c r="FL695" s="700"/>
      <c r="FM695" s="701"/>
      <c r="FQ695"/>
      <c r="FR695"/>
      <c r="FS695"/>
      <c r="FT695"/>
      <c r="FU695"/>
      <c r="FV695"/>
      <c r="GB695" s="856"/>
      <c r="GC695" s="856"/>
      <c r="GD695" s="856"/>
      <c r="GE695" s="856"/>
      <c r="GF695" s="856"/>
      <c r="GG695" s="856"/>
      <c r="GH695" s="856"/>
      <c r="GI695" s="856"/>
      <c r="GJ695"/>
      <c r="GK695"/>
      <c r="GL695"/>
      <c r="GM695"/>
      <c r="GN695"/>
      <c r="GO695"/>
      <c r="GP695"/>
      <c r="GQ695"/>
      <c r="GR695"/>
      <c r="GS695"/>
      <c r="GT695"/>
      <c r="GU695"/>
      <c r="GV695"/>
      <c r="GW695"/>
      <c r="GX695"/>
      <c r="GY695"/>
      <c r="GZ695"/>
      <c r="HA695"/>
      <c r="HB695"/>
      <c r="HC695"/>
      <c r="HD695"/>
      <c r="HE695"/>
      <c r="HF695"/>
      <c r="HG695"/>
      <c r="HH695"/>
      <c r="HI695"/>
      <c r="HJ695"/>
      <c r="HK695"/>
      <c r="HL695"/>
      <c r="HM695"/>
      <c r="HN695"/>
      <c r="HO695"/>
      <c r="HP695"/>
      <c r="HQ695"/>
      <c r="HR695"/>
      <c r="HS695"/>
      <c r="HT695"/>
      <c r="HU695"/>
      <c r="HV695"/>
      <c r="HW695"/>
      <c r="HX695"/>
      <c r="HY695"/>
      <c r="HZ695"/>
      <c r="IA695"/>
      <c r="IB695"/>
      <c r="IC695"/>
      <c r="ID695"/>
      <c r="IE695"/>
      <c r="IF695"/>
      <c r="IG695"/>
      <c r="IH695"/>
      <c r="II695"/>
      <c r="IJ695"/>
      <c r="IK695"/>
      <c r="IL695"/>
      <c r="IM695"/>
      <c r="IN695"/>
      <c r="IO695"/>
      <c r="IP695"/>
      <c r="IQ695"/>
      <c r="IR695"/>
      <c r="IS695"/>
      <c r="IT695"/>
      <c r="IU695"/>
      <c r="IV695"/>
      <c r="IW695"/>
      <c r="IX695"/>
      <c r="IY695"/>
      <c r="IZ695"/>
      <c r="JA695"/>
      <c r="JB695"/>
      <c r="JC695"/>
      <c r="JD695"/>
      <c r="JE695"/>
      <c r="JF695"/>
      <c r="JG695"/>
      <c r="JH695"/>
      <c r="JI695"/>
      <c r="JJ695"/>
      <c r="JK695"/>
      <c r="JL695"/>
      <c r="JM695"/>
      <c r="JN695"/>
    </row>
    <row r="696" spans="1:274" s="1047" customFormat="1" ht="12.75" customHeight="1" x14ac:dyDescent="0.2">
      <c r="A696" s="702" t="s">
        <v>1078</v>
      </c>
      <c r="B696" s="697"/>
      <c r="C696" s="698"/>
      <c r="D696" s="698"/>
      <c r="E696" s="698"/>
      <c r="F696" s="698"/>
      <c r="G696" s="698"/>
      <c r="H696" s="698"/>
      <c r="I696" s="698"/>
      <c r="J696" s="698"/>
      <c r="K696" s="698"/>
      <c r="L696" s="698"/>
      <c r="M696" s="698"/>
      <c r="N696" s="698"/>
      <c r="O696" s="698"/>
      <c r="P696" s="698"/>
      <c r="Q696" s="698"/>
      <c r="R696" s="698"/>
      <c r="S696" s="698"/>
      <c r="T696" s="698"/>
      <c r="U696" s="698"/>
      <c r="V696" s="698"/>
      <c r="W696" s="698"/>
      <c r="X696" s="698"/>
      <c r="Y696" s="698"/>
      <c r="Z696" s="698"/>
      <c r="AA696" s="698"/>
      <c r="AB696" s="698"/>
      <c r="AC696" s="698"/>
      <c r="AD696" s="698"/>
      <c r="AE696" s="698"/>
      <c r="AF696" s="698"/>
      <c r="AG696" s="698"/>
      <c r="AH696" s="698"/>
      <c r="AI696" s="698"/>
      <c r="AJ696" s="698"/>
      <c r="AK696" s="698"/>
      <c r="AL696" s="698"/>
      <c r="AM696" s="698"/>
      <c r="AN696" s="698"/>
      <c r="AO696" s="698"/>
      <c r="AP696" s="698"/>
      <c r="AQ696" s="698"/>
      <c r="AR696" s="698"/>
      <c r="AS696" s="698"/>
      <c r="AT696" s="698"/>
      <c r="AU696" s="698"/>
      <c r="AV696" s="698"/>
      <c r="AW696" s="698"/>
      <c r="AX696" s="698"/>
      <c r="AY696" s="698"/>
      <c r="AZ696" s="698">
        <v>1106.8710000000001</v>
      </c>
      <c r="BA696" s="698">
        <v>1119.905</v>
      </c>
      <c r="BB696" s="698"/>
      <c r="BC696" s="436">
        <v>4657</v>
      </c>
      <c r="BD696" s="698"/>
      <c r="BE696" s="243">
        <v>721</v>
      </c>
      <c r="BF696" s="243">
        <v>806</v>
      </c>
      <c r="BG696" s="243">
        <v>779</v>
      </c>
      <c r="BH696" s="243">
        <f>BI696-BG696-BF696-BE696</f>
        <v>1171</v>
      </c>
      <c r="BI696" s="436">
        <v>3477</v>
      </c>
      <c r="BJ696" s="243"/>
      <c r="BK696" s="243">
        <v>557</v>
      </c>
      <c r="BL696" s="243">
        <v>759</v>
      </c>
      <c r="BM696" s="243">
        <v>749</v>
      </c>
      <c r="BN696" s="243">
        <f>BO696-BM696-BL696-BK696</f>
        <v>1186</v>
      </c>
      <c r="BO696" s="436">
        <v>3251</v>
      </c>
      <c r="BP696" s="243"/>
      <c r="BQ696" s="243">
        <v>524</v>
      </c>
      <c r="BR696" s="243">
        <v>852</v>
      </c>
      <c r="BS696" s="243">
        <v>845</v>
      </c>
      <c r="BT696" s="243">
        <f>BU696-BS696-BR696-BQ696</f>
        <v>1312</v>
      </c>
      <c r="BU696" s="436">
        <v>3533</v>
      </c>
      <c r="BV696" s="698"/>
      <c r="BW696" s="243">
        <v>561</v>
      </c>
      <c r="BX696" s="243">
        <v>969</v>
      </c>
      <c r="BY696" s="243">
        <v>946</v>
      </c>
      <c r="BZ696" s="243">
        <f>CA696-BY696-BX696-BW696</f>
        <v>1606</v>
      </c>
      <c r="CA696" s="436">
        <v>4082</v>
      </c>
      <c r="CB696" s="698"/>
      <c r="CC696" s="243">
        <v>628</v>
      </c>
      <c r="CD696" s="243">
        <v>1056</v>
      </c>
      <c r="CE696" s="243">
        <v>1095</v>
      </c>
      <c r="CF696" s="243">
        <f>CG696-CE696-CD696-CC696</f>
        <v>2118</v>
      </c>
      <c r="CG696" s="436">
        <v>4897</v>
      </c>
      <c r="CH696" s="698"/>
      <c r="CI696" s="243">
        <v>802</v>
      </c>
      <c r="CJ696" s="243">
        <v>1205</v>
      </c>
      <c r="CK696" s="243">
        <v>1388</v>
      </c>
      <c r="CL696" s="243">
        <f>CM696-CK696-CJ696-CI696</f>
        <v>2479</v>
      </c>
      <c r="CM696" s="1077">
        <v>5874</v>
      </c>
      <c r="CN696" s="698"/>
      <c r="CO696" s="243">
        <v>1084</v>
      </c>
      <c r="CP696" s="243">
        <v>1665</v>
      </c>
      <c r="CQ696" s="243">
        <v>1612</v>
      </c>
      <c r="CR696" s="243">
        <f>CS696-CQ696-CP696-CO696</f>
        <v>3140</v>
      </c>
      <c r="CS696" s="1077">
        <v>7501</v>
      </c>
      <c r="CT696" s="698"/>
      <c r="CU696" s="243"/>
      <c r="CV696" s="243"/>
      <c r="CW696" s="243"/>
      <c r="CX696" s="243"/>
      <c r="CY696" s="1077"/>
      <c r="CZ696" s="698"/>
      <c r="DA696" s="243"/>
      <c r="DB696" s="243"/>
      <c r="DC696" s="243"/>
      <c r="DD696" s="243"/>
      <c r="DE696" s="1077"/>
      <c r="DF696" s="698"/>
      <c r="DG696" s="243"/>
      <c r="DH696" s="243"/>
      <c r="DI696" s="243"/>
      <c r="DJ696" s="243"/>
      <c r="DK696" s="1077"/>
      <c r="DL696" s="698"/>
      <c r="DM696" s="243"/>
      <c r="DN696" s="243"/>
      <c r="DO696" s="243"/>
      <c r="DP696" s="243"/>
      <c r="DQ696" s="1077"/>
      <c r="DR696" s="698"/>
      <c r="DS696" s="243"/>
      <c r="DT696" s="243"/>
      <c r="DU696" s="243"/>
      <c r="DV696" s="243"/>
      <c r="DW696" s="1077"/>
      <c r="DX696" s="698"/>
      <c r="DY696" s="243"/>
      <c r="DZ696" s="243"/>
      <c r="EA696" s="243"/>
      <c r="EB696" s="243"/>
      <c r="EC696" s="1077"/>
      <c r="ED696" s="698"/>
      <c r="EE696" s="243"/>
      <c r="EF696" s="243"/>
      <c r="EG696" s="243"/>
      <c r="EH696" s="243"/>
      <c r="EI696" s="1077">
        <v>29491</v>
      </c>
      <c r="EJ696" s="698"/>
      <c r="EK696" s="243"/>
      <c r="EL696" s="243"/>
      <c r="EM696" s="243"/>
      <c r="EN696" s="243"/>
      <c r="EO696" s="1077">
        <v>28997</v>
      </c>
      <c r="EP696" s="698"/>
      <c r="EQ696" s="243"/>
      <c r="ER696" s="243"/>
      <c r="ES696" s="243"/>
      <c r="ET696" s="243"/>
      <c r="EU696" s="1077">
        <v>30389</v>
      </c>
      <c r="EV696" s="698"/>
      <c r="EW696" s="698"/>
      <c r="EX696" s="698"/>
      <c r="EY696" s="698"/>
      <c r="EZ696" s="698"/>
      <c r="FA696" s="699"/>
      <c r="FB696" s="698"/>
      <c r="FC696" s="698"/>
      <c r="FD696" s="698"/>
      <c r="FE696" s="698"/>
      <c r="FF696" s="698"/>
      <c r="FG696" s="699"/>
      <c r="FH696" s="698"/>
      <c r="FI696" s="698"/>
      <c r="FJ696" s="698"/>
      <c r="FK696" s="698"/>
      <c r="FL696" s="698"/>
      <c r="FM696" s="699"/>
      <c r="FQ696"/>
      <c r="FR696"/>
      <c r="FS696"/>
      <c r="FT696"/>
      <c r="FU696"/>
      <c r="FV696"/>
      <c r="GB696" s="856"/>
      <c r="GC696" s="856"/>
      <c r="GD696" s="856"/>
      <c r="GE696" s="856"/>
      <c r="GF696" s="856"/>
      <c r="GG696" s="856"/>
      <c r="GH696" s="856"/>
      <c r="GI696" s="856"/>
      <c r="GJ696"/>
      <c r="GK696"/>
      <c r="GL696"/>
      <c r="GM696"/>
      <c r="GN696"/>
      <c r="GO696"/>
      <c r="GP696"/>
      <c r="GQ696"/>
      <c r="GR696"/>
      <c r="GS696"/>
      <c r="GT696"/>
      <c r="GU696"/>
      <c r="GV696"/>
      <c r="GW696"/>
      <c r="GX696"/>
      <c r="GY696"/>
      <c r="GZ696"/>
      <c r="HA696"/>
      <c r="HB696"/>
      <c r="HC696"/>
      <c r="HD696"/>
      <c r="HE696"/>
      <c r="HF696"/>
      <c r="HG696"/>
      <c r="HH696"/>
      <c r="HI696"/>
      <c r="HJ696"/>
      <c r="HK696"/>
      <c r="HL696"/>
      <c r="HM696"/>
      <c r="HN696"/>
      <c r="HO696"/>
      <c r="HP696"/>
      <c r="HQ696"/>
      <c r="HR696"/>
      <c r="HS696"/>
      <c r="HT696"/>
      <c r="HU696"/>
      <c r="HV696"/>
      <c r="HW696"/>
      <c r="HX696"/>
      <c r="HY696"/>
      <c r="HZ696"/>
      <c r="IA696"/>
      <c r="IB696"/>
      <c r="IC696"/>
      <c r="ID696"/>
      <c r="IE696"/>
      <c r="IF696"/>
      <c r="IG696"/>
      <c r="IH696"/>
      <c r="II696"/>
      <c r="IJ696"/>
      <c r="IK696"/>
      <c r="IL696"/>
      <c r="IM696"/>
      <c r="IN696"/>
      <c r="IO696"/>
      <c r="IP696"/>
      <c r="IQ696"/>
      <c r="IR696"/>
      <c r="IS696"/>
      <c r="IT696"/>
      <c r="IU696"/>
      <c r="IV696"/>
      <c r="IW696"/>
      <c r="IX696"/>
      <c r="IY696"/>
      <c r="IZ696"/>
      <c r="JA696"/>
      <c r="JB696"/>
      <c r="JC696"/>
      <c r="JD696"/>
      <c r="JE696"/>
      <c r="JF696"/>
      <c r="JG696"/>
      <c r="JH696"/>
      <c r="JI696"/>
      <c r="JJ696"/>
      <c r="JK696"/>
      <c r="JL696"/>
      <c r="JM696"/>
      <c r="JN696"/>
    </row>
    <row r="697" spans="1:274" s="1047" customFormat="1" ht="12.75" customHeight="1" x14ac:dyDescent="0.2">
      <c r="A697" s="702" t="s">
        <v>1079</v>
      </c>
      <c r="B697" s="697"/>
      <c r="C697" s="698"/>
      <c r="D697" s="698"/>
      <c r="E697" s="698"/>
      <c r="F697" s="698"/>
      <c r="G697" s="698"/>
      <c r="H697" s="698"/>
      <c r="I697" s="698"/>
      <c r="J697" s="698"/>
      <c r="K697" s="698"/>
      <c r="L697" s="698"/>
      <c r="M697" s="698"/>
      <c r="N697" s="698"/>
      <c r="O697" s="698"/>
      <c r="P697" s="698"/>
      <c r="Q697" s="698"/>
      <c r="R697" s="698"/>
      <c r="S697" s="698"/>
      <c r="T697" s="698"/>
      <c r="U697" s="698"/>
      <c r="V697" s="698"/>
      <c r="W697" s="698"/>
      <c r="X697" s="698"/>
      <c r="Y697" s="698"/>
      <c r="Z697" s="698"/>
      <c r="AA697" s="698"/>
      <c r="AB697" s="698"/>
      <c r="AC697" s="698"/>
      <c r="AD697" s="698"/>
      <c r="AE697" s="698"/>
      <c r="AF697" s="698"/>
      <c r="AG697" s="698"/>
      <c r="AH697" s="698"/>
      <c r="AI697" s="698"/>
      <c r="AJ697" s="698"/>
      <c r="AK697" s="698"/>
      <c r="AL697" s="698"/>
      <c r="AM697" s="698"/>
      <c r="AN697" s="698"/>
      <c r="AO697" s="698"/>
      <c r="AP697" s="698"/>
      <c r="AQ697" s="698"/>
      <c r="AR697" s="698"/>
      <c r="AS697" s="698"/>
      <c r="AT697" s="698"/>
      <c r="AU697" s="698"/>
      <c r="AV697" s="698"/>
      <c r="AW697" s="698"/>
      <c r="AX697" s="698"/>
      <c r="AY697" s="698"/>
      <c r="AZ697" s="698">
        <v>492.23200000000003</v>
      </c>
      <c r="BA697" s="698">
        <v>510.99099999999999</v>
      </c>
      <c r="BB697" s="698"/>
      <c r="BC697" s="436">
        <v>2080</v>
      </c>
      <c r="BD697" s="698"/>
      <c r="BE697" s="243">
        <v>405</v>
      </c>
      <c r="BF697" s="243">
        <v>427</v>
      </c>
      <c r="BG697" s="243">
        <v>385</v>
      </c>
      <c r="BH697" s="243">
        <f>BI697-BG697-BF697-BE697</f>
        <v>461</v>
      </c>
      <c r="BI697" s="436">
        <v>1678</v>
      </c>
      <c r="BJ697" s="243"/>
      <c r="BK697" s="243">
        <v>367</v>
      </c>
      <c r="BL697" s="243">
        <v>397</v>
      </c>
      <c r="BM697" s="243">
        <v>406</v>
      </c>
      <c r="BN697" s="243">
        <f>BO697-BM697-BL697-BK697</f>
        <v>430</v>
      </c>
      <c r="BO697" s="436">
        <v>1600</v>
      </c>
      <c r="BP697" s="243"/>
      <c r="BQ697" s="243">
        <v>365</v>
      </c>
      <c r="BR697" s="243">
        <v>413</v>
      </c>
      <c r="BS697" s="243">
        <v>433</v>
      </c>
      <c r="BT697" s="243">
        <f>BU697-BS697-BR697-BQ697</f>
        <v>510</v>
      </c>
      <c r="BU697" s="436">
        <v>1721</v>
      </c>
      <c r="BV697" s="698"/>
      <c r="BW697" s="243">
        <v>383</v>
      </c>
      <c r="BX697" s="243">
        <v>447</v>
      </c>
      <c r="BY697" s="243">
        <v>537</v>
      </c>
      <c r="BZ697" s="243">
        <f>CA697-BY697-BX697-BW697</f>
        <v>688</v>
      </c>
      <c r="CA697" s="436">
        <v>2055</v>
      </c>
      <c r="CB697" s="698"/>
      <c r="CC697" s="243">
        <v>501</v>
      </c>
      <c r="CD697" s="243">
        <v>576</v>
      </c>
      <c r="CE697" s="243">
        <v>622</v>
      </c>
      <c r="CF697" s="243">
        <f>CG697-CE697-CD697-CC697</f>
        <v>939</v>
      </c>
      <c r="CG697" s="436">
        <v>2638</v>
      </c>
      <c r="CH697" s="698"/>
      <c r="CI697" s="243">
        <v>627</v>
      </c>
      <c r="CJ697" s="243">
        <v>769</v>
      </c>
      <c r="CK697" s="243">
        <v>826</v>
      </c>
      <c r="CL697" s="243">
        <f>CM697-CK697-CJ697-CI697</f>
        <v>1104</v>
      </c>
      <c r="CM697" s="1077">
        <v>3326</v>
      </c>
      <c r="CN697" s="698"/>
      <c r="CO697" s="243">
        <v>838</v>
      </c>
      <c r="CP697" s="243">
        <v>934</v>
      </c>
      <c r="CQ697" s="243">
        <v>927</v>
      </c>
      <c r="CR697" s="243">
        <f>CS697-CQ697-CP697-CO697</f>
        <v>1341</v>
      </c>
      <c r="CS697" s="1077">
        <v>4040</v>
      </c>
      <c r="CT697" s="698"/>
      <c r="CU697" s="243"/>
      <c r="CV697" s="243"/>
      <c r="CW697" s="243"/>
      <c r="CX697" s="243"/>
      <c r="CY697" s="1077"/>
      <c r="CZ697" s="698"/>
      <c r="DA697" s="243"/>
      <c r="DB697" s="243"/>
      <c r="DC697" s="243"/>
      <c r="DD697" s="243"/>
      <c r="DE697" s="1077"/>
      <c r="DF697" s="698"/>
      <c r="DG697" s="243"/>
      <c r="DH697" s="243"/>
      <c r="DI697" s="243"/>
      <c r="DJ697" s="243"/>
      <c r="DK697" s="1077"/>
      <c r="DL697" s="698"/>
      <c r="DM697" s="243"/>
      <c r="DN697" s="243"/>
      <c r="DO697" s="243"/>
      <c r="DP697" s="243"/>
      <c r="DQ697" s="1077"/>
      <c r="DR697" s="698"/>
      <c r="DS697" s="243"/>
      <c r="DT697" s="243"/>
      <c r="DU697" s="243"/>
      <c r="DV697" s="243"/>
      <c r="DW697" s="1077"/>
      <c r="DX697" s="698"/>
      <c r="DY697" s="243"/>
      <c r="DZ697" s="243"/>
      <c r="EA697" s="243"/>
      <c r="EB697" s="243"/>
      <c r="EC697" s="1077"/>
      <c r="ED697" s="698"/>
      <c r="EE697" s="243"/>
      <c r="EF697" s="243"/>
      <c r="EG697" s="243"/>
      <c r="EH697" s="243"/>
      <c r="EI697" s="1077">
        <v>6398</v>
      </c>
      <c r="EJ697" s="698"/>
      <c r="EK697" s="243"/>
      <c r="EL697" s="243"/>
      <c r="EM697" s="243"/>
      <c r="EN697" s="243"/>
      <c r="EO697" s="1077">
        <v>6570</v>
      </c>
      <c r="EP697" s="698"/>
      <c r="EQ697" s="243"/>
      <c r="ER697" s="243"/>
      <c r="ES697" s="243"/>
      <c r="ET697" s="243"/>
      <c r="EU697" s="1077">
        <v>6886</v>
      </c>
      <c r="EV697" s="698"/>
      <c r="EW697" s="698"/>
      <c r="EX697" s="698"/>
      <c r="EY697" s="698"/>
      <c r="EZ697" s="698"/>
      <c r="FA697" s="699"/>
      <c r="FB697" s="698"/>
      <c r="FC697" s="698"/>
      <c r="FD697" s="698"/>
      <c r="FE697" s="698"/>
      <c r="FF697" s="698"/>
      <c r="FG697" s="699"/>
      <c r="FH697" s="698"/>
      <c r="FI697" s="698"/>
      <c r="FJ697" s="698"/>
      <c r="FK697" s="698"/>
      <c r="FL697" s="698"/>
      <c r="FM697" s="699"/>
      <c r="FQ697"/>
      <c r="FR697"/>
      <c r="FS697"/>
      <c r="FT697"/>
      <c r="FU697"/>
      <c r="FV697"/>
      <c r="GB697" s="856"/>
      <c r="GC697" s="856"/>
      <c r="GD697" s="856"/>
      <c r="GE697" s="856"/>
      <c r="GF697" s="856"/>
      <c r="GG697" s="856"/>
      <c r="GH697" s="856"/>
      <c r="GI697" s="856"/>
      <c r="GJ697"/>
      <c r="GK697"/>
      <c r="GL697"/>
      <c r="GM697"/>
      <c r="GN697"/>
      <c r="GO697"/>
      <c r="GP697"/>
      <c r="GQ697"/>
      <c r="GR697"/>
      <c r="GS697"/>
      <c r="GT697"/>
      <c r="GU697"/>
      <c r="GV697"/>
      <c r="GW697"/>
      <c r="GX697"/>
      <c r="GY697"/>
      <c r="GZ697"/>
      <c r="HA697"/>
      <c r="HB697"/>
      <c r="HC697"/>
      <c r="HD697"/>
      <c r="HE697"/>
      <c r="HF697"/>
      <c r="HG697"/>
      <c r="HH697"/>
      <c r="HI697"/>
      <c r="HJ697"/>
      <c r="HK697"/>
      <c r="HL697"/>
      <c r="HM697"/>
      <c r="HN697"/>
      <c r="HO697"/>
      <c r="HP697"/>
      <c r="HQ697"/>
      <c r="HR697"/>
      <c r="HS697"/>
      <c r="HT697"/>
      <c r="HU697"/>
      <c r="HV697"/>
      <c r="HW697"/>
      <c r="HX697"/>
      <c r="HY697"/>
      <c r="HZ697"/>
      <c r="IA697"/>
      <c r="IB697"/>
      <c r="IC697"/>
      <c r="ID697"/>
      <c r="IE697"/>
      <c r="IF697"/>
      <c r="IG697"/>
      <c r="IH697"/>
      <c r="II697"/>
      <c r="IJ697"/>
      <c r="IK697"/>
      <c r="IL697"/>
      <c r="IM697"/>
      <c r="IN697"/>
      <c r="IO697"/>
      <c r="IP697"/>
      <c r="IQ697"/>
      <c r="IR697"/>
      <c r="IS697"/>
      <c r="IT697"/>
      <c r="IU697"/>
      <c r="IV697"/>
      <c r="IW697"/>
      <c r="IX697"/>
      <c r="IY697"/>
      <c r="IZ697"/>
      <c r="JA697"/>
      <c r="JB697"/>
      <c r="JC697"/>
      <c r="JD697"/>
      <c r="JE697"/>
      <c r="JF697"/>
      <c r="JG697"/>
      <c r="JH697"/>
      <c r="JI697"/>
      <c r="JJ697"/>
      <c r="JK697"/>
      <c r="JL697"/>
      <c r="JM697"/>
      <c r="JN697"/>
    </row>
    <row r="698" spans="1:274" s="1047" customFormat="1" ht="12.75" customHeight="1" x14ac:dyDescent="0.2">
      <c r="A698" s="702" t="s">
        <v>1277</v>
      </c>
      <c r="B698" s="697"/>
      <c r="C698" s="698"/>
      <c r="D698" s="698"/>
      <c r="E698" s="698"/>
      <c r="F698" s="698"/>
      <c r="G698" s="698"/>
      <c r="H698" s="698"/>
      <c r="I698" s="698"/>
      <c r="J698" s="698"/>
      <c r="K698" s="698"/>
      <c r="L698" s="698"/>
      <c r="M698" s="698"/>
      <c r="N698" s="698"/>
      <c r="O698" s="698"/>
      <c r="P698" s="698"/>
      <c r="Q698" s="698"/>
      <c r="R698" s="698"/>
      <c r="S698" s="698"/>
      <c r="T698" s="698"/>
      <c r="U698" s="698"/>
      <c r="V698" s="698"/>
      <c r="W698" s="698"/>
      <c r="X698" s="698"/>
      <c r="Y698" s="698"/>
      <c r="Z698" s="698"/>
      <c r="AA698" s="698"/>
      <c r="AB698" s="698"/>
      <c r="AC698" s="698"/>
      <c r="AD698" s="698"/>
      <c r="AE698" s="698"/>
      <c r="AF698" s="698"/>
      <c r="AG698" s="698"/>
      <c r="AH698" s="698"/>
      <c r="AI698" s="698"/>
      <c r="AJ698" s="698"/>
      <c r="AK698" s="698"/>
      <c r="AL698" s="698"/>
      <c r="AM698" s="698"/>
      <c r="AN698" s="698"/>
      <c r="AO698" s="698"/>
      <c r="AP698" s="698"/>
      <c r="AQ698" s="698"/>
      <c r="AR698" s="698"/>
      <c r="AS698" s="698"/>
      <c r="AT698" s="698"/>
      <c r="AU698" s="698"/>
      <c r="AV698" s="698"/>
      <c r="AW698" s="698"/>
      <c r="AX698" s="698"/>
      <c r="AY698" s="698"/>
      <c r="AZ698" s="698"/>
      <c r="BA698" s="698"/>
      <c r="BB698" s="698"/>
      <c r="BC698" s="436"/>
      <c r="BD698" s="698"/>
      <c r="BE698" s="243"/>
      <c r="BF698" s="243"/>
      <c r="BG698" s="243"/>
      <c r="BH698" s="243"/>
      <c r="BI698" s="436"/>
      <c r="BJ698" s="243"/>
      <c r="BK698" s="243"/>
      <c r="BL698" s="243"/>
      <c r="BM698" s="243"/>
      <c r="BN698" s="243"/>
      <c r="BO698" s="436"/>
      <c r="BP698" s="243"/>
      <c r="BQ698" s="243"/>
      <c r="BR698" s="243"/>
      <c r="BS698" s="243"/>
      <c r="BT698" s="243"/>
      <c r="BU698" s="436"/>
      <c r="BV698" s="698"/>
      <c r="BW698" s="243"/>
      <c r="BX698" s="243"/>
      <c r="BY698" s="243"/>
      <c r="BZ698" s="243"/>
      <c r="CA698" s="436"/>
      <c r="CB698" s="698"/>
      <c r="CC698" s="243"/>
      <c r="CD698" s="243"/>
      <c r="CE698" s="243"/>
      <c r="CF698" s="243"/>
      <c r="CG698" s="436"/>
      <c r="CH698" s="698"/>
      <c r="CI698" s="243"/>
      <c r="CJ698" s="243"/>
      <c r="CK698" s="243"/>
      <c r="CL698" s="243"/>
      <c r="CM698" s="1077"/>
      <c r="CN698" s="698"/>
      <c r="CO698" s="243"/>
      <c r="CP698" s="243"/>
      <c r="CQ698" s="243"/>
      <c r="CR698" s="243"/>
      <c r="CS698" s="1077"/>
      <c r="CT698" s="698"/>
      <c r="CU698" s="243"/>
      <c r="CV698" s="243"/>
      <c r="CW698" s="243"/>
      <c r="CX698" s="243"/>
      <c r="CY698" s="1077"/>
      <c r="CZ698" s="698"/>
      <c r="DA698" s="243"/>
      <c r="DB698" s="243"/>
      <c r="DC698" s="243"/>
      <c r="DD698" s="243"/>
      <c r="DE698" s="1077"/>
      <c r="DF698" s="698"/>
      <c r="DG698" s="243"/>
      <c r="DH698" s="243"/>
      <c r="DI698" s="243"/>
      <c r="DJ698" s="243"/>
      <c r="DK698" s="1077"/>
      <c r="DL698" s="698"/>
      <c r="DM698" s="243"/>
      <c r="DN698" s="243"/>
      <c r="DO698" s="243"/>
      <c r="DP698" s="243"/>
      <c r="DQ698" s="1077"/>
      <c r="DR698" s="698"/>
      <c r="DS698" s="243"/>
      <c r="DT698" s="243"/>
      <c r="DU698" s="243"/>
      <c r="DV698" s="243"/>
      <c r="DW698" s="1077"/>
      <c r="DX698" s="698"/>
      <c r="DY698" s="243"/>
      <c r="DZ698" s="243"/>
      <c r="EA698" s="243"/>
      <c r="EB698" s="243"/>
      <c r="EC698" s="1077"/>
      <c r="ED698" s="698"/>
      <c r="EE698" s="243"/>
      <c r="EF698" s="243"/>
      <c r="EG698" s="243"/>
      <c r="EH698" s="243"/>
      <c r="EI698" s="1077">
        <v>1072</v>
      </c>
      <c r="EJ698" s="698"/>
      <c r="EK698" s="243"/>
      <c r="EL698" s="243"/>
      <c r="EM698" s="243"/>
      <c r="EN698" s="243"/>
      <c r="EO698" s="1077">
        <v>1468</v>
      </c>
      <c r="EP698" s="698"/>
      <c r="EQ698" s="243"/>
      <c r="ER698" s="243"/>
      <c r="ES698" s="243"/>
      <c r="ET698" s="243"/>
      <c r="EU698" s="1077">
        <v>1901</v>
      </c>
      <c r="EV698" s="698"/>
      <c r="EW698" s="698"/>
      <c r="EX698" s="698"/>
      <c r="EY698" s="698"/>
      <c r="EZ698" s="698"/>
      <c r="FA698" s="699"/>
      <c r="FB698" s="698"/>
      <c r="FC698" s="698"/>
      <c r="FD698" s="698"/>
      <c r="FE698" s="698"/>
      <c r="FF698" s="698"/>
      <c r="FG698" s="699"/>
      <c r="FH698" s="698"/>
      <c r="FI698" s="698"/>
      <c r="FJ698" s="698"/>
      <c r="FK698" s="698"/>
      <c r="FL698" s="698"/>
      <c r="FM698" s="699"/>
      <c r="FQ698"/>
      <c r="FR698"/>
      <c r="FS698"/>
      <c r="FT698"/>
      <c r="FU698"/>
      <c r="FV698"/>
      <c r="GB698" s="856"/>
      <c r="GC698" s="856"/>
      <c r="GD698" s="856"/>
      <c r="GE698" s="856"/>
      <c r="GF698" s="856"/>
      <c r="GG698" s="856"/>
      <c r="GH698" s="856"/>
      <c r="GI698" s="856"/>
      <c r="GJ698"/>
      <c r="GK698"/>
      <c r="GL698"/>
      <c r="GM698"/>
      <c r="GN698"/>
      <c r="GO698"/>
      <c r="GP698"/>
      <c r="GQ698"/>
      <c r="GR698"/>
      <c r="GS698"/>
      <c r="GT698"/>
      <c r="GU698"/>
      <c r="GV698"/>
      <c r="GW698"/>
      <c r="GX698"/>
      <c r="GY698"/>
      <c r="GZ698"/>
      <c r="HA698"/>
      <c r="HB698"/>
      <c r="HC698"/>
      <c r="HD698"/>
      <c r="HE698"/>
      <c r="HF698"/>
      <c r="HG698"/>
      <c r="HH698"/>
      <c r="HI698"/>
      <c r="HJ698"/>
      <c r="HK698"/>
      <c r="HL698"/>
      <c r="HM698"/>
      <c r="HN698"/>
      <c r="HO698"/>
      <c r="HP698"/>
      <c r="HQ698"/>
      <c r="HR698"/>
      <c r="HS698"/>
      <c r="HT698"/>
      <c r="HU698"/>
      <c r="HV698"/>
      <c r="HW698"/>
      <c r="HX698"/>
      <c r="HY698"/>
      <c r="HZ698"/>
      <c r="IA698"/>
      <c r="IB698"/>
      <c r="IC698"/>
      <c r="ID698"/>
      <c r="IE698"/>
      <c r="IF698"/>
      <c r="IG698"/>
      <c r="IH698"/>
      <c r="II698"/>
      <c r="IJ698"/>
      <c r="IK698"/>
      <c r="IL698"/>
      <c r="IM698"/>
      <c r="IN698"/>
      <c r="IO698"/>
      <c r="IP698"/>
      <c r="IQ698"/>
      <c r="IR698"/>
      <c r="IS698"/>
      <c r="IT698"/>
      <c r="IU698"/>
      <c r="IV698"/>
      <c r="IW698"/>
      <c r="IX698"/>
      <c r="IY698"/>
      <c r="IZ698"/>
      <c r="JA698"/>
      <c r="JB698"/>
      <c r="JC698"/>
      <c r="JD698"/>
      <c r="JE698"/>
      <c r="JF698"/>
      <c r="JG698"/>
      <c r="JH698"/>
      <c r="JI698"/>
      <c r="JJ698"/>
      <c r="JK698"/>
      <c r="JL698"/>
      <c r="JM698"/>
      <c r="JN698"/>
    </row>
    <row r="699" spans="1:274" s="1047" customFormat="1" ht="12.75" customHeight="1" x14ac:dyDescent="0.2">
      <c r="A699" s="702" t="s">
        <v>1278</v>
      </c>
      <c r="B699" s="697"/>
      <c r="C699" s="698"/>
      <c r="D699" s="698"/>
      <c r="E699" s="698"/>
      <c r="F699" s="698"/>
      <c r="G699" s="698"/>
      <c r="H699" s="698"/>
      <c r="I699" s="698"/>
      <c r="J699" s="698"/>
      <c r="K699" s="698"/>
      <c r="L699" s="698"/>
      <c r="M699" s="698"/>
      <c r="N699" s="698"/>
      <c r="O699" s="698"/>
      <c r="P699" s="698"/>
      <c r="Q699" s="698"/>
      <c r="R699" s="698"/>
      <c r="S699" s="698"/>
      <c r="T699" s="698"/>
      <c r="U699" s="698"/>
      <c r="V699" s="698"/>
      <c r="W699" s="698"/>
      <c r="X699" s="698"/>
      <c r="Y699" s="698"/>
      <c r="Z699" s="698"/>
      <c r="AA699" s="698"/>
      <c r="AB699" s="698"/>
      <c r="AC699" s="698"/>
      <c r="AD699" s="698"/>
      <c r="AE699" s="698"/>
      <c r="AF699" s="698"/>
      <c r="AG699" s="698"/>
      <c r="AH699" s="698"/>
      <c r="AI699" s="698"/>
      <c r="AJ699" s="698"/>
      <c r="AK699" s="698"/>
      <c r="AL699" s="698"/>
      <c r="AM699" s="698"/>
      <c r="AN699" s="698"/>
      <c r="AO699" s="698"/>
      <c r="AP699" s="698"/>
      <c r="AQ699" s="698"/>
      <c r="AR699" s="698"/>
      <c r="AS699" s="698"/>
      <c r="AT699" s="698"/>
      <c r="AU699" s="698"/>
      <c r="AV699" s="698"/>
      <c r="AW699" s="698"/>
      <c r="AX699" s="698"/>
      <c r="AY699" s="698"/>
      <c r="AZ699" s="698"/>
      <c r="BA699" s="698"/>
      <c r="BB699" s="698"/>
      <c r="BC699" s="436"/>
      <c r="BD699" s="698"/>
      <c r="BE699" s="243"/>
      <c r="BF699" s="243"/>
      <c r="BG699" s="243"/>
      <c r="BH699" s="243"/>
      <c r="BI699" s="436"/>
      <c r="BJ699" s="243"/>
      <c r="BK699" s="243"/>
      <c r="BL699" s="243"/>
      <c r="BM699" s="243"/>
      <c r="BN699" s="243"/>
      <c r="BO699" s="436"/>
      <c r="BP699" s="243"/>
      <c r="BQ699" s="243"/>
      <c r="BR699" s="243"/>
      <c r="BS699" s="243"/>
      <c r="BT699" s="243"/>
      <c r="BU699" s="436"/>
      <c r="BV699" s="698"/>
      <c r="BW699" s="243"/>
      <c r="BX699" s="243"/>
      <c r="BY699" s="243"/>
      <c r="BZ699" s="243"/>
      <c r="CA699" s="436"/>
      <c r="CB699" s="698"/>
      <c r="CC699" s="243"/>
      <c r="CD699" s="243"/>
      <c r="CE699" s="243"/>
      <c r="CF699" s="243"/>
      <c r="CG699" s="436"/>
      <c r="CH699" s="698"/>
      <c r="CI699" s="243"/>
      <c r="CJ699" s="243"/>
      <c r="CK699" s="243"/>
      <c r="CL699" s="243"/>
      <c r="CM699" s="1077"/>
      <c r="CN699" s="698"/>
      <c r="CO699" s="243"/>
      <c r="CP699" s="243"/>
      <c r="CQ699" s="243"/>
      <c r="CR699" s="243"/>
      <c r="CS699" s="1077"/>
      <c r="CT699" s="698"/>
      <c r="CU699" s="243"/>
      <c r="CV699" s="243"/>
      <c r="CW699" s="243"/>
      <c r="CX699" s="243"/>
      <c r="CY699" s="1077"/>
      <c r="CZ699" s="698"/>
      <c r="DA699" s="243"/>
      <c r="DB699" s="243"/>
      <c r="DC699" s="243"/>
      <c r="DD699" s="243"/>
      <c r="DE699" s="1077"/>
      <c r="DF699" s="698"/>
      <c r="DG699" s="243"/>
      <c r="DH699" s="243"/>
      <c r="DI699" s="243"/>
      <c r="DJ699" s="243"/>
      <c r="DK699" s="1077"/>
      <c r="DL699" s="698"/>
      <c r="DM699" s="243"/>
      <c r="DN699" s="243"/>
      <c r="DO699" s="243"/>
      <c r="DP699" s="243"/>
      <c r="DQ699" s="1077"/>
      <c r="DR699" s="698"/>
      <c r="DS699" s="243"/>
      <c r="DT699" s="243"/>
      <c r="DU699" s="243"/>
      <c r="DV699" s="243"/>
      <c r="DW699" s="1077"/>
      <c r="DX699" s="698"/>
      <c r="DY699" s="243"/>
      <c r="DZ699" s="243"/>
      <c r="EA699" s="243"/>
      <c r="EB699" s="243"/>
      <c r="EC699" s="1077"/>
      <c r="ED699" s="698"/>
      <c r="EE699" s="243"/>
      <c r="EF699" s="243"/>
      <c r="EG699" s="243"/>
      <c r="EH699" s="243"/>
      <c r="EI699" s="1077">
        <v>1130</v>
      </c>
      <c r="EJ699" s="698"/>
      <c r="EK699" s="243"/>
      <c r="EL699" s="243"/>
      <c r="EM699" s="243"/>
      <c r="EN699" s="243"/>
      <c r="EO699" s="1077">
        <v>1077</v>
      </c>
      <c r="EP699" s="698"/>
      <c r="EQ699" s="243"/>
      <c r="ER699" s="243"/>
      <c r="ES699" s="243"/>
      <c r="ET699" s="243"/>
      <c r="EU699" s="1077">
        <v>984</v>
      </c>
      <c r="EV699" s="698"/>
      <c r="EW699" s="698"/>
      <c r="EX699" s="698"/>
      <c r="EY699" s="698"/>
      <c r="EZ699" s="698"/>
      <c r="FA699" s="699"/>
      <c r="FB699" s="698"/>
      <c r="FC699" s="698"/>
      <c r="FD699" s="698"/>
      <c r="FE699" s="698"/>
      <c r="FF699" s="698"/>
      <c r="FG699" s="699"/>
      <c r="FH699" s="698"/>
      <c r="FI699" s="698"/>
      <c r="FJ699" s="698"/>
      <c r="FK699" s="698"/>
      <c r="FL699" s="698"/>
      <c r="FM699" s="699"/>
      <c r="FQ699"/>
      <c r="FR699"/>
      <c r="FS699"/>
      <c r="FT699"/>
      <c r="FU699"/>
      <c r="FV699"/>
      <c r="GB699" s="856"/>
      <c r="GC699" s="856"/>
      <c r="GD699" s="856"/>
      <c r="GE699" s="856"/>
      <c r="GF699" s="856"/>
      <c r="GG699" s="856"/>
      <c r="GH699" s="856"/>
      <c r="GI699" s="856"/>
      <c r="GJ699"/>
      <c r="GK699"/>
      <c r="GL699"/>
      <c r="GM699"/>
      <c r="GN699"/>
      <c r="GO699"/>
      <c r="GP699"/>
      <c r="GQ699"/>
      <c r="GR699"/>
      <c r="GS699"/>
      <c r="GT699"/>
      <c r="GU699"/>
      <c r="GV699"/>
      <c r="GW699"/>
      <c r="GX699"/>
      <c r="GY699"/>
      <c r="GZ699"/>
      <c r="HA699"/>
      <c r="HB699"/>
      <c r="HC699"/>
      <c r="HD699"/>
      <c r="HE699"/>
      <c r="HF699"/>
      <c r="HG699"/>
      <c r="HH699"/>
      <c r="HI699"/>
      <c r="HJ699"/>
      <c r="HK699"/>
      <c r="HL699"/>
      <c r="HM699"/>
      <c r="HN699"/>
      <c r="HO699"/>
      <c r="HP699"/>
      <c r="HQ699"/>
      <c r="HR699"/>
      <c r="HS699"/>
      <c r="HT699"/>
      <c r="HU699"/>
      <c r="HV699"/>
      <c r="HW699"/>
      <c r="HX699"/>
      <c r="HY699"/>
      <c r="HZ699"/>
      <c r="IA699"/>
      <c r="IB699"/>
      <c r="IC699"/>
      <c r="ID699"/>
      <c r="IE699"/>
      <c r="IF699"/>
      <c r="IG699"/>
      <c r="IH699"/>
      <c r="II699"/>
      <c r="IJ699"/>
      <c r="IK699"/>
      <c r="IL699"/>
      <c r="IM699"/>
      <c r="IN699"/>
      <c r="IO699"/>
      <c r="IP699"/>
      <c r="IQ699"/>
      <c r="IR699"/>
      <c r="IS699"/>
      <c r="IT699"/>
      <c r="IU699"/>
      <c r="IV699"/>
      <c r="IW699"/>
      <c r="IX699"/>
      <c r="IY699"/>
      <c r="IZ699"/>
      <c r="JA699"/>
      <c r="JB699"/>
      <c r="JC699"/>
      <c r="JD699"/>
      <c r="JE699"/>
      <c r="JF699"/>
      <c r="JG699"/>
      <c r="JH699"/>
      <c r="JI699"/>
      <c r="JJ699"/>
      <c r="JK699"/>
      <c r="JL699"/>
      <c r="JM699"/>
      <c r="JN699"/>
    </row>
    <row r="700" spans="1:274" s="1047" customFormat="1" ht="12.75" customHeight="1" x14ac:dyDescent="0.2">
      <c r="A700" s="703" t="s">
        <v>1080</v>
      </c>
      <c r="B700" s="697"/>
      <c r="C700" s="704"/>
      <c r="D700" s="704"/>
      <c r="E700" s="704"/>
      <c r="F700" s="704"/>
      <c r="G700" s="704"/>
      <c r="H700" s="704"/>
      <c r="I700" s="704"/>
      <c r="J700" s="704"/>
      <c r="K700" s="704"/>
      <c r="L700" s="704"/>
      <c r="M700" s="704"/>
      <c r="N700" s="704"/>
      <c r="O700" s="704"/>
      <c r="P700" s="704"/>
      <c r="Q700" s="704"/>
      <c r="R700" s="704"/>
      <c r="S700" s="704"/>
      <c r="T700" s="704"/>
      <c r="U700" s="704"/>
      <c r="V700" s="704"/>
      <c r="W700" s="704"/>
      <c r="X700" s="704"/>
      <c r="Y700" s="704"/>
      <c r="Z700" s="704"/>
      <c r="AA700" s="704"/>
      <c r="AB700" s="704"/>
      <c r="AC700" s="704"/>
      <c r="AD700" s="704"/>
      <c r="AE700" s="704"/>
      <c r="AF700" s="704"/>
      <c r="AG700" s="704"/>
      <c r="AH700" s="704"/>
      <c r="AI700" s="704"/>
      <c r="AJ700" s="704"/>
      <c r="AK700" s="704"/>
      <c r="AL700" s="704"/>
      <c r="AM700" s="704"/>
      <c r="AN700" s="704"/>
      <c r="AO700" s="704"/>
      <c r="AP700" s="704"/>
      <c r="AQ700" s="704"/>
      <c r="AR700" s="704"/>
      <c r="AS700" s="704"/>
      <c r="AT700" s="704"/>
      <c r="AU700" s="704"/>
      <c r="AV700" s="704"/>
      <c r="AW700" s="704"/>
      <c r="AX700" s="704"/>
      <c r="AY700" s="704"/>
      <c r="AZ700" s="704"/>
      <c r="BA700" s="704"/>
      <c r="BB700" s="704"/>
      <c r="BC700" s="705">
        <f>BC696-BC697</f>
        <v>2577</v>
      </c>
      <c r="BD700" s="704"/>
      <c r="BE700" s="73">
        <f>BE696-BE697</f>
        <v>316</v>
      </c>
      <c r="BF700" s="73">
        <f>BF696-BF697</f>
        <v>379</v>
      </c>
      <c r="BG700" s="73">
        <f>BG696-BG697</f>
        <v>394</v>
      </c>
      <c r="BH700" s="73">
        <f>BH696-BH697</f>
        <v>710</v>
      </c>
      <c r="BI700" s="705">
        <f>BI696-BI697</f>
        <v>1799</v>
      </c>
      <c r="BJ700" s="73"/>
      <c r="BK700" s="73">
        <f>BK696-BK697</f>
        <v>190</v>
      </c>
      <c r="BL700" s="73">
        <f>BL696-BL697</f>
        <v>362</v>
      </c>
      <c r="BM700" s="73">
        <f>BM696-BM697</f>
        <v>343</v>
      </c>
      <c r="BN700" s="73">
        <f>BN696-BN697</f>
        <v>756</v>
      </c>
      <c r="BO700" s="705">
        <f>BO696-BO697</f>
        <v>1651</v>
      </c>
      <c r="BP700" s="73"/>
      <c r="BQ700" s="73">
        <f>BQ696-BQ697</f>
        <v>159</v>
      </c>
      <c r="BR700" s="73">
        <f>BR696-BR697</f>
        <v>439</v>
      </c>
      <c r="BS700" s="73">
        <f>BS696-BS697</f>
        <v>412</v>
      </c>
      <c r="BT700" s="73">
        <f>BT696-BT697</f>
        <v>802</v>
      </c>
      <c r="BU700" s="705">
        <f>BU696-BU697</f>
        <v>1812</v>
      </c>
      <c r="BV700" s="704"/>
      <c r="BW700" s="73">
        <f>BW696-BW697</f>
        <v>178</v>
      </c>
      <c r="BX700" s="73">
        <f>BX696-BX697</f>
        <v>522</v>
      </c>
      <c r="BY700" s="73">
        <f>BY696-BY697</f>
        <v>409</v>
      </c>
      <c r="BZ700" s="73">
        <f>BZ696-BZ697</f>
        <v>918</v>
      </c>
      <c r="CA700" s="705">
        <f>CA696-CA697</f>
        <v>2027</v>
      </c>
      <c r="CB700" s="704"/>
      <c r="CC700" s="73">
        <f>CC696-CC697</f>
        <v>127</v>
      </c>
      <c r="CD700" s="73">
        <f>CD696-CD697</f>
        <v>480</v>
      </c>
      <c r="CE700" s="73">
        <f>CE696-CE697</f>
        <v>473</v>
      </c>
      <c r="CF700" s="73">
        <f>CF696-CF697</f>
        <v>1179</v>
      </c>
      <c r="CG700" s="705">
        <f>CG696-CG697</f>
        <v>2259</v>
      </c>
      <c r="CH700" s="704"/>
      <c r="CI700" s="73">
        <f>CI696-CI697</f>
        <v>175</v>
      </c>
      <c r="CJ700" s="73">
        <f>CJ696-CJ697</f>
        <v>436</v>
      </c>
      <c r="CK700" s="73">
        <f>CK696-CK697</f>
        <v>562</v>
      </c>
      <c r="CL700" s="73">
        <f>CL696-CL697</f>
        <v>1375</v>
      </c>
      <c r="CM700" s="705">
        <f>CM696-CM697</f>
        <v>2548</v>
      </c>
      <c r="CN700" s="704"/>
      <c r="CO700" s="73">
        <f>CO696-CO697</f>
        <v>246</v>
      </c>
      <c r="CP700" s="73">
        <f>CP696-CP697</f>
        <v>731</v>
      </c>
      <c r="CQ700" s="73">
        <f>CQ696-CQ697</f>
        <v>685</v>
      </c>
      <c r="CR700" s="73">
        <f>CR696-CR697</f>
        <v>1799</v>
      </c>
      <c r="CS700" s="705">
        <f>CS696-CS697</f>
        <v>3461</v>
      </c>
      <c r="CT700" s="704"/>
      <c r="CU700" s="73"/>
      <c r="CV700" s="73"/>
      <c r="CW700" s="73"/>
      <c r="CX700" s="73"/>
      <c r="CY700" s="705"/>
      <c r="CZ700" s="704"/>
      <c r="DA700" s="73"/>
      <c r="DB700" s="73"/>
      <c r="DC700" s="73"/>
      <c r="DD700" s="73"/>
      <c r="DE700" s="705"/>
      <c r="DF700" s="704"/>
      <c r="DG700" s="73"/>
      <c r="DH700" s="73"/>
      <c r="DI700" s="73"/>
      <c r="DJ700" s="73"/>
      <c r="DK700" s="705"/>
      <c r="DL700" s="704"/>
      <c r="DM700" s="73"/>
      <c r="DN700" s="73"/>
      <c r="DO700" s="73"/>
      <c r="DP700" s="73"/>
      <c r="DQ700" s="705"/>
      <c r="DR700" s="704"/>
      <c r="DS700" s="73"/>
      <c r="DT700" s="73"/>
      <c r="DU700" s="73"/>
      <c r="DV700" s="73"/>
      <c r="DW700" s="705"/>
      <c r="DX700" s="704"/>
      <c r="DY700" s="73"/>
      <c r="DZ700" s="73"/>
      <c r="EA700" s="73"/>
      <c r="EB700" s="73"/>
      <c r="EC700" s="705"/>
      <c r="ED700" s="704"/>
      <c r="EE700" s="73"/>
      <c r="EF700" s="73"/>
      <c r="EG700" s="73"/>
      <c r="EH700" s="73"/>
      <c r="EI700" s="705">
        <f>EI696-SUM(EI697:EI699)</f>
        <v>20891</v>
      </c>
      <c r="EJ700" s="704"/>
      <c r="EK700" s="73"/>
      <c r="EL700" s="73"/>
      <c r="EM700" s="73"/>
      <c r="EN700" s="73"/>
      <c r="EO700" s="705">
        <f>EO696-SUM(EO697:EO699)</f>
        <v>19882</v>
      </c>
      <c r="EP700" s="704"/>
      <c r="EQ700" s="73"/>
      <c r="ER700" s="73"/>
      <c r="ES700" s="73"/>
      <c r="ET700" s="73"/>
      <c r="EU700" s="705">
        <f>EU696-SUM(EU697:EU699)</f>
        <v>20618</v>
      </c>
      <c r="EV700" s="704"/>
      <c r="EW700" s="704"/>
      <c r="EX700" s="704"/>
      <c r="EY700" s="704"/>
      <c r="EZ700" s="704"/>
      <c r="FA700" s="706"/>
      <c r="FB700" s="704"/>
      <c r="FC700" s="704"/>
      <c r="FD700" s="704"/>
      <c r="FE700" s="704"/>
      <c r="FF700" s="704"/>
      <c r="FG700" s="706"/>
      <c r="FH700" s="704"/>
      <c r="FI700" s="704"/>
      <c r="FJ700" s="704"/>
      <c r="FK700" s="704"/>
      <c r="FL700" s="704"/>
      <c r="FM700" s="706"/>
      <c r="FQ700"/>
      <c r="FR700"/>
      <c r="FS700"/>
      <c r="FT700"/>
      <c r="FU700"/>
      <c r="FV700"/>
      <c r="GB700" s="856"/>
      <c r="GC700" s="856"/>
      <c r="GD700" s="856"/>
      <c r="GE700" s="856"/>
      <c r="GF700" s="856"/>
      <c r="GG700" s="856"/>
      <c r="GH700" s="856"/>
      <c r="GI700" s="856"/>
      <c r="GJ700"/>
      <c r="GK700"/>
      <c r="GL700"/>
      <c r="GM700"/>
      <c r="GN700"/>
      <c r="GO700"/>
      <c r="GP700"/>
      <c r="GQ700"/>
      <c r="GR700"/>
      <c r="GS700"/>
      <c r="GT700"/>
      <c r="GU700"/>
      <c r="GV700"/>
      <c r="GW700"/>
      <c r="GX700"/>
      <c r="GY700"/>
      <c r="GZ700"/>
      <c r="HA700"/>
      <c r="HB700"/>
      <c r="HC700"/>
      <c r="HD700"/>
      <c r="HE700"/>
      <c r="HF700"/>
      <c r="HG700"/>
      <c r="HH700"/>
      <c r="HI700"/>
      <c r="HJ700"/>
      <c r="HK700"/>
      <c r="HL700"/>
      <c r="HM700"/>
      <c r="HN700"/>
      <c r="HO700"/>
      <c r="HP700"/>
      <c r="HQ700"/>
      <c r="HR700"/>
      <c r="HS700"/>
      <c r="HT700"/>
      <c r="HU700"/>
      <c r="HV700"/>
      <c r="HW700"/>
      <c r="HX700"/>
      <c r="HY700"/>
      <c r="HZ700"/>
      <c r="IA700"/>
      <c r="IB700"/>
      <c r="IC700"/>
      <c r="ID700"/>
      <c r="IE700"/>
      <c r="IF700"/>
      <c r="IG700"/>
      <c r="IH700"/>
      <c r="II700"/>
      <c r="IJ700"/>
      <c r="IK700"/>
      <c r="IL700"/>
      <c r="IM700"/>
      <c r="IN700"/>
      <c r="IO700"/>
      <c r="IP700"/>
      <c r="IQ700"/>
      <c r="IR700"/>
      <c r="IS700"/>
      <c r="IT700"/>
      <c r="IU700"/>
      <c r="IV700"/>
      <c r="IW700"/>
      <c r="IX700"/>
      <c r="IY700"/>
      <c r="IZ700"/>
      <c r="JA700"/>
      <c r="JB700"/>
      <c r="JC700"/>
      <c r="JD700"/>
      <c r="JE700"/>
      <c r="JF700"/>
      <c r="JG700"/>
      <c r="JH700"/>
      <c r="JI700"/>
      <c r="JJ700"/>
      <c r="JK700"/>
      <c r="JL700"/>
      <c r="JM700"/>
      <c r="JN700"/>
    </row>
    <row r="701" spans="1:274" s="1047" customFormat="1" ht="12.75" customHeight="1" x14ac:dyDescent="0.2">
      <c r="A701" s="703" t="s">
        <v>1081</v>
      </c>
      <c r="B701" s="697"/>
      <c r="C701" s="704"/>
      <c r="D701" s="704"/>
      <c r="E701" s="704"/>
      <c r="F701" s="704"/>
      <c r="G701" s="704"/>
      <c r="H701" s="704"/>
      <c r="I701" s="704"/>
      <c r="J701" s="704"/>
      <c r="K701" s="704"/>
      <c r="L701" s="704"/>
      <c r="M701" s="704"/>
      <c r="N701" s="704"/>
      <c r="O701" s="704"/>
      <c r="P701" s="704"/>
      <c r="Q701" s="704"/>
      <c r="R701" s="704"/>
      <c r="S701" s="704"/>
      <c r="T701" s="704"/>
      <c r="U701" s="704"/>
      <c r="V701" s="704"/>
      <c r="W701" s="704"/>
      <c r="X701" s="704"/>
      <c r="Y701" s="704"/>
      <c r="Z701" s="704"/>
      <c r="AA701" s="704"/>
      <c r="AB701" s="704"/>
      <c r="AC701" s="704"/>
      <c r="AD701" s="704"/>
      <c r="AE701" s="704"/>
      <c r="AF701" s="704"/>
      <c r="AG701" s="704"/>
      <c r="AH701" s="704"/>
      <c r="AI701" s="704"/>
      <c r="AJ701" s="704"/>
      <c r="AK701" s="704"/>
      <c r="AL701" s="704"/>
      <c r="AM701" s="704"/>
      <c r="AN701" s="704"/>
      <c r="AO701" s="704"/>
      <c r="AP701" s="704"/>
      <c r="AQ701" s="704"/>
      <c r="AR701" s="704"/>
      <c r="AS701" s="704"/>
      <c r="AT701" s="704"/>
      <c r="AU701" s="704"/>
      <c r="AV701" s="704"/>
      <c r="AW701" s="704"/>
      <c r="AX701" s="704"/>
      <c r="AY701" s="704"/>
      <c r="AZ701" s="704"/>
      <c r="BA701" s="704"/>
      <c r="BB701" s="704"/>
      <c r="BC701" s="707">
        <f>BC700/BC696</f>
        <v>0.55336053253167272</v>
      </c>
      <c r="BD701" s="704"/>
      <c r="BE701" s="70">
        <f>BE700/BE696</f>
        <v>0.43828016643550627</v>
      </c>
      <c r="BF701" s="70">
        <f>BF700/BF696</f>
        <v>0.47022332506203474</v>
      </c>
      <c r="BG701" s="70">
        <f>BG700/BG696</f>
        <v>0.50577663671373552</v>
      </c>
      <c r="BH701" s="70">
        <f>BH700/BH696</f>
        <v>0.60631938514090522</v>
      </c>
      <c r="BI701" s="707">
        <f>BI700/BI696</f>
        <v>0.51740005752085128</v>
      </c>
      <c r="BJ701" s="704"/>
      <c r="BK701" s="70">
        <f>BK700/BK696</f>
        <v>0.34111310592459604</v>
      </c>
      <c r="BL701" s="70">
        <f>BL700/BL696</f>
        <v>0.4769433465085639</v>
      </c>
      <c r="BM701" s="70">
        <f>BM700/BM696</f>
        <v>0.45794392523364486</v>
      </c>
      <c r="BN701" s="70">
        <f>BN700/BN696</f>
        <v>0.63743676222596968</v>
      </c>
      <c r="BO701" s="707">
        <f>BO700/BO696</f>
        <v>0.50784374038757307</v>
      </c>
      <c r="BP701" s="704"/>
      <c r="BQ701" s="70">
        <f>BQ700/BQ696</f>
        <v>0.30343511450381677</v>
      </c>
      <c r="BR701" s="70">
        <f>BR700/BR696</f>
        <v>0.51525821596244137</v>
      </c>
      <c r="BS701" s="70">
        <f>BS700/BS696</f>
        <v>0.48757396449704143</v>
      </c>
      <c r="BT701" s="70">
        <f>BT700/BT696</f>
        <v>0.61128048780487809</v>
      </c>
      <c r="BU701" s="707">
        <f>BU700/BU696</f>
        <v>0.5128785734503255</v>
      </c>
      <c r="BV701" s="704"/>
      <c r="BW701" s="70">
        <f>BW700/BW696</f>
        <v>0.3172905525846702</v>
      </c>
      <c r="BX701" s="70">
        <f>BX700/BX696</f>
        <v>0.53869969040247678</v>
      </c>
      <c r="BY701" s="70">
        <f>BY700/BY696</f>
        <v>0.43234672304439747</v>
      </c>
      <c r="BZ701" s="70">
        <f>BZ700/BZ696</f>
        <v>0.57160647571606471</v>
      </c>
      <c r="CA701" s="707">
        <f>CA700/CA696</f>
        <v>0.49657030867221952</v>
      </c>
      <c r="CB701" s="704"/>
      <c r="CC701" s="70">
        <f>CC700/CC696</f>
        <v>0.20222929936305734</v>
      </c>
      <c r="CD701" s="70">
        <f>CD700/CD696</f>
        <v>0.45454545454545453</v>
      </c>
      <c r="CE701" s="70">
        <f>CE700/CE696</f>
        <v>0.43196347031963472</v>
      </c>
      <c r="CF701" s="70">
        <f>CF700/CF696</f>
        <v>0.556657223796034</v>
      </c>
      <c r="CG701" s="707">
        <f>CG700/CG696</f>
        <v>0.46130283847253423</v>
      </c>
      <c r="CH701" s="704"/>
      <c r="CI701" s="70">
        <f>CI700/CI696</f>
        <v>0.21820448877805487</v>
      </c>
      <c r="CJ701" s="70">
        <f>CJ700/CJ696</f>
        <v>0.36182572614107883</v>
      </c>
      <c r="CK701" s="70">
        <f>CK700/CK696</f>
        <v>0.40489913544668588</v>
      </c>
      <c r="CL701" s="70">
        <f>CL700/CL696</f>
        <v>0.55465913674868894</v>
      </c>
      <c r="CM701" s="707">
        <f>CM700/CM696</f>
        <v>0.43377596186584949</v>
      </c>
      <c r="CN701" s="704"/>
      <c r="CO701" s="70">
        <f>CO700/CO696</f>
        <v>0.22693726937269373</v>
      </c>
      <c r="CP701" s="70">
        <f>CP700/CP696</f>
        <v>0.43903903903903901</v>
      </c>
      <c r="CQ701" s="70">
        <f>CQ700/CQ696</f>
        <v>0.42493796526054589</v>
      </c>
      <c r="CR701" s="70">
        <f>CR700/CR696</f>
        <v>0.57292993630573252</v>
      </c>
      <c r="CS701" s="707">
        <f>CS700/CS696</f>
        <v>0.46140514598053595</v>
      </c>
      <c r="CT701" s="704"/>
      <c r="CU701" s="70"/>
      <c r="CV701" s="70"/>
      <c r="CW701" s="70"/>
      <c r="CX701" s="70"/>
      <c r="CY701" s="707"/>
      <c r="CZ701" s="704"/>
      <c r="DA701" s="70"/>
      <c r="DB701" s="70"/>
      <c r="DC701" s="70"/>
      <c r="DD701" s="70"/>
      <c r="DE701" s="707"/>
      <c r="DF701" s="704"/>
      <c r="DG701" s="70"/>
      <c r="DH701" s="70"/>
      <c r="DI701" s="70"/>
      <c r="DJ701" s="70"/>
      <c r="DK701" s="707"/>
      <c r="DL701" s="704"/>
      <c r="DM701" s="70"/>
      <c r="DN701" s="70"/>
      <c r="DO701" s="70"/>
      <c r="DP701" s="70"/>
      <c r="DQ701" s="707"/>
      <c r="DR701" s="704"/>
      <c r="DS701" s="70"/>
      <c r="DT701" s="70"/>
      <c r="DU701" s="70"/>
      <c r="DV701" s="70"/>
      <c r="DW701" s="707"/>
      <c r="DX701" s="704"/>
      <c r="DY701" s="70"/>
      <c r="DZ701" s="70"/>
      <c r="EA701" s="70"/>
      <c r="EB701" s="70"/>
      <c r="EC701" s="707"/>
      <c r="ED701" s="704"/>
      <c r="EE701" s="70"/>
      <c r="EF701" s="70"/>
      <c r="EG701" s="70"/>
      <c r="EH701" s="70"/>
      <c r="EI701" s="707">
        <f>EI700/EI696</f>
        <v>0.70838560916889903</v>
      </c>
      <c r="EJ701" s="704"/>
      <c r="EK701" s="70"/>
      <c r="EL701" s="70"/>
      <c r="EM701" s="70"/>
      <c r="EN701" s="70"/>
      <c r="EO701" s="707">
        <f>EO700/EO696</f>
        <v>0.68565713694520125</v>
      </c>
      <c r="EP701" s="704"/>
      <c r="EQ701" s="70"/>
      <c r="ER701" s="70"/>
      <c r="ES701" s="70"/>
      <c r="ET701" s="70"/>
      <c r="EU701" s="707">
        <f>EU700/EU696</f>
        <v>0.67846918292803315</v>
      </c>
      <c r="EV701" s="704"/>
      <c r="EW701" s="704"/>
      <c r="EX701" s="704"/>
      <c r="EY701" s="704"/>
      <c r="EZ701" s="704"/>
      <c r="FA701" s="706"/>
      <c r="FB701" s="704"/>
      <c r="FC701" s="704"/>
      <c r="FD701" s="704"/>
      <c r="FE701" s="704"/>
      <c r="FF701" s="704"/>
      <c r="FG701" s="706"/>
      <c r="FH701" s="704"/>
      <c r="FI701" s="704"/>
      <c r="FJ701" s="704"/>
      <c r="FK701" s="704"/>
      <c r="FL701" s="704"/>
      <c r="FM701" s="706"/>
      <c r="FQ701"/>
      <c r="FR701"/>
      <c r="FS701"/>
      <c r="FT701"/>
      <c r="FU701"/>
      <c r="FV701"/>
      <c r="GB701" s="856"/>
      <c r="GC701" s="856"/>
      <c r="GD701" s="856"/>
      <c r="GE701" s="856"/>
      <c r="GF701" s="856"/>
      <c r="GG701" s="856"/>
      <c r="GH701" s="856"/>
      <c r="GI701" s="856"/>
      <c r="GJ701"/>
      <c r="GK701"/>
      <c r="GL701"/>
      <c r="GM701"/>
      <c r="GN701"/>
      <c r="GO701"/>
      <c r="GP701"/>
      <c r="GQ701"/>
      <c r="GR701"/>
      <c r="GS701"/>
      <c r="GT701"/>
      <c r="GU701"/>
      <c r="GV701"/>
      <c r="GW701"/>
      <c r="GX701"/>
      <c r="GY701"/>
      <c r="GZ701"/>
      <c r="HA701"/>
      <c r="HB701"/>
      <c r="HC701"/>
      <c r="HD701"/>
      <c r="HE701"/>
      <c r="HF701"/>
      <c r="HG701"/>
      <c r="HH701"/>
      <c r="HI701"/>
      <c r="HJ701"/>
      <c r="HK701"/>
      <c r="HL701"/>
      <c r="HM701"/>
      <c r="HN701"/>
      <c r="HO701"/>
      <c r="HP701"/>
      <c r="HQ701"/>
      <c r="HR701"/>
      <c r="HS701"/>
      <c r="HT701"/>
      <c r="HU701"/>
      <c r="HV701"/>
      <c r="HW701"/>
      <c r="HX701"/>
      <c r="HY701"/>
      <c r="HZ701"/>
      <c r="IA701"/>
      <c r="IB701"/>
      <c r="IC701"/>
      <c r="ID701"/>
      <c r="IE701"/>
      <c r="IF701"/>
      <c r="IG701"/>
      <c r="IH701"/>
      <c r="II701"/>
      <c r="IJ701"/>
      <c r="IK701"/>
      <c r="IL701"/>
      <c r="IM701"/>
      <c r="IN701"/>
      <c r="IO701"/>
      <c r="IP701"/>
      <c r="IQ701"/>
      <c r="IR701"/>
      <c r="IS701"/>
      <c r="IT701"/>
      <c r="IU701"/>
      <c r="IV701"/>
      <c r="IW701"/>
      <c r="IX701"/>
      <c r="IY701"/>
      <c r="IZ701"/>
      <c r="JA701"/>
      <c r="JB701"/>
      <c r="JC701"/>
      <c r="JD701"/>
      <c r="JE701"/>
      <c r="JF701"/>
      <c r="JG701"/>
      <c r="JH701"/>
      <c r="JI701"/>
      <c r="JJ701"/>
      <c r="JK701"/>
      <c r="JL701"/>
      <c r="JM701"/>
      <c r="JN701"/>
    </row>
    <row r="702" spans="1:274" s="1047" customFormat="1" ht="12.75" customHeight="1" x14ac:dyDescent="0.2">
      <c r="A702" s="18"/>
      <c r="B702" s="1046"/>
      <c r="CI702" s="81"/>
      <c r="CJ702" s="81"/>
      <c r="CK702" s="81"/>
      <c r="CL702" s="81"/>
      <c r="CO702" s="81"/>
      <c r="CP702" s="81"/>
      <c r="CQ702" s="1048"/>
      <c r="CR702" s="81"/>
      <c r="CU702" s="81"/>
      <c r="CV702" s="81"/>
      <c r="CW702" s="81"/>
      <c r="CX702" s="81"/>
      <c r="CY702" s="1048"/>
      <c r="DA702" s="81"/>
      <c r="DB702" s="81"/>
      <c r="DC702" s="81"/>
      <c r="DD702" s="81"/>
      <c r="DE702" s="1048"/>
      <c r="DG702" s="81"/>
      <c r="DH702" s="81"/>
      <c r="DI702" s="81"/>
      <c r="DJ702" s="81"/>
      <c r="DK702" s="1048"/>
      <c r="DM702" s="81"/>
      <c r="DN702" s="81"/>
      <c r="DO702" s="81"/>
      <c r="DP702" s="81"/>
      <c r="DQ702" s="1048"/>
      <c r="DS702" s="81"/>
      <c r="DT702" s="81"/>
      <c r="DU702" s="81"/>
      <c r="DV702" s="81"/>
      <c r="DW702" s="1048"/>
      <c r="DY702" s="81"/>
      <c r="DZ702" s="81"/>
      <c r="EA702" s="81"/>
      <c r="EB702" s="81"/>
      <c r="EC702" s="1048"/>
      <c r="EE702" s="81"/>
      <c r="EF702" s="81"/>
      <c r="EG702" s="81"/>
      <c r="EH702" s="81"/>
      <c r="EI702" s="1048"/>
      <c r="EK702" s="1048"/>
      <c r="EL702" s="81"/>
      <c r="EM702" s="81"/>
      <c r="EN702" s="81"/>
      <c r="EO702" s="1048"/>
      <c r="EQ702" s="1048"/>
      <c r="ER702" s="81"/>
      <c r="ES702" s="81"/>
      <c r="ET702" s="81"/>
      <c r="EU702" s="1048"/>
      <c r="FQ702"/>
      <c r="FR702"/>
      <c r="FS702"/>
      <c r="FT702"/>
      <c r="FU702"/>
      <c r="FV702"/>
      <c r="GB702" s="856"/>
      <c r="GC702" s="856"/>
      <c r="GD702" s="856"/>
      <c r="GE702" s="856"/>
      <c r="GF702" s="856"/>
      <c r="GG702" s="856"/>
      <c r="GH702" s="856"/>
      <c r="GI702" s="856"/>
      <c r="GJ702"/>
      <c r="GK702"/>
      <c r="GL702"/>
      <c r="GM702"/>
      <c r="GN702"/>
      <c r="GO702"/>
      <c r="GP702"/>
      <c r="GQ702"/>
      <c r="GR702"/>
      <c r="GS702"/>
      <c r="GT702"/>
      <c r="GU702"/>
      <c r="GV702"/>
      <c r="GW702"/>
      <c r="GX702"/>
      <c r="GY702"/>
      <c r="GZ702"/>
      <c r="HA702"/>
      <c r="HB702"/>
      <c r="HC702"/>
      <c r="HD702"/>
      <c r="HE702"/>
      <c r="HF702"/>
      <c r="HG702"/>
      <c r="HH702"/>
      <c r="HI702"/>
      <c r="HJ702"/>
      <c r="HK702"/>
      <c r="HL702"/>
      <c r="HM702"/>
      <c r="HN702"/>
      <c r="HO702"/>
      <c r="HP702"/>
      <c r="HQ702"/>
      <c r="HR702"/>
      <c r="HS702"/>
      <c r="HT702"/>
      <c r="HU702"/>
      <c r="HV702"/>
      <c r="HW702"/>
      <c r="HX702"/>
      <c r="HY702"/>
      <c r="HZ702"/>
      <c r="IA702"/>
      <c r="IB702"/>
      <c r="IC702"/>
      <c r="ID702"/>
      <c r="IE702"/>
      <c r="IF702"/>
      <c r="IG702"/>
      <c r="IH702"/>
      <c r="II702"/>
      <c r="IJ702"/>
      <c r="IK702"/>
      <c r="IL702"/>
      <c r="IM702"/>
      <c r="IN702"/>
      <c r="IO702"/>
      <c r="IP702"/>
      <c r="IQ702"/>
      <c r="IR702"/>
      <c r="IS702"/>
      <c r="IT702"/>
      <c r="IU702"/>
      <c r="IV702"/>
      <c r="IW702"/>
      <c r="IX702"/>
      <c r="IY702"/>
      <c r="IZ702"/>
      <c r="JA702"/>
      <c r="JB702"/>
      <c r="JC702"/>
      <c r="JD702"/>
      <c r="JE702"/>
      <c r="JF702"/>
      <c r="JG702"/>
      <c r="JH702"/>
      <c r="JI702"/>
      <c r="JJ702"/>
      <c r="JK702"/>
      <c r="JL702"/>
      <c r="JM702"/>
      <c r="JN702"/>
    </row>
    <row r="703" spans="1:274" s="1047" customFormat="1" ht="12.75" customHeight="1" x14ac:dyDescent="0.2">
      <c r="A703" s="696" t="s">
        <v>427</v>
      </c>
      <c r="B703" s="1046"/>
      <c r="CI703" s="81"/>
      <c r="CJ703" s="81"/>
      <c r="CK703" s="81"/>
      <c r="CL703" s="81"/>
      <c r="CO703" s="81"/>
      <c r="CP703" s="81"/>
      <c r="CQ703" s="1048"/>
      <c r="CR703" s="81"/>
      <c r="CU703" s="81"/>
      <c r="CV703" s="81"/>
      <c r="CW703" s="81"/>
      <c r="CX703" s="81"/>
      <c r="CY703" s="1048"/>
      <c r="DA703" s="81"/>
      <c r="DB703" s="81"/>
      <c r="DC703" s="81"/>
      <c r="DD703" s="81"/>
      <c r="DE703" s="1048"/>
      <c r="DG703" s="81"/>
      <c r="DH703" s="81"/>
      <c r="DI703" s="81"/>
      <c r="DJ703" s="81"/>
      <c r="DK703" s="1048"/>
      <c r="DM703" s="81"/>
      <c r="DN703" s="81"/>
      <c r="DO703" s="81"/>
      <c r="DP703" s="81"/>
      <c r="DQ703" s="1048"/>
      <c r="DS703" s="81"/>
      <c r="DT703" s="81"/>
      <c r="DU703" s="81"/>
      <c r="DV703" s="81"/>
      <c r="DW703" s="1048"/>
      <c r="DY703" s="81"/>
      <c r="DZ703" s="81"/>
      <c r="EA703" s="81"/>
      <c r="EB703" s="81"/>
      <c r="EC703" s="1048"/>
      <c r="EE703" s="81"/>
      <c r="EF703" s="81"/>
      <c r="EG703" s="81"/>
      <c r="EH703" s="81"/>
      <c r="EI703" s="1048"/>
      <c r="EK703" s="1048"/>
      <c r="EL703" s="81"/>
      <c r="EM703" s="81"/>
      <c r="EN703" s="81"/>
      <c r="EO703" s="1048"/>
      <c r="EQ703" s="1048"/>
      <c r="ER703" s="81"/>
      <c r="ES703" s="81"/>
      <c r="ET703" s="81"/>
      <c r="EU703" s="1048"/>
      <c r="FQ703"/>
      <c r="FR703"/>
      <c r="FS703"/>
      <c r="FT703"/>
      <c r="FU703"/>
      <c r="FV703"/>
      <c r="GB703" s="856"/>
      <c r="GC703" s="856"/>
      <c r="GD703" s="856"/>
      <c r="GE703" s="856"/>
      <c r="GF703" s="856"/>
      <c r="GG703" s="856"/>
      <c r="GH703" s="856"/>
      <c r="GI703" s="856"/>
      <c r="GJ703"/>
      <c r="GK703"/>
      <c r="GL703"/>
      <c r="GM703"/>
      <c r="GN703"/>
      <c r="GO703"/>
      <c r="GP703"/>
      <c r="GQ703"/>
      <c r="GR703"/>
      <c r="GS703"/>
      <c r="GT703"/>
      <c r="GU703"/>
      <c r="GV703"/>
      <c r="GW703"/>
      <c r="GX703"/>
      <c r="GY703"/>
      <c r="GZ703"/>
      <c r="HA703"/>
      <c r="HB703"/>
      <c r="HC703"/>
      <c r="HD703"/>
      <c r="HE703"/>
      <c r="HF703"/>
      <c r="HG703"/>
      <c r="HH703"/>
      <c r="HI703"/>
      <c r="HJ703"/>
      <c r="HK703"/>
      <c r="HL703"/>
      <c r="HM703"/>
      <c r="HN703"/>
      <c r="HO703"/>
      <c r="HP703"/>
      <c r="HQ703"/>
      <c r="HR703"/>
      <c r="HS703"/>
      <c r="HT703"/>
      <c r="HU703"/>
      <c r="HV703"/>
      <c r="HW703"/>
      <c r="HX703"/>
      <c r="HY703"/>
      <c r="HZ703"/>
      <c r="IA703"/>
      <c r="IB703"/>
      <c r="IC703"/>
      <c r="ID703"/>
      <c r="IE703"/>
      <c r="IF703"/>
      <c r="IG703"/>
      <c r="IH703"/>
      <c r="II703"/>
      <c r="IJ703"/>
      <c r="IK703"/>
      <c r="IL703"/>
      <c r="IM703"/>
      <c r="IN703"/>
      <c r="IO703"/>
      <c r="IP703"/>
      <c r="IQ703"/>
      <c r="IR703"/>
      <c r="IS703"/>
      <c r="IT703"/>
      <c r="IU703"/>
      <c r="IV703"/>
      <c r="IW703"/>
      <c r="IX703"/>
      <c r="IY703"/>
      <c r="IZ703"/>
      <c r="JA703"/>
      <c r="JB703"/>
      <c r="JC703"/>
      <c r="JD703"/>
      <c r="JE703"/>
      <c r="JF703"/>
      <c r="JG703"/>
      <c r="JH703"/>
      <c r="JI703"/>
      <c r="JJ703"/>
      <c r="JK703"/>
      <c r="JL703"/>
      <c r="JM703"/>
      <c r="JN703"/>
    </row>
    <row r="704" spans="1:274" s="1047" customFormat="1" ht="12.75" customHeight="1" x14ac:dyDescent="0.2">
      <c r="A704" s="702" t="s">
        <v>1078</v>
      </c>
      <c r="B704" s="1046"/>
      <c r="CI704" s="81"/>
      <c r="CJ704" s="81"/>
      <c r="CK704" s="81"/>
      <c r="CL704" s="81"/>
      <c r="CO704" s="81"/>
      <c r="CP704" s="81"/>
      <c r="CQ704" s="1048"/>
      <c r="CR704" s="81"/>
      <c r="CU704" s="81"/>
      <c r="CV704" s="81"/>
      <c r="CW704" s="81"/>
      <c r="CX704" s="81"/>
      <c r="CY704" s="1048"/>
      <c r="DA704" s="81"/>
      <c r="DB704" s="81"/>
      <c r="DC704" s="81"/>
      <c r="DD704" s="81"/>
      <c r="DE704" s="1048"/>
      <c r="DG704" s="81"/>
      <c r="DH704" s="81"/>
      <c r="DI704" s="81"/>
      <c r="DJ704" s="81"/>
      <c r="DK704" s="1048"/>
      <c r="DM704" s="81"/>
      <c r="DN704" s="81"/>
      <c r="DO704" s="81"/>
      <c r="DP704" s="81"/>
      <c r="DQ704" s="1048"/>
      <c r="DS704" s="81"/>
      <c r="DT704" s="81"/>
      <c r="DU704" s="81"/>
      <c r="DV704" s="81"/>
      <c r="DW704" s="1048"/>
      <c r="DY704" s="81"/>
      <c r="DZ704" s="81"/>
      <c r="EA704" s="81"/>
      <c r="EB704" s="81"/>
      <c r="EC704" s="1048"/>
      <c r="EE704" s="81"/>
      <c r="EF704" s="81"/>
      <c r="EG704" s="81"/>
      <c r="EH704" s="81"/>
      <c r="EI704" s="1077">
        <v>5209</v>
      </c>
      <c r="EK704" s="243"/>
      <c r="EL704" s="243"/>
      <c r="EM704" s="243"/>
      <c r="EN704" s="243"/>
      <c r="EO704" s="1077">
        <v>4669</v>
      </c>
      <c r="EP704" s="698"/>
      <c r="EQ704" s="243"/>
      <c r="ER704" s="243"/>
      <c r="ES704" s="243"/>
      <c r="ET704" s="243"/>
      <c r="EU704" s="1077">
        <v>4152</v>
      </c>
      <c r="EV704" s="698"/>
      <c r="EW704" s="698"/>
      <c r="EX704" s="698"/>
      <c r="EY704" s="698"/>
      <c r="EZ704" s="698"/>
      <c r="FA704" s="699"/>
      <c r="FB704" s="698"/>
      <c r="FC704" s="698"/>
      <c r="FQ704"/>
      <c r="FR704"/>
      <c r="FS704"/>
      <c r="FT704"/>
      <c r="FU704"/>
      <c r="FV704"/>
      <c r="GB704" s="856"/>
      <c r="GC704" s="856"/>
      <c r="GD704" s="856"/>
      <c r="GE704" s="856"/>
      <c r="GF704" s="856"/>
      <c r="GG704" s="856"/>
      <c r="GH704" s="856"/>
      <c r="GI704" s="856"/>
      <c r="GJ704"/>
      <c r="GK704"/>
      <c r="GL704"/>
      <c r="GM704"/>
      <c r="GN704"/>
      <c r="GO704"/>
      <c r="GP704"/>
      <c r="GQ704"/>
      <c r="GR704"/>
      <c r="GS704"/>
      <c r="GT704"/>
      <c r="GU704"/>
      <c r="GV704"/>
      <c r="GW704"/>
      <c r="GX704"/>
      <c r="GY704"/>
      <c r="GZ704"/>
      <c r="HA704"/>
      <c r="HB704"/>
      <c r="HC704"/>
      <c r="HD704"/>
      <c r="HE704"/>
      <c r="HF704"/>
      <c r="HG704"/>
      <c r="HH704"/>
      <c r="HI704"/>
      <c r="HJ704"/>
      <c r="HK704"/>
      <c r="HL704"/>
      <c r="HM704"/>
      <c r="HN704"/>
      <c r="HO704"/>
      <c r="HP704"/>
      <c r="HQ704"/>
      <c r="HR704"/>
      <c r="HS704"/>
      <c r="HT704"/>
      <c r="HU704"/>
      <c r="HV704"/>
      <c r="HW704"/>
      <c r="HX704"/>
      <c r="HY704"/>
      <c r="HZ704"/>
      <c r="IA704"/>
      <c r="IB704"/>
      <c r="IC704"/>
      <c r="ID704"/>
      <c r="IE704"/>
      <c r="IF704"/>
      <c r="IG704"/>
      <c r="IH704"/>
      <c r="II704"/>
      <c r="IJ704"/>
      <c r="IK704"/>
      <c r="IL704"/>
      <c r="IM704"/>
      <c r="IN704"/>
      <c r="IO704"/>
      <c r="IP704"/>
      <c r="IQ704"/>
      <c r="IR704"/>
      <c r="IS704"/>
      <c r="IT704"/>
      <c r="IU704"/>
      <c r="IV704"/>
      <c r="IW704"/>
      <c r="IX704"/>
      <c r="IY704"/>
      <c r="IZ704"/>
      <c r="JA704"/>
      <c r="JB704"/>
      <c r="JC704"/>
      <c r="JD704"/>
      <c r="JE704"/>
      <c r="JF704"/>
      <c r="JG704"/>
      <c r="JH704"/>
      <c r="JI704"/>
      <c r="JJ704"/>
      <c r="JK704"/>
      <c r="JL704"/>
      <c r="JM704"/>
      <c r="JN704"/>
    </row>
    <row r="705" spans="1:274" s="1047" customFormat="1" ht="12.75" customHeight="1" x14ac:dyDescent="0.2">
      <c r="A705" s="702" t="s">
        <v>1079</v>
      </c>
      <c r="B705" s="1046"/>
      <c r="CI705" s="81"/>
      <c r="CJ705" s="81"/>
      <c r="CK705" s="81"/>
      <c r="CL705" s="81"/>
      <c r="CO705" s="81"/>
      <c r="CP705" s="81"/>
      <c r="CQ705" s="1048"/>
      <c r="CR705" s="81"/>
      <c r="CU705" s="81"/>
      <c r="CV705" s="81"/>
      <c r="CW705" s="81"/>
      <c r="CX705" s="81"/>
      <c r="CY705" s="1048"/>
      <c r="DA705" s="81"/>
      <c r="DB705" s="81"/>
      <c r="DC705" s="81"/>
      <c r="DD705" s="81"/>
      <c r="DE705" s="1048"/>
      <c r="DG705" s="81"/>
      <c r="DH705" s="81"/>
      <c r="DI705" s="81"/>
      <c r="DJ705" s="81"/>
      <c r="DK705" s="1048"/>
      <c r="DM705" s="81"/>
      <c r="DN705" s="81"/>
      <c r="DO705" s="81"/>
      <c r="DP705" s="81"/>
      <c r="DQ705" s="1048"/>
      <c r="DS705" s="81"/>
      <c r="DT705" s="81"/>
      <c r="DU705" s="81"/>
      <c r="DV705" s="81"/>
      <c r="DW705" s="1048"/>
      <c r="DY705" s="81"/>
      <c r="DZ705" s="81"/>
      <c r="EA705" s="81"/>
      <c r="EB705" s="81"/>
      <c r="EC705" s="1048"/>
      <c r="EE705" s="81"/>
      <c r="EF705" s="81"/>
      <c r="EG705" s="81"/>
      <c r="EH705" s="81"/>
      <c r="EI705" s="1077">
        <v>885</v>
      </c>
      <c r="EK705" s="243"/>
      <c r="EL705" s="243"/>
      <c r="EM705" s="243"/>
      <c r="EN705" s="243"/>
      <c r="EO705" s="1077">
        <v>867</v>
      </c>
      <c r="EP705" s="698"/>
      <c r="EQ705" s="243"/>
      <c r="ER705" s="243"/>
      <c r="ES705" s="243"/>
      <c r="ET705" s="243"/>
      <c r="EU705" s="1077">
        <v>820</v>
      </c>
      <c r="EV705" s="698"/>
      <c r="EW705" s="698"/>
      <c r="EX705" s="698"/>
      <c r="EY705" s="698"/>
      <c r="EZ705" s="698"/>
      <c r="FA705" s="699"/>
      <c r="FB705" s="698"/>
      <c r="FC705" s="698"/>
      <c r="FQ705"/>
      <c r="FR705"/>
      <c r="FS705"/>
      <c r="FT705"/>
      <c r="FU705"/>
      <c r="FV705"/>
      <c r="GB705" s="856"/>
      <c r="GC705" s="856"/>
      <c r="GD705" s="856"/>
      <c r="GE705" s="856"/>
      <c r="GF705" s="856"/>
      <c r="GG705" s="856"/>
      <c r="GH705" s="856"/>
      <c r="GI705" s="856"/>
      <c r="GJ705"/>
      <c r="GK705"/>
      <c r="GL705"/>
      <c r="GM705"/>
      <c r="GN705"/>
      <c r="GO705"/>
      <c r="GP705"/>
      <c r="GQ705"/>
      <c r="GR705"/>
      <c r="GS705"/>
      <c r="GT705"/>
      <c r="GU705"/>
      <c r="GV705"/>
      <c r="GW705"/>
      <c r="GX705"/>
      <c r="GY705"/>
      <c r="GZ705"/>
      <c r="HA705"/>
      <c r="HB705"/>
      <c r="HC705"/>
      <c r="HD705"/>
      <c r="HE705"/>
      <c r="HF705"/>
      <c r="HG705"/>
      <c r="HH705"/>
      <c r="HI705"/>
      <c r="HJ705"/>
      <c r="HK705"/>
      <c r="HL705"/>
      <c r="HM705"/>
      <c r="HN705"/>
      <c r="HO705"/>
      <c r="HP705"/>
      <c r="HQ705"/>
      <c r="HR705"/>
      <c r="HS705"/>
      <c r="HT705"/>
      <c r="HU705"/>
      <c r="HV705"/>
      <c r="HW705"/>
      <c r="HX705"/>
      <c r="HY705"/>
      <c r="HZ705"/>
      <c r="IA705"/>
      <c r="IB705"/>
      <c r="IC705"/>
      <c r="ID705"/>
      <c r="IE705"/>
      <c r="IF705"/>
      <c r="IG705"/>
      <c r="IH705"/>
      <c r="II705"/>
      <c r="IJ705"/>
      <c r="IK705"/>
      <c r="IL705"/>
      <c r="IM705"/>
      <c r="IN705"/>
      <c r="IO705"/>
      <c r="IP705"/>
      <c r="IQ705"/>
      <c r="IR705"/>
      <c r="IS705"/>
      <c r="IT705"/>
      <c r="IU705"/>
      <c r="IV705"/>
      <c r="IW705"/>
      <c r="IX705"/>
      <c r="IY705"/>
      <c r="IZ705"/>
      <c r="JA705"/>
      <c r="JB705"/>
      <c r="JC705"/>
      <c r="JD705"/>
      <c r="JE705"/>
      <c r="JF705"/>
      <c r="JG705"/>
      <c r="JH705"/>
      <c r="JI705"/>
      <c r="JJ705"/>
      <c r="JK705"/>
      <c r="JL705"/>
      <c r="JM705"/>
      <c r="JN705"/>
    </row>
    <row r="706" spans="1:274" s="1047" customFormat="1" ht="12.75" customHeight="1" x14ac:dyDescent="0.2">
      <c r="A706" s="702" t="s">
        <v>1276</v>
      </c>
      <c r="B706" s="1046"/>
      <c r="CI706" s="81"/>
      <c r="CJ706" s="81"/>
      <c r="CK706" s="81"/>
      <c r="CL706" s="81"/>
      <c r="CO706" s="81"/>
      <c r="CP706" s="81"/>
      <c r="CQ706" s="1048"/>
      <c r="CR706" s="81"/>
      <c r="CU706" s="81"/>
      <c r="CV706" s="81"/>
      <c r="CW706" s="81"/>
      <c r="CX706" s="81"/>
      <c r="CY706" s="1048"/>
      <c r="DA706" s="81"/>
      <c r="DB706" s="81"/>
      <c r="DC706" s="81"/>
      <c r="DD706" s="81"/>
      <c r="DE706" s="1048"/>
      <c r="DG706" s="81"/>
      <c r="DH706" s="81"/>
      <c r="DI706" s="81"/>
      <c r="DJ706" s="81"/>
      <c r="DK706" s="1048"/>
      <c r="DM706" s="81"/>
      <c r="DN706" s="81"/>
      <c r="DO706" s="81"/>
      <c r="DP706" s="81"/>
      <c r="DQ706" s="1048"/>
      <c r="DS706" s="81"/>
      <c r="DT706" s="81"/>
      <c r="DU706" s="81"/>
      <c r="DV706" s="81"/>
      <c r="DW706" s="1048"/>
      <c r="DY706" s="81"/>
      <c r="DZ706" s="81"/>
      <c r="EA706" s="81"/>
      <c r="EB706" s="81"/>
      <c r="EC706" s="1048"/>
      <c r="EE706" s="81"/>
      <c r="EF706" s="81"/>
      <c r="EG706" s="81"/>
      <c r="EH706" s="81"/>
      <c r="EI706" s="1077">
        <v>2249</v>
      </c>
      <c r="EK706" s="243"/>
      <c r="EL706" s="243"/>
      <c r="EM706" s="243"/>
      <c r="EN706" s="243"/>
      <c r="EO706" s="1077">
        <v>2031</v>
      </c>
      <c r="EP706" s="698"/>
      <c r="EQ706" s="243"/>
      <c r="ER706" s="243"/>
      <c r="ES706" s="243"/>
      <c r="ET706" s="243"/>
      <c r="EU706" s="1077">
        <v>1623</v>
      </c>
      <c r="EV706" s="698"/>
      <c r="EW706" s="698"/>
      <c r="EX706" s="698"/>
      <c r="EY706" s="698"/>
      <c r="EZ706" s="698"/>
      <c r="FA706" s="699"/>
      <c r="FB706" s="698"/>
      <c r="FC706" s="698"/>
      <c r="FQ706"/>
      <c r="FR706"/>
      <c r="FS706"/>
      <c r="FT706"/>
      <c r="FU706"/>
      <c r="FV706"/>
      <c r="GB706" s="856"/>
      <c r="GC706" s="856"/>
      <c r="GD706" s="856"/>
      <c r="GE706" s="856"/>
      <c r="GF706" s="856"/>
      <c r="GG706" s="856"/>
      <c r="GH706" s="856"/>
      <c r="GI706" s="856"/>
      <c r="GJ706"/>
      <c r="GK706"/>
      <c r="GL706"/>
      <c r="GM706"/>
      <c r="GN706"/>
      <c r="GO706"/>
      <c r="GP706"/>
      <c r="GQ706"/>
      <c r="GR706"/>
      <c r="GS706"/>
      <c r="GT706"/>
      <c r="GU706"/>
      <c r="GV706"/>
      <c r="GW706"/>
      <c r="GX706"/>
      <c r="GY706"/>
      <c r="GZ706"/>
      <c r="HA706"/>
      <c r="HB706"/>
      <c r="HC706"/>
      <c r="HD706"/>
      <c r="HE706"/>
      <c r="HF706"/>
      <c r="HG706"/>
      <c r="HH706"/>
      <c r="HI706"/>
      <c r="HJ706"/>
      <c r="HK706"/>
      <c r="HL706"/>
      <c r="HM706"/>
      <c r="HN706"/>
      <c r="HO706"/>
      <c r="HP706"/>
      <c r="HQ706"/>
      <c r="HR706"/>
      <c r="HS706"/>
      <c r="HT706"/>
      <c r="HU706"/>
      <c r="HV706"/>
      <c r="HW706"/>
      <c r="HX706"/>
      <c r="HY706"/>
      <c r="HZ706"/>
      <c r="IA706"/>
      <c r="IB706"/>
      <c r="IC706"/>
      <c r="ID706"/>
      <c r="IE706"/>
      <c r="IF706"/>
      <c r="IG706"/>
      <c r="IH706"/>
      <c r="II706"/>
      <c r="IJ706"/>
      <c r="IK706"/>
      <c r="IL706"/>
      <c r="IM706"/>
      <c r="IN706"/>
      <c r="IO706"/>
      <c r="IP706"/>
      <c r="IQ706"/>
      <c r="IR706"/>
      <c r="IS706"/>
      <c r="IT706"/>
      <c r="IU706"/>
      <c r="IV706"/>
      <c r="IW706"/>
      <c r="IX706"/>
      <c r="IY706"/>
      <c r="IZ706"/>
      <c r="JA706"/>
      <c r="JB706"/>
      <c r="JC706"/>
      <c r="JD706"/>
      <c r="JE706"/>
      <c r="JF706"/>
      <c r="JG706"/>
      <c r="JH706"/>
      <c r="JI706"/>
      <c r="JJ706"/>
      <c r="JK706"/>
      <c r="JL706"/>
      <c r="JM706"/>
      <c r="JN706"/>
    </row>
    <row r="707" spans="1:274" s="1047" customFormat="1" ht="12.75" customHeight="1" x14ac:dyDescent="0.2">
      <c r="A707" s="703" t="s">
        <v>1080</v>
      </c>
      <c r="B707" s="1046"/>
      <c r="CI707" s="81"/>
      <c r="CJ707" s="81"/>
      <c r="CK707" s="81"/>
      <c r="CL707" s="81"/>
      <c r="CO707" s="81"/>
      <c r="CP707" s="81"/>
      <c r="CQ707" s="1048"/>
      <c r="CR707" s="81"/>
      <c r="CU707" s="81"/>
      <c r="CV707" s="81"/>
      <c r="CW707" s="81"/>
      <c r="CX707" s="81"/>
      <c r="CY707" s="1048"/>
      <c r="DA707" s="81"/>
      <c r="DB707" s="81"/>
      <c r="DC707" s="81"/>
      <c r="DD707" s="81"/>
      <c r="DE707" s="1048"/>
      <c r="DG707" s="81"/>
      <c r="DH707" s="81"/>
      <c r="DI707" s="81"/>
      <c r="DJ707" s="81"/>
      <c r="DK707" s="1048"/>
      <c r="DM707" s="81"/>
      <c r="DN707" s="81"/>
      <c r="DO707" s="81"/>
      <c r="DP707" s="81"/>
      <c r="DQ707" s="1048"/>
      <c r="DS707" s="81"/>
      <c r="DT707" s="81"/>
      <c r="DU707" s="81"/>
      <c r="DV707" s="81"/>
      <c r="DW707" s="1048"/>
      <c r="DY707" s="81"/>
      <c r="DZ707" s="81"/>
      <c r="EA707" s="81"/>
      <c r="EB707" s="81"/>
      <c r="EC707" s="1048"/>
      <c r="EE707" s="81"/>
      <c r="EF707" s="81"/>
      <c r="EG707" s="81"/>
      <c r="EH707" s="81"/>
      <c r="EI707" s="705">
        <f>EI704-SUM(EI705:EI706)</f>
        <v>2075</v>
      </c>
      <c r="EK707" s="73"/>
      <c r="EL707" s="73"/>
      <c r="EM707" s="73"/>
      <c r="EN707" s="73"/>
      <c r="EO707" s="705">
        <f>EO704-SUM(EO705:EO706)</f>
        <v>1771</v>
      </c>
      <c r="EP707" s="704"/>
      <c r="EQ707" s="73"/>
      <c r="ER707" s="73"/>
      <c r="ES707" s="73"/>
      <c r="ET707" s="73"/>
      <c r="EU707" s="705">
        <f>EU704-SUM(EU705:EU706)</f>
        <v>1709</v>
      </c>
      <c r="EV707" s="704"/>
      <c r="EW707" s="704"/>
      <c r="EX707" s="704"/>
      <c r="EY707" s="704"/>
      <c r="EZ707" s="704"/>
      <c r="FA707" s="706"/>
      <c r="FB707" s="704"/>
      <c r="FC707" s="704"/>
      <c r="FQ707"/>
      <c r="FR707"/>
      <c r="FS707"/>
      <c r="FT707"/>
      <c r="FU707"/>
      <c r="FV707"/>
      <c r="GB707" s="856"/>
      <c r="GC707" s="856"/>
      <c r="GD707" s="856"/>
      <c r="GE707" s="856"/>
      <c r="GF707" s="856"/>
      <c r="GG707" s="856"/>
      <c r="GH707" s="856"/>
      <c r="GI707" s="856"/>
      <c r="GJ707"/>
      <c r="GK707"/>
      <c r="GL707"/>
      <c r="GM707"/>
      <c r="GN707"/>
      <c r="GO707"/>
      <c r="GP707"/>
      <c r="GQ707"/>
      <c r="GR707"/>
      <c r="GS707"/>
      <c r="GT707"/>
      <c r="GU707"/>
      <c r="GV707"/>
      <c r="GW707"/>
      <c r="GX707"/>
      <c r="GY707"/>
      <c r="GZ707"/>
      <c r="HA707"/>
      <c r="HB707"/>
      <c r="HC707"/>
      <c r="HD707"/>
      <c r="HE707"/>
      <c r="HF707"/>
      <c r="HG707"/>
      <c r="HH707"/>
      <c r="HI707"/>
      <c r="HJ707"/>
      <c r="HK707"/>
      <c r="HL707"/>
      <c r="HM707"/>
      <c r="HN707"/>
      <c r="HO707"/>
      <c r="HP707"/>
      <c r="HQ707"/>
      <c r="HR707"/>
      <c r="HS707"/>
      <c r="HT707"/>
      <c r="HU707"/>
      <c r="HV707"/>
      <c r="HW707"/>
      <c r="HX707"/>
      <c r="HY707"/>
      <c r="HZ707"/>
      <c r="IA707"/>
      <c r="IB707"/>
      <c r="IC707"/>
      <c r="ID707"/>
      <c r="IE707"/>
      <c r="IF707"/>
      <c r="IG707"/>
      <c r="IH707"/>
      <c r="II707"/>
      <c r="IJ707"/>
      <c r="IK707"/>
      <c r="IL707"/>
      <c r="IM707"/>
      <c r="IN707"/>
      <c r="IO707"/>
      <c r="IP707"/>
      <c r="IQ707"/>
      <c r="IR707"/>
      <c r="IS707"/>
      <c r="IT707"/>
      <c r="IU707"/>
      <c r="IV707"/>
      <c r="IW707"/>
      <c r="IX707"/>
      <c r="IY707"/>
      <c r="IZ707"/>
      <c r="JA707"/>
      <c r="JB707"/>
      <c r="JC707"/>
      <c r="JD707"/>
      <c r="JE707"/>
      <c r="JF707"/>
      <c r="JG707"/>
      <c r="JH707"/>
      <c r="JI707"/>
      <c r="JJ707"/>
      <c r="JK707"/>
      <c r="JL707"/>
      <c r="JM707"/>
      <c r="JN707"/>
    </row>
    <row r="708" spans="1:274" s="1047" customFormat="1" ht="12.75" customHeight="1" x14ac:dyDescent="0.2">
      <c r="A708" s="703" t="s">
        <v>1081</v>
      </c>
      <c r="B708" s="1046"/>
      <c r="CI708" s="81"/>
      <c r="CJ708" s="81"/>
      <c r="CK708" s="81"/>
      <c r="CL708" s="81"/>
      <c r="CO708" s="81"/>
      <c r="CP708" s="81"/>
      <c r="CQ708" s="1048"/>
      <c r="CR708" s="81"/>
      <c r="CU708" s="81"/>
      <c r="CV708" s="81"/>
      <c r="CW708" s="81"/>
      <c r="CX708" s="81"/>
      <c r="CY708" s="1048"/>
      <c r="DA708" s="81"/>
      <c r="DB708" s="81"/>
      <c r="DC708" s="81"/>
      <c r="DD708" s="81"/>
      <c r="DE708" s="1048"/>
      <c r="DG708" s="81"/>
      <c r="DH708" s="81"/>
      <c r="DI708" s="81"/>
      <c r="DJ708" s="81"/>
      <c r="DK708" s="1048"/>
      <c r="DM708" s="81"/>
      <c r="DN708" s="81"/>
      <c r="DO708" s="81"/>
      <c r="DP708" s="81"/>
      <c r="DQ708" s="1048"/>
      <c r="DS708" s="81"/>
      <c r="DT708" s="81"/>
      <c r="DU708" s="81"/>
      <c r="DV708" s="81"/>
      <c r="DW708" s="1048"/>
      <c r="DY708" s="81"/>
      <c r="DZ708" s="81"/>
      <c r="EA708" s="81"/>
      <c r="EB708" s="81"/>
      <c r="EC708" s="1048"/>
      <c r="EE708" s="81"/>
      <c r="EF708" s="81"/>
      <c r="EG708" s="81"/>
      <c r="EH708" s="81"/>
      <c r="EI708" s="707">
        <f>+EI707/EI704</f>
        <v>0.39834901132655021</v>
      </c>
      <c r="EK708" s="70"/>
      <c r="EL708" s="70"/>
      <c r="EM708" s="70"/>
      <c r="EN708" s="70"/>
      <c r="EO708" s="707">
        <f>+EO707/EO704</f>
        <v>0.37931034482758619</v>
      </c>
      <c r="EP708" s="704"/>
      <c r="EQ708" s="70"/>
      <c r="ER708" s="70"/>
      <c r="ES708" s="70"/>
      <c r="ET708" s="70"/>
      <c r="EU708" s="707">
        <f>+EU707/EU704</f>
        <v>0.41160886319845857</v>
      </c>
      <c r="EV708" s="704"/>
      <c r="EW708" s="704"/>
      <c r="EX708" s="704"/>
      <c r="EY708" s="704"/>
      <c r="EZ708" s="704"/>
      <c r="FA708" s="706"/>
      <c r="FB708" s="704"/>
      <c r="FC708" s="704"/>
      <c r="FQ708"/>
      <c r="FR708"/>
      <c r="FS708"/>
      <c r="FT708"/>
      <c r="FU708"/>
      <c r="FV708"/>
      <c r="GB708" s="856"/>
      <c r="GC708" s="856"/>
      <c r="GD708" s="856"/>
      <c r="GE708" s="856"/>
      <c r="GF708" s="856"/>
      <c r="GG708" s="856"/>
      <c r="GH708" s="856"/>
      <c r="GI708" s="856"/>
      <c r="GJ708"/>
      <c r="GK708"/>
      <c r="GL708"/>
      <c r="GM708"/>
      <c r="GN708"/>
      <c r="GO708"/>
      <c r="GP708"/>
      <c r="GQ708"/>
      <c r="GR708"/>
      <c r="GS708"/>
      <c r="GT708"/>
      <c r="GU708"/>
      <c r="GV708"/>
      <c r="GW708"/>
      <c r="GX708"/>
      <c r="GY708"/>
      <c r="GZ708"/>
      <c r="HA708"/>
      <c r="HB708"/>
      <c r="HC708"/>
      <c r="HD708"/>
      <c r="HE708"/>
      <c r="HF708"/>
      <c r="HG708"/>
      <c r="HH708"/>
      <c r="HI708"/>
      <c r="HJ708"/>
      <c r="HK708"/>
      <c r="HL708"/>
      <c r="HM708"/>
      <c r="HN708"/>
      <c r="HO708"/>
      <c r="HP708"/>
      <c r="HQ708"/>
      <c r="HR708"/>
      <c r="HS708"/>
      <c r="HT708"/>
      <c r="HU708"/>
      <c r="HV708"/>
      <c r="HW708"/>
      <c r="HX708"/>
      <c r="HY708"/>
      <c r="HZ708"/>
      <c r="IA708"/>
      <c r="IB708"/>
      <c r="IC708"/>
      <c r="ID708"/>
      <c r="IE708"/>
      <c r="IF708"/>
      <c r="IG708"/>
      <c r="IH708"/>
      <c r="II708"/>
      <c r="IJ708"/>
      <c r="IK708"/>
      <c r="IL708"/>
      <c r="IM708"/>
      <c r="IN708"/>
      <c r="IO708"/>
      <c r="IP708"/>
      <c r="IQ708"/>
      <c r="IR708"/>
      <c r="IS708"/>
      <c r="IT708"/>
      <c r="IU708"/>
      <c r="IV708"/>
      <c r="IW708"/>
      <c r="IX708"/>
      <c r="IY708"/>
      <c r="IZ708"/>
      <c r="JA708"/>
      <c r="JB708"/>
      <c r="JC708"/>
      <c r="JD708"/>
      <c r="JE708"/>
      <c r="JF708"/>
      <c r="JG708"/>
      <c r="JH708"/>
      <c r="JI708"/>
      <c r="JJ708"/>
      <c r="JK708"/>
      <c r="JL708"/>
      <c r="JM708"/>
      <c r="JN708"/>
    </row>
    <row r="709" spans="1:274" s="1047" customFormat="1" ht="12.75" customHeight="1" x14ac:dyDescent="0.2">
      <c r="A709" s="18"/>
      <c r="B709" s="1046"/>
      <c r="CI709" s="81"/>
      <c r="CJ709" s="81"/>
      <c r="CK709" s="81"/>
      <c r="CL709" s="81"/>
      <c r="CO709" s="81"/>
      <c r="CP709" s="81"/>
      <c r="CQ709" s="1048"/>
      <c r="CR709" s="81"/>
      <c r="CU709" s="81"/>
      <c r="CV709" s="81"/>
      <c r="CW709" s="81"/>
      <c r="CX709" s="81"/>
      <c r="CY709" s="1048"/>
      <c r="DA709" s="81"/>
      <c r="DB709" s="81"/>
      <c r="DC709" s="81"/>
      <c r="DD709" s="81"/>
      <c r="DE709" s="1048"/>
      <c r="DG709" s="81"/>
      <c r="DH709" s="81"/>
      <c r="DI709" s="81"/>
      <c r="DJ709" s="81"/>
      <c r="DK709" s="1048"/>
      <c r="DM709" s="81"/>
      <c r="DN709" s="81"/>
      <c r="DO709" s="81"/>
      <c r="DP709" s="81"/>
      <c r="DQ709" s="1048"/>
      <c r="DS709" s="81"/>
      <c r="DT709" s="81"/>
      <c r="DU709" s="81"/>
      <c r="DV709" s="81"/>
      <c r="DW709" s="1048"/>
      <c r="DY709" s="81"/>
      <c r="DZ709" s="81"/>
      <c r="EA709" s="81"/>
      <c r="EB709" s="81"/>
      <c r="EC709" s="1048"/>
      <c r="EE709" s="81"/>
      <c r="EF709" s="81"/>
      <c r="EG709" s="81"/>
      <c r="EH709" s="81"/>
      <c r="EI709" s="1048"/>
      <c r="EK709" s="1048"/>
      <c r="EL709" s="81"/>
      <c r="EM709" s="81"/>
      <c r="EN709" s="81"/>
      <c r="EO709" s="1048"/>
      <c r="EQ709" s="1048"/>
      <c r="ER709" s="81"/>
      <c r="ES709" s="81"/>
      <c r="ET709" s="81"/>
      <c r="EU709" s="1048"/>
      <c r="FQ709"/>
      <c r="FR709"/>
      <c r="FS709"/>
      <c r="FT709"/>
      <c r="FU709"/>
      <c r="FV709"/>
      <c r="GB709" s="856"/>
      <c r="GC709" s="856"/>
      <c r="GD709" s="856"/>
      <c r="GE709" s="856"/>
      <c r="GF709" s="856"/>
      <c r="GG709" s="856"/>
      <c r="GH709" s="856"/>
      <c r="GI709" s="856"/>
      <c r="GJ709"/>
      <c r="GK709"/>
      <c r="GL709"/>
      <c r="GM709"/>
      <c r="GN709"/>
      <c r="GO709"/>
      <c r="GP709"/>
      <c r="GQ709"/>
      <c r="GR709"/>
      <c r="GS709"/>
      <c r="GT709"/>
      <c r="GU709"/>
      <c r="GV709"/>
      <c r="GW709"/>
      <c r="GX709"/>
      <c r="GY709"/>
      <c r="GZ709"/>
      <c r="HA709"/>
      <c r="HB709"/>
      <c r="HC709"/>
      <c r="HD709"/>
      <c r="HE709"/>
      <c r="HF709"/>
      <c r="HG709"/>
      <c r="HH709"/>
      <c r="HI709"/>
      <c r="HJ709"/>
      <c r="HK709"/>
      <c r="HL709"/>
      <c r="HM709"/>
      <c r="HN709"/>
      <c r="HO709"/>
      <c r="HP709"/>
      <c r="HQ709"/>
      <c r="HR709"/>
      <c r="HS709"/>
      <c r="HT709"/>
      <c r="HU709"/>
      <c r="HV709"/>
      <c r="HW709"/>
      <c r="HX709"/>
      <c r="HY709"/>
      <c r="HZ709"/>
      <c r="IA709"/>
      <c r="IB709"/>
      <c r="IC709"/>
      <c r="ID709"/>
      <c r="IE709"/>
      <c r="IF709"/>
      <c r="IG709"/>
      <c r="IH709"/>
      <c r="II709"/>
      <c r="IJ709"/>
      <c r="IK709"/>
      <c r="IL709"/>
      <c r="IM709"/>
      <c r="IN709"/>
      <c r="IO709"/>
      <c r="IP709"/>
      <c r="IQ709"/>
      <c r="IR709"/>
      <c r="IS709"/>
      <c r="IT709"/>
      <c r="IU709"/>
      <c r="IV709"/>
      <c r="IW709"/>
      <c r="IX709"/>
      <c r="IY709"/>
      <c r="IZ709"/>
      <c r="JA709"/>
      <c r="JB709"/>
      <c r="JC709"/>
      <c r="JD709"/>
      <c r="JE709"/>
      <c r="JF709"/>
      <c r="JG709"/>
      <c r="JH709"/>
      <c r="JI709"/>
      <c r="JJ709"/>
      <c r="JK709"/>
      <c r="JL709"/>
      <c r="JM709"/>
      <c r="JN709"/>
    </row>
    <row r="710" spans="1:274" s="1047" customFormat="1" ht="12.75" customHeight="1" x14ac:dyDescent="0.2">
      <c r="A710" s="696" t="s">
        <v>47</v>
      </c>
      <c r="B710" s="1046"/>
      <c r="CI710" s="81"/>
      <c r="CJ710" s="81"/>
      <c r="CK710" s="81"/>
      <c r="CL710" s="81"/>
      <c r="CO710" s="81"/>
      <c r="CP710" s="81"/>
      <c r="CQ710" s="1048"/>
      <c r="CR710" s="81"/>
      <c r="CU710" s="81"/>
      <c r="CV710" s="81"/>
      <c r="CW710" s="81"/>
      <c r="CX710" s="81"/>
      <c r="CY710" s="1048"/>
      <c r="DA710" s="81"/>
      <c r="DB710" s="81"/>
      <c r="DC710" s="81"/>
      <c r="DD710" s="81"/>
      <c r="DE710" s="1048"/>
      <c r="DG710" s="81"/>
      <c r="DH710" s="81"/>
      <c r="DI710" s="81"/>
      <c r="DJ710" s="81"/>
      <c r="DK710" s="1048"/>
      <c r="DM710" s="81"/>
      <c r="DN710" s="81"/>
      <c r="DO710" s="81"/>
      <c r="DP710" s="81"/>
      <c r="DQ710" s="1048"/>
      <c r="DS710" s="81"/>
      <c r="DT710" s="81"/>
      <c r="DU710" s="81"/>
      <c r="DV710" s="81"/>
      <c r="DW710" s="1048"/>
      <c r="DY710" s="81"/>
      <c r="DZ710" s="81"/>
      <c r="EA710" s="81"/>
      <c r="EB710" s="81"/>
      <c r="EC710" s="1048"/>
      <c r="EE710" s="81"/>
      <c r="EF710" s="81"/>
      <c r="EG710" s="81"/>
      <c r="EH710" s="81"/>
      <c r="EI710" s="1048"/>
      <c r="EK710" s="1048"/>
      <c r="EL710" s="81"/>
      <c r="EM710" s="81"/>
      <c r="EN710" s="81"/>
      <c r="EO710" s="1048"/>
      <c r="EQ710" s="1048"/>
      <c r="ER710" s="81"/>
      <c r="ES710" s="81"/>
      <c r="ET710" s="81"/>
      <c r="EU710" s="1048"/>
      <c r="FQ710"/>
      <c r="FR710"/>
      <c r="FS710"/>
      <c r="FT710"/>
      <c r="FU710"/>
      <c r="FV710"/>
      <c r="GB710" s="856"/>
      <c r="GC710" s="856"/>
      <c r="GD710" s="856"/>
      <c r="GE710" s="856"/>
      <c r="GF710" s="856"/>
      <c r="GG710" s="856"/>
      <c r="GH710" s="856"/>
      <c r="GI710" s="856"/>
      <c r="GJ710"/>
      <c r="GK710"/>
      <c r="GL710"/>
      <c r="GM710"/>
      <c r="GN710"/>
      <c r="GO710"/>
      <c r="GP710"/>
      <c r="GQ710"/>
      <c r="GR710"/>
      <c r="GS710"/>
      <c r="GT710"/>
      <c r="GU710"/>
      <c r="GV710"/>
      <c r="GW710"/>
      <c r="GX710"/>
      <c r="GY710"/>
      <c r="GZ710"/>
      <c r="HA710"/>
      <c r="HB710"/>
      <c r="HC710"/>
      <c r="HD710"/>
      <c r="HE710"/>
      <c r="HF710"/>
      <c r="HG710"/>
      <c r="HH710"/>
      <c r="HI710"/>
      <c r="HJ710"/>
      <c r="HK710"/>
      <c r="HL710"/>
      <c r="HM710"/>
      <c r="HN710"/>
      <c r="HO710"/>
      <c r="HP710"/>
      <c r="HQ710"/>
      <c r="HR710"/>
      <c r="HS710"/>
      <c r="HT710"/>
      <c r="HU710"/>
      <c r="HV710"/>
      <c r="HW710"/>
      <c r="HX710"/>
      <c r="HY710"/>
      <c r="HZ710"/>
      <c r="IA710"/>
      <c r="IB710"/>
      <c r="IC710"/>
      <c r="ID710"/>
      <c r="IE710"/>
      <c r="IF710"/>
      <c r="IG710"/>
      <c r="IH710"/>
      <c r="II710"/>
      <c r="IJ710"/>
      <c r="IK710"/>
      <c r="IL710"/>
      <c r="IM710"/>
      <c r="IN710"/>
      <c r="IO710"/>
      <c r="IP710"/>
      <c r="IQ710"/>
      <c r="IR710"/>
      <c r="IS710"/>
      <c r="IT710"/>
      <c r="IU710"/>
      <c r="IV710"/>
      <c r="IW710"/>
      <c r="IX710"/>
      <c r="IY710"/>
      <c r="IZ710"/>
      <c r="JA710"/>
      <c r="JB710"/>
      <c r="JC710"/>
      <c r="JD710"/>
      <c r="JE710"/>
      <c r="JF710"/>
      <c r="JG710"/>
      <c r="JH710"/>
      <c r="JI710"/>
      <c r="JJ710"/>
      <c r="JK710"/>
      <c r="JL710"/>
      <c r="JM710"/>
      <c r="JN710"/>
    </row>
    <row r="711" spans="1:274" s="1047" customFormat="1" ht="12.75" customHeight="1" x14ac:dyDescent="0.2">
      <c r="A711" s="702" t="s">
        <v>1078</v>
      </c>
      <c r="B711" s="1046"/>
      <c r="CI711" s="81"/>
      <c r="CJ711" s="81"/>
      <c r="CK711" s="81"/>
      <c r="CL711" s="81"/>
      <c r="CO711" s="81"/>
      <c r="CP711" s="81"/>
      <c r="CQ711" s="1048"/>
      <c r="CR711" s="81"/>
      <c r="CU711" s="81"/>
      <c r="CV711" s="81"/>
      <c r="CW711" s="81"/>
      <c r="CX711" s="81"/>
      <c r="CY711" s="1048"/>
      <c r="DA711" s="81"/>
      <c r="DB711" s="81"/>
      <c r="DC711" s="81"/>
      <c r="DD711" s="81"/>
      <c r="DE711" s="1048"/>
      <c r="DG711" s="81"/>
      <c r="DH711" s="81"/>
      <c r="DI711" s="81"/>
      <c r="DJ711" s="81"/>
      <c r="DK711" s="1048"/>
      <c r="DM711" s="81"/>
      <c r="DN711" s="81"/>
      <c r="DO711" s="81"/>
      <c r="DP711" s="81"/>
      <c r="DQ711" s="1048"/>
      <c r="DS711" s="81"/>
      <c r="DT711" s="81"/>
      <c r="DU711" s="81"/>
      <c r="DV711" s="81"/>
      <c r="DW711" s="1048"/>
      <c r="DY711" s="81"/>
      <c r="DZ711" s="81"/>
      <c r="EA711" s="81"/>
      <c r="EB711" s="81"/>
      <c r="EC711" s="1048"/>
      <c r="EE711" s="81"/>
      <c r="EF711" s="81"/>
      <c r="EG711" s="81"/>
      <c r="EH711" s="81"/>
      <c r="EI711" s="1077">
        <v>3553</v>
      </c>
      <c r="EK711" s="243"/>
      <c r="EL711" s="243"/>
      <c r="EM711" s="243"/>
      <c r="EN711" s="243"/>
      <c r="EO711" s="1077">
        <v>3391</v>
      </c>
      <c r="EP711" s="698"/>
      <c r="EQ711" s="243"/>
      <c r="ER711" s="243"/>
      <c r="ES711" s="243"/>
      <c r="ET711" s="243"/>
      <c r="EU711" s="1077">
        <v>3358</v>
      </c>
      <c r="EV711" s="698"/>
      <c r="EW711" s="698"/>
      <c r="EX711" s="698"/>
      <c r="EY711" s="698"/>
      <c r="EZ711" s="698"/>
      <c r="FA711" s="699"/>
      <c r="FB711" s="698"/>
      <c r="FC711" s="698"/>
      <c r="FQ711"/>
      <c r="FR711"/>
      <c r="FS711"/>
      <c r="FT711"/>
      <c r="FU711"/>
      <c r="FV711"/>
      <c r="GB711" s="856"/>
      <c r="GC711" s="856"/>
      <c r="GD711" s="856"/>
      <c r="GE711" s="856"/>
      <c r="GF711" s="856"/>
      <c r="GG711" s="856"/>
      <c r="GH711" s="856"/>
      <c r="GI711" s="856"/>
      <c r="GJ711"/>
      <c r="GK711"/>
      <c r="GL711"/>
      <c r="GM711"/>
      <c r="GN711"/>
      <c r="GO711"/>
      <c r="GP711"/>
      <c r="GQ711"/>
      <c r="GR711"/>
      <c r="GS711"/>
      <c r="GT711"/>
      <c r="GU711"/>
      <c r="GV711"/>
      <c r="GW711"/>
      <c r="GX711"/>
      <c r="GY711"/>
      <c r="GZ711"/>
      <c r="HA711"/>
      <c r="HB711"/>
      <c r="HC711"/>
      <c r="HD711"/>
      <c r="HE711"/>
      <c r="HF711"/>
      <c r="HG711"/>
      <c r="HH711"/>
      <c r="HI711"/>
      <c r="HJ711"/>
      <c r="HK711"/>
      <c r="HL711"/>
      <c r="HM711"/>
      <c r="HN711"/>
      <c r="HO711"/>
      <c r="HP711"/>
      <c r="HQ711"/>
      <c r="HR711"/>
      <c r="HS711"/>
      <c r="HT711"/>
      <c r="HU711"/>
      <c r="HV711"/>
      <c r="HW711"/>
      <c r="HX711"/>
      <c r="HY711"/>
      <c r="HZ711"/>
      <c r="IA711"/>
      <c r="IB711"/>
      <c r="IC711"/>
      <c r="ID711"/>
      <c r="IE711"/>
      <c r="IF711"/>
      <c r="IG711"/>
      <c r="IH711"/>
      <c r="II711"/>
      <c r="IJ711"/>
      <c r="IK711"/>
      <c r="IL711"/>
      <c r="IM711"/>
      <c r="IN711"/>
      <c r="IO711"/>
      <c r="IP711"/>
      <c r="IQ711"/>
      <c r="IR711"/>
      <c r="IS711"/>
      <c r="IT711"/>
      <c r="IU711"/>
      <c r="IV711"/>
      <c r="IW711"/>
      <c r="IX711"/>
      <c r="IY711"/>
      <c r="IZ711"/>
      <c r="JA711"/>
      <c r="JB711"/>
      <c r="JC711"/>
      <c r="JD711"/>
      <c r="JE711"/>
      <c r="JF711"/>
      <c r="JG711"/>
      <c r="JH711"/>
      <c r="JI711"/>
      <c r="JJ711"/>
      <c r="JK711"/>
      <c r="JL711"/>
      <c r="JM711"/>
      <c r="JN711"/>
    </row>
    <row r="712" spans="1:274" s="1047" customFormat="1" ht="12.75" customHeight="1" x14ac:dyDescent="0.2">
      <c r="A712" s="702" t="s">
        <v>1279</v>
      </c>
      <c r="B712" s="1046"/>
      <c r="CI712" s="81"/>
      <c r="CJ712" s="81"/>
      <c r="CK712" s="81"/>
      <c r="CL712" s="81"/>
      <c r="CO712" s="81"/>
      <c r="CP712" s="81"/>
      <c r="CQ712" s="1048"/>
      <c r="CR712" s="81"/>
      <c r="CU712" s="81"/>
      <c r="CV712" s="81"/>
      <c r="CW712" s="81"/>
      <c r="CX712" s="81"/>
      <c r="CY712" s="1048"/>
      <c r="DA712" s="81"/>
      <c r="DB712" s="81"/>
      <c r="DC712" s="81"/>
      <c r="DD712" s="81"/>
      <c r="DE712" s="1048"/>
      <c r="DG712" s="81"/>
      <c r="DH712" s="81"/>
      <c r="DI712" s="81"/>
      <c r="DJ712" s="81"/>
      <c r="DK712" s="1048"/>
      <c r="DM712" s="81"/>
      <c r="DN712" s="81"/>
      <c r="DO712" s="81"/>
      <c r="DP712" s="81"/>
      <c r="DQ712" s="1048"/>
      <c r="DS712" s="81"/>
      <c r="DT712" s="81"/>
      <c r="DU712" s="81"/>
      <c r="DV712" s="81"/>
      <c r="DW712" s="1048"/>
      <c r="DY712" s="81"/>
      <c r="DZ712" s="81"/>
      <c r="EA712" s="81"/>
      <c r="EB712" s="81"/>
      <c r="EC712" s="1048"/>
      <c r="EE712" s="81"/>
      <c r="EF712" s="81"/>
      <c r="EG712" s="81"/>
      <c r="EH712" s="81"/>
      <c r="EI712" s="1077">
        <v>2810</v>
      </c>
      <c r="EK712" s="243"/>
      <c r="EL712" s="243"/>
      <c r="EM712" s="243"/>
      <c r="EN712" s="243"/>
      <c r="EO712" s="1077">
        <v>2634</v>
      </c>
      <c r="EP712" s="698"/>
      <c r="EQ712" s="243"/>
      <c r="ER712" s="243"/>
      <c r="ES712" s="243"/>
      <c r="ET712" s="243"/>
      <c r="EU712" s="1077">
        <v>2668</v>
      </c>
      <c r="EV712" s="698"/>
      <c r="EW712" s="698"/>
      <c r="EX712" s="698"/>
      <c r="EY712" s="698"/>
      <c r="EZ712" s="698"/>
      <c r="FA712" s="699"/>
      <c r="FB712" s="698"/>
      <c r="FC712" s="698"/>
      <c r="FQ712"/>
      <c r="FR712"/>
      <c r="FS712"/>
      <c r="FT712"/>
      <c r="FU712"/>
      <c r="FV712"/>
      <c r="GB712" s="856"/>
      <c r="GC712" s="856"/>
      <c r="GD712" s="856"/>
      <c r="GE712" s="856"/>
      <c r="GF712" s="856"/>
      <c r="GG712" s="856"/>
      <c r="GH712" s="856"/>
      <c r="GI712" s="856"/>
      <c r="GJ712"/>
      <c r="GK712"/>
      <c r="GL712"/>
      <c r="GM712"/>
      <c r="GN712"/>
      <c r="GO712"/>
      <c r="GP712"/>
      <c r="GQ712"/>
      <c r="GR712"/>
      <c r="GS712"/>
      <c r="GT712"/>
      <c r="GU712"/>
      <c r="GV712"/>
      <c r="GW712"/>
      <c r="GX712"/>
      <c r="GY712"/>
      <c r="GZ712"/>
      <c r="HA712"/>
      <c r="HB712"/>
      <c r="HC712"/>
      <c r="HD712"/>
      <c r="HE712"/>
      <c r="HF712"/>
      <c r="HG712"/>
      <c r="HH712"/>
      <c r="HI712"/>
      <c r="HJ712"/>
      <c r="HK712"/>
      <c r="HL712"/>
      <c r="HM712"/>
      <c r="HN712"/>
      <c r="HO712"/>
      <c r="HP712"/>
      <c r="HQ712"/>
      <c r="HR712"/>
      <c r="HS712"/>
      <c r="HT712"/>
      <c r="HU712"/>
      <c r="HV712"/>
      <c r="HW712"/>
      <c r="HX712"/>
      <c r="HY712"/>
      <c r="HZ712"/>
      <c r="IA712"/>
      <c r="IB712"/>
      <c r="IC712"/>
      <c r="ID712"/>
      <c r="IE712"/>
      <c r="IF712"/>
      <c r="IG712"/>
      <c r="IH712"/>
      <c r="II712"/>
      <c r="IJ712"/>
      <c r="IK712"/>
      <c r="IL712"/>
      <c r="IM712"/>
      <c r="IN712"/>
      <c r="IO712"/>
      <c r="IP712"/>
      <c r="IQ712"/>
      <c r="IR712"/>
      <c r="IS712"/>
      <c r="IT712"/>
      <c r="IU712"/>
      <c r="IV712"/>
      <c r="IW712"/>
      <c r="IX712"/>
      <c r="IY712"/>
      <c r="IZ712"/>
      <c r="JA712"/>
      <c r="JB712"/>
      <c r="JC712"/>
      <c r="JD712"/>
      <c r="JE712"/>
      <c r="JF712"/>
      <c r="JG712"/>
      <c r="JH712"/>
      <c r="JI712"/>
      <c r="JJ712"/>
      <c r="JK712"/>
      <c r="JL712"/>
      <c r="JM712"/>
      <c r="JN712"/>
    </row>
    <row r="713" spans="1:274" s="1047" customFormat="1" ht="12.75" customHeight="1" x14ac:dyDescent="0.2">
      <c r="A713" s="703" t="s">
        <v>1080</v>
      </c>
      <c r="B713" s="1046"/>
      <c r="CI713" s="81"/>
      <c r="CJ713" s="81"/>
      <c r="CK713" s="81"/>
      <c r="CL713" s="81"/>
      <c r="CO713" s="81"/>
      <c r="CP713" s="81"/>
      <c r="CQ713" s="1048"/>
      <c r="CR713" s="81"/>
      <c r="CU713" s="81"/>
      <c r="CV713" s="81"/>
      <c r="CW713" s="81"/>
      <c r="CX713" s="81"/>
      <c r="CY713" s="1048"/>
      <c r="DA713" s="81"/>
      <c r="DB713" s="81"/>
      <c r="DC713" s="81"/>
      <c r="DD713" s="81"/>
      <c r="DE713" s="1048"/>
      <c r="DG713" s="81"/>
      <c r="DH713" s="81"/>
      <c r="DI713" s="81"/>
      <c r="DJ713" s="81"/>
      <c r="DK713" s="1048"/>
      <c r="DM713" s="81"/>
      <c r="DN713" s="81"/>
      <c r="DO713" s="81"/>
      <c r="DP713" s="81"/>
      <c r="DQ713" s="1048"/>
      <c r="DS713" s="81"/>
      <c r="DT713" s="81"/>
      <c r="DU713" s="81"/>
      <c r="DV713" s="81"/>
      <c r="DW713" s="1048"/>
      <c r="DY713" s="81"/>
      <c r="DZ713" s="81"/>
      <c r="EA713" s="81"/>
      <c r="EB713" s="81"/>
      <c r="EC713" s="1048"/>
      <c r="EE713" s="81"/>
      <c r="EF713" s="81"/>
      <c r="EG713" s="81"/>
      <c r="EH713" s="81"/>
      <c r="EI713" s="705">
        <f>EI711-EI712</f>
        <v>743</v>
      </c>
      <c r="EK713" s="73"/>
      <c r="EL713" s="73"/>
      <c r="EM713" s="73"/>
      <c r="EN713" s="73"/>
      <c r="EO713" s="705">
        <f>EO711-EO712</f>
        <v>757</v>
      </c>
      <c r="EP713" s="704"/>
      <c r="EQ713" s="73"/>
      <c r="ER713" s="73"/>
      <c r="ES713" s="73"/>
      <c r="ET713" s="73"/>
      <c r="EU713" s="705">
        <f>EU711-EU712</f>
        <v>690</v>
      </c>
      <c r="EV713" s="704"/>
      <c r="EW713" s="704"/>
      <c r="EX713" s="704"/>
      <c r="EY713" s="704"/>
      <c r="EZ713" s="704"/>
      <c r="FA713" s="706"/>
      <c r="FB713" s="704"/>
      <c r="FC713" s="704"/>
      <c r="FQ713"/>
      <c r="FR713"/>
      <c r="FS713"/>
      <c r="FT713"/>
      <c r="FU713"/>
      <c r="FV713"/>
      <c r="GB713" s="856"/>
      <c r="GC713" s="856"/>
      <c r="GD713" s="856"/>
      <c r="GE713" s="856"/>
      <c r="GF713" s="856"/>
      <c r="GG713" s="856"/>
      <c r="GH713" s="856"/>
      <c r="GI713" s="856"/>
      <c r="GJ713"/>
      <c r="GK713"/>
      <c r="GL713"/>
      <c r="GM713"/>
      <c r="GN713"/>
      <c r="GO713"/>
      <c r="GP713"/>
      <c r="GQ713"/>
      <c r="GR713"/>
      <c r="GS713"/>
      <c r="GT713"/>
      <c r="GU713"/>
      <c r="GV713"/>
      <c r="GW713"/>
      <c r="GX713"/>
      <c r="GY713"/>
      <c r="GZ713"/>
      <c r="HA713"/>
      <c r="HB713"/>
      <c r="HC713"/>
      <c r="HD713"/>
      <c r="HE713"/>
      <c r="HF713"/>
      <c r="HG713"/>
      <c r="HH713"/>
      <c r="HI713"/>
      <c r="HJ713"/>
      <c r="HK713"/>
      <c r="HL713"/>
      <c r="HM713"/>
      <c r="HN713"/>
      <c r="HO713"/>
      <c r="HP713"/>
      <c r="HQ713"/>
      <c r="HR713"/>
      <c r="HS713"/>
      <c r="HT713"/>
      <c r="HU713"/>
      <c r="HV713"/>
      <c r="HW713"/>
      <c r="HX713"/>
      <c r="HY713"/>
      <c r="HZ713"/>
      <c r="IA713"/>
      <c r="IB713"/>
      <c r="IC713"/>
      <c r="ID713"/>
      <c r="IE713"/>
      <c r="IF713"/>
      <c r="IG713"/>
      <c r="IH713"/>
      <c r="II713"/>
      <c r="IJ713"/>
      <c r="IK713"/>
      <c r="IL713"/>
      <c r="IM713"/>
      <c r="IN713"/>
      <c r="IO713"/>
      <c r="IP713"/>
      <c r="IQ713"/>
      <c r="IR713"/>
      <c r="IS713"/>
      <c r="IT713"/>
      <c r="IU713"/>
      <c r="IV713"/>
      <c r="IW713"/>
      <c r="IX713"/>
      <c r="IY713"/>
      <c r="IZ713"/>
      <c r="JA713"/>
      <c r="JB713"/>
      <c r="JC713"/>
      <c r="JD713"/>
      <c r="JE713"/>
      <c r="JF713"/>
      <c r="JG713"/>
      <c r="JH713"/>
      <c r="JI713"/>
      <c r="JJ713"/>
      <c r="JK713"/>
      <c r="JL713"/>
      <c r="JM713"/>
      <c r="JN713"/>
    </row>
    <row r="714" spans="1:274" s="1047" customFormat="1" ht="12.75" customHeight="1" x14ac:dyDescent="0.2">
      <c r="A714" s="703" t="s">
        <v>1081</v>
      </c>
      <c r="B714" s="1046"/>
      <c r="CI714" s="81"/>
      <c r="CJ714" s="81"/>
      <c r="CK714" s="81"/>
      <c r="CL714" s="81"/>
      <c r="CO714" s="81"/>
      <c r="CP714" s="81"/>
      <c r="CQ714" s="1048"/>
      <c r="CR714" s="81"/>
      <c r="CU714" s="81"/>
      <c r="CV714" s="81"/>
      <c r="CW714" s="81"/>
      <c r="CX714" s="81"/>
      <c r="CY714" s="1048"/>
      <c r="DA714" s="81"/>
      <c r="DB714" s="81"/>
      <c r="DC714" s="81"/>
      <c r="DD714" s="81"/>
      <c r="DE714" s="1048"/>
      <c r="DG714" s="81"/>
      <c r="DH714" s="81"/>
      <c r="DI714" s="81"/>
      <c r="DJ714" s="81"/>
      <c r="DK714" s="1048"/>
      <c r="DM714" s="81"/>
      <c r="DN714" s="81"/>
      <c r="DO714" s="81"/>
      <c r="DP714" s="81"/>
      <c r="DQ714" s="1048"/>
      <c r="DS714" s="81"/>
      <c r="DT714" s="81"/>
      <c r="DU714" s="81"/>
      <c r="DV714" s="81"/>
      <c r="DW714" s="1048"/>
      <c r="DY714" s="81"/>
      <c r="DZ714" s="81"/>
      <c r="EA714" s="81"/>
      <c r="EB714" s="81"/>
      <c r="EC714" s="1048"/>
      <c r="EE714" s="81"/>
      <c r="EF714" s="81"/>
      <c r="EG714" s="81"/>
      <c r="EH714" s="81"/>
      <c r="EI714" s="707">
        <f>+EI713/EI711</f>
        <v>0.20911905432029271</v>
      </c>
      <c r="EK714" s="70"/>
      <c r="EL714" s="70"/>
      <c r="EM714" s="70"/>
      <c r="EN714" s="70"/>
      <c r="EO714" s="707">
        <f>+EO713/EO711</f>
        <v>0.22323798289590091</v>
      </c>
      <c r="EP714" s="704"/>
      <c r="EQ714" s="70"/>
      <c r="ER714" s="70"/>
      <c r="ES714" s="70"/>
      <c r="ET714" s="70"/>
      <c r="EU714" s="707">
        <f>+EU713/EU711</f>
        <v>0.20547945205479451</v>
      </c>
      <c r="EV714" s="704"/>
      <c r="EW714" s="704"/>
      <c r="EX714" s="704"/>
      <c r="EY714" s="704"/>
      <c r="EZ714" s="704"/>
      <c r="FA714" s="706"/>
      <c r="FB714" s="704"/>
      <c r="FC714" s="704"/>
      <c r="FQ714"/>
      <c r="FR714"/>
      <c r="FS714"/>
      <c r="FT714"/>
      <c r="FU714"/>
      <c r="FV714"/>
      <c r="GB714" s="856"/>
      <c r="GC714" s="856"/>
      <c r="GD714" s="856"/>
      <c r="GE714" s="856"/>
      <c r="GF714" s="856"/>
      <c r="GG714" s="856"/>
      <c r="GH714" s="856"/>
      <c r="GI714" s="856"/>
      <c r="GJ714"/>
      <c r="GK714"/>
      <c r="GL714"/>
      <c r="GM714"/>
      <c r="GN714"/>
      <c r="GO714"/>
      <c r="GP714"/>
      <c r="GQ714"/>
      <c r="GR714"/>
      <c r="GS714"/>
      <c r="GT714"/>
      <c r="GU714"/>
      <c r="GV714"/>
      <c r="GW714"/>
      <c r="GX714"/>
      <c r="GY714"/>
      <c r="GZ714"/>
      <c r="HA714"/>
      <c r="HB714"/>
      <c r="HC714"/>
      <c r="HD714"/>
      <c r="HE714"/>
      <c r="HF714"/>
      <c r="HG714"/>
      <c r="HH714"/>
      <c r="HI714"/>
      <c r="HJ714"/>
      <c r="HK714"/>
      <c r="HL714"/>
      <c r="HM714"/>
      <c r="HN714"/>
      <c r="HO714"/>
      <c r="HP714"/>
      <c r="HQ714"/>
      <c r="HR714"/>
      <c r="HS714"/>
      <c r="HT714"/>
      <c r="HU714"/>
      <c r="HV714"/>
      <c r="HW714"/>
      <c r="HX714"/>
      <c r="HY714"/>
      <c r="HZ714"/>
      <c r="IA714"/>
      <c r="IB714"/>
      <c r="IC714"/>
      <c r="ID714"/>
      <c r="IE714"/>
      <c r="IF714"/>
      <c r="IG714"/>
      <c r="IH714"/>
      <c r="II714"/>
      <c r="IJ714"/>
      <c r="IK714"/>
      <c r="IL714"/>
      <c r="IM714"/>
      <c r="IN714"/>
      <c r="IO714"/>
      <c r="IP714"/>
      <c r="IQ714"/>
      <c r="IR714"/>
      <c r="IS714"/>
      <c r="IT714"/>
      <c r="IU714"/>
      <c r="IV714"/>
      <c r="IW714"/>
      <c r="IX714"/>
      <c r="IY714"/>
      <c r="IZ714"/>
      <c r="JA714"/>
      <c r="JB714"/>
      <c r="JC714"/>
      <c r="JD714"/>
      <c r="JE714"/>
      <c r="JF714"/>
      <c r="JG714"/>
      <c r="JH714"/>
      <c r="JI714"/>
      <c r="JJ714"/>
      <c r="JK714"/>
      <c r="JL714"/>
      <c r="JM714"/>
      <c r="JN714"/>
    </row>
    <row r="715" spans="1:274" s="342" customFormat="1" x14ac:dyDescent="0.2">
      <c r="B715" s="20"/>
      <c r="CI715" s="109">
        <f>SUM(BI683,BO683,BU683,CA683,CG683)</f>
        <v>849.15820562998601</v>
      </c>
      <c r="CT715" s="475"/>
      <c r="CZ715" s="475"/>
      <c r="DE715" s="475"/>
      <c r="DF715" s="475"/>
      <c r="DK715" s="475"/>
      <c r="DL715" s="475"/>
      <c r="DQ715" s="475"/>
      <c r="DR715" s="475"/>
      <c r="DW715" s="475"/>
      <c r="DX715" s="475"/>
      <c r="EC715" s="475"/>
      <c r="ED715" s="475"/>
      <c r="EI715" s="475"/>
      <c r="EJ715" s="475"/>
      <c r="EO715" s="475"/>
      <c r="EP715" s="475"/>
      <c r="EU715" s="475"/>
      <c r="EV715" s="475"/>
      <c r="FA715" s="475"/>
      <c r="FB715" s="475"/>
      <c r="FG715" s="475"/>
      <c r="FH715" s="475"/>
      <c r="FM715" s="475"/>
      <c r="FQ715"/>
      <c r="FR715"/>
      <c r="FS715"/>
      <c r="FT715"/>
      <c r="FU715"/>
      <c r="FV715"/>
      <c r="GB715" s="24"/>
      <c r="GC715" s="24"/>
      <c r="GD715" s="24"/>
      <c r="GE715" s="24"/>
      <c r="GF715" s="24"/>
      <c r="GG715" s="24"/>
      <c r="GH715" s="24"/>
      <c r="GI715" s="24"/>
      <c r="GJ715"/>
      <c r="GK715"/>
      <c r="GL715"/>
      <c r="GM715"/>
      <c r="GN715"/>
      <c r="GO715"/>
      <c r="GP715"/>
      <c r="GQ715"/>
      <c r="GR715"/>
      <c r="GS715"/>
      <c r="GT715"/>
      <c r="GU715"/>
      <c r="GV715"/>
      <c r="GW715"/>
      <c r="GX715"/>
      <c r="GY715"/>
      <c r="GZ715"/>
      <c r="HA715"/>
      <c r="HB715"/>
      <c r="HC715"/>
      <c r="HD715"/>
      <c r="HE715"/>
      <c r="HF715"/>
      <c r="HG715"/>
      <c r="HH715"/>
      <c r="HI715"/>
      <c r="HJ715"/>
      <c r="HK715"/>
      <c r="HL715"/>
      <c r="HM715"/>
      <c r="HN715"/>
      <c r="HO715"/>
      <c r="HP715"/>
      <c r="HQ715"/>
      <c r="HR715"/>
      <c r="HS715"/>
      <c r="HT715"/>
      <c r="HU715"/>
      <c r="HV715"/>
      <c r="HW715"/>
      <c r="HX715"/>
      <c r="HY715"/>
      <c r="HZ715"/>
      <c r="IA715"/>
      <c r="IB715"/>
      <c r="IC715"/>
      <c r="ID715"/>
      <c r="IE715"/>
      <c r="IF715"/>
      <c r="IG715"/>
      <c r="IH715"/>
      <c r="II715"/>
      <c r="IJ715"/>
      <c r="IK715"/>
      <c r="IL715"/>
      <c r="IM715"/>
      <c r="IN715"/>
      <c r="IO715"/>
      <c r="IP715"/>
      <c r="IQ715"/>
      <c r="IR715"/>
      <c r="IS715"/>
      <c r="IT715"/>
      <c r="IU715"/>
      <c r="IV715"/>
      <c r="IW715"/>
      <c r="IX715"/>
      <c r="IY715"/>
      <c r="IZ715"/>
      <c r="JA715"/>
      <c r="JB715"/>
      <c r="JC715"/>
      <c r="JD715"/>
      <c r="JE715"/>
      <c r="JF715"/>
      <c r="JG715"/>
      <c r="JH715"/>
      <c r="JI715"/>
      <c r="JJ715"/>
      <c r="JK715"/>
      <c r="JL715"/>
      <c r="JM715"/>
      <c r="JN715"/>
    </row>
    <row r="716" spans="1:274" s="342" customFormat="1" hidden="1" outlineLevel="1" x14ac:dyDescent="0.2">
      <c r="A716" s="353" t="s">
        <v>135</v>
      </c>
      <c r="B716" s="20"/>
      <c r="CT716" s="475"/>
      <c r="CZ716" s="475"/>
      <c r="DE716" s="475"/>
      <c r="DF716" s="475"/>
      <c r="DK716" s="475"/>
      <c r="DL716" s="475"/>
      <c r="DQ716" s="475"/>
      <c r="DR716" s="475"/>
      <c r="DW716" s="475"/>
      <c r="DX716" s="475"/>
      <c r="EC716" s="475"/>
      <c r="ED716" s="475"/>
      <c r="EI716" s="475"/>
      <c r="EJ716" s="475"/>
      <c r="EO716" s="475"/>
      <c r="EP716" s="475"/>
      <c r="EU716" s="475"/>
      <c r="EV716" s="475"/>
      <c r="FA716" s="475"/>
      <c r="FB716" s="475"/>
      <c r="FG716" s="475"/>
      <c r="FH716" s="475"/>
      <c r="FM716" s="475"/>
      <c r="FQ716"/>
      <c r="FR716"/>
      <c r="FS716"/>
      <c r="FT716"/>
      <c r="FU716"/>
      <c r="FV716"/>
      <c r="GB716" s="24"/>
      <c r="GC716" s="24"/>
      <c r="GD716" s="24"/>
      <c r="GE716" s="24"/>
      <c r="GF716" s="24"/>
      <c r="GG716" s="24"/>
      <c r="GH716" s="24"/>
      <c r="GI716" s="24"/>
      <c r="GJ716"/>
      <c r="GK716"/>
      <c r="GL716"/>
      <c r="GM716"/>
      <c r="GN716"/>
      <c r="GO716"/>
      <c r="GP716"/>
      <c r="GQ716"/>
      <c r="GR716"/>
      <c r="GS716"/>
      <c r="GT716"/>
      <c r="GU716"/>
      <c r="GV716"/>
      <c r="GW716"/>
      <c r="GX716"/>
      <c r="GY716"/>
      <c r="GZ716"/>
      <c r="HA716"/>
      <c r="HB716"/>
      <c r="HC716"/>
      <c r="HD716"/>
      <c r="HE716"/>
      <c r="HF716"/>
      <c r="HG716"/>
      <c r="HH716"/>
      <c r="HI716"/>
      <c r="HJ716"/>
      <c r="HK716"/>
      <c r="HL716"/>
      <c r="HM716"/>
      <c r="HN716"/>
      <c r="HO716"/>
      <c r="HP716"/>
      <c r="HQ716"/>
      <c r="HR716"/>
      <c r="HS716"/>
      <c r="HT716"/>
      <c r="HU716"/>
      <c r="HV716"/>
      <c r="HW716"/>
      <c r="HX716"/>
      <c r="HY716"/>
      <c r="HZ716"/>
      <c r="IA716"/>
      <c r="IB716"/>
      <c r="IC716"/>
      <c r="ID716"/>
      <c r="IE716"/>
      <c r="IF716"/>
      <c r="IG716"/>
      <c r="IH716"/>
      <c r="II716"/>
      <c r="IJ716"/>
      <c r="IK716"/>
      <c r="IL716"/>
      <c r="IM716"/>
      <c r="IN716"/>
      <c r="IO716"/>
      <c r="IP716"/>
      <c r="IQ716"/>
      <c r="IR716"/>
      <c r="IS716"/>
      <c r="IT716"/>
      <c r="IU716"/>
      <c r="IV716"/>
      <c r="IW716"/>
      <c r="IX716"/>
      <c r="IY716"/>
      <c r="IZ716"/>
      <c r="JA716"/>
      <c r="JB716"/>
      <c r="JC716"/>
      <c r="JD716"/>
      <c r="JE716"/>
      <c r="JF716"/>
      <c r="JG716"/>
      <c r="JH716"/>
      <c r="JI716"/>
      <c r="JJ716"/>
      <c r="JK716"/>
      <c r="JL716"/>
      <c r="JM716"/>
      <c r="JN716"/>
    </row>
    <row r="717" spans="1:274" s="342" customFormat="1" ht="3.75" hidden="1" customHeight="1" outlineLevel="1" thickBot="1" x14ac:dyDescent="0.25">
      <c r="B717" s="20"/>
      <c r="CT717" s="475"/>
      <c r="CZ717" s="475"/>
      <c r="DE717" s="475"/>
      <c r="DF717" s="475"/>
      <c r="DK717" s="475"/>
      <c r="DL717" s="475"/>
      <c r="DQ717" s="475"/>
      <c r="DR717" s="475"/>
      <c r="DW717" s="475"/>
      <c r="DX717" s="475"/>
      <c r="EC717" s="475"/>
      <c r="ED717" s="475"/>
      <c r="EI717" s="475"/>
      <c r="EJ717" s="475"/>
      <c r="EO717" s="475"/>
      <c r="EP717" s="475"/>
      <c r="EU717" s="475"/>
      <c r="EV717" s="475"/>
      <c r="FA717" s="475"/>
      <c r="FB717" s="475"/>
      <c r="FG717" s="475"/>
      <c r="FH717" s="475"/>
      <c r="FM717" s="475"/>
      <c r="FQ717"/>
      <c r="FR717"/>
      <c r="FS717"/>
      <c r="FT717"/>
      <c r="FU717"/>
      <c r="FV717"/>
      <c r="GB717" s="24"/>
      <c r="GC717" s="24"/>
      <c r="GD717" s="24"/>
      <c r="GE717" s="24"/>
      <c r="GF717" s="24"/>
      <c r="GG717" s="24"/>
      <c r="GH717" s="24"/>
      <c r="GI717" s="24"/>
      <c r="GJ717"/>
      <c r="GK717"/>
      <c r="GL717"/>
      <c r="GM717"/>
      <c r="GN717"/>
      <c r="GO717"/>
      <c r="GP717"/>
      <c r="GQ717"/>
      <c r="GR717"/>
      <c r="GS717"/>
      <c r="GT717"/>
      <c r="GU717"/>
      <c r="GV717"/>
      <c r="GW717"/>
      <c r="GX717"/>
      <c r="GY717"/>
      <c r="GZ717"/>
      <c r="HA717"/>
      <c r="HB717"/>
      <c r="HC717"/>
      <c r="HD717"/>
      <c r="HE717"/>
      <c r="HF717"/>
      <c r="HG717"/>
      <c r="HH717"/>
      <c r="HI717"/>
      <c r="HJ717"/>
      <c r="HK717"/>
      <c r="HL717"/>
      <c r="HM717"/>
      <c r="HN717"/>
      <c r="HO717"/>
      <c r="HP717"/>
      <c r="HQ717"/>
      <c r="HR717"/>
      <c r="HS717"/>
      <c r="HT717"/>
      <c r="HU717"/>
      <c r="HV717"/>
      <c r="HW717"/>
      <c r="HX717"/>
      <c r="HY717"/>
      <c r="HZ717"/>
      <c r="IA717"/>
      <c r="IB717"/>
      <c r="IC717"/>
      <c r="ID717"/>
      <c r="IE717"/>
      <c r="IF717"/>
      <c r="IG717"/>
      <c r="IH717"/>
      <c r="II717"/>
      <c r="IJ717"/>
      <c r="IK717"/>
      <c r="IL717"/>
      <c r="IM717"/>
      <c r="IN717"/>
      <c r="IO717"/>
      <c r="IP717"/>
      <c r="IQ717"/>
      <c r="IR717"/>
      <c r="IS717"/>
      <c r="IT717"/>
      <c r="IU717"/>
      <c r="IV717"/>
      <c r="IW717"/>
      <c r="IX717"/>
      <c r="IY717"/>
      <c r="IZ717"/>
      <c r="JA717"/>
      <c r="JB717"/>
      <c r="JC717"/>
      <c r="JD717"/>
      <c r="JE717"/>
      <c r="JF717"/>
      <c r="JG717"/>
      <c r="JH717"/>
      <c r="JI717"/>
      <c r="JJ717"/>
      <c r="JK717"/>
      <c r="JL717"/>
      <c r="JM717"/>
      <c r="JN717"/>
    </row>
    <row r="718" spans="1:274" s="342" customFormat="1" hidden="1" outlineLevel="1" x14ac:dyDescent="0.2">
      <c r="A718" s="112" t="s">
        <v>176</v>
      </c>
      <c r="B718" s="89"/>
      <c r="C718" s="569"/>
      <c r="D718" s="569"/>
      <c r="E718" s="569"/>
      <c r="F718" s="569"/>
      <c r="G718" s="569"/>
      <c r="H718" s="569"/>
      <c r="I718" s="569"/>
      <c r="J718" s="569"/>
      <c r="K718" s="569"/>
      <c r="L718" s="569"/>
      <c r="M718" s="569"/>
      <c r="N718" s="569"/>
      <c r="O718" s="569"/>
      <c r="P718" s="569"/>
      <c r="Q718" s="569"/>
      <c r="R718" s="569"/>
      <c r="S718" s="569"/>
      <c r="T718" s="569"/>
      <c r="U718" s="569"/>
      <c r="V718" s="569"/>
      <c r="W718" s="569"/>
      <c r="X718" s="569"/>
      <c r="Y718" s="569"/>
      <c r="Z718" s="569"/>
      <c r="AA718" s="569"/>
      <c r="AB718" s="569"/>
      <c r="AC718" s="569"/>
      <c r="AD718" s="569"/>
      <c r="AE718" s="569"/>
      <c r="AF718" s="569"/>
      <c r="AG718" s="569"/>
      <c r="AH718" s="569"/>
      <c r="AI718" s="569"/>
      <c r="AJ718" s="569"/>
      <c r="AK718" s="569"/>
      <c r="AL718" s="569"/>
      <c r="AM718" s="569"/>
      <c r="AN718" s="569"/>
      <c r="AO718" s="569"/>
      <c r="AP718" s="569"/>
      <c r="AQ718" s="569"/>
      <c r="AR718" s="569"/>
      <c r="AS718" s="569"/>
      <c r="AT718" s="569"/>
      <c r="AU718" s="569"/>
      <c r="AV718" s="569"/>
      <c r="AW718" s="777">
        <f>Model!AW91</f>
        <v>10130.128000000001</v>
      </c>
      <c r="AX718" s="569"/>
      <c r="AY718" s="569"/>
      <c r="AZ718" s="569"/>
      <c r="BA718" s="569"/>
      <c r="BB718" s="569"/>
      <c r="BC718" s="777">
        <f>Model!BC91</f>
        <v>10960.691999999999</v>
      </c>
      <c r="BD718" s="569"/>
      <c r="BE718" s="569"/>
      <c r="BF718" s="569"/>
      <c r="BG718" s="569"/>
      <c r="BH718" s="569"/>
      <c r="BI718" s="777">
        <f>Model!BI91</f>
        <v>9672.7929999999997</v>
      </c>
      <c r="BJ718" s="569"/>
      <c r="BK718" s="569"/>
      <c r="BL718" s="569"/>
      <c r="BM718" s="569"/>
      <c r="BN718" s="569"/>
      <c r="BO718" s="777">
        <f>Model!BO91</f>
        <v>9475.4</v>
      </c>
      <c r="BP718" s="569"/>
      <c r="BQ718" s="569"/>
      <c r="BR718" s="569"/>
      <c r="BS718" s="569"/>
      <c r="BT718" s="569"/>
      <c r="BU718" s="777">
        <f>Model!BU91</f>
        <v>10156</v>
      </c>
      <c r="BV718" s="569"/>
      <c r="BW718" s="569"/>
      <c r="BX718" s="569"/>
      <c r="BY718" s="569"/>
      <c r="BZ718" s="569"/>
      <c r="CA718" s="777">
        <f>Model!CA91</f>
        <v>12119</v>
      </c>
      <c r="CB718" s="569"/>
      <c r="CC718" s="569"/>
      <c r="CD718" s="569"/>
      <c r="CE718" s="569"/>
      <c r="CF718" s="569"/>
      <c r="CG718" s="777">
        <f>Model!CG91</f>
        <v>14772.4</v>
      </c>
      <c r="CH718" s="569"/>
      <c r="CI718" s="569"/>
      <c r="CJ718" s="569"/>
      <c r="CK718" s="569"/>
      <c r="CL718" s="569"/>
      <c r="CM718" s="777">
        <f>Model!CM91</f>
        <v>18209</v>
      </c>
      <c r="CN718" s="569"/>
      <c r="CO718" s="569"/>
      <c r="CP718" s="569"/>
      <c r="CQ718" s="569"/>
      <c r="CR718" s="569"/>
      <c r="CS718" s="777">
        <f>Model!CS91</f>
        <v>22609</v>
      </c>
      <c r="CT718" s="569"/>
      <c r="CU718" s="569"/>
      <c r="CV718" s="569"/>
      <c r="CW718" s="569"/>
      <c r="CX718" s="569"/>
      <c r="CY718" s="777">
        <f>Model!CY91</f>
        <v>23494</v>
      </c>
      <c r="CZ718" s="569"/>
      <c r="DA718" s="569"/>
      <c r="DB718" s="569"/>
      <c r="DC718" s="569"/>
      <c r="DD718" s="569"/>
      <c r="DE718" s="777">
        <f>Model!DE91</f>
        <v>27035.4</v>
      </c>
      <c r="DF718" s="569"/>
      <c r="DG718" s="569"/>
      <c r="DH718" s="569"/>
      <c r="DI718" s="569"/>
      <c r="DJ718" s="569"/>
      <c r="DK718" s="777">
        <f>Model!DK91</f>
        <v>35895</v>
      </c>
      <c r="DL718" s="569"/>
      <c r="DM718" s="569"/>
      <c r="DN718" s="569"/>
      <c r="DO718" s="569"/>
      <c r="DP718" s="569"/>
      <c r="DQ718" s="777">
        <f>Model!DQ91</f>
        <v>37221.498900000006</v>
      </c>
      <c r="DR718" s="569"/>
      <c r="DS718" s="569"/>
      <c r="DT718" s="569"/>
      <c r="DU718" s="569"/>
      <c r="DV718" s="569"/>
      <c r="DW718" s="777">
        <f>Model!DW91</f>
        <v>37253</v>
      </c>
      <c r="DX718" s="569"/>
      <c r="DY718" s="569"/>
      <c r="DZ718" s="569"/>
      <c r="EA718" s="569"/>
      <c r="EB718" s="569"/>
      <c r="EC718" s="777">
        <f>Model!EC91</f>
        <v>38305</v>
      </c>
      <c r="ED718" s="569"/>
      <c r="EE718" s="569"/>
      <c r="EF718" s="569"/>
      <c r="EG718" s="569"/>
      <c r="EH718" s="569"/>
      <c r="EI718" s="777">
        <f>Model!EI91</f>
        <v>38253</v>
      </c>
      <c r="EJ718" s="569"/>
      <c r="EK718" s="569"/>
      <c r="EL718" s="569"/>
      <c r="EM718" s="569"/>
      <c r="EN718" s="569"/>
      <c r="EO718" s="777">
        <f>Model!EO91</f>
        <v>37057</v>
      </c>
      <c r="EP718" s="569"/>
      <c r="EQ718" s="569"/>
      <c r="ER718" s="569"/>
      <c r="ES718" s="569"/>
      <c r="ET718" s="569"/>
      <c r="EU718" s="777">
        <f>Model!EU91</f>
        <v>37897.78</v>
      </c>
      <c r="EV718" s="569"/>
      <c r="EW718" s="569"/>
      <c r="EX718" s="569"/>
      <c r="EY718" s="569"/>
      <c r="EZ718" s="569"/>
      <c r="FA718" s="777">
        <f>Model!FA82</f>
        <v>0</v>
      </c>
      <c r="FB718" s="569"/>
      <c r="FC718" s="569"/>
      <c r="FD718" s="569"/>
      <c r="FE718" s="569"/>
      <c r="FF718" s="569"/>
      <c r="FG718" s="777">
        <f>Model!FG82</f>
        <v>0</v>
      </c>
      <c r="FH718" s="569"/>
      <c r="FI718" s="569"/>
      <c r="FJ718" s="569"/>
      <c r="FK718" s="569"/>
      <c r="FL718" s="569"/>
      <c r="FM718" s="777">
        <f>Model!FM82</f>
        <v>0</v>
      </c>
      <c r="FQ718"/>
      <c r="FR718"/>
      <c r="FS718"/>
      <c r="FT718"/>
      <c r="FU718"/>
      <c r="FV718"/>
      <c r="GB718" s="24"/>
      <c r="GC718" s="24"/>
      <c r="GD718" s="24"/>
      <c r="GE718" s="24"/>
      <c r="GF718" s="24"/>
      <c r="GG718" s="24"/>
      <c r="GH718" s="24"/>
      <c r="GI718" s="24"/>
      <c r="GJ718"/>
      <c r="GK718"/>
      <c r="GL718"/>
      <c r="GM718"/>
      <c r="GN718"/>
      <c r="GO718"/>
      <c r="GP718"/>
      <c r="GQ718"/>
      <c r="GR718"/>
      <c r="GS718"/>
      <c r="GT718"/>
      <c r="GU718"/>
      <c r="GV718"/>
      <c r="GW718"/>
      <c r="GX718"/>
      <c r="GY718"/>
      <c r="GZ718"/>
      <c r="HA718"/>
      <c r="HB718"/>
      <c r="HC718"/>
      <c r="HD718"/>
      <c r="HE718"/>
      <c r="HF718"/>
      <c r="HG718"/>
      <c r="HH718"/>
      <c r="HI718"/>
      <c r="HJ718"/>
      <c r="HK718"/>
      <c r="HL718"/>
      <c r="HM718"/>
      <c r="HN718"/>
      <c r="HO718"/>
      <c r="HP718"/>
      <c r="HQ718"/>
      <c r="HR718"/>
      <c r="HS718"/>
      <c r="HT718"/>
      <c r="HU718"/>
      <c r="HV718"/>
      <c r="HW718"/>
      <c r="HX718"/>
      <c r="HY718"/>
      <c r="HZ718"/>
      <c r="IA718"/>
      <c r="IB718"/>
      <c r="IC718"/>
      <c r="ID718"/>
      <c r="IE718"/>
      <c r="IF718"/>
      <c r="IG718"/>
      <c r="IH718"/>
      <c r="II718"/>
      <c r="IJ718"/>
      <c r="IK718"/>
      <c r="IL718"/>
      <c r="IM718"/>
      <c r="IN718"/>
      <c r="IO718"/>
      <c r="IP718"/>
      <c r="IQ718"/>
      <c r="IR718"/>
      <c r="IS718"/>
      <c r="IT718"/>
      <c r="IU718"/>
      <c r="IV718"/>
      <c r="IW718"/>
      <c r="IX718"/>
      <c r="IY718"/>
      <c r="IZ718"/>
      <c r="JA718"/>
      <c r="JB718"/>
      <c r="JC718"/>
      <c r="JD718"/>
      <c r="JE718"/>
      <c r="JF718"/>
      <c r="JG718"/>
      <c r="JH718"/>
      <c r="JI718"/>
      <c r="JJ718"/>
      <c r="JK718"/>
      <c r="JL718"/>
      <c r="JM718"/>
      <c r="JN718"/>
    </row>
    <row r="719" spans="1:274" s="342" customFormat="1" ht="13.5" hidden="1" outlineLevel="1" thickBot="1" x14ac:dyDescent="0.25">
      <c r="A719" s="129" t="s">
        <v>1061</v>
      </c>
      <c r="B719" s="92"/>
      <c r="C719" s="115"/>
      <c r="D719" s="115"/>
      <c r="E719" s="115"/>
      <c r="F719" s="115"/>
      <c r="G719" s="115"/>
      <c r="H719" s="115"/>
      <c r="I719" s="115"/>
      <c r="J719" s="115"/>
      <c r="K719" s="115"/>
      <c r="L719" s="115"/>
      <c r="M719" s="115"/>
      <c r="N719" s="115"/>
      <c r="O719" s="115"/>
      <c r="P719" s="115"/>
      <c r="Q719" s="115"/>
      <c r="R719" s="115"/>
      <c r="S719" s="115"/>
      <c r="T719" s="115"/>
      <c r="U719" s="115"/>
      <c r="V719" s="115"/>
      <c r="W719" s="115"/>
      <c r="X719" s="115"/>
      <c r="Y719" s="115"/>
      <c r="Z719" s="115"/>
      <c r="AA719" s="115"/>
      <c r="AB719" s="115"/>
      <c r="AC719" s="115"/>
      <c r="AD719" s="115"/>
      <c r="AE719" s="115"/>
      <c r="AF719" s="115"/>
      <c r="AG719" s="115"/>
      <c r="AH719" s="115"/>
      <c r="AI719" s="115"/>
      <c r="AJ719" s="115"/>
      <c r="AK719" s="115"/>
      <c r="AL719" s="115"/>
      <c r="AM719" s="115"/>
      <c r="AN719" s="115"/>
      <c r="AO719" s="115"/>
      <c r="AP719" s="115"/>
      <c r="AQ719" s="115"/>
      <c r="AR719" s="115"/>
      <c r="AS719" s="115"/>
      <c r="AT719" s="115"/>
      <c r="AU719" s="115"/>
      <c r="AV719" s="115"/>
      <c r="AW719" s="778"/>
      <c r="AX719" s="115"/>
      <c r="AY719" s="115"/>
      <c r="AZ719" s="115"/>
      <c r="BA719" s="115"/>
      <c r="BB719" s="115"/>
      <c r="BC719" s="779">
        <f>BC718/AW718-1</f>
        <v>8.1989487200951228E-2</v>
      </c>
      <c r="BD719" s="115"/>
      <c r="BE719" s="115"/>
      <c r="BF719" s="115"/>
      <c r="BG719" s="115"/>
      <c r="BH719" s="115"/>
      <c r="BI719" s="779">
        <f>BI718/BC718-1</f>
        <v>-0.11750161394919223</v>
      </c>
      <c r="BJ719" s="115"/>
      <c r="BK719" s="115"/>
      <c r="BL719" s="115"/>
      <c r="BM719" s="115"/>
      <c r="BN719" s="115"/>
      <c r="BO719" s="779">
        <f>BO718/BI718-1</f>
        <v>-2.0407032384544999E-2</v>
      </c>
      <c r="BP719" s="115"/>
      <c r="BQ719" s="115"/>
      <c r="BR719" s="115"/>
      <c r="BS719" s="115"/>
      <c r="BT719" s="115"/>
      <c r="BU719" s="779">
        <f>BU718/BO718-1</f>
        <v>7.1828102243704839E-2</v>
      </c>
      <c r="BV719" s="115"/>
      <c r="BW719" s="115"/>
      <c r="BX719" s="115"/>
      <c r="BY719" s="115"/>
      <c r="BZ719" s="115"/>
      <c r="CA719" s="779">
        <f>CA718/BU718-1</f>
        <v>0.19328475777865295</v>
      </c>
      <c r="CB719" s="115"/>
      <c r="CC719" s="115"/>
      <c r="CD719" s="115"/>
      <c r="CE719" s="115"/>
      <c r="CF719" s="115"/>
      <c r="CG719" s="779">
        <f>CG718/CA718-1</f>
        <v>0.21894545754600214</v>
      </c>
      <c r="CH719" s="115"/>
      <c r="CI719" s="115"/>
      <c r="CJ719" s="115"/>
      <c r="CK719" s="115"/>
      <c r="CL719" s="115"/>
      <c r="CM719" s="779">
        <f>CM718/CG718-1</f>
        <v>0.23263653840946641</v>
      </c>
      <c r="CN719" s="115"/>
      <c r="CO719" s="115"/>
      <c r="CP719" s="115"/>
      <c r="CQ719" s="115"/>
      <c r="CR719" s="115"/>
      <c r="CS719" s="779">
        <f>CS718/CM718-1</f>
        <v>0.24163875006864743</v>
      </c>
      <c r="CT719" s="115"/>
      <c r="CU719" s="115"/>
      <c r="CV719" s="115"/>
      <c r="CW719" s="115"/>
      <c r="CX719" s="115"/>
      <c r="CY719" s="779">
        <f>CY718/CS718-1</f>
        <v>3.9143703834755961E-2</v>
      </c>
      <c r="CZ719" s="115"/>
      <c r="DA719" s="115"/>
      <c r="DB719" s="115"/>
      <c r="DC719" s="115"/>
      <c r="DD719" s="115"/>
      <c r="DE719" s="779">
        <f>DE718/CY718-1</f>
        <v>0.1507363582191199</v>
      </c>
      <c r="DF719" s="115"/>
      <c r="DG719" s="115"/>
      <c r="DH719" s="115"/>
      <c r="DI719" s="115"/>
      <c r="DJ719" s="115"/>
      <c r="DK719" s="779">
        <f>DK718/DE718-1</f>
        <v>0.32770367740074113</v>
      </c>
      <c r="DL719" s="115"/>
      <c r="DM719" s="115"/>
      <c r="DN719" s="115"/>
      <c r="DO719" s="115"/>
      <c r="DP719" s="115"/>
      <c r="DQ719" s="779">
        <f>DQ718/DK718-1</f>
        <v>3.6954977016297796E-2</v>
      </c>
      <c r="DR719" s="115"/>
      <c r="DS719" s="115"/>
      <c r="DT719" s="115"/>
      <c r="DU719" s="115"/>
      <c r="DV719" s="115"/>
      <c r="DW719" s="779">
        <f>DW718/DQ718-1</f>
        <v>8.4631465499618308E-4</v>
      </c>
      <c r="DX719" s="115"/>
      <c r="DY719" s="115"/>
      <c r="DZ719" s="115"/>
      <c r="EA719" s="115"/>
      <c r="EB719" s="115"/>
      <c r="EC719" s="779">
        <f>EC718/DW718-1</f>
        <v>2.8239336429280781E-2</v>
      </c>
      <c r="ED719" s="115"/>
      <c r="EE719" s="115"/>
      <c r="EF719" s="115"/>
      <c r="EG719" s="115"/>
      <c r="EH719" s="115"/>
      <c r="EI719" s="779">
        <f>EI718/EC718-1</f>
        <v>-1.3575251272679445E-3</v>
      </c>
      <c r="EJ719" s="115"/>
      <c r="EK719" s="115"/>
      <c r="EL719" s="115"/>
      <c r="EM719" s="115"/>
      <c r="EN719" s="115"/>
      <c r="EO719" s="779">
        <f>EO718/EI718-1</f>
        <v>-3.1265521658431994E-2</v>
      </c>
      <c r="EP719" s="115"/>
      <c r="EQ719" s="115"/>
      <c r="ER719" s="115"/>
      <c r="ES719" s="115"/>
      <c r="ET719" s="115"/>
      <c r="EU719" s="779">
        <f>EU718/EO718-1</f>
        <v>2.2688830720241748E-2</v>
      </c>
      <c r="EV719" s="115"/>
      <c r="EW719" s="115"/>
      <c r="EX719" s="115"/>
      <c r="EY719" s="115"/>
      <c r="EZ719" s="115"/>
      <c r="FA719" s="779">
        <f>FA718/EU718-1</f>
        <v>-1</v>
      </c>
      <c r="FB719" s="115"/>
      <c r="FC719" s="115"/>
      <c r="FD719" s="115"/>
      <c r="FE719" s="115"/>
      <c r="FF719" s="115"/>
      <c r="FG719" s="779" t="e">
        <f>FG718/FA718-1</f>
        <v>#DIV/0!</v>
      </c>
      <c r="FH719" s="115"/>
      <c r="FI719" s="115"/>
      <c r="FJ719" s="115"/>
      <c r="FK719" s="115"/>
      <c r="FL719" s="115"/>
      <c r="FM719" s="779" t="e">
        <f>FM718/FG718-1</f>
        <v>#DIV/0!</v>
      </c>
      <c r="FQ719"/>
      <c r="FR719"/>
      <c r="FS719"/>
      <c r="FT719"/>
      <c r="FU719"/>
      <c r="FV719"/>
      <c r="GB719" s="24"/>
      <c r="GC719" s="24"/>
      <c r="GD719" s="24"/>
      <c r="GE719" s="24"/>
      <c r="GF719" s="24"/>
      <c r="GG719" s="24"/>
      <c r="GH719" s="24"/>
      <c r="GI719" s="24"/>
      <c r="GJ719"/>
      <c r="GK719"/>
      <c r="GL719"/>
      <c r="GM719"/>
      <c r="GN719"/>
      <c r="GO719"/>
      <c r="GP719"/>
      <c r="GQ719"/>
      <c r="GR719"/>
      <c r="GS719"/>
      <c r="GT719"/>
      <c r="GU719"/>
      <c r="GV719"/>
      <c r="GW719"/>
      <c r="GX719"/>
      <c r="GY719"/>
      <c r="GZ719"/>
      <c r="HA719"/>
      <c r="HB719"/>
      <c r="HC719"/>
      <c r="HD719"/>
      <c r="HE719"/>
      <c r="HF719"/>
      <c r="HG719"/>
      <c r="HH719"/>
      <c r="HI719"/>
      <c r="HJ719"/>
      <c r="HK719"/>
      <c r="HL719"/>
      <c r="HM719"/>
      <c r="HN719"/>
      <c r="HO719"/>
      <c r="HP719"/>
      <c r="HQ719"/>
      <c r="HR719"/>
      <c r="HS719"/>
      <c r="HT719"/>
      <c r="HU719"/>
      <c r="HV719"/>
      <c r="HW719"/>
      <c r="HX719"/>
      <c r="HY719"/>
      <c r="HZ719"/>
      <c r="IA719"/>
      <c r="IB719"/>
      <c r="IC719"/>
      <c r="ID719"/>
      <c r="IE719"/>
      <c r="IF719"/>
      <c r="IG719"/>
      <c r="IH719"/>
      <c r="II719"/>
      <c r="IJ719"/>
      <c r="IK719"/>
      <c r="IL719"/>
      <c r="IM719"/>
      <c r="IN719"/>
      <c r="IO719"/>
      <c r="IP719"/>
      <c r="IQ719"/>
      <c r="IR719"/>
      <c r="IS719"/>
      <c r="IT719"/>
      <c r="IU719"/>
      <c r="IV719"/>
      <c r="IW719"/>
      <c r="IX719"/>
      <c r="IY719"/>
      <c r="IZ719"/>
      <c r="JA719"/>
      <c r="JB719"/>
      <c r="JC719"/>
      <c r="JD719"/>
      <c r="JE719"/>
      <c r="JF719"/>
      <c r="JG719"/>
      <c r="JH719"/>
      <c r="JI719"/>
      <c r="JJ719"/>
      <c r="JK719"/>
      <c r="JL719"/>
      <c r="JM719"/>
      <c r="JN719"/>
    </row>
    <row r="720" spans="1:274" s="342" customFormat="1" hidden="1" outlineLevel="1" x14ac:dyDescent="0.2">
      <c r="B720" s="20"/>
      <c r="CT720" s="475"/>
      <c r="CZ720" s="475"/>
      <c r="DE720" s="475"/>
      <c r="DF720" s="475"/>
      <c r="DK720" s="475"/>
      <c r="DL720" s="475"/>
      <c r="DQ720" s="475"/>
      <c r="DR720" s="475"/>
      <c r="DW720" s="475"/>
      <c r="DX720" s="475"/>
      <c r="EC720" s="475"/>
      <c r="ED720" s="475"/>
      <c r="EI720" s="475"/>
      <c r="EJ720" s="475"/>
      <c r="EO720" s="475"/>
      <c r="EP720" s="475"/>
      <c r="EU720" s="475"/>
      <c r="EV720" s="475"/>
      <c r="FA720" s="475"/>
      <c r="FB720" s="475"/>
      <c r="FG720" s="475"/>
      <c r="FH720" s="475"/>
      <c r="FM720" s="475"/>
      <c r="FQ720"/>
      <c r="FR720"/>
      <c r="FS720"/>
      <c r="FT720"/>
      <c r="FU720"/>
      <c r="FV720"/>
      <c r="GB720" s="24"/>
      <c r="GC720" s="24"/>
      <c r="GD720" s="24"/>
      <c r="GE720" s="24"/>
      <c r="GF720" s="24"/>
      <c r="GG720" s="24"/>
      <c r="GH720" s="24"/>
      <c r="GI720" s="24"/>
      <c r="GJ720"/>
      <c r="GK720"/>
      <c r="GL720"/>
      <c r="GM720"/>
      <c r="GN720"/>
      <c r="GO720"/>
      <c r="GP720"/>
      <c r="GQ720"/>
      <c r="GR720"/>
      <c r="GS720"/>
      <c r="GT720"/>
      <c r="GU720"/>
      <c r="GV720"/>
      <c r="GW720"/>
      <c r="GX720"/>
      <c r="GY720"/>
      <c r="GZ720"/>
      <c r="HA720"/>
      <c r="HB720"/>
      <c r="HC720"/>
      <c r="HD720"/>
      <c r="HE720"/>
      <c r="HF720"/>
      <c r="HG720"/>
      <c r="HH720"/>
      <c r="HI720"/>
      <c r="HJ720"/>
      <c r="HK720"/>
      <c r="HL720"/>
      <c r="HM720"/>
      <c r="HN720"/>
      <c r="HO720"/>
      <c r="HP720"/>
      <c r="HQ720"/>
      <c r="HR720"/>
      <c r="HS720"/>
      <c r="HT720"/>
      <c r="HU720"/>
      <c r="HV720"/>
      <c r="HW720"/>
      <c r="HX720"/>
      <c r="HY720"/>
      <c r="HZ720"/>
      <c r="IA720"/>
      <c r="IB720"/>
      <c r="IC720"/>
      <c r="ID720"/>
      <c r="IE720"/>
      <c r="IF720"/>
      <c r="IG720"/>
      <c r="IH720"/>
      <c r="II720"/>
      <c r="IJ720"/>
      <c r="IK720"/>
      <c r="IL720"/>
      <c r="IM720"/>
      <c r="IN720"/>
      <c r="IO720"/>
      <c r="IP720"/>
      <c r="IQ720"/>
      <c r="IR720"/>
      <c r="IS720"/>
      <c r="IT720"/>
      <c r="IU720"/>
      <c r="IV720"/>
      <c r="IW720"/>
      <c r="IX720"/>
      <c r="IY720"/>
      <c r="IZ720"/>
      <c r="JA720"/>
      <c r="JB720"/>
      <c r="JC720"/>
      <c r="JD720"/>
      <c r="JE720"/>
      <c r="JF720"/>
      <c r="JG720"/>
      <c r="JH720"/>
      <c r="JI720"/>
      <c r="JJ720"/>
      <c r="JK720"/>
      <c r="JL720"/>
      <c r="JM720"/>
      <c r="JN720"/>
    </row>
    <row r="721" spans="1:274" s="342" customFormat="1" hidden="1" outlineLevel="1" x14ac:dyDescent="0.2">
      <c r="A721" s="353" t="s">
        <v>162</v>
      </c>
      <c r="B721" s="20"/>
      <c r="AW721" s="111">
        <f>AW723+AW725</f>
        <v>4315.0289999999995</v>
      </c>
      <c r="BC721" s="111">
        <f>BC723+BC725</f>
        <v>4583.8830000000007</v>
      </c>
      <c r="BI721" s="111">
        <f>BI723+BI725</f>
        <v>3441.43</v>
      </c>
      <c r="BO721" s="111">
        <f>BO723+BO725</f>
        <v>3270</v>
      </c>
      <c r="BU721" s="111">
        <f>BU723+BU725</f>
        <v>3541</v>
      </c>
      <c r="BZ721" s="111">
        <f>BZ723+BZ725</f>
        <v>1609</v>
      </c>
      <c r="CA721" s="111">
        <f>CA723+CA725</f>
        <v>4090</v>
      </c>
      <c r="CF721" s="111">
        <f>CF723+CF725</f>
        <v>2121</v>
      </c>
      <c r="CG721" s="111">
        <f>CG723+CG725</f>
        <v>4904.3999999999996</v>
      </c>
      <c r="CL721" s="111">
        <f>CL723+CL725</f>
        <v>2481</v>
      </c>
      <c r="CM721" s="111">
        <f>CM723+CM725</f>
        <v>5882</v>
      </c>
      <c r="CR721" s="111">
        <f>CR723+CR725</f>
        <v>3144</v>
      </c>
      <c r="CS721" s="111">
        <f>CS723+CS725</f>
        <v>7515</v>
      </c>
      <c r="CT721" s="475"/>
      <c r="CX721" s="111">
        <f>CX723+CX725</f>
        <v>2744</v>
      </c>
      <c r="CY721" s="111">
        <f>CY723+CY725</f>
        <v>7121</v>
      </c>
      <c r="CZ721" s="475"/>
      <c r="DD721" s="111">
        <f>DD723+DD725</f>
        <v>3135</v>
      </c>
      <c r="DE721" s="780">
        <f>DE723+DE725</f>
        <v>7534.4</v>
      </c>
      <c r="DF721" s="475"/>
      <c r="DJ721" s="111">
        <f>DJ723+DJ725</f>
        <v>3736</v>
      </c>
      <c r="DK721" s="780">
        <f>DK723+DK725</f>
        <v>9235</v>
      </c>
      <c r="DL721" s="475"/>
      <c r="DP721" s="111">
        <f>DP723+DP725</f>
        <v>4007</v>
      </c>
      <c r="DQ721" s="780">
        <f>DQ723+DQ725</f>
        <v>9927</v>
      </c>
      <c r="DR721" s="475"/>
      <c r="DV721" s="111">
        <f>DV723+DV725</f>
        <v>4147</v>
      </c>
      <c r="DW721" s="780">
        <f>DW723+DW725</f>
        <v>10822</v>
      </c>
      <c r="DX721" s="475"/>
      <c r="EB721" s="111">
        <f>EB723+EB725</f>
        <v>4224</v>
      </c>
      <c r="EC721" s="780">
        <f>EC723+EC725</f>
        <v>11010</v>
      </c>
      <c r="ED721" s="475"/>
      <c r="EH721" s="111">
        <f>EH723+EH725</f>
        <v>3717</v>
      </c>
      <c r="EI721" s="780">
        <f>EI723+EI725</f>
        <v>10640</v>
      </c>
      <c r="EJ721" s="475"/>
      <c r="EN721" s="111">
        <f>EN723+EN725</f>
        <v>3626</v>
      </c>
      <c r="EO721" s="780">
        <f>EO723+EO725</f>
        <v>10135</v>
      </c>
      <c r="EP721" s="475"/>
      <c r="ET721" s="111">
        <f>ET723+ET725</f>
        <v>4036</v>
      </c>
      <c r="EU721" s="780">
        <f>EU723+EU725</f>
        <v>11158</v>
      </c>
      <c r="EV721" s="475"/>
      <c r="EZ721" s="111">
        <f>EZ723+EZ725</f>
        <v>4147.915</v>
      </c>
      <c r="FA721" s="780">
        <f>FA723+FA725</f>
        <v>12445.915000000001</v>
      </c>
      <c r="FB721" s="475"/>
      <c r="FF721" s="111">
        <f>FF723+FF725</f>
        <v>4379.8607000000002</v>
      </c>
      <c r="FG721" s="780">
        <f>FG723+FG725</f>
        <v>13601.702500000001</v>
      </c>
      <c r="FH721" s="475"/>
      <c r="FL721" s="111">
        <f>FL723+FL725</f>
        <v>4656.8482059999997</v>
      </c>
      <c r="FM721" s="780">
        <f>FM723+FM725</f>
        <v>14906.197975999999</v>
      </c>
      <c r="FQ721"/>
      <c r="FR721"/>
      <c r="FS721"/>
      <c r="FT721"/>
      <c r="FU721"/>
      <c r="FV721"/>
      <c r="GB721" s="24"/>
      <c r="GC721" s="24"/>
      <c r="GD721" s="24"/>
      <c r="GE721" s="24"/>
      <c r="GF721" s="24"/>
      <c r="GG721" s="24"/>
      <c r="GH721" s="24"/>
      <c r="GI721" s="24"/>
      <c r="GJ721"/>
      <c r="GK721"/>
      <c r="GL721"/>
      <c r="GM721"/>
      <c r="GN721"/>
      <c r="GO721"/>
      <c r="GP721"/>
      <c r="GQ721"/>
      <c r="GR721"/>
      <c r="GS721"/>
      <c r="GT721"/>
      <c r="GU721"/>
      <c r="GV721"/>
      <c r="GW721"/>
      <c r="GX721"/>
      <c r="GY721"/>
      <c r="GZ721"/>
      <c r="HA721"/>
      <c r="HB721"/>
      <c r="HC721"/>
      <c r="HD721"/>
      <c r="HE721"/>
      <c r="HF721"/>
      <c r="HG721"/>
      <c r="HH721"/>
      <c r="HI721"/>
      <c r="HJ721"/>
      <c r="HK721"/>
      <c r="HL721"/>
      <c r="HM721"/>
      <c r="HN721"/>
      <c r="HO721"/>
      <c r="HP721"/>
      <c r="HQ721"/>
      <c r="HR721"/>
      <c r="HS721"/>
      <c r="HT721"/>
      <c r="HU721"/>
      <c r="HV721"/>
      <c r="HW721"/>
      <c r="HX721"/>
      <c r="HY721"/>
      <c r="HZ721"/>
      <c r="IA721"/>
      <c r="IB721"/>
      <c r="IC721"/>
      <c r="ID721"/>
      <c r="IE721"/>
      <c r="IF721"/>
      <c r="IG721"/>
      <c r="IH721"/>
      <c r="II721"/>
      <c r="IJ721"/>
      <c r="IK721"/>
      <c r="IL721"/>
      <c r="IM721"/>
      <c r="IN721"/>
      <c r="IO721"/>
      <c r="IP721"/>
      <c r="IQ721"/>
      <c r="IR721"/>
      <c r="IS721"/>
      <c r="IT721"/>
      <c r="IU721"/>
      <c r="IV721"/>
      <c r="IW721"/>
      <c r="IX721"/>
      <c r="IY721"/>
      <c r="IZ721"/>
      <c r="JA721"/>
      <c r="JB721"/>
      <c r="JC721"/>
      <c r="JD721"/>
      <c r="JE721"/>
      <c r="JF721"/>
      <c r="JG721"/>
      <c r="JH721"/>
      <c r="JI721"/>
      <c r="JJ721"/>
      <c r="JK721"/>
      <c r="JL721"/>
      <c r="JM721"/>
      <c r="JN721"/>
    </row>
    <row r="722" spans="1:274" s="342" customFormat="1" hidden="1" outlineLevel="1" x14ac:dyDescent="0.2">
      <c r="A722" s="58" t="s">
        <v>1061</v>
      </c>
      <c r="B722" s="20"/>
      <c r="AW722" s="111"/>
      <c r="BC722" s="95">
        <f>BC721/AW721-1</f>
        <v>6.2306417871120123E-2</v>
      </c>
      <c r="BI722" s="95">
        <f>BI721/BC721-1</f>
        <v>-0.24923258294332573</v>
      </c>
      <c r="BO722" s="95">
        <f>BO721/BI721-1</f>
        <v>-4.9813594930014471E-2</v>
      </c>
      <c r="BU722" s="95">
        <f>BU721/BO721-1</f>
        <v>8.2874617737002998E-2</v>
      </c>
      <c r="CA722" s="95">
        <f>CA721/BU721-1</f>
        <v>0.15504094888449593</v>
      </c>
      <c r="CG722" s="95">
        <f>CG721/CA721-1</f>
        <v>0.19911980440097787</v>
      </c>
      <c r="CM722" s="95">
        <f>CM721/CG721-1</f>
        <v>0.19933121278851651</v>
      </c>
      <c r="CS722" s="95">
        <f>CS721/CM721-1</f>
        <v>0.27762665759945593</v>
      </c>
      <c r="CT722" s="475"/>
      <c r="CY722" s="95">
        <f>CY721/CS721-1</f>
        <v>-5.2428476380572242E-2</v>
      </c>
      <c r="CZ722" s="475"/>
      <c r="DE722" s="130">
        <f>DE721/CY721-1</f>
        <v>5.8053644151102368E-2</v>
      </c>
      <c r="DF722" s="475"/>
      <c r="DK722" s="130">
        <f>DK721/DE721-1</f>
        <v>0.22571140369505205</v>
      </c>
      <c r="DL722" s="475"/>
      <c r="DQ722" s="130">
        <f>DQ721/DK721-1</f>
        <v>7.4932322685435926E-2</v>
      </c>
      <c r="DR722" s="475"/>
      <c r="DW722" s="130">
        <f>DW721/DQ721-1</f>
        <v>9.0158154528054757E-2</v>
      </c>
      <c r="DX722" s="475"/>
      <c r="EC722" s="130">
        <f>EC721/DW721-1</f>
        <v>1.7372019959342122E-2</v>
      </c>
      <c r="ED722" s="475"/>
      <c r="EI722" s="130">
        <f>EI721/EC721-1</f>
        <v>-3.3605812897366083E-2</v>
      </c>
      <c r="EJ722" s="475"/>
      <c r="EO722" s="130">
        <f>EO721/EI721-1</f>
        <v>-4.7462406015037595E-2</v>
      </c>
      <c r="EP722" s="475"/>
      <c r="EU722" s="130">
        <f>EU721/EO721-1</f>
        <v>0.10093734583127767</v>
      </c>
      <c r="EV722" s="475"/>
      <c r="FA722" s="130">
        <f>FA721/EU721-1</f>
        <v>0.11542525542211868</v>
      </c>
      <c r="FB722" s="475"/>
      <c r="FG722" s="130">
        <f>FG721/FA721-1</f>
        <v>9.2864807448869824E-2</v>
      </c>
      <c r="FH722" s="475"/>
      <c r="FM722" s="130">
        <f>FM721/FG721-1</f>
        <v>9.5906779022699506E-2</v>
      </c>
      <c r="FQ722"/>
      <c r="FR722"/>
      <c r="FS722"/>
      <c r="FT722"/>
      <c r="FU722"/>
      <c r="FV722"/>
      <c r="GB722" s="24"/>
      <c r="GC722" s="24"/>
      <c r="GD722" s="24"/>
      <c r="GE722" s="24"/>
      <c r="GF722" s="24"/>
      <c r="GG722" s="24"/>
      <c r="GH722" s="24"/>
      <c r="GI722" s="24"/>
      <c r="GJ722"/>
      <c r="GK722"/>
      <c r="GL722"/>
      <c r="GM722"/>
      <c r="GN722"/>
      <c r="GO722"/>
      <c r="GP722"/>
      <c r="GQ722"/>
      <c r="GR722"/>
      <c r="GS722"/>
      <c r="GT722"/>
      <c r="GU722"/>
      <c r="GV722"/>
      <c r="GW722"/>
      <c r="GX722"/>
      <c r="GY722"/>
      <c r="GZ722"/>
      <c r="HA722"/>
      <c r="HB722"/>
      <c r="HC722"/>
      <c r="HD722"/>
      <c r="HE722"/>
      <c r="HF722"/>
      <c r="HG722"/>
      <c r="HH722"/>
      <c r="HI722"/>
      <c r="HJ722"/>
      <c r="HK722"/>
      <c r="HL722"/>
      <c r="HM722"/>
      <c r="HN722"/>
      <c r="HO722"/>
      <c r="HP722"/>
      <c r="HQ722"/>
      <c r="HR722"/>
      <c r="HS722"/>
      <c r="HT722"/>
      <c r="HU722"/>
      <c r="HV722"/>
      <c r="HW722"/>
      <c r="HX722"/>
      <c r="HY722"/>
      <c r="HZ722"/>
      <c r="IA722"/>
      <c r="IB722"/>
      <c r="IC722"/>
      <c r="ID722"/>
      <c r="IE722"/>
      <c r="IF722"/>
      <c r="IG722"/>
      <c r="IH722"/>
      <c r="II722"/>
      <c r="IJ722"/>
      <c r="IK722"/>
      <c r="IL722"/>
      <c r="IM722"/>
      <c r="IN722"/>
      <c r="IO722"/>
      <c r="IP722"/>
      <c r="IQ722"/>
      <c r="IR722"/>
      <c r="IS722"/>
      <c r="IT722"/>
      <c r="IU722"/>
      <c r="IV722"/>
      <c r="IW722"/>
      <c r="IX722"/>
      <c r="IY722"/>
      <c r="IZ722"/>
      <c r="JA722"/>
      <c r="JB722"/>
      <c r="JC722"/>
      <c r="JD722"/>
      <c r="JE722"/>
      <c r="JF722"/>
      <c r="JG722"/>
      <c r="JH722"/>
      <c r="JI722"/>
      <c r="JJ722"/>
      <c r="JK722"/>
      <c r="JL722"/>
      <c r="JM722"/>
      <c r="JN722"/>
    </row>
    <row r="723" spans="1:274" s="342" customFormat="1" hidden="1" outlineLevel="1" x14ac:dyDescent="0.2">
      <c r="A723" s="44" t="s">
        <v>136</v>
      </c>
      <c r="B723" s="44"/>
      <c r="C723" s="44"/>
      <c r="D723" s="44"/>
      <c r="E723" s="44"/>
      <c r="F723" s="44"/>
      <c r="G723" s="44"/>
      <c r="H723" s="44"/>
      <c r="I723" s="44"/>
      <c r="J723" s="44"/>
      <c r="K723" s="44"/>
      <c r="L723" s="44"/>
      <c r="M723" s="44"/>
      <c r="N723" s="44"/>
      <c r="O723" s="44"/>
      <c r="P723" s="44"/>
      <c r="Q723" s="44"/>
      <c r="R723" s="44"/>
      <c r="S723" s="44"/>
      <c r="T723" s="44"/>
      <c r="U723" s="44"/>
      <c r="V723" s="44"/>
      <c r="W723" s="44"/>
      <c r="X723" s="44"/>
      <c r="Y723" s="44"/>
      <c r="Z723" s="44"/>
      <c r="AA723" s="44"/>
      <c r="AB723" s="44"/>
      <c r="AC723" s="44"/>
      <c r="AD723" s="44"/>
      <c r="AE723" s="44"/>
      <c r="AF723" s="44"/>
      <c r="AG723" s="44"/>
      <c r="AH723" s="44"/>
      <c r="AI723" s="44"/>
      <c r="AJ723" s="44"/>
      <c r="AK723" s="44"/>
      <c r="AL723" s="44"/>
      <c r="AM723" s="44"/>
      <c r="AN723" s="44"/>
      <c r="AO723" s="44"/>
      <c r="AP723" s="44"/>
      <c r="AQ723" s="44"/>
      <c r="AR723" s="44"/>
      <c r="AS723" s="44"/>
      <c r="AT723" s="44"/>
      <c r="AU723" s="44"/>
      <c r="AV723" s="44"/>
      <c r="AW723" s="61">
        <f>Model!AW39</f>
        <v>3391.8249999999998</v>
      </c>
      <c r="AX723" s="44"/>
      <c r="AY723" s="44"/>
      <c r="AZ723" s="44"/>
      <c r="BA723" s="44"/>
      <c r="BB723" s="44"/>
      <c r="BC723" s="61">
        <f>Model!BC39</f>
        <v>3561.6630000000005</v>
      </c>
      <c r="BD723" s="44"/>
      <c r="BE723" s="44"/>
      <c r="BF723" s="44"/>
      <c r="BG723" s="44"/>
      <c r="BH723" s="44"/>
      <c r="BI723" s="61">
        <f>Model!BI39</f>
        <v>2738.7849999999999</v>
      </c>
      <c r="BJ723" s="44"/>
      <c r="BK723" s="44"/>
      <c r="BL723" s="44"/>
      <c r="BM723" s="44"/>
      <c r="BN723" s="44"/>
      <c r="BO723" s="61">
        <f>Model!BO39</f>
        <v>2665</v>
      </c>
      <c r="BP723" s="44"/>
      <c r="BQ723" s="44"/>
      <c r="BR723" s="44"/>
      <c r="BS723" s="44"/>
      <c r="BT723" s="44"/>
      <c r="BU723" s="61">
        <f>Model!BU39</f>
        <v>2926</v>
      </c>
      <c r="BV723" s="44"/>
      <c r="BW723" s="44"/>
      <c r="BX723" s="44"/>
      <c r="BY723" s="44"/>
      <c r="BZ723" s="61">
        <f>Model!BZ39</f>
        <v>1259</v>
      </c>
      <c r="CA723" s="61">
        <f>Model!CA39</f>
        <v>3304</v>
      </c>
      <c r="CB723" s="44"/>
      <c r="CC723" s="44"/>
      <c r="CD723" s="44"/>
      <c r="CE723" s="44"/>
      <c r="CF723" s="61">
        <f>Model!CF39</f>
        <v>1480</v>
      </c>
      <c r="CG723" s="61">
        <f>Model!CG39</f>
        <v>3601.4</v>
      </c>
      <c r="CH723" s="44"/>
      <c r="CI723" s="44"/>
      <c r="CJ723" s="44"/>
      <c r="CK723" s="44"/>
      <c r="CL723" s="61">
        <f>Model!CL39</f>
        <v>1755</v>
      </c>
      <c r="CM723" s="61">
        <f>Model!CM39</f>
        <v>4165</v>
      </c>
      <c r="CN723" s="44"/>
      <c r="CO723" s="44"/>
      <c r="CP723" s="44"/>
      <c r="CQ723" s="44"/>
      <c r="CR723" s="61">
        <f>Model!CR39</f>
        <v>2155</v>
      </c>
      <c r="CS723" s="61">
        <f>Model!CS39</f>
        <v>5146</v>
      </c>
      <c r="CT723" s="62"/>
      <c r="CU723" s="44"/>
      <c r="CV723" s="44"/>
      <c r="CW723" s="44"/>
      <c r="CX723" s="61">
        <f>Model!CX39</f>
        <v>1939</v>
      </c>
      <c r="CY723" s="61">
        <f>Model!CY39</f>
        <v>5120</v>
      </c>
      <c r="CZ723" s="62"/>
      <c r="DA723" s="44"/>
      <c r="DB723" s="44"/>
      <c r="DC723" s="44"/>
      <c r="DD723" s="61">
        <f>Model!DD39</f>
        <v>2280</v>
      </c>
      <c r="DE723" s="160">
        <f>Model!DE39</f>
        <v>5407</v>
      </c>
      <c r="DF723" s="62"/>
      <c r="DG723" s="44"/>
      <c r="DH723" s="44"/>
      <c r="DI723" s="44"/>
      <c r="DJ723" s="61">
        <f>Model!DJ39</f>
        <v>2694</v>
      </c>
      <c r="DK723" s="160">
        <f>Model!DK39</f>
        <v>6626</v>
      </c>
      <c r="DL723" s="62"/>
      <c r="DM723" s="44"/>
      <c r="DN723" s="44"/>
      <c r="DO723" s="44"/>
      <c r="DP723" s="61">
        <f>Model!DP39</f>
        <v>2721</v>
      </c>
      <c r="DQ723" s="160">
        <f>Model!DQ39</f>
        <v>6986</v>
      </c>
      <c r="DR723" s="62"/>
      <c r="DS723" s="44"/>
      <c r="DT723" s="44"/>
      <c r="DU723" s="44"/>
      <c r="DV723" s="61">
        <f>Model!DV39</f>
        <v>3020.3100000000004</v>
      </c>
      <c r="DW723" s="160">
        <f>Model!DW39</f>
        <v>7565.9000000000005</v>
      </c>
      <c r="DX723" s="62"/>
      <c r="DY723" s="44"/>
      <c r="DZ723" s="44"/>
      <c r="EA723" s="44"/>
      <c r="EB723" s="61">
        <f>Model!EB39</f>
        <v>3026.3506200000006</v>
      </c>
      <c r="EC723" s="160">
        <f>Model!EC39</f>
        <v>7843.9229700000014</v>
      </c>
      <c r="ED723" s="62"/>
      <c r="EE723" s="44"/>
      <c r="EF723" s="44"/>
      <c r="EG723" s="44"/>
      <c r="EH723" s="61">
        <f>Model!EH39</f>
        <v>2965.8236076000007</v>
      </c>
      <c r="EI723" s="160">
        <f>Model!EI39</f>
        <v>7768.5465411000005</v>
      </c>
      <c r="EJ723" s="62"/>
      <c r="EK723" s="44"/>
      <c r="EL723" s="44"/>
      <c r="EM723" s="44"/>
      <c r="EN723" s="61">
        <f>Model!EN39</f>
        <v>2921.3362534860007</v>
      </c>
      <c r="EO723" s="160">
        <f>Model!EO39</f>
        <v>7652.0183429835015</v>
      </c>
      <c r="EP723" s="62"/>
      <c r="EQ723" s="44"/>
      <c r="ER723" s="44"/>
      <c r="ES723" s="44"/>
      <c r="ET723" s="61">
        <f>Model!ET39</f>
        <v>2877.5162096837107</v>
      </c>
      <c r="EU723" s="160">
        <f>Model!EU39</f>
        <v>7670.4594333029108</v>
      </c>
      <c r="EV723" s="62"/>
      <c r="EW723" s="44"/>
      <c r="EX723" s="44"/>
      <c r="EY723" s="44"/>
      <c r="EZ723" s="61">
        <f>Model!EZ39</f>
        <v>2949.4541149258034</v>
      </c>
      <c r="FA723" s="160">
        <f>Model!FA39</f>
        <v>7980.3864870385878</v>
      </c>
      <c r="FB723" s="62"/>
      <c r="FC723" s="44"/>
      <c r="FD723" s="44"/>
      <c r="FE723" s="44"/>
      <c r="FF723" s="61">
        <f>Model!FF39</f>
        <v>3023.1904677989482</v>
      </c>
      <c r="FG723" s="160">
        <f>Model!FG39</f>
        <v>8179.8961492145518</v>
      </c>
      <c r="FH723" s="62"/>
      <c r="FI723" s="44"/>
      <c r="FJ723" s="44"/>
      <c r="FK723" s="44"/>
      <c r="FL723" s="61">
        <f>Model!FL39</f>
        <v>3098.7702294939218</v>
      </c>
      <c r="FM723" s="160">
        <f>Model!FM39</f>
        <v>8384.3935529449154</v>
      </c>
      <c r="FQ723"/>
      <c r="FR723"/>
      <c r="FS723"/>
      <c r="FT723"/>
      <c r="FU723"/>
      <c r="FV723"/>
      <c r="GB723" s="24"/>
      <c r="GC723" s="24"/>
      <c r="GD723" s="24"/>
      <c r="GE723" s="24"/>
      <c r="GF723" s="24"/>
      <c r="GG723" s="24"/>
      <c r="GH723" s="24"/>
      <c r="GI723" s="24"/>
      <c r="GJ723"/>
      <c r="GK723"/>
      <c r="GL723"/>
      <c r="GM723"/>
      <c r="GN723"/>
      <c r="GO723"/>
      <c r="GP723"/>
      <c r="GQ723"/>
      <c r="GR723"/>
      <c r="GS723"/>
      <c r="GT723"/>
      <c r="GU723"/>
      <c r="GV723"/>
      <c r="GW723"/>
      <c r="GX723"/>
      <c r="GY723"/>
      <c r="GZ723"/>
      <c r="HA723"/>
      <c r="HB723"/>
      <c r="HC723"/>
      <c r="HD723"/>
      <c r="HE723"/>
      <c r="HF723"/>
      <c r="HG723"/>
      <c r="HH723"/>
      <c r="HI723"/>
      <c r="HJ723"/>
      <c r="HK723"/>
      <c r="HL723"/>
      <c r="HM723"/>
      <c r="HN723"/>
      <c r="HO723"/>
      <c r="HP723"/>
      <c r="HQ723"/>
      <c r="HR723"/>
      <c r="HS723"/>
      <c r="HT723"/>
      <c r="HU723"/>
      <c r="HV723"/>
      <c r="HW723"/>
      <c r="HX723"/>
      <c r="HY723"/>
      <c r="HZ723"/>
      <c r="IA723"/>
      <c r="IB723"/>
      <c r="IC723"/>
      <c r="ID723"/>
      <c r="IE723"/>
      <c r="IF723"/>
      <c r="IG723"/>
      <c r="IH723"/>
      <c r="II723"/>
      <c r="IJ723"/>
      <c r="IK723"/>
      <c r="IL723"/>
      <c r="IM723"/>
      <c r="IN723"/>
      <c r="IO723"/>
      <c r="IP723"/>
      <c r="IQ723"/>
      <c r="IR723"/>
      <c r="IS723"/>
      <c r="IT723"/>
      <c r="IU723"/>
      <c r="IV723"/>
      <c r="IW723"/>
      <c r="IX723"/>
      <c r="IY723"/>
      <c r="IZ723"/>
      <c r="JA723"/>
      <c r="JB723"/>
      <c r="JC723"/>
      <c r="JD723"/>
      <c r="JE723"/>
      <c r="JF723"/>
      <c r="JG723"/>
      <c r="JH723"/>
      <c r="JI723"/>
      <c r="JJ723"/>
      <c r="JK723"/>
      <c r="JL723"/>
      <c r="JM723"/>
      <c r="JN723"/>
    </row>
    <row r="724" spans="1:274" s="342" customFormat="1" hidden="1" outlineLevel="1" x14ac:dyDescent="0.2">
      <c r="A724" s="107" t="s">
        <v>611</v>
      </c>
      <c r="B724" s="44"/>
      <c r="C724" s="44"/>
      <c r="D724" s="44"/>
      <c r="E724" s="44"/>
      <c r="F724" s="44"/>
      <c r="G724" s="44"/>
      <c r="H724" s="44"/>
      <c r="I724" s="44"/>
      <c r="J724" s="44"/>
      <c r="K724" s="44"/>
      <c r="L724" s="44"/>
      <c r="M724" s="44"/>
      <c r="N724" s="44"/>
      <c r="O724" s="44"/>
      <c r="P724" s="44"/>
      <c r="Q724" s="44"/>
      <c r="R724" s="44"/>
      <c r="S724" s="44"/>
      <c r="T724" s="44"/>
      <c r="U724" s="44"/>
      <c r="V724" s="44"/>
      <c r="W724" s="44"/>
      <c r="X724" s="44"/>
      <c r="Y724" s="44"/>
      <c r="Z724" s="44"/>
      <c r="AA724" s="44"/>
      <c r="AB724" s="44"/>
      <c r="AC724" s="44"/>
      <c r="AD724" s="44"/>
      <c r="AE724" s="44"/>
      <c r="AF724" s="44"/>
      <c r="AG724" s="44"/>
      <c r="AH724" s="44"/>
      <c r="AI724" s="44"/>
      <c r="AJ724" s="44"/>
      <c r="AK724" s="44"/>
      <c r="AL724" s="44"/>
      <c r="AM724" s="44"/>
      <c r="AN724" s="44"/>
      <c r="AO724" s="44"/>
      <c r="AP724" s="44"/>
      <c r="AQ724" s="44"/>
      <c r="AR724" s="44"/>
      <c r="AS724" s="44"/>
      <c r="AT724" s="44"/>
      <c r="AU724" s="44"/>
      <c r="AV724" s="44"/>
      <c r="AW724" s="61"/>
      <c r="AX724" s="44"/>
      <c r="AY724" s="44"/>
      <c r="AZ724" s="44"/>
      <c r="BA724" s="44"/>
      <c r="BB724" s="44"/>
      <c r="BC724" s="108">
        <f>BC723/AW723-1</f>
        <v>5.0072748446633009E-2</v>
      </c>
      <c r="BD724" s="108"/>
      <c r="BE724" s="108"/>
      <c r="BF724" s="108"/>
      <c r="BG724" s="108"/>
      <c r="BH724" s="108"/>
      <c r="BI724" s="108">
        <f>BI723/BC723-1</f>
        <v>-0.23103757991702201</v>
      </c>
      <c r="BJ724" s="108"/>
      <c r="BK724" s="108"/>
      <c r="BL724" s="108"/>
      <c r="BM724" s="108"/>
      <c r="BN724" s="108"/>
      <c r="BO724" s="108">
        <f>BO723/BI723-1</f>
        <v>-2.6940778483889649E-2</v>
      </c>
      <c r="BP724" s="108"/>
      <c r="BQ724" s="108"/>
      <c r="BR724" s="108"/>
      <c r="BS724" s="108"/>
      <c r="BT724" s="108"/>
      <c r="BU724" s="108">
        <f>BU723/BO723-1</f>
        <v>9.7936210131332135E-2</v>
      </c>
      <c r="BV724" s="108"/>
      <c r="BW724" s="108"/>
      <c r="BX724" s="108"/>
      <c r="BY724" s="108"/>
      <c r="BZ724" s="108"/>
      <c r="CA724" s="108">
        <f>CA723/BU723-1</f>
        <v>0.12918660287081329</v>
      </c>
      <c r="CB724" s="108"/>
      <c r="CC724" s="108"/>
      <c r="CD724" s="108"/>
      <c r="CE724" s="108"/>
      <c r="CF724" s="108"/>
      <c r="CG724" s="108">
        <f>CG723/CA723-1</f>
        <v>9.0012106537530334E-2</v>
      </c>
      <c r="CH724" s="108"/>
      <c r="CI724" s="108"/>
      <c r="CJ724" s="108"/>
      <c r="CK724" s="108"/>
      <c r="CL724" s="108"/>
      <c r="CM724" s="108">
        <f>CM723/CG723-1</f>
        <v>0.15649469650691405</v>
      </c>
      <c r="CN724" s="108"/>
      <c r="CO724" s="108"/>
      <c r="CP724" s="108"/>
      <c r="CQ724" s="108"/>
      <c r="CR724" s="108"/>
      <c r="CS724" s="108">
        <f>CS723/CM723-1</f>
        <v>0.23553421368547411</v>
      </c>
      <c r="CT724" s="781"/>
      <c r="CU724" s="108"/>
      <c r="CV724" s="108"/>
      <c r="CW724" s="108"/>
      <c r="CX724" s="108"/>
      <c r="CY724" s="108">
        <f>CY723/CS723-1</f>
        <v>-5.0524679362611291E-3</v>
      </c>
      <c r="CZ724" s="781"/>
      <c r="DA724" s="108"/>
      <c r="DB724" s="108"/>
      <c r="DC724" s="108"/>
      <c r="DD724" s="108"/>
      <c r="DE724" s="781">
        <f>DE723/CY723-1</f>
        <v>5.6054687500000089E-2</v>
      </c>
      <c r="DF724" s="781"/>
      <c r="DG724" s="108"/>
      <c r="DH724" s="108"/>
      <c r="DI724" s="108"/>
      <c r="DJ724" s="108"/>
      <c r="DK724" s="781">
        <f>DK723/DE723-1</f>
        <v>0.22544849269465517</v>
      </c>
      <c r="DL724" s="781"/>
      <c r="DM724" s="108"/>
      <c r="DN724" s="108"/>
      <c r="DO724" s="108"/>
      <c r="DP724" s="108"/>
      <c r="DQ724" s="781">
        <f>DQ723/DK723-1</f>
        <v>5.4331421672200397E-2</v>
      </c>
      <c r="DR724" s="781"/>
      <c r="DS724" s="108"/>
      <c r="DT724" s="108"/>
      <c r="DU724" s="108"/>
      <c r="DV724" s="108"/>
      <c r="DW724" s="781">
        <f>DW723/DQ723-1</f>
        <v>8.3008874892642526E-2</v>
      </c>
      <c r="DX724" s="781"/>
      <c r="DY724" s="108"/>
      <c r="DZ724" s="108"/>
      <c r="EA724" s="108"/>
      <c r="EB724" s="108"/>
      <c r="EC724" s="781">
        <f>EC723/DW723-1</f>
        <v>3.6746847037365082E-2</v>
      </c>
      <c r="ED724" s="781"/>
      <c r="EE724" s="108"/>
      <c r="EF724" s="108"/>
      <c r="EG724" s="108"/>
      <c r="EH724" s="108"/>
      <c r="EI724" s="781">
        <f>EI723/EC723-1</f>
        <v>-9.6095320145654917E-3</v>
      </c>
      <c r="EJ724" s="781"/>
      <c r="EK724" s="108"/>
      <c r="EL724" s="108"/>
      <c r="EM724" s="108"/>
      <c r="EN724" s="108"/>
      <c r="EO724" s="781">
        <f>EO723/EI723-1</f>
        <v>-1.4999999999999902E-2</v>
      </c>
      <c r="EP724" s="781"/>
      <c r="EQ724" s="108"/>
      <c r="ER724" s="108"/>
      <c r="ES724" s="108"/>
      <c r="ET724" s="108"/>
      <c r="EU724" s="781">
        <f>EU723/EO723-1</f>
        <v>2.4099642071975236E-3</v>
      </c>
      <c r="EV724" s="781"/>
      <c r="EW724" s="108"/>
      <c r="EX724" s="108"/>
      <c r="EY724" s="108"/>
      <c r="EZ724" s="108"/>
      <c r="FA724" s="781">
        <f>FA723/EU723-1</f>
        <v>4.0405279035837571E-2</v>
      </c>
      <c r="FB724" s="781"/>
      <c r="FC724" s="108"/>
      <c r="FD724" s="108"/>
      <c r="FE724" s="108"/>
      <c r="FF724" s="108"/>
      <c r="FG724" s="781">
        <f>FG723/FA723-1</f>
        <v>2.4999999999999911E-2</v>
      </c>
      <c r="FH724" s="781"/>
      <c r="FI724" s="108"/>
      <c r="FJ724" s="108"/>
      <c r="FK724" s="108"/>
      <c r="FL724" s="108"/>
      <c r="FM724" s="781">
        <f>FM723/FG723-1</f>
        <v>2.4999999999999911E-2</v>
      </c>
      <c r="FQ724"/>
      <c r="FR724"/>
      <c r="FS724"/>
      <c r="FT724"/>
      <c r="FU724"/>
      <c r="FV724"/>
      <c r="GB724" s="24"/>
      <c r="GC724" s="24"/>
      <c r="GD724" s="24"/>
      <c r="GE724" s="24"/>
      <c r="GF724" s="24"/>
      <c r="GG724" s="24"/>
      <c r="GH724" s="24"/>
      <c r="GI724" s="24"/>
      <c r="GJ724"/>
      <c r="GK724"/>
      <c r="GL724"/>
      <c r="GM724"/>
      <c r="GN724"/>
      <c r="GO724"/>
      <c r="GP724"/>
      <c r="GQ724"/>
      <c r="GR724"/>
      <c r="GS724"/>
      <c r="GT724"/>
      <c r="GU724"/>
      <c r="GV724"/>
      <c r="GW724"/>
      <c r="GX724"/>
      <c r="GY724"/>
      <c r="GZ724"/>
      <c r="HA724"/>
      <c r="HB724"/>
      <c r="HC724"/>
      <c r="HD724"/>
      <c r="HE724"/>
      <c r="HF724"/>
      <c r="HG724"/>
      <c r="HH724"/>
      <c r="HI724"/>
      <c r="HJ724"/>
      <c r="HK724"/>
      <c r="HL724"/>
      <c r="HM724"/>
      <c r="HN724"/>
      <c r="HO724"/>
      <c r="HP724"/>
      <c r="HQ724"/>
      <c r="HR724"/>
      <c r="HS724"/>
      <c r="HT724"/>
      <c r="HU724"/>
      <c r="HV724"/>
      <c r="HW724"/>
      <c r="HX724"/>
      <c r="HY724"/>
      <c r="HZ724"/>
      <c r="IA724"/>
      <c r="IB724"/>
      <c r="IC724"/>
      <c r="ID724"/>
      <c r="IE724"/>
      <c r="IF724"/>
      <c r="IG724"/>
      <c r="IH724"/>
      <c r="II724"/>
      <c r="IJ724"/>
      <c r="IK724"/>
      <c r="IL724"/>
      <c r="IM724"/>
      <c r="IN724"/>
      <c r="IO724"/>
      <c r="IP724"/>
      <c r="IQ724"/>
      <c r="IR724"/>
      <c r="IS724"/>
      <c r="IT724"/>
      <c r="IU724"/>
      <c r="IV724"/>
      <c r="IW724"/>
      <c r="IX724"/>
      <c r="IY724"/>
      <c r="IZ724"/>
      <c r="JA724"/>
      <c r="JB724"/>
      <c r="JC724"/>
      <c r="JD724"/>
      <c r="JE724"/>
      <c r="JF724"/>
      <c r="JG724"/>
      <c r="JH724"/>
      <c r="JI724"/>
      <c r="JJ724"/>
      <c r="JK724"/>
      <c r="JL724"/>
      <c r="JM724"/>
      <c r="JN724"/>
    </row>
    <row r="725" spans="1:274" s="342" customFormat="1" hidden="1" outlineLevel="1" x14ac:dyDescent="0.2">
      <c r="A725" s="44" t="s">
        <v>42</v>
      </c>
      <c r="B725" s="44"/>
      <c r="C725" s="44"/>
      <c r="D725" s="44"/>
      <c r="E725" s="44"/>
      <c r="F725" s="44"/>
      <c r="G725" s="44"/>
      <c r="H725" s="44"/>
      <c r="I725" s="44"/>
      <c r="J725" s="44"/>
      <c r="K725" s="44"/>
      <c r="L725" s="44"/>
      <c r="M725" s="44"/>
      <c r="N725" s="44"/>
      <c r="O725" s="44"/>
      <c r="P725" s="44"/>
      <c r="Q725" s="44"/>
      <c r="R725" s="44"/>
      <c r="S725" s="44"/>
      <c r="T725" s="44"/>
      <c r="U725" s="44"/>
      <c r="V725" s="44"/>
      <c r="W725" s="44"/>
      <c r="X725" s="44"/>
      <c r="Y725" s="44"/>
      <c r="Z725" s="44"/>
      <c r="AA725" s="44"/>
      <c r="AB725" s="44"/>
      <c r="AC725" s="44"/>
      <c r="AD725" s="44"/>
      <c r="AE725" s="44"/>
      <c r="AF725" s="44"/>
      <c r="AG725" s="44"/>
      <c r="AH725" s="44"/>
      <c r="AI725" s="44"/>
      <c r="AJ725" s="44"/>
      <c r="AK725" s="44"/>
      <c r="AL725" s="44"/>
      <c r="AM725" s="44"/>
      <c r="AN725" s="44"/>
      <c r="AO725" s="44"/>
      <c r="AP725" s="44"/>
      <c r="AQ725" s="44"/>
      <c r="AR725" s="44"/>
      <c r="AS725" s="44"/>
      <c r="AT725" s="44"/>
      <c r="AU725" s="44"/>
      <c r="AV725" s="44"/>
      <c r="AW725" s="61">
        <f>Model!AW42</f>
        <v>923.20400000000006</v>
      </c>
      <c r="AX725" s="44"/>
      <c r="AY725" s="44"/>
      <c r="AZ725" s="44"/>
      <c r="BA725" s="44"/>
      <c r="BB725" s="44"/>
      <c r="BC725" s="61">
        <f>Model!BC42</f>
        <v>1022.22</v>
      </c>
      <c r="BD725" s="44"/>
      <c r="BE725" s="44"/>
      <c r="BF725" s="44"/>
      <c r="BG725" s="44"/>
      <c r="BH725" s="44"/>
      <c r="BI725" s="61">
        <f>Model!BI42</f>
        <v>702.64499999999998</v>
      </c>
      <c r="BJ725" s="44"/>
      <c r="BK725" s="44"/>
      <c r="BL725" s="44"/>
      <c r="BM725" s="44"/>
      <c r="BN725" s="44"/>
      <c r="BO725" s="61">
        <f>Model!BO42</f>
        <v>605</v>
      </c>
      <c r="BP725" s="44"/>
      <c r="BQ725" s="44"/>
      <c r="BR725" s="44"/>
      <c r="BS725" s="44"/>
      <c r="BT725" s="44"/>
      <c r="BU725" s="61">
        <f>Model!BU42</f>
        <v>615</v>
      </c>
      <c r="BV725" s="44"/>
      <c r="BW725" s="44"/>
      <c r="BX725" s="44"/>
      <c r="BY725" s="44"/>
      <c r="BZ725" s="61">
        <f>Model!BZ42</f>
        <v>350</v>
      </c>
      <c r="CA725" s="61">
        <f>Model!CA42</f>
        <v>786</v>
      </c>
      <c r="CB725" s="44"/>
      <c r="CC725" s="44"/>
      <c r="CD725" s="44"/>
      <c r="CE725" s="44"/>
      <c r="CF725" s="61">
        <f>Model!CF42</f>
        <v>641</v>
      </c>
      <c r="CG725" s="61">
        <f>Model!CG42</f>
        <v>1303</v>
      </c>
      <c r="CH725" s="44"/>
      <c r="CI725" s="44"/>
      <c r="CJ725" s="44"/>
      <c r="CK725" s="44"/>
      <c r="CL725" s="61">
        <f>Model!CL42</f>
        <v>726</v>
      </c>
      <c r="CM725" s="61">
        <f>Model!CM42</f>
        <v>1717</v>
      </c>
      <c r="CN725" s="44"/>
      <c r="CO725" s="44"/>
      <c r="CP725" s="44"/>
      <c r="CQ725" s="44"/>
      <c r="CR725" s="61">
        <f>Model!CR42</f>
        <v>989</v>
      </c>
      <c r="CS725" s="61">
        <f>Model!CS42</f>
        <v>2369</v>
      </c>
      <c r="CT725" s="62"/>
      <c r="CU725" s="44"/>
      <c r="CV725" s="44"/>
      <c r="CW725" s="44"/>
      <c r="CX725" s="61">
        <f>Model!CX42</f>
        <v>805</v>
      </c>
      <c r="CY725" s="61">
        <f>Model!CY42</f>
        <v>2001</v>
      </c>
      <c r="CZ725" s="62"/>
      <c r="DA725" s="44"/>
      <c r="DB725" s="44"/>
      <c r="DC725" s="44"/>
      <c r="DD725" s="61">
        <f>Model!DD42</f>
        <v>855</v>
      </c>
      <c r="DE725" s="160">
        <f>Model!DE42</f>
        <v>2127.4</v>
      </c>
      <c r="DF725" s="62"/>
      <c r="DG725" s="44"/>
      <c r="DH725" s="44"/>
      <c r="DI725" s="44"/>
      <c r="DJ725" s="61">
        <f>Model!DJ42</f>
        <v>1042</v>
      </c>
      <c r="DK725" s="160">
        <f>Model!DK42</f>
        <v>2609</v>
      </c>
      <c r="DL725" s="62"/>
      <c r="DM725" s="44"/>
      <c r="DN725" s="44"/>
      <c r="DO725" s="44"/>
      <c r="DP725" s="61">
        <f>Model!DP42</f>
        <v>1286</v>
      </c>
      <c r="DQ725" s="160">
        <f>Model!DQ42</f>
        <v>2941</v>
      </c>
      <c r="DR725" s="62"/>
      <c r="DS725" s="44"/>
      <c r="DT725" s="44"/>
      <c r="DU725" s="44"/>
      <c r="DV725" s="61">
        <f>Model!DV42</f>
        <v>1126.6899999999996</v>
      </c>
      <c r="DW725" s="160">
        <f>Model!DW42</f>
        <v>3256.0999999999995</v>
      </c>
      <c r="DX725" s="62"/>
      <c r="DY725" s="44"/>
      <c r="DZ725" s="44"/>
      <c r="EA725" s="44"/>
      <c r="EB725" s="61">
        <f>Model!EB42</f>
        <v>1197.6493799999994</v>
      </c>
      <c r="EC725" s="160">
        <f>Model!EC42</f>
        <v>3166.0770299999986</v>
      </c>
      <c r="ED725" s="62"/>
      <c r="EE725" s="44"/>
      <c r="EF725" s="44"/>
      <c r="EG725" s="44"/>
      <c r="EH725" s="61">
        <f>Model!EH42</f>
        <v>751.17639239999926</v>
      </c>
      <c r="EI725" s="160">
        <f>Model!EI42</f>
        <v>2871.4534588999991</v>
      </c>
      <c r="EJ725" s="62"/>
      <c r="EK725" s="44"/>
      <c r="EL725" s="44"/>
      <c r="EM725" s="44"/>
      <c r="EN725" s="61">
        <f>Model!EN42</f>
        <v>704.66374651399929</v>
      </c>
      <c r="EO725" s="160">
        <f>Model!EO42</f>
        <v>2482.9816570164985</v>
      </c>
      <c r="EP725" s="62"/>
      <c r="EQ725" s="44"/>
      <c r="ER725" s="44"/>
      <c r="ES725" s="44"/>
      <c r="ET725" s="61">
        <f>Model!ET42</f>
        <v>1158.4837903162893</v>
      </c>
      <c r="EU725" s="160">
        <f>Model!EU42</f>
        <v>3487.5405666970887</v>
      </c>
      <c r="EV725" s="62"/>
      <c r="EW725" s="44"/>
      <c r="EX725" s="44"/>
      <c r="EY725" s="44"/>
      <c r="EZ725" s="61">
        <f>Model!EZ42</f>
        <v>1198.4608850741965</v>
      </c>
      <c r="FA725" s="160">
        <f>Model!FA42</f>
        <v>4465.5285129614122</v>
      </c>
      <c r="FB725" s="62"/>
      <c r="FC725" s="44"/>
      <c r="FD725" s="44"/>
      <c r="FE725" s="44"/>
      <c r="FF725" s="61">
        <f>Model!FF42</f>
        <v>1356.6702322010519</v>
      </c>
      <c r="FG725" s="160">
        <f>Model!FG42</f>
        <v>5421.8063507854495</v>
      </c>
      <c r="FH725" s="62"/>
      <c r="FI725" s="44"/>
      <c r="FJ725" s="44"/>
      <c r="FK725" s="44"/>
      <c r="FL725" s="61">
        <f>Model!FL42</f>
        <v>1558.0779765060779</v>
      </c>
      <c r="FM725" s="160">
        <f>Model!FM42</f>
        <v>6521.804423055085</v>
      </c>
      <c r="FQ725"/>
      <c r="FR725"/>
      <c r="FS725"/>
      <c r="FT725"/>
      <c r="FU725"/>
      <c r="FV725"/>
      <c r="GB725" s="24"/>
      <c r="GC725" s="24"/>
      <c r="GD725" s="24"/>
      <c r="GE725" s="24"/>
      <c r="GF725" s="24"/>
      <c r="GG725" s="24"/>
      <c r="GH725" s="24"/>
      <c r="GI725" s="24"/>
      <c r="GJ725"/>
      <c r="GK725"/>
      <c r="GL725"/>
      <c r="GM725"/>
      <c r="GN725"/>
      <c r="GO725"/>
      <c r="GP725"/>
      <c r="GQ725"/>
      <c r="GR725"/>
      <c r="GS725"/>
      <c r="GT725"/>
      <c r="GU725"/>
      <c r="GV725"/>
      <c r="GW725"/>
      <c r="GX725"/>
      <c r="GY725"/>
      <c r="GZ725"/>
      <c r="HA725"/>
      <c r="HB725"/>
      <c r="HC725"/>
      <c r="HD725"/>
      <c r="HE725"/>
      <c r="HF725"/>
      <c r="HG725"/>
      <c r="HH725"/>
      <c r="HI725"/>
      <c r="HJ725"/>
      <c r="HK725"/>
      <c r="HL725"/>
      <c r="HM725"/>
      <c r="HN725"/>
      <c r="HO725"/>
      <c r="HP725"/>
      <c r="HQ725"/>
      <c r="HR725"/>
      <c r="HS725"/>
      <c r="HT725"/>
      <c r="HU725"/>
      <c r="HV725"/>
      <c r="HW725"/>
      <c r="HX725"/>
      <c r="HY725"/>
      <c r="HZ725"/>
      <c r="IA725"/>
      <c r="IB725"/>
      <c r="IC725"/>
      <c r="ID725"/>
      <c r="IE725"/>
      <c r="IF725"/>
      <c r="IG725"/>
      <c r="IH725"/>
      <c r="II725"/>
      <c r="IJ725"/>
      <c r="IK725"/>
      <c r="IL725"/>
      <c r="IM725"/>
      <c r="IN725"/>
      <c r="IO725"/>
      <c r="IP725"/>
      <c r="IQ725"/>
      <c r="IR725"/>
      <c r="IS725"/>
      <c r="IT725"/>
      <c r="IU725"/>
      <c r="IV725"/>
      <c r="IW725"/>
      <c r="IX725"/>
      <c r="IY725"/>
      <c r="IZ725"/>
      <c r="JA725"/>
      <c r="JB725"/>
      <c r="JC725"/>
      <c r="JD725"/>
      <c r="JE725"/>
      <c r="JF725"/>
      <c r="JG725"/>
      <c r="JH725"/>
      <c r="JI725"/>
      <c r="JJ725"/>
      <c r="JK725"/>
      <c r="JL725"/>
      <c r="JM725"/>
      <c r="JN725"/>
    </row>
    <row r="726" spans="1:274" s="342" customFormat="1" hidden="1" outlineLevel="1" x14ac:dyDescent="0.2">
      <c r="A726" s="107" t="s">
        <v>611</v>
      </c>
      <c r="B726" s="44"/>
      <c r="C726" s="44"/>
      <c r="D726" s="44"/>
      <c r="E726" s="44"/>
      <c r="F726" s="44"/>
      <c r="G726" s="44"/>
      <c r="H726" s="44"/>
      <c r="I726" s="44"/>
      <c r="J726" s="44"/>
      <c r="K726" s="44"/>
      <c r="L726" s="44"/>
      <c r="M726" s="44"/>
      <c r="N726" s="44"/>
      <c r="O726" s="44"/>
      <c r="P726" s="44"/>
      <c r="Q726" s="44"/>
      <c r="R726" s="44"/>
      <c r="S726" s="44"/>
      <c r="T726" s="44"/>
      <c r="U726" s="44"/>
      <c r="V726" s="44"/>
      <c r="W726" s="44"/>
      <c r="X726" s="44"/>
      <c r="Y726" s="44"/>
      <c r="Z726" s="44"/>
      <c r="AA726" s="44"/>
      <c r="AB726" s="44"/>
      <c r="AC726" s="44"/>
      <c r="AD726" s="44"/>
      <c r="AE726" s="44"/>
      <c r="AF726" s="44"/>
      <c r="AG726" s="44"/>
      <c r="AH726" s="44"/>
      <c r="AI726" s="44"/>
      <c r="AJ726" s="44"/>
      <c r="AK726" s="44"/>
      <c r="AL726" s="44"/>
      <c r="AM726" s="44"/>
      <c r="AN726" s="44"/>
      <c r="AO726" s="44"/>
      <c r="AP726" s="44"/>
      <c r="AQ726" s="44"/>
      <c r="AR726" s="44"/>
      <c r="AS726" s="44"/>
      <c r="AT726" s="44"/>
      <c r="AU726" s="44"/>
      <c r="AV726" s="44"/>
      <c r="AW726" s="44"/>
      <c r="AX726" s="44"/>
      <c r="AY726" s="44"/>
      <c r="AZ726" s="44"/>
      <c r="BA726" s="44"/>
      <c r="BB726" s="44"/>
      <c r="BC726" s="108">
        <f>BC725/AW725-1</f>
        <v>0.10725256822977358</v>
      </c>
      <c r="BD726" s="108"/>
      <c r="BE726" s="108"/>
      <c r="BF726" s="108"/>
      <c r="BG726" s="108"/>
      <c r="BH726" s="108"/>
      <c r="BI726" s="108">
        <f>BI725/BC725-1</f>
        <v>-0.3126283970182544</v>
      </c>
      <c r="BJ726" s="108"/>
      <c r="BK726" s="108"/>
      <c r="BL726" s="108"/>
      <c r="BM726" s="108"/>
      <c r="BN726" s="108"/>
      <c r="BO726" s="108">
        <f>BO725/BI725-1</f>
        <v>-0.13896775754470603</v>
      </c>
      <c r="BP726" s="108"/>
      <c r="BQ726" s="108"/>
      <c r="BR726" s="108"/>
      <c r="BS726" s="108"/>
      <c r="BT726" s="108"/>
      <c r="BU726" s="108">
        <f>BU725/BO725-1</f>
        <v>1.6528925619834656E-2</v>
      </c>
      <c r="BV726" s="108"/>
      <c r="BW726" s="108"/>
      <c r="BX726" s="108"/>
      <c r="BY726" s="108"/>
      <c r="BZ726" s="108"/>
      <c r="CA726" s="108">
        <f>CA725/BU725-1</f>
        <v>0.2780487804878049</v>
      </c>
      <c r="CB726" s="108"/>
      <c r="CC726" s="108"/>
      <c r="CD726" s="108"/>
      <c r="CE726" s="108"/>
      <c r="CF726" s="108"/>
      <c r="CG726" s="108">
        <f>CG725/CA725-1</f>
        <v>0.65776081424936383</v>
      </c>
      <c r="CH726" s="108"/>
      <c r="CI726" s="108"/>
      <c r="CJ726" s="108"/>
      <c r="CK726" s="108"/>
      <c r="CL726" s="108"/>
      <c r="CM726" s="108">
        <f>CM725/CG725-1</f>
        <v>0.31772831926323875</v>
      </c>
      <c r="CN726" s="108"/>
      <c r="CO726" s="108"/>
      <c r="CP726" s="108"/>
      <c r="CQ726" s="108"/>
      <c r="CR726" s="108"/>
      <c r="CS726" s="108">
        <f>CS725/CM725-1</f>
        <v>0.37973209085614434</v>
      </c>
      <c r="CT726" s="781"/>
      <c r="CU726" s="108"/>
      <c r="CV726" s="108"/>
      <c r="CW726" s="108"/>
      <c r="CX726" s="108"/>
      <c r="CY726" s="108">
        <f>CY725/CS725-1</f>
        <v>-0.15533980582524276</v>
      </c>
      <c r="CZ726" s="781"/>
      <c r="DA726" s="108"/>
      <c r="DB726" s="108"/>
      <c r="DC726" s="108"/>
      <c r="DD726" s="108"/>
      <c r="DE726" s="781">
        <f>DE725/CY725-1</f>
        <v>6.3168415792103971E-2</v>
      </c>
      <c r="DF726" s="781"/>
      <c r="DG726" s="108"/>
      <c r="DH726" s="108"/>
      <c r="DI726" s="108"/>
      <c r="DJ726" s="108"/>
      <c r="DK726" s="781">
        <f>DK725/DE725-1</f>
        <v>0.22637961831343412</v>
      </c>
      <c r="DL726" s="781"/>
      <c r="DM726" s="108"/>
      <c r="DN726" s="108"/>
      <c r="DO726" s="108"/>
      <c r="DP726" s="108"/>
      <c r="DQ726" s="781">
        <f>DQ725/DK725-1</f>
        <v>0.12725182062092766</v>
      </c>
      <c r="DR726" s="781"/>
      <c r="DS726" s="108"/>
      <c r="DT726" s="108"/>
      <c r="DU726" s="108"/>
      <c r="DV726" s="108"/>
      <c r="DW726" s="781">
        <f>DW725/DQ725-1</f>
        <v>0.10714042842570537</v>
      </c>
      <c r="DX726" s="781"/>
      <c r="DY726" s="108"/>
      <c r="DZ726" s="108"/>
      <c r="EA726" s="108"/>
      <c r="EB726" s="108"/>
      <c r="EC726" s="781">
        <f>EC725/DW725-1</f>
        <v>-2.7647483185406108E-2</v>
      </c>
      <c r="ED726" s="781"/>
      <c r="EE726" s="108"/>
      <c r="EF726" s="108"/>
      <c r="EG726" s="108"/>
      <c r="EH726" s="108"/>
      <c r="EI726" s="781">
        <f>EI725/EC725-1</f>
        <v>-9.3056349642889002E-2</v>
      </c>
      <c r="EJ726" s="781"/>
      <c r="EK726" s="108"/>
      <c r="EL726" s="108"/>
      <c r="EM726" s="108"/>
      <c r="EN726" s="108"/>
      <c r="EO726" s="781">
        <f>EO725/EI725-1</f>
        <v>-0.13528751464852817</v>
      </c>
      <c r="EP726" s="781"/>
      <c r="EQ726" s="108"/>
      <c r="ER726" s="108"/>
      <c r="ES726" s="108"/>
      <c r="ET726" s="108"/>
      <c r="EU726" s="781">
        <f>EU725/EO725-1</f>
        <v>0.4045776604276845</v>
      </c>
      <c r="EV726" s="781"/>
      <c r="EW726" s="108"/>
      <c r="EX726" s="108"/>
      <c r="EY726" s="108"/>
      <c r="EZ726" s="108"/>
      <c r="FA726" s="781">
        <f>FA725/EU725-1</f>
        <v>0.2804233893659156</v>
      </c>
      <c r="FB726" s="781"/>
      <c r="FC726" s="108"/>
      <c r="FD726" s="108"/>
      <c r="FE726" s="108"/>
      <c r="FF726" s="108"/>
      <c r="FG726" s="781">
        <f>FG725/FA725-1</f>
        <v>0.2141466200581621</v>
      </c>
      <c r="FH726" s="781"/>
      <c r="FI726" s="108"/>
      <c r="FJ726" s="108"/>
      <c r="FK726" s="108"/>
      <c r="FL726" s="108"/>
      <c r="FM726" s="781">
        <f>FM725/FG725-1</f>
        <v>0.20288405765548601</v>
      </c>
      <c r="FQ726"/>
      <c r="FR726"/>
      <c r="FS726"/>
      <c r="FT726"/>
      <c r="FU726"/>
      <c r="FV726"/>
      <c r="GB726" s="24"/>
      <c r="GC726" s="24"/>
      <c r="GD726" s="24"/>
      <c r="GE726" s="24"/>
      <c r="GF726" s="24"/>
      <c r="GG726" s="24"/>
      <c r="GH726" s="24"/>
      <c r="GI726" s="24"/>
      <c r="GJ726"/>
      <c r="GK726"/>
      <c r="GL726"/>
      <c r="GM726"/>
      <c r="GN726"/>
      <c r="GO726"/>
      <c r="GP726"/>
      <c r="GQ726"/>
      <c r="GR726"/>
      <c r="GS726"/>
      <c r="GT726"/>
      <c r="GU726"/>
      <c r="GV726"/>
      <c r="GW726"/>
      <c r="GX726"/>
      <c r="GY726"/>
      <c r="GZ726"/>
      <c r="HA726"/>
      <c r="HB726"/>
      <c r="HC726"/>
      <c r="HD726"/>
      <c r="HE726"/>
      <c r="HF726"/>
      <c r="HG726"/>
      <c r="HH726"/>
      <c r="HI726"/>
      <c r="HJ726"/>
      <c r="HK726"/>
      <c r="HL726"/>
      <c r="HM726"/>
      <c r="HN726"/>
      <c r="HO726"/>
      <c r="HP726"/>
      <c r="HQ726"/>
      <c r="HR726"/>
      <c r="HS726"/>
      <c r="HT726"/>
      <c r="HU726"/>
      <c r="HV726"/>
      <c r="HW726"/>
      <c r="HX726"/>
      <c r="HY726"/>
      <c r="HZ726"/>
      <c r="IA726"/>
      <c r="IB726"/>
      <c r="IC726"/>
      <c r="ID726"/>
      <c r="IE726"/>
      <c r="IF726"/>
      <c r="IG726"/>
      <c r="IH726"/>
      <c r="II726"/>
      <c r="IJ726"/>
      <c r="IK726"/>
      <c r="IL726"/>
      <c r="IM726"/>
      <c r="IN726"/>
      <c r="IO726"/>
      <c r="IP726"/>
      <c r="IQ726"/>
      <c r="IR726"/>
      <c r="IS726"/>
      <c r="IT726"/>
      <c r="IU726"/>
      <c r="IV726"/>
      <c r="IW726"/>
      <c r="IX726"/>
      <c r="IY726"/>
      <c r="IZ726"/>
      <c r="JA726"/>
      <c r="JB726"/>
      <c r="JC726"/>
      <c r="JD726"/>
      <c r="JE726"/>
      <c r="JF726"/>
      <c r="JG726"/>
      <c r="JH726"/>
      <c r="JI726"/>
      <c r="JJ726"/>
      <c r="JK726"/>
      <c r="JL726"/>
      <c r="JM726"/>
      <c r="JN726"/>
    </row>
    <row r="727" spans="1:274" s="342" customFormat="1" hidden="1" outlineLevel="1" x14ac:dyDescent="0.2">
      <c r="B727" s="20"/>
      <c r="CT727" s="475"/>
      <c r="CZ727" s="475"/>
      <c r="DE727" s="475"/>
      <c r="DF727" s="475"/>
      <c r="DK727" s="475"/>
      <c r="DL727" s="475"/>
      <c r="DQ727" s="475"/>
      <c r="DR727" s="475"/>
      <c r="DW727" s="475"/>
      <c r="DX727" s="475"/>
      <c r="EC727" s="475"/>
      <c r="ED727" s="475"/>
      <c r="EI727" s="475"/>
      <c r="EJ727" s="475"/>
      <c r="EO727" s="475"/>
      <c r="EP727" s="475"/>
      <c r="EU727" s="475"/>
      <c r="EV727" s="475"/>
      <c r="FA727" s="475"/>
      <c r="FB727" s="475"/>
      <c r="FG727" s="475"/>
      <c r="FH727" s="475"/>
      <c r="FM727" s="475"/>
      <c r="FQ727"/>
      <c r="FR727"/>
      <c r="FS727"/>
      <c r="FT727"/>
      <c r="FU727"/>
      <c r="FV727"/>
      <c r="GB727" s="24"/>
      <c r="GC727" s="24"/>
      <c r="GD727" s="24"/>
      <c r="GE727" s="24"/>
      <c r="GF727" s="24"/>
      <c r="GG727" s="24"/>
      <c r="GH727" s="24"/>
      <c r="GI727" s="24"/>
      <c r="GJ727"/>
      <c r="GK727"/>
      <c r="GL727"/>
      <c r="GM727"/>
      <c r="GN727"/>
      <c r="GO727"/>
      <c r="GP727"/>
      <c r="GQ727"/>
      <c r="GR727"/>
      <c r="GS727"/>
      <c r="GT727"/>
      <c r="GU727"/>
      <c r="GV727"/>
      <c r="GW727"/>
      <c r="GX727"/>
      <c r="GY727"/>
      <c r="GZ727"/>
      <c r="HA727"/>
      <c r="HB727"/>
      <c r="HC727"/>
      <c r="HD727"/>
      <c r="HE727"/>
      <c r="HF727"/>
      <c r="HG727"/>
      <c r="HH727"/>
      <c r="HI727"/>
      <c r="HJ727"/>
      <c r="HK727"/>
      <c r="HL727"/>
      <c r="HM727"/>
      <c r="HN727"/>
      <c r="HO727"/>
      <c r="HP727"/>
      <c r="HQ727"/>
      <c r="HR727"/>
      <c r="HS727"/>
      <c r="HT727"/>
      <c r="HU727"/>
      <c r="HV727"/>
      <c r="HW727"/>
      <c r="HX727"/>
      <c r="HY727"/>
      <c r="HZ727"/>
      <c r="IA727"/>
      <c r="IB727"/>
      <c r="IC727"/>
      <c r="ID727"/>
      <c r="IE727"/>
      <c r="IF727"/>
      <c r="IG727"/>
      <c r="IH727"/>
      <c r="II727"/>
      <c r="IJ727"/>
      <c r="IK727"/>
      <c r="IL727"/>
      <c r="IM727"/>
      <c r="IN727"/>
      <c r="IO727"/>
      <c r="IP727"/>
      <c r="IQ727"/>
      <c r="IR727"/>
      <c r="IS727"/>
      <c r="IT727"/>
      <c r="IU727"/>
      <c r="IV727"/>
      <c r="IW727"/>
      <c r="IX727"/>
      <c r="IY727"/>
      <c r="IZ727"/>
      <c r="JA727"/>
      <c r="JB727"/>
      <c r="JC727"/>
      <c r="JD727"/>
      <c r="JE727"/>
      <c r="JF727"/>
      <c r="JG727"/>
      <c r="JH727"/>
      <c r="JI727"/>
      <c r="JJ727"/>
      <c r="JK727"/>
      <c r="JL727"/>
      <c r="JM727"/>
      <c r="JN727"/>
    </row>
    <row r="728" spans="1:274" s="342" customFormat="1" hidden="1" outlineLevel="1" x14ac:dyDescent="0.2">
      <c r="A728" s="353" t="s">
        <v>748</v>
      </c>
      <c r="B728" s="20"/>
      <c r="AW728" s="111">
        <f>Model!AW147</f>
        <v>2616.7489999999998</v>
      </c>
      <c r="BC728" s="111">
        <f>Model!BC147</f>
        <v>2691.3220000000001</v>
      </c>
      <c r="BI728" s="111">
        <f>Model!BI147</f>
        <v>2208.9810000000002</v>
      </c>
      <c r="BO728" s="111">
        <f>Model!BO147</f>
        <v>2072</v>
      </c>
      <c r="BU728" s="111">
        <f>Model!BU147</f>
        <v>2136</v>
      </c>
      <c r="BZ728" s="111">
        <f>Model!BZ147</f>
        <v>803</v>
      </c>
      <c r="CA728" s="111">
        <f>Model!CA147</f>
        <v>2505</v>
      </c>
      <c r="CF728" s="111">
        <f>Model!CF147</f>
        <v>1098</v>
      </c>
      <c r="CG728" s="111">
        <f>Model!CG147</f>
        <v>3170</v>
      </c>
      <c r="CL728" s="111">
        <f>Model!CL147</f>
        <v>1264</v>
      </c>
      <c r="CM728" s="111">
        <f>Model!CM147</f>
        <v>3869</v>
      </c>
      <c r="CR728" s="111">
        <f>Model!CR147</f>
        <v>1513</v>
      </c>
      <c r="CS728" s="111">
        <f>Model!CS147</f>
        <v>4627</v>
      </c>
      <c r="CT728" s="475"/>
      <c r="CX728" s="111">
        <f>Model!CX147</f>
        <v>1310</v>
      </c>
      <c r="CY728" s="111">
        <f>Model!CY147</f>
        <v>4571</v>
      </c>
      <c r="CZ728" s="475"/>
      <c r="DD728" s="111">
        <f>Model!DD147</f>
        <v>1721</v>
      </c>
      <c r="DE728" s="780">
        <f>Model!DE147</f>
        <v>4998</v>
      </c>
      <c r="DF728" s="475"/>
      <c r="DJ728" s="111">
        <f>Model!DJ147</f>
        <v>2075</v>
      </c>
      <c r="DK728" s="780">
        <f>Model!DK147</f>
        <v>6492</v>
      </c>
      <c r="DL728" s="475"/>
      <c r="DP728" s="111">
        <f>Model!DP147</f>
        <v>2065</v>
      </c>
      <c r="DQ728" s="780">
        <f>Model!DQ147</f>
        <v>7007</v>
      </c>
      <c r="DR728" s="475"/>
      <c r="DV728" s="111">
        <f>Model!DV147</f>
        <v>2092</v>
      </c>
      <c r="DW728" s="780">
        <f>Model!DW147</f>
        <v>7100</v>
      </c>
      <c r="DX728" s="475"/>
      <c r="EB728" s="111">
        <f>Model!EB147</f>
        <v>2195</v>
      </c>
      <c r="EC728" s="780">
        <f>Model!EC147</f>
        <v>7405</v>
      </c>
      <c r="ED728" s="475"/>
      <c r="EH728" s="111">
        <f>Model!EH147</f>
        <v>2163</v>
      </c>
      <c r="EI728" s="780">
        <f>Model!EI147</f>
        <v>7474</v>
      </c>
      <c r="EJ728" s="475"/>
      <c r="EN728" s="111">
        <f>Model!EN147</f>
        <v>2249</v>
      </c>
      <c r="EO728" s="780">
        <f>Model!EO147</f>
        <v>7665</v>
      </c>
      <c r="EP728" s="475"/>
      <c r="ET728" s="111">
        <f>Model!ET138</f>
        <v>714</v>
      </c>
      <c r="EU728" s="780">
        <f>Model!EU147</f>
        <v>7937</v>
      </c>
      <c r="EV728" s="475"/>
      <c r="EZ728" s="111">
        <f>Model!EZ138</f>
        <v>728.28</v>
      </c>
      <c r="FA728" s="780">
        <f>Model!FA138</f>
        <v>2821.2799999999997</v>
      </c>
      <c r="FB728" s="475"/>
      <c r="FF728" s="111">
        <f>Model!FF138</f>
        <v>728.28</v>
      </c>
      <c r="FG728" s="780">
        <f>Model!FG138</f>
        <v>2821.2799999999997</v>
      </c>
      <c r="FH728" s="475"/>
      <c r="FL728" s="111">
        <f>Model!FL138</f>
        <v>728.28</v>
      </c>
      <c r="FM728" s="780">
        <f>Model!FM138</f>
        <v>2821.2799999999997</v>
      </c>
      <c r="FQ728"/>
      <c r="FR728"/>
      <c r="FS728"/>
      <c r="FT728"/>
      <c r="FU728"/>
      <c r="FV728"/>
      <c r="GB728" s="24"/>
      <c r="GC728" s="24"/>
      <c r="GD728" s="24"/>
      <c r="GE728" s="24"/>
      <c r="GF728" s="24"/>
      <c r="GG728" s="24"/>
      <c r="GH728" s="24"/>
      <c r="GI728" s="24"/>
      <c r="GJ728"/>
      <c r="GK728"/>
      <c r="GL728"/>
      <c r="GM728"/>
      <c r="GN728"/>
      <c r="GO728"/>
      <c r="GP728"/>
      <c r="GQ728"/>
      <c r="GR728"/>
      <c r="GS728"/>
      <c r="GT728"/>
      <c r="GU728"/>
      <c r="GV728"/>
      <c r="GW728"/>
      <c r="GX728"/>
      <c r="GY728"/>
      <c r="GZ728"/>
      <c r="HA728"/>
      <c r="HB728"/>
      <c r="HC728"/>
      <c r="HD728"/>
      <c r="HE728"/>
      <c r="HF728"/>
      <c r="HG728"/>
      <c r="HH728"/>
      <c r="HI728"/>
      <c r="HJ728"/>
      <c r="HK728"/>
      <c r="HL728"/>
      <c r="HM728"/>
      <c r="HN728"/>
      <c r="HO728"/>
      <c r="HP728"/>
      <c r="HQ728"/>
      <c r="HR728"/>
      <c r="HS728"/>
      <c r="HT728"/>
      <c r="HU728"/>
      <c r="HV728"/>
      <c r="HW728"/>
      <c r="HX728"/>
      <c r="HY728"/>
      <c r="HZ728"/>
      <c r="IA728"/>
      <c r="IB728"/>
      <c r="IC728"/>
      <c r="ID728"/>
      <c r="IE728"/>
      <c r="IF728"/>
      <c r="IG728"/>
      <c r="IH728"/>
      <c r="II728"/>
      <c r="IJ728"/>
      <c r="IK728"/>
      <c r="IL728"/>
      <c r="IM728"/>
      <c r="IN728"/>
      <c r="IO728"/>
      <c r="IP728"/>
      <c r="IQ728"/>
      <c r="IR728"/>
      <c r="IS728"/>
      <c r="IT728"/>
      <c r="IU728"/>
      <c r="IV728"/>
      <c r="IW728"/>
      <c r="IX728"/>
      <c r="IY728"/>
      <c r="IZ728"/>
      <c r="JA728"/>
      <c r="JB728"/>
      <c r="JC728"/>
      <c r="JD728"/>
      <c r="JE728"/>
      <c r="JF728"/>
      <c r="JG728"/>
      <c r="JH728"/>
      <c r="JI728"/>
      <c r="JJ728"/>
      <c r="JK728"/>
      <c r="JL728"/>
      <c r="JM728"/>
      <c r="JN728"/>
    </row>
    <row r="729" spans="1:274" s="342" customFormat="1" hidden="1" outlineLevel="1" x14ac:dyDescent="0.2">
      <c r="A729" s="19" t="s">
        <v>1061</v>
      </c>
      <c r="B729" s="20"/>
      <c r="AW729" s="244"/>
      <c r="BC729" s="82">
        <f>BC728/AW728-1</f>
        <v>2.8498338969461745E-2</v>
      </c>
      <c r="BI729" s="82">
        <f>BI728/BC728-1</f>
        <v>-0.17922084388267179</v>
      </c>
      <c r="BO729" s="82">
        <f>BO728/BI728-1</f>
        <v>-6.2010945318226041E-2</v>
      </c>
      <c r="BU729" s="82">
        <f>BU728/BO728-1</f>
        <v>3.0888030888030826E-2</v>
      </c>
      <c r="CA729" s="82">
        <f>CA728/BU728-1</f>
        <v>0.172752808988764</v>
      </c>
      <c r="CG729" s="82">
        <f>CG728/CA728-1</f>
        <v>0.26546906187624741</v>
      </c>
      <c r="CM729" s="782">
        <f>CM728/CG728-1</f>
        <v>0.22050473186119879</v>
      </c>
      <c r="CS729" s="782">
        <f>CS728/CM728-1</f>
        <v>0.19591625743086061</v>
      </c>
      <c r="CT729" s="475"/>
      <c r="CY729" s="782">
        <f>CY728/CS728-1</f>
        <v>-1.2102874432677768E-2</v>
      </c>
      <c r="CZ729" s="475"/>
      <c r="DE729" s="783">
        <f>DE728/CY728-1</f>
        <v>9.3415007656967752E-2</v>
      </c>
      <c r="DF729" s="475"/>
      <c r="DK729" s="783">
        <f>DK728/DE728-1</f>
        <v>0.29891956782713081</v>
      </c>
      <c r="DL729" s="475"/>
      <c r="DQ729" s="783">
        <f>DQ728/DK728-1</f>
        <v>7.9328404189771939E-2</v>
      </c>
      <c r="DR729" s="475"/>
      <c r="DW729" s="783">
        <f>DW728/DQ728-1</f>
        <v>1.3272441843870331E-2</v>
      </c>
      <c r="DX729" s="475"/>
      <c r="EC729" s="783">
        <f>EC728/DW728-1</f>
        <v>4.2957746478873293E-2</v>
      </c>
      <c r="ED729" s="475"/>
      <c r="EI729" s="783">
        <f>EI728/EC728-1</f>
        <v>9.3180283592166901E-3</v>
      </c>
      <c r="EJ729" s="475"/>
      <c r="EO729" s="783">
        <f>EO728/EI728-1</f>
        <v>2.5555258228525446E-2</v>
      </c>
      <c r="EP729" s="475"/>
      <c r="EU729" s="783">
        <f>EU728/EO728-1</f>
        <v>3.5485975212002696E-2</v>
      </c>
      <c r="EV729" s="475"/>
      <c r="FA729" s="783">
        <f>FA728/EU728-1</f>
        <v>-0.64454075847297476</v>
      </c>
      <c r="FB729" s="475"/>
      <c r="FG729" s="783">
        <f>FG728/FA728-1</f>
        <v>0</v>
      </c>
      <c r="FH729" s="475"/>
      <c r="FM729" s="783">
        <f>FM728/FG728-1</f>
        <v>0</v>
      </c>
      <c r="FQ729"/>
      <c r="FR729"/>
      <c r="FS729"/>
      <c r="FT729"/>
      <c r="FU729"/>
      <c r="FV729"/>
      <c r="GB729" s="24"/>
      <c r="GC729" s="24"/>
      <c r="GD729" s="24"/>
      <c r="GE729" s="24"/>
      <c r="GF729" s="24"/>
      <c r="GG729" s="24"/>
      <c r="GH729" s="24"/>
      <c r="GI729" s="24"/>
      <c r="GJ729"/>
      <c r="GK729"/>
      <c r="GL729"/>
      <c r="GM729"/>
      <c r="GN729"/>
      <c r="GO729"/>
      <c r="GP729"/>
      <c r="GQ729"/>
      <c r="GR729"/>
      <c r="GS729"/>
      <c r="GT729"/>
      <c r="GU729"/>
      <c r="GV729"/>
      <c r="GW729"/>
      <c r="GX729"/>
      <c r="GY729"/>
      <c r="GZ729"/>
      <c r="HA729"/>
      <c r="HB729"/>
      <c r="HC729"/>
      <c r="HD729"/>
      <c r="HE729"/>
      <c r="HF729"/>
      <c r="HG729"/>
      <c r="HH729"/>
      <c r="HI729"/>
      <c r="HJ729"/>
      <c r="HK729"/>
      <c r="HL729"/>
      <c r="HM729"/>
      <c r="HN729"/>
      <c r="HO729"/>
      <c r="HP729"/>
      <c r="HQ729"/>
      <c r="HR729"/>
      <c r="HS729"/>
      <c r="HT729"/>
      <c r="HU729"/>
      <c r="HV729"/>
      <c r="HW729"/>
      <c r="HX729"/>
      <c r="HY729"/>
      <c r="HZ729"/>
      <c r="IA729"/>
      <c r="IB729"/>
      <c r="IC729"/>
      <c r="ID729"/>
      <c r="IE729"/>
      <c r="IF729"/>
      <c r="IG729"/>
      <c r="IH729"/>
      <c r="II729"/>
      <c r="IJ729"/>
      <c r="IK729"/>
      <c r="IL729"/>
      <c r="IM729"/>
      <c r="IN729"/>
      <c r="IO729"/>
      <c r="IP729"/>
      <c r="IQ729"/>
      <c r="IR729"/>
      <c r="IS729"/>
      <c r="IT729"/>
      <c r="IU729"/>
      <c r="IV729"/>
      <c r="IW729"/>
      <c r="IX729"/>
      <c r="IY729"/>
      <c r="IZ729"/>
      <c r="JA729"/>
      <c r="JB729"/>
      <c r="JC729"/>
      <c r="JD729"/>
      <c r="JE729"/>
      <c r="JF729"/>
      <c r="JG729"/>
      <c r="JH729"/>
      <c r="JI729"/>
      <c r="JJ729"/>
      <c r="JK729"/>
      <c r="JL729"/>
      <c r="JM729"/>
      <c r="JN729"/>
    </row>
    <row r="730" spans="1:274" s="342" customFormat="1" ht="5.25" hidden="1" customHeight="1" outlineLevel="1" x14ac:dyDescent="0.2">
      <c r="B730" s="20"/>
      <c r="CT730" s="475"/>
      <c r="CZ730" s="475"/>
      <c r="DE730" s="475"/>
      <c r="DF730" s="475"/>
      <c r="DK730" s="475"/>
      <c r="DL730" s="475"/>
      <c r="DQ730" s="475"/>
      <c r="DR730" s="475"/>
      <c r="DW730" s="475"/>
      <c r="DX730" s="475"/>
      <c r="EC730" s="475"/>
      <c r="ED730" s="475"/>
      <c r="EI730" s="475"/>
      <c r="EJ730" s="475"/>
      <c r="EO730" s="475"/>
      <c r="EP730" s="475"/>
      <c r="EU730" s="475"/>
      <c r="EV730" s="475"/>
      <c r="FA730" s="475"/>
      <c r="FB730" s="475"/>
      <c r="FG730" s="475"/>
      <c r="FH730" s="475"/>
      <c r="FM730" s="475"/>
      <c r="FQ730"/>
      <c r="FR730"/>
      <c r="FS730"/>
      <c r="FT730"/>
      <c r="FU730"/>
      <c r="FV730"/>
      <c r="GB730" s="24"/>
      <c r="GC730" s="24"/>
      <c r="GD730" s="24"/>
      <c r="GE730" s="24"/>
      <c r="GF730" s="24"/>
      <c r="GG730" s="24"/>
      <c r="GH730" s="24"/>
      <c r="GI730" s="24"/>
      <c r="GJ730"/>
      <c r="GK730"/>
      <c r="GL730"/>
      <c r="GM730"/>
      <c r="GN730"/>
      <c r="GO730"/>
      <c r="GP730"/>
      <c r="GQ730"/>
      <c r="GR730"/>
      <c r="GS730"/>
      <c r="GT730"/>
      <c r="GU730"/>
      <c r="GV730"/>
      <c r="GW730"/>
      <c r="GX730"/>
      <c r="GY730"/>
      <c r="GZ730"/>
      <c r="HA730"/>
      <c r="HB730"/>
      <c r="HC730"/>
      <c r="HD730"/>
      <c r="HE730"/>
      <c r="HF730"/>
      <c r="HG730"/>
      <c r="HH730"/>
      <c r="HI730"/>
      <c r="HJ730"/>
      <c r="HK730"/>
      <c r="HL730"/>
      <c r="HM730"/>
      <c r="HN730"/>
      <c r="HO730"/>
      <c r="HP730"/>
      <c r="HQ730"/>
      <c r="HR730"/>
      <c r="HS730"/>
      <c r="HT730"/>
      <c r="HU730"/>
      <c r="HV730"/>
      <c r="HW730"/>
      <c r="HX730"/>
      <c r="HY730"/>
      <c r="HZ730"/>
      <c r="IA730"/>
      <c r="IB730"/>
      <c r="IC730"/>
      <c r="ID730"/>
      <c r="IE730"/>
      <c r="IF730"/>
      <c r="IG730"/>
      <c r="IH730"/>
      <c r="II730"/>
      <c r="IJ730"/>
      <c r="IK730"/>
      <c r="IL730"/>
      <c r="IM730"/>
      <c r="IN730"/>
      <c r="IO730"/>
      <c r="IP730"/>
      <c r="IQ730"/>
      <c r="IR730"/>
      <c r="IS730"/>
      <c r="IT730"/>
      <c r="IU730"/>
      <c r="IV730"/>
      <c r="IW730"/>
      <c r="IX730"/>
      <c r="IY730"/>
      <c r="IZ730"/>
      <c r="JA730"/>
      <c r="JB730"/>
      <c r="JC730"/>
      <c r="JD730"/>
      <c r="JE730"/>
      <c r="JF730"/>
      <c r="JG730"/>
      <c r="JH730"/>
      <c r="JI730"/>
      <c r="JJ730"/>
      <c r="JK730"/>
      <c r="JL730"/>
      <c r="JM730"/>
      <c r="JN730"/>
    </row>
    <row r="731" spans="1:274" s="342" customFormat="1" hidden="1" outlineLevel="1" x14ac:dyDescent="0.2">
      <c r="A731" s="342" t="s">
        <v>137</v>
      </c>
      <c r="B731" s="20"/>
      <c r="AW731" s="244">
        <f>AW291</f>
        <v>11520.782279476842</v>
      </c>
      <c r="BC731" s="244">
        <f>BC291</f>
        <v>11499.398170911594</v>
      </c>
      <c r="BI731" s="244">
        <f>BI291</f>
        <v>10587.384698593765</v>
      </c>
      <c r="BO731" s="244">
        <f>BO291</f>
        <v>9823.1841872357163</v>
      </c>
      <c r="BU731" s="244">
        <f>BU291</f>
        <v>9572.9526010423833</v>
      </c>
      <c r="BZ731" s="244">
        <f>BZ291</f>
        <v>11445</v>
      </c>
      <c r="CA731" s="244">
        <f>CA291</f>
        <v>11445</v>
      </c>
      <c r="CF731" s="60">
        <f>CF291</f>
        <v>13534</v>
      </c>
      <c r="CG731" s="60">
        <f>CG291</f>
        <v>13534</v>
      </c>
      <c r="CL731" s="60">
        <f>CL291</f>
        <v>16902</v>
      </c>
      <c r="CM731" s="244">
        <f>CM291</f>
        <v>16902</v>
      </c>
      <c r="CR731" s="60">
        <f>CR291</f>
        <v>19465</v>
      </c>
      <c r="CS731" s="244">
        <f>CS291</f>
        <v>19465</v>
      </c>
      <c r="CT731" s="475"/>
      <c r="CX731" s="60">
        <f>CX291</f>
        <v>20000</v>
      </c>
      <c r="CY731" s="244">
        <f>CY291</f>
        <v>20000</v>
      </c>
      <c r="CZ731" s="475"/>
      <c r="DD731" s="60">
        <f>DD291</f>
        <v>24000</v>
      </c>
      <c r="DE731" s="131">
        <f>DE291</f>
        <v>24000</v>
      </c>
      <c r="DF731" s="475"/>
      <c r="DJ731" s="60">
        <f>DJ291</f>
        <v>27000</v>
      </c>
      <c r="DK731" s="131">
        <f>DK291</f>
        <v>27000</v>
      </c>
      <c r="DL731" s="475"/>
      <c r="DP731" s="60">
        <f>DP291</f>
        <v>30000</v>
      </c>
      <c r="DQ731" s="131">
        <f>DQ291</f>
        <v>30000</v>
      </c>
      <c r="DR731" s="475"/>
      <c r="DV731" s="60">
        <f>DV291</f>
        <v>33000</v>
      </c>
      <c r="DW731" s="131">
        <f>DW291</f>
        <v>33000</v>
      </c>
      <c r="DX731" s="475"/>
      <c r="EB731" s="60">
        <f>EB291</f>
        <v>32000</v>
      </c>
      <c r="EC731" s="131">
        <f>EC291</f>
        <v>32000</v>
      </c>
      <c r="ED731" s="475"/>
      <c r="EH731" s="60">
        <f>EH291</f>
        <v>35000</v>
      </c>
      <c r="EI731" s="131">
        <f>EI291</f>
        <v>35000</v>
      </c>
      <c r="EJ731" s="475"/>
      <c r="EN731" s="60">
        <f>EN291</f>
        <v>38000</v>
      </c>
      <c r="EO731" s="131">
        <f>EO291</f>
        <v>38000</v>
      </c>
      <c r="EP731" s="475"/>
      <c r="ET731" s="60">
        <f>ET291</f>
        <v>39000</v>
      </c>
      <c r="EU731" s="131">
        <f>EU291</f>
        <v>39000</v>
      </c>
      <c r="EV731" s="475"/>
      <c r="EZ731" s="60">
        <f>EZ291</f>
        <v>40829.236142923903</v>
      </c>
      <c r="FA731" s="131">
        <f>FA291</f>
        <v>40829.236142923903</v>
      </c>
      <c r="FB731" s="475"/>
      <c r="FF731" s="60">
        <f>FF291</f>
        <v>42592.857550490975</v>
      </c>
      <c r="FG731" s="131">
        <f>FG291</f>
        <v>42592.857550490975</v>
      </c>
      <c r="FH731" s="475"/>
      <c r="FL731" s="60">
        <f>FL291</f>
        <v>44449.753277565149</v>
      </c>
      <c r="FM731" s="131">
        <f>FM291</f>
        <v>44449.753277565149</v>
      </c>
      <c r="FQ731"/>
      <c r="FR731"/>
      <c r="FS731"/>
      <c r="FT731"/>
      <c r="FU731"/>
      <c r="FV731"/>
      <c r="GB731" s="24"/>
      <c r="GC731" s="24"/>
      <c r="GD731" s="24"/>
      <c r="GE731" s="24"/>
      <c r="GF731" s="24"/>
      <c r="GG731" s="24"/>
      <c r="GH731" s="24"/>
      <c r="GI731" s="24"/>
      <c r="GJ731"/>
      <c r="GK731"/>
      <c r="GL731"/>
      <c r="GM731"/>
      <c r="GN731"/>
      <c r="GO731"/>
      <c r="GP731"/>
      <c r="GQ731"/>
      <c r="GR731"/>
      <c r="GS731"/>
      <c r="GT731"/>
      <c r="GU731"/>
      <c r="GV731"/>
      <c r="GW731"/>
      <c r="GX731"/>
      <c r="GY731"/>
      <c r="GZ731"/>
      <c r="HA731"/>
      <c r="HB731"/>
      <c r="HC731"/>
      <c r="HD731"/>
      <c r="HE731"/>
      <c r="HF731"/>
      <c r="HG731"/>
      <c r="HH731"/>
      <c r="HI731"/>
      <c r="HJ731"/>
      <c r="HK731"/>
      <c r="HL731"/>
      <c r="HM731"/>
      <c r="HN731"/>
      <c r="HO731"/>
      <c r="HP731"/>
      <c r="HQ731"/>
      <c r="HR731"/>
      <c r="HS731"/>
      <c r="HT731"/>
      <c r="HU731"/>
      <c r="HV731"/>
      <c r="HW731"/>
      <c r="HX731"/>
      <c r="HY731"/>
      <c r="HZ731"/>
      <c r="IA731"/>
      <c r="IB731"/>
      <c r="IC731"/>
      <c r="ID731"/>
      <c r="IE731"/>
      <c r="IF731"/>
      <c r="IG731"/>
      <c r="IH731"/>
      <c r="II731"/>
      <c r="IJ731"/>
      <c r="IK731"/>
      <c r="IL731"/>
      <c r="IM731"/>
      <c r="IN731"/>
      <c r="IO731"/>
      <c r="IP731"/>
      <c r="IQ731"/>
      <c r="IR731"/>
      <c r="IS731"/>
      <c r="IT731"/>
      <c r="IU731"/>
      <c r="IV731"/>
      <c r="IW731"/>
      <c r="IX731"/>
      <c r="IY731"/>
      <c r="IZ731"/>
      <c r="JA731"/>
      <c r="JB731"/>
      <c r="JC731"/>
      <c r="JD731"/>
      <c r="JE731"/>
      <c r="JF731"/>
      <c r="JG731"/>
      <c r="JH731"/>
      <c r="JI731"/>
      <c r="JJ731"/>
      <c r="JK731"/>
      <c r="JL731"/>
      <c r="JM731"/>
      <c r="JN731"/>
    </row>
    <row r="732" spans="1:274" s="342" customFormat="1" hidden="1" outlineLevel="1" x14ac:dyDescent="0.2">
      <c r="A732" s="19" t="s">
        <v>1061</v>
      </c>
      <c r="B732" s="20"/>
      <c r="AW732" s="244"/>
      <c r="BC732" s="95">
        <f>BC731/AW731-1</f>
        <v>-1.8561333810934721E-3</v>
      </c>
      <c r="BD732" s="19"/>
      <c r="BE732" s="19"/>
      <c r="BF732" s="19"/>
      <c r="BG732" s="19"/>
      <c r="BH732" s="19"/>
      <c r="BI732" s="95">
        <f>BI731/BC731-1</f>
        <v>-7.9309669842098418E-2</v>
      </c>
      <c r="BJ732" s="19"/>
      <c r="BK732" s="19"/>
      <c r="BL732" s="19"/>
      <c r="BM732" s="19"/>
      <c r="BN732" s="19"/>
      <c r="BO732" s="95">
        <f>BO731/BI731-1</f>
        <v>-7.2180291272456731E-2</v>
      </c>
      <c r="BP732" s="19"/>
      <c r="BQ732" s="19"/>
      <c r="BR732" s="19"/>
      <c r="BS732" s="19"/>
      <c r="BT732" s="19"/>
      <c r="BU732" s="95">
        <f>BU731/BO731-1</f>
        <v>-2.5473571646807192E-2</v>
      </c>
      <c r="BV732" s="19"/>
      <c r="BW732" s="19"/>
      <c r="BX732" s="19"/>
      <c r="BY732" s="19"/>
      <c r="BZ732" s="19"/>
      <c r="CA732" s="95">
        <f>CA731/BU731-1</f>
        <v>0.19555590390719924</v>
      </c>
      <c r="CB732" s="19"/>
      <c r="CC732" s="19"/>
      <c r="CD732" s="19"/>
      <c r="CE732" s="19"/>
      <c r="CF732" s="19"/>
      <c r="CG732" s="95">
        <f>CG731/CA731-1</f>
        <v>0.18252512013979905</v>
      </c>
      <c r="CH732" s="19"/>
      <c r="CI732" s="19"/>
      <c r="CJ732" s="19"/>
      <c r="CK732" s="19"/>
      <c r="CL732" s="19"/>
      <c r="CM732" s="784">
        <f>CM731/CG731-1</f>
        <v>0.24885473621989074</v>
      </c>
      <c r="CN732" s="32"/>
      <c r="CO732" s="32"/>
      <c r="CP732" s="32"/>
      <c r="CQ732" s="32"/>
      <c r="CR732" s="32"/>
      <c r="CS732" s="784">
        <f>CS731/CM731-1</f>
        <v>0.15163885930659093</v>
      </c>
      <c r="CT732" s="102"/>
      <c r="CU732" s="32"/>
      <c r="CV732" s="32"/>
      <c r="CW732" s="32"/>
      <c r="CX732" s="32"/>
      <c r="CY732" s="784">
        <f>CY731/CS731-1</f>
        <v>2.7485229899820274E-2</v>
      </c>
      <c r="CZ732" s="102"/>
      <c r="DA732" s="32"/>
      <c r="DB732" s="32"/>
      <c r="DC732" s="32"/>
      <c r="DD732" s="32"/>
      <c r="DE732" s="161">
        <f>DE731/CY731-1</f>
        <v>0.19999999999999996</v>
      </c>
      <c r="DF732" s="102"/>
      <c r="DG732" s="32"/>
      <c r="DH732" s="32"/>
      <c r="DI732" s="32"/>
      <c r="DJ732" s="32"/>
      <c r="DK732" s="161">
        <f>DK731/DE731-1</f>
        <v>0.125</v>
      </c>
      <c r="DL732" s="102"/>
      <c r="DM732" s="32"/>
      <c r="DN732" s="32"/>
      <c r="DO732" s="32"/>
      <c r="DP732" s="32"/>
      <c r="DQ732" s="161">
        <f>DQ731/DK731-1</f>
        <v>0.11111111111111116</v>
      </c>
      <c r="DR732" s="102"/>
      <c r="DS732" s="32"/>
      <c r="DT732" s="32"/>
      <c r="DU732" s="32"/>
      <c r="DV732" s="32"/>
      <c r="DW732" s="161">
        <f>DW731/DQ731-1</f>
        <v>0.10000000000000009</v>
      </c>
      <c r="DX732" s="102"/>
      <c r="DY732" s="32"/>
      <c r="DZ732" s="32"/>
      <c r="EA732" s="32"/>
      <c r="EB732" s="32"/>
      <c r="EC732" s="161">
        <f>EC731/DW731-1</f>
        <v>-3.0303030303030276E-2</v>
      </c>
      <c r="ED732" s="102"/>
      <c r="EE732" s="32"/>
      <c r="EF732" s="32"/>
      <c r="EG732" s="32"/>
      <c r="EH732" s="32"/>
      <c r="EI732" s="161">
        <f>EI731/EC731-1</f>
        <v>9.375E-2</v>
      </c>
      <c r="EJ732" s="102"/>
      <c r="EK732" s="32"/>
      <c r="EL732" s="32"/>
      <c r="EM732" s="32"/>
      <c r="EN732" s="32"/>
      <c r="EO732" s="161">
        <f>EO731/EI731-1</f>
        <v>8.5714285714285632E-2</v>
      </c>
      <c r="EP732" s="102"/>
      <c r="EQ732" s="32"/>
      <c r="ER732" s="32"/>
      <c r="ES732" s="32"/>
      <c r="ET732" s="32"/>
      <c r="EU732" s="161">
        <f>EU731/EO731-1</f>
        <v>2.6315789473684292E-2</v>
      </c>
      <c r="EV732" s="102"/>
      <c r="EW732" s="32"/>
      <c r="EX732" s="32"/>
      <c r="EY732" s="32"/>
      <c r="EZ732" s="32"/>
      <c r="FA732" s="161">
        <f>FA731/EU731-1</f>
        <v>4.6903490844202533E-2</v>
      </c>
      <c r="FB732" s="102"/>
      <c r="FC732" s="32"/>
      <c r="FD732" s="32"/>
      <c r="FE732" s="32"/>
      <c r="FF732" s="32"/>
      <c r="FG732" s="161">
        <f>FG731/FA731-1</f>
        <v>4.3195062513378124E-2</v>
      </c>
      <c r="FH732" s="102"/>
      <c r="FI732" s="32"/>
      <c r="FJ732" s="32"/>
      <c r="FK732" s="32"/>
      <c r="FL732" s="32"/>
      <c r="FM732" s="161">
        <f>FM731/FG731-1</f>
        <v>4.3596411085425446E-2</v>
      </c>
      <c r="FQ732"/>
      <c r="FR732"/>
      <c r="FS732"/>
      <c r="FT732"/>
      <c r="FU732"/>
      <c r="FV732"/>
      <c r="GB732" s="24"/>
      <c r="GC732" s="24"/>
      <c r="GD732" s="24"/>
      <c r="GE732" s="24"/>
      <c r="GF732" s="24"/>
      <c r="GG732" s="24"/>
      <c r="GH732" s="24"/>
      <c r="GI732" s="24"/>
      <c r="GJ732"/>
      <c r="GK732"/>
      <c r="GL732"/>
      <c r="GM732"/>
      <c r="GN732"/>
      <c r="GO732"/>
      <c r="GP732"/>
      <c r="GQ732"/>
      <c r="GR732"/>
      <c r="GS732"/>
      <c r="GT732"/>
      <c r="GU732"/>
      <c r="GV732"/>
      <c r="GW732"/>
      <c r="GX732"/>
      <c r="GY732"/>
      <c r="GZ732"/>
      <c r="HA732"/>
      <c r="HB732"/>
      <c r="HC732"/>
      <c r="HD732"/>
      <c r="HE732"/>
      <c r="HF732"/>
      <c r="HG732"/>
      <c r="HH732"/>
      <c r="HI732"/>
      <c r="HJ732"/>
      <c r="HK732"/>
      <c r="HL732"/>
      <c r="HM732"/>
      <c r="HN732"/>
      <c r="HO732"/>
      <c r="HP732"/>
      <c r="HQ732"/>
      <c r="HR732"/>
      <c r="HS732"/>
      <c r="HT732"/>
      <c r="HU732"/>
      <c r="HV732"/>
      <c r="HW732"/>
      <c r="HX732"/>
      <c r="HY732"/>
      <c r="HZ732"/>
      <c r="IA732"/>
      <c r="IB732"/>
      <c r="IC732"/>
      <c r="ID732"/>
      <c r="IE732"/>
      <c r="IF732"/>
      <c r="IG732"/>
      <c r="IH732"/>
      <c r="II732"/>
      <c r="IJ732"/>
      <c r="IK732"/>
      <c r="IL732"/>
      <c r="IM732"/>
      <c r="IN732"/>
      <c r="IO732"/>
      <c r="IP732"/>
      <c r="IQ732"/>
      <c r="IR732"/>
      <c r="IS732"/>
      <c r="IT732"/>
      <c r="IU732"/>
      <c r="IV732"/>
      <c r="IW732"/>
      <c r="IX732"/>
      <c r="IY732"/>
      <c r="IZ732"/>
      <c r="JA732"/>
      <c r="JB732"/>
      <c r="JC732"/>
      <c r="JD732"/>
      <c r="JE732"/>
      <c r="JF732"/>
      <c r="JG732"/>
      <c r="JH732"/>
      <c r="JI732"/>
      <c r="JJ732"/>
      <c r="JK732"/>
      <c r="JL732"/>
      <c r="JM732"/>
      <c r="JN732"/>
    </row>
    <row r="733" spans="1:274" s="342" customFormat="1" ht="4.5" hidden="1" customHeight="1" outlineLevel="1" x14ac:dyDescent="0.2">
      <c r="B733" s="20"/>
      <c r="AW733" s="244"/>
      <c r="BC733" s="244"/>
      <c r="BI733" s="244"/>
      <c r="BO733" s="244"/>
      <c r="BU733" s="244"/>
      <c r="CA733" s="43"/>
      <c r="CG733" s="49"/>
      <c r="CM733" s="244"/>
      <c r="CS733" s="244"/>
      <c r="CT733" s="475"/>
      <c r="CY733" s="244"/>
      <c r="CZ733" s="475"/>
      <c r="DE733" s="131"/>
      <c r="DF733" s="475"/>
      <c r="DK733" s="131"/>
      <c r="DL733" s="475"/>
      <c r="DQ733" s="131"/>
      <c r="DR733" s="475"/>
      <c r="DW733" s="131"/>
      <c r="DX733" s="475"/>
      <c r="EC733" s="131"/>
      <c r="ED733" s="475"/>
      <c r="EI733" s="131"/>
      <c r="EJ733" s="475"/>
      <c r="EO733" s="131"/>
      <c r="EP733" s="475"/>
      <c r="EU733" s="131"/>
      <c r="EV733" s="475"/>
      <c r="FA733" s="131"/>
      <c r="FB733" s="475"/>
      <c r="FG733" s="131"/>
      <c r="FH733" s="475"/>
      <c r="FM733" s="131"/>
      <c r="FQ733"/>
      <c r="FR733"/>
      <c r="FS733"/>
      <c r="FT733"/>
      <c r="FU733"/>
      <c r="FV733"/>
      <c r="GB733" s="24"/>
      <c r="GC733" s="24"/>
      <c r="GD733" s="24"/>
      <c r="GE733" s="24"/>
      <c r="GF733" s="24"/>
      <c r="GG733" s="24"/>
      <c r="GH733" s="24"/>
      <c r="GI733" s="24"/>
      <c r="GJ733"/>
      <c r="GK733"/>
      <c r="GL733"/>
      <c r="GM733"/>
      <c r="GN733"/>
      <c r="GO733"/>
      <c r="GP733"/>
      <c r="GQ733"/>
      <c r="GR733"/>
      <c r="GS733"/>
      <c r="GT733"/>
      <c r="GU733"/>
      <c r="GV733"/>
      <c r="GW733"/>
      <c r="GX733"/>
      <c r="GY733"/>
      <c r="GZ733"/>
      <c r="HA733"/>
      <c r="HB733"/>
      <c r="HC733"/>
      <c r="HD733"/>
      <c r="HE733"/>
      <c r="HF733"/>
      <c r="HG733"/>
      <c r="HH733"/>
      <c r="HI733"/>
      <c r="HJ733"/>
      <c r="HK733"/>
      <c r="HL733"/>
      <c r="HM733"/>
      <c r="HN733"/>
      <c r="HO733"/>
      <c r="HP733"/>
      <c r="HQ733"/>
      <c r="HR733"/>
      <c r="HS733"/>
      <c r="HT733"/>
      <c r="HU733"/>
      <c r="HV733"/>
      <c r="HW733"/>
      <c r="HX733"/>
      <c r="HY733"/>
      <c r="HZ733"/>
      <c r="IA733"/>
      <c r="IB733"/>
      <c r="IC733"/>
      <c r="ID733"/>
      <c r="IE733"/>
      <c r="IF733"/>
      <c r="IG733"/>
      <c r="IH733"/>
      <c r="II733"/>
      <c r="IJ733"/>
      <c r="IK733"/>
      <c r="IL733"/>
      <c r="IM733"/>
      <c r="IN733"/>
      <c r="IO733"/>
      <c r="IP733"/>
      <c r="IQ733"/>
      <c r="IR733"/>
      <c r="IS733"/>
      <c r="IT733"/>
      <c r="IU733"/>
      <c r="IV733"/>
      <c r="IW733"/>
      <c r="IX733"/>
      <c r="IY733"/>
      <c r="IZ733"/>
      <c r="JA733"/>
      <c r="JB733"/>
      <c r="JC733"/>
      <c r="JD733"/>
      <c r="JE733"/>
      <c r="JF733"/>
      <c r="JG733"/>
      <c r="JH733"/>
      <c r="JI733"/>
      <c r="JJ733"/>
      <c r="JK733"/>
      <c r="JL733"/>
      <c r="JM733"/>
      <c r="JN733"/>
    </row>
    <row r="734" spans="1:274" s="342" customFormat="1" ht="12.75" hidden="1" customHeight="1" outlineLevel="1" x14ac:dyDescent="0.2">
      <c r="A734" s="342" t="s">
        <v>138</v>
      </c>
      <c r="B734" s="20"/>
      <c r="AW734" s="177">
        <f>AW721/AW731*1000000</f>
        <v>374543.05578596046</v>
      </c>
      <c r="AX734" s="177"/>
      <c r="AY734" s="177"/>
      <c r="AZ734" s="177"/>
      <c r="BA734" s="177"/>
      <c r="BB734" s="177"/>
      <c r="BC734" s="177">
        <f>BC721/BC731*1000000</f>
        <v>398619.38267301698</v>
      </c>
      <c r="BD734" s="177"/>
      <c r="BE734" s="177"/>
      <c r="BF734" s="177"/>
      <c r="BG734" s="177"/>
      <c r="BH734" s="177"/>
      <c r="BI734" s="177">
        <f>BI721/BI731*1000000</f>
        <v>325050.0570227789</v>
      </c>
      <c r="BJ734" s="177"/>
      <c r="BK734" s="177"/>
      <c r="BL734" s="177"/>
      <c r="BM734" s="177"/>
      <c r="BN734" s="177"/>
      <c r="BO734" s="177">
        <f>BO721/BO731*1000000</f>
        <v>332885.94998035883</v>
      </c>
      <c r="BP734" s="177"/>
      <c r="BQ734" s="177"/>
      <c r="BR734" s="177"/>
      <c r="BS734" s="177"/>
      <c r="BT734" s="177"/>
      <c r="BU734" s="177">
        <f>BU721/BU731*1000000</f>
        <v>369896.32640763588</v>
      </c>
      <c r="BV734" s="177"/>
      <c r="BW734" s="177"/>
      <c r="BX734" s="177"/>
      <c r="BY734" s="177"/>
      <c r="BZ734" s="177">
        <f>BZ721/BZ731*1000000</f>
        <v>140585.40847531671</v>
      </c>
      <c r="CA734" s="177">
        <f>CA721/CA731*1000000</f>
        <v>357361.29314110964</v>
      </c>
      <c r="CB734" s="177"/>
      <c r="CC734" s="177"/>
      <c r="CD734" s="177"/>
      <c r="CE734" s="177"/>
      <c r="CF734" s="178">
        <f>CF721/CF731*1000000</f>
        <v>156716.41791044778</v>
      </c>
      <c r="CG734" s="178">
        <f>CG721/CG731*1000000</f>
        <v>362376.23762376234</v>
      </c>
      <c r="CH734" s="177"/>
      <c r="CI734" s="177"/>
      <c r="CJ734" s="177"/>
      <c r="CK734" s="177"/>
      <c r="CL734" s="178">
        <f>CL721/CL731*1000000</f>
        <v>146787.36244231451</v>
      </c>
      <c r="CM734" s="177">
        <f>CM721/CM731*1000000</f>
        <v>348006.15311797423</v>
      </c>
      <c r="CN734" s="177"/>
      <c r="CO734" s="177"/>
      <c r="CP734" s="177"/>
      <c r="CQ734" s="177"/>
      <c r="CR734" s="178">
        <f>CR721/CR731*1000000</f>
        <v>161520.67814025172</v>
      </c>
      <c r="CS734" s="177">
        <f>CS721/CS731*1000000</f>
        <v>386077.57513485738</v>
      </c>
      <c r="CT734" s="785"/>
      <c r="CU734" s="177"/>
      <c r="CV734" s="177"/>
      <c r="CW734" s="177"/>
      <c r="CX734" s="178">
        <f>CX721/CX731*1000000</f>
        <v>137200</v>
      </c>
      <c r="CY734" s="177">
        <f>CY721/CY731*1000000</f>
        <v>356050</v>
      </c>
      <c r="CZ734" s="785"/>
      <c r="DA734" s="177"/>
      <c r="DB734" s="177"/>
      <c r="DC734" s="177"/>
      <c r="DD734" s="178">
        <f>DD721/DD731*1000000</f>
        <v>130624.99999999999</v>
      </c>
      <c r="DE734" s="785">
        <f>DE721/DE731*1000000</f>
        <v>313933.33333333331</v>
      </c>
      <c r="DF734" s="785"/>
      <c r="DG734" s="177"/>
      <c r="DH734" s="177"/>
      <c r="DI734" s="177"/>
      <c r="DJ734" s="178">
        <f>DJ721/DJ731*1000000</f>
        <v>138370.37037037036</v>
      </c>
      <c r="DK734" s="785">
        <f>DK721/DK731*1000000</f>
        <v>342037.03703703702</v>
      </c>
      <c r="DL734" s="785"/>
      <c r="DM734" s="177"/>
      <c r="DN734" s="177"/>
      <c r="DO734" s="177"/>
      <c r="DP734" s="178">
        <f>DP721/DP731*1000000</f>
        <v>133566.66666666666</v>
      </c>
      <c r="DQ734" s="785">
        <f>DQ721/DQ731*1000000</f>
        <v>330900</v>
      </c>
      <c r="DR734" s="785"/>
      <c r="DS734" s="177"/>
      <c r="DT734" s="177"/>
      <c r="DU734" s="177"/>
      <c r="DV734" s="178">
        <f>DV721/DV731*1000000</f>
        <v>125666.66666666667</v>
      </c>
      <c r="DW734" s="785">
        <f>DW721/DW731*1000000</f>
        <v>327939.39393939392</v>
      </c>
      <c r="DX734" s="785"/>
      <c r="DY734" s="177"/>
      <c r="DZ734" s="177"/>
      <c r="EA734" s="177"/>
      <c r="EB734" s="178">
        <f>EB721/EB731*1000000</f>
        <v>132000</v>
      </c>
      <c r="EC734" s="785">
        <f>EC721/EC731*1000000</f>
        <v>344062.5</v>
      </c>
      <c r="ED734" s="785"/>
      <c r="EE734" s="177"/>
      <c r="EF734" s="177"/>
      <c r="EG734" s="177"/>
      <c r="EH734" s="178">
        <f>EH721/EH731*1000000</f>
        <v>106200</v>
      </c>
      <c r="EI734" s="785">
        <f>EI721/EI731*1000000</f>
        <v>304000</v>
      </c>
      <c r="EJ734" s="785"/>
      <c r="EK734" s="177"/>
      <c r="EL734" s="177"/>
      <c r="EM734" s="177"/>
      <c r="EN734" s="178">
        <f>EN721/EN731*1000000</f>
        <v>95421.052631578947</v>
      </c>
      <c r="EO734" s="785">
        <f>EO721/EO731*1000000</f>
        <v>266710.52631578944</v>
      </c>
      <c r="EP734" s="785"/>
      <c r="EQ734" s="1789"/>
      <c r="ER734" s="1789"/>
      <c r="ES734" s="1789"/>
      <c r="ET734" s="1790">
        <f>ET721/ET731*1000000</f>
        <v>103487.17948717948</v>
      </c>
      <c r="EU734" s="785">
        <f>EU721/EU731*1000000</f>
        <v>286102.56410256412</v>
      </c>
      <c r="EV734" s="1791"/>
      <c r="EW734" s="1789"/>
      <c r="EX734" s="1789"/>
      <c r="EY734" s="1789"/>
      <c r="EZ734" s="1790">
        <f>EZ721/EZ731*1000000</f>
        <v>101591.78549116386</v>
      </c>
      <c r="FA734" s="1791">
        <f>FA721/FA731*1000000</f>
        <v>304828.5046634897</v>
      </c>
      <c r="FB734" s="1791"/>
      <c r="FC734" s="1789"/>
      <c r="FD734" s="1789"/>
      <c r="FE734" s="1789"/>
      <c r="FF734" s="1790">
        <f>FF721/FF731*1000000</f>
        <v>102830.87240173941</v>
      </c>
      <c r="FG734" s="1791">
        <f>FG721/FG731*1000000</f>
        <v>319342.33301618928</v>
      </c>
      <c r="FH734" s="1791"/>
      <c r="FI734" s="1789"/>
      <c r="FJ734" s="1789"/>
      <c r="FK734" s="1789"/>
      <c r="FL734" s="1790">
        <f>FL721/FL731*1000000</f>
        <v>104766.57039962518</v>
      </c>
      <c r="FM734" s="1791">
        <f>FM721/FM731*1000000</f>
        <v>335349.39739527227</v>
      </c>
      <c r="FQ734"/>
      <c r="FR734"/>
      <c r="FS734"/>
      <c r="FT734"/>
      <c r="FU734"/>
      <c r="FV734"/>
      <c r="GB734" s="24"/>
      <c r="GC734" s="24"/>
      <c r="GD734" s="24"/>
      <c r="GE734" s="24"/>
      <c r="GF734" s="24"/>
      <c r="GG734" s="24"/>
      <c r="GH734" s="24"/>
      <c r="GI734" s="24"/>
      <c r="GJ734"/>
      <c r="GK734"/>
      <c r="GL734"/>
      <c r="GM734"/>
      <c r="GN734"/>
      <c r="GO734"/>
      <c r="GP734"/>
      <c r="GQ734"/>
      <c r="GR734"/>
      <c r="GS734"/>
      <c r="GT734"/>
      <c r="GU734"/>
      <c r="GV734"/>
      <c r="GW734"/>
      <c r="GX734"/>
      <c r="GY734"/>
      <c r="GZ734"/>
      <c r="HA734"/>
      <c r="HB734"/>
      <c r="HC734"/>
      <c r="HD734"/>
      <c r="HE734"/>
      <c r="HF734"/>
      <c r="HG734"/>
      <c r="HH734"/>
      <c r="HI734"/>
      <c r="HJ734"/>
      <c r="HK734"/>
      <c r="HL734"/>
      <c r="HM734"/>
      <c r="HN734"/>
      <c r="HO734"/>
      <c r="HP734"/>
      <c r="HQ734"/>
      <c r="HR734"/>
      <c r="HS734"/>
      <c r="HT734"/>
      <c r="HU734"/>
      <c r="HV734"/>
      <c r="HW734"/>
      <c r="HX734"/>
      <c r="HY734"/>
      <c r="HZ734"/>
      <c r="IA734"/>
      <c r="IB734"/>
      <c r="IC734"/>
      <c r="ID734"/>
      <c r="IE734"/>
      <c r="IF734"/>
      <c r="IG734"/>
      <c r="IH734"/>
      <c r="II734"/>
      <c r="IJ734"/>
      <c r="IK734"/>
      <c r="IL734"/>
      <c r="IM734"/>
      <c r="IN734"/>
      <c r="IO734"/>
      <c r="IP734"/>
      <c r="IQ734"/>
      <c r="IR734"/>
      <c r="IS734"/>
      <c r="IT734"/>
      <c r="IU734"/>
      <c r="IV734"/>
      <c r="IW734"/>
      <c r="IX734"/>
      <c r="IY734"/>
      <c r="IZ734"/>
      <c r="JA734"/>
      <c r="JB734"/>
      <c r="JC734"/>
      <c r="JD734"/>
      <c r="JE734"/>
      <c r="JF734"/>
      <c r="JG734"/>
      <c r="JH734"/>
      <c r="JI734"/>
      <c r="JJ734"/>
      <c r="JK734"/>
      <c r="JL734"/>
      <c r="JM734"/>
      <c r="JN734"/>
    </row>
    <row r="735" spans="1:274" s="342" customFormat="1" hidden="1" outlineLevel="1" x14ac:dyDescent="0.2">
      <c r="A735" s="342" t="s">
        <v>139</v>
      </c>
      <c r="B735" s="20"/>
      <c r="AW735" s="177">
        <f>AW728/AW731*1000000</f>
        <v>227132.92695943787</v>
      </c>
      <c r="AX735" s="177"/>
      <c r="AY735" s="177"/>
      <c r="AZ735" s="177"/>
      <c r="BA735" s="177"/>
      <c r="BB735" s="177"/>
      <c r="BC735" s="177">
        <f>BC728/BC731*1000000</f>
        <v>234040.24801992316</v>
      </c>
      <c r="BD735" s="177"/>
      <c r="BE735" s="177"/>
      <c r="BF735" s="177"/>
      <c r="BG735" s="177"/>
      <c r="BH735" s="177"/>
      <c r="BI735" s="177">
        <f>BI728/BI731*1000000</f>
        <v>208642.74444409306</v>
      </c>
      <c r="BJ735" s="177"/>
      <c r="BK735" s="177"/>
      <c r="BL735" s="177"/>
      <c r="BM735" s="177"/>
      <c r="BN735" s="177"/>
      <c r="BO735" s="177">
        <f>BO728/BO731*1000000</f>
        <v>210929.56830559738</v>
      </c>
      <c r="BP735" s="177"/>
      <c r="BQ735" s="177"/>
      <c r="BR735" s="177"/>
      <c r="BS735" s="177"/>
      <c r="BT735" s="177"/>
      <c r="BU735" s="177">
        <f>BU728/BU731*1000000</f>
        <v>223128.65100443666</v>
      </c>
      <c r="BV735" s="177"/>
      <c r="BW735" s="177"/>
      <c r="BX735" s="177"/>
      <c r="BY735" s="177"/>
      <c r="BZ735" s="177">
        <f>BZ728/BZ731*1000000</f>
        <v>70161.642638706864</v>
      </c>
      <c r="CA735" s="177">
        <f>CA728/CA731*1000000</f>
        <v>218872.87024901703</v>
      </c>
      <c r="CB735" s="177"/>
      <c r="CC735" s="177"/>
      <c r="CD735" s="177"/>
      <c r="CE735" s="177"/>
      <c r="CF735" s="178">
        <f>CF728/CF731*1000000</f>
        <v>81129.008423230378</v>
      </c>
      <c r="CG735" s="178">
        <f>CG728/CG731*1000000</f>
        <v>234224.91502881632</v>
      </c>
      <c r="CH735" s="177"/>
      <c r="CI735" s="177"/>
      <c r="CJ735" s="177"/>
      <c r="CK735" s="177"/>
      <c r="CL735" s="178">
        <f>CL728/CL731*1000000</f>
        <v>74784.049224943796</v>
      </c>
      <c r="CM735" s="177">
        <f>CM728/CM731*1000000</f>
        <v>228907.82155957876</v>
      </c>
      <c r="CN735" s="177"/>
      <c r="CO735" s="177"/>
      <c r="CP735" s="177"/>
      <c r="CQ735" s="177"/>
      <c r="CR735" s="178">
        <f>CR728/CR731*1000000</f>
        <v>77729.257641921402</v>
      </c>
      <c r="CS735" s="177">
        <f>CS728/CS731*1000000</f>
        <v>237708.7079373234</v>
      </c>
      <c r="CT735" s="785"/>
      <c r="CU735" s="177"/>
      <c r="CV735" s="177"/>
      <c r="CW735" s="177"/>
      <c r="CX735" s="178">
        <f>CX728/CX731*1000000</f>
        <v>65500</v>
      </c>
      <c r="CY735" s="177">
        <f>CY728/CY731*1000000</f>
        <v>228550</v>
      </c>
      <c r="CZ735" s="785"/>
      <c r="DA735" s="177"/>
      <c r="DB735" s="177"/>
      <c r="DC735" s="177"/>
      <c r="DD735" s="178">
        <f>DD728/DD731*1000000</f>
        <v>71708.333333333328</v>
      </c>
      <c r="DE735" s="785">
        <f>DE728/DE731*1000000</f>
        <v>208250</v>
      </c>
      <c r="DF735" s="785"/>
      <c r="DG735" s="177"/>
      <c r="DH735" s="177"/>
      <c r="DI735" s="177"/>
      <c r="DJ735" s="178">
        <f>DJ728/DJ731*1000000</f>
        <v>76851.851851851854</v>
      </c>
      <c r="DK735" s="785">
        <f>DK728/DK731*1000000</f>
        <v>240444.44444444444</v>
      </c>
      <c r="DL735" s="785"/>
      <c r="DM735" s="177"/>
      <c r="DN735" s="177"/>
      <c r="DO735" s="177"/>
      <c r="DP735" s="178">
        <f>DP728/DP731*1000000</f>
        <v>68833.333333333328</v>
      </c>
      <c r="DQ735" s="785">
        <f>DQ728/DQ731*1000000</f>
        <v>233566.66666666669</v>
      </c>
      <c r="DR735" s="785"/>
      <c r="DS735" s="177"/>
      <c r="DT735" s="177"/>
      <c r="DU735" s="177"/>
      <c r="DV735" s="178">
        <f>DV728/DV731*1000000</f>
        <v>63393.939393939392</v>
      </c>
      <c r="DW735" s="785">
        <f>DW728/DW731*1000000</f>
        <v>215151.51515151514</v>
      </c>
      <c r="DX735" s="785"/>
      <c r="DY735" s="177"/>
      <c r="DZ735" s="177"/>
      <c r="EA735" s="177"/>
      <c r="EB735" s="178">
        <f>EB728/EB731*1000000</f>
        <v>68593.75</v>
      </c>
      <c r="EC735" s="785">
        <f>EC728/EC731*1000000</f>
        <v>231406.25</v>
      </c>
      <c r="ED735" s="785"/>
      <c r="EE735" s="177"/>
      <c r="EF735" s="177"/>
      <c r="EG735" s="177"/>
      <c r="EH735" s="178">
        <f>EH728/EH731*1000000</f>
        <v>61800</v>
      </c>
      <c r="EI735" s="785">
        <f>EI728/EI731*1000000</f>
        <v>213542.85714285716</v>
      </c>
      <c r="EJ735" s="785"/>
      <c r="EK735" s="177"/>
      <c r="EL735" s="177"/>
      <c r="EM735" s="177"/>
      <c r="EN735" s="178">
        <f>EN728/EN731*1000000</f>
        <v>59184.210526315794</v>
      </c>
      <c r="EO735" s="785">
        <f>EO728/EO731*1000000</f>
        <v>201710.52631578947</v>
      </c>
      <c r="EP735" s="785"/>
      <c r="EQ735" s="1789"/>
      <c r="ER735" s="1789"/>
      <c r="ES735" s="1789"/>
      <c r="ET735" s="1790">
        <f>ET728/ET731*1000000</f>
        <v>18307.692307692305</v>
      </c>
      <c r="EU735" s="785">
        <f>EU728/EU731*1000000</f>
        <v>203512.82051282053</v>
      </c>
      <c r="EV735" s="1791"/>
      <c r="EW735" s="1789"/>
      <c r="EX735" s="1789"/>
      <c r="EY735" s="1789"/>
      <c r="EZ735" s="1790">
        <f>EZ728/EZ731*1000000</f>
        <v>17837.218346447509</v>
      </c>
      <c r="FA735" s="1791">
        <f>FA728/FA731*1000000</f>
        <v>69099.504828452555</v>
      </c>
      <c r="FB735" s="1791"/>
      <c r="FC735" s="1789"/>
      <c r="FD735" s="1789"/>
      <c r="FE735" s="1789"/>
      <c r="FF735" s="1790">
        <f>FF728/FF731*1000000</f>
        <v>17098.641459701852</v>
      </c>
      <c r="FG735" s="1791">
        <f>FG728/FG731*1000000</f>
        <v>66238.335773916115</v>
      </c>
      <c r="FH735" s="1791"/>
      <c r="FI735" s="1789"/>
      <c r="FJ735" s="1789"/>
      <c r="FK735" s="1789"/>
      <c r="FL735" s="1790">
        <f>FL728/FL731*1000000</f>
        <v>16384.342910798117</v>
      </c>
      <c r="FM735" s="1791">
        <f>FM728/FM731*1000000</f>
        <v>63471.218442599704</v>
      </c>
      <c r="FQ735"/>
      <c r="FR735"/>
      <c r="FS735"/>
      <c r="FT735"/>
      <c r="FU735"/>
      <c r="FV735"/>
      <c r="GB735" s="24"/>
      <c r="GC735" s="24"/>
      <c r="GD735" s="24"/>
      <c r="GE735" s="24"/>
      <c r="GF735" s="24"/>
      <c r="GG735" s="24"/>
      <c r="GH735" s="24"/>
      <c r="GI735" s="24"/>
      <c r="GJ735"/>
      <c r="GK735"/>
      <c r="GL735"/>
      <c r="GM735"/>
      <c r="GN735"/>
      <c r="GO735"/>
      <c r="GP735"/>
      <c r="GQ735"/>
      <c r="GR735"/>
      <c r="GS735"/>
      <c r="GT735"/>
      <c r="GU735"/>
      <c r="GV735"/>
      <c r="GW735"/>
      <c r="GX735"/>
      <c r="GY735"/>
      <c r="GZ735"/>
      <c r="HA735"/>
      <c r="HB735"/>
      <c r="HC735"/>
      <c r="HD735"/>
      <c r="HE735"/>
      <c r="HF735"/>
      <c r="HG735"/>
      <c r="HH735"/>
      <c r="HI735"/>
      <c r="HJ735"/>
      <c r="HK735"/>
      <c r="HL735"/>
      <c r="HM735"/>
      <c r="HN735"/>
      <c r="HO735"/>
      <c r="HP735"/>
      <c r="HQ735"/>
      <c r="HR735"/>
      <c r="HS735"/>
      <c r="HT735"/>
      <c r="HU735"/>
      <c r="HV735"/>
      <c r="HW735"/>
      <c r="HX735"/>
      <c r="HY735"/>
      <c r="HZ735"/>
      <c r="IA735"/>
      <c r="IB735"/>
      <c r="IC735"/>
      <c r="ID735"/>
      <c r="IE735"/>
      <c r="IF735"/>
      <c r="IG735"/>
      <c r="IH735"/>
      <c r="II735"/>
      <c r="IJ735"/>
      <c r="IK735"/>
      <c r="IL735"/>
      <c r="IM735"/>
      <c r="IN735"/>
      <c r="IO735"/>
      <c r="IP735"/>
      <c r="IQ735"/>
      <c r="IR735"/>
      <c r="IS735"/>
      <c r="IT735"/>
      <c r="IU735"/>
      <c r="IV735"/>
      <c r="IW735"/>
      <c r="IX735"/>
      <c r="IY735"/>
      <c r="IZ735"/>
      <c r="JA735"/>
      <c r="JB735"/>
      <c r="JC735"/>
      <c r="JD735"/>
      <c r="JE735"/>
      <c r="JF735"/>
      <c r="JG735"/>
      <c r="JH735"/>
      <c r="JI735"/>
      <c r="JJ735"/>
      <c r="JK735"/>
      <c r="JL735"/>
      <c r="JM735"/>
      <c r="JN735"/>
    </row>
    <row r="736" spans="1:274" s="342" customFormat="1" ht="6" hidden="1" customHeight="1" outlineLevel="1" x14ac:dyDescent="0.2">
      <c r="B736" s="20"/>
      <c r="CT736" s="475"/>
      <c r="CZ736" s="475"/>
      <c r="DE736" s="475"/>
      <c r="DF736" s="475"/>
      <c r="DK736" s="475"/>
      <c r="DL736" s="475"/>
      <c r="DQ736" s="475"/>
      <c r="DR736" s="475"/>
      <c r="DW736" s="475"/>
      <c r="DX736" s="475"/>
      <c r="EC736" s="475"/>
      <c r="ED736" s="475"/>
      <c r="EI736" s="475"/>
      <c r="EJ736" s="475"/>
      <c r="EO736" s="475"/>
      <c r="EP736" s="475"/>
      <c r="EU736" s="475"/>
      <c r="EV736" s="475"/>
      <c r="FA736" s="475"/>
      <c r="FB736" s="475"/>
      <c r="FG736" s="475"/>
      <c r="FH736" s="475"/>
      <c r="FM736" s="475"/>
      <c r="FQ736"/>
      <c r="FR736"/>
      <c r="FS736"/>
      <c r="FT736"/>
      <c r="FU736"/>
      <c r="FV736"/>
      <c r="GB736" s="24"/>
      <c r="GC736" s="24"/>
      <c r="GD736" s="24"/>
      <c r="GE736" s="24"/>
      <c r="GF736" s="24"/>
      <c r="GG736" s="24"/>
      <c r="GH736" s="24"/>
      <c r="GI736" s="24"/>
      <c r="GJ736"/>
      <c r="GK736"/>
      <c r="GL736"/>
      <c r="GM736"/>
      <c r="GN736"/>
      <c r="GO736"/>
      <c r="GP736"/>
      <c r="GQ736"/>
      <c r="GR736"/>
      <c r="GS736"/>
      <c r="GT736"/>
      <c r="GU736"/>
      <c r="GV736"/>
      <c r="GW736"/>
      <c r="GX736"/>
      <c r="GY736"/>
      <c r="GZ736"/>
      <c r="HA736"/>
      <c r="HB736"/>
      <c r="HC736"/>
      <c r="HD736"/>
      <c r="HE736"/>
      <c r="HF736"/>
      <c r="HG736"/>
      <c r="HH736"/>
      <c r="HI736"/>
      <c r="HJ736"/>
      <c r="HK736"/>
      <c r="HL736"/>
      <c r="HM736"/>
      <c r="HN736"/>
      <c r="HO736"/>
      <c r="HP736"/>
      <c r="HQ736"/>
      <c r="HR736"/>
      <c r="HS736"/>
      <c r="HT736"/>
      <c r="HU736"/>
      <c r="HV736"/>
      <c r="HW736"/>
      <c r="HX736"/>
      <c r="HY736"/>
      <c r="HZ736"/>
      <c r="IA736"/>
      <c r="IB736"/>
      <c r="IC736"/>
      <c r="ID736"/>
      <c r="IE736"/>
      <c r="IF736"/>
      <c r="IG736"/>
      <c r="IH736"/>
      <c r="II736"/>
      <c r="IJ736"/>
      <c r="IK736"/>
      <c r="IL736"/>
      <c r="IM736"/>
      <c r="IN736"/>
      <c r="IO736"/>
      <c r="IP736"/>
      <c r="IQ736"/>
      <c r="IR736"/>
      <c r="IS736"/>
      <c r="IT736"/>
      <c r="IU736"/>
      <c r="IV736"/>
      <c r="IW736"/>
      <c r="IX736"/>
      <c r="IY736"/>
      <c r="IZ736"/>
      <c r="JA736"/>
      <c r="JB736"/>
      <c r="JC736"/>
      <c r="JD736"/>
      <c r="JE736"/>
      <c r="JF736"/>
      <c r="JG736"/>
      <c r="JH736"/>
      <c r="JI736"/>
      <c r="JJ736"/>
      <c r="JK736"/>
      <c r="JL736"/>
      <c r="JM736"/>
      <c r="JN736"/>
    </row>
    <row r="737" spans="1:274" s="342" customFormat="1" hidden="1" outlineLevel="1" x14ac:dyDescent="0.2">
      <c r="A737" s="44" t="s">
        <v>140</v>
      </c>
      <c r="B737" s="44"/>
      <c r="C737" s="44"/>
      <c r="D737" s="44"/>
      <c r="E737" s="44"/>
      <c r="F737" s="44"/>
      <c r="G737" s="44"/>
      <c r="H737" s="44"/>
      <c r="I737" s="44"/>
      <c r="J737" s="44"/>
      <c r="K737" s="44"/>
      <c r="L737" s="44"/>
      <c r="M737" s="44"/>
      <c r="N737" s="44"/>
      <c r="O737" s="44"/>
      <c r="P737" s="44"/>
      <c r="Q737" s="44"/>
      <c r="R737" s="44"/>
      <c r="S737" s="44"/>
      <c r="T737" s="44"/>
      <c r="U737" s="44"/>
      <c r="V737" s="44"/>
      <c r="W737" s="44"/>
      <c r="X737" s="44"/>
      <c r="Y737" s="44"/>
      <c r="Z737" s="44"/>
      <c r="AA737" s="44"/>
      <c r="AB737" s="44"/>
      <c r="AC737" s="44"/>
      <c r="AD737" s="44"/>
      <c r="AE737" s="44"/>
      <c r="AF737" s="44"/>
      <c r="AG737" s="44"/>
      <c r="AH737" s="44"/>
      <c r="AI737" s="44"/>
      <c r="AJ737" s="44"/>
      <c r="AK737" s="44"/>
      <c r="AL737" s="44"/>
      <c r="AM737" s="44"/>
      <c r="AN737" s="44"/>
      <c r="AO737" s="44"/>
      <c r="AP737" s="44"/>
      <c r="AQ737" s="44"/>
      <c r="AR737" s="44"/>
      <c r="AS737" s="44"/>
      <c r="AT737" s="44"/>
      <c r="AU737" s="44"/>
      <c r="AV737" s="44"/>
      <c r="AW737" s="61"/>
      <c r="AX737" s="44"/>
      <c r="AY737" s="44"/>
      <c r="AZ737" s="44"/>
      <c r="BA737" s="44"/>
      <c r="BB737" s="44"/>
      <c r="BC737" s="786">
        <f>BC554</f>
        <v>2080</v>
      </c>
      <c r="BD737" s="107"/>
      <c r="BE737" s="107"/>
      <c r="BF737" s="107"/>
      <c r="BG737" s="107"/>
      <c r="BH737" s="107"/>
      <c r="BI737" s="786">
        <f>BI554</f>
        <v>1678</v>
      </c>
      <c r="BJ737" s="107"/>
      <c r="BK737" s="107"/>
      <c r="BL737" s="107"/>
      <c r="BM737" s="107"/>
      <c r="BN737" s="107"/>
      <c r="BO737" s="786">
        <f>BO554</f>
        <v>1600</v>
      </c>
      <c r="BP737" s="107"/>
      <c r="BQ737" s="107"/>
      <c r="BR737" s="107"/>
      <c r="BS737" s="107"/>
      <c r="BT737" s="107"/>
      <c r="BU737" s="786">
        <f>BU554</f>
        <v>1721</v>
      </c>
      <c r="BV737" s="107"/>
      <c r="BW737" s="107"/>
      <c r="BX737" s="107"/>
      <c r="BY737" s="107"/>
      <c r="BZ737" s="107"/>
      <c r="CA737" s="786">
        <f>CA554</f>
        <v>2055</v>
      </c>
      <c r="CB737" s="44"/>
      <c r="CC737" s="44"/>
      <c r="CD737" s="44"/>
      <c r="CE737" s="44"/>
      <c r="CF737" s="44"/>
      <c r="CG737" s="786">
        <f>CG554</f>
        <v>2638</v>
      </c>
      <c r="CH737" s="44"/>
      <c r="CI737" s="44"/>
      <c r="CJ737" s="44"/>
      <c r="CK737" s="44"/>
      <c r="CL737" s="44"/>
      <c r="CM737" s="786">
        <f>CM554</f>
        <v>3326</v>
      </c>
      <c r="CN737" s="44"/>
      <c r="CO737" s="44"/>
      <c r="CP737" s="44"/>
      <c r="CQ737" s="44"/>
      <c r="CR737" s="44"/>
      <c r="CS737" s="44"/>
      <c r="CT737" s="62"/>
      <c r="CU737" s="44"/>
      <c r="CV737" s="44"/>
      <c r="CW737" s="44"/>
      <c r="CX737" s="44"/>
      <c r="CY737" s="44"/>
      <c r="CZ737" s="62"/>
      <c r="DA737" s="44"/>
      <c r="DB737" s="44"/>
      <c r="DC737" s="44"/>
      <c r="DD737" s="44"/>
      <c r="DE737" s="62"/>
      <c r="DF737" s="62"/>
      <c r="DG737" s="44"/>
      <c r="DH737" s="44"/>
      <c r="DI737" s="44"/>
      <c r="DJ737" s="44"/>
      <c r="DK737" s="62"/>
      <c r="DL737" s="62"/>
      <c r="DM737" s="44"/>
      <c r="DN737" s="44"/>
      <c r="DO737" s="44"/>
      <c r="DP737" s="44"/>
      <c r="DQ737" s="62"/>
      <c r="DR737" s="62"/>
      <c r="DS737" s="44"/>
      <c r="DT737" s="44"/>
      <c r="DU737" s="44"/>
      <c r="DV737" s="44"/>
      <c r="DW737" s="62"/>
      <c r="DX737" s="62"/>
      <c r="DY737" s="44"/>
      <c r="DZ737" s="44"/>
      <c r="EA737" s="44"/>
      <c r="EB737" s="44"/>
      <c r="EC737" s="62"/>
      <c r="ED737" s="62"/>
      <c r="EE737" s="44"/>
      <c r="EF737" s="44"/>
      <c r="EG737" s="44"/>
      <c r="EH737" s="44"/>
      <c r="EI737" s="62"/>
      <c r="EJ737" s="62"/>
      <c r="EK737" s="44"/>
      <c r="EL737" s="44"/>
      <c r="EM737" s="44"/>
      <c r="EN737" s="44"/>
      <c r="EO737" s="62"/>
      <c r="EP737" s="62"/>
      <c r="EQ737" s="44"/>
      <c r="ER737" s="44"/>
      <c r="ES737" s="44"/>
      <c r="ET737" s="44"/>
      <c r="EU737" s="62"/>
      <c r="EV737" s="62"/>
      <c r="EW737" s="44"/>
      <c r="EX737" s="44"/>
      <c r="EY737" s="44"/>
      <c r="EZ737" s="44"/>
      <c r="FA737" s="62"/>
      <c r="FB737" s="62"/>
      <c r="FC737" s="44"/>
      <c r="FD737" s="44"/>
      <c r="FE737" s="44"/>
      <c r="FF737" s="44"/>
      <c r="FG737" s="62"/>
      <c r="FH737" s="62"/>
      <c r="FI737" s="44"/>
      <c r="FJ737" s="44"/>
      <c r="FK737" s="44"/>
      <c r="FL737" s="44"/>
      <c r="FM737" s="62"/>
      <c r="FQ737"/>
      <c r="FR737"/>
      <c r="FS737"/>
      <c r="FT737"/>
      <c r="FU737"/>
      <c r="FV737"/>
      <c r="GB737" s="24"/>
      <c r="GC737" s="24"/>
      <c r="GD737" s="24"/>
      <c r="GE737" s="24"/>
      <c r="GF737" s="24"/>
      <c r="GG737" s="24"/>
      <c r="GH737" s="24"/>
      <c r="GI737" s="24"/>
      <c r="GJ737"/>
      <c r="GK737"/>
      <c r="GL737"/>
      <c r="GM737"/>
      <c r="GN737"/>
      <c r="GO737"/>
      <c r="GP737"/>
      <c r="GQ737"/>
      <c r="GR737"/>
      <c r="GS737"/>
      <c r="GT737"/>
      <c r="GU737"/>
      <c r="GV737"/>
      <c r="GW737"/>
      <c r="GX737"/>
      <c r="GY737"/>
      <c r="GZ737"/>
      <c r="HA737"/>
      <c r="HB737"/>
      <c r="HC737"/>
      <c r="HD737"/>
      <c r="HE737"/>
      <c r="HF737"/>
      <c r="HG737"/>
      <c r="HH737"/>
      <c r="HI737"/>
      <c r="HJ737"/>
      <c r="HK737"/>
      <c r="HL737"/>
      <c r="HM737"/>
      <c r="HN737"/>
      <c r="HO737"/>
      <c r="HP737"/>
      <c r="HQ737"/>
      <c r="HR737"/>
      <c r="HS737"/>
      <c r="HT737"/>
      <c r="HU737"/>
      <c r="HV737"/>
      <c r="HW737"/>
      <c r="HX737"/>
      <c r="HY737"/>
      <c r="HZ737"/>
      <c r="IA737"/>
      <c r="IB737"/>
      <c r="IC737"/>
      <c r="ID737"/>
      <c r="IE737"/>
      <c r="IF737"/>
      <c r="IG737"/>
      <c r="IH737"/>
      <c r="II737"/>
      <c r="IJ737"/>
      <c r="IK737"/>
      <c r="IL737"/>
      <c r="IM737"/>
      <c r="IN737"/>
      <c r="IO737"/>
      <c r="IP737"/>
      <c r="IQ737"/>
      <c r="IR737"/>
      <c r="IS737"/>
      <c r="IT737"/>
      <c r="IU737"/>
      <c r="IV737"/>
      <c r="IW737"/>
      <c r="IX737"/>
      <c r="IY737"/>
      <c r="IZ737"/>
      <c r="JA737"/>
      <c r="JB737"/>
      <c r="JC737"/>
      <c r="JD737"/>
      <c r="JE737"/>
      <c r="JF737"/>
      <c r="JG737"/>
      <c r="JH737"/>
      <c r="JI737"/>
      <c r="JJ737"/>
      <c r="JK737"/>
      <c r="JL737"/>
      <c r="JM737"/>
      <c r="JN737"/>
    </row>
    <row r="738" spans="1:274" s="342" customFormat="1" hidden="1" outlineLevel="1" x14ac:dyDescent="0.2">
      <c r="A738" s="44" t="s">
        <v>141</v>
      </c>
      <c r="B738" s="44"/>
      <c r="C738" s="44"/>
      <c r="D738" s="44"/>
      <c r="E738" s="44"/>
      <c r="F738" s="44"/>
      <c r="G738" s="44"/>
      <c r="H738" s="44"/>
      <c r="I738" s="44"/>
      <c r="J738" s="44"/>
      <c r="K738" s="44"/>
      <c r="L738" s="44"/>
      <c r="M738" s="44"/>
      <c r="N738" s="44"/>
      <c r="O738" s="44"/>
      <c r="P738" s="44"/>
      <c r="Q738" s="44"/>
      <c r="R738" s="44"/>
      <c r="S738" s="44"/>
      <c r="T738" s="44"/>
      <c r="U738" s="44"/>
      <c r="V738" s="44"/>
      <c r="W738" s="44"/>
      <c r="X738" s="44"/>
      <c r="Y738" s="44"/>
      <c r="Z738" s="44"/>
      <c r="AA738" s="44"/>
      <c r="AB738" s="44"/>
      <c r="AC738" s="44"/>
      <c r="AD738" s="44"/>
      <c r="AE738" s="44"/>
      <c r="AF738" s="44"/>
      <c r="AG738" s="44"/>
      <c r="AH738" s="44"/>
      <c r="AI738" s="44"/>
      <c r="AJ738" s="44"/>
      <c r="AK738" s="44"/>
      <c r="AL738" s="44"/>
      <c r="AM738" s="44"/>
      <c r="AN738" s="44"/>
      <c r="AO738" s="44"/>
      <c r="AP738" s="44"/>
      <c r="AQ738" s="44"/>
      <c r="AR738" s="44"/>
      <c r="AS738" s="44"/>
      <c r="AT738" s="44"/>
      <c r="AU738" s="44"/>
      <c r="AV738" s="44"/>
      <c r="AW738" s="44"/>
      <c r="AX738" s="44"/>
      <c r="AY738" s="44"/>
      <c r="AZ738" s="44"/>
      <c r="BA738" s="44"/>
      <c r="BB738" s="44"/>
      <c r="BC738" s="787">
        <f>BC737/BC728</f>
        <v>0.7728543816013097</v>
      </c>
      <c r="BD738" s="107"/>
      <c r="BE738" s="107"/>
      <c r="BF738" s="107"/>
      <c r="BG738" s="107"/>
      <c r="BH738" s="107"/>
      <c r="BI738" s="787">
        <f>BI737/BI728</f>
        <v>0.7596262711177687</v>
      </c>
      <c r="BJ738" s="107"/>
      <c r="BK738" s="107"/>
      <c r="BL738" s="107"/>
      <c r="BM738" s="107"/>
      <c r="BN738" s="107"/>
      <c r="BO738" s="787">
        <f>BO737/BO728</f>
        <v>0.77220077220077221</v>
      </c>
      <c r="BP738" s="107"/>
      <c r="BQ738" s="107"/>
      <c r="BR738" s="107"/>
      <c r="BS738" s="107"/>
      <c r="BT738" s="107"/>
      <c r="BU738" s="787">
        <f>BU737/BU728</f>
        <v>0.80571161048689144</v>
      </c>
      <c r="BV738" s="107"/>
      <c r="BW738" s="107"/>
      <c r="BX738" s="107"/>
      <c r="BY738" s="107"/>
      <c r="BZ738" s="107"/>
      <c r="CA738" s="787">
        <f>CA737/CA728</f>
        <v>0.82035928143712578</v>
      </c>
      <c r="CB738" s="44"/>
      <c r="CC738" s="44"/>
      <c r="CD738" s="44"/>
      <c r="CE738" s="44"/>
      <c r="CF738" s="44"/>
      <c r="CG738" s="787">
        <f>CG737/CG728</f>
        <v>0.83217665615141956</v>
      </c>
      <c r="CH738" s="44"/>
      <c r="CI738" s="44"/>
      <c r="CJ738" s="44"/>
      <c r="CK738" s="44"/>
      <c r="CL738" s="44"/>
      <c r="CM738" s="787">
        <f>CM737/CM728</f>
        <v>0.8596536572757818</v>
      </c>
      <c r="CN738" s="44"/>
      <c r="CO738" s="44"/>
      <c r="CP738" s="44"/>
      <c r="CQ738" s="44"/>
      <c r="CR738" s="44"/>
      <c r="CS738" s="44"/>
      <c r="CT738" s="62"/>
      <c r="CU738" s="44"/>
      <c r="CV738" s="44"/>
      <c r="CW738" s="44"/>
      <c r="CX738" s="44"/>
      <c r="CY738" s="44"/>
      <c r="CZ738" s="62"/>
      <c r="DA738" s="44"/>
      <c r="DB738" s="44"/>
      <c r="DC738" s="44"/>
      <c r="DD738" s="44"/>
      <c r="DE738" s="62"/>
      <c r="DF738" s="62"/>
      <c r="DG738" s="44"/>
      <c r="DH738" s="44"/>
      <c r="DI738" s="44"/>
      <c r="DJ738" s="44"/>
      <c r="DK738" s="62"/>
      <c r="DL738" s="62"/>
      <c r="DM738" s="44"/>
      <c r="DN738" s="44"/>
      <c r="DO738" s="44"/>
      <c r="DP738" s="44"/>
      <c r="DQ738" s="62"/>
      <c r="DR738" s="62"/>
      <c r="DS738" s="44"/>
      <c r="DT738" s="44"/>
      <c r="DU738" s="44"/>
      <c r="DV738" s="44"/>
      <c r="DW738" s="62"/>
      <c r="DX738" s="62"/>
      <c r="DY738" s="44"/>
      <c r="DZ738" s="44"/>
      <c r="EA738" s="44"/>
      <c r="EB738" s="44"/>
      <c r="EC738" s="62"/>
      <c r="ED738" s="62"/>
      <c r="EE738" s="44"/>
      <c r="EF738" s="44"/>
      <c r="EG738" s="44"/>
      <c r="EH738" s="44"/>
      <c r="EI738" s="62"/>
      <c r="EJ738" s="62"/>
      <c r="EK738" s="44"/>
      <c r="EL738" s="44"/>
      <c r="EM738" s="44"/>
      <c r="EN738" s="44"/>
      <c r="EO738" s="62"/>
      <c r="EP738" s="62"/>
      <c r="EQ738" s="44"/>
      <c r="ER738" s="44"/>
      <c r="ES738" s="44"/>
      <c r="ET738" s="44"/>
      <c r="EU738" s="62"/>
      <c r="EV738" s="62"/>
      <c r="EW738" s="44"/>
      <c r="EX738" s="44"/>
      <c r="EY738" s="44"/>
      <c r="EZ738" s="44"/>
      <c r="FA738" s="62"/>
      <c r="FB738" s="62"/>
      <c r="FC738" s="44"/>
      <c r="FD738" s="44"/>
      <c r="FE738" s="44"/>
      <c r="FF738" s="44"/>
      <c r="FG738" s="62"/>
      <c r="FH738" s="62"/>
      <c r="FI738" s="44"/>
      <c r="FJ738" s="44"/>
      <c r="FK738" s="44"/>
      <c r="FL738" s="44"/>
      <c r="FM738" s="62"/>
      <c r="FQ738"/>
      <c r="FR738"/>
      <c r="FS738"/>
      <c r="FT738"/>
      <c r="FU738"/>
      <c r="FV738"/>
      <c r="GB738" s="24"/>
      <c r="GC738" s="24"/>
      <c r="GD738" s="24"/>
      <c r="GE738" s="24"/>
      <c r="GF738" s="24"/>
      <c r="GG738" s="24"/>
      <c r="GH738" s="24"/>
      <c r="GI738" s="24"/>
      <c r="GJ738"/>
      <c r="GK738"/>
      <c r="GL738"/>
      <c r="GM738"/>
      <c r="GN738"/>
      <c r="GO738"/>
      <c r="GP738"/>
      <c r="GQ738"/>
      <c r="GR738"/>
      <c r="GS738"/>
      <c r="GT738"/>
      <c r="GU738"/>
      <c r="GV738"/>
      <c r="GW738"/>
      <c r="GX738"/>
      <c r="GY738"/>
      <c r="GZ738"/>
      <c r="HA738"/>
      <c r="HB738"/>
      <c r="HC738"/>
      <c r="HD738"/>
      <c r="HE738"/>
      <c r="HF738"/>
      <c r="HG738"/>
      <c r="HH738"/>
      <c r="HI738"/>
      <c r="HJ738"/>
      <c r="HK738"/>
      <c r="HL738"/>
      <c r="HM738"/>
      <c r="HN738"/>
      <c r="HO738"/>
      <c r="HP738"/>
      <c r="HQ738"/>
      <c r="HR738"/>
      <c r="HS738"/>
      <c r="HT738"/>
      <c r="HU738"/>
      <c r="HV738"/>
      <c r="HW738"/>
      <c r="HX738"/>
      <c r="HY738"/>
      <c r="HZ738"/>
      <c r="IA738"/>
      <c r="IB738"/>
      <c r="IC738"/>
      <c r="ID738"/>
      <c r="IE738"/>
      <c r="IF738"/>
      <c r="IG738"/>
      <c r="IH738"/>
      <c r="II738"/>
      <c r="IJ738"/>
      <c r="IK738"/>
      <c r="IL738"/>
      <c r="IM738"/>
      <c r="IN738"/>
      <c r="IO738"/>
      <c r="IP738"/>
      <c r="IQ738"/>
      <c r="IR738"/>
      <c r="IS738"/>
      <c r="IT738"/>
      <c r="IU738"/>
      <c r="IV738"/>
      <c r="IW738"/>
      <c r="IX738"/>
      <c r="IY738"/>
      <c r="IZ738"/>
      <c r="JA738"/>
      <c r="JB738"/>
      <c r="JC738"/>
      <c r="JD738"/>
      <c r="JE738"/>
      <c r="JF738"/>
      <c r="JG738"/>
      <c r="JH738"/>
      <c r="JI738"/>
      <c r="JJ738"/>
      <c r="JK738"/>
      <c r="JL738"/>
      <c r="JM738"/>
      <c r="JN738"/>
    </row>
    <row r="739" spans="1:274" s="342" customFormat="1" hidden="1" outlineLevel="1" x14ac:dyDescent="0.2">
      <c r="B739" s="20"/>
      <c r="CT739" s="475"/>
      <c r="CZ739" s="475"/>
      <c r="DE739" s="475"/>
      <c r="DF739" s="475"/>
      <c r="DK739" s="475"/>
      <c r="DL739" s="475"/>
      <c r="DQ739" s="475"/>
      <c r="DR739" s="475"/>
      <c r="DW739" s="475"/>
      <c r="DX739" s="475"/>
      <c r="EC739" s="475"/>
      <c r="ED739" s="475"/>
      <c r="EI739" s="475"/>
      <c r="EJ739" s="475"/>
      <c r="EO739" s="475"/>
      <c r="EP739" s="475"/>
      <c r="EU739" s="475"/>
      <c r="EV739" s="475"/>
      <c r="FA739" s="475"/>
      <c r="FB739" s="475"/>
      <c r="FG739" s="475"/>
      <c r="FH739" s="475"/>
      <c r="FM739" s="475"/>
      <c r="FQ739"/>
      <c r="FR739"/>
      <c r="FS739"/>
      <c r="FT739"/>
      <c r="FU739"/>
      <c r="FV739"/>
      <c r="GB739" s="24"/>
      <c r="GC739" s="24"/>
      <c r="GD739" s="24"/>
      <c r="GE739" s="24"/>
      <c r="GF739" s="24"/>
      <c r="GG739" s="24"/>
      <c r="GH739" s="24"/>
      <c r="GI739" s="24"/>
      <c r="GJ739"/>
      <c r="GK739"/>
      <c r="GL739"/>
      <c r="GM739"/>
      <c r="GN739"/>
      <c r="GO739"/>
      <c r="GP739"/>
      <c r="GQ739"/>
      <c r="GR739"/>
      <c r="GS739"/>
      <c r="GT739"/>
      <c r="GU739"/>
      <c r="GV739"/>
      <c r="GW739"/>
      <c r="GX739"/>
      <c r="GY739"/>
      <c r="GZ739"/>
      <c r="HA739"/>
      <c r="HB739"/>
      <c r="HC739"/>
      <c r="HD739"/>
      <c r="HE739"/>
      <c r="HF739"/>
      <c r="HG739"/>
      <c r="HH739"/>
      <c r="HI739"/>
      <c r="HJ739"/>
      <c r="HK739"/>
      <c r="HL739"/>
      <c r="HM739"/>
      <c r="HN739"/>
      <c r="HO739"/>
      <c r="HP739"/>
      <c r="HQ739"/>
      <c r="HR739"/>
      <c r="HS739"/>
      <c r="HT739"/>
      <c r="HU739"/>
      <c r="HV739"/>
      <c r="HW739"/>
      <c r="HX739"/>
      <c r="HY739"/>
      <c r="HZ739"/>
      <c r="IA739"/>
      <c r="IB739"/>
      <c r="IC739"/>
      <c r="ID739"/>
      <c r="IE739"/>
      <c r="IF739"/>
      <c r="IG739"/>
      <c r="IH739"/>
      <c r="II739"/>
      <c r="IJ739"/>
      <c r="IK739"/>
      <c r="IL739"/>
      <c r="IM739"/>
      <c r="IN739"/>
      <c r="IO739"/>
      <c r="IP739"/>
      <c r="IQ739"/>
      <c r="IR739"/>
      <c r="IS739"/>
      <c r="IT739"/>
      <c r="IU739"/>
      <c r="IV739"/>
      <c r="IW739"/>
      <c r="IX739"/>
      <c r="IY739"/>
      <c r="IZ739"/>
      <c r="JA739"/>
      <c r="JB739"/>
      <c r="JC739"/>
      <c r="JD739"/>
      <c r="JE739"/>
      <c r="JF739"/>
      <c r="JG739"/>
      <c r="JH739"/>
      <c r="JI739"/>
      <c r="JJ739"/>
      <c r="JK739"/>
      <c r="JL739"/>
      <c r="JM739"/>
      <c r="JN739"/>
    </row>
    <row r="740" spans="1:274" s="342" customFormat="1" hidden="1" outlineLevel="1" x14ac:dyDescent="0.2">
      <c r="A740" s="353" t="s">
        <v>750</v>
      </c>
      <c r="B740" s="20"/>
      <c r="AW740" s="111">
        <f>Model!AW46</f>
        <v>2978.873</v>
      </c>
      <c r="BC740" s="111">
        <f>Model!BC46</f>
        <v>3570.1790000000001</v>
      </c>
      <c r="BI740" s="111">
        <f>Model!BI46</f>
        <v>3540.2359999999999</v>
      </c>
      <c r="BO740" s="111">
        <f>Model!BO46</f>
        <v>3929.4</v>
      </c>
      <c r="BU740" s="111">
        <f>Model!BU46</f>
        <v>4529</v>
      </c>
      <c r="CA740" s="111">
        <f>Model!CA46</f>
        <v>5651</v>
      </c>
      <c r="CG740" s="111">
        <f>Model!CG46</f>
        <v>7028</v>
      </c>
      <c r="CM740" s="111">
        <f>Model!CM46</f>
        <v>8541</v>
      </c>
      <c r="CS740" s="111">
        <f>Model!CS46</f>
        <v>10507</v>
      </c>
      <c r="CT740" s="475"/>
      <c r="CY740" s="111">
        <f>Model!CY46</f>
        <v>11997</v>
      </c>
      <c r="CZ740" s="475"/>
      <c r="DE740" s="780">
        <f>Model!DE46</f>
        <v>13177</v>
      </c>
      <c r="DF740" s="475"/>
      <c r="DK740" s="780">
        <f>Model!DK46</f>
        <v>14921</v>
      </c>
      <c r="DL740" s="475"/>
      <c r="DQ740" s="780">
        <f>Model!DQ46</f>
        <v>16259</v>
      </c>
      <c r="DR740" s="475"/>
      <c r="DW740" s="780">
        <f>Model!DW46</f>
        <v>17157</v>
      </c>
      <c r="DX740" s="475"/>
      <c r="EC740" s="780">
        <f>Model!EC46</f>
        <v>18209</v>
      </c>
      <c r="ED740" s="475"/>
      <c r="EI740" s="780">
        <f>Model!EI46</f>
        <v>18856</v>
      </c>
      <c r="EJ740" s="475"/>
      <c r="EO740" s="780">
        <f>Model!EO46</f>
        <v>18864</v>
      </c>
      <c r="EP740" s="475"/>
      <c r="EU740" s="780">
        <f>Model!EU46</f>
        <v>19230</v>
      </c>
      <c r="EV740" s="475"/>
      <c r="FA740" s="780">
        <f>Model!FA46</f>
        <v>20031.878566097719</v>
      </c>
      <c r="FB740" s="475"/>
      <c r="FG740" s="780">
        <f>Model!FG46</f>
        <v>20690.59069479203</v>
      </c>
      <c r="FH740" s="475"/>
      <c r="FM740" s="780">
        <f>Model!FM46</f>
        <v>21180.21277359912</v>
      </c>
      <c r="FQ740"/>
      <c r="FR740"/>
      <c r="FS740"/>
      <c r="FT740"/>
      <c r="FU740"/>
      <c r="FV740"/>
      <c r="GB740" s="24"/>
      <c r="GC740" s="24"/>
      <c r="GD740" s="24"/>
      <c r="GE740" s="24"/>
      <c r="GF740" s="24"/>
      <c r="GG740" s="24"/>
      <c r="GH740" s="24"/>
      <c r="GI740" s="24"/>
      <c r="GJ740"/>
      <c r="GK740"/>
      <c r="GL740"/>
      <c r="GM740"/>
      <c r="GN740"/>
      <c r="GO740"/>
      <c r="GP740"/>
      <c r="GQ740"/>
      <c r="GR740"/>
      <c r="GS740"/>
      <c r="GT740"/>
      <c r="GU740"/>
      <c r="GV740"/>
      <c r="GW740"/>
      <c r="GX740"/>
      <c r="GY740"/>
      <c r="GZ740"/>
      <c r="HA740"/>
      <c r="HB740"/>
      <c r="HC740"/>
      <c r="HD740"/>
      <c r="HE740"/>
      <c r="HF740"/>
      <c r="HG740"/>
      <c r="HH740"/>
      <c r="HI740"/>
      <c r="HJ740"/>
      <c r="HK740"/>
      <c r="HL740"/>
      <c r="HM740"/>
      <c r="HN740"/>
      <c r="HO740"/>
      <c r="HP740"/>
      <c r="HQ740"/>
      <c r="HR740"/>
      <c r="HS740"/>
      <c r="HT740"/>
      <c r="HU740"/>
      <c r="HV740"/>
      <c r="HW740"/>
      <c r="HX740"/>
      <c r="HY740"/>
      <c r="HZ740"/>
      <c r="IA740"/>
      <c r="IB740"/>
      <c r="IC740"/>
      <c r="ID740"/>
      <c r="IE740"/>
      <c r="IF740"/>
      <c r="IG740"/>
      <c r="IH740"/>
      <c r="II740"/>
      <c r="IJ740"/>
      <c r="IK740"/>
      <c r="IL740"/>
      <c r="IM740"/>
      <c r="IN740"/>
      <c r="IO740"/>
      <c r="IP740"/>
      <c r="IQ740"/>
      <c r="IR740"/>
      <c r="IS740"/>
      <c r="IT740"/>
      <c r="IU740"/>
      <c r="IV740"/>
      <c r="IW740"/>
      <c r="IX740"/>
      <c r="IY740"/>
      <c r="IZ740"/>
      <c r="JA740"/>
      <c r="JB740"/>
      <c r="JC740"/>
      <c r="JD740"/>
      <c r="JE740"/>
      <c r="JF740"/>
      <c r="JG740"/>
      <c r="JH740"/>
      <c r="JI740"/>
      <c r="JJ740"/>
      <c r="JK740"/>
      <c r="JL740"/>
      <c r="JM740"/>
      <c r="JN740"/>
    </row>
    <row r="741" spans="1:274" s="342" customFormat="1" hidden="1" outlineLevel="1" x14ac:dyDescent="0.2">
      <c r="A741" s="19" t="s">
        <v>1061</v>
      </c>
      <c r="B741" s="20"/>
      <c r="AW741" s="244"/>
      <c r="BC741" s="82">
        <f>BC740/AW740-1</f>
        <v>0.19849990247989768</v>
      </c>
      <c r="BI741" s="82">
        <f>BI740/BC740-1</f>
        <v>-8.3869744346152242E-3</v>
      </c>
      <c r="BO741" s="82">
        <f>BO740/BI740-1</f>
        <v>0.10992600493300464</v>
      </c>
      <c r="BU741" s="82">
        <f>BU740/BO740-1</f>
        <v>0.15259327123733901</v>
      </c>
      <c r="CA741" s="82">
        <f>CA740/BU740-1</f>
        <v>0.24773680724221681</v>
      </c>
      <c r="CG741" s="82">
        <f>CG740/CA740-1</f>
        <v>0.24367368607326134</v>
      </c>
      <c r="CM741" s="82">
        <f>CM740/CG740-1</f>
        <v>0.21528173022196917</v>
      </c>
      <c r="CS741" s="82">
        <f>CS740/CM740-1</f>
        <v>0.23018381922491504</v>
      </c>
      <c r="CT741" s="475"/>
      <c r="CY741" s="82">
        <f>CY740/CS740-1</f>
        <v>0.14181022175692393</v>
      </c>
      <c r="CZ741" s="475"/>
      <c r="DE741" s="159">
        <f>DE740/CY740-1</f>
        <v>9.8357922814036769E-2</v>
      </c>
      <c r="DF741" s="475"/>
      <c r="DK741" s="159">
        <f>DK740/DE740-1</f>
        <v>0.13235182514988231</v>
      </c>
      <c r="DL741" s="475"/>
      <c r="DQ741" s="159">
        <f>DQ740/DK740-1</f>
        <v>8.9672273976274974E-2</v>
      </c>
      <c r="DR741" s="475"/>
      <c r="DW741" s="159">
        <f>DW740/DQ740-1</f>
        <v>5.5230949012854413E-2</v>
      </c>
      <c r="DX741" s="475"/>
      <c r="EC741" s="159">
        <f>EC740/DW740-1</f>
        <v>6.1316080899924241E-2</v>
      </c>
      <c r="ED741" s="475"/>
      <c r="EI741" s="159">
        <f>EI740/EC740-1</f>
        <v>3.5531879839639791E-2</v>
      </c>
      <c r="EJ741" s="475"/>
      <c r="EO741" s="159">
        <f>EO740/EI740-1</f>
        <v>4.2426813746287984E-4</v>
      </c>
      <c r="EP741" s="475"/>
      <c r="EU741" s="159">
        <f>EU740/EO740-1</f>
        <v>1.9402035623409697E-2</v>
      </c>
      <c r="EV741" s="475"/>
      <c r="FA741" s="159">
        <f>FA740/EU740-1</f>
        <v>4.1699353411217777E-2</v>
      </c>
      <c r="FB741" s="475"/>
      <c r="FG741" s="159">
        <f>FG740/FA740-1</f>
        <v>3.2883192982665399E-2</v>
      </c>
      <c r="FH741" s="475"/>
      <c r="FM741" s="159">
        <f>FM740/FG740-1</f>
        <v>2.3663997129397041E-2</v>
      </c>
      <c r="FQ741"/>
      <c r="FR741"/>
      <c r="FS741"/>
      <c r="FT741"/>
      <c r="FU741"/>
      <c r="FV741"/>
      <c r="GB741" s="24"/>
      <c r="GC741" s="24"/>
      <c r="GD741" s="24"/>
      <c r="GE741" s="24"/>
      <c r="GF741" s="24"/>
      <c r="GG741" s="24"/>
      <c r="GH741" s="24"/>
      <c r="GI741" s="24"/>
      <c r="GJ741"/>
      <c r="GK741"/>
      <c r="GL741"/>
      <c r="GM741"/>
      <c r="GN741"/>
      <c r="GO741"/>
      <c r="GP741"/>
      <c r="GQ741"/>
      <c r="GR741"/>
      <c r="GS741"/>
      <c r="GT741"/>
      <c r="GU741"/>
      <c r="GV741"/>
      <c r="GW741"/>
      <c r="GX741"/>
      <c r="GY741"/>
      <c r="GZ741"/>
      <c r="HA741"/>
      <c r="HB741"/>
      <c r="HC741"/>
      <c r="HD741"/>
      <c r="HE741"/>
      <c r="HF741"/>
      <c r="HG741"/>
      <c r="HH741"/>
      <c r="HI741"/>
      <c r="HJ741"/>
      <c r="HK741"/>
      <c r="HL741"/>
      <c r="HM741"/>
      <c r="HN741"/>
      <c r="HO741"/>
      <c r="HP741"/>
      <c r="HQ741"/>
      <c r="HR741"/>
      <c r="HS741"/>
      <c r="HT741"/>
      <c r="HU741"/>
      <c r="HV741"/>
      <c r="HW741"/>
      <c r="HX741"/>
      <c r="HY741"/>
      <c r="HZ741"/>
      <c r="IA741"/>
      <c r="IB741"/>
      <c r="IC741"/>
      <c r="ID741"/>
      <c r="IE741"/>
      <c r="IF741"/>
      <c r="IG741"/>
      <c r="IH741"/>
      <c r="II741"/>
      <c r="IJ741"/>
      <c r="IK741"/>
      <c r="IL741"/>
      <c r="IM741"/>
      <c r="IN741"/>
      <c r="IO741"/>
      <c r="IP741"/>
      <c r="IQ741"/>
      <c r="IR741"/>
      <c r="IS741"/>
      <c r="IT741"/>
      <c r="IU741"/>
      <c r="IV741"/>
      <c r="IW741"/>
      <c r="IX741"/>
      <c r="IY741"/>
      <c r="IZ741"/>
      <c r="JA741"/>
      <c r="JB741"/>
      <c r="JC741"/>
      <c r="JD741"/>
      <c r="JE741"/>
      <c r="JF741"/>
      <c r="JG741"/>
      <c r="JH741"/>
      <c r="JI741"/>
      <c r="JJ741"/>
      <c r="JK741"/>
      <c r="JL741"/>
      <c r="JM741"/>
      <c r="JN741"/>
    </row>
    <row r="742" spans="1:274" s="342" customFormat="1" ht="5.25" hidden="1" customHeight="1" outlineLevel="1" x14ac:dyDescent="0.2">
      <c r="B742" s="20"/>
      <c r="CT742" s="475"/>
      <c r="CZ742" s="475"/>
      <c r="DE742" s="475"/>
      <c r="DF742" s="475"/>
      <c r="DK742" s="475"/>
      <c r="DL742" s="475"/>
      <c r="DQ742" s="475"/>
      <c r="DR742" s="475"/>
      <c r="DW742" s="475"/>
      <c r="DX742" s="475"/>
      <c r="EC742" s="475"/>
      <c r="ED742" s="475"/>
      <c r="EI742" s="475"/>
      <c r="EJ742" s="475"/>
      <c r="EO742" s="475"/>
      <c r="EP742" s="475"/>
      <c r="EU742" s="475"/>
      <c r="EV742" s="475"/>
      <c r="FA742" s="475"/>
      <c r="FB742" s="475"/>
      <c r="FG742" s="475"/>
      <c r="FH742" s="475"/>
      <c r="FM742" s="475"/>
      <c r="FQ742"/>
      <c r="FR742"/>
      <c r="FS742"/>
      <c r="FT742"/>
      <c r="FU742"/>
      <c r="FV742"/>
      <c r="GB742" s="24"/>
      <c r="GC742" s="24"/>
      <c r="GD742" s="24"/>
      <c r="GE742" s="24"/>
      <c r="GF742" s="24"/>
      <c r="GG742" s="24"/>
      <c r="GH742" s="24"/>
      <c r="GI742" s="24"/>
      <c r="GJ742"/>
      <c r="GK742"/>
      <c r="GL742"/>
      <c r="GM742"/>
      <c r="GN742"/>
      <c r="GO742"/>
      <c r="GP742"/>
      <c r="GQ742"/>
      <c r="GR742"/>
      <c r="GS742"/>
      <c r="GT742"/>
      <c r="GU742"/>
      <c r="GV742"/>
      <c r="GW742"/>
      <c r="GX742"/>
      <c r="GY742"/>
      <c r="GZ742"/>
      <c r="HA742"/>
      <c r="HB742"/>
      <c r="HC742"/>
      <c r="HD742"/>
      <c r="HE742"/>
      <c r="HF742"/>
      <c r="HG742"/>
      <c r="HH742"/>
      <c r="HI742"/>
      <c r="HJ742"/>
      <c r="HK742"/>
      <c r="HL742"/>
      <c r="HM742"/>
      <c r="HN742"/>
      <c r="HO742"/>
      <c r="HP742"/>
      <c r="HQ742"/>
      <c r="HR742"/>
      <c r="HS742"/>
      <c r="HT742"/>
      <c r="HU742"/>
      <c r="HV742"/>
      <c r="HW742"/>
      <c r="HX742"/>
      <c r="HY742"/>
      <c r="HZ742"/>
      <c r="IA742"/>
      <c r="IB742"/>
      <c r="IC742"/>
      <c r="ID742"/>
      <c r="IE742"/>
      <c r="IF742"/>
      <c r="IG742"/>
      <c r="IH742"/>
      <c r="II742"/>
      <c r="IJ742"/>
      <c r="IK742"/>
      <c r="IL742"/>
      <c r="IM742"/>
      <c r="IN742"/>
      <c r="IO742"/>
      <c r="IP742"/>
      <c r="IQ742"/>
      <c r="IR742"/>
      <c r="IS742"/>
      <c r="IT742"/>
      <c r="IU742"/>
      <c r="IV742"/>
      <c r="IW742"/>
      <c r="IX742"/>
      <c r="IY742"/>
      <c r="IZ742"/>
      <c r="JA742"/>
      <c r="JB742"/>
      <c r="JC742"/>
      <c r="JD742"/>
      <c r="JE742"/>
      <c r="JF742"/>
      <c r="JG742"/>
      <c r="JH742"/>
      <c r="JI742"/>
      <c r="JJ742"/>
      <c r="JK742"/>
      <c r="JL742"/>
      <c r="JM742"/>
      <c r="JN742"/>
    </row>
    <row r="743" spans="1:274" s="342" customFormat="1" hidden="1" outlineLevel="1" x14ac:dyDescent="0.2">
      <c r="A743" s="342" t="s">
        <v>751</v>
      </c>
      <c r="B743" s="20"/>
      <c r="AW743" s="259" t="str">
        <f>Model!AW104</f>
        <v>-</v>
      </c>
      <c r="BC743" s="259" t="str">
        <f>Model!BC104</f>
        <v>-</v>
      </c>
      <c r="BI743" s="259">
        <f>Model!BI104</f>
        <v>461.57500000000005</v>
      </c>
      <c r="BO743" s="259">
        <f>Model!BO104</f>
        <v>474</v>
      </c>
      <c r="BU743" s="259">
        <f>Model!BU104</f>
        <v>547</v>
      </c>
      <c r="CA743" s="259">
        <f>Model!CA104</f>
        <v>616</v>
      </c>
      <c r="CG743" s="259">
        <f>Model!CG104</f>
        <v>717</v>
      </c>
      <c r="CM743" s="259">
        <f>Model!CM104</f>
        <v>832</v>
      </c>
      <c r="CS743" s="259">
        <f>Model!CS104</f>
        <v>987</v>
      </c>
      <c r="CT743" s="475"/>
      <c r="CY743" s="259">
        <f>Model!CY104</f>
        <v>1075</v>
      </c>
      <c r="CZ743" s="475"/>
      <c r="DE743" s="51">
        <f>Model!DE104</f>
        <v>1046</v>
      </c>
      <c r="DF743" s="475"/>
      <c r="DK743" s="51">
        <f>Model!DK104</f>
        <v>1249</v>
      </c>
      <c r="DL743" s="475"/>
      <c r="DQ743" s="51">
        <f>Model!DQ104</f>
        <v>1208</v>
      </c>
      <c r="DR743" s="475"/>
      <c r="DW743" s="51">
        <f>Model!DW104</f>
        <v>1328</v>
      </c>
      <c r="DX743" s="475"/>
      <c r="EC743" s="51">
        <f>Model!EC104</f>
        <v>1889</v>
      </c>
      <c r="ED743" s="475"/>
      <c r="EI743" s="51">
        <f>Model!EI104</f>
        <v>2280</v>
      </c>
      <c r="EJ743" s="475"/>
      <c r="EO743" s="51">
        <f>Model!EO104</f>
        <v>2620</v>
      </c>
      <c r="EP743" s="475"/>
      <c r="EU743" s="51">
        <f>Model!EU104</f>
        <v>2955.2999999999997</v>
      </c>
      <c r="EV743" s="475"/>
      <c r="FA743" s="51">
        <f>Model!FA95</f>
        <v>0</v>
      </c>
      <c r="FB743" s="475"/>
      <c r="FG743" s="51">
        <f>Model!FG95</f>
        <v>0</v>
      </c>
      <c r="FH743" s="475"/>
      <c r="FM743" s="51">
        <f>Model!FM95</f>
        <v>0</v>
      </c>
      <c r="FQ743"/>
      <c r="FR743"/>
      <c r="FS743"/>
      <c r="FT743"/>
      <c r="FU743"/>
      <c r="FV743"/>
      <c r="GB743" s="24"/>
      <c r="GC743" s="24"/>
      <c r="GD743" s="24"/>
      <c r="GE743" s="24"/>
      <c r="GF743" s="24"/>
      <c r="GG743" s="24"/>
      <c r="GH743" s="24"/>
      <c r="GI743" s="24"/>
      <c r="GJ743"/>
      <c r="GK743"/>
      <c r="GL743"/>
      <c r="GM743"/>
      <c r="GN743"/>
      <c r="GO743"/>
      <c r="GP743"/>
      <c r="GQ743"/>
      <c r="GR743"/>
      <c r="GS743"/>
      <c r="GT743"/>
      <c r="GU743"/>
      <c r="GV743"/>
      <c r="GW743"/>
      <c r="GX743"/>
      <c r="GY743"/>
      <c r="GZ743"/>
      <c r="HA743"/>
      <c r="HB743"/>
      <c r="HC743"/>
      <c r="HD743"/>
      <c r="HE743"/>
      <c r="HF743"/>
      <c r="HG743"/>
      <c r="HH743"/>
      <c r="HI743"/>
      <c r="HJ743"/>
      <c r="HK743"/>
      <c r="HL743"/>
      <c r="HM743"/>
      <c r="HN743"/>
      <c r="HO743"/>
      <c r="HP743"/>
      <c r="HQ743"/>
      <c r="HR743"/>
      <c r="HS743"/>
      <c r="HT743"/>
      <c r="HU743"/>
      <c r="HV743"/>
      <c r="HW743"/>
      <c r="HX743"/>
      <c r="HY743"/>
      <c r="HZ743"/>
      <c r="IA743"/>
      <c r="IB743"/>
      <c r="IC743"/>
      <c r="ID743"/>
      <c r="IE743"/>
      <c r="IF743"/>
      <c r="IG743"/>
      <c r="IH743"/>
      <c r="II743"/>
      <c r="IJ743"/>
      <c r="IK743"/>
      <c r="IL743"/>
      <c r="IM743"/>
      <c r="IN743"/>
      <c r="IO743"/>
      <c r="IP743"/>
      <c r="IQ743"/>
      <c r="IR743"/>
      <c r="IS743"/>
      <c r="IT743"/>
      <c r="IU743"/>
      <c r="IV743"/>
      <c r="IW743"/>
      <c r="IX743"/>
      <c r="IY743"/>
      <c r="IZ743"/>
      <c r="JA743"/>
      <c r="JB743"/>
      <c r="JC743"/>
      <c r="JD743"/>
      <c r="JE743"/>
      <c r="JF743"/>
      <c r="JG743"/>
      <c r="JH743"/>
      <c r="JI743"/>
      <c r="JJ743"/>
      <c r="JK743"/>
      <c r="JL743"/>
      <c r="JM743"/>
      <c r="JN743"/>
    </row>
    <row r="744" spans="1:274" s="342" customFormat="1" hidden="1" outlineLevel="1" x14ac:dyDescent="0.2">
      <c r="A744" s="19" t="s">
        <v>1061</v>
      </c>
      <c r="B744" s="20"/>
      <c r="AW744" s="244"/>
      <c r="BC744" s="82"/>
      <c r="BI744" s="82"/>
      <c r="BO744" s="82">
        <f>BO743/BI743-1</f>
        <v>2.6918702269403516E-2</v>
      </c>
      <c r="BU744" s="82">
        <f>BU743/BO743-1</f>
        <v>0.15400843881856541</v>
      </c>
      <c r="CA744" s="82">
        <f>CA743/BU743-1</f>
        <v>0.12614259597806221</v>
      </c>
      <c r="CG744" s="82">
        <f>CG743/CA743-1</f>
        <v>0.16396103896103886</v>
      </c>
      <c r="CM744" s="782">
        <f>CM743/CG743-1</f>
        <v>0.16039051603905152</v>
      </c>
      <c r="CS744" s="782">
        <f>CS743/CM743-1</f>
        <v>0.18629807692307687</v>
      </c>
      <c r="CT744" s="475"/>
      <c r="CY744" s="782">
        <f>CY743/CS743-1</f>
        <v>8.9159067882472076E-2</v>
      </c>
      <c r="CZ744" s="475"/>
      <c r="DE744" s="783">
        <f>DE743/CY743-1</f>
        <v>-2.6976744186046564E-2</v>
      </c>
      <c r="DF744" s="475"/>
      <c r="DK744" s="783">
        <f>DK743/DE743-1</f>
        <v>0.1940726577437859</v>
      </c>
      <c r="DL744" s="475"/>
      <c r="DQ744" s="783">
        <f>DQ743/DK743-1</f>
        <v>-3.2826261008807034E-2</v>
      </c>
      <c r="DR744" s="475"/>
      <c r="DW744" s="783">
        <f>DW743/DQ743-1</f>
        <v>9.9337748344370924E-2</v>
      </c>
      <c r="DX744" s="475"/>
      <c r="EC744" s="783">
        <f>EC743/DW743-1</f>
        <v>0.42243975903614461</v>
      </c>
      <c r="ED744" s="475"/>
      <c r="EI744" s="783">
        <f>EI743/EC743-1</f>
        <v>0.20698782424563267</v>
      </c>
      <c r="EJ744" s="475"/>
      <c r="EO744" s="783">
        <f>EO743/EI743-1</f>
        <v>0.14912280701754388</v>
      </c>
      <c r="EP744" s="475"/>
      <c r="EU744" s="783">
        <f>EU743/EO743-1</f>
        <v>0.12797709923664113</v>
      </c>
      <c r="EV744" s="475"/>
      <c r="FA744" s="783">
        <f>FA743/EU743-1</f>
        <v>-1</v>
      </c>
      <c r="FB744" s="475"/>
      <c r="FG744" s="783" t="e">
        <f>FG743/FA743-1</f>
        <v>#DIV/0!</v>
      </c>
      <c r="FH744" s="475"/>
      <c r="FM744" s="783" t="e">
        <f>FM743/FG743-1</f>
        <v>#DIV/0!</v>
      </c>
      <c r="FQ744"/>
      <c r="FR744"/>
      <c r="FS744"/>
      <c r="FT744"/>
      <c r="FU744"/>
      <c r="FV744"/>
      <c r="GB744" s="24"/>
      <c r="GC744" s="24"/>
      <c r="GD744" s="24"/>
      <c r="GE744" s="24"/>
      <c r="GF744" s="24"/>
      <c r="GG744" s="24"/>
      <c r="GH744" s="24"/>
      <c r="GI744" s="24"/>
      <c r="GJ744"/>
      <c r="GK744"/>
      <c r="GL744"/>
      <c r="GM744"/>
      <c r="GN744"/>
      <c r="GO744"/>
      <c r="GP744"/>
      <c r="GQ744"/>
      <c r="GR744"/>
      <c r="GS744"/>
      <c r="GT744"/>
      <c r="GU744"/>
      <c r="GV744"/>
      <c r="GW744"/>
      <c r="GX744"/>
      <c r="GY744"/>
      <c r="GZ744"/>
      <c r="HA744"/>
      <c r="HB744"/>
      <c r="HC744"/>
      <c r="HD744"/>
      <c r="HE744"/>
      <c r="HF744"/>
      <c r="HG744"/>
      <c r="HH744"/>
      <c r="HI744"/>
      <c r="HJ744"/>
      <c r="HK744"/>
      <c r="HL744"/>
      <c r="HM744"/>
      <c r="HN744"/>
      <c r="HO744"/>
      <c r="HP744"/>
      <c r="HQ744"/>
      <c r="HR744"/>
      <c r="HS744"/>
      <c r="HT744"/>
      <c r="HU744"/>
      <c r="HV744"/>
      <c r="HW744"/>
      <c r="HX744"/>
      <c r="HY744"/>
      <c r="HZ744"/>
      <c r="IA744"/>
      <c r="IB744"/>
      <c r="IC744"/>
      <c r="ID744"/>
      <c r="IE744"/>
      <c r="IF744"/>
      <c r="IG744"/>
      <c r="IH744"/>
      <c r="II744"/>
      <c r="IJ744"/>
      <c r="IK744"/>
      <c r="IL744"/>
      <c r="IM744"/>
      <c r="IN744"/>
      <c r="IO744"/>
      <c r="IP744"/>
      <c r="IQ744"/>
      <c r="IR744"/>
      <c r="IS744"/>
      <c r="IT744"/>
      <c r="IU744"/>
      <c r="IV744"/>
      <c r="IW744"/>
      <c r="IX744"/>
      <c r="IY744"/>
      <c r="IZ744"/>
      <c r="JA744"/>
      <c r="JB744"/>
      <c r="JC744"/>
      <c r="JD744"/>
      <c r="JE744"/>
      <c r="JF744"/>
      <c r="JG744"/>
      <c r="JH744"/>
      <c r="JI744"/>
      <c r="JJ744"/>
      <c r="JK744"/>
      <c r="JL744"/>
      <c r="JM744"/>
      <c r="JN744"/>
    </row>
    <row r="745" spans="1:274" s="342" customFormat="1" ht="6" hidden="1" customHeight="1" outlineLevel="1" x14ac:dyDescent="0.2">
      <c r="B745" s="20"/>
      <c r="CT745" s="475"/>
      <c r="CZ745" s="475"/>
      <c r="DE745" s="475"/>
      <c r="DF745" s="475"/>
      <c r="DK745" s="475"/>
      <c r="DL745" s="475"/>
      <c r="DQ745" s="475"/>
      <c r="DR745" s="475"/>
      <c r="DW745" s="475"/>
      <c r="DX745" s="475"/>
      <c r="EC745" s="475"/>
      <c r="ED745" s="475"/>
      <c r="EI745" s="475"/>
      <c r="EJ745" s="475"/>
      <c r="EO745" s="475"/>
      <c r="EP745" s="475"/>
      <c r="EU745" s="475"/>
      <c r="EV745" s="475"/>
      <c r="FA745" s="475"/>
      <c r="FB745" s="475"/>
      <c r="FG745" s="475"/>
      <c r="FH745" s="475"/>
      <c r="FM745" s="475"/>
      <c r="FQ745"/>
      <c r="FR745"/>
      <c r="FS745"/>
      <c r="FT745"/>
      <c r="FU745"/>
      <c r="FV745"/>
      <c r="GB745" s="24"/>
      <c r="GC745" s="24"/>
      <c r="GD745" s="24"/>
      <c r="GE745" s="24"/>
      <c r="GF745" s="24"/>
      <c r="GG745" s="24"/>
      <c r="GH745" s="24"/>
      <c r="GI745" s="24"/>
      <c r="GJ745"/>
      <c r="GK745"/>
      <c r="GL745"/>
      <c r="GM745"/>
      <c r="GN745"/>
      <c r="GO745"/>
      <c r="GP745"/>
      <c r="GQ745"/>
      <c r="GR745"/>
      <c r="GS745"/>
      <c r="GT745"/>
      <c r="GU745"/>
      <c r="GV745"/>
      <c r="GW745"/>
      <c r="GX745"/>
      <c r="GY745"/>
      <c r="GZ745"/>
      <c r="HA745"/>
      <c r="HB745"/>
      <c r="HC745"/>
      <c r="HD745"/>
      <c r="HE745"/>
      <c r="HF745"/>
      <c r="HG745"/>
      <c r="HH745"/>
      <c r="HI745"/>
      <c r="HJ745"/>
      <c r="HK745"/>
      <c r="HL745"/>
      <c r="HM745"/>
      <c r="HN745"/>
      <c r="HO745"/>
      <c r="HP745"/>
      <c r="HQ745"/>
      <c r="HR745"/>
      <c r="HS745"/>
      <c r="HT745"/>
      <c r="HU745"/>
      <c r="HV745"/>
      <c r="HW745"/>
      <c r="HX745"/>
      <c r="HY745"/>
      <c r="HZ745"/>
      <c r="IA745"/>
      <c r="IB745"/>
      <c r="IC745"/>
      <c r="ID745"/>
      <c r="IE745"/>
      <c r="IF745"/>
      <c r="IG745"/>
      <c r="IH745"/>
      <c r="II745"/>
      <c r="IJ745"/>
      <c r="IK745"/>
      <c r="IL745"/>
      <c r="IM745"/>
      <c r="IN745"/>
      <c r="IO745"/>
      <c r="IP745"/>
      <c r="IQ745"/>
      <c r="IR745"/>
      <c r="IS745"/>
      <c r="IT745"/>
      <c r="IU745"/>
      <c r="IV745"/>
      <c r="IW745"/>
      <c r="IX745"/>
      <c r="IY745"/>
      <c r="IZ745"/>
      <c r="JA745"/>
      <c r="JB745"/>
      <c r="JC745"/>
      <c r="JD745"/>
      <c r="JE745"/>
      <c r="JF745"/>
      <c r="JG745"/>
      <c r="JH745"/>
      <c r="JI745"/>
      <c r="JJ745"/>
      <c r="JK745"/>
      <c r="JL745"/>
      <c r="JM745"/>
      <c r="JN745"/>
    </row>
    <row r="746" spans="1:274" s="342" customFormat="1" hidden="1" outlineLevel="1" x14ac:dyDescent="0.2">
      <c r="A746" s="342" t="s">
        <v>266</v>
      </c>
      <c r="B746" s="20"/>
      <c r="AW746" s="244">
        <f>AW292</f>
        <v>4969.6900055724918</v>
      </c>
      <c r="BC746" s="244">
        <f>BC292</f>
        <v>4960.4655980594616</v>
      </c>
      <c r="BI746" s="244">
        <f>BI292</f>
        <v>4567.0527092142784</v>
      </c>
      <c r="BO746" s="244">
        <f>BO292</f>
        <v>4237.4015144065297</v>
      </c>
      <c r="BU746" s="244">
        <f>BU292</f>
        <v>4129.4597633330059</v>
      </c>
      <c r="BV746" s="244"/>
      <c r="CA746" s="244">
        <f>CA292</f>
        <v>4937</v>
      </c>
      <c r="CG746" s="244">
        <f>CG292</f>
        <v>5500</v>
      </c>
      <c r="CM746" s="244">
        <f>CM292</f>
        <v>6775</v>
      </c>
      <c r="CS746" s="244">
        <f>CS292</f>
        <v>7642</v>
      </c>
      <c r="CT746" s="475"/>
      <c r="CY746" s="244">
        <f>CY292</f>
        <v>8000</v>
      </c>
      <c r="CZ746" s="475"/>
      <c r="DE746" s="131">
        <f>DE292</f>
        <v>9000</v>
      </c>
      <c r="DF746" s="475"/>
      <c r="DK746" s="131">
        <f>DK292</f>
        <v>9000</v>
      </c>
      <c r="DL746" s="475"/>
      <c r="DQ746" s="131">
        <f>DQ292</f>
        <v>9559.1954181999281</v>
      </c>
      <c r="DR746" s="475"/>
      <c r="DW746" s="131">
        <f>DW292</f>
        <v>9000</v>
      </c>
      <c r="DX746" s="475"/>
      <c r="EC746" s="131">
        <f>EC292</f>
        <v>9000</v>
      </c>
      <c r="ED746" s="475"/>
      <c r="EI746" s="131">
        <f>EI292</f>
        <v>11000</v>
      </c>
      <c r="EJ746" s="475"/>
      <c r="EO746" s="131">
        <f>EO292</f>
        <v>10000</v>
      </c>
      <c r="EP746" s="475"/>
      <c r="EU746" s="131">
        <f>EU292</f>
        <v>9000</v>
      </c>
      <c r="EV746" s="475"/>
      <c r="FA746" s="131">
        <f>FA292</f>
        <v>9422.1314175978241</v>
      </c>
      <c r="FB746" s="475"/>
      <c r="FG746" s="131">
        <f>FG292</f>
        <v>9829.1209731902254</v>
      </c>
      <c r="FH746" s="475"/>
      <c r="FM746" s="131">
        <f>FM292</f>
        <v>10257.635371745804</v>
      </c>
      <c r="FQ746"/>
      <c r="FR746"/>
      <c r="FS746"/>
      <c r="FT746"/>
      <c r="FU746"/>
      <c r="FV746"/>
      <c r="GB746" s="24"/>
      <c r="GC746" s="24"/>
      <c r="GD746" s="24"/>
      <c r="GE746" s="24"/>
      <c r="GF746" s="24"/>
      <c r="GG746" s="24"/>
      <c r="GH746" s="24"/>
      <c r="GI746" s="24"/>
      <c r="GJ746"/>
      <c r="GK746"/>
      <c r="GL746"/>
      <c r="GM746"/>
      <c r="GN746"/>
      <c r="GO746"/>
      <c r="GP746"/>
      <c r="GQ746"/>
      <c r="GR746"/>
      <c r="GS746"/>
      <c r="GT746"/>
      <c r="GU746"/>
      <c r="GV746"/>
      <c r="GW746"/>
      <c r="GX746"/>
      <c r="GY746"/>
      <c r="GZ746"/>
      <c r="HA746"/>
      <c r="HB746"/>
      <c r="HC746"/>
      <c r="HD746"/>
      <c r="HE746"/>
      <c r="HF746"/>
      <c r="HG746"/>
      <c r="HH746"/>
      <c r="HI746"/>
      <c r="HJ746"/>
      <c r="HK746"/>
      <c r="HL746"/>
      <c r="HM746"/>
      <c r="HN746"/>
      <c r="HO746"/>
      <c r="HP746"/>
      <c r="HQ746"/>
      <c r="HR746"/>
      <c r="HS746"/>
      <c r="HT746"/>
      <c r="HU746"/>
      <c r="HV746"/>
      <c r="HW746"/>
      <c r="HX746"/>
      <c r="HY746"/>
      <c r="HZ746"/>
      <c r="IA746"/>
      <c r="IB746"/>
      <c r="IC746"/>
      <c r="ID746"/>
      <c r="IE746"/>
      <c r="IF746"/>
      <c r="IG746"/>
      <c r="IH746"/>
      <c r="II746"/>
      <c r="IJ746"/>
      <c r="IK746"/>
      <c r="IL746"/>
      <c r="IM746"/>
      <c r="IN746"/>
      <c r="IO746"/>
      <c r="IP746"/>
      <c r="IQ746"/>
      <c r="IR746"/>
      <c r="IS746"/>
      <c r="IT746"/>
      <c r="IU746"/>
      <c r="IV746"/>
      <c r="IW746"/>
      <c r="IX746"/>
      <c r="IY746"/>
      <c r="IZ746"/>
      <c r="JA746"/>
      <c r="JB746"/>
      <c r="JC746"/>
      <c r="JD746"/>
      <c r="JE746"/>
      <c r="JF746"/>
      <c r="JG746"/>
      <c r="JH746"/>
      <c r="JI746"/>
      <c r="JJ746"/>
      <c r="JK746"/>
      <c r="JL746"/>
      <c r="JM746"/>
      <c r="JN746"/>
    </row>
    <row r="747" spans="1:274" s="342" customFormat="1" ht="5.25" hidden="1" customHeight="1" outlineLevel="1" x14ac:dyDescent="0.2">
      <c r="B747" s="20"/>
      <c r="CT747" s="475"/>
      <c r="CZ747" s="475"/>
      <c r="DE747" s="475"/>
      <c r="DF747" s="475"/>
      <c r="DK747" s="475"/>
      <c r="DL747" s="475"/>
      <c r="DQ747" s="475"/>
      <c r="DR747" s="475"/>
      <c r="DW747" s="475"/>
      <c r="DX747" s="475"/>
      <c r="EC747" s="475"/>
      <c r="ED747" s="475"/>
      <c r="EI747" s="475"/>
      <c r="EJ747" s="475"/>
      <c r="EO747" s="475"/>
      <c r="EP747" s="475"/>
      <c r="EU747" s="475"/>
      <c r="EV747" s="475"/>
      <c r="FA747" s="475"/>
      <c r="FB747" s="475"/>
      <c r="FG747" s="475"/>
      <c r="FH747" s="475"/>
      <c r="FM747" s="475"/>
      <c r="FQ747"/>
      <c r="FR747"/>
      <c r="FS747"/>
      <c r="FT747"/>
      <c r="FU747"/>
      <c r="FV747"/>
      <c r="GB747" s="24"/>
      <c r="GC747" s="24"/>
      <c r="GD747" s="24"/>
      <c r="GE747" s="24"/>
      <c r="GF747" s="24"/>
      <c r="GG747" s="24"/>
      <c r="GH747" s="24"/>
      <c r="GI747" s="24"/>
      <c r="GJ747"/>
      <c r="GK747"/>
      <c r="GL747"/>
      <c r="GM747"/>
      <c r="GN747"/>
      <c r="GO747"/>
      <c r="GP747"/>
      <c r="GQ747"/>
      <c r="GR747"/>
      <c r="GS747"/>
      <c r="GT747"/>
      <c r="GU747"/>
      <c r="GV747"/>
      <c r="GW747"/>
      <c r="GX747"/>
      <c r="GY747"/>
      <c r="GZ747"/>
      <c r="HA747"/>
      <c r="HB747"/>
      <c r="HC747"/>
      <c r="HD747"/>
      <c r="HE747"/>
      <c r="HF747"/>
      <c r="HG747"/>
      <c r="HH747"/>
      <c r="HI747"/>
      <c r="HJ747"/>
      <c r="HK747"/>
      <c r="HL747"/>
      <c r="HM747"/>
      <c r="HN747"/>
      <c r="HO747"/>
      <c r="HP747"/>
      <c r="HQ747"/>
      <c r="HR747"/>
      <c r="HS747"/>
      <c r="HT747"/>
      <c r="HU747"/>
      <c r="HV747"/>
      <c r="HW747"/>
      <c r="HX747"/>
      <c r="HY747"/>
      <c r="HZ747"/>
      <c r="IA747"/>
      <c r="IB747"/>
      <c r="IC747"/>
      <c r="ID747"/>
      <c r="IE747"/>
      <c r="IF747"/>
      <c r="IG747"/>
      <c r="IH747"/>
      <c r="II747"/>
      <c r="IJ747"/>
      <c r="IK747"/>
      <c r="IL747"/>
      <c r="IM747"/>
      <c r="IN747"/>
      <c r="IO747"/>
      <c r="IP747"/>
      <c r="IQ747"/>
      <c r="IR747"/>
      <c r="IS747"/>
      <c r="IT747"/>
      <c r="IU747"/>
      <c r="IV747"/>
      <c r="IW747"/>
      <c r="IX747"/>
      <c r="IY747"/>
      <c r="IZ747"/>
      <c r="JA747"/>
      <c r="JB747"/>
      <c r="JC747"/>
      <c r="JD747"/>
      <c r="JE747"/>
      <c r="JF747"/>
      <c r="JG747"/>
      <c r="JH747"/>
      <c r="JI747"/>
      <c r="JJ747"/>
      <c r="JK747"/>
      <c r="JL747"/>
      <c r="JM747"/>
      <c r="JN747"/>
    </row>
    <row r="748" spans="1:274" s="342" customFormat="1" hidden="1" outlineLevel="1" x14ac:dyDescent="0.2">
      <c r="A748" s="342" t="s">
        <v>267</v>
      </c>
      <c r="B748" s="20"/>
      <c r="AW748" s="788">
        <f>AW740/AW746*1000000</f>
        <v>599408.2119125746</v>
      </c>
      <c r="BC748" s="788">
        <f>BC740/BC746*1000000</f>
        <v>719726.59207568283</v>
      </c>
      <c r="BI748" s="788">
        <f>BI740/BI746*1000000</f>
        <v>775168.6318087331</v>
      </c>
      <c r="BO748" s="788">
        <f>BO740/BO746*1000000</f>
        <v>927313.58749946859</v>
      </c>
      <c r="BU748" s="788">
        <f>BU740/BU746*1000000</f>
        <v>1096753.6335417673</v>
      </c>
      <c r="CA748" s="788">
        <f>CA740/CA746*1000000</f>
        <v>1144622.2402268585</v>
      </c>
      <c r="CG748" s="788">
        <f>CG740/CG746*1000000</f>
        <v>1277818.1818181816</v>
      </c>
      <c r="CM748" s="177">
        <f>CM740/CM746*1000000</f>
        <v>1260664.2066420664</v>
      </c>
      <c r="CN748" s="177"/>
      <c r="CO748" s="177"/>
      <c r="CP748" s="177"/>
      <c r="CQ748" s="177"/>
      <c r="CR748" s="177"/>
      <c r="CS748" s="177">
        <f>CS740/CS746*1000000</f>
        <v>1374901.8581523162</v>
      </c>
      <c r="CT748" s="785"/>
      <c r="CU748" s="177"/>
      <c r="CV748" s="177"/>
      <c r="CW748" s="177"/>
      <c r="CX748" s="177"/>
      <c r="CY748" s="177">
        <f>CY740/CY746*1000000</f>
        <v>1499625</v>
      </c>
      <c r="CZ748" s="785"/>
      <c r="DA748" s="177"/>
      <c r="DB748" s="177"/>
      <c r="DC748" s="177"/>
      <c r="DD748" s="177"/>
      <c r="DE748" s="785">
        <f>DE740/DE746*1000000</f>
        <v>1464111.1111111112</v>
      </c>
      <c r="DF748" s="785"/>
      <c r="DG748" s="177"/>
      <c r="DH748" s="177"/>
      <c r="DI748" s="177"/>
      <c r="DJ748" s="177"/>
      <c r="DK748" s="785">
        <f>DK740/DK746*1000000</f>
        <v>1657888.888888889</v>
      </c>
      <c r="DL748" s="785"/>
      <c r="DM748" s="177"/>
      <c r="DN748" s="177"/>
      <c r="DO748" s="177"/>
      <c r="DP748" s="177"/>
      <c r="DQ748" s="785">
        <f>DQ740/DQ746*1000000</f>
        <v>1700875.365414561</v>
      </c>
      <c r="DR748" s="785"/>
      <c r="DS748" s="177"/>
      <c r="DT748" s="177"/>
      <c r="DU748" s="177"/>
      <c r="DV748" s="177"/>
      <c r="DW748" s="785">
        <f>DW740/DW746*1000000</f>
        <v>1906333.3333333335</v>
      </c>
      <c r="DX748" s="785"/>
      <c r="DY748" s="177"/>
      <c r="DZ748" s="177"/>
      <c r="EA748" s="177"/>
      <c r="EB748" s="177"/>
      <c r="EC748" s="785">
        <f>EC740/EC746*1000000</f>
        <v>2023222.222222222</v>
      </c>
      <c r="ED748" s="785"/>
      <c r="EE748" s="177"/>
      <c r="EF748" s="177"/>
      <c r="EG748" s="177"/>
      <c r="EH748" s="177"/>
      <c r="EI748" s="785">
        <f>EI740/EI746*1000000</f>
        <v>1714181.8181818184</v>
      </c>
      <c r="EJ748" s="785"/>
      <c r="EK748" s="177"/>
      <c r="EL748" s="177"/>
      <c r="EM748" s="177"/>
      <c r="EN748" s="177"/>
      <c r="EO748" s="785">
        <f>EO740/EO746*1000000</f>
        <v>1886400</v>
      </c>
      <c r="EP748" s="785"/>
      <c r="EQ748" s="1789"/>
      <c r="ER748" s="1789"/>
      <c r="ES748" s="1789"/>
      <c r="ET748" s="1789"/>
      <c r="EU748" s="785">
        <f>EU740/EU746*1000000</f>
        <v>2136666.6666666665</v>
      </c>
      <c r="EV748" s="1791"/>
      <c r="EW748" s="1789"/>
      <c r="EX748" s="1789"/>
      <c r="EY748" s="1789"/>
      <c r="EZ748" s="1789"/>
      <c r="FA748" s="1791">
        <f>FA740/FA746*1000000</f>
        <v>2126045.3371180906</v>
      </c>
      <c r="FB748" s="1791"/>
      <c r="FC748" s="1789"/>
      <c r="FD748" s="1789"/>
      <c r="FE748" s="1789"/>
      <c r="FF748" s="1789"/>
      <c r="FG748" s="1791">
        <f>FG740/FG746*1000000</f>
        <v>2105029.6106058108</v>
      </c>
      <c r="FH748" s="1791"/>
      <c r="FI748" s="1789"/>
      <c r="FJ748" s="1789"/>
      <c r="FK748" s="1789"/>
      <c r="FL748" s="1789"/>
      <c r="FM748" s="1791">
        <f>FM740/FM746*1000000</f>
        <v>2064824.1047775068</v>
      </c>
      <c r="FQ748"/>
      <c r="FR748"/>
      <c r="FS748"/>
      <c r="FT748"/>
      <c r="FU748"/>
      <c r="FV748"/>
      <c r="GB748" s="24"/>
      <c r="GC748" s="24"/>
      <c r="GD748" s="24"/>
      <c r="GE748" s="24"/>
      <c r="GF748" s="24"/>
      <c r="GG748" s="24"/>
      <c r="GH748" s="24"/>
      <c r="GI748" s="24"/>
      <c r="GJ748"/>
      <c r="GK748"/>
      <c r="GL748"/>
      <c r="GM748"/>
      <c r="GN748"/>
      <c r="GO748"/>
      <c r="GP748"/>
      <c r="GQ748"/>
      <c r="GR748"/>
      <c r="GS748"/>
      <c r="GT748"/>
      <c r="GU748"/>
      <c r="GV748"/>
      <c r="GW748"/>
      <c r="GX748"/>
      <c r="GY748"/>
      <c r="GZ748"/>
      <c r="HA748"/>
      <c r="HB748"/>
      <c r="HC748"/>
      <c r="HD748"/>
      <c r="HE748"/>
      <c r="HF748"/>
      <c r="HG748"/>
      <c r="HH748"/>
      <c r="HI748"/>
      <c r="HJ748"/>
      <c r="HK748"/>
      <c r="HL748"/>
      <c r="HM748"/>
      <c r="HN748"/>
      <c r="HO748"/>
      <c r="HP748"/>
      <c r="HQ748"/>
      <c r="HR748"/>
      <c r="HS748"/>
      <c r="HT748"/>
      <c r="HU748"/>
      <c r="HV748"/>
      <c r="HW748"/>
      <c r="HX748"/>
      <c r="HY748"/>
      <c r="HZ748"/>
      <c r="IA748"/>
      <c r="IB748"/>
      <c r="IC748"/>
      <c r="ID748"/>
      <c r="IE748"/>
      <c r="IF748"/>
      <c r="IG748"/>
      <c r="IH748"/>
      <c r="II748"/>
      <c r="IJ748"/>
      <c r="IK748"/>
      <c r="IL748"/>
      <c r="IM748"/>
      <c r="IN748"/>
      <c r="IO748"/>
      <c r="IP748"/>
      <c r="IQ748"/>
      <c r="IR748"/>
      <c r="IS748"/>
      <c r="IT748"/>
      <c r="IU748"/>
      <c r="IV748"/>
      <c r="IW748"/>
      <c r="IX748"/>
      <c r="IY748"/>
      <c r="IZ748"/>
      <c r="JA748"/>
      <c r="JB748"/>
      <c r="JC748"/>
      <c r="JD748"/>
      <c r="JE748"/>
      <c r="JF748"/>
      <c r="JG748"/>
      <c r="JH748"/>
      <c r="JI748"/>
      <c r="JJ748"/>
      <c r="JK748"/>
      <c r="JL748"/>
      <c r="JM748"/>
      <c r="JN748"/>
    </row>
    <row r="749" spans="1:274" s="342" customFormat="1" hidden="1" outlineLevel="1" x14ac:dyDescent="0.2">
      <c r="A749" s="342" t="s">
        <v>268</v>
      </c>
      <c r="B749" s="20"/>
      <c r="BI749" s="788">
        <f>BI743/BI746*1000000</f>
        <v>101066.27389448501</v>
      </c>
      <c r="BO749" s="788">
        <f>BO743/BO746*1000000</f>
        <v>111861.00689030084</v>
      </c>
      <c r="BU749" s="788">
        <f>BU743/BU746*1000000</f>
        <v>132462.84776934129</v>
      </c>
      <c r="CA749" s="788">
        <f>CA743/CA746*1000000</f>
        <v>124772.12882317197</v>
      </c>
      <c r="CG749" s="788">
        <f>CG743/CG746*1000000</f>
        <v>130363.63636363638</v>
      </c>
      <c r="CM749" s="177">
        <f>CM743/CM746*1000000</f>
        <v>122804.42804428044</v>
      </c>
      <c r="CN749" s="177"/>
      <c r="CO749" s="177"/>
      <c r="CP749" s="177"/>
      <c r="CQ749" s="177"/>
      <c r="CR749" s="177"/>
      <c r="CS749" s="177">
        <f>CS743/CS746*1000000</f>
        <v>129154.67155194977</v>
      </c>
      <c r="CT749" s="785"/>
      <c r="CU749" s="177"/>
      <c r="CV749" s="177"/>
      <c r="CW749" s="177"/>
      <c r="CX749" s="177"/>
      <c r="CY749" s="177">
        <f>CY743/CY746*1000000</f>
        <v>134375</v>
      </c>
      <c r="CZ749" s="785"/>
      <c r="DA749" s="177"/>
      <c r="DB749" s="177"/>
      <c r="DC749" s="177"/>
      <c r="DD749" s="177"/>
      <c r="DE749" s="785">
        <f>DE743/DE746*1000000</f>
        <v>116222.22222222223</v>
      </c>
      <c r="DF749" s="785"/>
      <c r="DG749" s="177"/>
      <c r="DH749" s="177"/>
      <c r="DI749" s="177"/>
      <c r="DJ749" s="177"/>
      <c r="DK749" s="785">
        <f>DK743/DK746*1000000</f>
        <v>138777.77777777778</v>
      </c>
      <c r="DL749" s="785"/>
      <c r="DM749" s="177"/>
      <c r="DN749" s="177"/>
      <c r="DO749" s="177"/>
      <c r="DP749" s="177"/>
      <c r="DQ749" s="785">
        <f>DQ743/DQ746*1000000</f>
        <v>126370.46813585029</v>
      </c>
      <c r="DR749" s="785"/>
      <c r="DS749" s="177"/>
      <c r="DT749" s="177"/>
      <c r="DU749" s="177"/>
      <c r="DV749" s="177"/>
      <c r="DW749" s="785">
        <f>DW743/DW746*1000000</f>
        <v>147555.55555555556</v>
      </c>
      <c r="DX749" s="785"/>
      <c r="DY749" s="177"/>
      <c r="DZ749" s="177"/>
      <c r="EA749" s="177"/>
      <c r="EB749" s="177"/>
      <c r="EC749" s="785">
        <f>EC743/EC746*1000000</f>
        <v>209888.88888888891</v>
      </c>
      <c r="ED749" s="785"/>
      <c r="EE749" s="177"/>
      <c r="EF749" s="177"/>
      <c r="EG749" s="177"/>
      <c r="EH749" s="177"/>
      <c r="EI749" s="785">
        <f>EI743/EI746*1000000</f>
        <v>207272.72727272726</v>
      </c>
      <c r="EJ749" s="785"/>
      <c r="EK749" s="177"/>
      <c r="EL749" s="177"/>
      <c r="EM749" s="177"/>
      <c r="EN749" s="177"/>
      <c r="EO749" s="785">
        <f>EO743/EO746*1000000</f>
        <v>262000</v>
      </c>
      <c r="EP749" s="785"/>
      <c r="EQ749" s="1789"/>
      <c r="ER749" s="1789"/>
      <c r="ES749" s="1789"/>
      <c r="ET749" s="1789"/>
      <c r="EU749" s="785">
        <f>EU743/EU746*1000000</f>
        <v>328366.66666666663</v>
      </c>
      <c r="EV749" s="1791"/>
      <c r="EW749" s="1789"/>
      <c r="EX749" s="1789"/>
      <c r="EY749" s="1789"/>
      <c r="EZ749" s="1789"/>
      <c r="FA749" s="1791">
        <f>FA743/FA746*1000000</f>
        <v>0</v>
      </c>
      <c r="FB749" s="1791"/>
      <c r="FC749" s="1789"/>
      <c r="FD749" s="1789"/>
      <c r="FE749" s="1789"/>
      <c r="FF749" s="1789"/>
      <c r="FG749" s="1791">
        <f>FG743/FG746*1000000</f>
        <v>0</v>
      </c>
      <c r="FH749" s="1791"/>
      <c r="FI749" s="1789"/>
      <c r="FJ749" s="1789"/>
      <c r="FK749" s="1789"/>
      <c r="FL749" s="1789"/>
      <c r="FM749" s="1791">
        <f>FM743/FM746*1000000</f>
        <v>0</v>
      </c>
      <c r="FQ749"/>
      <c r="FR749"/>
      <c r="FS749"/>
      <c r="FT749"/>
      <c r="FU749"/>
      <c r="FV749"/>
      <c r="GB749" s="24"/>
      <c r="GC749" s="24"/>
      <c r="GD749" s="24"/>
      <c r="GE749" s="24"/>
      <c r="GF749" s="24"/>
      <c r="GG749" s="24"/>
      <c r="GH749" s="24"/>
      <c r="GI749" s="24"/>
      <c r="GJ749"/>
      <c r="GK749"/>
      <c r="GL749"/>
      <c r="GM749"/>
      <c r="GN749"/>
      <c r="GO749"/>
      <c r="GP749"/>
      <c r="GQ749"/>
      <c r="GR749"/>
      <c r="GS749"/>
      <c r="GT749"/>
      <c r="GU749"/>
      <c r="GV749"/>
      <c r="GW749"/>
      <c r="GX749"/>
      <c r="GY749"/>
      <c r="GZ749"/>
      <c r="HA749"/>
      <c r="HB749"/>
      <c r="HC749"/>
      <c r="HD749"/>
      <c r="HE749"/>
      <c r="HF749"/>
      <c r="HG749"/>
      <c r="HH749"/>
      <c r="HI749"/>
      <c r="HJ749"/>
      <c r="HK749"/>
      <c r="HL749"/>
      <c r="HM749"/>
      <c r="HN749"/>
      <c r="HO749"/>
      <c r="HP749"/>
      <c r="HQ749"/>
      <c r="HR749"/>
      <c r="HS749"/>
      <c r="HT749"/>
      <c r="HU749"/>
      <c r="HV749"/>
      <c r="HW749"/>
      <c r="HX749"/>
      <c r="HY749"/>
      <c r="HZ749"/>
      <c r="IA749"/>
      <c r="IB749"/>
      <c r="IC749"/>
      <c r="ID749"/>
      <c r="IE749"/>
      <c r="IF749"/>
      <c r="IG749"/>
      <c r="IH749"/>
      <c r="II749"/>
      <c r="IJ749"/>
      <c r="IK749"/>
      <c r="IL749"/>
      <c r="IM749"/>
      <c r="IN749"/>
      <c r="IO749"/>
      <c r="IP749"/>
      <c r="IQ749"/>
      <c r="IR749"/>
      <c r="IS749"/>
      <c r="IT749"/>
      <c r="IU749"/>
      <c r="IV749"/>
      <c r="IW749"/>
      <c r="IX749"/>
      <c r="IY749"/>
      <c r="IZ749"/>
      <c r="JA749"/>
      <c r="JB749"/>
      <c r="JC749"/>
      <c r="JD749"/>
      <c r="JE749"/>
      <c r="JF749"/>
      <c r="JG749"/>
      <c r="JH749"/>
      <c r="JI749"/>
      <c r="JJ749"/>
      <c r="JK749"/>
      <c r="JL749"/>
      <c r="JM749"/>
      <c r="JN749"/>
    </row>
    <row r="750" spans="1:274" s="342" customFormat="1" ht="6.75" hidden="1" customHeight="1" outlineLevel="1" x14ac:dyDescent="0.2">
      <c r="B750" s="20"/>
      <c r="CT750" s="475"/>
      <c r="CZ750" s="475"/>
      <c r="DE750" s="475"/>
      <c r="DF750" s="475"/>
      <c r="DK750" s="475"/>
      <c r="DL750" s="475"/>
      <c r="DQ750" s="475"/>
      <c r="DR750" s="475"/>
      <c r="DW750" s="475"/>
      <c r="DX750" s="475"/>
      <c r="EC750" s="475"/>
      <c r="ED750" s="475"/>
      <c r="EI750" s="475"/>
      <c r="EJ750" s="475"/>
      <c r="EO750" s="475"/>
      <c r="EP750" s="475"/>
      <c r="EU750" s="475"/>
      <c r="EV750" s="475"/>
      <c r="FA750" s="475"/>
      <c r="FB750" s="475"/>
      <c r="FG750" s="475"/>
      <c r="FH750" s="475"/>
      <c r="FM750" s="475"/>
      <c r="FQ750"/>
      <c r="FR750"/>
      <c r="FS750"/>
      <c r="FT750"/>
      <c r="FU750"/>
      <c r="FV750"/>
      <c r="GB750" s="24"/>
      <c r="GC750" s="24"/>
      <c r="GD750" s="24"/>
      <c r="GE750" s="24"/>
      <c r="GF750" s="24"/>
      <c r="GG750" s="24"/>
      <c r="GH750" s="24"/>
      <c r="GI750" s="24"/>
      <c r="GJ750"/>
      <c r="GK750"/>
      <c r="GL750"/>
      <c r="GM750"/>
      <c r="GN750"/>
      <c r="GO750"/>
      <c r="GP750"/>
      <c r="GQ750"/>
      <c r="GR750"/>
      <c r="GS750"/>
      <c r="GT750"/>
      <c r="GU750"/>
      <c r="GV750"/>
      <c r="GW750"/>
      <c r="GX750"/>
      <c r="GY750"/>
      <c r="GZ750"/>
      <c r="HA750"/>
      <c r="HB750"/>
      <c r="HC750"/>
      <c r="HD750"/>
      <c r="HE750"/>
      <c r="HF750"/>
      <c r="HG750"/>
      <c r="HH750"/>
      <c r="HI750"/>
      <c r="HJ750"/>
      <c r="HK750"/>
      <c r="HL750"/>
      <c r="HM750"/>
      <c r="HN750"/>
      <c r="HO750"/>
      <c r="HP750"/>
      <c r="HQ750"/>
      <c r="HR750"/>
      <c r="HS750"/>
      <c r="HT750"/>
      <c r="HU750"/>
      <c r="HV750"/>
      <c r="HW750"/>
      <c r="HX750"/>
      <c r="HY750"/>
      <c r="HZ750"/>
      <c r="IA750"/>
      <c r="IB750"/>
      <c r="IC750"/>
      <c r="ID750"/>
      <c r="IE750"/>
      <c r="IF750"/>
      <c r="IG750"/>
      <c r="IH750"/>
      <c r="II750"/>
      <c r="IJ750"/>
      <c r="IK750"/>
      <c r="IL750"/>
      <c r="IM750"/>
      <c r="IN750"/>
      <c r="IO750"/>
      <c r="IP750"/>
      <c r="IQ750"/>
      <c r="IR750"/>
      <c r="IS750"/>
      <c r="IT750"/>
      <c r="IU750"/>
      <c r="IV750"/>
      <c r="IW750"/>
      <c r="IX750"/>
      <c r="IY750"/>
      <c r="IZ750"/>
      <c r="JA750"/>
      <c r="JB750"/>
      <c r="JC750"/>
      <c r="JD750"/>
      <c r="JE750"/>
      <c r="JF750"/>
      <c r="JG750"/>
      <c r="JH750"/>
      <c r="JI750"/>
      <c r="JJ750"/>
      <c r="JK750"/>
      <c r="JL750"/>
      <c r="JM750"/>
      <c r="JN750"/>
    </row>
    <row r="751" spans="1:274" s="342" customFormat="1" hidden="1" outlineLevel="1" x14ac:dyDescent="0.2">
      <c r="A751" s="44" t="s">
        <v>269</v>
      </c>
      <c r="B751" s="44"/>
      <c r="C751" s="44"/>
      <c r="D751" s="44"/>
      <c r="E751" s="44"/>
      <c r="F751" s="44"/>
      <c r="G751" s="44"/>
      <c r="H751" s="44"/>
      <c r="I751" s="44"/>
      <c r="J751" s="44"/>
      <c r="K751" s="44"/>
      <c r="L751" s="44"/>
      <c r="M751" s="44"/>
      <c r="N751" s="44"/>
      <c r="O751" s="44"/>
      <c r="P751" s="44"/>
      <c r="Q751" s="44"/>
      <c r="R751" s="44"/>
      <c r="S751" s="44"/>
      <c r="T751" s="44"/>
      <c r="U751" s="44"/>
      <c r="V751" s="44"/>
      <c r="W751" s="44"/>
      <c r="X751" s="44"/>
      <c r="Y751" s="44"/>
      <c r="Z751" s="44"/>
      <c r="AA751" s="44"/>
      <c r="AB751" s="44"/>
      <c r="AC751" s="44"/>
      <c r="AD751" s="44"/>
      <c r="AE751" s="44"/>
      <c r="AF751" s="44"/>
      <c r="AG751" s="44"/>
      <c r="AH751" s="44"/>
      <c r="AI751" s="44"/>
      <c r="AJ751" s="44"/>
      <c r="AK751" s="44"/>
      <c r="AL751" s="44"/>
      <c r="AM751" s="44"/>
      <c r="AN751" s="44"/>
      <c r="AO751" s="44"/>
      <c r="AP751" s="44"/>
      <c r="AQ751" s="44"/>
      <c r="AR751" s="44"/>
      <c r="AS751" s="44"/>
      <c r="AT751" s="44"/>
      <c r="AU751" s="44"/>
      <c r="AV751" s="44"/>
      <c r="AW751" s="44"/>
      <c r="AX751" s="44"/>
      <c r="AY751" s="44"/>
      <c r="AZ751" s="44"/>
      <c r="BA751" s="44"/>
      <c r="BB751" s="44"/>
      <c r="BC751" s="61">
        <f>BC561</f>
        <v>485</v>
      </c>
      <c r="BD751" s="61"/>
      <c r="BE751" s="61"/>
      <c r="BF751" s="61"/>
      <c r="BG751" s="61"/>
      <c r="BH751" s="61"/>
      <c r="BI751" s="61">
        <f>BI561</f>
        <v>413</v>
      </c>
      <c r="BJ751" s="44"/>
      <c r="BK751" s="44"/>
      <c r="BL751" s="44"/>
      <c r="BM751" s="44"/>
      <c r="BN751" s="44"/>
      <c r="BO751" s="61">
        <f>BO561</f>
        <v>445</v>
      </c>
      <c r="BP751" s="44"/>
      <c r="BQ751" s="44"/>
      <c r="BR751" s="44"/>
      <c r="BS751" s="44"/>
      <c r="BT751" s="44"/>
      <c r="BU751" s="61">
        <f>BU561</f>
        <v>525</v>
      </c>
      <c r="BV751" s="44"/>
      <c r="BW751" s="44"/>
      <c r="BX751" s="44"/>
      <c r="BY751" s="44"/>
      <c r="BZ751" s="44"/>
      <c r="CA751" s="61">
        <f>CA561</f>
        <v>569</v>
      </c>
      <c r="CB751" s="44"/>
      <c r="CC751" s="44"/>
      <c r="CD751" s="44"/>
      <c r="CE751" s="44"/>
      <c r="CF751" s="44"/>
      <c r="CG751" s="61">
        <f>CG561</f>
        <v>673</v>
      </c>
      <c r="CH751" s="44"/>
      <c r="CI751" s="44"/>
      <c r="CJ751" s="44"/>
      <c r="CK751" s="44"/>
      <c r="CL751" s="44"/>
      <c r="CM751" s="61">
        <f>CM561</f>
        <v>788</v>
      </c>
      <c r="CN751" s="44"/>
      <c r="CO751" s="44"/>
      <c r="CP751" s="44"/>
      <c r="CQ751" s="44"/>
      <c r="CR751" s="44"/>
      <c r="CS751" s="44"/>
      <c r="CT751" s="62"/>
      <c r="CU751" s="44"/>
      <c r="CV751" s="44"/>
      <c r="CW751" s="44"/>
      <c r="CX751" s="44"/>
      <c r="CY751" s="44"/>
      <c r="CZ751" s="62"/>
      <c r="DA751" s="44"/>
      <c r="DB751" s="44"/>
      <c r="DC751" s="44"/>
      <c r="DD751" s="44"/>
      <c r="DE751" s="62"/>
      <c r="DF751" s="62"/>
      <c r="DG751" s="44"/>
      <c r="DH751" s="44"/>
      <c r="DI751" s="44"/>
      <c r="DJ751" s="44"/>
      <c r="DK751" s="62"/>
      <c r="DL751" s="62"/>
      <c r="DM751" s="44"/>
      <c r="DN751" s="44"/>
      <c r="DO751" s="44"/>
      <c r="DP751" s="44"/>
      <c r="DQ751" s="62"/>
      <c r="DR751" s="62"/>
      <c r="DS751" s="44"/>
      <c r="DT751" s="44"/>
      <c r="DU751" s="44"/>
      <c r="DV751" s="44"/>
      <c r="DW751" s="62"/>
      <c r="DX751" s="62"/>
      <c r="DY751" s="44"/>
      <c r="DZ751" s="44"/>
      <c r="EA751" s="44"/>
      <c r="EB751" s="44"/>
      <c r="EC751" s="62"/>
      <c r="ED751" s="62"/>
      <c r="EE751" s="44"/>
      <c r="EF751" s="44"/>
      <c r="EG751" s="44"/>
      <c r="EH751" s="44"/>
      <c r="EI751" s="62"/>
      <c r="EJ751" s="62"/>
      <c r="EK751" s="44"/>
      <c r="EL751" s="44"/>
      <c r="EM751" s="44"/>
      <c r="EN751" s="44"/>
      <c r="EO751" s="62"/>
      <c r="EP751" s="62"/>
      <c r="EQ751" s="44"/>
      <c r="ER751" s="44"/>
      <c r="ES751" s="44"/>
      <c r="ET751" s="44"/>
      <c r="EU751" s="62"/>
      <c r="EV751" s="62"/>
      <c r="EW751" s="44"/>
      <c r="EX751" s="44"/>
      <c r="EY751" s="44"/>
      <c r="EZ751" s="44"/>
      <c r="FA751" s="62"/>
      <c r="FB751" s="62"/>
      <c r="FC751" s="44"/>
      <c r="FD751" s="44"/>
      <c r="FE751" s="44"/>
      <c r="FF751" s="44"/>
      <c r="FG751" s="62"/>
      <c r="FH751" s="62"/>
      <c r="FI751" s="44"/>
      <c r="FJ751" s="44"/>
      <c r="FK751" s="44"/>
      <c r="FL751" s="44"/>
      <c r="FM751" s="62"/>
      <c r="FQ751"/>
      <c r="FR751"/>
      <c r="FS751"/>
      <c r="FT751"/>
      <c r="FU751"/>
      <c r="FV751"/>
      <c r="GB751" s="24"/>
      <c r="GC751" s="24"/>
      <c r="GD751" s="24"/>
      <c r="GE751" s="24"/>
      <c r="GF751" s="24"/>
      <c r="GG751" s="24"/>
      <c r="GH751" s="24"/>
      <c r="GI751" s="24"/>
      <c r="GJ751"/>
      <c r="GK751"/>
      <c r="GL751"/>
      <c r="GM751"/>
      <c r="GN751"/>
      <c r="GO751"/>
      <c r="GP751"/>
      <c r="GQ751"/>
      <c r="GR751"/>
      <c r="GS751"/>
      <c r="GT751"/>
      <c r="GU751"/>
      <c r="GV751"/>
      <c r="GW751"/>
      <c r="GX751"/>
      <c r="GY751"/>
      <c r="GZ751"/>
      <c r="HA751"/>
      <c r="HB751"/>
      <c r="HC751"/>
      <c r="HD751"/>
      <c r="HE751"/>
      <c r="HF751"/>
      <c r="HG751"/>
      <c r="HH751"/>
      <c r="HI751"/>
      <c r="HJ751"/>
      <c r="HK751"/>
      <c r="HL751"/>
      <c r="HM751"/>
      <c r="HN751"/>
      <c r="HO751"/>
      <c r="HP751"/>
      <c r="HQ751"/>
      <c r="HR751"/>
      <c r="HS751"/>
      <c r="HT751"/>
      <c r="HU751"/>
      <c r="HV751"/>
      <c r="HW751"/>
      <c r="HX751"/>
      <c r="HY751"/>
      <c r="HZ751"/>
      <c r="IA751"/>
      <c r="IB751"/>
      <c r="IC751"/>
      <c r="ID751"/>
      <c r="IE751"/>
      <c r="IF751"/>
      <c r="IG751"/>
      <c r="IH751"/>
      <c r="II751"/>
      <c r="IJ751"/>
      <c r="IK751"/>
      <c r="IL751"/>
      <c r="IM751"/>
      <c r="IN751"/>
      <c r="IO751"/>
      <c r="IP751"/>
      <c r="IQ751"/>
      <c r="IR751"/>
      <c r="IS751"/>
      <c r="IT751"/>
      <c r="IU751"/>
      <c r="IV751"/>
      <c r="IW751"/>
      <c r="IX751"/>
      <c r="IY751"/>
      <c r="IZ751"/>
      <c r="JA751"/>
      <c r="JB751"/>
      <c r="JC751"/>
      <c r="JD751"/>
      <c r="JE751"/>
      <c r="JF751"/>
      <c r="JG751"/>
      <c r="JH751"/>
      <c r="JI751"/>
      <c r="JJ751"/>
      <c r="JK751"/>
      <c r="JL751"/>
      <c r="JM751"/>
      <c r="JN751"/>
    </row>
    <row r="752" spans="1:274" s="342" customFormat="1" hidden="1" outlineLevel="1" x14ac:dyDescent="0.2">
      <c r="A752" s="44" t="s">
        <v>270</v>
      </c>
      <c r="B752" s="44"/>
      <c r="C752" s="44"/>
      <c r="D752" s="44"/>
      <c r="E752" s="44"/>
      <c r="F752" s="44"/>
      <c r="G752" s="44"/>
      <c r="H752" s="44"/>
      <c r="I752" s="44"/>
      <c r="J752" s="44"/>
      <c r="K752" s="44"/>
      <c r="L752" s="44"/>
      <c r="M752" s="44"/>
      <c r="N752" s="44"/>
      <c r="O752" s="44"/>
      <c r="P752" s="44"/>
      <c r="Q752" s="44"/>
      <c r="R752" s="44"/>
      <c r="S752" s="44"/>
      <c r="T752" s="44"/>
      <c r="U752" s="44"/>
      <c r="V752" s="44"/>
      <c r="W752" s="44"/>
      <c r="X752" s="44"/>
      <c r="Y752" s="44"/>
      <c r="Z752" s="44"/>
      <c r="AA752" s="44"/>
      <c r="AB752" s="44"/>
      <c r="AC752" s="44"/>
      <c r="AD752" s="44"/>
      <c r="AE752" s="44"/>
      <c r="AF752" s="44"/>
      <c r="AG752" s="44"/>
      <c r="AH752" s="44"/>
      <c r="AI752" s="44"/>
      <c r="AJ752" s="44"/>
      <c r="AK752" s="44"/>
      <c r="AL752" s="44"/>
      <c r="AM752" s="44"/>
      <c r="AN752" s="44"/>
      <c r="AO752" s="44"/>
      <c r="AP752" s="44"/>
      <c r="AQ752" s="44"/>
      <c r="AR752" s="44"/>
      <c r="AS752" s="44"/>
      <c r="AT752" s="44"/>
      <c r="AU752" s="44"/>
      <c r="AV752" s="44"/>
      <c r="AW752" s="44"/>
      <c r="AX752" s="44"/>
      <c r="AY752" s="44"/>
      <c r="AZ752" s="44"/>
      <c r="BA752" s="44"/>
      <c r="BB752" s="44"/>
      <c r="BC752" s="44"/>
      <c r="BD752" s="44"/>
      <c r="BE752" s="44"/>
      <c r="BF752" s="44"/>
      <c r="BG752" s="44"/>
      <c r="BH752" s="44"/>
      <c r="BI752" s="789">
        <f>BI751/BI743</f>
        <v>0.89476249796891072</v>
      </c>
      <c r="BJ752" s="44"/>
      <c r="BK752" s="44"/>
      <c r="BL752" s="44"/>
      <c r="BM752" s="44"/>
      <c r="BN752" s="44"/>
      <c r="BO752" s="789">
        <f>BO751/BO743</f>
        <v>0.93881856540084385</v>
      </c>
      <c r="BP752" s="44"/>
      <c r="BQ752" s="44"/>
      <c r="BR752" s="44"/>
      <c r="BS752" s="44"/>
      <c r="BT752" s="44"/>
      <c r="BU752" s="789">
        <f>BU751/BU743</f>
        <v>0.95978062157221211</v>
      </c>
      <c r="BV752" s="44"/>
      <c r="BW752" s="44"/>
      <c r="BX752" s="44"/>
      <c r="BY752" s="44"/>
      <c r="BZ752" s="44"/>
      <c r="CA752" s="789">
        <f>CA751/CA743</f>
        <v>0.92370129870129869</v>
      </c>
      <c r="CB752" s="44"/>
      <c r="CC752" s="44"/>
      <c r="CD752" s="44"/>
      <c r="CE752" s="44"/>
      <c r="CF752" s="44"/>
      <c r="CG752" s="789">
        <f>CG751/CG743</f>
        <v>0.93863319386331934</v>
      </c>
      <c r="CH752" s="44"/>
      <c r="CI752" s="44"/>
      <c r="CJ752" s="44"/>
      <c r="CK752" s="44"/>
      <c r="CL752" s="44"/>
      <c r="CM752" s="789">
        <f>CM751/CM743</f>
        <v>0.94711538461538458</v>
      </c>
      <c r="CN752" s="44"/>
      <c r="CO752" s="44"/>
      <c r="CP752" s="44"/>
      <c r="CQ752" s="44"/>
      <c r="CR752" s="44"/>
      <c r="CS752" s="44"/>
      <c r="CT752" s="62"/>
      <c r="CU752" s="44"/>
      <c r="CV752" s="44"/>
      <c r="CW752" s="44"/>
      <c r="CX752" s="44"/>
      <c r="CY752" s="44"/>
      <c r="CZ752" s="62"/>
      <c r="DA752" s="44"/>
      <c r="DB752" s="44"/>
      <c r="DC752" s="44"/>
      <c r="DD752" s="44"/>
      <c r="DE752" s="62"/>
      <c r="DF752" s="62"/>
      <c r="DG752" s="44"/>
      <c r="DH752" s="44"/>
      <c r="DI752" s="44"/>
      <c r="DJ752" s="44"/>
      <c r="DK752" s="62"/>
      <c r="DL752" s="62"/>
      <c r="DM752" s="44"/>
      <c r="DN752" s="44"/>
      <c r="DO752" s="44"/>
      <c r="DP752" s="44"/>
      <c r="DQ752" s="62"/>
      <c r="DR752" s="62"/>
      <c r="DS752" s="44"/>
      <c r="DT752" s="44"/>
      <c r="DU752" s="44"/>
      <c r="DV752" s="44"/>
      <c r="DW752" s="62"/>
      <c r="DX752" s="62"/>
      <c r="DY752" s="44"/>
      <c r="DZ752" s="44"/>
      <c r="EA752" s="44"/>
      <c r="EB752" s="44"/>
      <c r="EC752" s="62"/>
      <c r="ED752" s="62"/>
      <c r="EE752" s="44"/>
      <c r="EF752" s="44"/>
      <c r="EG752" s="44"/>
      <c r="EH752" s="44"/>
      <c r="EI752" s="62"/>
      <c r="EJ752" s="62"/>
      <c r="EK752" s="44"/>
      <c r="EL752" s="44"/>
      <c r="EM752" s="44"/>
      <c r="EN752" s="44"/>
      <c r="EO752" s="62"/>
      <c r="EP752" s="62"/>
      <c r="EQ752" s="44"/>
      <c r="ER752" s="44"/>
      <c r="ES752" s="44"/>
      <c r="ET752" s="44"/>
      <c r="EU752" s="62"/>
      <c r="EV752" s="62"/>
      <c r="EW752" s="44"/>
      <c r="EX752" s="44"/>
      <c r="EY752" s="44"/>
      <c r="EZ752" s="44"/>
      <c r="FA752" s="62"/>
      <c r="FB752" s="62"/>
      <c r="FC752" s="44"/>
      <c r="FD752" s="44"/>
      <c r="FE752" s="44"/>
      <c r="FF752" s="44"/>
      <c r="FG752" s="62"/>
      <c r="FH752" s="62"/>
      <c r="FI752" s="44"/>
      <c r="FJ752" s="44"/>
      <c r="FK752" s="44"/>
      <c r="FL752" s="44"/>
      <c r="FM752" s="62"/>
      <c r="FQ752"/>
      <c r="FR752"/>
      <c r="FS752"/>
      <c r="FT752"/>
      <c r="FU752"/>
      <c r="FV752"/>
      <c r="GB752" s="24"/>
      <c r="GC752" s="24"/>
      <c r="GD752" s="24"/>
      <c r="GE752" s="24"/>
      <c r="GF752" s="24"/>
      <c r="GG752" s="24"/>
      <c r="GH752" s="24"/>
      <c r="GI752" s="24"/>
      <c r="GJ752"/>
      <c r="GK752"/>
      <c r="GL752"/>
      <c r="GM752"/>
      <c r="GN752"/>
      <c r="GO752"/>
      <c r="GP752"/>
      <c r="GQ752"/>
      <c r="GR752"/>
      <c r="GS752"/>
      <c r="GT752"/>
      <c r="GU752"/>
      <c r="GV752"/>
      <c r="GW752"/>
      <c r="GX752"/>
      <c r="GY752"/>
      <c r="GZ752"/>
      <c r="HA752"/>
      <c r="HB752"/>
      <c r="HC752"/>
      <c r="HD752"/>
      <c r="HE752"/>
      <c r="HF752"/>
      <c r="HG752"/>
      <c r="HH752"/>
      <c r="HI752"/>
      <c r="HJ752"/>
      <c r="HK752"/>
      <c r="HL752"/>
      <c r="HM752"/>
      <c r="HN752"/>
      <c r="HO752"/>
      <c r="HP752"/>
      <c r="HQ752"/>
      <c r="HR752"/>
      <c r="HS752"/>
      <c r="HT752"/>
      <c r="HU752"/>
      <c r="HV752"/>
      <c r="HW752"/>
      <c r="HX752"/>
      <c r="HY752"/>
      <c r="HZ752"/>
      <c r="IA752"/>
      <c r="IB752"/>
      <c r="IC752"/>
      <c r="ID752"/>
      <c r="IE752"/>
      <c r="IF752"/>
      <c r="IG752"/>
      <c r="IH752"/>
      <c r="II752"/>
      <c r="IJ752"/>
      <c r="IK752"/>
      <c r="IL752"/>
      <c r="IM752"/>
      <c r="IN752"/>
      <c r="IO752"/>
      <c r="IP752"/>
      <c r="IQ752"/>
      <c r="IR752"/>
      <c r="IS752"/>
      <c r="IT752"/>
      <c r="IU752"/>
      <c r="IV752"/>
      <c r="IW752"/>
      <c r="IX752"/>
      <c r="IY752"/>
      <c r="IZ752"/>
      <c r="JA752"/>
      <c r="JB752"/>
      <c r="JC752"/>
      <c r="JD752"/>
      <c r="JE752"/>
      <c r="JF752"/>
      <c r="JG752"/>
      <c r="JH752"/>
      <c r="JI752"/>
      <c r="JJ752"/>
      <c r="JK752"/>
      <c r="JL752"/>
      <c r="JM752"/>
      <c r="JN752"/>
    </row>
    <row r="753" spans="1:274" s="342" customFormat="1" hidden="1" outlineLevel="1" x14ac:dyDescent="0.2">
      <c r="B753" s="20"/>
      <c r="CT753" s="475"/>
      <c r="CZ753" s="475"/>
      <c r="DE753" s="475"/>
      <c r="DF753" s="475"/>
      <c r="DK753" s="475"/>
      <c r="DL753" s="475"/>
      <c r="DQ753" s="475"/>
      <c r="DR753" s="475"/>
      <c r="DW753" s="475"/>
      <c r="DX753" s="475"/>
      <c r="EC753" s="475"/>
      <c r="ED753" s="475"/>
      <c r="EI753" s="475"/>
      <c r="EJ753" s="475"/>
      <c r="EO753" s="475"/>
      <c r="EP753" s="475"/>
      <c r="EU753" s="475"/>
      <c r="EV753" s="475"/>
      <c r="FA753" s="475"/>
      <c r="FB753" s="475"/>
      <c r="FG753" s="475"/>
      <c r="FH753" s="475"/>
      <c r="FM753" s="475"/>
      <c r="FQ753"/>
      <c r="FR753"/>
      <c r="FS753"/>
      <c r="FT753"/>
      <c r="FU753"/>
      <c r="FV753"/>
      <c r="GB753" s="24"/>
      <c r="GC753" s="24"/>
      <c r="GD753" s="24"/>
      <c r="GE753" s="24"/>
      <c r="GF753" s="24"/>
      <c r="GG753" s="24"/>
      <c r="GH753" s="24"/>
      <c r="GI753" s="24"/>
      <c r="GJ753"/>
      <c r="GK753"/>
      <c r="GL753"/>
      <c r="GM753"/>
      <c r="GN753"/>
      <c r="GO753"/>
      <c r="GP753"/>
      <c r="GQ753"/>
      <c r="GR753"/>
      <c r="GS753"/>
      <c r="GT753"/>
      <c r="GU753"/>
      <c r="GV753"/>
      <c r="GW753"/>
      <c r="GX753"/>
      <c r="GY753"/>
      <c r="GZ753"/>
      <c r="HA753"/>
      <c r="HB753"/>
      <c r="HC753"/>
      <c r="HD753"/>
      <c r="HE753"/>
      <c r="HF753"/>
      <c r="HG753"/>
      <c r="HH753"/>
      <c r="HI753"/>
      <c r="HJ753"/>
      <c r="HK753"/>
      <c r="HL753"/>
      <c r="HM753"/>
      <c r="HN753"/>
      <c r="HO753"/>
      <c r="HP753"/>
      <c r="HQ753"/>
      <c r="HR753"/>
      <c r="HS753"/>
      <c r="HT753"/>
      <c r="HU753"/>
      <c r="HV753"/>
      <c r="HW753"/>
      <c r="HX753"/>
      <c r="HY753"/>
      <c r="HZ753"/>
      <c r="IA753"/>
      <c r="IB753"/>
      <c r="IC753"/>
      <c r="ID753"/>
      <c r="IE753"/>
      <c r="IF753"/>
      <c r="IG753"/>
      <c r="IH753"/>
      <c r="II753"/>
      <c r="IJ753"/>
      <c r="IK753"/>
      <c r="IL753"/>
      <c r="IM753"/>
      <c r="IN753"/>
      <c r="IO753"/>
      <c r="IP753"/>
      <c r="IQ753"/>
      <c r="IR753"/>
      <c r="IS753"/>
      <c r="IT753"/>
      <c r="IU753"/>
      <c r="IV753"/>
      <c r="IW753"/>
      <c r="IX753"/>
      <c r="IY753"/>
      <c r="IZ753"/>
      <c r="JA753"/>
      <c r="JB753"/>
      <c r="JC753"/>
      <c r="JD753"/>
      <c r="JE753"/>
      <c r="JF753"/>
      <c r="JG753"/>
      <c r="JH753"/>
      <c r="JI753"/>
      <c r="JJ753"/>
      <c r="JK753"/>
      <c r="JL753"/>
      <c r="JM753"/>
      <c r="JN753"/>
    </row>
    <row r="754" spans="1:274" s="342" customFormat="1" hidden="1" outlineLevel="1" x14ac:dyDescent="0.2">
      <c r="A754" s="353" t="s">
        <v>271</v>
      </c>
      <c r="B754" s="20"/>
      <c r="AW754" s="111">
        <f>Model!AW150</f>
        <v>1009.8820000000001</v>
      </c>
      <c r="BC754" s="111">
        <f>Model!BC150</f>
        <v>1138.5909999999999</v>
      </c>
      <c r="BI754" s="111">
        <f>Model!BI150</f>
        <v>1076.1559999999999</v>
      </c>
      <c r="BO754" s="111">
        <f>Model!BO150</f>
        <v>1180</v>
      </c>
      <c r="BU754" s="111">
        <f>Model!BU150</f>
        <v>1278</v>
      </c>
      <c r="CA754" s="111">
        <f>Model!CA150</f>
        <v>1481</v>
      </c>
      <c r="CG754" s="111">
        <f>Model!CG150</f>
        <v>1856.6</v>
      </c>
      <c r="CM754" s="111">
        <f>Model!CM150</f>
        <v>2110</v>
      </c>
      <c r="CS754" s="111">
        <f>Model!CS150</f>
        <v>2627</v>
      </c>
      <c r="CT754" s="475"/>
      <c r="CY754" s="111">
        <f>Model!CY150</f>
        <v>2612</v>
      </c>
      <c r="CZ754" s="475"/>
      <c r="DE754" s="780">
        <f>Model!DE150</f>
        <v>3082</v>
      </c>
      <c r="DF754" s="475"/>
      <c r="DK754" s="780">
        <f>Model!DK150</f>
        <v>4287</v>
      </c>
      <c r="DL754" s="475"/>
      <c r="DQ754" s="780">
        <f>Model!DQ150</f>
        <v>4228</v>
      </c>
      <c r="DR754" s="475"/>
      <c r="DW754" s="780">
        <f>Model!DW150</f>
        <v>4499</v>
      </c>
      <c r="DX754" s="475"/>
      <c r="EC754" s="780">
        <f>Model!EC150</f>
        <v>4767</v>
      </c>
      <c r="ED754" s="475"/>
      <c r="EI754" s="780">
        <f>Model!EI150</f>
        <v>5001</v>
      </c>
      <c r="EJ754" s="475"/>
      <c r="EO754" s="780">
        <f>Model!EO150</f>
        <v>5177</v>
      </c>
      <c r="EP754" s="475"/>
      <c r="EU754" s="780">
        <f>Model!EU150</f>
        <v>5389</v>
      </c>
      <c r="EV754" s="475"/>
      <c r="FA754" s="780">
        <f>Model!FA141</f>
        <v>7889.7434048134201</v>
      </c>
      <c r="FB754" s="475"/>
      <c r="FG754" s="780">
        <f>Model!FG141</f>
        <v>8045.6965265378813</v>
      </c>
      <c r="FH754" s="475"/>
      <c r="FM754" s="780">
        <f>Model!FM141</f>
        <v>8191.8423262946708</v>
      </c>
      <c r="FQ754"/>
      <c r="FR754"/>
      <c r="FS754"/>
      <c r="FT754"/>
      <c r="FU754"/>
      <c r="FV754"/>
      <c r="GB754" s="24"/>
      <c r="GC754" s="24"/>
      <c r="GD754" s="24"/>
      <c r="GE754" s="24"/>
      <c r="GF754" s="24"/>
      <c r="GG754" s="24"/>
      <c r="GH754" s="24"/>
      <c r="GI754" s="24"/>
      <c r="GJ754"/>
      <c r="GK754"/>
      <c r="GL754"/>
      <c r="GM754"/>
      <c r="GN754"/>
      <c r="GO754"/>
      <c r="GP754"/>
      <c r="GQ754"/>
      <c r="GR754"/>
      <c r="GS754"/>
      <c r="GT754"/>
      <c r="GU754"/>
      <c r="GV754"/>
      <c r="GW754"/>
      <c r="GX754"/>
      <c r="GY754"/>
      <c r="GZ754"/>
      <c r="HA754"/>
      <c r="HB754"/>
      <c r="HC754"/>
      <c r="HD754"/>
      <c r="HE754"/>
      <c r="HF754"/>
      <c r="HG754"/>
      <c r="HH754"/>
      <c r="HI754"/>
      <c r="HJ754"/>
      <c r="HK754"/>
      <c r="HL754"/>
      <c r="HM754"/>
      <c r="HN754"/>
      <c r="HO754"/>
      <c r="HP754"/>
      <c r="HQ754"/>
      <c r="HR754"/>
      <c r="HS754"/>
      <c r="HT754"/>
      <c r="HU754"/>
      <c r="HV754"/>
      <c r="HW754"/>
      <c r="HX754"/>
      <c r="HY754"/>
      <c r="HZ754"/>
      <c r="IA754"/>
      <c r="IB754"/>
      <c r="IC754"/>
      <c r="ID754"/>
      <c r="IE754"/>
      <c r="IF754"/>
      <c r="IG754"/>
      <c r="IH754"/>
      <c r="II754"/>
      <c r="IJ754"/>
      <c r="IK754"/>
      <c r="IL754"/>
      <c r="IM754"/>
      <c r="IN754"/>
      <c r="IO754"/>
      <c r="IP754"/>
      <c r="IQ754"/>
      <c r="IR754"/>
      <c r="IS754"/>
      <c r="IT754"/>
      <c r="IU754"/>
      <c r="IV754"/>
      <c r="IW754"/>
      <c r="IX754"/>
      <c r="IY754"/>
      <c r="IZ754"/>
      <c r="JA754"/>
      <c r="JB754"/>
      <c r="JC754"/>
      <c r="JD754"/>
      <c r="JE754"/>
      <c r="JF754"/>
      <c r="JG754"/>
      <c r="JH754"/>
      <c r="JI754"/>
      <c r="JJ754"/>
      <c r="JK754"/>
      <c r="JL754"/>
      <c r="JM754"/>
      <c r="JN754"/>
    </row>
    <row r="755" spans="1:274" s="342" customFormat="1" hidden="1" outlineLevel="1" x14ac:dyDescent="0.2">
      <c r="A755" s="19" t="s">
        <v>1061</v>
      </c>
      <c r="B755" s="20"/>
      <c r="AW755" s="244"/>
      <c r="BC755" s="82">
        <f>BC754/AW754-1</f>
        <v>0.12744954361004535</v>
      </c>
      <c r="BI755" s="82">
        <f>BI754/BC754-1</f>
        <v>-5.4835318389131804E-2</v>
      </c>
      <c r="BO755" s="82">
        <f>BO754/BI754-1</f>
        <v>9.6495303654860587E-2</v>
      </c>
      <c r="BU755" s="82">
        <f>BU754/BO754-1</f>
        <v>8.3050847457627031E-2</v>
      </c>
      <c r="CA755" s="82">
        <f>CA754/BU754-1</f>
        <v>0.15884194053208134</v>
      </c>
      <c r="CG755" s="82">
        <f>CG754/CA754-1</f>
        <v>0.25361242403781215</v>
      </c>
      <c r="CM755" s="82">
        <f>CM754/CG754-1</f>
        <v>0.13648604976839396</v>
      </c>
      <c r="CS755" s="82">
        <f>CS754/CM754-1</f>
        <v>0.24502369668246438</v>
      </c>
      <c r="CT755" s="475"/>
      <c r="CY755" s="82">
        <f>CY754/CS754-1</f>
        <v>-5.7099352874000475E-3</v>
      </c>
      <c r="CZ755" s="475"/>
      <c r="DE755" s="159">
        <f>DE754/CY754-1</f>
        <v>0.17993874425727419</v>
      </c>
      <c r="DF755" s="475"/>
      <c r="DK755" s="159">
        <f>DK754/DE754-1</f>
        <v>0.39097988319273203</v>
      </c>
      <c r="DL755" s="475"/>
      <c r="DQ755" s="159">
        <f>DQ754/DK754-1</f>
        <v>-1.3762537905295025E-2</v>
      </c>
      <c r="DR755" s="475"/>
      <c r="DW755" s="159">
        <f>DW754/DQ754-1</f>
        <v>6.4096499526963058E-2</v>
      </c>
      <c r="DX755" s="475"/>
      <c r="EC755" s="159">
        <f>EC754/DW754-1</f>
        <v>5.9568793065125636E-2</v>
      </c>
      <c r="ED755" s="475"/>
      <c r="EI755" s="159">
        <f>EI754/EC754-1</f>
        <v>4.9087476400251795E-2</v>
      </c>
      <c r="EJ755" s="475"/>
      <c r="EO755" s="159">
        <f>EO754/EI754-1</f>
        <v>3.5192961407718437E-2</v>
      </c>
      <c r="EP755" s="475"/>
      <c r="EU755" s="159">
        <f>EU754/EO754-1</f>
        <v>4.0950357349816446E-2</v>
      </c>
      <c r="EV755" s="475"/>
      <c r="FA755" s="159">
        <f>FA754/EU754-1</f>
        <v>0.46404590922498046</v>
      </c>
      <c r="FB755" s="475"/>
      <c r="FG755" s="159">
        <f>FG754/FA754-1</f>
        <v>1.9766564477789794E-2</v>
      </c>
      <c r="FH755" s="475"/>
      <c r="FM755" s="159">
        <f>FM754/FG754-1</f>
        <v>1.8164468330957195E-2</v>
      </c>
      <c r="FQ755"/>
      <c r="FR755"/>
      <c r="FS755"/>
      <c r="FT755"/>
      <c r="FU755"/>
      <c r="FV755"/>
      <c r="GB755" s="24"/>
      <c r="GC755" s="24"/>
      <c r="GD755" s="24"/>
      <c r="GE755" s="24"/>
      <c r="GF755" s="24"/>
      <c r="GG755" s="24"/>
      <c r="GH755" s="24"/>
      <c r="GI755" s="24"/>
      <c r="GJ755"/>
      <c r="GK755"/>
      <c r="GL755"/>
      <c r="GM755"/>
      <c r="GN755"/>
      <c r="GO755"/>
      <c r="GP755"/>
      <c r="GQ755"/>
      <c r="GR755"/>
      <c r="GS755"/>
      <c r="GT755"/>
      <c r="GU755"/>
      <c r="GV755"/>
      <c r="GW755"/>
      <c r="GX755"/>
      <c r="GY755"/>
      <c r="GZ755"/>
      <c r="HA755"/>
      <c r="HB755"/>
      <c r="HC755"/>
      <c r="HD755"/>
      <c r="HE755"/>
      <c r="HF755"/>
      <c r="HG755"/>
      <c r="HH755"/>
      <c r="HI755"/>
      <c r="HJ755"/>
      <c r="HK755"/>
      <c r="HL755"/>
      <c r="HM755"/>
      <c r="HN755"/>
      <c r="HO755"/>
      <c r="HP755"/>
      <c r="HQ755"/>
      <c r="HR755"/>
      <c r="HS755"/>
      <c r="HT755"/>
      <c r="HU755"/>
      <c r="HV755"/>
      <c r="HW755"/>
      <c r="HX755"/>
      <c r="HY755"/>
      <c r="HZ755"/>
      <c r="IA755"/>
      <c r="IB755"/>
      <c r="IC755"/>
      <c r="ID755"/>
      <c r="IE755"/>
      <c r="IF755"/>
      <c r="IG755"/>
      <c r="IH755"/>
      <c r="II755"/>
      <c r="IJ755"/>
      <c r="IK755"/>
      <c r="IL755"/>
      <c r="IM755"/>
      <c r="IN755"/>
      <c r="IO755"/>
      <c r="IP755"/>
      <c r="IQ755"/>
      <c r="IR755"/>
      <c r="IS755"/>
      <c r="IT755"/>
      <c r="IU755"/>
      <c r="IV755"/>
      <c r="IW755"/>
      <c r="IX755"/>
      <c r="IY755"/>
      <c r="IZ755"/>
      <c r="JA755"/>
      <c r="JB755"/>
      <c r="JC755"/>
      <c r="JD755"/>
      <c r="JE755"/>
      <c r="JF755"/>
      <c r="JG755"/>
      <c r="JH755"/>
      <c r="JI755"/>
      <c r="JJ755"/>
      <c r="JK755"/>
      <c r="JL755"/>
      <c r="JM755"/>
      <c r="JN755"/>
    </row>
    <row r="756" spans="1:274" s="342" customFormat="1" hidden="1" outlineLevel="1" x14ac:dyDescent="0.2">
      <c r="A756" s="19" t="s">
        <v>272</v>
      </c>
      <c r="B756" s="21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19"/>
      <c r="T756" s="19"/>
      <c r="U756" s="19"/>
      <c r="V756" s="19"/>
      <c r="W756" s="19"/>
      <c r="X756" s="19"/>
      <c r="Y756" s="19"/>
      <c r="Z756" s="19"/>
      <c r="AA756" s="19"/>
      <c r="AB756" s="19"/>
      <c r="AC756" s="19"/>
      <c r="AD756" s="19"/>
      <c r="AE756" s="19"/>
      <c r="AF756" s="19"/>
      <c r="AG756" s="19"/>
      <c r="AH756" s="19"/>
      <c r="AI756" s="19"/>
      <c r="AJ756" s="19"/>
      <c r="AK756" s="19"/>
      <c r="AL756" s="19"/>
      <c r="AM756" s="19"/>
      <c r="AN756" s="19"/>
      <c r="AO756" s="19"/>
      <c r="AP756" s="19"/>
      <c r="AQ756" s="19"/>
      <c r="AR756" s="19"/>
      <c r="AS756" s="19"/>
      <c r="AT756" s="19"/>
      <c r="AU756" s="19"/>
      <c r="AV756" s="19"/>
      <c r="AW756" s="95">
        <f>AW754/AW740</f>
        <v>0.33901478847873007</v>
      </c>
      <c r="AX756" s="19"/>
      <c r="AY756" s="19"/>
      <c r="AZ756" s="19"/>
      <c r="BA756" s="19"/>
      <c r="BB756" s="19"/>
      <c r="BC756" s="95">
        <f>BC754/BC740</f>
        <v>0.31891706270189812</v>
      </c>
      <c r="BD756" s="19"/>
      <c r="BE756" s="19"/>
      <c r="BF756" s="19"/>
      <c r="BG756" s="19"/>
      <c r="BH756" s="19"/>
      <c r="BI756" s="95">
        <f>BI754/BI740</f>
        <v>0.30397860481617611</v>
      </c>
      <c r="BJ756" s="19"/>
      <c r="BK756" s="19"/>
      <c r="BL756" s="19"/>
      <c r="BM756" s="19"/>
      <c r="BN756" s="19"/>
      <c r="BO756" s="95">
        <f>BO754/BO740</f>
        <v>0.3003003003003003</v>
      </c>
      <c r="BP756" s="19"/>
      <c r="BQ756" s="19"/>
      <c r="BR756" s="19"/>
      <c r="BS756" s="19"/>
      <c r="BT756" s="19"/>
      <c r="BU756" s="95">
        <f>BU754/BU740</f>
        <v>0.28218149701920953</v>
      </c>
      <c r="BV756" s="19"/>
      <c r="BW756" s="19"/>
      <c r="BX756" s="19"/>
      <c r="BY756" s="19"/>
      <c r="BZ756" s="19"/>
      <c r="CA756" s="95">
        <f>CA754/CA740</f>
        <v>0.26207750840559191</v>
      </c>
      <c r="CB756" s="19"/>
      <c r="CC756" s="19"/>
      <c r="CD756" s="19"/>
      <c r="CE756" s="19"/>
      <c r="CF756" s="19"/>
      <c r="CG756" s="95">
        <f>CG754/CG740</f>
        <v>0.26417188389299939</v>
      </c>
      <c r="CH756" s="19"/>
      <c r="CI756" s="19"/>
      <c r="CJ756" s="19"/>
      <c r="CK756" s="19"/>
      <c r="CL756" s="19"/>
      <c r="CM756" s="95">
        <f>CM754/CM740</f>
        <v>0.24704367170120595</v>
      </c>
      <c r="CN756" s="19"/>
      <c r="CO756" s="19"/>
      <c r="CP756" s="19"/>
      <c r="CQ756" s="19"/>
      <c r="CR756" s="19"/>
      <c r="CS756" s="95">
        <f>CS754/CS740</f>
        <v>0.25002379366136862</v>
      </c>
      <c r="CT756" s="104"/>
      <c r="CU756" s="19"/>
      <c r="CV756" s="19"/>
      <c r="CW756" s="19"/>
      <c r="CX756" s="19"/>
      <c r="CY756" s="95">
        <f>CY754/CY740</f>
        <v>0.21772109694090189</v>
      </c>
      <c r="CZ756" s="104"/>
      <c r="DA756" s="19"/>
      <c r="DB756" s="19"/>
      <c r="DC756" s="19"/>
      <c r="DD756" s="19"/>
      <c r="DE756" s="130">
        <f>DE754/DE740</f>
        <v>0.23389238825225772</v>
      </c>
      <c r="DF756" s="104"/>
      <c r="DG756" s="19"/>
      <c r="DH756" s="19"/>
      <c r="DI756" s="19"/>
      <c r="DJ756" s="19"/>
      <c r="DK756" s="130">
        <f>DK754/DK740</f>
        <v>0.28731318276254941</v>
      </c>
      <c r="DL756" s="104"/>
      <c r="DM756" s="19"/>
      <c r="DN756" s="19"/>
      <c r="DO756" s="19"/>
      <c r="DP756" s="19"/>
      <c r="DQ756" s="130">
        <f>DQ754/DQ740</f>
        <v>0.26004059290239251</v>
      </c>
      <c r="DR756" s="104"/>
      <c r="DS756" s="19"/>
      <c r="DT756" s="19"/>
      <c r="DU756" s="19"/>
      <c r="DV756" s="19"/>
      <c r="DW756" s="130">
        <f>DW754/DW740</f>
        <v>0.26222533076878241</v>
      </c>
      <c r="DX756" s="104"/>
      <c r="DY756" s="19"/>
      <c r="DZ756" s="19"/>
      <c r="EA756" s="19"/>
      <c r="EB756" s="19"/>
      <c r="EC756" s="130">
        <f>EC754/EC740</f>
        <v>0.26179361854028227</v>
      </c>
      <c r="ED756" s="104"/>
      <c r="EE756" s="19"/>
      <c r="EF756" s="19"/>
      <c r="EG756" s="19"/>
      <c r="EH756" s="19"/>
      <c r="EI756" s="130">
        <f>EI754/EI740</f>
        <v>0.26522061943148068</v>
      </c>
      <c r="EJ756" s="104"/>
      <c r="EK756" s="19"/>
      <c r="EL756" s="19"/>
      <c r="EM756" s="19"/>
      <c r="EN756" s="19"/>
      <c r="EO756" s="130">
        <f>EO754/EO740</f>
        <v>0.27443808312128926</v>
      </c>
      <c r="EP756" s="104"/>
      <c r="EQ756" s="19"/>
      <c r="ER756" s="19"/>
      <c r="ES756" s="19"/>
      <c r="ET756" s="19"/>
      <c r="EU756" s="130">
        <f>EU754/EU740</f>
        <v>0.28023920956838272</v>
      </c>
      <c r="EV756" s="104"/>
      <c r="EW756" s="19"/>
      <c r="EX756" s="19"/>
      <c r="EY756" s="19"/>
      <c r="EZ756" s="19"/>
      <c r="FA756" s="130">
        <f>FA754/FA740</f>
        <v>0.3938593866161984</v>
      </c>
      <c r="FB756" s="104"/>
      <c r="FC756" s="19"/>
      <c r="FD756" s="19"/>
      <c r="FE756" s="19"/>
      <c r="FF756" s="19"/>
      <c r="FG756" s="130">
        <f>FG754/FG740</f>
        <v>0.38885774916822652</v>
      </c>
      <c r="FH756" s="104"/>
      <c r="FI756" s="19"/>
      <c r="FJ756" s="19"/>
      <c r="FK756" s="19"/>
      <c r="FL756" s="19"/>
      <c r="FM756" s="130">
        <f>FM754/FM740</f>
        <v>0.38676865118681447</v>
      </c>
      <c r="FQ756"/>
      <c r="FR756"/>
      <c r="FS756"/>
      <c r="FT756"/>
      <c r="FU756"/>
      <c r="FV756"/>
      <c r="GB756" s="24"/>
      <c r="GC756" s="24"/>
      <c r="GD756" s="24"/>
      <c r="GE756" s="24"/>
      <c r="GF756" s="24"/>
      <c r="GG756" s="24"/>
      <c r="GH756" s="24"/>
      <c r="GI756" s="24"/>
      <c r="GJ756"/>
      <c r="GK756"/>
      <c r="GL756"/>
      <c r="GM756"/>
      <c r="GN756"/>
      <c r="GO756"/>
      <c r="GP756"/>
      <c r="GQ756"/>
      <c r="GR756"/>
      <c r="GS756"/>
      <c r="GT756"/>
      <c r="GU756"/>
      <c r="GV756"/>
      <c r="GW756"/>
      <c r="GX756"/>
      <c r="GY756"/>
      <c r="GZ756"/>
      <c r="HA756"/>
      <c r="HB756"/>
      <c r="HC756"/>
      <c r="HD756"/>
      <c r="HE756"/>
      <c r="HF756"/>
      <c r="HG756"/>
      <c r="HH756"/>
      <c r="HI756"/>
      <c r="HJ756"/>
      <c r="HK756"/>
      <c r="HL756"/>
      <c r="HM756"/>
      <c r="HN756"/>
      <c r="HO756"/>
      <c r="HP756"/>
      <c r="HQ756"/>
      <c r="HR756"/>
      <c r="HS756"/>
      <c r="HT756"/>
      <c r="HU756"/>
      <c r="HV756"/>
      <c r="HW756"/>
      <c r="HX756"/>
      <c r="HY756"/>
      <c r="HZ756"/>
      <c r="IA756"/>
      <c r="IB756"/>
      <c r="IC756"/>
      <c r="ID756"/>
      <c r="IE756"/>
      <c r="IF756"/>
      <c r="IG756"/>
      <c r="IH756"/>
      <c r="II756"/>
      <c r="IJ756"/>
      <c r="IK756"/>
      <c r="IL756"/>
      <c r="IM756"/>
      <c r="IN756"/>
      <c r="IO756"/>
      <c r="IP756"/>
      <c r="IQ756"/>
      <c r="IR756"/>
      <c r="IS756"/>
      <c r="IT756"/>
      <c r="IU756"/>
      <c r="IV756"/>
      <c r="IW756"/>
      <c r="IX756"/>
      <c r="IY756"/>
      <c r="IZ756"/>
      <c r="JA756"/>
      <c r="JB756"/>
      <c r="JC756"/>
      <c r="JD756"/>
      <c r="JE756"/>
      <c r="JF756"/>
      <c r="JG756"/>
      <c r="JH756"/>
      <c r="JI756"/>
      <c r="JJ756"/>
      <c r="JK756"/>
      <c r="JL756"/>
      <c r="JM756"/>
      <c r="JN756"/>
    </row>
    <row r="757" spans="1:274" s="342" customFormat="1" hidden="1" outlineLevel="1" x14ac:dyDescent="0.2">
      <c r="A757" s="342" t="s">
        <v>273</v>
      </c>
      <c r="B757" s="20"/>
      <c r="AW757" s="95">
        <f>AW754/AW718</f>
        <v>9.969094171366838E-2</v>
      </c>
      <c r="BC757" s="95">
        <f>BC754/BC718</f>
        <v>0.10387948133201809</v>
      </c>
      <c r="BI757" s="95">
        <f>BI754/BI718</f>
        <v>0.11125597332642186</v>
      </c>
      <c r="BO757" s="95">
        <f>BO754/BO718</f>
        <v>0.12453300124533001</v>
      </c>
      <c r="BU757" s="95">
        <f>BU754/BU718</f>
        <v>0.12583694367861362</v>
      </c>
      <c r="CA757" s="95">
        <f>CA754/CA718</f>
        <v>0.1222048023764337</v>
      </c>
      <c r="CG757" s="95">
        <f>CG754/CG718</f>
        <v>0.12568032276407354</v>
      </c>
      <c r="CM757" s="95">
        <f>CM754/CM718</f>
        <v>0.11587676423746499</v>
      </c>
      <c r="CS757" s="95">
        <f>CS754/CS718</f>
        <v>0.11619266663717988</v>
      </c>
      <c r="CT757" s="475"/>
      <c r="CY757" s="95">
        <f>CY754/CY718</f>
        <v>0.11117732186941347</v>
      </c>
      <c r="CZ757" s="475"/>
      <c r="DE757" s="130">
        <f>DE754/DE718</f>
        <v>0.11399868320794217</v>
      </c>
      <c r="DF757" s="475"/>
      <c r="DK757" s="130">
        <f>DK754/DK718</f>
        <v>0.11943167572085249</v>
      </c>
      <c r="DL757" s="475"/>
      <c r="DQ757" s="130">
        <f>DQ754/DQ718</f>
        <v>0.11359026704859539</v>
      </c>
      <c r="DR757" s="475"/>
      <c r="DW757" s="130">
        <f>DW754/DW718</f>
        <v>0.12076879714385419</v>
      </c>
      <c r="DX757" s="475"/>
      <c r="EC757" s="130">
        <f>EC754/EC718</f>
        <v>0.12444850541704738</v>
      </c>
      <c r="ED757" s="475"/>
      <c r="EI757" s="130">
        <f>EI754/EI718</f>
        <v>0.13073484432593521</v>
      </c>
      <c r="EJ757" s="475"/>
      <c r="EO757" s="130">
        <f>EO754/EO718</f>
        <v>0.13970369970585855</v>
      </c>
      <c r="EP757" s="475"/>
      <c r="EU757" s="130">
        <f>EU754/EU718</f>
        <v>0.1421983029085081</v>
      </c>
      <c r="EV757" s="475"/>
      <c r="FA757" s="130" t="e">
        <f>FA754/FA718</f>
        <v>#DIV/0!</v>
      </c>
      <c r="FB757" s="475"/>
      <c r="FG757" s="130" t="e">
        <f>FG754/FG718</f>
        <v>#DIV/0!</v>
      </c>
      <c r="FH757" s="475"/>
      <c r="FM757" s="130" t="e">
        <f>FM754/FM718</f>
        <v>#DIV/0!</v>
      </c>
      <c r="FQ757"/>
      <c r="FR757"/>
      <c r="FS757"/>
      <c r="FT757"/>
      <c r="FU757"/>
      <c r="FV757"/>
      <c r="GB757" s="24"/>
      <c r="GC757" s="24"/>
      <c r="GD757" s="24"/>
      <c r="GE757" s="24"/>
      <c r="GF757" s="24"/>
      <c r="GG757" s="24"/>
      <c r="GH757" s="24"/>
      <c r="GI757" s="24"/>
      <c r="GJ757"/>
      <c r="GK757"/>
      <c r="GL757"/>
      <c r="GM757"/>
      <c r="GN757"/>
      <c r="GO757"/>
      <c r="GP757"/>
      <c r="GQ757"/>
      <c r="GR757"/>
      <c r="GS757"/>
      <c r="GT757"/>
      <c r="GU757"/>
      <c r="GV757"/>
      <c r="GW757"/>
      <c r="GX757"/>
      <c r="GY757"/>
      <c r="GZ757"/>
      <c r="HA757"/>
      <c r="HB757"/>
      <c r="HC757"/>
      <c r="HD757"/>
      <c r="HE757"/>
      <c r="HF757"/>
      <c r="HG757"/>
      <c r="HH757"/>
      <c r="HI757"/>
      <c r="HJ757"/>
      <c r="HK757"/>
      <c r="HL757"/>
      <c r="HM757"/>
      <c r="HN757"/>
      <c r="HO757"/>
      <c r="HP757"/>
      <c r="HQ757"/>
      <c r="HR757"/>
      <c r="HS757"/>
      <c r="HT757"/>
      <c r="HU757"/>
      <c r="HV757"/>
      <c r="HW757"/>
      <c r="HX757"/>
      <c r="HY757"/>
      <c r="HZ757"/>
      <c r="IA757"/>
      <c r="IB757"/>
      <c r="IC757"/>
      <c r="ID757"/>
      <c r="IE757"/>
      <c r="IF757"/>
      <c r="IG757"/>
      <c r="IH757"/>
      <c r="II757"/>
      <c r="IJ757"/>
      <c r="IK757"/>
      <c r="IL757"/>
      <c r="IM757"/>
      <c r="IN757"/>
      <c r="IO757"/>
      <c r="IP757"/>
      <c r="IQ757"/>
      <c r="IR757"/>
      <c r="IS757"/>
      <c r="IT757"/>
      <c r="IU757"/>
      <c r="IV757"/>
      <c r="IW757"/>
      <c r="IX757"/>
      <c r="IY757"/>
      <c r="IZ757"/>
      <c r="JA757"/>
      <c r="JB757"/>
      <c r="JC757"/>
      <c r="JD757"/>
      <c r="JE757"/>
      <c r="JF757"/>
      <c r="JG757"/>
      <c r="JH757"/>
      <c r="JI757"/>
      <c r="JJ757"/>
      <c r="JK757"/>
      <c r="JL757"/>
      <c r="JM757"/>
      <c r="JN757"/>
    </row>
    <row r="758" spans="1:274" s="342" customFormat="1" hidden="1" outlineLevel="1" x14ac:dyDescent="0.2">
      <c r="B758" s="20"/>
      <c r="CT758" s="475"/>
      <c r="CZ758" s="475"/>
      <c r="DE758" s="475"/>
      <c r="DF758" s="475"/>
      <c r="DK758" s="475"/>
      <c r="DL758" s="475"/>
      <c r="DQ758" s="475"/>
      <c r="DR758" s="475"/>
      <c r="DW758" s="475"/>
      <c r="DX758" s="475"/>
      <c r="EC758" s="475"/>
      <c r="ED758" s="475"/>
      <c r="EI758" s="475"/>
      <c r="EJ758" s="475"/>
      <c r="EO758" s="475"/>
      <c r="EP758" s="475"/>
      <c r="EU758" s="475"/>
      <c r="EV758" s="475"/>
      <c r="FA758" s="475"/>
      <c r="FB758" s="475"/>
      <c r="FG758" s="475"/>
      <c r="FH758" s="475"/>
      <c r="FM758" s="475"/>
      <c r="FQ758"/>
      <c r="FR758"/>
      <c r="FS758"/>
      <c r="FT758"/>
      <c r="FU758"/>
      <c r="FV758"/>
      <c r="GB758" s="24"/>
      <c r="GC758" s="24"/>
      <c r="GD758" s="24"/>
      <c r="GE758" s="24"/>
      <c r="GF758" s="24"/>
      <c r="GG758" s="24"/>
      <c r="GH758" s="24"/>
      <c r="GI758" s="24"/>
      <c r="GJ758"/>
      <c r="GK758"/>
      <c r="GL758"/>
      <c r="GM758"/>
      <c r="GN758"/>
      <c r="GO758"/>
      <c r="GP758"/>
      <c r="GQ758"/>
      <c r="GR758"/>
      <c r="GS758"/>
      <c r="GT758"/>
      <c r="GU758"/>
      <c r="GV758"/>
      <c r="GW758"/>
      <c r="GX758"/>
      <c r="GY758"/>
      <c r="GZ758"/>
      <c r="HA758"/>
      <c r="HB758"/>
      <c r="HC758"/>
      <c r="HD758"/>
      <c r="HE758"/>
      <c r="HF758"/>
      <c r="HG758"/>
      <c r="HH758"/>
      <c r="HI758"/>
      <c r="HJ758"/>
      <c r="HK758"/>
      <c r="HL758"/>
      <c r="HM758"/>
      <c r="HN758"/>
      <c r="HO758"/>
      <c r="HP758"/>
      <c r="HQ758"/>
      <c r="HR758"/>
      <c r="HS758"/>
      <c r="HT758"/>
      <c r="HU758"/>
      <c r="HV758"/>
      <c r="HW758"/>
      <c r="HX758"/>
      <c r="HY758"/>
      <c r="HZ758"/>
      <c r="IA758"/>
      <c r="IB758"/>
      <c r="IC758"/>
      <c r="ID758"/>
      <c r="IE758"/>
      <c r="IF758"/>
      <c r="IG758"/>
      <c r="IH758"/>
      <c r="II758"/>
      <c r="IJ758"/>
      <c r="IK758"/>
      <c r="IL758"/>
      <c r="IM758"/>
      <c r="IN758"/>
      <c r="IO758"/>
      <c r="IP758"/>
      <c r="IQ758"/>
      <c r="IR758"/>
      <c r="IS758"/>
      <c r="IT758"/>
      <c r="IU758"/>
      <c r="IV758"/>
      <c r="IW758"/>
      <c r="IX758"/>
      <c r="IY758"/>
      <c r="IZ758"/>
      <c r="JA758"/>
      <c r="JB758"/>
      <c r="JC758"/>
      <c r="JD758"/>
      <c r="JE758"/>
      <c r="JF758"/>
      <c r="JG758"/>
      <c r="JH758"/>
      <c r="JI758"/>
      <c r="JJ758"/>
      <c r="JK758"/>
      <c r="JL758"/>
      <c r="JM758"/>
      <c r="JN758"/>
    </row>
    <row r="759" spans="1:274" s="342" customFormat="1" hidden="1" outlineLevel="1" x14ac:dyDescent="0.2">
      <c r="A759" s="342" t="s">
        <v>274</v>
      </c>
      <c r="B759" s="20"/>
      <c r="AW759" s="244">
        <f>AW298</f>
        <v>6650</v>
      </c>
      <c r="BC759" s="244">
        <f>BC298</f>
        <v>7926</v>
      </c>
      <c r="BI759" s="244">
        <f>BI298</f>
        <v>8859</v>
      </c>
      <c r="BO759" s="244">
        <f>BO298</f>
        <v>9429</v>
      </c>
      <c r="BU759" s="244">
        <f>BU298</f>
        <v>11436</v>
      </c>
      <c r="CA759" s="244">
        <f>CA298</f>
        <v>13114</v>
      </c>
      <c r="CG759" s="244">
        <f>CG298</f>
        <v>14432</v>
      </c>
      <c r="CM759" s="244">
        <f>CM298</f>
        <v>18130</v>
      </c>
      <c r="CS759" s="244">
        <f>CS298</f>
        <v>20607</v>
      </c>
      <c r="CT759" s="475"/>
      <c r="CY759" s="244">
        <f>CY298</f>
        <v>22000</v>
      </c>
      <c r="CZ759" s="475"/>
      <c r="DE759" s="131">
        <f>DE298</f>
        <v>28000</v>
      </c>
      <c r="DF759" s="475"/>
      <c r="DK759" s="131">
        <f>DK298</f>
        <v>30000</v>
      </c>
      <c r="DL759" s="475"/>
      <c r="DQ759" s="131">
        <f>DQ298</f>
        <v>32000</v>
      </c>
      <c r="DR759" s="475"/>
      <c r="DW759" s="131">
        <f>DW298</f>
        <v>35000</v>
      </c>
      <c r="DX759" s="475"/>
      <c r="EC759" s="131">
        <f>EC298</f>
        <v>36000</v>
      </c>
      <c r="ED759" s="475"/>
      <c r="EI759" s="131">
        <f>EI298</f>
        <v>38000</v>
      </c>
      <c r="EJ759" s="475"/>
      <c r="EO759" s="131">
        <f>EO298</f>
        <v>40000</v>
      </c>
      <c r="EP759" s="475"/>
      <c r="EU759" s="131">
        <f>EU298</f>
        <v>40000</v>
      </c>
      <c r="EV759" s="475"/>
      <c r="FA759" s="131">
        <f>FA298</f>
        <v>41876.139633768107</v>
      </c>
      <c r="FB759" s="475"/>
      <c r="FG759" s="131">
        <f>FG298</f>
        <v>43684.982103067669</v>
      </c>
      <c r="FH759" s="475"/>
      <c r="FM759" s="131">
        <f>FM298</f>
        <v>45589.490541092469</v>
      </c>
      <c r="FQ759"/>
      <c r="FR759"/>
      <c r="FS759"/>
      <c r="FT759"/>
      <c r="FU759"/>
      <c r="FV759"/>
      <c r="GB759" s="24"/>
      <c r="GC759" s="24"/>
      <c r="GD759" s="24"/>
      <c r="GE759" s="24"/>
      <c r="GF759" s="24"/>
      <c r="GG759" s="24"/>
      <c r="GH759" s="24"/>
      <c r="GI759" s="24"/>
      <c r="GJ759"/>
      <c r="GK759"/>
      <c r="GL759"/>
      <c r="GM759"/>
      <c r="GN759"/>
      <c r="GO759"/>
      <c r="GP759"/>
      <c r="GQ759"/>
      <c r="GR759"/>
      <c r="GS759"/>
      <c r="GT759"/>
      <c r="GU759"/>
      <c r="GV759"/>
      <c r="GW759"/>
      <c r="GX759"/>
      <c r="GY759"/>
      <c r="GZ759"/>
      <c r="HA759"/>
      <c r="HB759"/>
      <c r="HC759"/>
      <c r="HD759"/>
      <c r="HE759"/>
      <c r="HF759"/>
      <c r="HG759"/>
      <c r="HH759"/>
      <c r="HI759"/>
      <c r="HJ759"/>
      <c r="HK759"/>
      <c r="HL759"/>
      <c r="HM759"/>
      <c r="HN759"/>
      <c r="HO759"/>
      <c r="HP759"/>
      <c r="HQ759"/>
      <c r="HR759"/>
      <c r="HS759"/>
      <c r="HT759"/>
      <c r="HU759"/>
      <c r="HV759"/>
      <c r="HW759"/>
      <c r="HX759"/>
      <c r="HY759"/>
      <c r="HZ759"/>
      <c r="IA759"/>
      <c r="IB759"/>
      <c r="IC759"/>
      <c r="ID759"/>
      <c r="IE759"/>
      <c r="IF759"/>
      <c r="IG759"/>
      <c r="IH759"/>
      <c r="II759"/>
      <c r="IJ759"/>
      <c r="IK759"/>
      <c r="IL759"/>
      <c r="IM759"/>
      <c r="IN759"/>
      <c r="IO759"/>
      <c r="IP759"/>
      <c r="IQ759"/>
      <c r="IR759"/>
      <c r="IS759"/>
      <c r="IT759"/>
      <c r="IU759"/>
      <c r="IV759"/>
      <c r="IW759"/>
      <c r="IX759"/>
      <c r="IY759"/>
      <c r="IZ759"/>
      <c r="JA759"/>
      <c r="JB759"/>
      <c r="JC759"/>
      <c r="JD759"/>
      <c r="JE759"/>
      <c r="JF759"/>
      <c r="JG759"/>
      <c r="JH759"/>
      <c r="JI759"/>
      <c r="JJ759"/>
      <c r="JK759"/>
      <c r="JL759"/>
      <c r="JM759"/>
      <c r="JN759"/>
    </row>
    <row r="760" spans="1:274" s="342" customFormat="1" ht="4.5" hidden="1" customHeight="1" outlineLevel="1" x14ac:dyDescent="0.2">
      <c r="B760" s="20"/>
      <c r="CT760" s="475"/>
      <c r="CZ760" s="475"/>
      <c r="DE760" s="475"/>
      <c r="DF760" s="475"/>
      <c r="DK760" s="475"/>
      <c r="DL760" s="475"/>
      <c r="DQ760" s="475"/>
      <c r="DR760" s="475"/>
      <c r="DW760" s="475"/>
      <c r="DX760" s="475"/>
      <c r="EC760" s="475"/>
      <c r="ED760" s="475"/>
      <c r="EI760" s="475"/>
      <c r="EJ760" s="475"/>
      <c r="EO760" s="475"/>
      <c r="EP760" s="475"/>
      <c r="EU760" s="475"/>
      <c r="EV760" s="475"/>
      <c r="FA760" s="475"/>
      <c r="FB760" s="475"/>
      <c r="FG760" s="475"/>
      <c r="FH760" s="475"/>
      <c r="FM760" s="475"/>
      <c r="FQ760"/>
      <c r="FR760"/>
      <c r="FS760"/>
      <c r="FT760"/>
      <c r="FU760"/>
      <c r="FV760"/>
      <c r="GB760" s="24"/>
      <c r="GC760" s="24"/>
      <c r="GD760" s="24"/>
      <c r="GE760" s="24"/>
      <c r="GF760" s="24"/>
      <c r="GG760" s="24"/>
      <c r="GH760" s="24"/>
      <c r="GI760" s="24"/>
      <c r="GJ760"/>
      <c r="GK760"/>
      <c r="GL760"/>
      <c r="GM760"/>
      <c r="GN760"/>
      <c r="GO760"/>
      <c r="GP760"/>
      <c r="GQ760"/>
      <c r="GR760"/>
      <c r="GS760"/>
      <c r="GT760"/>
      <c r="GU760"/>
      <c r="GV760"/>
      <c r="GW760"/>
      <c r="GX760"/>
      <c r="GY760"/>
      <c r="GZ760"/>
      <c r="HA760"/>
      <c r="HB760"/>
      <c r="HC760"/>
      <c r="HD760"/>
      <c r="HE760"/>
      <c r="HF760"/>
      <c r="HG760"/>
      <c r="HH760"/>
      <c r="HI760"/>
      <c r="HJ760"/>
      <c r="HK760"/>
      <c r="HL760"/>
      <c r="HM760"/>
      <c r="HN760"/>
      <c r="HO760"/>
      <c r="HP760"/>
      <c r="HQ760"/>
      <c r="HR760"/>
      <c r="HS760"/>
      <c r="HT760"/>
      <c r="HU760"/>
      <c r="HV760"/>
      <c r="HW760"/>
      <c r="HX760"/>
      <c r="HY760"/>
      <c r="HZ760"/>
      <c r="IA760"/>
      <c r="IB760"/>
      <c r="IC760"/>
      <c r="ID760"/>
      <c r="IE760"/>
      <c r="IF760"/>
      <c r="IG760"/>
      <c r="IH760"/>
      <c r="II760"/>
      <c r="IJ760"/>
      <c r="IK760"/>
      <c r="IL760"/>
      <c r="IM760"/>
      <c r="IN760"/>
      <c r="IO760"/>
      <c r="IP760"/>
      <c r="IQ760"/>
      <c r="IR760"/>
      <c r="IS760"/>
      <c r="IT760"/>
      <c r="IU760"/>
      <c r="IV760"/>
      <c r="IW760"/>
      <c r="IX760"/>
      <c r="IY760"/>
      <c r="IZ760"/>
      <c r="JA760"/>
      <c r="JB760"/>
      <c r="JC760"/>
      <c r="JD760"/>
      <c r="JE760"/>
      <c r="JF760"/>
      <c r="JG760"/>
      <c r="JH760"/>
      <c r="JI760"/>
      <c r="JJ760"/>
      <c r="JK760"/>
      <c r="JL760"/>
      <c r="JM760"/>
      <c r="JN760"/>
    </row>
    <row r="761" spans="1:274" s="342" customFormat="1" hidden="1" outlineLevel="1" x14ac:dyDescent="0.2">
      <c r="A761" s="342" t="s">
        <v>267</v>
      </c>
      <c r="B761" s="20"/>
      <c r="AW761" s="788">
        <f>AW740/AW759*1000000</f>
        <v>447950.82706766919</v>
      </c>
      <c r="BC761" s="788">
        <f>BC740/BC759*1000000</f>
        <v>450438.9351501388</v>
      </c>
      <c r="BI761" s="788">
        <f>BI740/BI759*1000000</f>
        <v>399620.27316852915</v>
      </c>
      <c r="BO761" s="788">
        <f>BO740/BO759*1000000</f>
        <v>416735.60292713967</v>
      </c>
      <c r="BU761" s="788">
        <f>BU740/BU759*1000000</f>
        <v>396030.08044770901</v>
      </c>
      <c r="CA761" s="788">
        <f>CA740/CA759*1000000</f>
        <v>430913.52752783283</v>
      </c>
      <c r="CG761" s="788">
        <f>CG740/CG759*1000000</f>
        <v>486973.39246119733</v>
      </c>
      <c r="CM761" s="177">
        <f>CM740/CM759*1000000</f>
        <v>471097.62824048538</v>
      </c>
      <c r="CN761" s="177"/>
      <c r="CO761" s="177"/>
      <c r="CP761" s="177"/>
      <c r="CQ761" s="177"/>
      <c r="CR761" s="177"/>
      <c r="CS761" s="177">
        <f>CS740/CS759*1000000</f>
        <v>509875.28509729705</v>
      </c>
      <c r="CT761" s="785"/>
      <c r="CU761" s="177"/>
      <c r="CV761" s="177"/>
      <c r="CW761" s="177"/>
      <c r="CX761" s="177"/>
      <c r="CY761" s="177">
        <f>CY740/CY759*1000000</f>
        <v>545318.18181818177</v>
      </c>
      <c r="CZ761" s="785"/>
      <c r="DA761" s="177"/>
      <c r="DB761" s="177"/>
      <c r="DC761" s="177"/>
      <c r="DD761" s="177"/>
      <c r="DE761" s="785">
        <f>DE740/DE759*1000000</f>
        <v>470607.14285714284</v>
      </c>
      <c r="DF761" s="785"/>
      <c r="DG761" s="177"/>
      <c r="DH761" s="177"/>
      <c r="DI761" s="177"/>
      <c r="DJ761" s="177"/>
      <c r="DK761" s="785">
        <f>DK740/DK759*1000000</f>
        <v>497366.66666666669</v>
      </c>
      <c r="DL761" s="785"/>
      <c r="DM761" s="177"/>
      <c r="DN761" s="177"/>
      <c r="DO761" s="177"/>
      <c r="DP761" s="177"/>
      <c r="DQ761" s="785">
        <f>DQ740/DQ759*1000000</f>
        <v>508093.75</v>
      </c>
      <c r="DR761" s="785"/>
      <c r="DS761" s="177"/>
      <c r="DT761" s="177"/>
      <c r="DU761" s="177"/>
      <c r="DV761" s="177"/>
      <c r="DW761" s="785">
        <f>DW740/DW759*1000000</f>
        <v>490200</v>
      </c>
      <c r="DX761" s="785"/>
      <c r="DY761" s="177"/>
      <c r="DZ761" s="177"/>
      <c r="EA761" s="177"/>
      <c r="EB761" s="177"/>
      <c r="EC761" s="785">
        <f>EC740/EC759*1000000</f>
        <v>505805.5555555555</v>
      </c>
      <c r="ED761" s="785"/>
      <c r="EE761" s="177"/>
      <c r="EF761" s="177"/>
      <c r="EG761" s="177"/>
      <c r="EH761" s="177"/>
      <c r="EI761" s="785">
        <f>EI740/EI759*1000000</f>
        <v>496210.5263157895</v>
      </c>
      <c r="EJ761" s="785"/>
      <c r="EK761" s="177"/>
      <c r="EL761" s="177"/>
      <c r="EM761" s="177"/>
      <c r="EN761" s="177"/>
      <c r="EO761" s="785">
        <f>EO740/EO759*1000000</f>
        <v>471600</v>
      </c>
      <c r="EP761" s="785"/>
      <c r="EQ761" s="1789"/>
      <c r="ER761" s="1789"/>
      <c r="ES761" s="1789"/>
      <c r="ET761" s="1789"/>
      <c r="EU761" s="785">
        <f>EU740/EU759*1000000</f>
        <v>480750</v>
      </c>
      <c r="EV761" s="1791"/>
      <c r="EW761" s="1789"/>
      <c r="EX761" s="1789"/>
      <c r="EY761" s="1789"/>
      <c r="EZ761" s="1789"/>
      <c r="FA761" s="1791">
        <f>FA740/FA759*1000000</f>
        <v>478360.20085157041</v>
      </c>
      <c r="FB761" s="1791"/>
      <c r="FC761" s="1789"/>
      <c r="FD761" s="1789"/>
      <c r="FE761" s="1789"/>
      <c r="FF761" s="1789"/>
      <c r="FG761" s="1791">
        <f>FG740/FG759*1000000</f>
        <v>473631.66238630749</v>
      </c>
      <c r="FH761" s="1791"/>
      <c r="FI761" s="1789"/>
      <c r="FJ761" s="1789"/>
      <c r="FK761" s="1789"/>
      <c r="FL761" s="1789"/>
      <c r="FM761" s="1791">
        <f>FM740/FM759*1000000</f>
        <v>464585.42357493896</v>
      </c>
      <c r="FQ761"/>
      <c r="FR761"/>
      <c r="FS761"/>
      <c r="FT761"/>
      <c r="FU761"/>
      <c r="FV761"/>
      <c r="GB761" s="24"/>
      <c r="GC761" s="24"/>
      <c r="GD761" s="24"/>
      <c r="GE761" s="24"/>
      <c r="GF761" s="24"/>
      <c r="GG761" s="24"/>
      <c r="GH761" s="24"/>
      <c r="GI761" s="24"/>
      <c r="GJ761"/>
      <c r="GK761"/>
      <c r="GL761"/>
      <c r="GM761"/>
      <c r="GN761"/>
      <c r="GO761"/>
      <c r="GP761"/>
      <c r="GQ761"/>
      <c r="GR761"/>
      <c r="GS761"/>
      <c r="GT761"/>
      <c r="GU761"/>
      <c r="GV761"/>
      <c r="GW761"/>
      <c r="GX761"/>
      <c r="GY761"/>
      <c r="GZ761"/>
      <c r="HA761"/>
      <c r="HB761"/>
      <c r="HC761"/>
      <c r="HD761"/>
      <c r="HE761"/>
      <c r="HF761"/>
      <c r="HG761"/>
      <c r="HH761"/>
      <c r="HI761"/>
      <c r="HJ761"/>
      <c r="HK761"/>
      <c r="HL761"/>
      <c r="HM761"/>
      <c r="HN761"/>
      <c r="HO761"/>
      <c r="HP761"/>
      <c r="HQ761"/>
      <c r="HR761"/>
      <c r="HS761"/>
      <c r="HT761"/>
      <c r="HU761"/>
      <c r="HV761"/>
      <c r="HW761"/>
      <c r="HX761"/>
      <c r="HY761"/>
      <c r="HZ761"/>
      <c r="IA761"/>
      <c r="IB761"/>
      <c r="IC761"/>
      <c r="ID761"/>
      <c r="IE761"/>
      <c r="IF761"/>
      <c r="IG761"/>
      <c r="IH761"/>
      <c r="II761"/>
      <c r="IJ761"/>
      <c r="IK761"/>
      <c r="IL761"/>
      <c r="IM761"/>
      <c r="IN761"/>
      <c r="IO761"/>
      <c r="IP761"/>
      <c r="IQ761"/>
      <c r="IR761"/>
      <c r="IS761"/>
      <c r="IT761"/>
      <c r="IU761"/>
      <c r="IV761"/>
      <c r="IW761"/>
      <c r="IX761"/>
      <c r="IY761"/>
      <c r="IZ761"/>
      <c r="JA761"/>
      <c r="JB761"/>
      <c r="JC761"/>
      <c r="JD761"/>
      <c r="JE761"/>
      <c r="JF761"/>
      <c r="JG761"/>
      <c r="JH761"/>
      <c r="JI761"/>
      <c r="JJ761"/>
      <c r="JK761"/>
      <c r="JL761"/>
      <c r="JM761"/>
      <c r="JN761"/>
    </row>
    <row r="762" spans="1:274" s="342" customFormat="1" hidden="1" outlineLevel="1" x14ac:dyDescent="0.2">
      <c r="A762" s="342" t="s">
        <v>275</v>
      </c>
      <c r="B762" s="20"/>
      <c r="AW762" s="788">
        <f>AW718/AW759*1000000</f>
        <v>1523327.5187969925</v>
      </c>
      <c r="BC762" s="788">
        <f>BC718/BC759*1000000</f>
        <v>1382878.1226343678</v>
      </c>
      <c r="BI762" s="788">
        <f>BI718/BI759*1000000</f>
        <v>1091860.5937464724</v>
      </c>
      <c r="BO762" s="788">
        <f>BO718/BO759*1000000</f>
        <v>1004920.9884399193</v>
      </c>
      <c r="BU762" s="788">
        <f>BU718/BU759*1000000</f>
        <v>888072.7527107381</v>
      </c>
      <c r="CA762" s="788">
        <f>CA718/CA759*1000000</f>
        <v>924126.88729601959</v>
      </c>
      <c r="CG762" s="788">
        <f>CG718/CG759*1000000</f>
        <v>1023586.4745011085</v>
      </c>
      <c r="CM762" s="177">
        <f>CM718/CM759*1000000</f>
        <v>1004357.418643133</v>
      </c>
      <c r="CN762" s="177"/>
      <c r="CO762" s="177"/>
      <c r="CP762" s="177"/>
      <c r="CQ762" s="177"/>
      <c r="CR762" s="177"/>
      <c r="CS762" s="177">
        <f>CS718/CS759*1000000</f>
        <v>1097151.4533896248</v>
      </c>
      <c r="CT762" s="785"/>
      <c r="CU762" s="177"/>
      <c r="CV762" s="177"/>
      <c r="CW762" s="177"/>
      <c r="CX762" s="177"/>
      <c r="CY762" s="177">
        <f>CY718/CY759*1000000</f>
        <v>1067909.0909090908</v>
      </c>
      <c r="CZ762" s="785"/>
      <c r="DA762" s="177"/>
      <c r="DB762" s="177"/>
      <c r="DC762" s="177"/>
      <c r="DD762" s="177"/>
      <c r="DE762" s="785">
        <f>DE718/DE759*1000000</f>
        <v>965550</v>
      </c>
      <c r="DF762" s="785"/>
      <c r="DG762" s="177"/>
      <c r="DH762" s="177"/>
      <c r="DI762" s="177"/>
      <c r="DJ762" s="177"/>
      <c r="DK762" s="785">
        <f>DK718/DK759*1000000</f>
        <v>1196500</v>
      </c>
      <c r="DL762" s="785"/>
      <c r="DM762" s="177"/>
      <c r="DN762" s="177"/>
      <c r="DO762" s="177"/>
      <c r="DP762" s="177"/>
      <c r="DQ762" s="785">
        <f>DQ718/DQ759*1000000</f>
        <v>1163171.8406250002</v>
      </c>
      <c r="DR762" s="785"/>
      <c r="DS762" s="177"/>
      <c r="DT762" s="177"/>
      <c r="DU762" s="177"/>
      <c r="DV762" s="177"/>
      <c r="DW762" s="785">
        <f>DW718/DW759*1000000</f>
        <v>1064371.4285714286</v>
      </c>
      <c r="DX762" s="785"/>
      <c r="DY762" s="177"/>
      <c r="DZ762" s="177"/>
      <c r="EA762" s="177"/>
      <c r="EB762" s="177"/>
      <c r="EC762" s="785">
        <f>EC718/EC759*1000000</f>
        <v>1064027.7777777778</v>
      </c>
      <c r="ED762" s="785"/>
      <c r="EE762" s="177"/>
      <c r="EF762" s="177"/>
      <c r="EG762" s="177"/>
      <c r="EH762" s="177"/>
      <c r="EI762" s="785">
        <f>EI718/EI759*1000000</f>
        <v>1006657.8947368421</v>
      </c>
      <c r="EJ762" s="785"/>
      <c r="EK762" s="177"/>
      <c r="EL762" s="177"/>
      <c r="EM762" s="177"/>
      <c r="EN762" s="177"/>
      <c r="EO762" s="785">
        <f>EO718/EO759*1000000</f>
        <v>926425</v>
      </c>
      <c r="EP762" s="785"/>
      <c r="EQ762" s="1789"/>
      <c r="ER762" s="1789"/>
      <c r="ES762" s="1789"/>
      <c r="ET762" s="1789"/>
      <c r="EU762" s="785">
        <f>EU718/EU759*1000000</f>
        <v>947444.5</v>
      </c>
      <c r="EV762" s="1791"/>
      <c r="EW762" s="1789"/>
      <c r="EX762" s="1789"/>
      <c r="EY762" s="1789"/>
      <c r="EZ762" s="1789"/>
      <c r="FA762" s="1791">
        <f>FA718/FA759*1000000</f>
        <v>0</v>
      </c>
      <c r="FB762" s="1791"/>
      <c r="FC762" s="1789"/>
      <c r="FD762" s="1789"/>
      <c r="FE762" s="1789"/>
      <c r="FF762" s="1789"/>
      <c r="FG762" s="1791">
        <f>FG718/FG759*1000000</f>
        <v>0</v>
      </c>
      <c r="FH762" s="1791"/>
      <c r="FI762" s="1789"/>
      <c r="FJ762" s="1789"/>
      <c r="FK762" s="1789"/>
      <c r="FL762" s="1789"/>
      <c r="FM762" s="1791">
        <f>FM718/FM759*1000000</f>
        <v>0</v>
      </c>
      <c r="FQ762"/>
      <c r="FR762"/>
      <c r="FS762"/>
      <c r="FT762"/>
      <c r="FU762"/>
      <c r="FV762"/>
      <c r="GB762" s="24"/>
      <c r="GC762" s="24"/>
      <c r="GD762" s="24"/>
      <c r="GE762" s="24"/>
      <c r="GF762" s="24"/>
      <c r="GG762" s="24"/>
      <c r="GH762" s="24"/>
      <c r="GI762" s="24"/>
      <c r="GJ762"/>
      <c r="GK762"/>
      <c r="GL762"/>
      <c r="GM762"/>
      <c r="GN762"/>
      <c r="GO762"/>
      <c r="GP762"/>
      <c r="GQ762"/>
      <c r="GR762"/>
      <c r="GS762"/>
      <c r="GT762"/>
      <c r="GU762"/>
      <c r="GV762"/>
      <c r="GW762"/>
      <c r="GX762"/>
      <c r="GY762"/>
      <c r="GZ762"/>
      <c r="HA762"/>
      <c r="HB762"/>
      <c r="HC762"/>
      <c r="HD762"/>
      <c r="HE762"/>
      <c r="HF762"/>
      <c r="HG762"/>
      <c r="HH762"/>
      <c r="HI762"/>
      <c r="HJ762"/>
      <c r="HK762"/>
      <c r="HL762"/>
      <c r="HM762"/>
      <c r="HN762"/>
      <c r="HO762"/>
      <c r="HP762"/>
      <c r="HQ762"/>
      <c r="HR762"/>
      <c r="HS762"/>
      <c r="HT762"/>
      <c r="HU762"/>
      <c r="HV762"/>
      <c r="HW762"/>
      <c r="HX762"/>
      <c r="HY762"/>
      <c r="HZ762"/>
      <c r="IA762"/>
      <c r="IB762"/>
      <c r="IC762"/>
      <c r="ID762"/>
      <c r="IE762"/>
      <c r="IF762"/>
      <c r="IG762"/>
      <c r="IH762"/>
      <c r="II762"/>
      <c r="IJ762"/>
      <c r="IK762"/>
      <c r="IL762"/>
      <c r="IM762"/>
      <c r="IN762"/>
      <c r="IO762"/>
      <c r="IP762"/>
      <c r="IQ762"/>
      <c r="IR762"/>
      <c r="IS762"/>
      <c r="IT762"/>
      <c r="IU762"/>
      <c r="IV762"/>
      <c r="IW762"/>
      <c r="IX762"/>
      <c r="IY762"/>
      <c r="IZ762"/>
      <c r="JA762"/>
      <c r="JB762"/>
      <c r="JC762"/>
      <c r="JD762"/>
      <c r="JE762"/>
      <c r="JF762"/>
      <c r="JG762"/>
      <c r="JH762"/>
      <c r="JI762"/>
      <c r="JJ762"/>
      <c r="JK762"/>
      <c r="JL762"/>
      <c r="JM762"/>
      <c r="JN762"/>
    </row>
    <row r="763" spans="1:274" s="342" customFormat="1" hidden="1" outlineLevel="1" x14ac:dyDescent="0.2">
      <c r="A763" s="342" t="s">
        <v>276</v>
      </c>
      <c r="B763" s="20"/>
      <c r="AW763" s="788">
        <f>AW754/AW759*1000000</f>
        <v>151861.95488721805</v>
      </c>
      <c r="BC763" s="788">
        <f>BC754/BC759*1000000</f>
        <v>143652.66212465303</v>
      </c>
      <c r="BI763" s="788">
        <f>BI754/BI759*1000000</f>
        <v>121476.01309402866</v>
      </c>
      <c r="BO763" s="788">
        <f>BO754/BO759*1000000</f>
        <v>125145.82670484675</v>
      </c>
      <c r="BU763" s="788">
        <f>BU754/BU759*1000000</f>
        <v>111752.36096537251</v>
      </c>
      <c r="CA763" s="788">
        <f>CA754/CA759*1000000</f>
        <v>112932.74363275889</v>
      </c>
      <c r="CG763" s="788">
        <f>CG754/CG759*1000000</f>
        <v>128644.67849223946</v>
      </c>
      <c r="CM763" s="177">
        <f>CM754/CM759*1000000</f>
        <v>116381.68781025923</v>
      </c>
      <c r="CN763" s="177"/>
      <c r="CO763" s="177"/>
      <c r="CP763" s="177"/>
      <c r="CQ763" s="177"/>
      <c r="CR763" s="177"/>
      <c r="CS763" s="177">
        <f>CS754/CS759*1000000</f>
        <v>127480.9530741981</v>
      </c>
      <c r="CT763" s="785"/>
      <c r="CU763" s="177"/>
      <c r="CV763" s="177"/>
      <c r="CW763" s="177"/>
      <c r="CX763" s="177"/>
      <c r="CY763" s="177">
        <f>CY754/CY759*1000000</f>
        <v>118727.27272727272</v>
      </c>
      <c r="CZ763" s="785"/>
      <c r="DA763" s="177"/>
      <c r="DB763" s="177"/>
      <c r="DC763" s="177"/>
      <c r="DD763" s="177"/>
      <c r="DE763" s="785">
        <f>DE754/DE759*1000000</f>
        <v>110071.42857142857</v>
      </c>
      <c r="DF763" s="785"/>
      <c r="DG763" s="177"/>
      <c r="DH763" s="177"/>
      <c r="DI763" s="177"/>
      <c r="DJ763" s="177"/>
      <c r="DK763" s="785">
        <f>DK754/DK759*1000000</f>
        <v>142900</v>
      </c>
      <c r="DL763" s="785"/>
      <c r="DM763" s="177"/>
      <c r="DN763" s="177"/>
      <c r="DO763" s="177"/>
      <c r="DP763" s="177"/>
      <c r="DQ763" s="785">
        <f>DQ754/DQ759*1000000</f>
        <v>132125</v>
      </c>
      <c r="DR763" s="785"/>
      <c r="DS763" s="177"/>
      <c r="DT763" s="177"/>
      <c r="DU763" s="177"/>
      <c r="DV763" s="177"/>
      <c r="DW763" s="785">
        <f>DW754/DW759*1000000</f>
        <v>128542.85714285716</v>
      </c>
      <c r="DX763" s="785"/>
      <c r="DY763" s="177"/>
      <c r="DZ763" s="177"/>
      <c r="EA763" s="177"/>
      <c r="EB763" s="177"/>
      <c r="EC763" s="785">
        <f>EC754/EC759*1000000</f>
        <v>132416.66666666666</v>
      </c>
      <c r="ED763" s="785"/>
      <c r="EE763" s="177"/>
      <c r="EF763" s="177"/>
      <c r="EG763" s="177"/>
      <c r="EH763" s="177"/>
      <c r="EI763" s="785">
        <f>EI754/EI759*1000000</f>
        <v>131605.26315789472</v>
      </c>
      <c r="EJ763" s="785"/>
      <c r="EK763" s="177"/>
      <c r="EL763" s="177"/>
      <c r="EM763" s="177"/>
      <c r="EN763" s="177"/>
      <c r="EO763" s="785">
        <f>EO754/EO759*1000000</f>
        <v>129425.00000000001</v>
      </c>
      <c r="EP763" s="785"/>
      <c r="EQ763" s="1789"/>
      <c r="ER763" s="1789"/>
      <c r="ES763" s="1789"/>
      <c r="ET763" s="1789"/>
      <c r="EU763" s="785">
        <f>EU754/EU759*1000000</f>
        <v>134725</v>
      </c>
      <c r="EV763" s="1791"/>
      <c r="EW763" s="1789"/>
      <c r="EX763" s="1789"/>
      <c r="EY763" s="1789"/>
      <c r="EZ763" s="1789"/>
      <c r="FA763" s="1791">
        <f>FA754/FA759*1000000</f>
        <v>188406.65528900101</v>
      </c>
      <c r="FB763" s="1791"/>
      <c r="FC763" s="1789"/>
      <c r="FD763" s="1789"/>
      <c r="FE763" s="1789"/>
      <c r="FF763" s="1789"/>
      <c r="FG763" s="1791">
        <f>FG754/FG759*1000000</f>
        <v>184175.3421703449</v>
      </c>
      <c r="FH763" s="1791"/>
      <c r="FI763" s="1789"/>
      <c r="FJ763" s="1789"/>
      <c r="FK763" s="1789"/>
      <c r="FL763" s="1789"/>
      <c r="FM763" s="1791">
        <f>FM754/FM759*1000000</f>
        <v>179687.07763713403</v>
      </c>
      <c r="FQ763"/>
      <c r="FR763"/>
      <c r="FS763"/>
      <c r="FT763"/>
      <c r="FU763"/>
      <c r="FV763"/>
      <c r="GB763" s="24"/>
      <c r="GC763" s="24"/>
      <c r="GD763" s="24"/>
      <c r="GE763" s="24"/>
      <c r="GF763" s="24"/>
      <c r="GG763" s="24"/>
      <c r="GH763" s="24"/>
      <c r="GI763" s="24"/>
      <c r="GJ763"/>
      <c r="GK763"/>
      <c r="GL763"/>
      <c r="GM763"/>
      <c r="GN763"/>
      <c r="GO763"/>
      <c r="GP763"/>
      <c r="GQ763"/>
      <c r="GR763"/>
      <c r="GS763"/>
      <c r="GT763"/>
      <c r="GU763"/>
      <c r="GV763"/>
      <c r="GW763"/>
      <c r="GX763"/>
      <c r="GY763"/>
      <c r="GZ763"/>
      <c r="HA763"/>
      <c r="HB763"/>
      <c r="HC763"/>
      <c r="HD763"/>
      <c r="HE763"/>
      <c r="HF763"/>
      <c r="HG763"/>
      <c r="HH763"/>
      <c r="HI763"/>
      <c r="HJ763"/>
      <c r="HK763"/>
      <c r="HL763"/>
      <c r="HM763"/>
      <c r="HN763"/>
      <c r="HO763"/>
      <c r="HP763"/>
      <c r="HQ763"/>
      <c r="HR763"/>
      <c r="HS763"/>
      <c r="HT763"/>
      <c r="HU763"/>
      <c r="HV763"/>
      <c r="HW763"/>
      <c r="HX763"/>
      <c r="HY763"/>
      <c r="HZ763"/>
      <c r="IA763"/>
      <c r="IB763"/>
      <c r="IC763"/>
      <c r="ID763"/>
      <c r="IE763"/>
      <c r="IF763"/>
      <c r="IG763"/>
      <c r="IH763"/>
      <c r="II763"/>
      <c r="IJ763"/>
      <c r="IK763"/>
      <c r="IL763"/>
      <c r="IM763"/>
      <c r="IN763"/>
      <c r="IO763"/>
      <c r="IP763"/>
      <c r="IQ763"/>
      <c r="IR763"/>
      <c r="IS763"/>
      <c r="IT763"/>
      <c r="IU763"/>
      <c r="IV763"/>
      <c r="IW763"/>
      <c r="IX763"/>
      <c r="IY763"/>
      <c r="IZ763"/>
      <c r="JA763"/>
      <c r="JB763"/>
      <c r="JC763"/>
      <c r="JD763"/>
      <c r="JE763"/>
      <c r="JF763"/>
      <c r="JG763"/>
      <c r="JH763"/>
      <c r="JI763"/>
      <c r="JJ763"/>
      <c r="JK763"/>
      <c r="JL763"/>
      <c r="JM763"/>
      <c r="JN763"/>
    </row>
    <row r="764" spans="1:274" s="342" customFormat="1" hidden="1" outlineLevel="1" x14ac:dyDescent="0.2">
      <c r="B764" s="20"/>
      <c r="CA764" s="82"/>
      <c r="CM764" s="82"/>
      <c r="CS764" s="82"/>
      <c r="CT764" s="475"/>
      <c r="CY764" s="82"/>
      <c r="CZ764" s="475"/>
      <c r="DE764" s="159"/>
      <c r="DF764" s="475"/>
      <c r="DK764" s="159"/>
      <c r="DL764" s="475"/>
      <c r="DQ764" s="159"/>
      <c r="DR764" s="475"/>
      <c r="DW764" s="159"/>
      <c r="DX764" s="475"/>
      <c r="EC764" s="159"/>
      <c r="ED764" s="475"/>
      <c r="EI764" s="159"/>
      <c r="EJ764" s="475"/>
      <c r="EO764" s="159"/>
      <c r="EP764" s="475"/>
      <c r="EU764" s="159"/>
      <c r="EV764" s="475"/>
      <c r="FA764" s="159"/>
      <c r="FB764" s="475"/>
      <c r="FG764" s="159"/>
      <c r="FH764" s="475"/>
      <c r="FM764" s="159"/>
      <c r="FQ764"/>
      <c r="FR764"/>
      <c r="FS764"/>
      <c r="FT764"/>
      <c r="FU764"/>
      <c r="FV764"/>
      <c r="GB764" s="24"/>
      <c r="GC764" s="24"/>
      <c r="GD764" s="24"/>
      <c r="GE764" s="24"/>
      <c r="GF764" s="24"/>
      <c r="GG764" s="24"/>
      <c r="GH764" s="24"/>
      <c r="GI764" s="24"/>
      <c r="GJ764"/>
      <c r="GK764"/>
      <c r="GL764"/>
      <c r="GM764"/>
      <c r="GN764"/>
      <c r="GO764"/>
      <c r="GP764"/>
      <c r="GQ764"/>
      <c r="GR764"/>
      <c r="GS764"/>
      <c r="GT764"/>
      <c r="GU764"/>
      <c r="GV764"/>
      <c r="GW764"/>
      <c r="GX764"/>
      <c r="GY764"/>
      <c r="GZ764"/>
      <c r="HA764"/>
      <c r="HB764"/>
      <c r="HC764"/>
      <c r="HD764"/>
      <c r="HE764"/>
      <c r="HF764"/>
      <c r="HG764"/>
      <c r="HH764"/>
      <c r="HI764"/>
      <c r="HJ764"/>
      <c r="HK764"/>
      <c r="HL764"/>
      <c r="HM764"/>
      <c r="HN764"/>
      <c r="HO764"/>
      <c r="HP764"/>
      <c r="HQ764"/>
      <c r="HR764"/>
      <c r="HS764"/>
      <c r="HT764"/>
      <c r="HU764"/>
      <c r="HV764"/>
      <c r="HW764"/>
      <c r="HX764"/>
      <c r="HY764"/>
      <c r="HZ764"/>
      <c r="IA764"/>
      <c r="IB764"/>
      <c r="IC764"/>
      <c r="ID764"/>
      <c r="IE764"/>
      <c r="IF764"/>
      <c r="IG764"/>
      <c r="IH764"/>
      <c r="II764"/>
      <c r="IJ764"/>
      <c r="IK764"/>
      <c r="IL764"/>
      <c r="IM764"/>
      <c r="IN764"/>
      <c r="IO764"/>
      <c r="IP764"/>
      <c r="IQ764"/>
      <c r="IR764"/>
      <c r="IS764"/>
      <c r="IT764"/>
      <c r="IU764"/>
      <c r="IV764"/>
      <c r="IW764"/>
      <c r="IX764"/>
      <c r="IY764"/>
      <c r="IZ764"/>
      <c r="JA764"/>
      <c r="JB764"/>
      <c r="JC764"/>
      <c r="JD764"/>
      <c r="JE764"/>
      <c r="JF764"/>
      <c r="JG764"/>
      <c r="JH764"/>
      <c r="JI764"/>
      <c r="JJ764"/>
      <c r="JK764"/>
      <c r="JL764"/>
      <c r="JM764"/>
      <c r="JN764"/>
    </row>
    <row r="765" spans="1:274" s="342" customFormat="1" hidden="1" outlineLevel="1" x14ac:dyDescent="0.2">
      <c r="A765" s="353" t="s">
        <v>649</v>
      </c>
      <c r="B765" s="20"/>
      <c r="AW765" s="336">
        <f>AW253</f>
        <v>2704.4599999999996</v>
      </c>
      <c r="BC765" s="336">
        <f>BC253</f>
        <v>2668.9450000000002</v>
      </c>
      <c r="BI765" s="336">
        <f>BI253</f>
        <v>2619.6030000000001</v>
      </c>
      <c r="BO765" s="336">
        <f>BO253</f>
        <v>2276</v>
      </c>
      <c r="BU765" s="336">
        <f>BU253</f>
        <v>2086</v>
      </c>
      <c r="CA765" s="336">
        <f>CA253</f>
        <v>2378</v>
      </c>
      <c r="CG765" s="336">
        <f>CG253</f>
        <v>2840</v>
      </c>
      <c r="CM765" s="336">
        <f>CM253</f>
        <v>3786</v>
      </c>
      <c r="CS765" s="336">
        <f>CS253</f>
        <v>4587</v>
      </c>
      <c r="CT765" s="475"/>
      <c r="CY765" s="336">
        <f>CY253</f>
        <v>4375</v>
      </c>
      <c r="CZ765" s="475"/>
      <c r="DE765" s="128">
        <f>DE253</f>
        <v>3906</v>
      </c>
      <c r="DF765" s="475"/>
      <c r="DK765" s="128">
        <f>DK253</f>
        <v>4647</v>
      </c>
      <c r="DL765" s="475"/>
      <c r="DQ765" s="128">
        <f>DQ253</f>
        <v>4703.4988999999996</v>
      </c>
      <c r="DR765" s="475"/>
      <c r="DW765" s="128">
        <f>DW253</f>
        <v>3915</v>
      </c>
      <c r="DX765" s="475"/>
      <c r="EC765" s="128">
        <f>EC253</f>
        <v>3701</v>
      </c>
      <c r="ED765" s="475"/>
      <c r="EI765" s="128">
        <f>EI253</f>
        <v>3547</v>
      </c>
      <c r="EJ765" s="475"/>
      <c r="EO765" s="128">
        <f>EO253</f>
        <v>3388</v>
      </c>
      <c r="EP765" s="475"/>
      <c r="EU765" s="128">
        <f>EU253</f>
        <v>3357.7799999999997</v>
      </c>
      <c r="EV765" s="475"/>
      <c r="FA765" s="128">
        <f>FA253</f>
        <v>3423.88</v>
      </c>
      <c r="FB765" s="475"/>
      <c r="FG765" s="128">
        <f>FG253</f>
        <v>3423.88</v>
      </c>
      <c r="FH765" s="475"/>
      <c r="FM765" s="128">
        <f>FM253</f>
        <v>3423.88</v>
      </c>
      <c r="FQ765"/>
      <c r="FR765"/>
      <c r="FS765"/>
      <c r="FT765"/>
      <c r="FU765"/>
      <c r="FV765"/>
      <c r="GB765" s="24"/>
      <c r="GC765" s="24"/>
      <c r="GD765" s="24"/>
      <c r="GE765" s="24"/>
      <c r="GF765" s="24"/>
      <c r="GG765" s="24"/>
      <c r="GH765" s="24"/>
      <c r="GI765" s="24"/>
      <c r="GJ765"/>
      <c r="GK765"/>
      <c r="GL765"/>
      <c r="GM765"/>
      <c r="GN765"/>
      <c r="GO765"/>
      <c r="GP765"/>
      <c r="GQ765"/>
      <c r="GR765"/>
      <c r="GS765"/>
      <c r="GT765"/>
      <c r="GU765"/>
      <c r="GV765"/>
      <c r="GW765"/>
      <c r="GX765"/>
      <c r="GY765"/>
      <c r="GZ765"/>
      <c r="HA765"/>
      <c r="HB765"/>
      <c r="HC765"/>
      <c r="HD765"/>
      <c r="HE765"/>
      <c r="HF765"/>
      <c r="HG765"/>
      <c r="HH765"/>
      <c r="HI765"/>
      <c r="HJ765"/>
      <c r="HK765"/>
      <c r="HL765"/>
      <c r="HM765"/>
      <c r="HN765"/>
      <c r="HO765"/>
      <c r="HP765"/>
      <c r="HQ765"/>
      <c r="HR765"/>
      <c r="HS765"/>
      <c r="HT765"/>
      <c r="HU765"/>
      <c r="HV765"/>
      <c r="HW765"/>
      <c r="HX765"/>
      <c r="HY765"/>
      <c r="HZ765"/>
      <c r="IA765"/>
      <c r="IB765"/>
      <c r="IC765"/>
      <c r="ID765"/>
      <c r="IE765"/>
      <c r="IF765"/>
      <c r="IG765"/>
      <c r="IH765"/>
      <c r="II765"/>
      <c r="IJ765"/>
      <c r="IK765"/>
      <c r="IL765"/>
      <c r="IM765"/>
      <c r="IN765"/>
      <c r="IO765"/>
      <c r="IP765"/>
      <c r="IQ765"/>
      <c r="IR765"/>
      <c r="IS765"/>
      <c r="IT765"/>
      <c r="IU765"/>
      <c r="IV765"/>
      <c r="IW765"/>
      <c r="IX765"/>
      <c r="IY765"/>
      <c r="IZ765"/>
      <c r="JA765"/>
      <c r="JB765"/>
      <c r="JC765"/>
      <c r="JD765"/>
      <c r="JE765"/>
      <c r="JF765"/>
      <c r="JG765"/>
      <c r="JH765"/>
      <c r="JI765"/>
      <c r="JJ765"/>
      <c r="JK765"/>
      <c r="JL765"/>
      <c r="JM765"/>
      <c r="JN765"/>
    </row>
    <row r="766" spans="1:274" s="342" customFormat="1" hidden="1" outlineLevel="1" x14ac:dyDescent="0.2">
      <c r="A766" s="19" t="s">
        <v>1061</v>
      </c>
      <c r="B766" s="20"/>
      <c r="AW766" s="244"/>
      <c r="BC766" s="82">
        <f>BC765/AW765-1</f>
        <v>-1.3132011566079571E-2</v>
      </c>
      <c r="BI766" s="82">
        <f>BI765/BC765-1</f>
        <v>-1.8487454780821699E-2</v>
      </c>
      <c r="BO766" s="82">
        <f>BO765/BI765-1</f>
        <v>-0.13116605836838635</v>
      </c>
      <c r="BU766" s="82">
        <f>BU765/BO765-1</f>
        <v>-8.3479789103690694E-2</v>
      </c>
      <c r="CA766" s="82">
        <f>CA765/BU765-1</f>
        <v>0.13998082454458283</v>
      </c>
      <c r="CG766" s="82">
        <f>CG765/CA765-1</f>
        <v>0.19428090832632461</v>
      </c>
      <c r="CM766" s="82">
        <f>CM765/CG765-1</f>
        <v>0.33309859154929566</v>
      </c>
      <c r="CS766" s="82">
        <f>CS765/CM765-1</f>
        <v>0.21156893819334388</v>
      </c>
      <c r="CT766" s="475"/>
      <c r="CY766" s="82">
        <f>CY765/CS765-1</f>
        <v>-4.6217571397427548E-2</v>
      </c>
      <c r="CZ766" s="475"/>
      <c r="DE766" s="159">
        <f>DE765/CY765-1</f>
        <v>-0.10719999999999996</v>
      </c>
      <c r="DF766" s="475"/>
      <c r="DK766" s="159">
        <f>DK765/DE765-1</f>
        <v>0.18970814132104463</v>
      </c>
      <c r="DL766" s="475"/>
      <c r="DQ766" s="159">
        <f>DQ765/DK765-1</f>
        <v>1.2158145039810497E-2</v>
      </c>
      <c r="DR766" s="475"/>
      <c r="DW766" s="159">
        <f>DW765/DQ765-1</f>
        <v>-0.16764092365366545</v>
      </c>
      <c r="DX766" s="475"/>
      <c r="EC766" s="159">
        <f>EC765/DW765-1</f>
        <v>-5.4661558109833974E-2</v>
      </c>
      <c r="ED766" s="475"/>
      <c r="EI766" s="159">
        <f>EI765/EC765-1</f>
        <v>-4.1610375574169134E-2</v>
      </c>
      <c r="EJ766" s="475"/>
      <c r="EO766" s="159">
        <f>EO765/EI765-1</f>
        <v>-4.4826614040033852E-2</v>
      </c>
      <c r="EP766" s="475"/>
      <c r="EU766" s="159">
        <f>EU765/EO765-1</f>
        <v>-8.9197166469894285E-3</v>
      </c>
      <c r="EV766" s="475"/>
      <c r="FA766" s="159">
        <f>FA765/EU765-1</f>
        <v>1.9685625621690628E-2</v>
      </c>
      <c r="FB766" s="475"/>
      <c r="FG766" s="159">
        <f>FG765/FA765-1</f>
        <v>0</v>
      </c>
      <c r="FH766" s="475"/>
      <c r="FM766" s="159">
        <f>FM765/FG765-1</f>
        <v>0</v>
      </c>
      <c r="FQ766"/>
      <c r="FR766"/>
      <c r="FS766"/>
      <c r="FT766"/>
      <c r="FU766"/>
      <c r="FV766"/>
      <c r="GB766" s="24"/>
      <c r="GC766" s="24"/>
      <c r="GD766" s="24"/>
      <c r="GE766" s="24"/>
      <c r="GF766" s="24"/>
      <c r="GG766" s="24"/>
      <c r="GH766" s="24"/>
      <c r="GI766" s="24"/>
      <c r="GJ766"/>
      <c r="GK766"/>
      <c r="GL766"/>
      <c r="GM766"/>
      <c r="GN766"/>
      <c r="GO766"/>
      <c r="GP766"/>
      <c r="GQ766"/>
      <c r="GR766"/>
      <c r="GS766"/>
      <c r="GT766"/>
      <c r="GU766"/>
      <c r="GV766"/>
      <c r="GW766"/>
      <c r="GX766"/>
      <c r="GY766"/>
      <c r="GZ766"/>
      <c r="HA766"/>
      <c r="HB766"/>
      <c r="HC766"/>
      <c r="HD766"/>
      <c r="HE766"/>
      <c r="HF766"/>
      <c r="HG766"/>
      <c r="HH766"/>
      <c r="HI766"/>
      <c r="HJ766"/>
      <c r="HK766"/>
      <c r="HL766"/>
      <c r="HM766"/>
      <c r="HN766"/>
      <c r="HO766"/>
      <c r="HP766"/>
      <c r="HQ766"/>
      <c r="HR766"/>
      <c r="HS766"/>
      <c r="HT766"/>
      <c r="HU766"/>
      <c r="HV766"/>
      <c r="HW766"/>
      <c r="HX766"/>
      <c r="HY766"/>
      <c r="HZ766"/>
      <c r="IA766"/>
      <c r="IB766"/>
      <c r="IC766"/>
      <c r="ID766"/>
      <c r="IE766"/>
      <c r="IF766"/>
      <c r="IG766"/>
      <c r="IH766"/>
      <c r="II766"/>
      <c r="IJ766"/>
      <c r="IK766"/>
      <c r="IL766"/>
      <c r="IM766"/>
      <c r="IN766"/>
      <c r="IO766"/>
      <c r="IP766"/>
      <c r="IQ766"/>
      <c r="IR766"/>
      <c r="IS766"/>
      <c r="IT766"/>
      <c r="IU766"/>
      <c r="IV766"/>
      <c r="IW766"/>
      <c r="IX766"/>
      <c r="IY766"/>
      <c r="IZ766"/>
      <c r="JA766"/>
      <c r="JB766"/>
      <c r="JC766"/>
      <c r="JD766"/>
      <c r="JE766"/>
      <c r="JF766"/>
      <c r="JG766"/>
      <c r="JH766"/>
      <c r="JI766"/>
      <c r="JJ766"/>
      <c r="JK766"/>
      <c r="JL766"/>
      <c r="JM766"/>
      <c r="JN766"/>
    </row>
    <row r="767" spans="1:274" s="342" customFormat="1" ht="5.25" hidden="1" customHeight="1" outlineLevel="1" x14ac:dyDescent="0.2">
      <c r="B767" s="20"/>
      <c r="CT767" s="475"/>
      <c r="CZ767" s="475"/>
      <c r="DE767" s="475"/>
      <c r="DF767" s="475"/>
      <c r="DK767" s="475"/>
      <c r="DL767" s="475"/>
      <c r="DQ767" s="475"/>
      <c r="DR767" s="475"/>
      <c r="DW767" s="475"/>
      <c r="DX767" s="475"/>
      <c r="EC767" s="475"/>
      <c r="ED767" s="475"/>
      <c r="EI767" s="475"/>
      <c r="EJ767" s="475"/>
      <c r="EO767" s="475"/>
      <c r="EP767" s="475"/>
      <c r="EU767" s="475"/>
      <c r="EV767" s="475"/>
      <c r="FA767" s="475"/>
      <c r="FB767" s="475"/>
      <c r="FG767" s="475"/>
      <c r="FH767" s="475"/>
      <c r="FM767" s="475"/>
      <c r="FQ767"/>
      <c r="FR767"/>
      <c r="FS767"/>
      <c r="FT767"/>
      <c r="FU767"/>
      <c r="FV767"/>
      <c r="GB767" s="24"/>
      <c r="GC767" s="24"/>
      <c r="GD767" s="24"/>
      <c r="GE767" s="24"/>
      <c r="GF767" s="24"/>
      <c r="GG767" s="24"/>
      <c r="GH767" s="24"/>
      <c r="GI767" s="24"/>
      <c r="GJ767"/>
      <c r="GK767"/>
      <c r="GL767"/>
      <c r="GM767"/>
      <c r="GN767"/>
      <c r="GO767"/>
      <c r="GP767"/>
      <c r="GQ767"/>
      <c r="GR767"/>
      <c r="GS767"/>
      <c r="GT767"/>
      <c r="GU767"/>
      <c r="GV767"/>
      <c r="GW767"/>
      <c r="GX767"/>
      <c r="GY767"/>
      <c r="GZ767"/>
      <c r="HA767"/>
      <c r="HB767"/>
      <c r="HC767"/>
      <c r="HD767"/>
      <c r="HE767"/>
      <c r="HF767"/>
      <c r="HG767"/>
      <c r="HH767"/>
      <c r="HI767"/>
      <c r="HJ767"/>
      <c r="HK767"/>
      <c r="HL767"/>
      <c r="HM767"/>
      <c r="HN767"/>
      <c r="HO767"/>
      <c r="HP767"/>
      <c r="HQ767"/>
      <c r="HR767"/>
      <c r="HS767"/>
      <c r="HT767"/>
      <c r="HU767"/>
      <c r="HV767"/>
      <c r="HW767"/>
      <c r="HX767"/>
      <c r="HY767"/>
      <c r="HZ767"/>
      <c r="IA767"/>
      <c r="IB767"/>
      <c r="IC767"/>
      <c r="ID767"/>
      <c r="IE767"/>
      <c r="IF767"/>
      <c r="IG767"/>
      <c r="IH767"/>
      <c r="II767"/>
      <c r="IJ767"/>
      <c r="IK767"/>
      <c r="IL767"/>
      <c r="IM767"/>
      <c r="IN767"/>
      <c r="IO767"/>
      <c r="IP767"/>
      <c r="IQ767"/>
      <c r="IR767"/>
      <c r="IS767"/>
      <c r="IT767"/>
      <c r="IU767"/>
      <c r="IV767"/>
      <c r="IW767"/>
      <c r="IX767"/>
      <c r="IY767"/>
      <c r="IZ767"/>
      <c r="JA767"/>
      <c r="JB767"/>
      <c r="JC767"/>
      <c r="JD767"/>
      <c r="JE767"/>
      <c r="JF767"/>
      <c r="JG767"/>
      <c r="JH767"/>
      <c r="JI767"/>
      <c r="JJ767"/>
      <c r="JK767"/>
      <c r="JL767"/>
      <c r="JM767"/>
      <c r="JN767"/>
    </row>
    <row r="768" spans="1:274" s="342" customFormat="1" hidden="1" outlineLevel="1" x14ac:dyDescent="0.2">
      <c r="A768" s="342" t="s">
        <v>41</v>
      </c>
      <c r="B768" s="20"/>
      <c r="AW768" s="34"/>
      <c r="BC768" s="34"/>
      <c r="BI768" s="34">
        <f>Model!BI138</f>
        <v>1943.9360000000001</v>
      </c>
      <c r="BO768" s="34">
        <f>Model!BO138</f>
        <v>1868</v>
      </c>
      <c r="BU768" s="34">
        <f>Model!BU138</f>
        <v>1770</v>
      </c>
      <c r="CA768" s="34">
        <f>Model!CA138</f>
        <v>2026</v>
      </c>
      <c r="CG768" s="34">
        <f>Model!CG138</f>
        <v>2506</v>
      </c>
      <c r="CM768" s="34">
        <f>Model!CM138</f>
        <v>3335</v>
      </c>
      <c r="CS768" s="34">
        <f>Model!CS138</f>
        <v>3971</v>
      </c>
      <c r="CT768" s="475"/>
      <c r="CY768" s="34">
        <f>Model!CY138</f>
        <v>3694</v>
      </c>
      <c r="CZ768" s="475"/>
      <c r="DE768" s="91">
        <f>Model!DE138</f>
        <v>3385</v>
      </c>
      <c r="DF768" s="475"/>
      <c r="DK768" s="91">
        <f>Model!DK138</f>
        <v>3803</v>
      </c>
      <c r="DL768" s="475"/>
      <c r="DQ768" s="91">
        <f>Model!DQ138</f>
        <v>3719</v>
      </c>
      <c r="DR768" s="475"/>
      <c r="DW768" s="91">
        <f>Model!DW138</f>
        <v>3423</v>
      </c>
      <c r="DX768" s="475"/>
      <c r="EC768" s="91">
        <f>Model!EC138</f>
        <v>2923</v>
      </c>
      <c r="ED768" s="475"/>
      <c r="EI768" s="91">
        <f>Model!EI138</f>
        <v>2898</v>
      </c>
      <c r="EJ768" s="475"/>
      <c r="EO768" s="91">
        <f>Model!EO138</f>
        <v>2721</v>
      </c>
      <c r="EP768" s="475"/>
      <c r="EU768" s="91">
        <f>Model!EU138</f>
        <v>2755</v>
      </c>
      <c r="EV768" s="475"/>
      <c r="FA768" s="91">
        <f>Model!FA126</f>
        <v>980.23682481342041</v>
      </c>
      <c r="FB768" s="475"/>
      <c r="FG768" s="91">
        <f>Model!FG126</f>
        <v>991.4442270786999</v>
      </c>
      <c r="FH768" s="475"/>
      <c r="FM768" s="91">
        <f>Model!FM126</f>
        <v>992.89521468217049</v>
      </c>
      <c r="FQ768"/>
      <c r="FR768"/>
      <c r="FS768"/>
      <c r="FT768"/>
      <c r="FU768"/>
      <c r="FV768"/>
      <c r="GB768" s="24"/>
      <c r="GC768" s="24"/>
      <c r="GD768" s="24"/>
      <c r="GE768" s="24"/>
      <c r="GF768" s="24"/>
      <c r="GG768" s="24"/>
      <c r="GH768" s="24"/>
      <c r="GI768" s="24"/>
      <c r="GJ768"/>
      <c r="GK768"/>
      <c r="GL768"/>
      <c r="GM768"/>
      <c r="GN768"/>
      <c r="GO768"/>
      <c r="GP768"/>
      <c r="GQ768"/>
      <c r="GR768"/>
      <c r="GS768"/>
      <c r="GT768"/>
      <c r="GU768"/>
      <c r="GV768"/>
      <c r="GW768"/>
      <c r="GX768"/>
      <c r="GY768"/>
      <c r="GZ768"/>
      <c r="HA768"/>
      <c r="HB768"/>
      <c r="HC768"/>
      <c r="HD768"/>
      <c r="HE768"/>
      <c r="HF768"/>
      <c r="HG768"/>
      <c r="HH768"/>
      <c r="HI768"/>
      <c r="HJ768"/>
      <c r="HK768"/>
      <c r="HL768"/>
      <c r="HM768"/>
      <c r="HN768"/>
      <c r="HO768"/>
      <c r="HP768"/>
      <c r="HQ768"/>
      <c r="HR768"/>
      <c r="HS768"/>
      <c r="HT768"/>
      <c r="HU768"/>
      <c r="HV768"/>
      <c r="HW768"/>
      <c r="HX768"/>
      <c r="HY768"/>
      <c r="HZ768"/>
      <c r="IA768"/>
      <c r="IB768"/>
      <c r="IC768"/>
      <c r="ID768"/>
      <c r="IE768"/>
      <c r="IF768"/>
      <c r="IG768"/>
      <c r="IH768"/>
      <c r="II768"/>
      <c r="IJ768"/>
      <c r="IK768"/>
      <c r="IL768"/>
      <c r="IM768"/>
      <c r="IN768"/>
      <c r="IO768"/>
      <c r="IP768"/>
      <c r="IQ768"/>
      <c r="IR768"/>
      <c r="IS768"/>
      <c r="IT768"/>
      <c r="IU768"/>
      <c r="IV768"/>
      <c r="IW768"/>
      <c r="IX768"/>
      <c r="IY768"/>
      <c r="IZ768"/>
      <c r="JA768"/>
      <c r="JB768"/>
      <c r="JC768"/>
      <c r="JD768"/>
      <c r="JE768"/>
      <c r="JF768"/>
      <c r="JG768"/>
      <c r="JH768"/>
      <c r="JI768"/>
      <c r="JJ768"/>
      <c r="JK768"/>
      <c r="JL768"/>
      <c r="JM768"/>
      <c r="JN768"/>
    </row>
    <row r="769" spans="1:274" s="342" customFormat="1" hidden="1" outlineLevel="1" x14ac:dyDescent="0.2">
      <c r="A769" s="19" t="s">
        <v>1061</v>
      </c>
      <c r="B769" s="20"/>
      <c r="AW769" s="244"/>
      <c r="BC769" s="82"/>
      <c r="BI769" s="82"/>
      <c r="BO769" s="82">
        <f>BO768/BI768-1</f>
        <v>-3.906301442022786E-2</v>
      </c>
      <c r="BU769" s="82">
        <f>BU768/BO768-1</f>
        <v>-5.2462526766595241E-2</v>
      </c>
      <c r="CA769" s="82">
        <f>CA768/BU768-1</f>
        <v>0.14463276836158201</v>
      </c>
      <c r="CG769" s="82">
        <f>CG768/CA768-1</f>
        <v>0.23692003948667328</v>
      </c>
      <c r="CM769" s="82">
        <f>CM768/CG768-1</f>
        <v>0.330806065442937</v>
      </c>
      <c r="CS769" s="82">
        <f>CS768/CM768-1</f>
        <v>0.19070464767616202</v>
      </c>
      <c r="CT769" s="475"/>
      <c r="CY769" s="82">
        <f>CY768/CS768-1</f>
        <v>-6.9755729035507419E-2</v>
      </c>
      <c r="CZ769" s="475"/>
      <c r="DE769" s="159">
        <f>DE768/CY768-1</f>
        <v>-8.364916080129936E-2</v>
      </c>
      <c r="DF769" s="475"/>
      <c r="DK769" s="159">
        <f>DK768/DE768-1</f>
        <v>0.12348596750369278</v>
      </c>
      <c r="DL769" s="475"/>
      <c r="DQ769" s="159">
        <f>DQ768/DK768-1</f>
        <v>-2.2087825400999184E-2</v>
      </c>
      <c r="DR769" s="475"/>
      <c r="DW769" s="159">
        <f>DW768/DQ768-1</f>
        <v>-7.9591287980639969E-2</v>
      </c>
      <c r="DX769" s="475"/>
      <c r="EC769" s="159">
        <f>EC768/DW768-1</f>
        <v>-0.1460706982179375</v>
      </c>
      <c r="ED769" s="475"/>
      <c r="EI769" s="159">
        <f>EI768/EC768-1</f>
        <v>-8.5528566541225315E-3</v>
      </c>
      <c r="EJ769" s="475"/>
      <c r="EO769" s="159">
        <f>EO768/EI768-1</f>
        <v>-6.107660455486541E-2</v>
      </c>
      <c r="EP769" s="475"/>
      <c r="EU769" s="159">
        <f>EU768/EO768-1</f>
        <v>1.2495406100698325E-2</v>
      </c>
      <c r="EV769" s="475"/>
      <c r="FA769" s="159">
        <f>FA768/EU768-1</f>
        <v>-0.64419715977734282</v>
      </c>
      <c r="FB769" s="475"/>
      <c r="FG769" s="159">
        <f>FG768/FA768-1</f>
        <v>1.1433361797454022E-2</v>
      </c>
      <c r="FH769" s="475"/>
      <c r="FM769" s="159">
        <f>FM768/FG768-1</f>
        <v>1.4635090546100127E-3</v>
      </c>
      <c r="FQ769"/>
      <c r="FR769"/>
      <c r="FS769"/>
      <c r="FT769"/>
      <c r="FU769"/>
      <c r="FV769"/>
      <c r="GB769" s="24"/>
      <c r="GC769" s="24"/>
      <c r="GD769" s="24"/>
      <c r="GE769" s="24"/>
      <c r="GF769" s="24"/>
      <c r="GG769" s="24"/>
      <c r="GH769" s="24"/>
      <c r="GI769" s="24"/>
      <c r="GJ769"/>
      <c r="GK769"/>
      <c r="GL769"/>
      <c r="GM769"/>
      <c r="GN769"/>
      <c r="GO769"/>
      <c r="GP769"/>
      <c r="GQ769"/>
      <c r="GR769"/>
      <c r="GS769"/>
      <c r="GT769"/>
      <c r="GU769"/>
      <c r="GV769"/>
      <c r="GW769"/>
      <c r="GX769"/>
      <c r="GY769"/>
      <c r="GZ769"/>
      <c r="HA769"/>
      <c r="HB769"/>
      <c r="HC769"/>
      <c r="HD769"/>
      <c r="HE769"/>
      <c r="HF769"/>
      <c r="HG769"/>
      <c r="HH769"/>
      <c r="HI769"/>
      <c r="HJ769"/>
      <c r="HK769"/>
      <c r="HL769"/>
      <c r="HM769"/>
      <c r="HN769"/>
      <c r="HO769"/>
      <c r="HP769"/>
      <c r="HQ769"/>
      <c r="HR769"/>
      <c r="HS769"/>
      <c r="HT769"/>
      <c r="HU769"/>
      <c r="HV769"/>
      <c r="HW769"/>
      <c r="HX769"/>
      <c r="HY769"/>
      <c r="HZ769"/>
      <c r="IA769"/>
      <c r="IB769"/>
      <c r="IC769"/>
      <c r="ID769"/>
      <c r="IE769"/>
      <c r="IF769"/>
      <c r="IG769"/>
      <c r="IH769"/>
      <c r="II769"/>
      <c r="IJ769"/>
      <c r="IK769"/>
      <c r="IL769"/>
      <c r="IM769"/>
      <c r="IN769"/>
      <c r="IO769"/>
      <c r="IP769"/>
      <c r="IQ769"/>
      <c r="IR769"/>
      <c r="IS769"/>
      <c r="IT769"/>
      <c r="IU769"/>
      <c r="IV769"/>
      <c r="IW769"/>
      <c r="IX769"/>
      <c r="IY769"/>
      <c r="IZ769"/>
      <c r="JA769"/>
      <c r="JB769"/>
      <c r="JC769"/>
      <c r="JD769"/>
      <c r="JE769"/>
      <c r="JF769"/>
      <c r="JG769"/>
      <c r="JH769"/>
      <c r="JI769"/>
      <c r="JJ769"/>
      <c r="JK769"/>
      <c r="JL769"/>
      <c r="JM769"/>
      <c r="JN769"/>
    </row>
    <row r="770" spans="1:274" s="342" customFormat="1" hidden="1" outlineLevel="1" x14ac:dyDescent="0.2">
      <c r="A770" s="19" t="s">
        <v>277</v>
      </c>
      <c r="B770" s="21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19"/>
      <c r="T770" s="19"/>
      <c r="U770" s="19"/>
      <c r="V770" s="19"/>
      <c r="W770" s="19"/>
      <c r="X770" s="19"/>
      <c r="Y770" s="19"/>
      <c r="Z770" s="19"/>
      <c r="AA770" s="19"/>
      <c r="AB770" s="19"/>
      <c r="AC770" s="19"/>
      <c r="AD770" s="19"/>
      <c r="AE770" s="19"/>
      <c r="AF770" s="19"/>
      <c r="AG770" s="19"/>
      <c r="AH770" s="19"/>
      <c r="AI770" s="19"/>
      <c r="AJ770" s="19"/>
      <c r="AK770" s="19"/>
      <c r="AL770" s="19"/>
      <c r="AM770" s="19"/>
      <c r="AN770" s="19"/>
      <c r="AO770" s="19"/>
      <c r="AP770" s="19"/>
      <c r="AQ770" s="19"/>
      <c r="AR770" s="19"/>
      <c r="AS770" s="19"/>
      <c r="AT770" s="19"/>
      <c r="AU770" s="19"/>
      <c r="AV770" s="19"/>
      <c r="AW770" s="19"/>
      <c r="AX770" s="19"/>
      <c r="AY770" s="19"/>
      <c r="AZ770" s="19"/>
      <c r="BA770" s="19"/>
      <c r="BB770" s="19"/>
      <c r="BC770" s="19"/>
      <c r="BD770" s="19"/>
      <c r="BE770" s="19"/>
      <c r="BF770" s="19"/>
      <c r="BG770" s="19"/>
      <c r="BH770" s="19"/>
      <c r="BI770" s="95">
        <f>BI768/BI765</f>
        <v>0.74207274919138511</v>
      </c>
      <c r="BJ770" s="19"/>
      <c r="BK770" s="19"/>
      <c r="BL770" s="19"/>
      <c r="BM770" s="19"/>
      <c r="BN770" s="19"/>
      <c r="BO770" s="95">
        <f>BO768/BO765</f>
        <v>0.82073813708260102</v>
      </c>
      <c r="BP770" s="19"/>
      <c r="BQ770" s="19"/>
      <c r="BR770" s="19"/>
      <c r="BS770" s="19"/>
      <c r="BT770" s="19"/>
      <c r="BU770" s="95">
        <f>BU768/BU765</f>
        <v>0.84851390220517742</v>
      </c>
      <c r="BV770" s="19"/>
      <c r="BW770" s="19"/>
      <c r="BX770" s="19"/>
      <c r="BY770" s="19"/>
      <c r="BZ770" s="19"/>
      <c r="CA770" s="95">
        <f>CA768/CA765</f>
        <v>0.85197645079899076</v>
      </c>
      <c r="CB770" s="19"/>
      <c r="CC770" s="19"/>
      <c r="CD770" s="19"/>
      <c r="CE770" s="19"/>
      <c r="CF770" s="19"/>
      <c r="CG770" s="95">
        <f>CG768/CG765</f>
        <v>0.88239436619718314</v>
      </c>
      <c r="CH770" s="19"/>
      <c r="CI770" s="19"/>
      <c r="CJ770" s="19"/>
      <c r="CK770" s="19"/>
      <c r="CL770" s="19"/>
      <c r="CM770" s="95">
        <f>CM768/CM765</f>
        <v>0.88087691494981513</v>
      </c>
      <c r="CN770" s="19"/>
      <c r="CO770" s="19"/>
      <c r="CP770" s="19"/>
      <c r="CQ770" s="19"/>
      <c r="CR770" s="19"/>
      <c r="CS770" s="95">
        <f>CS768/CS765</f>
        <v>0.86570743405275774</v>
      </c>
      <c r="CT770" s="104"/>
      <c r="CU770" s="19"/>
      <c r="CV770" s="19"/>
      <c r="CW770" s="19"/>
      <c r="CX770" s="19"/>
      <c r="CY770" s="95">
        <f>CY768/CY765</f>
        <v>0.84434285714285717</v>
      </c>
      <c r="CZ770" s="104"/>
      <c r="DA770" s="19"/>
      <c r="DB770" s="19"/>
      <c r="DC770" s="19"/>
      <c r="DD770" s="19"/>
      <c r="DE770" s="130">
        <f>DE768/DE765</f>
        <v>0.86661546338965689</v>
      </c>
      <c r="DF770" s="104"/>
      <c r="DG770" s="19"/>
      <c r="DH770" s="19"/>
      <c r="DI770" s="19"/>
      <c r="DJ770" s="19"/>
      <c r="DK770" s="130">
        <f>DK768/DK765</f>
        <v>0.81837744781579513</v>
      </c>
      <c r="DL770" s="104"/>
      <c r="DM770" s="19"/>
      <c r="DN770" s="19"/>
      <c r="DO770" s="19"/>
      <c r="DP770" s="19"/>
      <c r="DQ770" s="130">
        <f>DQ768/DQ765</f>
        <v>0.79068797060843377</v>
      </c>
      <c r="DR770" s="104"/>
      <c r="DS770" s="19"/>
      <c r="DT770" s="19"/>
      <c r="DU770" s="19"/>
      <c r="DV770" s="19"/>
      <c r="DW770" s="130">
        <f>DW768/DW765</f>
        <v>0.8743295019157088</v>
      </c>
      <c r="DX770" s="104"/>
      <c r="DY770" s="19"/>
      <c r="DZ770" s="19"/>
      <c r="EA770" s="19"/>
      <c r="EB770" s="19"/>
      <c r="EC770" s="130">
        <f>EC768/EC765</f>
        <v>0.78978654417724936</v>
      </c>
      <c r="ED770" s="104"/>
      <c r="EE770" s="19"/>
      <c r="EF770" s="19"/>
      <c r="EG770" s="19"/>
      <c r="EH770" s="19"/>
      <c r="EI770" s="130">
        <f>EI768/EI765</f>
        <v>0.81702847476740903</v>
      </c>
      <c r="EJ770" s="104"/>
      <c r="EK770" s="19"/>
      <c r="EL770" s="19"/>
      <c r="EM770" s="19"/>
      <c r="EN770" s="19"/>
      <c r="EO770" s="130">
        <f>EO768/EO765</f>
        <v>0.80312868949232585</v>
      </c>
      <c r="EP770" s="104"/>
      <c r="EQ770" s="19"/>
      <c r="ER770" s="19"/>
      <c r="ES770" s="19"/>
      <c r="ET770" s="19"/>
      <c r="EU770" s="130">
        <f>EU768/EU765</f>
        <v>0.82048258075275937</v>
      </c>
      <c r="EV770" s="104"/>
      <c r="EW770" s="19"/>
      <c r="EX770" s="19"/>
      <c r="EY770" s="19"/>
      <c r="EZ770" s="19"/>
      <c r="FA770" s="130">
        <f>FA768/FA765</f>
        <v>0.28629415307003175</v>
      </c>
      <c r="FB770" s="104"/>
      <c r="FC770" s="19"/>
      <c r="FD770" s="19"/>
      <c r="FE770" s="19"/>
      <c r="FF770" s="19"/>
      <c r="FG770" s="130">
        <f>FG768/FG765</f>
        <v>0.28956745770257714</v>
      </c>
      <c r="FH770" s="104"/>
      <c r="FI770" s="19"/>
      <c r="FJ770" s="19"/>
      <c r="FK770" s="19"/>
      <c r="FL770" s="19"/>
      <c r="FM770" s="130">
        <f>FM768/FM765</f>
        <v>0.28999124229884532</v>
      </c>
      <c r="FQ770"/>
      <c r="FR770"/>
      <c r="FS770"/>
      <c r="FT770"/>
      <c r="FU770"/>
      <c r="FV770"/>
      <c r="GB770" s="24"/>
      <c r="GC770" s="24"/>
      <c r="GD770" s="24"/>
      <c r="GE770" s="24"/>
      <c r="GF770" s="24"/>
      <c r="GG770" s="24"/>
      <c r="GH770" s="24"/>
      <c r="GI770" s="24"/>
      <c r="GJ770"/>
      <c r="GK770"/>
      <c r="GL770"/>
      <c r="GM770"/>
      <c r="GN770"/>
      <c r="GO770"/>
      <c r="GP770"/>
      <c r="GQ770"/>
      <c r="GR770"/>
      <c r="GS770"/>
      <c r="GT770"/>
      <c r="GU770"/>
      <c r="GV770"/>
      <c r="GW770"/>
      <c r="GX770"/>
      <c r="GY770"/>
      <c r="GZ770"/>
      <c r="HA770"/>
      <c r="HB770"/>
      <c r="HC770"/>
      <c r="HD770"/>
      <c r="HE770"/>
      <c r="HF770"/>
      <c r="HG770"/>
      <c r="HH770"/>
      <c r="HI770"/>
      <c r="HJ770"/>
      <c r="HK770"/>
      <c r="HL770"/>
      <c r="HM770"/>
      <c r="HN770"/>
      <c r="HO770"/>
      <c r="HP770"/>
      <c r="HQ770"/>
      <c r="HR770"/>
      <c r="HS770"/>
      <c r="HT770"/>
      <c r="HU770"/>
      <c r="HV770"/>
      <c r="HW770"/>
      <c r="HX770"/>
      <c r="HY770"/>
      <c r="HZ770"/>
      <c r="IA770"/>
      <c r="IB770"/>
      <c r="IC770"/>
      <c r="ID770"/>
      <c r="IE770"/>
      <c r="IF770"/>
      <c r="IG770"/>
      <c r="IH770"/>
      <c r="II770"/>
      <c r="IJ770"/>
      <c r="IK770"/>
      <c r="IL770"/>
      <c r="IM770"/>
      <c r="IN770"/>
      <c r="IO770"/>
      <c r="IP770"/>
      <c r="IQ770"/>
      <c r="IR770"/>
      <c r="IS770"/>
      <c r="IT770"/>
      <c r="IU770"/>
      <c r="IV770"/>
      <c r="IW770"/>
      <c r="IX770"/>
      <c r="IY770"/>
      <c r="IZ770"/>
      <c r="JA770"/>
      <c r="JB770"/>
      <c r="JC770"/>
      <c r="JD770"/>
      <c r="JE770"/>
      <c r="JF770"/>
      <c r="JG770"/>
      <c r="JH770"/>
      <c r="JI770"/>
      <c r="JJ770"/>
      <c r="JK770"/>
      <c r="JL770"/>
      <c r="JM770"/>
      <c r="JN770"/>
    </row>
    <row r="771" spans="1:274" s="342" customFormat="1" hidden="1" outlineLevel="1" x14ac:dyDescent="0.2">
      <c r="B771" s="20"/>
      <c r="CT771" s="475"/>
      <c r="CZ771" s="475"/>
      <c r="DE771" s="475"/>
      <c r="DF771" s="475"/>
      <c r="DK771" s="475"/>
      <c r="DL771" s="475"/>
      <c r="DQ771" s="475"/>
      <c r="DR771" s="475"/>
      <c r="DW771" s="475"/>
      <c r="DX771" s="475"/>
      <c r="EC771" s="475"/>
      <c r="ED771" s="475"/>
      <c r="EI771" s="475"/>
      <c r="EJ771" s="475"/>
      <c r="EO771" s="475"/>
      <c r="EP771" s="475"/>
      <c r="EU771" s="475"/>
      <c r="EV771" s="475"/>
      <c r="FA771" s="475"/>
      <c r="FB771" s="475"/>
      <c r="FG771" s="475"/>
      <c r="FH771" s="475"/>
      <c r="FM771" s="475"/>
      <c r="FQ771"/>
      <c r="FR771"/>
      <c r="FS771"/>
      <c r="FT771"/>
      <c r="FU771"/>
      <c r="FV771"/>
      <c r="GB771" s="24"/>
      <c r="GC771" s="24"/>
      <c r="GD771" s="24"/>
      <c r="GE771" s="24"/>
      <c r="GF771" s="24"/>
      <c r="GG771" s="24"/>
      <c r="GH771" s="24"/>
      <c r="GI771" s="24"/>
      <c r="GJ771"/>
      <c r="GK771"/>
      <c r="GL771"/>
      <c r="GM771"/>
      <c r="GN771"/>
      <c r="GO771"/>
      <c r="GP771"/>
      <c r="GQ771"/>
      <c r="GR771"/>
      <c r="GS771"/>
      <c r="GT771"/>
      <c r="GU771"/>
      <c r="GV771"/>
      <c r="GW771"/>
      <c r="GX771"/>
      <c r="GY771"/>
      <c r="GZ771"/>
      <c r="HA771"/>
      <c r="HB771"/>
      <c r="HC771"/>
      <c r="HD771"/>
      <c r="HE771"/>
      <c r="HF771"/>
      <c r="HG771"/>
      <c r="HH771"/>
      <c r="HI771"/>
      <c r="HJ771"/>
      <c r="HK771"/>
      <c r="HL771"/>
      <c r="HM771"/>
      <c r="HN771"/>
      <c r="HO771"/>
      <c r="HP771"/>
      <c r="HQ771"/>
      <c r="HR771"/>
      <c r="HS771"/>
      <c r="HT771"/>
      <c r="HU771"/>
      <c r="HV771"/>
      <c r="HW771"/>
      <c r="HX771"/>
      <c r="HY771"/>
      <c r="HZ771"/>
      <c r="IA771"/>
      <c r="IB771"/>
      <c r="IC771"/>
      <c r="ID771"/>
      <c r="IE771"/>
      <c r="IF771"/>
      <c r="IG771"/>
      <c r="IH771"/>
      <c r="II771"/>
      <c r="IJ771"/>
      <c r="IK771"/>
      <c r="IL771"/>
      <c r="IM771"/>
      <c r="IN771"/>
      <c r="IO771"/>
      <c r="IP771"/>
      <c r="IQ771"/>
      <c r="IR771"/>
      <c r="IS771"/>
      <c r="IT771"/>
      <c r="IU771"/>
      <c r="IV771"/>
      <c r="IW771"/>
      <c r="IX771"/>
      <c r="IY771"/>
      <c r="IZ771"/>
      <c r="JA771"/>
      <c r="JB771"/>
      <c r="JC771"/>
      <c r="JD771"/>
      <c r="JE771"/>
      <c r="JF771"/>
      <c r="JG771"/>
      <c r="JH771"/>
      <c r="JI771"/>
      <c r="JJ771"/>
      <c r="JK771"/>
      <c r="JL771"/>
      <c r="JM771"/>
      <c r="JN771"/>
    </row>
    <row r="772" spans="1:274" s="342" customFormat="1" hidden="1" outlineLevel="1" x14ac:dyDescent="0.2">
      <c r="A772" s="342" t="s">
        <v>278</v>
      </c>
      <c r="B772" s="20"/>
      <c r="AW772" s="244">
        <f>AW297</f>
        <v>14218.527714950667</v>
      </c>
      <c r="BC772" s="244">
        <f>BC297</f>
        <v>14192.136231028944</v>
      </c>
      <c r="BI772" s="244">
        <f>BI297</f>
        <v>13066.562592191956</v>
      </c>
      <c r="BO772" s="244">
        <f>BO297</f>
        <v>12123.414298357755</v>
      </c>
      <c r="BU772" s="244">
        <f>BU297</f>
        <v>11814.587635624612</v>
      </c>
      <c r="CA772" s="244">
        <f>CA297</f>
        <v>14125</v>
      </c>
      <c r="CG772" s="244">
        <f>CG297</f>
        <v>16435</v>
      </c>
      <c r="CM772" s="244">
        <f>CM297</f>
        <v>25068</v>
      </c>
      <c r="CS772" s="244">
        <f>CS297</f>
        <v>28215</v>
      </c>
      <c r="CT772" s="475"/>
      <c r="CY772" s="244">
        <f>CY297</f>
        <v>28000</v>
      </c>
      <c r="CZ772" s="475"/>
      <c r="DE772" s="131">
        <f>DE297</f>
        <v>26000</v>
      </c>
      <c r="DF772" s="475"/>
      <c r="DK772" s="131">
        <f>DK297</f>
        <v>25000</v>
      </c>
      <c r="DL772" s="475"/>
      <c r="DQ772" s="131">
        <f>DQ297</f>
        <v>26000</v>
      </c>
      <c r="DR772" s="475"/>
      <c r="DW772" s="131">
        <f>DW297</f>
        <v>25000</v>
      </c>
      <c r="DX772" s="475"/>
      <c r="EC772" s="131">
        <f>EC297</f>
        <v>22000</v>
      </c>
      <c r="ED772" s="475"/>
      <c r="EI772" s="131">
        <f>EI297</f>
        <v>23000</v>
      </c>
      <c r="EJ772" s="475"/>
      <c r="EO772" s="131">
        <f>EO297</f>
        <v>23000</v>
      </c>
      <c r="EP772" s="475"/>
      <c r="EU772" s="131">
        <f>EU297</f>
        <v>24000</v>
      </c>
      <c r="EV772" s="475"/>
      <c r="FA772" s="131">
        <f>FA297</f>
        <v>25125.683780260864</v>
      </c>
      <c r="FB772" s="475"/>
      <c r="FG772" s="131">
        <f>FG297</f>
        <v>26210.989261840601</v>
      </c>
      <c r="FH772" s="475"/>
      <c r="FM772" s="131">
        <f>FM297</f>
        <v>27353.694324655477</v>
      </c>
      <c r="FQ772"/>
      <c r="FR772"/>
      <c r="FS772"/>
      <c r="FT772"/>
      <c r="FU772"/>
      <c r="FV772"/>
      <c r="GB772" s="24"/>
      <c r="GC772" s="24"/>
      <c r="GD772" s="24"/>
      <c r="GE772" s="24"/>
      <c r="GF772" s="24"/>
      <c r="GG772" s="24"/>
      <c r="GH772" s="24"/>
      <c r="GI772" s="24"/>
      <c r="GJ772"/>
      <c r="GK772"/>
      <c r="GL772"/>
      <c r="GM772"/>
      <c r="GN772"/>
      <c r="GO772"/>
      <c r="GP772"/>
      <c r="GQ772"/>
      <c r="GR772"/>
      <c r="GS772"/>
      <c r="GT772"/>
      <c r="GU772"/>
      <c r="GV772"/>
      <c r="GW772"/>
      <c r="GX772"/>
      <c r="GY772"/>
      <c r="GZ772"/>
      <c r="HA772"/>
      <c r="HB772"/>
      <c r="HC772"/>
      <c r="HD772"/>
      <c r="HE772"/>
      <c r="HF772"/>
      <c r="HG772"/>
      <c r="HH772"/>
      <c r="HI772"/>
      <c r="HJ772"/>
      <c r="HK772"/>
      <c r="HL772"/>
      <c r="HM772"/>
      <c r="HN772"/>
      <c r="HO772"/>
      <c r="HP772"/>
      <c r="HQ772"/>
      <c r="HR772"/>
      <c r="HS772"/>
      <c r="HT772"/>
      <c r="HU772"/>
      <c r="HV772"/>
      <c r="HW772"/>
      <c r="HX772"/>
      <c r="HY772"/>
      <c r="HZ772"/>
      <c r="IA772"/>
      <c r="IB772"/>
      <c r="IC772"/>
      <c r="ID772"/>
      <c r="IE772"/>
      <c r="IF772"/>
      <c r="IG772"/>
      <c r="IH772"/>
      <c r="II772"/>
      <c r="IJ772"/>
      <c r="IK772"/>
      <c r="IL772"/>
      <c r="IM772"/>
      <c r="IN772"/>
      <c r="IO772"/>
      <c r="IP772"/>
      <c r="IQ772"/>
      <c r="IR772"/>
      <c r="IS772"/>
      <c r="IT772"/>
      <c r="IU772"/>
      <c r="IV772"/>
      <c r="IW772"/>
      <c r="IX772"/>
      <c r="IY772"/>
      <c r="IZ772"/>
      <c r="JA772"/>
      <c r="JB772"/>
      <c r="JC772"/>
      <c r="JD772"/>
      <c r="JE772"/>
      <c r="JF772"/>
      <c r="JG772"/>
      <c r="JH772"/>
      <c r="JI772"/>
      <c r="JJ772"/>
      <c r="JK772"/>
      <c r="JL772"/>
      <c r="JM772"/>
      <c r="JN772"/>
    </row>
    <row r="773" spans="1:274" s="342" customFormat="1" ht="6" hidden="1" customHeight="1" outlineLevel="1" x14ac:dyDescent="0.2">
      <c r="B773" s="20"/>
      <c r="CT773" s="475"/>
      <c r="CZ773" s="475"/>
      <c r="DE773" s="475"/>
      <c r="DF773" s="475"/>
      <c r="DK773" s="475"/>
      <c r="DL773" s="475"/>
      <c r="DQ773" s="475"/>
      <c r="DR773" s="475"/>
      <c r="DW773" s="475"/>
      <c r="DX773" s="475"/>
      <c r="EC773" s="475"/>
      <c r="ED773" s="475"/>
      <c r="EI773" s="475"/>
      <c r="EJ773" s="475"/>
      <c r="EO773" s="475"/>
      <c r="EP773" s="475"/>
      <c r="EU773" s="475"/>
      <c r="EV773" s="475"/>
      <c r="FA773" s="475"/>
      <c r="FB773" s="475"/>
      <c r="FG773" s="475"/>
      <c r="FH773" s="475"/>
      <c r="FM773" s="475"/>
      <c r="FQ773"/>
      <c r="FR773"/>
      <c r="FS773"/>
      <c r="FT773"/>
      <c r="FU773"/>
      <c r="FV773"/>
      <c r="GB773" s="24"/>
      <c r="GC773" s="24"/>
      <c r="GD773" s="24"/>
      <c r="GE773" s="24"/>
      <c r="GF773" s="24"/>
      <c r="GG773" s="24"/>
      <c r="GH773" s="24"/>
      <c r="GI773" s="24"/>
      <c r="GJ773"/>
      <c r="GK773"/>
      <c r="GL773"/>
      <c r="GM773"/>
      <c r="GN773"/>
      <c r="GO773"/>
      <c r="GP773"/>
      <c r="GQ773"/>
      <c r="GR773"/>
      <c r="GS773"/>
      <c r="GT773"/>
      <c r="GU773"/>
      <c r="GV773"/>
      <c r="GW773"/>
      <c r="GX773"/>
      <c r="GY773"/>
      <c r="GZ773"/>
      <c r="HA773"/>
      <c r="HB773"/>
      <c r="HC773"/>
      <c r="HD773"/>
      <c r="HE773"/>
      <c r="HF773"/>
      <c r="HG773"/>
      <c r="HH773"/>
      <c r="HI773"/>
      <c r="HJ773"/>
      <c r="HK773"/>
      <c r="HL773"/>
      <c r="HM773"/>
      <c r="HN773"/>
      <c r="HO773"/>
      <c r="HP773"/>
      <c r="HQ773"/>
      <c r="HR773"/>
      <c r="HS773"/>
      <c r="HT773"/>
      <c r="HU773"/>
      <c r="HV773"/>
      <c r="HW773"/>
      <c r="HX773"/>
      <c r="HY773"/>
      <c r="HZ773"/>
      <c r="IA773"/>
      <c r="IB773"/>
      <c r="IC773"/>
      <c r="ID773"/>
      <c r="IE773"/>
      <c r="IF773"/>
      <c r="IG773"/>
      <c r="IH773"/>
      <c r="II773"/>
      <c r="IJ773"/>
      <c r="IK773"/>
      <c r="IL773"/>
      <c r="IM773"/>
      <c r="IN773"/>
      <c r="IO773"/>
      <c r="IP773"/>
      <c r="IQ773"/>
      <c r="IR773"/>
      <c r="IS773"/>
      <c r="IT773"/>
      <c r="IU773"/>
      <c r="IV773"/>
      <c r="IW773"/>
      <c r="IX773"/>
      <c r="IY773"/>
      <c r="IZ773"/>
      <c r="JA773"/>
      <c r="JB773"/>
      <c r="JC773"/>
      <c r="JD773"/>
      <c r="JE773"/>
      <c r="JF773"/>
      <c r="JG773"/>
      <c r="JH773"/>
      <c r="JI773"/>
      <c r="JJ773"/>
      <c r="JK773"/>
      <c r="JL773"/>
      <c r="JM773"/>
      <c r="JN773"/>
    </row>
    <row r="774" spans="1:274" s="342" customFormat="1" hidden="1" outlineLevel="1" x14ac:dyDescent="0.2">
      <c r="A774" s="342" t="s">
        <v>279</v>
      </c>
      <c r="B774" s="20"/>
      <c r="AW774" s="788">
        <f>AW765/AW772*1000000</f>
        <v>190206.75376651561</v>
      </c>
      <c r="BC774" s="788">
        <f>BC765/BC772*1000000</f>
        <v>188058.01723948776</v>
      </c>
      <c r="BI774" s="788">
        <f>BI765/BI772*1000000</f>
        <v>200481.41823966525</v>
      </c>
      <c r="BO774" s="788">
        <f>BO765/BO772*1000000</f>
        <v>187735.89221547171</v>
      </c>
      <c r="BU774" s="788">
        <f>BU765/BU772*1000000</f>
        <v>176561.38871153395</v>
      </c>
      <c r="CA774" s="788">
        <f>CA765/CA772*1000000</f>
        <v>168353.98230088496</v>
      </c>
      <c r="CG774" s="788">
        <f>CG765/CG772*1000000</f>
        <v>172801.94706419227</v>
      </c>
      <c r="CM774" s="788">
        <f>CM765/CM772*1000000</f>
        <v>151029.20057443753</v>
      </c>
      <c r="CS774" s="788">
        <f>CS765/CS772*1000000</f>
        <v>162573.09941520466</v>
      </c>
      <c r="CT774" s="475"/>
      <c r="CY774" s="788">
        <f>CY765/CY772*1000000</f>
        <v>156250</v>
      </c>
      <c r="CZ774" s="475"/>
      <c r="DE774" s="114">
        <f>DE765/DE772*1000000</f>
        <v>150230.76923076922</v>
      </c>
      <c r="DF774" s="475"/>
      <c r="DK774" s="114">
        <f>DK765/DK772*1000000</f>
        <v>185880</v>
      </c>
      <c r="DL774" s="475"/>
      <c r="DQ774" s="114">
        <f>DQ765/DQ772*1000000</f>
        <v>180903.80384615384</v>
      </c>
      <c r="DR774" s="475"/>
      <c r="DW774" s="114">
        <f>DW765/DW772*1000000</f>
        <v>156600</v>
      </c>
      <c r="DX774" s="475"/>
      <c r="EC774" s="114">
        <f>EC765/EC772*1000000</f>
        <v>168227.27272727274</v>
      </c>
      <c r="ED774" s="475"/>
      <c r="EI774" s="114">
        <f>EI765/EI772*1000000</f>
        <v>154217.39130434784</v>
      </c>
      <c r="EJ774" s="475"/>
      <c r="EO774" s="114">
        <f>EO765/EO772*1000000</f>
        <v>147304.34782608695</v>
      </c>
      <c r="EP774" s="475"/>
      <c r="EU774" s="114">
        <f>EU765/EU772*1000000</f>
        <v>139907.5</v>
      </c>
      <c r="EV774" s="475"/>
      <c r="FA774" s="114">
        <f>FA765/FA772*1000000</f>
        <v>136270.12223603064</v>
      </c>
      <c r="FB774" s="475"/>
      <c r="FG774" s="114">
        <f>FG765/FG772*1000000</f>
        <v>130627.65261533538</v>
      </c>
      <c r="FH774" s="475"/>
      <c r="FM774" s="114">
        <f>FM765/FM772*1000000</f>
        <v>125170.66102160313</v>
      </c>
      <c r="FQ774"/>
      <c r="FR774"/>
      <c r="FS774"/>
      <c r="FT774"/>
      <c r="FU774"/>
      <c r="FV774"/>
      <c r="GB774" s="24"/>
      <c r="GC774" s="24"/>
      <c r="GD774" s="24"/>
      <c r="GE774" s="24"/>
      <c r="GF774" s="24"/>
      <c r="GG774" s="24"/>
      <c r="GH774" s="24"/>
      <c r="GI774" s="24"/>
      <c r="GJ774"/>
      <c r="GK774"/>
      <c r="GL774"/>
      <c r="GM774"/>
      <c r="GN774"/>
      <c r="GO774"/>
      <c r="GP774"/>
      <c r="GQ774"/>
      <c r="GR774"/>
      <c r="GS774"/>
      <c r="GT774"/>
      <c r="GU774"/>
      <c r="GV774"/>
      <c r="GW774"/>
      <c r="GX774"/>
      <c r="GY774"/>
      <c r="GZ774"/>
      <c r="HA774"/>
      <c r="HB774"/>
      <c r="HC774"/>
      <c r="HD774"/>
      <c r="HE774"/>
      <c r="HF774"/>
      <c r="HG774"/>
      <c r="HH774"/>
      <c r="HI774"/>
      <c r="HJ774"/>
      <c r="HK774"/>
      <c r="HL774"/>
      <c r="HM774"/>
      <c r="HN774"/>
      <c r="HO774"/>
      <c r="HP774"/>
      <c r="HQ774"/>
      <c r="HR774"/>
      <c r="HS774"/>
      <c r="HT774"/>
      <c r="HU774"/>
      <c r="HV774"/>
      <c r="HW774"/>
      <c r="HX774"/>
      <c r="HY774"/>
      <c r="HZ774"/>
      <c r="IA774"/>
      <c r="IB774"/>
      <c r="IC774"/>
      <c r="ID774"/>
      <c r="IE774"/>
      <c r="IF774"/>
      <c r="IG774"/>
      <c r="IH774"/>
      <c r="II774"/>
      <c r="IJ774"/>
      <c r="IK774"/>
      <c r="IL774"/>
      <c r="IM774"/>
      <c r="IN774"/>
      <c r="IO774"/>
      <c r="IP774"/>
      <c r="IQ774"/>
      <c r="IR774"/>
      <c r="IS774"/>
      <c r="IT774"/>
      <c r="IU774"/>
      <c r="IV774"/>
      <c r="IW774"/>
      <c r="IX774"/>
      <c r="IY774"/>
      <c r="IZ774"/>
      <c r="JA774"/>
      <c r="JB774"/>
      <c r="JC774"/>
      <c r="JD774"/>
      <c r="JE774"/>
      <c r="JF774"/>
      <c r="JG774"/>
      <c r="JH774"/>
      <c r="JI774"/>
      <c r="JJ774"/>
      <c r="JK774"/>
      <c r="JL774"/>
      <c r="JM774"/>
      <c r="JN774"/>
    </row>
    <row r="775" spans="1:274" s="342" customFormat="1" hidden="1" outlineLevel="1" x14ac:dyDescent="0.2">
      <c r="A775" s="342" t="s">
        <v>280</v>
      </c>
      <c r="B775" s="20"/>
      <c r="AW775" s="788"/>
      <c r="BC775" s="788"/>
      <c r="BI775" s="788">
        <f>BI768/BI772*1000000</f>
        <v>148771.79719489629</v>
      </c>
      <c r="BO775" s="788">
        <f>BO768/BO772*1000000</f>
        <v>154082.00644046624</v>
      </c>
      <c r="BU775" s="788">
        <f>BU768/BU772*1000000</f>
        <v>149814.79291438885</v>
      </c>
      <c r="CA775" s="788">
        <f>CA768/CA772*1000000</f>
        <v>143433.62831858409</v>
      </c>
      <c r="CG775" s="788">
        <f>CG768/CG772*1000000</f>
        <v>152479.46455734712</v>
      </c>
      <c r="CM775" s="788">
        <f>CM768/CM772*1000000</f>
        <v>133038.13626934739</v>
      </c>
      <c r="CS775" s="788">
        <f>CS768/CS772*1000000</f>
        <v>140740.74074074076</v>
      </c>
      <c r="CT775" s="475"/>
      <c r="CY775" s="788">
        <f>CY768/CY772*1000000</f>
        <v>131928.57142857142</v>
      </c>
      <c r="CZ775" s="475"/>
      <c r="DE775" s="114">
        <f>DE768/DE772*1000000</f>
        <v>130192.30769230769</v>
      </c>
      <c r="DF775" s="475"/>
      <c r="DK775" s="114">
        <f>DK768/DK772*1000000</f>
        <v>152120</v>
      </c>
      <c r="DL775" s="475"/>
      <c r="DQ775" s="114">
        <f>DQ768/DQ772*1000000</f>
        <v>143038.46153846153</v>
      </c>
      <c r="DR775" s="475"/>
      <c r="DW775" s="114">
        <f>DW768/DW772*1000000</f>
        <v>136920</v>
      </c>
      <c r="DX775" s="475"/>
      <c r="EC775" s="114">
        <f>EC768/EC772*1000000</f>
        <v>132863.63636363635</v>
      </c>
      <c r="ED775" s="475"/>
      <c r="EI775" s="114">
        <f>EI768/EI772*1000000</f>
        <v>126000</v>
      </c>
      <c r="EJ775" s="475"/>
      <c r="EO775" s="114">
        <f>EO768/EO772*1000000</f>
        <v>118304.34782608696</v>
      </c>
      <c r="EP775" s="475"/>
      <c r="EU775" s="114">
        <f>EU768/EU772*1000000</f>
        <v>114791.66666666667</v>
      </c>
      <c r="EV775" s="475"/>
      <c r="FA775" s="114">
        <f>FA768/FA772*1000000</f>
        <v>39013.339234314088</v>
      </c>
      <c r="FB775" s="475"/>
      <c r="FG775" s="114">
        <f>FG768/FG772*1000000</f>
        <v>37825.517273478072</v>
      </c>
      <c r="FH775" s="475"/>
      <c r="FM775" s="114">
        <f>FM768/FM772*1000000</f>
        <v>36298.395489022347</v>
      </c>
      <c r="FQ775"/>
      <c r="FR775"/>
      <c r="FS775"/>
      <c r="FT775"/>
      <c r="FU775"/>
      <c r="FV775"/>
      <c r="GB775" s="24"/>
      <c r="GC775" s="24"/>
      <c r="GD775" s="24"/>
      <c r="GE775" s="24"/>
      <c r="GF775" s="24"/>
      <c r="GG775" s="24"/>
      <c r="GH775" s="24"/>
      <c r="GI775" s="24"/>
      <c r="GJ775"/>
      <c r="GK775"/>
      <c r="GL775"/>
      <c r="GM775"/>
      <c r="GN775"/>
      <c r="GO775"/>
      <c r="GP775"/>
      <c r="GQ775"/>
      <c r="GR775"/>
      <c r="GS775"/>
      <c r="GT775"/>
      <c r="GU775"/>
      <c r="GV775"/>
      <c r="GW775"/>
      <c r="GX775"/>
      <c r="GY775"/>
      <c r="GZ775"/>
      <c r="HA775"/>
      <c r="HB775"/>
      <c r="HC775"/>
      <c r="HD775"/>
      <c r="HE775"/>
      <c r="HF775"/>
      <c r="HG775"/>
      <c r="HH775"/>
      <c r="HI775"/>
      <c r="HJ775"/>
      <c r="HK775"/>
      <c r="HL775"/>
      <c r="HM775"/>
      <c r="HN775"/>
      <c r="HO775"/>
      <c r="HP775"/>
      <c r="HQ775"/>
      <c r="HR775"/>
      <c r="HS775"/>
      <c r="HT775"/>
      <c r="HU775"/>
      <c r="HV775"/>
      <c r="HW775"/>
      <c r="HX775"/>
      <c r="HY775"/>
      <c r="HZ775"/>
      <c r="IA775"/>
      <c r="IB775"/>
      <c r="IC775"/>
      <c r="ID775"/>
      <c r="IE775"/>
      <c r="IF775"/>
      <c r="IG775"/>
      <c r="IH775"/>
      <c r="II775"/>
      <c r="IJ775"/>
      <c r="IK775"/>
      <c r="IL775"/>
      <c r="IM775"/>
      <c r="IN775"/>
      <c r="IO775"/>
      <c r="IP775"/>
      <c r="IQ775"/>
      <c r="IR775"/>
      <c r="IS775"/>
      <c r="IT775"/>
      <c r="IU775"/>
      <c r="IV775"/>
      <c r="IW775"/>
      <c r="IX775"/>
      <c r="IY775"/>
      <c r="IZ775"/>
      <c r="JA775"/>
      <c r="JB775"/>
      <c r="JC775"/>
      <c r="JD775"/>
      <c r="JE775"/>
      <c r="JF775"/>
      <c r="JG775"/>
      <c r="JH775"/>
      <c r="JI775"/>
      <c r="JJ775"/>
      <c r="JK775"/>
      <c r="JL775"/>
      <c r="JM775"/>
      <c r="JN775"/>
    </row>
    <row r="776" spans="1:274" s="342" customFormat="1" hidden="1" outlineLevel="1" x14ac:dyDescent="0.2">
      <c r="B776" s="20"/>
      <c r="CT776" s="475"/>
      <c r="CZ776" s="475"/>
      <c r="DE776" s="475"/>
      <c r="DF776" s="475"/>
      <c r="DK776" s="475"/>
      <c r="DL776" s="475"/>
      <c r="DQ776" s="475"/>
      <c r="DR776" s="475"/>
      <c r="DW776" s="475"/>
      <c r="DX776" s="475"/>
      <c r="EC776" s="475"/>
      <c r="ED776" s="475"/>
      <c r="EI776" s="475"/>
      <c r="EJ776" s="475"/>
      <c r="EO776" s="475"/>
      <c r="EP776" s="475"/>
      <c r="EU776" s="475"/>
      <c r="EV776" s="475"/>
      <c r="FA776" s="475"/>
      <c r="FB776" s="475"/>
      <c r="FG776" s="475"/>
      <c r="FH776" s="475"/>
      <c r="FM776" s="475"/>
      <c r="FQ776"/>
      <c r="FR776"/>
      <c r="FS776"/>
      <c r="FT776"/>
      <c r="FU776"/>
      <c r="FV776"/>
      <c r="GB776" s="24"/>
      <c r="GC776" s="24"/>
      <c r="GD776" s="24"/>
      <c r="GE776" s="24"/>
      <c r="GF776" s="24"/>
      <c r="GG776" s="24"/>
      <c r="GH776" s="24"/>
      <c r="GI776" s="24"/>
      <c r="GJ776"/>
      <c r="GK776"/>
      <c r="GL776"/>
      <c r="GM776"/>
      <c r="GN776"/>
      <c r="GO776"/>
      <c r="GP776"/>
      <c r="GQ776"/>
      <c r="GR776"/>
      <c r="GS776"/>
      <c r="GT776"/>
      <c r="GU776"/>
      <c r="GV776"/>
      <c r="GW776"/>
      <c r="GX776"/>
      <c r="GY776"/>
      <c r="GZ776"/>
      <c r="HA776"/>
      <c r="HB776"/>
      <c r="HC776"/>
      <c r="HD776"/>
      <c r="HE776"/>
      <c r="HF776"/>
      <c r="HG776"/>
      <c r="HH776"/>
      <c r="HI776"/>
      <c r="HJ776"/>
      <c r="HK776"/>
      <c r="HL776"/>
      <c r="HM776"/>
      <c r="HN776"/>
      <c r="HO776"/>
      <c r="HP776"/>
      <c r="HQ776"/>
      <c r="HR776"/>
      <c r="HS776"/>
      <c r="HT776"/>
      <c r="HU776"/>
      <c r="HV776"/>
      <c r="HW776"/>
      <c r="HX776"/>
      <c r="HY776"/>
      <c r="HZ776"/>
      <c r="IA776"/>
      <c r="IB776"/>
      <c r="IC776"/>
      <c r="ID776"/>
      <c r="IE776"/>
      <c r="IF776"/>
      <c r="IG776"/>
      <c r="IH776"/>
      <c r="II776"/>
      <c r="IJ776"/>
      <c r="IK776"/>
      <c r="IL776"/>
      <c r="IM776"/>
      <c r="IN776"/>
      <c r="IO776"/>
      <c r="IP776"/>
      <c r="IQ776"/>
      <c r="IR776"/>
      <c r="IS776"/>
      <c r="IT776"/>
      <c r="IU776"/>
      <c r="IV776"/>
      <c r="IW776"/>
      <c r="IX776"/>
      <c r="IY776"/>
      <c r="IZ776"/>
      <c r="JA776"/>
      <c r="JB776"/>
      <c r="JC776"/>
      <c r="JD776"/>
      <c r="JE776"/>
      <c r="JF776"/>
      <c r="JG776"/>
      <c r="JH776"/>
      <c r="JI776"/>
      <c r="JJ776"/>
      <c r="JK776"/>
      <c r="JL776"/>
      <c r="JM776"/>
      <c r="JN776"/>
    </row>
    <row r="777" spans="1:274" s="342" customFormat="1" hidden="1" outlineLevel="1" x14ac:dyDescent="0.2">
      <c r="A777" s="353" t="s">
        <v>78</v>
      </c>
      <c r="B777" s="20"/>
      <c r="AW777" s="34">
        <f>Model!AW153</f>
        <v>480.65800000000002</v>
      </c>
      <c r="BC777" s="34">
        <f>Model!BC153</f>
        <v>456.62800000000004</v>
      </c>
      <c r="BI777" s="34">
        <f>Model!BI153</f>
        <v>411.21299999999997</v>
      </c>
      <c r="BO777" s="34">
        <f>Model!BO153</f>
        <v>441</v>
      </c>
      <c r="BU777" s="34">
        <f>Model!BU153</f>
        <v>561</v>
      </c>
      <c r="BV777" s="34"/>
      <c r="CA777" s="34">
        <f>Model!CA153</f>
        <v>550.20000000000005</v>
      </c>
      <c r="CG777" s="34">
        <f>Model!CG153</f>
        <v>555.54999999999995</v>
      </c>
      <c r="CM777" s="34">
        <f>Model!CM153</f>
        <v>642</v>
      </c>
      <c r="CS777" s="34">
        <f>Model!CS153</f>
        <v>738</v>
      </c>
      <c r="CT777" s="475"/>
      <c r="CY777" s="34">
        <f>Model!CY153</f>
        <v>691</v>
      </c>
      <c r="CZ777" s="475"/>
      <c r="DE777" s="91">
        <f>Model!DE153</f>
        <v>781</v>
      </c>
      <c r="DF777" s="475"/>
      <c r="DK777" s="91">
        <f>Model!DK153</f>
        <v>825</v>
      </c>
      <c r="DL777" s="475"/>
      <c r="DQ777" s="91">
        <f>Model!DQ153</f>
        <v>964</v>
      </c>
      <c r="DR777" s="475"/>
      <c r="DW777" s="91">
        <f>Model!DW153</f>
        <v>907</v>
      </c>
      <c r="DX777" s="475"/>
      <c r="EC777" s="91">
        <f>Model!EC153</f>
        <v>867</v>
      </c>
      <c r="ED777" s="475"/>
      <c r="EI777" s="91">
        <f>Model!EI153</f>
        <v>930</v>
      </c>
      <c r="EJ777" s="475"/>
      <c r="EO777" s="91">
        <f>Model!EO153</f>
        <v>1036</v>
      </c>
      <c r="EP777" s="475"/>
      <c r="EU777" s="91">
        <f>Model!EU153</f>
        <v>1045</v>
      </c>
      <c r="EV777" s="475"/>
      <c r="FA777" s="91">
        <f>Model!FA144</f>
        <v>0.80180344952613281</v>
      </c>
      <c r="FB777" s="475"/>
      <c r="FG777" s="91">
        <f>Model!FG144</f>
        <v>0.80389065652184943</v>
      </c>
      <c r="FH777" s="475"/>
      <c r="FM777" s="91">
        <f>Model!FM144</f>
        <v>0.80679095827745406</v>
      </c>
      <c r="FQ777"/>
      <c r="FR777"/>
      <c r="FS777"/>
      <c r="FT777"/>
      <c r="FU777"/>
      <c r="FV777"/>
      <c r="GB777" s="24"/>
      <c r="GC777" s="24"/>
      <c r="GD777" s="24"/>
      <c r="GE777" s="24"/>
      <c r="GF777" s="24"/>
      <c r="GG777" s="24"/>
      <c r="GH777" s="24"/>
      <c r="GI777" s="24"/>
      <c r="GJ777"/>
      <c r="GK777"/>
      <c r="GL777"/>
      <c r="GM777"/>
      <c r="GN777"/>
      <c r="GO777"/>
      <c r="GP777"/>
      <c r="GQ777"/>
      <c r="GR777"/>
      <c r="GS777"/>
      <c r="GT777"/>
      <c r="GU777"/>
      <c r="GV777"/>
      <c r="GW777"/>
      <c r="GX777"/>
      <c r="GY777"/>
      <c r="GZ777"/>
      <c r="HA777"/>
      <c r="HB777"/>
      <c r="HC777"/>
      <c r="HD777"/>
      <c r="HE777"/>
      <c r="HF777"/>
      <c r="HG777"/>
      <c r="HH777"/>
      <c r="HI777"/>
      <c r="HJ777"/>
      <c r="HK777"/>
      <c r="HL777"/>
      <c r="HM777"/>
      <c r="HN777"/>
      <c r="HO777"/>
      <c r="HP777"/>
      <c r="HQ777"/>
      <c r="HR777"/>
      <c r="HS777"/>
      <c r="HT777"/>
      <c r="HU777"/>
      <c r="HV777"/>
      <c r="HW777"/>
      <c r="HX777"/>
      <c r="HY777"/>
      <c r="HZ777"/>
      <c r="IA777"/>
      <c r="IB777"/>
      <c r="IC777"/>
      <c r="ID777"/>
      <c r="IE777"/>
      <c r="IF777"/>
      <c r="IG777"/>
      <c r="IH777"/>
      <c r="II777"/>
      <c r="IJ777"/>
      <c r="IK777"/>
      <c r="IL777"/>
      <c r="IM777"/>
      <c r="IN777"/>
      <c r="IO777"/>
      <c r="IP777"/>
      <c r="IQ777"/>
      <c r="IR777"/>
      <c r="IS777"/>
      <c r="IT777"/>
      <c r="IU777"/>
      <c r="IV777"/>
      <c r="IW777"/>
      <c r="IX777"/>
      <c r="IY777"/>
      <c r="IZ777"/>
      <c r="JA777"/>
      <c r="JB777"/>
      <c r="JC777"/>
      <c r="JD777"/>
      <c r="JE777"/>
      <c r="JF777"/>
      <c r="JG777"/>
      <c r="JH777"/>
      <c r="JI777"/>
      <c r="JJ777"/>
      <c r="JK777"/>
      <c r="JL777"/>
      <c r="JM777"/>
      <c r="JN777"/>
    </row>
    <row r="778" spans="1:274" s="342" customFormat="1" hidden="1" outlineLevel="1" x14ac:dyDescent="0.2">
      <c r="A778" s="19" t="s">
        <v>1061</v>
      </c>
      <c r="B778" s="20"/>
      <c r="AW778" s="244"/>
      <c r="BC778" s="82">
        <f>BC777/AW777-1</f>
        <v>-4.9993966604113482E-2</v>
      </c>
      <c r="BI778" s="82">
        <f>BI777/BC777-1</f>
        <v>-9.945732631376103E-2</v>
      </c>
      <c r="BO778" s="82">
        <f>BO777/BI777-1</f>
        <v>7.2436912257151542E-2</v>
      </c>
      <c r="BU778" s="82">
        <f>BU777/BO777-1</f>
        <v>0.27210884353741505</v>
      </c>
      <c r="CA778" s="82">
        <f>CA777/BU777-1</f>
        <v>-1.9251336898395643E-2</v>
      </c>
      <c r="CG778" s="82">
        <f>CG777/CA777-1</f>
        <v>9.7237368229732279E-3</v>
      </c>
      <c r="CM778" s="82">
        <f>CM777/CG777-1</f>
        <v>0.15561155611556132</v>
      </c>
      <c r="CS778" s="82">
        <f>CS777/CM777-1</f>
        <v>0.14953271028037385</v>
      </c>
      <c r="CT778" s="475"/>
      <c r="CY778" s="82">
        <f>CY777/CS777-1</f>
        <v>-6.3685636856368522E-2</v>
      </c>
      <c r="CZ778" s="475"/>
      <c r="DE778" s="159">
        <f>DE777/CY777-1</f>
        <v>0.13024602026049203</v>
      </c>
      <c r="DF778" s="475"/>
      <c r="DK778" s="159">
        <f>DK777/DE777-1</f>
        <v>5.6338028169014009E-2</v>
      </c>
      <c r="DL778" s="475"/>
      <c r="DQ778" s="159">
        <f>DQ777/DK777-1</f>
        <v>0.16848484848484846</v>
      </c>
      <c r="DR778" s="475"/>
      <c r="DW778" s="159">
        <f>DW777/DQ777-1</f>
        <v>-5.9128630705394203E-2</v>
      </c>
      <c r="DX778" s="475"/>
      <c r="EC778" s="159">
        <f>EC777/DW777-1</f>
        <v>-4.4101433296582115E-2</v>
      </c>
      <c r="ED778" s="475"/>
      <c r="EI778" s="159">
        <f>EI777/EC777-1</f>
        <v>7.2664359861591699E-2</v>
      </c>
      <c r="EJ778" s="475"/>
      <c r="EO778" s="159">
        <f>EO777/EI777-1</f>
        <v>0.11397849462365595</v>
      </c>
      <c r="EP778" s="475"/>
      <c r="EU778" s="159">
        <f>EU777/EO777-1</f>
        <v>8.6872586872586144E-3</v>
      </c>
      <c r="EV778" s="475"/>
      <c r="FA778" s="159">
        <f>FA777/EU777-1</f>
        <v>-0.99923272397174534</v>
      </c>
      <c r="FB778" s="475"/>
      <c r="FG778" s="159">
        <f>FG777/FA777-1</f>
        <v>2.6031404541226877E-3</v>
      </c>
      <c r="FH778" s="475"/>
      <c r="FM778" s="159">
        <f>FM777/FG777-1</f>
        <v>3.6078311547409481E-3</v>
      </c>
      <c r="FQ778"/>
      <c r="FR778"/>
      <c r="FS778"/>
      <c r="FT778"/>
      <c r="FU778"/>
      <c r="FV778"/>
      <c r="GB778" s="24"/>
      <c r="GC778" s="24"/>
      <c r="GD778" s="24"/>
      <c r="GE778" s="24"/>
      <c r="GF778" s="24"/>
      <c r="GG778" s="24"/>
      <c r="GH778" s="24"/>
      <c r="GI778" s="24"/>
      <c r="GJ778"/>
      <c r="GK778"/>
      <c r="GL778"/>
      <c r="GM778"/>
      <c r="GN778"/>
      <c r="GO778"/>
      <c r="GP778"/>
      <c r="GQ778"/>
      <c r="GR778"/>
      <c r="GS778"/>
      <c r="GT778"/>
      <c r="GU778"/>
      <c r="GV778"/>
      <c r="GW778"/>
      <c r="GX778"/>
      <c r="GY778"/>
      <c r="GZ778"/>
      <c r="HA778"/>
      <c r="HB778"/>
      <c r="HC778"/>
      <c r="HD778"/>
      <c r="HE778"/>
      <c r="HF778"/>
      <c r="HG778"/>
      <c r="HH778"/>
      <c r="HI778"/>
      <c r="HJ778"/>
      <c r="HK778"/>
      <c r="HL778"/>
      <c r="HM778"/>
      <c r="HN778"/>
      <c r="HO778"/>
      <c r="HP778"/>
      <c r="HQ778"/>
      <c r="HR778"/>
      <c r="HS778"/>
      <c r="HT778"/>
      <c r="HU778"/>
      <c r="HV778"/>
      <c r="HW778"/>
      <c r="HX778"/>
      <c r="HY778"/>
      <c r="HZ778"/>
      <c r="IA778"/>
      <c r="IB778"/>
      <c r="IC778"/>
      <c r="ID778"/>
      <c r="IE778"/>
      <c r="IF778"/>
      <c r="IG778"/>
      <c r="IH778"/>
      <c r="II778"/>
      <c r="IJ778"/>
      <c r="IK778"/>
      <c r="IL778"/>
      <c r="IM778"/>
      <c r="IN778"/>
      <c r="IO778"/>
      <c r="IP778"/>
      <c r="IQ778"/>
      <c r="IR778"/>
      <c r="IS778"/>
      <c r="IT778"/>
      <c r="IU778"/>
      <c r="IV778"/>
      <c r="IW778"/>
      <c r="IX778"/>
      <c r="IY778"/>
      <c r="IZ778"/>
      <c r="JA778"/>
      <c r="JB778"/>
      <c r="JC778"/>
      <c r="JD778"/>
      <c r="JE778"/>
      <c r="JF778"/>
      <c r="JG778"/>
      <c r="JH778"/>
      <c r="JI778"/>
      <c r="JJ778"/>
      <c r="JK778"/>
      <c r="JL778"/>
      <c r="JM778"/>
      <c r="JN778"/>
    </row>
    <row r="779" spans="1:274" s="342" customFormat="1" ht="6" hidden="1" customHeight="1" outlineLevel="1" x14ac:dyDescent="0.2">
      <c r="B779" s="20"/>
      <c r="CT779" s="475"/>
      <c r="CZ779" s="475"/>
      <c r="DE779" s="475"/>
      <c r="DF779" s="475"/>
      <c r="DK779" s="475"/>
      <c r="DL779" s="475"/>
      <c r="DQ779" s="475"/>
      <c r="DR779" s="475"/>
      <c r="DW779" s="475"/>
      <c r="DX779" s="475"/>
      <c r="EC779" s="475"/>
      <c r="ED779" s="475"/>
      <c r="EI779" s="475"/>
      <c r="EJ779" s="475"/>
      <c r="EO779" s="475"/>
      <c r="EP779" s="475"/>
      <c r="EU779" s="475"/>
      <c r="EV779" s="475"/>
      <c r="FA779" s="475"/>
      <c r="FB779" s="475"/>
      <c r="FG779" s="475"/>
      <c r="FH779" s="475"/>
      <c r="FM779" s="475"/>
      <c r="FQ779"/>
      <c r="FR779"/>
      <c r="FS779"/>
      <c r="FT779"/>
      <c r="FU779"/>
      <c r="FV779"/>
      <c r="GB779" s="24"/>
      <c r="GC779" s="24"/>
      <c r="GD779" s="24"/>
      <c r="GE779" s="24"/>
      <c r="GF779" s="24"/>
      <c r="GG779" s="24"/>
      <c r="GH779" s="24"/>
      <c r="GI779" s="24"/>
      <c r="GJ779"/>
      <c r="GK779"/>
      <c r="GL779"/>
      <c r="GM779"/>
      <c r="GN779"/>
      <c r="GO779"/>
      <c r="GP779"/>
      <c r="GQ779"/>
      <c r="GR779"/>
      <c r="GS779"/>
      <c r="GT779"/>
      <c r="GU779"/>
      <c r="GV779"/>
      <c r="GW779"/>
      <c r="GX779"/>
      <c r="GY779"/>
      <c r="GZ779"/>
      <c r="HA779"/>
      <c r="HB779"/>
      <c r="HC779"/>
      <c r="HD779"/>
      <c r="HE779"/>
      <c r="HF779"/>
      <c r="HG779"/>
      <c r="HH779"/>
      <c r="HI779"/>
      <c r="HJ779"/>
      <c r="HK779"/>
      <c r="HL779"/>
      <c r="HM779"/>
      <c r="HN779"/>
      <c r="HO779"/>
      <c r="HP779"/>
      <c r="HQ779"/>
      <c r="HR779"/>
      <c r="HS779"/>
      <c r="HT779"/>
      <c r="HU779"/>
      <c r="HV779"/>
      <c r="HW779"/>
      <c r="HX779"/>
      <c r="HY779"/>
      <c r="HZ779"/>
      <c r="IA779"/>
      <c r="IB779"/>
      <c r="IC779"/>
      <c r="ID779"/>
      <c r="IE779"/>
      <c r="IF779"/>
      <c r="IG779"/>
      <c r="IH779"/>
      <c r="II779"/>
      <c r="IJ779"/>
      <c r="IK779"/>
      <c r="IL779"/>
      <c r="IM779"/>
      <c r="IN779"/>
      <c r="IO779"/>
      <c r="IP779"/>
      <c r="IQ779"/>
      <c r="IR779"/>
      <c r="IS779"/>
      <c r="IT779"/>
      <c r="IU779"/>
      <c r="IV779"/>
      <c r="IW779"/>
      <c r="IX779"/>
      <c r="IY779"/>
      <c r="IZ779"/>
      <c r="JA779"/>
      <c r="JB779"/>
      <c r="JC779"/>
      <c r="JD779"/>
      <c r="JE779"/>
      <c r="JF779"/>
      <c r="JG779"/>
      <c r="JH779"/>
      <c r="JI779"/>
      <c r="JJ779"/>
      <c r="JK779"/>
      <c r="JL779"/>
      <c r="JM779"/>
      <c r="JN779"/>
    </row>
    <row r="780" spans="1:274" s="342" customFormat="1" hidden="1" outlineLevel="1" x14ac:dyDescent="0.2">
      <c r="A780" s="342" t="s">
        <v>79</v>
      </c>
      <c r="B780" s="20"/>
      <c r="AW780" s="244">
        <f>AW299</f>
        <v>3961</v>
      </c>
      <c r="BC780" s="244">
        <f>BC299</f>
        <v>4349</v>
      </c>
      <c r="BI780" s="244">
        <f>BI299</f>
        <v>4926</v>
      </c>
      <c r="BO780" s="244">
        <f>BO299</f>
        <v>5037</v>
      </c>
      <c r="BU780" s="244">
        <f>BU299</f>
        <v>4705</v>
      </c>
      <c r="CA780" s="244">
        <f>CA299</f>
        <v>6251</v>
      </c>
      <c r="CG780" s="244">
        <f>CG299</f>
        <v>6232</v>
      </c>
      <c r="CM780" s="244">
        <f>CM299</f>
        <v>7799</v>
      </c>
      <c r="CS780" s="244">
        <f>CS299</f>
        <v>8304</v>
      </c>
      <c r="CT780" s="475"/>
      <c r="CY780" s="244">
        <f>CY299</f>
        <v>8000</v>
      </c>
      <c r="CZ780" s="475"/>
      <c r="DE780" s="131">
        <f>DE299</f>
        <v>12000</v>
      </c>
      <c r="DF780" s="475"/>
      <c r="DK780" s="131">
        <f>DK299</f>
        <v>10000</v>
      </c>
      <c r="DL780" s="475"/>
      <c r="DQ780" s="131">
        <f>DQ299</f>
        <v>11000</v>
      </c>
      <c r="DR780" s="475"/>
      <c r="DW780" s="131">
        <f>DW299</f>
        <v>11000</v>
      </c>
      <c r="DX780" s="475"/>
      <c r="EC780" s="131">
        <f>EC299</f>
        <v>11000</v>
      </c>
      <c r="ED780" s="475"/>
      <c r="EI780" s="131">
        <f>EI299</f>
        <v>13000</v>
      </c>
      <c r="EJ780" s="475"/>
      <c r="EO780" s="131">
        <f>EO299</f>
        <v>13000</v>
      </c>
      <c r="EP780" s="475"/>
      <c r="EU780" s="131">
        <f>EU299</f>
        <v>13000</v>
      </c>
      <c r="EV780" s="475"/>
      <c r="FA780" s="131">
        <f>FA299</f>
        <v>13609.745380974635</v>
      </c>
      <c r="FB780" s="475"/>
      <c r="FG780" s="131">
        <f>FG299</f>
        <v>14197.619183496992</v>
      </c>
      <c r="FH780" s="475"/>
      <c r="FM780" s="131">
        <f>FM299</f>
        <v>14816.584425855051</v>
      </c>
      <c r="FQ780"/>
      <c r="FR780"/>
      <c r="FS780"/>
      <c r="FT780"/>
      <c r="FU780"/>
      <c r="FV780"/>
      <c r="GB780" s="24"/>
      <c r="GC780" s="24"/>
      <c r="GD780" s="24"/>
      <c r="GE780" s="24"/>
      <c r="GF780" s="24"/>
      <c r="GG780" s="24"/>
      <c r="GH780" s="24"/>
      <c r="GI780" s="24"/>
      <c r="GJ780"/>
      <c r="GK780"/>
      <c r="GL780"/>
      <c r="GM780"/>
      <c r="GN780"/>
      <c r="GO780"/>
      <c r="GP780"/>
      <c r="GQ780"/>
      <c r="GR780"/>
      <c r="GS780"/>
      <c r="GT780"/>
      <c r="GU780"/>
      <c r="GV780"/>
      <c r="GW780"/>
      <c r="GX780"/>
      <c r="GY780"/>
      <c r="GZ780"/>
      <c r="HA780"/>
      <c r="HB780"/>
      <c r="HC780"/>
      <c r="HD780"/>
      <c r="HE780"/>
      <c r="HF780"/>
      <c r="HG780"/>
      <c r="HH780"/>
      <c r="HI780"/>
      <c r="HJ780"/>
      <c r="HK780"/>
      <c r="HL780"/>
      <c r="HM780"/>
      <c r="HN780"/>
      <c r="HO780"/>
      <c r="HP780"/>
      <c r="HQ780"/>
      <c r="HR780"/>
      <c r="HS780"/>
      <c r="HT780"/>
      <c r="HU780"/>
      <c r="HV780"/>
      <c r="HW780"/>
      <c r="HX780"/>
      <c r="HY780"/>
      <c r="HZ780"/>
      <c r="IA780"/>
      <c r="IB780"/>
      <c r="IC780"/>
      <c r="ID780"/>
      <c r="IE780"/>
      <c r="IF780"/>
      <c r="IG780"/>
      <c r="IH780"/>
      <c r="II780"/>
      <c r="IJ780"/>
      <c r="IK780"/>
      <c r="IL780"/>
      <c r="IM780"/>
      <c r="IN780"/>
      <c r="IO780"/>
      <c r="IP780"/>
      <c r="IQ780"/>
      <c r="IR780"/>
      <c r="IS780"/>
      <c r="IT780"/>
      <c r="IU780"/>
      <c r="IV780"/>
      <c r="IW780"/>
      <c r="IX780"/>
      <c r="IY780"/>
      <c r="IZ780"/>
      <c r="JA780"/>
      <c r="JB780"/>
      <c r="JC780"/>
      <c r="JD780"/>
      <c r="JE780"/>
      <c r="JF780"/>
      <c r="JG780"/>
      <c r="JH780"/>
      <c r="JI780"/>
      <c r="JJ780"/>
      <c r="JK780"/>
      <c r="JL780"/>
      <c r="JM780"/>
      <c r="JN780"/>
    </row>
    <row r="781" spans="1:274" s="342" customFormat="1" hidden="1" outlineLevel="1" x14ac:dyDescent="0.2">
      <c r="A781" s="19" t="s">
        <v>1061</v>
      </c>
      <c r="B781" s="20"/>
      <c r="AW781" s="244"/>
      <c r="BC781" s="82">
        <f>BC780/AW780-1</f>
        <v>9.7955061853067349E-2</v>
      </c>
      <c r="BI781" s="82">
        <f>BI780/BC780-1</f>
        <v>0.13267417797194758</v>
      </c>
      <c r="BO781" s="82">
        <f>BO780/BI780-1</f>
        <v>2.2533495736906106E-2</v>
      </c>
      <c r="BU781" s="82">
        <f>BU780/BO780-1</f>
        <v>-6.5912249354774688E-2</v>
      </c>
      <c r="CA781" s="82">
        <f>CA780/BU780-1</f>
        <v>0.32858660998937306</v>
      </c>
      <c r="CG781" s="82">
        <f>CG780/CA780-1</f>
        <v>-3.0395136778115228E-3</v>
      </c>
      <c r="CM781" s="82">
        <f>CM780/CG780-1</f>
        <v>0.25144415917843399</v>
      </c>
      <c r="CS781" s="82">
        <f>CS780/CM780-1</f>
        <v>6.4751891268111317E-2</v>
      </c>
      <c r="CT781" s="475"/>
      <c r="CY781" s="82">
        <f>CY780/CS780-1</f>
        <v>-3.6608863198458574E-2</v>
      </c>
      <c r="CZ781" s="475"/>
      <c r="DE781" s="159">
        <f>DE780/CY780-1</f>
        <v>0.5</v>
      </c>
      <c r="DF781" s="475"/>
      <c r="DK781" s="159">
        <f>DK780/DE780-1</f>
        <v>-0.16666666666666663</v>
      </c>
      <c r="DL781" s="475"/>
      <c r="DQ781" s="159">
        <f>DQ780/DK780-1</f>
        <v>0.10000000000000009</v>
      </c>
      <c r="DR781" s="475"/>
      <c r="DW781" s="159">
        <f>DW780/DQ780-1</f>
        <v>0</v>
      </c>
      <c r="DX781" s="475"/>
      <c r="EC781" s="159">
        <f>EC780/DW780-1</f>
        <v>0</v>
      </c>
      <c r="ED781" s="475"/>
      <c r="EI781" s="159">
        <f>EI780/EC780-1</f>
        <v>0.18181818181818188</v>
      </c>
      <c r="EJ781" s="475"/>
      <c r="EO781" s="159">
        <f>EO780/EI780-1</f>
        <v>0</v>
      </c>
      <c r="EP781" s="475"/>
      <c r="EU781" s="159">
        <f>EU780/EO780-1</f>
        <v>0</v>
      </c>
      <c r="EV781" s="475"/>
      <c r="FA781" s="159">
        <f>FA780/EU780-1</f>
        <v>4.6903490844202755E-2</v>
      </c>
      <c r="FB781" s="475"/>
      <c r="FG781" s="159">
        <f>FG780/FA780-1</f>
        <v>4.3195062513378124E-2</v>
      </c>
      <c r="FH781" s="475"/>
      <c r="FM781" s="159">
        <f>FM780/FG780-1</f>
        <v>4.3596411085425668E-2</v>
      </c>
      <c r="FQ781"/>
      <c r="FR781"/>
      <c r="FS781"/>
      <c r="FT781"/>
      <c r="FU781"/>
      <c r="FV781"/>
      <c r="GB781" s="24"/>
      <c r="GC781" s="24"/>
      <c r="GD781" s="24"/>
      <c r="GE781" s="24"/>
      <c r="GF781" s="24"/>
      <c r="GG781" s="24"/>
      <c r="GH781" s="24"/>
      <c r="GI781" s="24"/>
      <c r="GJ781"/>
      <c r="GK781"/>
      <c r="GL781"/>
      <c r="GM781"/>
      <c r="GN781"/>
      <c r="GO781"/>
      <c r="GP781"/>
      <c r="GQ781"/>
      <c r="GR781"/>
      <c r="GS781"/>
      <c r="GT781"/>
      <c r="GU781"/>
      <c r="GV781"/>
      <c r="GW781"/>
      <c r="GX781"/>
      <c r="GY781"/>
      <c r="GZ781"/>
      <c r="HA781"/>
      <c r="HB781"/>
      <c r="HC781"/>
      <c r="HD781"/>
      <c r="HE781"/>
      <c r="HF781"/>
      <c r="HG781"/>
      <c r="HH781"/>
      <c r="HI781"/>
      <c r="HJ781"/>
      <c r="HK781"/>
      <c r="HL781"/>
      <c r="HM781"/>
      <c r="HN781"/>
      <c r="HO781"/>
      <c r="HP781"/>
      <c r="HQ781"/>
      <c r="HR781"/>
      <c r="HS781"/>
      <c r="HT781"/>
      <c r="HU781"/>
      <c r="HV781"/>
      <c r="HW781"/>
      <c r="HX781"/>
      <c r="HY781"/>
      <c r="HZ781"/>
      <c r="IA781"/>
      <c r="IB781"/>
      <c r="IC781"/>
      <c r="ID781"/>
      <c r="IE781"/>
      <c r="IF781"/>
      <c r="IG781"/>
      <c r="IH781"/>
      <c r="II781"/>
      <c r="IJ781"/>
      <c r="IK781"/>
      <c r="IL781"/>
      <c r="IM781"/>
      <c r="IN781"/>
      <c r="IO781"/>
      <c r="IP781"/>
      <c r="IQ781"/>
      <c r="IR781"/>
      <c r="IS781"/>
      <c r="IT781"/>
      <c r="IU781"/>
      <c r="IV781"/>
      <c r="IW781"/>
      <c r="IX781"/>
      <c r="IY781"/>
      <c r="IZ781"/>
      <c r="JA781"/>
      <c r="JB781"/>
      <c r="JC781"/>
      <c r="JD781"/>
      <c r="JE781"/>
      <c r="JF781"/>
      <c r="JG781"/>
      <c r="JH781"/>
      <c r="JI781"/>
      <c r="JJ781"/>
      <c r="JK781"/>
      <c r="JL781"/>
      <c r="JM781"/>
      <c r="JN781"/>
    </row>
    <row r="782" spans="1:274" s="342" customFormat="1" ht="6.75" hidden="1" customHeight="1" outlineLevel="1" x14ac:dyDescent="0.2">
      <c r="B782" s="20"/>
      <c r="CT782" s="475"/>
      <c r="CZ782" s="475"/>
      <c r="DE782" s="475"/>
      <c r="DF782" s="475"/>
      <c r="DK782" s="475"/>
      <c r="DL782" s="475"/>
      <c r="DQ782" s="475"/>
      <c r="DR782" s="475"/>
      <c r="DW782" s="475"/>
      <c r="DX782" s="475"/>
      <c r="EC782" s="475"/>
      <c r="ED782" s="475"/>
      <c r="EI782" s="475"/>
      <c r="EJ782" s="475"/>
      <c r="EO782" s="475"/>
      <c r="EP782" s="475"/>
      <c r="EU782" s="475"/>
      <c r="EV782" s="475"/>
      <c r="FA782" s="475"/>
      <c r="FB782" s="475"/>
      <c r="FG782" s="475"/>
      <c r="FH782" s="475"/>
      <c r="FM782" s="475"/>
      <c r="FQ782"/>
      <c r="FR782"/>
      <c r="FS782"/>
      <c r="FT782"/>
      <c r="FU782"/>
      <c r="FV782"/>
      <c r="GB782" s="24"/>
      <c r="GC782" s="24"/>
      <c r="GD782" s="24"/>
      <c r="GE782" s="24"/>
      <c r="GF782" s="24"/>
      <c r="GG782" s="24"/>
      <c r="GH782" s="24"/>
      <c r="GI782" s="24"/>
      <c r="GJ782"/>
      <c r="GK782"/>
      <c r="GL782"/>
      <c r="GM782"/>
      <c r="GN782"/>
      <c r="GO782"/>
      <c r="GP782"/>
      <c r="GQ782"/>
      <c r="GR782"/>
      <c r="GS782"/>
      <c r="GT782"/>
      <c r="GU782"/>
      <c r="GV782"/>
      <c r="GW782"/>
      <c r="GX782"/>
      <c r="GY782"/>
      <c r="GZ782"/>
      <c r="HA782"/>
      <c r="HB782"/>
      <c r="HC782"/>
      <c r="HD782"/>
      <c r="HE782"/>
      <c r="HF782"/>
      <c r="HG782"/>
      <c r="HH782"/>
      <c r="HI782"/>
      <c r="HJ782"/>
      <c r="HK782"/>
      <c r="HL782"/>
      <c r="HM782"/>
      <c r="HN782"/>
      <c r="HO782"/>
      <c r="HP782"/>
      <c r="HQ782"/>
      <c r="HR782"/>
      <c r="HS782"/>
      <c r="HT782"/>
      <c r="HU782"/>
      <c r="HV782"/>
      <c r="HW782"/>
      <c r="HX782"/>
      <c r="HY782"/>
      <c r="HZ782"/>
      <c r="IA782"/>
      <c r="IB782"/>
      <c r="IC782"/>
      <c r="ID782"/>
      <c r="IE782"/>
      <c r="IF782"/>
      <c r="IG782"/>
      <c r="IH782"/>
      <c r="II782"/>
      <c r="IJ782"/>
      <c r="IK782"/>
      <c r="IL782"/>
      <c r="IM782"/>
      <c r="IN782"/>
      <c r="IO782"/>
      <c r="IP782"/>
      <c r="IQ782"/>
      <c r="IR782"/>
      <c r="IS782"/>
      <c r="IT782"/>
      <c r="IU782"/>
      <c r="IV782"/>
      <c r="IW782"/>
      <c r="IX782"/>
      <c r="IY782"/>
      <c r="IZ782"/>
      <c r="JA782"/>
      <c r="JB782"/>
      <c r="JC782"/>
      <c r="JD782"/>
      <c r="JE782"/>
      <c r="JF782"/>
      <c r="JG782"/>
      <c r="JH782"/>
      <c r="JI782"/>
      <c r="JJ782"/>
      <c r="JK782"/>
      <c r="JL782"/>
      <c r="JM782"/>
      <c r="JN782"/>
    </row>
    <row r="783" spans="1:274" s="342" customFormat="1" hidden="1" outlineLevel="1" x14ac:dyDescent="0.2">
      <c r="A783" s="342" t="s">
        <v>80</v>
      </c>
      <c r="B783" s="20"/>
      <c r="AW783" s="788">
        <f>AW777/AW780*1000000</f>
        <v>121347.63948497856</v>
      </c>
      <c r="BC783" s="788">
        <f>BC777/BC780*1000000</f>
        <v>104996.09105541505</v>
      </c>
      <c r="BI783" s="788">
        <f>BI777/BI780*1000000</f>
        <v>83478.075517661389</v>
      </c>
      <c r="BO783" s="788">
        <f>BO777/BO780*1000000</f>
        <v>87552.114353782017</v>
      </c>
      <c r="BU783" s="788">
        <f>BU777/BU780*1000000</f>
        <v>119234.85653560043</v>
      </c>
      <c r="CA783" s="788">
        <f>CA777/CA780*1000000</f>
        <v>88017.917133258685</v>
      </c>
      <c r="CG783" s="788">
        <f>CG777/CG780*1000000</f>
        <v>89144.736842105267</v>
      </c>
      <c r="CM783" s="788">
        <f>CM777/CM780*1000000</f>
        <v>82318.245928965247</v>
      </c>
      <c r="CS783" s="788">
        <f>CS777/CS780*1000000</f>
        <v>88872.832369942204</v>
      </c>
      <c r="CT783" s="475"/>
      <c r="CY783" s="788">
        <f>CY777/CY780*1000000</f>
        <v>86375</v>
      </c>
      <c r="CZ783" s="475"/>
      <c r="DE783" s="114">
        <f>DE777/DE780*1000000</f>
        <v>65083.333333333343</v>
      </c>
      <c r="DF783" s="475"/>
      <c r="DK783" s="114">
        <f>DK777/DK780*1000000</f>
        <v>82500</v>
      </c>
      <c r="DL783" s="475"/>
      <c r="DQ783" s="114">
        <f>DQ777/DQ780*1000000</f>
        <v>87636.363636363632</v>
      </c>
      <c r="DR783" s="475"/>
      <c r="DW783" s="114">
        <f>DW777/DW780*1000000</f>
        <v>82454.545454545456</v>
      </c>
      <c r="DX783" s="475"/>
      <c r="EC783" s="114">
        <f>EC777/EC780*1000000</f>
        <v>78818.181818181809</v>
      </c>
      <c r="ED783" s="475"/>
      <c r="EI783" s="114">
        <f>EI777/EI780*1000000</f>
        <v>71538.461538461532</v>
      </c>
      <c r="EJ783" s="475"/>
      <c r="EO783" s="114">
        <f>EO777/EO780*1000000</f>
        <v>79692.307692307688</v>
      </c>
      <c r="EP783" s="475"/>
      <c r="EU783" s="114">
        <f>EU777/EU780*1000000</f>
        <v>80384.61538461539</v>
      </c>
      <c r="EV783" s="475"/>
      <c r="FA783" s="114">
        <f>FA777/FA780*1000000</f>
        <v>58.913919921455083</v>
      </c>
      <c r="FB783" s="475"/>
      <c r="FG783" s="114">
        <f>FG777/FG780*1000000</f>
        <v>56.621511404973774</v>
      </c>
      <c r="FH783" s="475"/>
      <c r="FM783" s="114">
        <f>FM777/FM780*1000000</f>
        <v>54.451885474333594</v>
      </c>
      <c r="FQ783"/>
      <c r="FR783"/>
      <c r="FS783"/>
      <c r="FT783"/>
      <c r="FU783"/>
      <c r="FV783"/>
      <c r="GB783" s="24"/>
      <c r="GC783" s="24"/>
      <c r="GD783" s="24"/>
      <c r="GE783" s="24"/>
      <c r="GF783" s="24"/>
      <c r="GG783" s="24"/>
      <c r="GH783" s="24"/>
      <c r="GI783" s="24"/>
      <c r="GJ783"/>
      <c r="GK783"/>
      <c r="GL783"/>
      <c r="GM783"/>
      <c r="GN783"/>
      <c r="GO783"/>
      <c r="GP783"/>
      <c r="GQ783"/>
      <c r="GR783"/>
      <c r="GS783"/>
      <c r="GT783"/>
      <c r="GU783"/>
      <c r="GV783"/>
      <c r="GW783"/>
      <c r="GX783"/>
      <c r="GY783"/>
      <c r="GZ783"/>
      <c r="HA783"/>
      <c r="HB783"/>
      <c r="HC783"/>
      <c r="HD783"/>
      <c r="HE783"/>
      <c r="HF783"/>
      <c r="HG783"/>
      <c r="HH783"/>
      <c r="HI783"/>
      <c r="HJ783"/>
      <c r="HK783"/>
      <c r="HL783"/>
      <c r="HM783"/>
      <c r="HN783"/>
      <c r="HO783"/>
      <c r="HP783"/>
      <c r="HQ783"/>
      <c r="HR783"/>
      <c r="HS783"/>
      <c r="HT783"/>
      <c r="HU783"/>
      <c r="HV783"/>
      <c r="HW783"/>
      <c r="HX783"/>
      <c r="HY783"/>
      <c r="HZ783"/>
      <c r="IA783"/>
      <c r="IB783"/>
      <c r="IC783"/>
      <c r="ID783"/>
      <c r="IE783"/>
      <c r="IF783"/>
      <c r="IG783"/>
      <c r="IH783"/>
      <c r="II783"/>
      <c r="IJ783"/>
      <c r="IK783"/>
      <c r="IL783"/>
      <c r="IM783"/>
      <c r="IN783"/>
      <c r="IO783"/>
      <c r="IP783"/>
      <c r="IQ783"/>
      <c r="IR783"/>
      <c r="IS783"/>
      <c r="IT783"/>
      <c r="IU783"/>
      <c r="IV783"/>
      <c r="IW783"/>
      <c r="IX783"/>
      <c r="IY783"/>
      <c r="IZ783"/>
      <c r="JA783"/>
      <c r="JB783"/>
      <c r="JC783"/>
      <c r="JD783"/>
      <c r="JE783"/>
      <c r="JF783"/>
      <c r="JG783"/>
      <c r="JH783"/>
      <c r="JI783"/>
      <c r="JJ783"/>
      <c r="JK783"/>
      <c r="JL783"/>
      <c r="JM783"/>
      <c r="JN783"/>
    </row>
    <row r="784" spans="1:274" s="342" customFormat="1" hidden="1" outlineLevel="1" x14ac:dyDescent="0.2">
      <c r="B784" s="20"/>
      <c r="CI784" s="109">
        <f>SUM(BI684,BO684,BU684,CA684,CG684)</f>
        <v>-219.02708738301035</v>
      </c>
      <c r="CP784" s="109">
        <f>SUM(CO683:CP683)</f>
        <v>-85.38198478621365</v>
      </c>
      <c r="CT784" s="475"/>
      <c r="CZ784" s="475"/>
      <c r="DE784" s="475"/>
      <c r="DF784" s="475"/>
      <c r="DK784" s="475"/>
      <c r="DL784" s="475"/>
      <c r="DQ784" s="475"/>
      <c r="DR784" s="475"/>
      <c r="DW784" s="475"/>
      <c r="DX784" s="475"/>
      <c r="DY784" s="475"/>
      <c r="DZ784" s="475"/>
      <c r="EA784" s="475"/>
      <c r="EB784" s="475"/>
      <c r="EC784" s="475"/>
      <c r="ED784" s="475"/>
      <c r="EE784" s="475"/>
      <c r="EF784" s="475"/>
      <c r="EG784" s="475"/>
      <c r="EH784" s="475"/>
      <c r="EI784" s="475"/>
      <c r="EJ784" s="475"/>
      <c r="EK784" s="475"/>
      <c r="EL784" s="475"/>
      <c r="EM784" s="475"/>
      <c r="EN784" s="475"/>
      <c r="EO784" s="475"/>
      <c r="EP784" s="475"/>
      <c r="EQ784" s="475"/>
      <c r="ER784" s="475"/>
      <c r="ES784" s="475"/>
      <c r="ET784" s="475"/>
      <c r="EU784" s="475"/>
      <c r="EV784" s="475"/>
      <c r="EW784" s="475"/>
      <c r="EX784" s="475"/>
      <c r="EY784" s="475"/>
      <c r="EZ784" s="475"/>
      <c r="FA784" s="475"/>
      <c r="FB784" s="475"/>
      <c r="FC784" s="475"/>
      <c r="FD784" s="475"/>
      <c r="FE784" s="475"/>
      <c r="FF784" s="475"/>
      <c r="FG784" s="475"/>
      <c r="FH784" s="475"/>
      <c r="FI784" s="475"/>
      <c r="FJ784" s="475"/>
      <c r="FK784" s="475"/>
      <c r="FL784" s="475"/>
      <c r="FM784" s="475"/>
      <c r="FQ784"/>
      <c r="FR784"/>
      <c r="FS784"/>
      <c r="FT784"/>
      <c r="FU784"/>
      <c r="FV784"/>
      <c r="GB784" s="24"/>
      <c r="GC784" s="24"/>
      <c r="GD784" s="24"/>
      <c r="GE784" s="24"/>
      <c r="GF784" s="24"/>
      <c r="GG784" s="24"/>
      <c r="GH784" s="24"/>
      <c r="GI784" s="24"/>
      <c r="GJ784"/>
      <c r="GK784"/>
      <c r="GL784"/>
      <c r="GM784"/>
      <c r="GN784"/>
      <c r="GO784"/>
      <c r="GP784"/>
      <c r="GQ784"/>
      <c r="GR784"/>
      <c r="GS784"/>
      <c r="GT784"/>
      <c r="GU784"/>
      <c r="GV784"/>
      <c r="GW784"/>
      <c r="GX784"/>
      <c r="GY784"/>
      <c r="GZ784"/>
      <c r="HA784"/>
      <c r="HB784"/>
      <c r="HC784"/>
      <c r="HD784"/>
      <c r="HE784"/>
      <c r="HF784"/>
      <c r="HG784"/>
      <c r="HH784"/>
      <c r="HI784"/>
      <c r="HJ784"/>
      <c r="HK784"/>
      <c r="HL784"/>
      <c r="HM784"/>
      <c r="HN784"/>
      <c r="HO784"/>
      <c r="HP784"/>
      <c r="HQ784"/>
      <c r="HR784"/>
      <c r="HS784"/>
      <c r="HT784"/>
      <c r="HU784"/>
      <c r="HV784"/>
      <c r="HW784"/>
      <c r="HX784"/>
      <c r="HY784"/>
      <c r="HZ784"/>
      <c r="IA784"/>
      <c r="IB784"/>
      <c r="IC784"/>
      <c r="ID784"/>
      <c r="IE784"/>
      <c r="IF784"/>
      <c r="IG784"/>
      <c r="IH784"/>
      <c r="II784"/>
      <c r="IJ784"/>
      <c r="IK784"/>
      <c r="IL784"/>
      <c r="IM784"/>
      <c r="IN784"/>
      <c r="IO784"/>
      <c r="IP784"/>
      <c r="IQ784"/>
      <c r="IR784"/>
      <c r="IS784"/>
      <c r="IT784"/>
      <c r="IU784"/>
      <c r="IV784"/>
      <c r="IW784"/>
      <c r="IX784"/>
      <c r="IY784"/>
      <c r="IZ784"/>
      <c r="JA784"/>
      <c r="JB784"/>
      <c r="JC784"/>
      <c r="JD784"/>
      <c r="JE784"/>
      <c r="JF784"/>
      <c r="JG784"/>
      <c r="JH784"/>
      <c r="JI784"/>
      <c r="JJ784"/>
      <c r="JK784"/>
      <c r="JL784"/>
      <c r="JM784"/>
      <c r="JN784"/>
    </row>
    <row r="785" spans="1:274" s="342" customFormat="1" hidden="1" outlineLevel="1" x14ac:dyDescent="0.2">
      <c r="B785" s="20"/>
      <c r="CI785" s="109">
        <f>SUM(CG685,CA685,BU685,BO685,BI685)</f>
        <v>630.13111824697557</v>
      </c>
      <c r="CP785" s="109">
        <f>SUM(CO684:CP684)</f>
        <v>248.9201129715529</v>
      </c>
      <c r="CT785" s="475"/>
      <c r="CZ785" s="475"/>
      <c r="DE785" s="475"/>
      <c r="DF785" s="475"/>
      <c r="DK785" s="475"/>
      <c r="DL785" s="475"/>
      <c r="DQ785" s="475"/>
      <c r="DR785" s="475"/>
      <c r="DW785" s="475"/>
      <c r="DX785" s="475"/>
      <c r="DY785" s="475"/>
      <c r="DZ785" s="475"/>
      <c r="EA785" s="475"/>
      <c r="EB785" s="475"/>
      <c r="EC785" s="475"/>
      <c r="ED785" s="475"/>
      <c r="EE785" s="475"/>
      <c r="EF785" s="475"/>
      <c r="EG785" s="475"/>
      <c r="EH785" s="475"/>
      <c r="EI785" s="475"/>
      <c r="EJ785" s="475"/>
      <c r="EK785" s="475"/>
      <c r="EL785" s="475"/>
      <c r="EM785" s="475"/>
      <c r="EN785" s="475"/>
      <c r="EO785" s="475"/>
      <c r="EP785" s="475"/>
      <c r="EQ785" s="475"/>
      <c r="ER785" s="475"/>
      <c r="ES785" s="475"/>
      <c r="ET785" s="475"/>
      <c r="EU785" s="475"/>
      <c r="EV785" s="475"/>
      <c r="EW785" s="475"/>
      <c r="EX785" s="475"/>
      <c r="EY785" s="475"/>
      <c r="EZ785" s="475"/>
      <c r="FA785" s="475"/>
      <c r="FB785" s="475"/>
      <c r="FC785" s="475"/>
      <c r="FD785" s="475"/>
      <c r="FE785" s="475"/>
      <c r="FF785" s="475"/>
      <c r="FG785" s="475"/>
      <c r="FH785" s="475"/>
      <c r="FI785" s="475"/>
      <c r="FJ785" s="475"/>
      <c r="FK785" s="475"/>
      <c r="FL785" s="475"/>
      <c r="FM785" s="475"/>
      <c r="FQ785"/>
      <c r="FR785"/>
      <c r="FS785"/>
      <c r="FT785"/>
      <c r="FU785"/>
      <c r="FV785"/>
      <c r="GB785" s="24"/>
      <c r="GC785" s="24"/>
      <c r="GD785" s="24"/>
      <c r="GE785" s="24"/>
      <c r="GF785" s="24"/>
      <c r="GG785" s="24"/>
      <c r="GH785" s="24"/>
      <c r="GI785" s="24"/>
      <c r="GJ785"/>
      <c r="GK785"/>
      <c r="GL785"/>
      <c r="GM785"/>
      <c r="GN785"/>
      <c r="GO785"/>
      <c r="GP785"/>
      <c r="GQ785"/>
      <c r="GR785"/>
      <c r="GS785"/>
      <c r="GT785"/>
      <c r="GU785"/>
      <c r="GV785"/>
      <c r="GW785"/>
      <c r="GX785"/>
      <c r="GY785"/>
      <c r="GZ785"/>
      <c r="HA785"/>
      <c r="HB785"/>
      <c r="HC785"/>
      <c r="HD785"/>
      <c r="HE785"/>
      <c r="HF785"/>
      <c r="HG785"/>
      <c r="HH785"/>
      <c r="HI785"/>
      <c r="HJ785"/>
      <c r="HK785"/>
      <c r="HL785"/>
      <c r="HM785"/>
      <c r="HN785"/>
      <c r="HO785"/>
      <c r="HP785"/>
      <c r="HQ785"/>
      <c r="HR785"/>
      <c r="HS785"/>
      <c r="HT785"/>
      <c r="HU785"/>
      <c r="HV785"/>
      <c r="HW785"/>
      <c r="HX785"/>
      <c r="HY785"/>
      <c r="HZ785"/>
      <c r="IA785"/>
      <c r="IB785"/>
      <c r="IC785"/>
      <c r="ID785"/>
      <c r="IE785"/>
      <c r="IF785"/>
      <c r="IG785"/>
      <c r="IH785"/>
      <c r="II785"/>
      <c r="IJ785"/>
      <c r="IK785"/>
      <c r="IL785"/>
      <c r="IM785"/>
      <c r="IN785"/>
      <c r="IO785"/>
      <c r="IP785"/>
      <c r="IQ785"/>
      <c r="IR785"/>
      <c r="IS785"/>
      <c r="IT785"/>
      <c r="IU785"/>
      <c r="IV785"/>
      <c r="IW785"/>
      <c r="IX785"/>
      <c r="IY785"/>
      <c r="IZ785"/>
      <c r="JA785"/>
      <c r="JB785"/>
      <c r="JC785"/>
      <c r="JD785"/>
      <c r="JE785"/>
      <c r="JF785"/>
      <c r="JG785"/>
      <c r="JH785"/>
      <c r="JI785"/>
      <c r="JJ785"/>
      <c r="JK785"/>
      <c r="JL785"/>
      <c r="JM785"/>
      <c r="JN785"/>
    </row>
    <row r="786" spans="1:274" s="342" customFormat="1" hidden="1" outlineLevel="1" x14ac:dyDescent="0.2">
      <c r="B786" s="20"/>
      <c r="CI786" s="43">
        <f>CI715/CI785</f>
        <v>1.3475897016359764</v>
      </c>
      <c r="CP786" s="109">
        <f>SUM(CO630:CP630)</f>
        <v>138.02650013969222</v>
      </c>
      <c r="CQ786" s="342">
        <f>CP786/CP785</f>
        <v>0.5545011951503741</v>
      </c>
      <c r="CT786" s="475"/>
      <c r="CZ786" s="475"/>
      <c r="DE786" s="475"/>
      <c r="DF786" s="475"/>
      <c r="DK786" s="475"/>
      <c r="DL786" s="475"/>
      <c r="DQ786" s="475"/>
      <c r="DR786" s="475"/>
      <c r="DS786" s="475"/>
      <c r="DT786" s="475"/>
      <c r="DU786" s="475"/>
      <c r="DV786" s="475"/>
      <c r="DW786" s="475"/>
      <c r="DX786" s="475"/>
      <c r="DY786" s="475"/>
      <c r="DZ786" s="475"/>
      <c r="EA786" s="475"/>
      <c r="EB786" s="475"/>
      <c r="EC786" s="475"/>
      <c r="ED786" s="475"/>
      <c r="EE786" s="475"/>
      <c r="EF786" s="475"/>
      <c r="EG786" s="475"/>
      <c r="EH786" s="475"/>
      <c r="EI786" s="475"/>
      <c r="EJ786" s="475"/>
      <c r="EK786" s="475"/>
      <c r="EL786" s="475"/>
      <c r="EM786" s="475"/>
      <c r="EN786" s="475"/>
      <c r="EO786" s="475"/>
      <c r="EP786" s="475"/>
      <c r="EQ786" s="475"/>
      <c r="ER786" s="475"/>
      <c r="ES786" s="475"/>
      <c r="ET786" s="475"/>
      <c r="EU786" s="475"/>
      <c r="EV786" s="475"/>
      <c r="EW786" s="475"/>
      <c r="EX786" s="475"/>
      <c r="EY786" s="475"/>
      <c r="EZ786" s="475"/>
      <c r="FA786" s="475"/>
      <c r="FB786" s="475"/>
      <c r="FC786" s="475"/>
      <c r="FD786" s="475"/>
      <c r="FE786" s="475"/>
      <c r="FF786" s="475"/>
      <c r="FG786" s="475"/>
      <c r="FH786" s="475"/>
      <c r="FI786" s="475"/>
      <c r="FJ786" s="475"/>
      <c r="FK786" s="475"/>
      <c r="FL786" s="475"/>
      <c r="FM786" s="475"/>
      <c r="FQ786"/>
      <c r="FR786"/>
      <c r="FS786"/>
      <c r="FT786"/>
      <c r="FU786"/>
      <c r="FV786"/>
      <c r="GB786" s="24"/>
      <c r="GC786" s="24"/>
      <c r="GD786" s="24"/>
      <c r="GE786" s="24"/>
      <c r="GF786" s="24"/>
      <c r="GG786" s="24"/>
      <c r="GH786" s="24"/>
      <c r="GI786" s="24"/>
      <c r="GJ786"/>
      <c r="GK786"/>
      <c r="GL786"/>
      <c r="GM786"/>
      <c r="GN786"/>
      <c r="GO786"/>
      <c r="GP786"/>
      <c r="GQ786"/>
      <c r="GR786"/>
      <c r="GS786"/>
      <c r="GT786"/>
      <c r="GU786"/>
      <c r="GV786"/>
      <c r="GW786"/>
      <c r="GX786"/>
      <c r="GY786"/>
      <c r="GZ786"/>
      <c r="HA786"/>
      <c r="HB786"/>
      <c r="HC786"/>
      <c r="HD786"/>
      <c r="HE786"/>
      <c r="HF786"/>
      <c r="HG786"/>
      <c r="HH786"/>
      <c r="HI786"/>
      <c r="HJ786"/>
      <c r="HK786"/>
      <c r="HL786"/>
      <c r="HM786"/>
      <c r="HN786"/>
      <c r="HO786"/>
      <c r="HP786"/>
      <c r="HQ786"/>
      <c r="HR786"/>
      <c r="HS786"/>
      <c r="HT786"/>
      <c r="HU786"/>
      <c r="HV786"/>
      <c r="HW786"/>
      <c r="HX786"/>
      <c r="HY786"/>
      <c r="HZ786"/>
      <c r="IA786"/>
      <c r="IB786"/>
      <c r="IC786"/>
      <c r="ID786"/>
      <c r="IE786"/>
      <c r="IF786"/>
      <c r="IG786"/>
      <c r="IH786"/>
      <c r="II786"/>
      <c r="IJ786"/>
      <c r="IK786"/>
      <c r="IL786"/>
      <c r="IM786"/>
      <c r="IN786"/>
      <c r="IO786"/>
      <c r="IP786"/>
      <c r="IQ786"/>
      <c r="IR786"/>
      <c r="IS786"/>
      <c r="IT786"/>
      <c r="IU786"/>
      <c r="IV786"/>
      <c r="IW786"/>
      <c r="IX786"/>
      <c r="IY786"/>
      <c r="IZ786"/>
      <c r="JA786"/>
      <c r="JB786"/>
      <c r="JC786"/>
      <c r="JD786"/>
      <c r="JE786"/>
      <c r="JF786"/>
      <c r="JG786"/>
      <c r="JH786"/>
      <c r="JI786"/>
      <c r="JJ786"/>
      <c r="JK786"/>
      <c r="JL786"/>
      <c r="JM786"/>
      <c r="JN786"/>
    </row>
    <row r="787" spans="1:274" hidden="1" outlineLevel="1" x14ac:dyDescent="0.2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  <c r="AD787" s="24"/>
      <c r="AE787" s="24"/>
      <c r="AF787" s="24"/>
      <c r="AG787" s="24"/>
      <c r="AH787" s="24"/>
      <c r="AI787" s="24"/>
      <c r="AJ787" s="24"/>
      <c r="AK787" s="24"/>
      <c r="AL787" s="24"/>
      <c r="AM787" s="24"/>
      <c r="AN787" s="24"/>
      <c r="AO787" s="24"/>
      <c r="AP787" s="24"/>
      <c r="AQ787" s="24"/>
      <c r="AR787" s="24"/>
      <c r="AS787" s="24"/>
      <c r="AT787" s="24"/>
      <c r="AU787" s="24"/>
      <c r="AV787" s="24"/>
      <c r="AW787" s="24"/>
      <c r="AX787" s="24"/>
      <c r="AY787" s="24"/>
      <c r="AZ787" s="24"/>
      <c r="BA787" s="24"/>
      <c r="BB787" s="24"/>
      <c r="BC787" s="24"/>
      <c r="BD787" s="24"/>
      <c r="BE787" s="24"/>
      <c r="BF787" s="24"/>
      <c r="BG787" s="24"/>
      <c r="BH787" s="24"/>
      <c r="BI787" s="24"/>
      <c r="BJ787" s="24"/>
      <c r="BK787" s="24"/>
      <c r="BL787" s="24"/>
      <c r="BM787" s="24"/>
      <c r="BN787" s="24"/>
      <c r="BO787" s="24"/>
      <c r="BP787" s="24"/>
      <c r="BQ787" s="24"/>
      <c r="BR787" s="24"/>
      <c r="BS787" s="24"/>
      <c r="BT787" s="24"/>
      <c r="BU787" s="24"/>
      <c r="BV787" s="24"/>
      <c r="BW787" s="24"/>
      <c r="BX787" s="24"/>
      <c r="BY787" s="24"/>
      <c r="BZ787" s="24"/>
      <c r="CA787" s="24"/>
      <c r="CB787" s="24"/>
      <c r="CC787" s="24"/>
      <c r="CD787" s="24"/>
      <c r="CE787" s="24"/>
      <c r="CF787" s="24"/>
      <c r="CG787" s="24"/>
      <c r="CH787" s="24"/>
      <c r="CI787" s="24"/>
      <c r="CJ787" s="24"/>
      <c r="CK787" s="24"/>
      <c r="CL787" s="24"/>
      <c r="CM787" s="24"/>
      <c r="CN787" s="24"/>
      <c r="CO787" s="24"/>
      <c r="CP787" s="24"/>
      <c r="CQ787" s="24"/>
      <c r="CR787" s="24"/>
      <c r="CS787" s="24"/>
      <c r="CT787" s="24"/>
      <c r="CU787" s="24"/>
      <c r="CV787" s="24"/>
      <c r="CW787" s="24"/>
      <c r="CX787" s="24"/>
      <c r="CY787" s="24"/>
      <c r="CZ787" s="24"/>
      <c r="DA787" s="24"/>
      <c r="DB787" s="24"/>
      <c r="DC787" s="24"/>
      <c r="DD787" s="24"/>
      <c r="DE787" s="24"/>
      <c r="DF787" s="24"/>
      <c r="DG787" s="24"/>
      <c r="DH787" s="24"/>
      <c r="DI787" s="24"/>
      <c r="DJ787" s="24"/>
      <c r="DK787" s="24"/>
      <c r="DL787" s="24"/>
      <c r="DM787" s="24"/>
      <c r="DN787" s="24"/>
      <c r="DO787" s="24"/>
      <c r="DP787" s="24"/>
      <c r="DQ787" s="24"/>
      <c r="DR787" s="24"/>
      <c r="DS787" s="24"/>
      <c r="DT787" s="24"/>
      <c r="DU787" s="24"/>
      <c r="DV787" s="24"/>
      <c r="DW787" s="24"/>
      <c r="DX787" s="24"/>
      <c r="DY787" s="24"/>
      <c r="DZ787" s="24"/>
      <c r="EA787" s="24"/>
      <c r="EB787" s="24"/>
      <c r="EC787" s="24"/>
      <c r="ED787" s="24"/>
      <c r="EE787" s="24"/>
      <c r="EF787" s="24"/>
      <c r="EG787" s="24"/>
      <c r="EH787" s="24"/>
      <c r="EI787" s="24"/>
      <c r="EJ787" s="24"/>
      <c r="EK787" s="24"/>
      <c r="EL787" s="24"/>
      <c r="EM787" s="24"/>
      <c r="EN787" s="24"/>
      <c r="EO787" s="24"/>
      <c r="EP787" s="24"/>
      <c r="EQ787" s="851"/>
      <c r="ER787" s="851"/>
      <c r="ES787" s="851"/>
      <c r="ET787" s="851"/>
      <c r="EU787" s="24"/>
      <c r="EV787" s="851"/>
      <c r="EW787" s="851"/>
      <c r="EX787" s="851"/>
      <c r="EY787" s="851"/>
      <c r="EZ787" s="851"/>
      <c r="FA787" s="851"/>
      <c r="FB787" s="851"/>
      <c r="FC787" s="851"/>
      <c r="FD787" s="851"/>
      <c r="FE787" s="851"/>
      <c r="FF787" s="851"/>
      <c r="FG787" s="851"/>
      <c r="FH787" s="851"/>
      <c r="FI787" s="851"/>
      <c r="FJ787" s="851"/>
      <c r="FK787" s="851"/>
      <c r="FL787" s="851"/>
      <c r="FM787" s="851"/>
      <c r="FN787" s="24"/>
      <c r="FO787" s="24"/>
      <c r="FP787" s="24"/>
      <c r="FW787" s="24"/>
      <c r="FX787" s="24"/>
      <c r="FY787" s="24"/>
      <c r="FZ787" s="24"/>
      <c r="GA787" s="24"/>
      <c r="GB787" s="24"/>
      <c r="GC787" s="24"/>
      <c r="GD787" s="24"/>
      <c r="GE787" s="24"/>
      <c r="GF787" s="24"/>
      <c r="GG787" s="24"/>
      <c r="GH787" s="24"/>
      <c r="GI787" s="24"/>
    </row>
    <row r="788" spans="1:274" hidden="1" outlineLevel="1" x14ac:dyDescent="0.2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24"/>
      <c r="AB788" s="24"/>
      <c r="AC788" s="24"/>
      <c r="AD788" s="24"/>
      <c r="AE788" s="24"/>
      <c r="AF788" s="24"/>
      <c r="AG788" s="24"/>
      <c r="AH788" s="24"/>
      <c r="AI788" s="24"/>
      <c r="AJ788" s="24"/>
      <c r="AK788" s="24"/>
      <c r="AL788" s="24"/>
      <c r="AM788" s="24"/>
      <c r="AN788" s="24"/>
      <c r="AO788" s="24"/>
      <c r="AP788" s="24"/>
      <c r="AQ788" s="24"/>
      <c r="AR788" s="24"/>
      <c r="AS788" s="24"/>
      <c r="AT788" s="24"/>
      <c r="AU788" s="24"/>
      <c r="AV788" s="24"/>
      <c r="AW788" s="24"/>
      <c r="AX788" s="24"/>
      <c r="AY788" s="24"/>
      <c r="AZ788" s="24"/>
      <c r="BA788" s="24"/>
      <c r="BB788" s="24"/>
      <c r="BC788" s="24"/>
      <c r="BD788" s="24"/>
      <c r="BE788" s="24"/>
      <c r="BF788" s="24"/>
      <c r="BG788" s="24"/>
      <c r="BH788" s="24"/>
      <c r="BI788" s="24"/>
      <c r="BJ788" s="24"/>
      <c r="BK788" s="24"/>
      <c r="BL788" s="24"/>
      <c r="BM788" s="24"/>
      <c r="BN788" s="24"/>
      <c r="BO788" s="24"/>
      <c r="BP788" s="24"/>
      <c r="BQ788" s="24"/>
      <c r="BR788" s="24"/>
      <c r="BS788" s="24"/>
      <c r="BT788" s="24"/>
      <c r="BU788" s="24"/>
      <c r="BV788" s="24"/>
      <c r="BW788" s="24"/>
      <c r="BX788" s="24"/>
      <c r="BY788" s="24"/>
      <c r="BZ788" s="24"/>
      <c r="CA788" s="24"/>
      <c r="CB788" s="24"/>
      <c r="CC788" s="24"/>
      <c r="CD788" s="24"/>
      <c r="CE788" s="24"/>
      <c r="CF788" s="24"/>
      <c r="CG788" s="24"/>
      <c r="CH788" s="24"/>
      <c r="CI788" s="24"/>
      <c r="CJ788" s="24"/>
      <c r="CK788" s="24"/>
      <c r="CL788" s="24"/>
      <c r="CM788" s="24"/>
      <c r="CN788" s="24"/>
      <c r="CO788" s="24"/>
      <c r="CP788" s="24"/>
      <c r="CQ788" s="24"/>
      <c r="CR788" s="24"/>
      <c r="CS788" s="24"/>
      <c r="CT788" s="24"/>
      <c r="CU788" s="24"/>
      <c r="CV788" s="24"/>
      <c r="CW788" s="24"/>
      <c r="CX788" s="24"/>
      <c r="CY788" s="24"/>
      <c r="CZ788" s="24"/>
      <c r="DA788" s="24"/>
      <c r="DB788" s="24"/>
      <c r="DC788" s="24"/>
      <c r="DD788" s="24"/>
      <c r="DE788" s="24"/>
      <c r="DF788" s="24"/>
      <c r="DG788" s="24"/>
      <c r="DH788" s="24"/>
      <c r="DI788" s="24"/>
      <c r="DJ788" s="24"/>
      <c r="DK788" s="24"/>
      <c r="DL788" s="24"/>
      <c r="DQ788" s="24"/>
      <c r="DR788" s="24"/>
      <c r="DS788" s="24"/>
      <c r="DT788" s="24"/>
      <c r="DU788" s="24"/>
      <c r="DV788" s="24"/>
      <c r="DW788" s="24"/>
      <c r="DX788" s="24"/>
      <c r="DY788" s="24"/>
      <c r="DZ788" s="24"/>
      <c r="EA788" s="24"/>
      <c r="EB788" s="24"/>
      <c r="EC788" s="24"/>
      <c r="ED788" s="24"/>
      <c r="EE788" s="24"/>
      <c r="EF788" s="24"/>
      <c r="EG788" s="24"/>
      <c r="EH788" s="24"/>
      <c r="EI788" s="24"/>
      <c r="EJ788" s="24"/>
      <c r="EK788" s="24"/>
      <c r="EL788" s="24"/>
      <c r="EM788" s="24"/>
      <c r="EN788" s="24"/>
      <c r="EO788" s="24"/>
      <c r="EP788" s="24"/>
      <c r="EQ788" s="851"/>
      <c r="ER788" s="851"/>
      <c r="ES788" s="851"/>
      <c r="ET788" s="851"/>
      <c r="EU788" s="24"/>
      <c r="EV788" s="851"/>
      <c r="EW788" s="851"/>
      <c r="EX788" s="851"/>
      <c r="EY788" s="851"/>
      <c r="EZ788" s="851"/>
      <c r="FA788" s="851"/>
      <c r="FB788" s="851"/>
      <c r="FC788" s="851"/>
      <c r="FD788" s="851"/>
      <c r="FE788" s="851"/>
      <c r="FF788" s="851"/>
      <c r="FG788" s="851"/>
      <c r="FH788" s="851"/>
      <c r="FI788" s="851"/>
      <c r="FJ788" s="851"/>
      <c r="FK788" s="851"/>
      <c r="FL788" s="851"/>
      <c r="FM788" s="851"/>
      <c r="FN788" s="24"/>
      <c r="FO788" s="24"/>
      <c r="FP788" s="24"/>
      <c r="FW788" s="24"/>
      <c r="FX788" s="24"/>
      <c r="FY788" s="24"/>
      <c r="FZ788" s="24"/>
      <c r="GA788" s="24"/>
      <c r="GB788" s="24"/>
      <c r="GC788" s="24"/>
      <c r="GD788" s="24"/>
      <c r="GE788" s="24"/>
      <c r="GF788" s="24"/>
      <c r="GG788" s="24"/>
      <c r="GH788" s="24"/>
      <c r="GI788" s="24"/>
    </row>
    <row r="789" spans="1:274" hidden="1" outlineLevel="1" x14ac:dyDescent="0.2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  <c r="AC789" s="24"/>
      <c r="AD789" s="24"/>
      <c r="AE789" s="24"/>
      <c r="AF789" s="24"/>
      <c r="AG789" s="24"/>
      <c r="AH789" s="24"/>
      <c r="AI789" s="24"/>
      <c r="AJ789" s="24"/>
      <c r="AK789" s="24"/>
      <c r="AL789" s="24"/>
      <c r="AM789" s="24"/>
      <c r="AN789" s="24"/>
      <c r="AO789" s="24"/>
      <c r="AP789" s="24"/>
      <c r="AQ789" s="24"/>
      <c r="AR789" s="24"/>
      <c r="AS789" s="24"/>
      <c r="AT789" s="24"/>
      <c r="AU789" s="24"/>
      <c r="AV789" s="24"/>
      <c r="AW789" s="24"/>
      <c r="AX789" s="24"/>
      <c r="AY789" s="24"/>
      <c r="AZ789" s="24"/>
      <c r="BA789" s="24"/>
      <c r="BB789" s="24"/>
      <c r="BC789" s="24"/>
      <c r="BD789" s="24"/>
      <c r="BE789" s="24"/>
      <c r="BF789" s="24"/>
      <c r="BG789" s="24"/>
      <c r="BH789" s="24"/>
      <c r="BI789" s="24"/>
      <c r="BJ789" s="24"/>
      <c r="BK789" s="24"/>
      <c r="BL789" s="24"/>
      <c r="BM789" s="24"/>
      <c r="BN789" s="24"/>
      <c r="BO789" s="24"/>
      <c r="BP789" s="24"/>
      <c r="BQ789" s="24"/>
      <c r="BR789" s="24"/>
      <c r="BS789" s="24"/>
      <c r="BT789" s="24"/>
      <c r="BU789" s="24"/>
      <c r="BV789" s="24"/>
      <c r="BW789" s="24"/>
      <c r="BX789" s="24"/>
      <c r="BY789" s="24"/>
      <c r="BZ789" s="24"/>
      <c r="CA789" s="24"/>
      <c r="CB789" s="24"/>
      <c r="CC789" s="24"/>
      <c r="CD789" s="24"/>
      <c r="CE789" s="24"/>
      <c r="CF789" s="24"/>
      <c r="CG789" s="24"/>
      <c r="CH789" s="24"/>
      <c r="CI789" s="24"/>
      <c r="CJ789" s="24"/>
      <c r="CK789" s="24"/>
      <c r="CL789" s="24"/>
      <c r="CM789" s="24"/>
      <c r="CN789" s="24"/>
      <c r="CO789" s="24"/>
      <c r="CP789" s="24"/>
      <c r="CQ789" s="24"/>
      <c r="CR789" s="24"/>
      <c r="CS789" s="24"/>
      <c r="CT789" s="24"/>
      <c r="CU789" s="24"/>
      <c r="CV789" s="24"/>
      <c r="CW789" s="24"/>
      <c r="CX789" s="24"/>
      <c r="CY789" s="24"/>
      <c r="CZ789" s="24"/>
      <c r="DA789" s="24"/>
      <c r="DB789" s="24"/>
      <c r="DC789" s="24"/>
      <c r="DD789" s="24"/>
      <c r="DE789" s="24"/>
      <c r="DF789" s="24"/>
      <c r="DG789" s="24"/>
      <c r="DH789" s="24"/>
      <c r="DI789" s="24"/>
      <c r="DJ789" s="24"/>
      <c r="DK789" s="24"/>
      <c r="DL789" s="24"/>
      <c r="DQ789" s="24"/>
      <c r="DR789" s="24"/>
      <c r="DS789" s="24"/>
      <c r="DT789" s="24"/>
      <c r="DU789" s="24"/>
      <c r="DV789" s="24"/>
      <c r="DW789" s="24"/>
      <c r="DX789" s="24"/>
      <c r="DY789" s="24"/>
      <c r="DZ789" s="24"/>
      <c r="EA789" s="24"/>
      <c r="EB789" s="24"/>
      <c r="EC789" s="24"/>
      <c r="ED789" s="24"/>
      <c r="EE789" s="24"/>
      <c r="EF789" s="24"/>
      <c r="EG789" s="24"/>
      <c r="EH789" s="24"/>
      <c r="EI789" s="24"/>
      <c r="EJ789" s="24"/>
      <c r="EK789" s="24"/>
      <c r="EL789" s="24"/>
      <c r="EM789" s="24"/>
      <c r="EN789" s="24"/>
      <c r="EO789" s="24"/>
      <c r="EP789" s="24"/>
      <c r="EQ789" s="851"/>
      <c r="ER789" s="851"/>
      <c r="ES789" s="851"/>
      <c r="ET789" s="851"/>
      <c r="EU789" s="24"/>
      <c r="EV789" s="851"/>
      <c r="EW789" s="851"/>
      <c r="EX789" s="851"/>
      <c r="EY789" s="851"/>
      <c r="EZ789" s="851"/>
      <c r="FA789" s="851"/>
      <c r="FB789" s="851"/>
      <c r="FC789" s="851"/>
      <c r="FD789" s="851"/>
      <c r="FE789" s="851"/>
      <c r="FF789" s="851"/>
      <c r="FG789" s="851"/>
      <c r="FH789" s="851"/>
      <c r="FI789" s="851"/>
      <c r="FJ789" s="851"/>
      <c r="FK789" s="851"/>
      <c r="FL789" s="851"/>
      <c r="FM789" s="851"/>
      <c r="FN789" s="24"/>
      <c r="FO789" s="24"/>
      <c r="FP789" s="24"/>
      <c r="FW789" s="24"/>
      <c r="FX789" s="24"/>
      <c r="FY789" s="24"/>
      <c r="FZ789" s="24"/>
      <c r="GA789" s="24"/>
      <c r="GB789" s="24"/>
      <c r="GC789" s="24"/>
      <c r="GD789" s="24"/>
      <c r="GE789" s="24"/>
      <c r="GF789" s="24"/>
      <c r="GG789" s="24"/>
      <c r="GH789" s="24"/>
      <c r="GI789" s="24"/>
    </row>
    <row r="790" spans="1:274" hidden="1" outlineLevel="1" x14ac:dyDescent="0.2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  <c r="AC790" s="24"/>
      <c r="AD790" s="24"/>
      <c r="AE790" s="24"/>
      <c r="AF790" s="24"/>
      <c r="AG790" s="24"/>
      <c r="AH790" s="24"/>
      <c r="AI790" s="24"/>
      <c r="AJ790" s="24"/>
      <c r="AK790" s="24"/>
      <c r="AL790" s="24"/>
      <c r="AM790" s="24"/>
      <c r="AN790" s="24"/>
      <c r="AO790" s="24"/>
      <c r="AP790" s="24"/>
      <c r="AQ790" s="24"/>
      <c r="AR790" s="24"/>
      <c r="AS790" s="24"/>
      <c r="AT790" s="24"/>
      <c r="AU790" s="24"/>
      <c r="AV790" s="24"/>
      <c r="AW790" s="24"/>
      <c r="AX790" s="24"/>
      <c r="AY790" s="24"/>
      <c r="AZ790" s="24"/>
      <c r="BA790" s="24"/>
      <c r="BB790" s="24"/>
      <c r="BC790" s="24"/>
      <c r="BD790" s="24"/>
      <c r="BE790" s="24"/>
      <c r="BF790" s="24"/>
      <c r="BG790" s="24"/>
      <c r="BH790" s="24"/>
      <c r="BI790" s="24"/>
      <c r="BJ790" s="24"/>
      <c r="BK790" s="24"/>
      <c r="BL790" s="24"/>
      <c r="BM790" s="24"/>
      <c r="BN790" s="24"/>
      <c r="BO790" s="24"/>
      <c r="BP790" s="24"/>
      <c r="BQ790" s="24"/>
      <c r="BR790" s="24"/>
      <c r="BS790" s="24"/>
      <c r="BT790" s="24"/>
      <c r="BU790" s="24"/>
      <c r="BV790" s="24"/>
      <c r="BW790" s="24"/>
      <c r="BX790" s="24"/>
      <c r="BY790" s="24"/>
      <c r="BZ790" s="24"/>
      <c r="CA790" s="24"/>
      <c r="CB790" s="24"/>
      <c r="CC790" s="24"/>
      <c r="CD790" s="24"/>
      <c r="CE790" s="24"/>
      <c r="CF790" s="24"/>
      <c r="CG790" s="24"/>
      <c r="CH790" s="24"/>
      <c r="CI790" s="24"/>
      <c r="CJ790" s="24"/>
      <c r="CK790" s="24"/>
      <c r="CL790" s="24"/>
      <c r="CM790" s="24"/>
      <c r="CN790" s="24"/>
      <c r="CO790" s="24"/>
      <c r="CP790" s="24"/>
      <c r="CQ790" s="24"/>
      <c r="CR790" s="24"/>
      <c r="CS790" s="24"/>
      <c r="CT790" s="24"/>
      <c r="CU790" s="24"/>
      <c r="CV790" s="24"/>
      <c r="CW790" s="24"/>
      <c r="CX790" s="24"/>
      <c r="CY790" s="24"/>
      <c r="CZ790" s="24"/>
      <c r="DA790" s="24"/>
      <c r="DB790" s="24"/>
      <c r="DC790" s="24"/>
      <c r="DD790" s="24"/>
      <c r="DE790" s="24"/>
      <c r="DF790" s="24"/>
      <c r="DG790" s="24"/>
      <c r="DH790" s="24"/>
      <c r="DI790" s="24"/>
      <c r="DJ790" s="24"/>
      <c r="DK790" s="24"/>
      <c r="DL790" s="24"/>
      <c r="DQ790" s="24"/>
      <c r="DR790" s="24"/>
      <c r="DS790" s="24"/>
      <c r="DT790" s="24"/>
      <c r="DU790" s="24"/>
      <c r="DV790" s="24"/>
      <c r="DW790" s="24"/>
      <c r="DX790" s="24"/>
      <c r="DY790" s="24"/>
      <c r="DZ790" s="24"/>
      <c r="EA790" s="24"/>
      <c r="EB790" s="24"/>
      <c r="EC790" s="24"/>
      <c r="ED790" s="24"/>
      <c r="EE790" s="24"/>
      <c r="EF790" s="24"/>
      <c r="EG790" s="24"/>
      <c r="EH790" s="24"/>
      <c r="EI790" s="24"/>
      <c r="EJ790" s="24"/>
      <c r="EK790" s="24"/>
      <c r="EL790" s="24"/>
      <c r="EM790" s="24"/>
      <c r="EN790" s="24"/>
      <c r="EO790" s="24"/>
      <c r="EP790" s="24"/>
      <c r="EQ790" s="851"/>
      <c r="ER790" s="851"/>
      <c r="ES790" s="851"/>
      <c r="ET790" s="851"/>
      <c r="EU790" s="24"/>
      <c r="EV790" s="851"/>
      <c r="EW790" s="851"/>
      <c r="EX790" s="851"/>
      <c r="EY790" s="851"/>
      <c r="EZ790" s="851"/>
      <c r="FA790" s="851"/>
      <c r="FB790" s="851"/>
      <c r="FC790" s="851"/>
      <c r="FD790" s="851"/>
      <c r="FE790" s="851"/>
      <c r="FF790" s="851"/>
      <c r="FG790" s="851"/>
      <c r="FH790" s="851"/>
      <c r="FI790" s="851"/>
      <c r="FJ790" s="851"/>
      <c r="FK790" s="851"/>
      <c r="FL790" s="851"/>
      <c r="FM790" s="851"/>
      <c r="FN790" s="24"/>
      <c r="FO790" s="24"/>
      <c r="FP790" s="24"/>
      <c r="FW790" s="24"/>
      <c r="FX790" s="24"/>
      <c r="FY790" s="24"/>
      <c r="FZ790" s="24"/>
      <c r="GA790" s="24"/>
      <c r="GB790" s="24"/>
      <c r="GC790" s="24"/>
      <c r="GD790" s="24"/>
      <c r="GE790" s="24"/>
      <c r="GF790" s="24"/>
      <c r="GG790" s="24"/>
      <c r="GH790" s="24"/>
      <c r="GI790" s="24"/>
    </row>
    <row r="791" spans="1:274" hidden="1" outlineLevel="1" x14ac:dyDescent="0.2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  <c r="AC791" s="24"/>
      <c r="AD791" s="24"/>
      <c r="AE791" s="24"/>
      <c r="AF791" s="24"/>
      <c r="AG791" s="24"/>
      <c r="AH791" s="24"/>
      <c r="AI791" s="24"/>
      <c r="AJ791" s="24"/>
      <c r="AK791" s="24"/>
      <c r="AL791" s="24"/>
      <c r="AM791" s="24"/>
      <c r="AN791" s="24"/>
      <c r="AO791" s="24"/>
      <c r="AP791" s="24"/>
      <c r="AQ791" s="24"/>
      <c r="AR791" s="24"/>
      <c r="AS791" s="24"/>
      <c r="AT791" s="24"/>
      <c r="AU791" s="24"/>
      <c r="AV791" s="24"/>
      <c r="AW791" s="24"/>
      <c r="AX791" s="24"/>
      <c r="AY791" s="24"/>
      <c r="AZ791" s="24"/>
      <c r="BA791" s="24"/>
      <c r="BB791" s="24"/>
      <c r="BC791" s="24"/>
      <c r="BD791" s="24"/>
      <c r="BE791" s="24"/>
      <c r="BF791" s="24"/>
      <c r="BG791" s="24"/>
      <c r="BH791" s="24"/>
      <c r="BI791" s="24"/>
      <c r="BJ791" s="24"/>
      <c r="BK791" s="24"/>
      <c r="BL791" s="24"/>
      <c r="BM791" s="24"/>
      <c r="BN791" s="24"/>
      <c r="BO791" s="24"/>
      <c r="BP791" s="24"/>
      <c r="BQ791" s="24"/>
      <c r="BR791" s="24"/>
      <c r="BS791" s="24"/>
      <c r="BT791" s="24"/>
      <c r="BU791" s="24"/>
      <c r="BV791" s="24"/>
      <c r="BW791" s="24"/>
      <c r="BX791" s="24"/>
      <c r="BY791" s="24"/>
      <c r="BZ791" s="24"/>
      <c r="CA791" s="24"/>
      <c r="CB791" s="24"/>
      <c r="CC791" s="24"/>
      <c r="CD791" s="24"/>
      <c r="CE791" s="24"/>
      <c r="CF791" s="24"/>
      <c r="CG791" s="24"/>
      <c r="CH791" s="24"/>
      <c r="CI791" s="24"/>
      <c r="CJ791" s="24"/>
      <c r="CK791" s="24"/>
      <c r="CL791" s="24"/>
      <c r="CM791" s="24"/>
      <c r="CN791" s="24"/>
      <c r="CO791" s="24"/>
      <c r="CP791" s="24"/>
      <c r="CQ791" s="24"/>
      <c r="CR791" s="24"/>
      <c r="CS791" s="24"/>
      <c r="CT791" s="24"/>
      <c r="CU791" s="24"/>
      <c r="CV791" s="24"/>
      <c r="CW791" s="24"/>
      <c r="CX791" s="24"/>
      <c r="CY791" s="24"/>
      <c r="CZ791" s="24"/>
      <c r="DA791" s="24"/>
      <c r="DB791" s="24"/>
      <c r="DC791" s="24"/>
      <c r="DD791" s="24"/>
      <c r="DE791" s="24"/>
      <c r="DF791" s="24"/>
      <c r="DG791" s="24"/>
      <c r="DH791" s="24"/>
      <c r="DI791" s="24"/>
      <c r="DJ791" s="24"/>
      <c r="DK791" s="24"/>
      <c r="DL791" s="24"/>
      <c r="DQ791" s="24"/>
      <c r="DR791" s="24"/>
      <c r="DS791" s="24"/>
      <c r="DT791" s="24"/>
      <c r="DU791" s="24"/>
      <c r="DV791" s="24"/>
      <c r="DW791" s="24"/>
      <c r="DX791" s="24"/>
      <c r="DY791" s="24"/>
      <c r="DZ791" s="24"/>
      <c r="EA791" s="24"/>
      <c r="EB791" s="24"/>
      <c r="EC791" s="24"/>
      <c r="ED791" s="24"/>
      <c r="EE791" s="24"/>
      <c r="EF791" s="24"/>
      <c r="EG791" s="24"/>
      <c r="EH791" s="24"/>
      <c r="EI791" s="24"/>
      <c r="EJ791" s="24"/>
      <c r="EK791" s="24"/>
      <c r="EL791" s="24"/>
      <c r="EM791" s="24"/>
      <c r="EN791" s="24"/>
      <c r="EO791" s="24"/>
      <c r="EP791" s="24"/>
      <c r="EQ791" s="851"/>
      <c r="ER791" s="851"/>
      <c r="ES791" s="851"/>
      <c r="ET791" s="851"/>
      <c r="EU791" s="24"/>
      <c r="EV791" s="851"/>
      <c r="EW791" s="851"/>
      <c r="EX791" s="851"/>
      <c r="EY791" s="851"/>
      <c r="EZ791" s="851"/>
      <c r="FA791" s="851"/>
      <c r="FB791" s="851"/>
      <c r="FC791" s="851"/>
      <c r="FD791" s="851"/>
      <c r="FE791" s="851"/>
      <c r="FF791" s="851"/>
      <c r="FG791" s="851"/>
      <c r="FH791" s="851"/>
      <c r="FI791" s="851"/>
      <c r="FJ791" s="851"/>
      <c r="FK791" s="851"/>
      <c r="FL791" s="851"/>
      <c r="FM791" s="851"/>
      <c r="FN791" s="24"/>
      <c r="FO791" s="24"/>
      <c r="FP791" s="24"/>
      <c r="FW791" s="24"/>
      <c r="FX791" s="24"/>
      <c r="FY791" s="24"/>
      <c r="FZ791" s="24"/>
      <c r="GA791" s="24"/>
      <c r="GB791" s="24"/>
      <c r="GC791" s="24"/>
      <c r="GD791" s="24"/>
      <c r="GE791" s="24"/>
      <c r="GF791" s="24"/>
      <c r="GG791" s="24"/>
      <c r="GH791" s="24"/>
      <c r="GI791" s="24"/>
    </row>
    <row r="792" spans="1:274" hidden="1" outlineLevel="1" x14ac:dyDescent="0.2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24"/>
      <c r="AB792" s="24"/>
      <c r="AC792" s="24"/>
      <c r="AD792" s="24"/>
      <c r="AE792" s="24"/>
      <c r="AF792" s="24"/>
      <c r="AG792" s="24"/>
      <c r="AH792" s="24"/>
      <c r="AI792" s="24"/>
      <c r="AJ792" s="24"/>
      <c r="AK792" s="24"/>
      <c r="AL792" s="24"/>
      <c r="AM792" s="24"/>
      <c r="AN792" s="24"/>
      <c r="AO792" s="24"/>
      <c r="AP792" s="24"/>
      <c r="AQ792" s="24"/>
      <c r="AR792" s="24"/>
      <c r="AS792" s="24"/>
      <c r="AT792" s="24"/>
      <c r="AU792" s="24"/>
      <c r="AV792" s="24"/>
      <c r="AW792" s="24"/>
      <c r="AX792" s="24"/>
      <c r="AY792" s="24"/>
      <c r="AZ792" s="24"/>
      <c r="BA792" s="24"/>
      <c r="BB792" s="24"/>
      <c r="BC792" s="24"/>
      <c r="BD792" s="24"/>
      <c r="BE792" s="24"/>
      <c r="BF792" s="24"/>
      <c r="BG792" s="24"/>
      <c r="BH792" s="24"/>
      <c r="BI792" s="24"/>
      <c r="BJ792" s="24"/>
      <c r="BK792" s="24"/>
      <c r="BL792" s="24"/>
      <c r="BM792" s="24"/>
      <c r="BN792" s="24"/>
      <c r="BO792" s="24"/>
      <c r="BP792" s="24"/>
      <c r="BQ792" s="24"/>
      <c r="BR792" s="24"/>
      <c r="BS792" s="24"/>
      <c r="BT792" s="24"/>
      <c r="BU792" s="24"/>
      <c r="BV792" s="24"/>
      <c r="BW792" s="24"/>
      <c r="BX792" s="24"/>
      <c r="BY792" s="24"/>
      <c r="BZ792" s="24"/>
      <c r="CA792" s="24"/>
      <c r="CB792" s="24"/>
      <c r="CC792" s="24"/>
      <c r="CD792" s="24"/>
      <c r="CE792" s="24"/>
      <c r="CF792" s="24"/>
      <c r="CG792" s="24"/>
      <c r="CH792" s="24"/>
      <c r="CI792" s="24"/>
      <c r="CJ792" s="24"/>
      <c r="CK792" s="24"/>
      <c r="CL792" s="24"/>
      <c r="CM792" s="24"/>
      <c r="CN792" s="24"/>
      <c r="CO792" s="24"/>
      <c r="CP792" s="24"/>
      <c r="CQ792" s="24"/>
      <c r="CR792" s="24"/>
      <c r="CS792" s="24"/>
      <c r="CT792" s="24"/>
      <c r="CU792" s="24"/>
      <c r="CV792" s="24"/>
      <c r="CW792" s="24"/>
      <c r="CX792" s="24"/>
      <c r="CY792" s="24"/>
      <c r="CZ792" s="24"/>
      <c r="DA792" s="24"/>
      <c r="DB792" s="24"/>
      <c r="DC792" s="24"/>
      <c r="DD792" s="24"/>
      <c r="DE792" s="24"/>
      <c r="DF792" s="24"/>
      <c r="DG792" s="24"/>
      <c r="DH792" s="24"/>
      <c r="DI792" s="24"/>
      <c r="DJ792" s="24"/>
      <c r="DK792" s="24"/>
      <c r="DL792" s="24"/>
      <c r="DQ792" s="24"/>
      <c r="DR792" s="24"/>
      <c r="DS792" s="24"/>
      <c r="DT792" s="24"/>
      <c r="DU792" s="24"/>
      <c r="DV792" s="24"/>
      <c r="DW792" s="24"/>
      <c r="DX792" s="24"/>
      <c r="DY792" s="24"/>
      <c r="DZ792" s="24"/>
      <c r="EA792" s="24"/>
      <c r="EB792" s="24"/>
      <c r="EC792" s="24"/>
      <c r="ED792" s="24"/>
      <c r="EE792" s="24"/>
      <c r="EF792" s="24"/>
      <c r="EG792" s="24"/>
      <c r="EH792" s="24"/>
      <c r="EI792" s="24"/>
      <c r="EJ792" s="24"/>
      <c r="EK792" s="24"/>
      <c r="EL792" s="24"/>
      <c r="EM792" s="24"/>
      <c r="EN792" s="24"/>
      <c r="EO792" s="24"/>
      <c r="EP792" s="24"/>
      <c r="EQ792" s="851"/>
      <c r="ER792" s="851"/>
      <c r="ES792" s="851"/>
      <c r="ET792" s="851"/>
      <c r="EU792" s="24"/>
      <c r="EV792" s="851"/>
      <c r="EW792" s="851"/>
      <c r="EX792" s="851"/>
      <c r="EY792" s="851"/>
      <c r="EZ792" s="851"/>
      <c r="FA792" s="851"/>
      <c r="FB792" s="851"/>
      <c r="FC792" s="851"/>
      <c r="FD792" s="851"/>
      <c r="FE792" s="851"/>
      <c r="FF792" s="851"/>
      <c r="FG792" s="851"/>
      <c r="FH792" s="851"/>
      <c r="FI792" s="851"/>
      <c r="FJ792" s="851"/>
      <c r="FK792" s="851"/>
      <c r="FL792" s="851"/>
      <c r="FM792" s="851"/>
      <c r="FN792" s="24"/>
      <c r="FO792" s="24"/>
      <c r="FP792" s="24"/>
      <c r="FW792" s="24"/>
      <c r="FX792" s="24"/>
      <c r="FY792" s="24"/>
      <c r="FZ792" s="24"/>
      <c r="GA792" s="24"/>
      <c r="GB792" s="24"/>
      <c r="GC792" s="24"/>
      <c r="GD792" s="24"/>
      <c r="GE792" s="24"/>
      <c r="GF792" s="24"/>
      <c r="GG792" s="24"/>
      <c r="GH792" s="24"/>
      <c r="GI792" s="24"/>
    </row>
    <row r="793" spans="1:274" hidden="1" outlineLevel="1" x14ac:dyDescent="0.2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24"/>
      <c r="AB793" s="24"/>
      <c r="AC793" s="24"/>
      <c r="AD793" s="24"/>
      <c r="AE793" s="24"/>
      <c r="AF793" s="24"/>
      <c r="AG793" s="24"/>
      <c r="AH793" s="24"/>
      <c r="AI793" s="24"/>
      <c r="AJ793" s="24"/>
      <c r="AK793" s="24"/>
      <c r="AL793" s="24"/>
      <c r="AM793" s="24"/>
      <c r="AN793" s="24"/>
      <c r="AO793" s="24"/>
      <c r="AP793" s="24"/>
      <c r="AQ793" s="24"/>
      <c r="AR793" s="24"/>
      <c r="AS793" s="24"/>
      <c r="AT793" s="24"/>
      <c r="AU793" s="24"/>
      <c r="AV793" s="24"/>
      <c r="AW793" s="24"/>
      <c r="AX793" s="24"/>
      <c r="AY793" s="24"/>
      <c r="AZ793" s="24"/>
      <c r="BA793" s="24"/>
      <c r="BB793" s="24"/>
      <c r="BC793" s="24"/>
      <c r="BD793" s="24"/>
      <c r="BE793" s="24"/>
      <c r="BF793" s="24"/>
      <c r="BG793" s="24"/>
      <c r="BH793" s="24"/>
      <c r="BI793" s="24"/>
      <c r="BJ793" s="24"/>
      <c r="BK793" s="24"/>
      <c r="BL793" s="24"/>
      <c r="BM793" s="24"/>
      <c r="BN793" s="24"/>
      <c r="BO793" s="24"/>
      <c r="BP793" s="24"/>
      <c r="BQ793" s="24"/>
      <c r="BR793" s="24"/>
      <c r="BS793" s="24"/>
      <c r="BT793" s="24"/>
      <c r="BU793" s="24"/>
      <c r="BV793" s="24"/>
      <c r="BW793" s="24"/>
      <c r="BX793" s="24"/>
      <c r="BY793" s="24"/>
      <c r="BZ793" s="24"/>
      <c r="CA793" s="24"/>
      <c r="CB793" s="24"/>
      <c r="CC793" s="24"/>
      <c r="CD793" s="24"/>
      <c r="CE793" s="24"/>
      <c r="CF793" s="24"/>
      <c r="CG793" s="24"/>
      <c r="CH793" s="24"/>
      <c r="CI793" s="24"/>
      <c r="CJ793" s="24"/>
      <c r="CK793" s="24"/>
      <c r="CL793" s="24"/>
      <c r="CM793" s="24"/>
      <c r="CN793" s="24"/>
      <c r="CO793" s="24"/>
      <c r="CP793" s="24"/>
      <c r="CQ793" s="24"/>
      <c r="CR793" s="24"/>
      <c r="CS793" s="24"/>
      <c r="CT793" s="24"/>
      <c r="CU793" s="24"/>
      <c r="CV793" s="24"/>
      <c r="CW793" s="24"/>
      <c r="CX793" s="24"/>
      <c r="CY793" s="24"/>
      <c r="CZ793" s="24"/>
      <c r="DA793" s="24"/>
      <c r="DB793" s="24"/>
      <c r="DC793" s="24"/>
      <c r="DD793" s="24"/>
      <c r="DE793" s="24"/>
      <c r="DF793" s="24"/>
      <c r="DG793" s="24"/>
      <c r="DH793" s="24"/>
      <c r="DI793" s="24"/>
      <c r="DJ793" s="24"/>
      <c r="DK793" s="24"/>
      <c r="DL793" s="24"/>
      <c r="DQ793" s="24"/>
      <c r="DR793" s="24"/>
      <c r="DS793" s="24"/>
      <c r="DT793" s="24"/>
      <c r="DU793" s="24"/>
      <c r="DV793" s="24"/>
      <c r="DW793" s="24"/>
      <c r="DX793" s="24"/>
      <c r="DY793" s="24"/>
      <c r="DZ793" s="24"/>
      <c r="EA793" s="24"/>
      <c r="EB793" s="24"/>
      <c r="EC793" s="24"/>
      <c r="ED793" s="24"/>
      <c r="EE793" s="24"/>
      <c r="EF793" s="24"/>
      <c r="EG793" s="24"/>
      <c r="EH793" s="24"/>
      <c r="EI793" s="24"/>
      <c r="EJ793" s="24"/>
      <c r="EK793" s="24"/>
      <c r="EL793" s="24"/>
      <c r="EM793" s="24"/>
      <c r="EN793" s="24"/>
      <c r="EO793" s="24"/>
      <c r="EP793" s="24"/>
      <c r="EQ793" s="851"/>
      <c r="ER793" s="851"/>
      <c r="ES793" s="851"/>
      <c r="ET793" s="851"/>
      <c r="EU793" s="24"/>
      <c r="EV793" s="851"/>
      <c r="EW793" s="851"/>
      <c r="EX793" s="851"/>
      <c r="EY793" s="851"/>
      <c r="EZ793" s="851"/>
      <c r="FA793" s="851"/>
      <c r="FB793" s="851"/>
      <c r="FC793" s="851"/>
      <c r="FD793" s="851"/>
      <c r="FE793" s="851"/>
      <c r="FF793" s="851"/>
      <c r="FG793" s="851"/>
      <c r="FH793" s="851"/>
      <c r="FI793" s="851"/>
      <c r="FJ793" s="851"/>
      <c r="FK793" s="851"/>
      <c r="FL793" s="851"/>
      <c r="FM793" s="851"/>
      <c r="FN793" s="24"/>
      <c r="FO793" s="24"/>
      <c r="FP793" s="24"/>
      <c r="FW793" s="24"/>
      <c r="FX793" s="24"/>
      <c r="FY793" s="24"/>
      <c r="FZ793" s="24"/>
      <c r="GA793" s="24"/>
      <c r="GB793" s="24"/>
      <c r="GC793" s="24"/>
      <c r="GD793" s="24"/>
      <c r="GE793" s="24"/>
      <c r="GF793" s="24"/>
      <c r="GG793" s="24"/>
      <c r="GH793" s="24"/>
      <c r="GI793" s="24"/>
    </row>
    <row r="794" spans="1:274" collapsed="1" x14ac:dyDescent="0.2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  <c r="AC794" s="24"/>
      <c r="AD794" s="24"/>
      <c r="AE794" s="24"/>
      <c r="AF794" s="24"/>
      <c r="AG794" s="24"/>
      <c r="AH794" s="24"/>
      <c r="AI794" s="24"/>
      <c r="AJ794" s="24"/>
      <c r="AK794" s="24"/>
      <c r="AL794" s="24"/>
      <c r="AM794" s="24"/>
      <c r="AN794" s="24"/>
      <c r="AO794" s="24"/>
      <c r="AP794" s="24"/>
      <c r="AQ794" s="24"/>
      <c r="AR794" s="24"/>
      <c r="AS794" s="24"/>
      <c r="AT794" s="24"/>
      <c r="AU794" s="24"/>
      <c r="AV794" s="24"/>
      <c r="AW794" s="24"/>
      <c r="AX794" s="24"/>
      <c r="AY794" s="24"/>
      <c r="AZ794" s="24"/>
      <c r="BA794" s="24"/>
      <c r="BB794" s="24"/>
      <c r="BC794" s="24"/>
      <c r="BD794" s="24"/>
      <c r="BE794" s="24"/>
      <c r="BF794" s="24"/>
      <c r="BG794" s="24"/>
      <c r="BH794" s="24"/>
      <c r="BI794" s="24"/>
      <c r="BJ794" s="24"/>
      <c r="BK794" s="24"/>
      <c r="BL794" s="24"/>
      <c r="BM794" s="24"/>
      <c r="BN794" s="24"/>
      <c r="BO794" s="24"/>
      <c r="BP794" s="24"/>
      <c r="BQ794" s="24"/>
      <c r="BR794" s="24"/>
      <c r="BS794" s="24"/>
      <c r="BT794" s="24"/>
      <c r="BU794" s="24"/>
      <c r="BV794" s="24"/>
      <c r="BW794" s="24"/>
      <c r="BX794" s="24"/>
      <c r="BY794" s="24"/>
      <c r="BZ794" s="24"/>
      <c r="CA794" s="24"/>
      <c r="CB794" s="24"/>
      <c r="CC794" s="24"/>
      <c r="CD794" s="24"/>
      <c r="CE794" s="24"/>
      <c r="CF794" s="24"/>
      <c r="CG794" s="24"/>
      <c r="CH794" s="24"/>
      <c r="CI794" s="24"/>
      <c r="CJ794" s="24"/>
      <c r="CK794" s="24"/>
      <c r="CL794" s="24"/>
      <c r="CM794" s="24"/>
      <c r="CN794" s="24"/>
      <c r="CO794" s="24"/>
      <c r="CP794" s="24"/>
      <c r="CQ794" s="24"/>
      <c r="CR794" s="24"/>
      <c r="CS794" s="24"/>
      <c r="CT794" s="24"/>
      <c r="CU794" s="24"/>
      <c r="CV794" s="24"/>
      <c r="CW794" s="24"/>
      <c r="CX794" s="24"/>
      <c r="CY794" s="24"/>
      <c r="CZ794" s="24"/>
      <c r="DA794" s="24"/>
      <c r="DB794" s="24"/>
      <c r="DC794" s="24"/>
      <c r="DD794" s="24"/>
      <c r="DE794" s="24"/>
      <c r="DF794" s="24"/>
      <c r="DG794" s="24"/>
      <c r="DH794" s="24"/>
      <c r="DI794" s="24"/>
      <c r="DJ794" s="24"/>
      <c r="DK794" s="24"/>
      <c r="DL794" s="24"/>
      <c r="DQ794" s="24"/>
      <c r="DR794" s="24"/>
      <c r="DS794" s="24"/>
      <c r="DT794" s="24"/>
      <c r="DU794" s="24"/>
      <c r="DV794" s="24"/>
      <c r="DW794" s="24"/>
      <c r="DX794" s="24"/>
      <c r="DY794" s="24"/>
      <c r="DZ794" s="24"/>
      <c r="EA794" s="24"/>
      <c r="EB794" s="24"/>
      <c r="EC794" s="24"/>
      <c r="ED794" s="24"/>
      <c r="EE794" s="24"/>
      <c r="EF794" s="24"/>
      <c r="EG794" s="24"/>
      <c r="EH794" s="24"/>
      <c r="EI794" s="24"/>
      <c r="EJ794" s="24"/>
      <c r="EK794" s="24"/>
      <c r="EL794" s="24"/>
      <c r="EM794" s="24"/>
      <c r="EN794" s="24"/>
      <c r="EO794" s="24"/>
      <c r="EP794" s="24"/>
      <c r="EQ794" s="851"/>
      <c r="ER794" s="851"/>
      <c r="ES794" s="851"/>
      <c r="ET794" s="851"/>
      <c r="EU794" s="24"/>
      <c r="EV794" s="851"/>
      <c r="EW794" s="851"/>
      <c r="EX794" s="851"/>
      <c r="EY794" s="851"/>
      <c r="EZ794" s="851"/>
      <c r="FA794" s="851"/>
      <c r="FB794" s="851"/>
      <c r="FC794" s="851"/>
      <c r="FD794" s="851"/>
      <c r="FE794" s="851"/>
      <c r="FF794" s="851"/>
      <c r="FG794" s="851"/>
      <c r="FH794" s="851"/>
      <c r="FI794" s="851"/>
      <c r="FJ794" s="851"/>
      <c r="FK794" s="851"/>
      <c r="FL794" s="851"/>
      <c r="FM794" s="851"/>
      <c r="FN794" s="24"/>
      <c r="FO794" s="24"/>
      <c r="FP794" s="24"/>
      <c r="FW794" s="24"/>
      <c r="FX794" s="24"/>
      <c r="FY794" s="24"/>
      <c r="FZ794" s="24"/>
      <c r="GA794" s="24"/>
      <c r="GB794" s="24"/>
      <c r="GC794" s="24"/>
      <c r="GD794" s="24"/>
      <c r="GE794" s="24"/>
      <c r="GF794" s="24"/>
      <c r="GG794" s="24"/>
      <c r="GH794" s="24"/>
      <c r="GI794" s="24"/>
    </row>
    <row r="795" spans="1:274" x14ac:dyDescent="0.2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  <c r="AC795" s="24"/>
      <c r="AD795" s="24"/>
      <c r="AE795" s="24"/>
      <c r="AF795" s="24"/>
      <c r="AG795" s="24"/>
      <c r="AH795" s="24"/>
      <c r="AI795" s="24"/>
      <c r="AJ795" s="24"/>
      <c r="AK795" s="24"/>
      <c r="AL795" s="24"/>
      <c r="AM795" s="24"/>
      <c r="AN795" s="24"/>
      <c r="AO795" s="24"/>
      <c r="AP795" s="24"/>
      <c r="AQ795" s="24"/>
      <c r="AR795" s="24"/>
      <c r="AS795" s="24"/>
      <c r="AT795" s="24"/>
      <c r="AU795" s="24"/>
      <c r="AV795" s="24"/>
      <c r="AW795" s="24"/>
      <c r="AX795" s="24"/>
      <c r="AY795" s="24"/>
      <c r="AZ795" s="24"/>
      <c r="BA795" s="24"/>
      <c r="BB795" s="24"/>
      <c r="BC795" s="24"/>
      <c r="BD795" s="24"/>
      <c r="BE795" s="24"/>
      <c r="BF795" s="24"/>
      <c r="BG795" s="24"/>
      <c r="BH795" s="24"/>
      <c r="BI795" s="24"/>
      <c r="BJ795" s="24"/>
      <c r="BK795" s="24"/>
      <c r="BL795" s="24"/>
      <c r="BM795" s="24"/>
      <c r="BN795" s="24"/>
      <c r="BO795" s="24"/>
      <c r="BP795" s="24"/>
      <c r="BQ795" s="24"/>
      <c r="BR795" s="24"/>
      <c r="BS795" s="24"/>
      <c r="BT795" s="24"/>
      <c r="BU795" s="24"/>
      <c r="BV795" s="24"/>
      <c r="BW795" s="24"/>
      <c r="BX795" s="24"/>
      <c r="BY795" s="24"/>
      <c r="BZ795" s="24"/>
      <c r="CA795" s="24"/>
      <c r="CB795" s="24"/>
      <c r="CC795" s="24"/>
      <c r="CD795" s="24"/>
      <c r="CE795" s="24"/>
      <c r="CF795" s="24"/>
      <c r="CG795" s="24"/>
      <c r="CH795" s="24"/>
      <c r="CI795" s="24"/>
      <c r="CJ795" s="24"/>
      <c r="CK795" s="24"/>
      <c r="CL795" s="24"/>
      <c r="CM795" s="24"/>
      <c r="CN795" s="24"/>
      <c r="CO795" s="24"/>
      <c r="CP795" s="24"/>
      <c r="CQ795" s="24"/>
      <c r="CR795" s="24"/>
      <c r="CS795" s="24"/>
      <c r="CT795" s="24"/>
      <c r="CU795" s="24"/>
      <c r="CV795" s="24"/>
      <c r="CW795" s="24"/>
      <c r="CX795" s="24"/>
      <c r="CY795" s="24"/>
      <c r="CZ795" s="24"/>
      <c r="DA795" s="24"/>
      <c r="DB795" s="24"/>
      <c r="DC795" s="24"/>
      <c r="DD795" s="24"/>
      <c r="DE795" s="24"/>
      <c r="DF795" s="24"/>
      <c r="DG795" s="24"/>
      <c r="DH795" s="24"/>
      <c r="DI795" s="24"/>
      <c r="DJ795" s="24"/>
      <c r="DK795" s="24"/>
      <c r="DL795" s="24"/>
      <c r="DQ795" s="24"/>
      <c r="DR795" s="24"/>
      <c r="DS795" s="24"/>
      <c r="DT795" s="24"/>
      <c r="DU795" s="24"/>
      <c r="DV795" s="24"/>
      <c r="DW795" s="24"/>
      <c r="DX795" s="24"/>
      <c r="DY795" s="24"/>
      <c r="DZ795" s="24"/>
      <c r="EA795" s="24"/>
      <c r="EB795" s="24"/>
      <c r="EC795" s="24"/>
      <c r="ED795" s="24"/>
      <c r="EE795" s="24"/>
      <c r="EF795" s="24"/>
      <c r="EG795" s="24"/>
      <c r="EH795" s="24"/>
      <c r="EI795" s="24"/>
      <c r="EJ795" s="24"/>
      <c r="EK795" s="24"/>
      <c r="EL795" s="24"/>
      <c r="EM795" s="24"/>
      <c r="EN795" s="24"/>
      <c r="EO795" s="24"/>
      <c r="EP795" s="24"/>
      <c r="EQ795" s="851"/>
      <c r="ER795" s="851"/>
      <c r="ES795" s="851"/>
      <c r="ET795" s="851"/>
      <c r="EU795" s="24"/>
      <c r="EV795" s="851"/>
      <c r="EW795" s="851"/>
      <c r="EX795" s="851"/>
      <c r="EY795" s="851"/>
      <c r="EZ795" s="851"/>
      <c r="FA795" s="851"/>
      <c r="FB795" s="851"/>
      <c r="FC795" s="851"/>
      <c r="FD795" s="851"/>
      <c r="FE795" s="851"/>
      <c r="FF795" s="851"/>
      <c r="FG795" s="851"/>
      <c r="FH795" s="851"/>
      <c r="FI795" s="851"/>
      <c r="FJ795" s="851"/>
      <c r="FK795" s="851"/>
      <c r="FL795" s="851"/>
      <c r="FM795" s="851"/>
      <c r="FN795" s="24"/>
      <c r="FO795" s="24"/>
      <c r="FP795" s="24"/>
      <c r="FW795" s="24"/>
      <c r="FX795" s="24"/>
      <c r="FY795" s="24"/>
      <c r="FZ795" s="24"/>
      <c r="GA795" s="24"/>
      <c r="GB795" s="24"/>
      <c r="GC795" s="24"/>
      <c r="GD795" s="24"/>
      <c r="GE795" s="24"/>
      <c r="GF795" s="24"/>
      <c r="GG795" s="24"/>
      <c r="GH795" s="24"/>
      <c r="GI795" s="24"/>
    </row>
    <row r="796" spans="1:274" x14ac:dyDescent="0.2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  <c r="AC796" s="24"/>
      <c r="AD796" s="24"/>
      <c r="AE796" s="24"/>
      <c r="AF796" s="24"/>
      <c r="AG796" s="24"/>
      <c r="AH796" s="24"/>
      <c r="AI796" s="24"/>
      <c r="AJ796" s="24"/>
      <c r="AK796" s="24"/>
      <c r="AL796" s="24"/>
      <c r="AM796" s="24"/>
      <c r="AN796" s="24"/>
      <c r="AO796" s="24"/>
      <c r="AP796" s="24"/>
      <c r="AQ796" s="24"/>
      <c r="AR796" s="24"/>
      <c r="AS796" s="24"/>
      <c r="AT796" s="24"/>
      <c r="AU796" s="24"/>
      <c r="AV796" s="24"/>
      <c r="AW796" s="24"/>
      <c r="AX796" s="24"/>
      <c r="AY796" s="24"/>
      <c r="AZ796" s="24"/>
      <c r="BA796" s="24"/>
      <c r="BB796" s="24"/>
      <c r="BC796" s="24"/>
      <c r="BD796" s="24"/>
      <c r="BE796" s="24"/>
      <c r="BF796" s="24"/>
      <c r="BG796" s="24"/>
      <c r="BH796" s="24"/>
      <c r="BI796" s="24"/>
      <c r="BJ796" s="24"/>
      <c r="BK796" s="24"/>
      <c r="BL796" s="24"/>
      <c r="BM796" s="24"/>
      <c r="BN796" s="24"/>
      <c r="BO796" s="24"/>
      <c r="BP796" s="24"/>
      <c r="BQ796" s="24"/>
      <c r="BR796" s="24"/>
      <c r="BS796" s="24"/>
      <c r="BT796" s="24"/>
      <c r="BU796" s="24"/>
      <c r="BV796" s="24"/>
      <c r="BW796" s="24"/>
      <c r="BX796" s="24"/>
      <c r="BY796" s="24"/>
      <c r="BZ796" s="24"/>
      <c r="CA796" s="24"/>
      <c r="CB796" s="24"/>
      <c r="CC796" s="24"/>
      <c r="CD796" s="24"/>
      <c r="CE796" s="24"/>
      <c r="CF796" s="24"/>
      <c r="CG796" s="24"/>
      <c r="CH796" s="24"/>
      <c r="CI796" s="24"/>
      <c r="CJ796" s="24"/>
      <c r="CK796" s="24"/>
      <c r="CL796" s="24"/>
      <c r="CM796" s="24"/>
      <c r="CN796" s="24"/>
      <c r="CO796" s="24"/>
      <c r="CP796" s="24"/>
      <c r="CQ796" s="24"/>
      <c r="CR796" s="24"/>
      <c r="CS796" s="24"/>
      <c r="CT796" s="24"/>
      <c r="CU796" s="24"/>
      <c r="CV796" s="24"/>
      <c r="CW796" s="24"/>
      <c r="CX796" s="24"/>
      <c r="CY796" s="24"/>
      <c r="CZ796" s="24"/>
      <c r="DA796" s="24"/>
      <c r="DB796" s="24"/>
      <c r="DC796" s="24"/>
      <c r="DD796" s="24"/>
      <c r="DE796" s="24"/>
      <c r="DF796" s="24"/>
      <c r="DG796" s="24"/>
      <c r="DH796" s="24"/>
      <c r="DI796" s="24"/>
      <c r="DJ796" s="24"/>
      <c r="DK796" s="24"/>
      <c r="DL796" s="24"/>
      <c r="DQ796" s="24"/>
      <c r="DR796" s="24"/>
      <c r="DS796" s="24"/>
      <c r="DT796" s="24"/>
      <c r="DU796" s="24"/>
      <c r="DV796" s="24"/>
      <c r="DW796" s="24"/>
      <c r="DX796" s="24"/>
      <c r="DY796" s="24"/>
      <c r="DZ796" s="24"/>
      <c r="EA796" s="24"/>
      <c r="EB796" s="24"/>
      <c r="EC796" s="24"/>
      <c r="ED796" s="24"/>
      <c r="EE796" s="24"/>
      <c r="EF796" s="24"/>
      <c r="EG796" s="24"/>
      <c r="EH796" s="24"/>
      <c r="EI796" s="24"/>
      <c r="EJ796" s="24"/>
      <c r="EK796" s="24"/>
      <c r="EL796" s="24"/>
      <c r="EM796" s="24"/>
      <c r="EN796" s="24"/>
      <c r="EO796" s="24"/>
      <c r="EP796" s="24"/>
      <c r="EQ796" s="851"/>
      <c r="ER796" s="851"/>
      <c r="ES796" s="851"/>
      <c r="ET796" s="851"/>
      <c r="EU796" s="24"/>
      <c r="EV796" s="851"/>
      <c r="EW796" s="851"/>
      <c r="EX796" s="851"/>
      <c r="EY796" s="851"/>
      <c r="EZ796" s="851"/>
      <c r="FA796" s="851"/>
      <c r="FB796" s="851"/>
      <c r="FC796" s="851"/>
      <c r="FD796" s="851"/>
      <c r="FE796" s="851"/>
      <c r="FF796" s="851"/>
      <c r="FG796" s="851"/>
      <c r="FH796" s="851"/>
      <c r="FI796" s="851"/>
      <c r="FJ796" s="851"/>
      <c r="FK796" s="851"/>
      <c r="FL796" s="851"/>
      <c r="FM796" s="851"/>
      <c r="FN796" s="24"/>
      <c r="FO796" s="24"/>
      <c r="FP796" s="24"/>
      <c r="FW796" s="24"/>
      <c r="FX796" s="24"/>
      <c r="FY796" s="24"/>
      <c r="FZ796" s="24"/>
      <c r="GA796" s="24"/>
      <c r="GB796" s="24"/>
      <c r="GC796" s="24"/>
      <c r="GD796" s="24"/>
      <c r="GE796" s="24"/>
      <c r="GF796" s="24"/>
      <c r="GG796" s="24"/>
      <c r="GH796" s="24"/>
      <c r="GI796" s="24"/>
    </row>
    <row r="797" spans="1:274" x14ac:dyDescent="0.2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  <c r="AA797" s="24"/>
      <c r="AB797" s="24"/>
      <c r="AC797" s="24"/>
      <c r="AD797" s="24"/>
      <c r="AE797" s="24"/>
      <c r="AF797" s="24"/>
      <c r="AG797" s="24"/>
      <c r="AH797" s="24"/>
      <c r="AI797" s="24"/>
      <c r="AJ797" s="24"/>
      <c r="AK797" s="24"/>
      <c r="AL797" s="24"/>
      <c r="AM797" s="24"/>
      <c r="AN797" s="24"/>
      <c r="AO797" s="24"/>
      <c r="AP797" s="24"/>
      <c r="AQ797" s="24"/>
      <c r="AR797" s="24"/>
      <c r="AS797" s="24"/>
      <c r="AT797" s="24"/>
      <c r="AU797" s="24"/>
      <c r="AV797" s="24"/>
      <c r="AW797" s="24"/>
      <c r="AX797" s="24"/>
      <c r="AY797" s="24"/>
      <c r="AZ797" s="24"/>
      <c r="BA797" s="24"/>
      <c r="BB797" s="24"/>
      <c r="BC797" s="24"/>
      <c r="BD797" s="24"/>
      <c r="BE797" s="24"/>
      <c r="BF797" s="24"/>
      <c r="BG797" s="24"/>
      <c r="BH797" s="24"/>
      <c r="BI797" s="24"/>
      <c r="BJ797" s="24"/>
      <c r="BK797" s="24"/>
      <c r="BL797" s="24"/>
      <c r="BM797" s="24"/>
      <c r="BN797" s="24"/>
      <c r="BO797" s="24"/>
      <c r="BP797" s="24"/>
      <c r="BQ797" s="24"/>
      <c r="BR797" s="24"/>
      <c r="BS797" s="24"/>
      <c r="BT797" s="24"/>
      <c r="BU797" s="24"/>
      <c r="BV797" s="24"/>
      <c r="BW797" s="24"/>
      <c r="BX797" s="24"/>
      <c r="BY797" s="24"/>
      <c r="BZ797" s="24"/>
      <c r="CA797" s="24"/>
      <c r="CB797" s="24"/>
      <c r="CC797" s="24"/>
      <c r="CD797" s="24"/>
      <c r="CE797" s="24"/>
      <c r="CF797" s="24"/>
      <c r="CG797" s="24"/>
      <c r="CH797" s="24"/>
      <c r="CI797" s="24"/>
      <c r="CJ797" s="24"/>
      <c r="CK797" s="24"/>
      <c r="CL797" s="24"/>
      <c r="CM797" s="24"/>
      <c r="CN797" s="24"/>
      <c r="CO797" s="24"/>
      <c r="CP797" s="24"/>
      <c r="CQ797" s="24"/>
      <c r="CR797" s="24"/>
      <c r="CS797" s="24"/>
      <c r="CT797" s="24"/>
      <c r="CU797" s="24"/>
      <c r="CV797" s="24"/>
      <c r="CW797" s="24"/>
      <c r="CX797" s="24"/>
      <c r="CY797" s="24"/>
      <c r="CZ797" s="24"/>
      <c r="DA797" s="24"/>
      <c r="DB797" s="24"/>
      <c r="DC797" s="24"/>
      <c r="DD797" s="24"/>
      <c r="DE797" s="24"/>
      <c r="DF797" s="24"/>
      <c r="DG797" s="24"/>
      <c r="DH797" s="24"/>
      <c r="DI797" s="24"/>
      <c r="DJ797" s="24"/>
      <c r="DK797" s="24"/>
      <c r="DL797" s="24"/>
      <c r="DQ797" s="24"/>
      <c r="DR797" s="24"/>
      <c r="DS797" s="24"/>
      <c r="DT797" s="24"/>
      <c r="DU797" s="24"/>
      <c r="DV797" s="24"/>
      <c r="DW797" s="24"/>
      <c r="DX797" s="24"/>
      <c r="DY797" s="24"/>
      <c r="DZ797" s="24"/>
      <c r="EA797" s="24"/>
      <c r="EB797" s="24"/>
      <c r="EC797" s="24"/>
      <c r="ED797" s="24"/>
      <c r="EE797" s="24"/>
      <c r="EF797" s="24"/>
      <c r="EG797" s="24"/>
      <c r="EH797" s="24"/>
      <c r="EI797" s="24"/>
      <c r="EJ797" s="24"/>
      <c r="EK797" s="24"/>
      <c r="EL797" s="24"/>
      <c r="EM797" s="24"/>
      <c r="EN797" s="24"/>
      <c r="EO797" s="24"/>
      <c r="EP797" s="24"/>
      <c r="EQ797" s="851"/>
      <c r="ER797" s="851"/>
      <c r="ES797" s="851"/>
      <c r="ET797" s="851"/>
      <c r="EU797" s="24"/>
      <c r="EV797" s="851"/>
      <c r="EW797" s="851"/>
      <c r="EX797" s="851"/>
      <c r="EY797" s="851"/>
      <c r="EZ797" s="851"/>
      <c r="FA797" s="851"/>
      <c r="FB797" s="851"/>
      <c r="FC797" s="851"/>
      <c r="FD797" s="851"/>
      <c r="FE797" s="851"/>
      <c r="FF797" s="851"/>
      <c r="FG797" s="851"/>
      <c r="FH797" s="851"/>
      <c r="FI797" s="851"/>
      <c r="FJ797" s="851"/>
      <c r="FK797" s="851"/>
      <c r="FL797" s="851"/>
      <c r="FM797" s="851"/>
      <c r="FN797" s="24"/>
      <c r="FO797" s="24"/>
      <c r="FP797" s="24"/>
      <c r="FW797" s="24"/>
      <c r="FX797" s="24"/>
      <c r="FY797" s="24"/>
      <c r="FZ797" s="24"/>
      <c r="GA797" s="24"/>
      <c r="GB797" s="24"/>
      <c r="GC797" s="24"/>
      <c r="GD797" s="24"/>
      <c r="GE797" s="24"/>
      <c r="GF797" s="24"/>
      <c r="GG797" s="24"/>
      <c r="GH797" s="24"/>
      <c r="GI797" s="24"/>
    </row>
    <row r="798" spans="1:274" x14ac:dyDescent="0.2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  <c r="AA798" s="24"/>
      <c r="AB798" s="24"/>
      <c r="AC798" s="24"/>
      <c r="AD798" s="24"/>
      <c r="AE798" s="24"/>
      <c r="AF798" s="24"/>
      <c r="AG798" s="24"/>
      <c r="AH798" s="24"/>
      <c r="AI798" s="24"/>
      <c r="AJ798" s="24"/>
      <c r="AK798" s="24"/>
      <c r="AL798" s="24"/>
      <c r="AM798" s="24"/>
      <c r="AN798" s="24"/>
      <c r="AO798" s="24"/>
      <c r="AP798" s="24"/>
      <c r="AQ798" s="24"/>
      <c r="AR798" s="24"/>
      <c r="AS798" s="24"/>
      <c r="AT798" s="24"/>
      <c r="AU798" s="24"/>
      <c r="AV798" s="24"/>
      <c r="AW798" s="24"/>
      <c r="AX798" s="24"/>
      <c r="AY798" s="24"/>
      <c r="AZ798" s="24"/>
      <c r="BA798" s="24"/>
      <c r="BB798" s="24"/>
      <c r="BC798" s="24"/>
      <c r="BD798" s="24"/>
      <c r="BE798" s="24"/>
      <c r="BF798" s="24"/>
      <c r="BG798" s="24"/>
      <c r="BH798" s="24"/>
      <c r="BI798" s="24"/>
      <c r="BJ798" s="24"/>
      <c r="BK798" s="24"/>
      <c r="BL798" s="24"/>
      <c r="BM798" s="24"/>
      <c r="BN798" s="24"/>
      <c r="BO798" s="24"/>
      <c r="BP798" s="24"/>
      <c r="BQ798" s="24"/>
      <c r="BR798" s="24"/>
      <c r="BS798" s="24"/>
      <c r="BT798" s="24"/>
      <c r="BU798" s="24"/>
      <c r="BV798" s="24"/>
      <c r="BW798" s="24"/>
      <c r="BX798" s="24"/>
      <c r="BY798" s="24"/>
      <c r="BZ798" s="24"/>
      <c r="CA798" s="24"/>
      <c r="CB798" s="24"/>
      <c r="CC798" s="24"/>
      <c r="CD798" s="24"/>
      <c r="CE798" s="24"/>
      <c r="CF798" s="24"/>
      <c r="CG798" s="24"/>
      <c r="CH798" s="24"/>
      <c r="CI798" s="24"/>
      <c r="CJ798" s="24"/>
      <c r="CK798" s="24"/>
      <c r="CL798" s="24"/>
      <c r="CM798" s="24"/>
      <c r="CN798" s="24"/>
      <c r="CO798" s="24"/>
      <c r="CP798" s="24"/>
      <c r="CQ798" s="24"/>
      <c r="CR798" s="24"/>
      <c r="CS798" s="24"/>
      <c r="CT798" s="24"/>
      <c r="CU798" s="24"/>
      <c r="CV798" s="24"/>
      <c r="CW798" s="24"/>
      <c r="CX798" s="24"/>
      <c r="CY798" s="24"/>
      <c r="CZ798" s="24"/>
      <c r="DA798" s="24"/>
      <c r="DB798" s="24"/>
      <c r="DC798" s="24"/>
      <c r="DD798" s="24"/>
      <c r="DE798" s="24"/>
      <c r="DF798" s="24"/>
      <c r="DG798" s="24"/>
      <c r="DH798" s="24"/>
      <c r="DI798" s="24"/>
      <c r="DJ798" s="24"/>
      <c r="DK798" s="24"/>
      <c r="DL798" s="24"/>
      <c r="DQ798" s="24"/>
      <c r="DR798" s="24"/>
      <c r="DS798" s="24"/>
      <c r="DT798" s="24"/>
      <c r="DU798" s="24"/>
      <c r="DV798" s="24"/>
      <c r="DW798" s="24"/>
      <c r="DX798" s="24"/>
      <c r="DY798" s="24"/>
      <c r="DZ798" s="24"/>
      <c r="EA798" s="24"/>
      <c r="EB798" s="24"/>
      <c r="EC798" s="24"/>
      <c r="ED798" s="24"/>
      <c r="EE798" s="24"/>
      <c r="EF798" s="24"/>
      <c r="EG798" s="24"/>
      <c r="EH798" s="24"/>
      <c r="EI798" s="24"/>
      <c r="EJ798" s="24"/>
      <c r="EK798" s="24"/>
      <c r="EL798" s="24"/>
      <c r="EM798" s="24"/>
      <c r="EN798" s="24"/>
      <c r="EO798" s="24"/>
      <c r="EP798" s="24"/>
      <c r="EQ798" s="851"/>
      <c r="ER798" s="851"/>
      <c r="ES798" s="851"/>
      <c r="ET798" s="851"/>
      <c r="EU798" s="24"/>
      <c r="EV798" s="851"/>
      <c r="EW798" s="851"/>
      <c r="EX798" s="851"/>
      <c r="EY798" s="851"/>
      <c r="EZ798" s="851"/>
      <c r="FA798" s="851"/>
      <c r="FB798" s="851"/>
      <c r="FC798" s="851"/>
      <c r="FD798" s="851"/>
      <c r="FE798" s="851"/>
      <c r="FF798" s="851"/>
      <c r="FG798" s="851"/>
      <c r="FH798" s="851"/>
      <c r="FI798" s="851"/>
      <c r="FJ798" s="851"/>
      <c r="FK798" s="851"/>
      <c r="FL798" s="851"/>
      <c r="FM798" s="851"/>
      <c r="FN798" s="24"/>
      <c r="FO798" s="24"/>
      <c r="FP798" s="24"/>
      <c r="FW798" s="24"/>
      <c r="FX798" s="24"/>
      <c r="FY798" s="24"/>
      <c r="FZ798" s="24"/>
      <c r="GA798" s="24"/>
      <c r="GB798" s="24"/>
      <c r="GC798" s="24"/>
      <c r="GD798" s="24"/>
      <c r="GE798" s="24"/>
      <c r="GF798" s="24"/>
      <c r="GG798" s="24"/>
      <c r="GH798" s="24"/>
      <c r="GI798" s="24"/>
    </row>
    <row r="799" spans="1:274" x14ac:dyDescent="0.2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  <c r="AD799" s="24"/>
      <c r="AE799" s="24"/>
      <c r="AF799" s="24"/>
      <c r="AG799" s="24"/>
      <c r="AH799" s="24"/>
      <c r="AI799" s="24"/>
      <c r="AJ799" s="24"/>
      <c r="AK799" s="24"/>
      <c r="AL799" s="24"/>
      <c r="AM799" s="24"/>
      <c r="AN799" s="24"/>
      <c r="AO799" s="24"/>
      <c r="AP799" s="24"/>
      <c r="AQ799" s="24"/>
      <c r="AR799" s="24"/>
      <c r="AS799" s="24"/>
      <c r="AT799" s="24"/>
      <c r="AU799" s="24"/>
      <c r="AV799" s="24"/>
      <c r="AW799" s="24"/>
      <c r="AX799" s="24"/>
      <c r="AY799" s="24"/>
      <c r="AZ799" s="24"/>
      <c r="BA799" s="24"/>
      <c r="BB799" s="24"/>
      <c r="BC799" s="24"/>
      <c r="BD799" s="24"/>
      <c r="BE799" s="24"/>
      <c r="BF799" s="24"/>
      <c r="BG799" s="24"/>
      <c r="BH799" s="24"/>
      <c r="BI799" s="24"/>
      <c r="BJ799" s="24"/>
      <c r="BK799" s="24"/>
      <c r="BL799" s="24"/>
      <c r="BM799" s="24"/>
      <c r="BN799" s="24"/>
      <c r="BO799" s="24"/>
      <c r="BP799" s="24"/>
      <c r="BQ799" s="24"/>
      <c r="BR799" s="24"/>
      <c r="BS799" s="24"/>
      <c r="BT799" s="24"/>
      <c r="BU799" s="24"/>
      <c r="BV799" s="24"/>
      <c r="BW799" s="24"/>
      <c r="BX799" s="24"/>
      <c r="BY799" s="24"/>
      <c r="BZ799" s="24"/>
      <c r="CA799" s="24"/>
      <c r="CB799" s="24"/>
      <c r="CC799" s="24"/>
      <c r="CD799" s="24"/>
      <c r="CE799" s="24"/>
      <c r="CF799" s="24"/>
      <c r="CG799" s="24"/>
      <c r="CH799" s="24"/>
      <c r="CI799" s="24"/>
      <c r="CJ799" s="24"/>
      <c r="CK799" s="24"/>
      <c r="CL799" s="24"/>
      <c r="CM799" s="24"/>
      <c r="CN799" s="24"/>
      <c r="CO799" s="24"/>
      <c r="CP799" s="24"/>
      <c r="CQ799" s="24"/>
      <c r="CR799" s="24"/>
      <c r="CS799" s="24"/>
      <c r="CT799" s="24"/>
      <c r="CU799" s="24"/>
      <c r="CV799" s="24"/>
      <c r="CW799" s="24"/>
      <c r="CX799" s="24"/>
      <c r="CY799" s="24"/>
      <c r="CZ799" s="24"/>
      <c r="DA799" s="24"/>
      <c r="DB799" s="24"/>
      <c r="DC799" s="24"/>
      <c r="DD799" s="24"/>
      <c r="DE799" s="24"/>
      <c r="DF799" s="24"/>
      <c r="DG799" s="24"/>
      <c r="DH799" s="24"/>
      <c r="DI799" s="24"/>
      <c r="DJ799" s="24"/>
      <c r="DK799" s="24"/>
      <c r="DL799" s="24"/>
      <c r="DQ799" s="24"/>
      <c r="DR799" s="24"/>
      <c r="DS799" s="24"/>
      <c r="DT799" s="24"/>
      <c r="DU799" s="24"/>
      <c r="DV799" s="24"/>
      <c r="DW799" s="24"/>
      <c r="DX799" s="24"/>
      <c r="DY799" s="24"/>
      <c r="DZ799" s="24"/>
      <c r="EA799" s="24"/>
      <c r="EB799" s="24"/>
      <c r="EC799" s="24"/>
      <c r="ED799" s="24"/>
      <c r="EE799" s="24"/>
      <c r="EF799" s="24"/>
      <c r="EG799" s="24"/>
      <c r="EH799" s="24"/>
      <c r="EI799" s="24"/>
      <c r="EJ799" s="24"/>
      <c r="EK799" s="24"/>
      <c r="EL799" s="24"/>
      <c r="EM799" s="24"/>
      <c r="EN799" s="24"/>
      <c r="EO799" s="24"/>
      <c r="EP799" s="24"/>
      <c r="EQ799" s="851"/>
      <c r="ER799" s="851"/>
      <c r="ES799" s="851"/>
      <c r="ET799" s="851"/>
      <c r="EU799" s="24"/>
      <c r="EV799" s="851"/>
      <c r="EW799" s="851"/>
      <c r="EX799" s="851"/>
      <c r="EY799" s="851"/>
      <c r="EZ799" s="851"/>
      <c r="FA799" s="851"/>
      <c r="FB799" s="851"/>
      <c r="FC799" s="851"/>
      <c r="FD799" s="851"/>
      <c r="FE799" s="851"/>
      <c r="FF799" s="851"/>
      <c r="FG799" s="851"/>
      <c r="FH799" s="851"/>
      <c r="FI799" s="851"/>
      <c r="FJ799" s="851"/>
      <c r="FK799" s="851"/>
      <c r="FL799" s="851"/>
      <c r="FM799" s="851"/>
      <c r="FN799" s="24"/>
      <c r="FO799" s="24"/>
      <c r="FP799" s="24"/>
      <c r="FW799" s="24"/>
      <c r="FX799" s="24"/>
      <c r="FY799" s="24"/>
      <c r="FZ799" s="24"/>
      <c r="GA799" s="24"/>
      <c r="GB799" s="24"/>
      <c r="GC799" s="24"/>
      <c r="GD799" s="24"/>
      <c r="GE799" s="24"/>
      <c r="GF799" s="24"/>
      <c r="GG799" s="24"/>
      <c r="GH799" s="24"/>
      <c r="GI799" s="24"/>
    </row>
    <row r="800" spans="1:274" x14ac:dyDescent="0.2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  <c r="AA800" s="24"/>
      <c r="AB800" s="24"/>
      <c r="AC800" s="24"/>
      <c r="AD800" s="24"/>
      <c r="AE800" s="24"/>
      <c r="AF800" s="24"/>
      <c r="AG800" s="24"/>
      <c r="AH800" s="24"/>
      <c r="AI800" s="24"/>
      <c r="AJ800" s="24"/>
      <c r="AK800" s="24"/>
      <c r="AL800" s="24"/>
      <c r="AM800" s="24"/>
      <c r="AN800" s="24"/>
      <c r="AO800" s="24"/>
      <c r="AP800" s="24"/>
      <c r="AQ800" s="24"/>
      <c r="AR800" s="24"/>
      <c r="AS800" s="24"/>
      <c r="AT800" s="24"/>
      <c r="AU800" s="24"/>
      <c r="AV800" s="24"/>
      <c r="AW800" s="24"/>
      <c r="AX800" s="24"/>
      <c r="AY800" s="24"/>
      <c r="AZ800" s="24"/>
      <c r="BA800" s="24"/>
      <c r="BB800" s="24"/>
      <c r="BC800" s="24"/>
      <c r="BD800" s="24"/>
      <c r="BE800" s="24"/>
      <c r="BF800" s="24"/>
      <c r="BG800" s="24"/>
      <c r="BH800" s="24"/>
      <c r="BI800" s="24"/>
      <c r="BJ800" s="24"/>
      <c r="BK800" s="24"/>
      <c r="BL800" s="24"/>
      <c r="BM800" s="24"/>
      <c r="BN800" s="24"/>
      <c r="BO800" s="24"/>
      <c r="BP800" s="24"/>
      <c r="BQ800" s="24"/>
      <c r="BR800" s="24"/>
      <c r="BS800" s="24"/>
      <c r="BT800" s="24"/>
      <c r="BU800" s="24"/>
      <c r="BV800" s="24"/>
      <c r="BW800" s="24"/>
      <c r="BX800" s="24"/>
      <c r="BY800" s="24"/>
      <c r="BZ800" s="24"/>
      <c r="CA800" s="24"/>
      <c r="CB800" s="24"/>
      <c r="CC800" s="24"/>
      <c r="CD800" s="24"/>
      <c r="CE800" s="24"/>
      <c r="CF800" s="24"/>
      <c r="CG800" s="24"/>
      <c r="CH800" s="24"/>
      <c r="CI800" s="24"/>
      <c r="CJ800" s="24"/>
      <c r="CK800" s="24"/>
      <c r="CL800" s="24"/>
      <c r="CM800" s="24"/>
      <c r="CN800" s="24"/>
      <c r="CO800" s="24"/>
      <c r="CP800" s="24"/>
      <c r="CQ800" s="24"/>
      <c r="CR800" s="24"/>
      <c r="CS800" s="24"/>
      <c r="CT800" s="24"/>
      <c r="CU800" s="24"/>
      <c r="CV800" s="24"/>
      <c r="CW800" s="24"/>
      <c r="CX800" s="24"/>
      <c r="CY800" s="24"/>
      <c r="CZ800" s="24"/>
      <c r="DA800" s="24"/>
      <c r="DB800" s="24"/>
      <c r="DC800" s="24"/>
      <c r="DD800" s="24"/>
      <c r="DE800" s="24"/>
      <c r="DF800" s="24"/>
      <c r="DG800" s="24"/>
      <c r="DH800" s="24"/>
      <c r="DI800" s="24"/>
      <c r="DJ800" s="24"/>
      <c r="DK800" s="24"/>
      <c r="DL800" s="24"/>
      <c r="DM800" s="27"/>
      <c r="DN800" s="27"/>
      <c r="DO800" s="27"/>
      <c r="DP800" s="27"/>
      <c r="DQ800" s="24"/>
      <c r="DR800" s="24"/>
      <c r="DS800" s="24"/>
      <c r="DT800" s="24"/>
      <c r="DU800" s="24"/>
      <c r="DV800" s="24"/>
      <c r="DW800" s="24"/>
      <c r="DX800" s="24"/>
      <c r="DY800" s="24"/>
      <c r="DZ800" s="24"/>
      <c r="EA800" s="24"/>
      <c r="EB800" s="24"/>
      <c r="EC800" s="24"/>
      <c r="ED800" s="24"/>
      <c r="EE800" s="24"/>
      <c r="EF800" s="24"/>
      <c r="EG800" s="24"/>
      <c r="EH800" s="24"/>
      <c r="EI800" s="24"/>
      <c r="EJ800" s="24"/>
      <c r="EK800" s="24"/>
      <c r="EL800" s="24"/>
      <c r="EM800" s="24"/>
      <c r="EN800" s="24"/>
      <c r="EO800" s="24"/>
      <c r="EP800" s="24"/>
      <c r="EQ800" s="851"/>
      <c r="ER800" s="851"/>
      <c r="ES800" s="851"/>
      <c r="ET800" s="851"/>
      <c r="EU800" s="24"/>
      <c r="EV800" s="851"/>
      <c r="EW800" s="851"/>
      <c r="EX800" s="851"/>
      <c r="EY800" s="851"/>
      <c r="EZ800" s="851"/>
      <c r="FA800" s="851"/>
      <c r="FB800" s="851"/>
      <c r="FC800" s="851"/>
      <c r="FD800" s="851"/>
      <c r="FE800" s="851"/>
      <c r="FF800" s="851"/>
      <c r="FG800" s="851"/>
      <c r="FH800" s="851"/>
      <c r="FI800" s="851"/>
      <c r="FJ800" s="851"/>
      <c r="FK800" s="851"/>
      <c r="FL800" s="851"/>
      <c r="FM800" s="851"/>
      <c r="FN800" s="24"/>
      <c r="FO800" s="24"/>
      <c r="FP800" s="24"/>
      <c r="FW800" s="24"/>
      <c r="FX800" s="24"/>
      <c r="FY800" s="24"/>
      <c r="FZ800" s="24"/>
      <c r="GA800" s="24"/>
      <c r="GB800" s="24"/>
      <c r="GC800" s="24"/>
      <c r="GD800" s="24"/>
      <c r="GE800" s="24"/>
      <c r="GF800" s="24"/>
      <c r="GG800" s="24"/>
      <c r="GH800" s="24"/>
      <c r="GI800" s="24"/>
    </row>
    <row r="801" spans="1:191" x14ac:dyDescent="0.2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  <c r="AA801" s="24"/>
      <c r="AB801" s="24"/>
      <c r="AC801" s="24"/>
      <c r="AD801" s="24"/>
      <c r="AE801" s="24"/>
      <c r="AF801" s="24"/>
      <c r="AG801" s="24"/>
      <c r="AH801" s="24"/>
      <c r="AI801" s="24"/>
      <c r="AJ801" s="24"/>
      <c r="AK801" s="24"/>
      <c r="AL801" s="24"/>
      <c r="AM801" s="24"/>
      <c r="AN801" s="24"/>
      <c r="AO801" s="24"/>
      <c r="AP801" s="24"/>
      <c r="AQ801" s="24"/>
      <c r="AR801" s="24"/>
      <c r="AS801" s="24"/>
      <c r="AT801" s="24"/>
      <c r="AU801" s="24"/>
      <c r="AV801" s="24"/>
      <c r="AW801" s="24"/>
      <c r="AX801" s="24"/>
      <c r="AY801" s="24"/>
      <c r="AZ801" s="24"/>
      <c r="BA801" s="24"/>
      <c r="BB801" s="24"/>
      <c r="BC801" s="24"/>
      <c r="BD801" s="24"/>
      <c r="BE801" s="24"/>
      <c r="BF801" s="24"/>
      <c r="BG801" s="24"/>
      <c r="BH801" s="24"/>
      <c r="BI801" s="24"/>
      <c r="BJ801" s="24"/>
      <c r="BK801" s="24"/>
      <c r="BL801" s="24"/>
      <c r="BM801" s="24"/>
      <c r="BN801" s="24"/>
      <c r="BO801" s="24"/>
      <c r="BP801" s="24"/>
      <c r="BQ801" s="24"/>
      <c r="BR801" s="24"/>
      <c r="BS801" s="24"/>
      <c r="BT801" s="24"/>
      <c r="BU801" s="24"/>
      <c r="BV801" s="24"/>
      <c r="BW801" s="24"/>
      <c r="BX801" s="24"/>
      <c r="BY801" s="24"/>
      <c r="BZ801" s="24"/>
      <c r="CA801" s="24"/>
      <c r="CB801" s="24"/>
      <c r="CC801" s="24"/>
      <c r="CD801" s="24"/>
      <c r="CE801" s="24"/>
      <c r="CF801" s="24"/>
      <c r="CG801" s="24"/>
      <c r="CH801" s="24"/>
      <c r="CI801" s="24"/>
      <c r="CJ801" s="24"/>
      <c r="CK801" s="24"/>
      <c r="CL801" s="24"/>
      <c r="CM801" s="24"/>
      <c r="CN801" s="24"/>
      <c r="CO801" s="24"/>
      <c r="CP801" s="24"/>
      <c r="CQ801" s="24"/>
      <c r="CR801" s="24"/>
      <c r="CS801" s="24"/>
      <c r="CT801" s="24"/>
      <c r="CU801" s="24"/>
      <c r="CV801" s="24"/>
      <c r="CW801" s="24"/>
      <c r="CX801" s="24"/>
      <c r="CY801" s="24"/>
      <c r="CZ801" s="24"/>
      <c r="DA801" s="24"/>
      <c r="DB801" s="24"/>
      <c r="DC801" s="24"/>
      <c r="DD801" s="24"/>
      <c r="DE801" s="24"/>
      <c r="DF801" s="24"/>
      <c r="DG801" s="24"/>
      <c r="DH801" s="24"/>
      <c r="DI801" s="24"/>
      <c r="DJ801" s="24"/>
      <c r="DK801" s="24"/>
      <c r="DL801" s="24"/>
      <c r="DM801" s="27"/>
      <c r="DN801" s="27"/>
      <c r="DO801" s="27"/>
      <c r="DP801" s="27"/>
      <c r="DQ801" s="24"/>
      <c r="DR801" s="24"/>
      <c r="DS801" s="24"/>
      <c r="DT801" s="24"/>
      <c r="DU801" s="24"/>
      <c r="DV801" s="24"/>
      <c r="DW801" s="24"/>
      <c r="DX801" s="24"/>
      <c r="DY801" s="24"/>
      <c r="DZ801" s="24"/>
      <c r="EA801" s="24"/>
      <c r="EB801" s="24"/>
      <c r="EC801" s="24"/>
      <c r="ED801" s="24"/>
      <c r="EE801" s="24"/>
      <c r="EF801" s="24"/>
      <c r="EG801" s="24"/>
      <c r="EH801" s="24"/>
      <c r="EI801" s="24"/>
      <c r="EJ801" s="24"/>
      <c r="EK801" s="24"/>
      <c r="EL801" s="24"/>
      <c r="EM801" s="24"/>
      <c r="EN801" s="24"/>
      <c r="EO801" s="24"/>
      <c r="EP801" s="24"/>
      <c r="EQ801" s="851"/>
      <c r="ER801" s="851"/>
      <c r="ES801" s="851"/>
      <c r="ET801" s="851"/>
      <c r="EU801" s="24"/>
      <c r="EV801" s="851"/>
      <c r="EW801" s="851"/>
      <c r="EX801" s="851"/>
      <c r="EY801" s="851"/>
      <c r="EZ801" s="851"/>
      <c r="FA801" s="851"/>
      <c r="FB801" s="851"/>
      <c r="FC801" s="851"/>
      <c r="FD801" s="851"/>
      <c r="FE801" s="851"/>
      <c r="FF801" s="851"/>
      <c r="FG801" s="851"/>
      <c r="FH801" s="851"/>
      <c r="FI801" s="851"/>
      <c r="FJ801" s="851"/>
      <c r="FK801" s="851"/>
      <c r="FL801" s="851"/>
      <c r="FM801" s="851"/>
      <c r="FN801" s="24"/>
      <c r="FO801" s="24"/>
      <c r="FP801" s="24"/>
      <c r="FW801" s="24"/>
      <c r="FX801" s="24"/>
      <c r="FY801" s="24"/>
      <c r="FZ801" s="24"/>
      <c r="GA801" s="24"/>
      <c r="GB801" s="24"/>
      <c r="GC801" s="24"/>
      <c r="GD801" s="24"/>
      <c r="GE801" s="24"/>
      <c r="GF801" s="24"/>
      <c r="GG801" s="24"/>
      <c r="GH801" s="24"/>
      <c r="GI801" s="24"/>
    </row>
    <row r="802" spans="1:191" x14ac:dyDescent="0.2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  <c r="AA802" s="24"/>
      <c r="AB802" s="24"/>
      <c r="AC802" s="24"/>
      <c r="AD802" s="24"/>
      <c r="AE802" s="24"/>
      <c r="AF802" s="24"/>
      <c r="AG802" s="24"/>
      <c r="AH802" s="24"/>
      <c r="AI802" s="24"/>
      <c r="AJ802" s="24"/>
      <c r="AK802" s="24"/>
      <c r="AL802" s="24"/>
      <c r="AM802" s="24"/>
      <c r="AN802" s="24"/>
      <c r="AO802" s="24"/>
      <c r="AP802" s="24"/>
      <c r="AQ802" s="24"/>
      <c r="AR802" s="24"/>
      <c r="AS802" s="24"/>
      <c r="AT802" s="24"/>
      <c r="AU802" s="24"/>
      <c r="AV802" s="24"/>
      <c r="AW802" s="24"/>
      <c r="AX802" s="24"/>
      <c r="AY802" s="24"/>
      <c r="AZ802" s="24"/>
      <c r="BA802" s="24"/>
      <c r="BB802" s="24"/>
      <c r="BC802" s="24"/>
      <c r="BD802" s="24"/>
      <c r="BE802" s="24"/>
      <c r="BF802" s="24"/>
      <c r="BG802" s="24"/>
      <c r="BH802" s="24"/>
      <c r="BI802" s="24"/>
      <c r="BJ802" s="24"/>
      <c r="BK802" s="24"/>
      <c r="BL802" s="24"/>
      <c r="BM802" s="24"/>
      <c r="BN802" s="24"/>
      <c r="BO802" s="24"/>
      <c r="BP802" s="24"/>
      <c r="BQ802" s="24"/>
      <c r="BR802" s="24"/>
      <c r="BS802" s="24"/>
      <c r="BT802" s="24"/>
      <c r="BU802" s="24"/>
      <c r="BV802" s="24"/>
      <c r="BW802" s="24"/>
      <c r="BX802" s="24"/>
      <c r="BY802" s="24"/>
      <c r="BZ802" s="24"/>
      <c r="CA802" s="24"/>
      <c r="CB802" s="24"/>
      <c r="CC802" s="24"/>
      <c r="CD802" s="24"/>
      <c r="CE802" s="24"/>
      <c r="CF802" s="24"/>
      <c r="CG802" s="24"/>
      <c r="CH802" s="24"/>
      <c r="CI802" s="24"/>
      <c r="CJ802" s="24"/>
      <c r="CK802" s="24"/>
      <c r="CL802" s="24"/>
      <c r="CM802" s="24"/>
      <c r="CN802" s="24"/>
      <c r="CO802" s="24"/>
      <c r="CP802" s="24"/>
      <c r="CQ802" s="24"/>
      <c r="CR802" s="24"/>
      <c r="CS802" s="24"/>
      <c r="CT802" s="24"/>
      <c r="CU802" s="24"/>
      <c r="CV802" s="24"/>
      <c r="CW802" s="24"/>
      <c r="CX802" s="24"/>
      <c r="CY802" s="24"/>
      <c r="CZ802" s="24"/>
      <c r="DA802" s="24"/>
      <c r="DB802" s="24"/>
      <c r="DC802" s="24"/>
      <c r="DD802" s="24"/>
      <c r="DE802" s="24"/>
      <c r="DF802" s="24"/>
      <c r="DG802" s="24"/>
      <c r="DH802" s="24"/>
      <c r="DI802" s="24"/>
      <c r="DJ802" s="24"/>
      <c r="DK802" s="24"/>
      <c r="DL802" s="24"/>
      <c r="DM802" s="27"/>
      <c r="DN802" s="27"/>
      <c r="DO802" s="27"/>
      <c r="DP802" s="27"/>
      <c r="DQ802" s="24"/>
      <c r="DR802" s="24"/>
      <c r="DS802" s="24"/>
      <c r="DT802" s="24"/>
      <c r="DU802" s="24"/>
      <c r="DV802" s="24"/>
      <c r="DW802" s="24"/>
      <c r="DX802" s="24"/>
      <c r="DY802" s="24"/>
      <c r="DZ802" s="24"/>
      <c r="EA802" s="24"/>
      <c r="EB802" s="24"/>
      <c r="EC802" s="24"/>
      <c r="ED802" s="24"/>
      <c r="EE802" s="24"/>
      <c r="EF802" s="24"/>
      <c r="EG802" s="24"/>
      <c r="EH802" s="24"/>
      <c r="EI802" s="24"/>
      <c r="EJ802" s="24"/>
      <c r="EK802" s="24"/>
      <c r="EL802" s="24"/>
      <c r="EM802" s="24"/>
      <c r="EN802" s="24"/>
      <c r="EO802" s="24"/>
      <c r="EP802" s="24"/>
      <c r="EQ802" s="851"/>
      <c r="ER802" s="851"/>
      <c r="ES802" s="851"/>
      <c r="ET802" s="851"/>
      <c r="EU802" s="24"/>
      <c r="EV802" s="851"/>
      <c r="EW802" s="851"/>
      <c r="EX802" s="851"/>
      <c r="EY802" s="851"/>
      <c r="EZ802" s="851"/>
      <c r="FA802" s="851"/>
      <c r="FB802" s="851"/>
      <c r="FC802" s="851"/>
      <c r="FD802" s="851"/>
      <c r="FE802" s="851"/>
      <c r="FF802" s="851"/>
      <c r="FG802" s="851"/>
      <c r="FH802" s="851"/>
      <c r="FI802" s="851"/>
      <c r="FJ802" s="851"/>
      <c r="FK802" s="851"/>
      <c r="FL802" s="851"/>
      <c r="FM802" s="851"/>
      <c r="FN802" s="24"/>
      <c r="FO802" s="24"/>
      <c r="FP802" s="24"/>
      <c r="FW802" s="24"/>
      <c r="FX802" s="24"/>
      <c r="FY802" s="24"/>
      <c r="FZ802" s="24"/>
      <c r="GA802" s="24"/>
      <c r="GB802" s="24"/>
      <c r="GC802" s="24"/>
      <c r="GD802" s="24"/>
      <c r="GE802" s="24"/>
      <c r="GF802" s="24"/>
      <c r="GG802" s="24"/>
      <c r="GH802" s="24"/>
      <c r="GI802" s="24"/>
    </row>
    <row r="803" spans="1:191" x14ac:dyDescent="0.2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  <c r="AA803" s="24"/>
      <c r="AB803" s="24"/>
      <c r="AC803" s="24"/>
      <c r="AD803" s="24"/>
      <c r="AE803" s="24"/>
      <c r="AF803" s="24"/>
      <c r="AG803" s="24"/>
      <c r="AH803" s="24"/>
      <c r="AI803" s="24"/>
      <c r="AJ803" s="24"/>
      <c r="AK803" s="24"/>
      <c r="AL803" s="24"/>
      <c r="AM803" s="24"/>
      <c r="AN803" s="24"/>
      <c r="AO803" s="24"/>
      <c r="AP803" s="24"/>
      <c r="AQ803" s="24"/>
      <c r="AR803" s="24"/>
      <c r="AS803" s="24"/>
      <c r="AT803" s="24"/>
      <c r="AU803" s="24"/>
      <c r="AV803" s="24"/>
      <c r="AW803" s="24"/>
      <c r="AX803" s="24"/>
      <c r="AY803" s="24"/>
      <c r="AZ803" s="24"/>
      <c r="BA803" s="24"/>
      <c r="BB803" s="24"/>
      <c r="BC803" s="24"/>
      <c r="BD803" s="24"/>
      <c r="BE803" s="24"/>
      <c r="BF803" s="24"/>
      <c r="BG803" s="24"/>
      <c r="BH803" s="24"/>
      <c r="BI803" s="24"/>
      <c r="BJ803" s="24"/>
      <c r="BK803" s="24"/>
      <c r="BL803" s="24"/>
      <c r="BM803" s="24"/>
      <c r="BN803" s="24"/>
      <c r="BO803" s="24"/>
      <c r="BP803" s="24"/>
      <c r="BQ803" s="24"/>
      <c r="BR803" s="24"/>
      <c r="BS803" s="24"/>
      <c r="BT803" s="24"/>
      <c r="BU803" s="24"/>
      <c r="BV803" s="24"/>
      <c r="BW803" s="24"/>
      <c r="BX803" s="24"/>
      <c r="BY803" s="24"/>
      <c r="BZ803" s="24"/>
      <c r="CA803" s="24"/>
      <c r="CB803" s="24"/>
      <c r="CC803" s="24"/>
      <c r="CD803" s="24"/>
      <c r="CE803" s="24"/>
      <c r="CF803" s="24"/>
      <c r="CG803" s="24"/>
      <c r="CH803" s="24"/>
      <c r="CI803" s="24"/>
      <c r="CJ803" s="24"/>
      <c r="CK803" s="24"/>
      <c r="CL803" s="24"/>
      <c r="CM803" s="24"/>
      <c r="CN803" s="24"/>
      <c r="CO803" s="24"/>
      <c r="CP803" s="24"/>
      <c r="CQ803" s="24"/>
      <c r="CR803" s="24"/>
      <c r="CS803" s="24"/>
      <c r="CT803" s="24"/>
      <c r="CU803" s="24"/>
      <c r="CV803" s="24"/>
      <c r="CW803" s="24"/>
      <c r="CX803" s="24"/>
      <c r="CY803" s="24"/>
      <c r="CZ803" s="24"/>
      <c r="DA803" s="24"/>
      <c r="DB803" s="24"/>
      <c r="DC803" s="24"/>
      <c r="DD803" s="24"/>
      <c r="DE803" s="24"/>
      <c r="DF803" s="24"/>
      <c r="DG803" s="24"/>
      <c r="DH803" s="24"/>
      <c r="DI803" s="24"/>
      <c r="DJ803" s="24"/>
      <c r="DK803" s="24"/>
      <c r="DL803" s="24"/>
      <c r="DM803" s="27"/>
      <c r="DN803" s="27"/>
      <c r="DO803" s="27">
        <f>DP799/2745</f>
        <v>0</v>
      </c>
      <c r="DP803" s="27"/>
      <c r="DQ803" s="24"/>
      <c r="DR803" s="24"/>
      <c r="DS803" s="24"/>
      <c r="DT803" s="24"/>
      <c r="DU803" s="24"/>
      <c r="DV803" s="24"/>
      <c r="DW803" s="24"/>
      <c r="DX803" s="24"/>
      <c r="DY803" s="24"/>
      <c r="DZ803" s="24"/>
      <c r="EA803" s="24"/>
      <c r="EB803" s="24"/>
      <c r="EC803" s="24"/>
      <c r="ED803" s="24"/>
      <c r="EE803" s="24"/>
      <c r="EF803" s="24"/>
      <c r="EG803" s="24"/>
      <c r="EH803" s="24"/>
      <c r="EI803" s="24"/>
      <c r="EJ803" s="24"/>
      <c r="EK803" s="24"/>
      <c r="EL803" s="24"/>
      <c r="EM803" s="24"/>
      <c r="EN803" s="24"/>
      <c r="EO803" s="24"/>
      <c r="EP803" s="24"/>
      <c r="EQ803" s="851"/>
      <c r="ER803" s="851"/>
      <c r="ES803" s="851"/>
      <c r="ET803" s="851"/>
      <c r="EU803" s="24"/>
      <c r="EV803" s="851"/>
      <c r="EW803" s="851"/>
      <c r="EX803" s="851"/>
      <c r="EY803" s="851"/>
      <c r="EZ803" s="851"/>
      <c r="FA803" s="851"/>
      <c r="FB803" s="851"/>
      <c r="FC803" s="851"/>
      <c r="FD803" s="851"/>
      <c r="FE803" s="851"/>
      <c r="FF803" s="851"/>
      <c r="FG803" s="851"/>
      <c r="FH803" s="851"/>
      <c r="FI803" s="851"/>
      <c r="FJ803" s="851"/>
      <c r="FK803" s="851"/>
      <c r="FL803" s="851"/>
      <c r="FM803" s="851"/>
      <c r="FN803" s="24"/>
      <c r="FO803" s="24"/>
      <c r="FP803" s="24"/>
      <c r="FW803" s="24"/>
      <c r="FX803" s="24"/>
      <c r="FY803" s="24"/>
      <c r="FZ803" s="24"/>
      <c r="GA803" s="24"/>
      <c r="GB803" s="24"/>
      <c r="GC803" s="24"/>
      <c r="GD803" s="24"/>
      <c r="GE803" s="24"/>
      <c r="GF803" s="24"/>
      <c r="GG803" s="24"/>
      <c r="GH803" s="24"/>
      <c r="GI803" s="24"/>
    </row>
  </sheetData>
  <phoneticPr fontId="2" type="noConversion"/>
  <pageMargins left="0" right="0" top="0" bottom="0" header="0" footer="0"/>
  <pageSetup paperSize="5" scale="58" orientation="landscape" r:id="rId1"/>
  <headerFooter alignWithMargins="0">
    <oddFooter>&amp;L&amp;"Arial,Bold"&amp;8Morgan Stanley Equity Research</oddFooter>
  </headerFooter>
  <rowBreaks count="1" manualBreakCount="1">
    <brk id="378" max="16383" man="1"/>
  </rowBreak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theme="4"/>
    <pageSetUpPr fitToPage="1"/>
  </sheetPr>
  <dimension ref="A1:JN174"/>
  <sheetViews>
    <sheetView showGridLines="0" zoomScaleNormal="100" zoomScaleSheetLayoutView="75" workbookViewId="0">
      <pane xSplit="2" ySplit="9" topLeftCell="EI10" activePane="bottomRight" state="frozen"/>
      <selection activeCell="B34" sqref="B34"/>
      <selection pane="topRight" activeCell="B34" sqref="B34"/>
      <selection pane="bottomLeft" activeCell="B34" sqref="B34"/>
      <selection pane="bottomRight" activeCell="EI10" sqref="EI10"/>
    </sheetView>
  </sheetViews>
  <sheetFormatPr defaultRowHeight="12.75" outlineLevelRow="1" outlineLevelCol="2" x14ac:dyDescent="0.2"/>
  <cols>
    <col min="1" max="1" width="29.42578125" bestFit="1" customWidth="1"/>
    <col min="2" max="2" width="9.140625" hidden="1" customWidth="1"/>
    <col min="3" max="13" width="7.7109375" hidden="1" customWidth="1" outlineLevel="2"/>
    <col min="14" max="14" width="1.85546875" hidden="1" customWidth="1" outlineLevel="1"/>
    <col min="15" max="18" width="7.7109375" hidden="1" customWidth="1" outlineLevel="2"/>
    <col min="19" max="19" width="7.7109375" hidden="1" customWidth="1" outlineLevel="1"/>
    <col min="20" max="20" width="1.85546875" hidden="1" customWidth="1" outlineLevel="2"/>
    <col min="21" max="24" width="7.7109375" hidden="1" customWidth="1" outlineLevel="2"/>
    <col min="25" max="25" width="7.7109375" hidden="1" customWidth="1" outlineLevel="1"/>
    <col min="26" max="26" width="1.85546875" hidden="1" customWidth="1" outlineLevel="2"/>
    <col min="27" max="30" width="7.7109375" hidden="1" customWidth="1" outlineLevel="2"/>
    <col min="31" max="31" width="7.7109375" hidden="1" customWidth="1" outlineLevel="1"/>
    <col min="32" max="32" width="1.85546875" hidden="1" customWidth="1" outlineLevel="2"/>
    <col min="33" max="36" width="7.7109375" hidden="1" customWidth="1" outlineLevel="2"/>
    <col min="37" max="37" width="7.7109375" hidden="1" customWidth="1" outlineLevel="1"/>
    <col min="38" max="38" width="1.85546875" hidden="1" customWidth="1" outlineLevel="2"/>
    <col min="39" max="42" width="7.7109375" hidden="1" customWidth="1" outlineLevel="2"/>
    <col min="43" max="43" width="7.7109375" hidden="1" customWidth="1" outlineLevel="1"/>
    <col min="44" max="44" width="1.85546875" hidden="1" customWidth="1" outlineLevel="2"/>
    <col min="45" max="48" width="7.7109375" hidden="1" customWidth="1" outlineLevel="2"/>
    <col min="49" max="49" width="7.7109375" hidden="1" customWidth="1" outlineLevel="1"/>
    <col min="50" max="50" width="1.85546875" hidden="1" customWidth="1" outlineLevel="2"/>
    <col min="51" max="54" width="7.7109375" hidden="1" customWidth="1" outlineLevel="2"/>
    <col min="55" max="55" width="7.7109375" hidden="1" customWidth="1" outlineLevel="1"/>
    <col min="56" max="56" width="1.85546875" hidden="1" customWidth="1" outlineLevel="2"/>
    <col min="57" max="60" width="7.7109375" hidden="1" customWidth="1" outlineLevel="2"/>
    <col min="61" max="61" width="7.7109375" hidden="1" customWidth="1" outlineLevel="1"/>
    <col min="62" max="62" width="1.85546875" hidden="1" customWidth="1" outlineLevel="2"/>
    <col min="63" max="66" width="7.42578125" hidden="1" customWidth="1" outlineLevel="2"/>
    <col min="67" max="67" width="7.42578125" hidden="1" customWidth="1" outlineLevel="1"/>
    <col min="68" max="68" width="1.85546875" hidden="1" customWidth="1" outlineLevel="2"/>
    <col min="69" max="72" width="7.42578125" hidden="1" customWidth="1" outlineLevel="2"/>
    <col min="73" max="73" width="7.42578125" hidden="1" customWidth="1" outlineLevel="1"/>
    <col min="74" max="74" width="1.85546875" hidden="1" customWidth="1" outlineLevel="2"/>
    <col min="75" max="78" width="7.42578125" hidden="1" customWidth="1" outlineLevel="2"/>
    <col min="79" max="79" width="7.42578125" hidden="1" customWidth="1" outlineLevel="1"/>
    <col min="80" max="80" width="1.85546875" hidden="1" customWidth="1" outlineLevel="2"/>
    <col min="81" max="84" width="7.7109375" hidden="1" customWidth="1" outlineLevel="2"/>
    <col min="85" max="85" width="7.42578125" hidden="1" customWidth="1" outlineLevel="1"/>
    <col min="86" max="86" width="1.85546875" hidden="1" customWidth="1" outlineLevel="1" collapsed="1"/>
    <col min="87" max="90" width="7.7109375" hidden="1" customWidth="1" outlineLevel="2"/>
    <col min="91" max="91" width="7.7109375" hidden="1" customWidth="1" outlineLevel="1"/>
    <col min="92" max="92" width="1.85546875" hidden="1" customWidth="1" outlineLevel="1" collapsed="1"/>
    <col min="93" max="93" width="6.85546875" hidden="1" customWidth="1" outlineLevel="2"/>
    <col min="94" max="96" width="7.7109375" hidden="1" customWidth="1" outlineLevel="2"/>
    <col min="97" max="97" width="7.7109375" hidden="1" customWidth="1" outlineLevel="1"/>
    <col min="98" max="98" width="1.85546875" hidden="1" customWidth="1" collapsed="1"/>
    <col min="99" max="102" width="7.7109375" hidden="1" customWidth="1" outlineLevel="1"/>
    <col min="103" max="103" width="7.7109375" hidden="1" customWidth="1" collapsed="1"/>
    <col min="104" max="104" width="1.85546875" hidden="1" customWidth="1" outlineLevel="1"/>
    <col min="105" max="108" width="7.7109375" hidden="1" customWidth="1" outlineLevel="1"/>
    <col min="109" max="109" width="7.7109375" hidden="1" customWidth="1" collapsed="1"/>
    <col min="110" max="110" width="1.85546875" hidden="1" customWidth="1" outlineLevel="1"/>
    <col min="111" max="114" width="7.7109375" hidden="1" customWidth="1" outlineLevel="1"/>
    <col min="115" max="115" width="7.7109375" hidden="1" customWidth="1" collapsed="1"/>
    <col min="116" max="116" width="1.85546875" hidden="1" customWidth="1" outlineLevel="1"/>
    <col min="117" max="120" width="7.7109375" hidden="1" customWidth="1" outlineLevel="1"/>
    <col min="121" max="121" width="7.7109375" hidden="1" customWidth="1" collapsed="1"/>
    <col min="122" max="122" width="1.85546875" hidden="1" customWidth="1" outlineLevel="1"/>
    <col min="123" max="126" width="7.7109375" hidden="1" customWidth="1" outlineLevel="1"/>
    <col min="127" max="127" width="7.7109375" hidden="1" customWidth="1" collapsed="1"/>
    <col min="128" max="128" width="1.85546875" hidden="1" customWidth="1" outlineLevel="2"/>
    <col min="129" max="132" width="7.7109375" hidden="1" customWidth="1" outlineLevel="2"/>
    <col min="133" max="133" width="7.7109375" hidden="1" customWidth="1" outlineLevel="1" collapsed="1"/>
    <col min="134" max="134" width="1.85546875" hidden="1" customWidth="1" outlineLevel="2"/>
    <col min="135" max="138" width="7.7109375" hidden="1" customWidth="1" outlineLevel="2"/>
    <col min="139" max="139" width="7.7109375" customWidth="1" outlineLevel="1" collapsed="1"/>
    <col min="140" max="140" width="1.85546875" customWidth="1" outlineLevel="1"/>
    <col min="141" max="144" width="7.7109375" hidden="1" customWidth="1" outlineLevel="2"/>
    <col min="145" max="145" width="7.7109375" customWidth="1" outlineLevel="1" collapsed="1"/>
    <col min="146" max="146" width="1.85546875" customWidth="1" outlineLevel="1"/>
    <col min="147" max="150" width="7.7109375" hidden="1" customWidth="1" outlineLevel="2"/>
    <col min="151" max="151" width="7.7109375" customWidth="1" outlineLevel="1" collapsed="1"/>
    <col min="152" max="152" width="1.85546875" customWidth="1" outlineLevel="1"/>
    <col min="153" max="156" width="7.7109375" customWidth="1" outlineLevel="2"/>
    <col min="157" max="157" width="7.7109375" customWidth="1" outlineLevel="1"/>
    <col min="158" max="158" width="1.85546875" customWidth="1" outlineLevel="1"/>
    <col min="159" max="162" width="7.7109375" customWidth="1" outlineLevel="2"/>
    <col min="163" max="163" width="7.7109375" customWidth="1" outlineLevel="1"/>
    <col min="164" max="164" width="1.85546875" customWidth="1" outlineLevel="1"/>
    <col min="165" max="168" width="7.7109375" hidden="1" customWidth="1" outlineLevel="2"/>
    <col min="169" max="169" width="7.7109375" customWidth="1" outlineLevel="1" collapsed="1"/>
    <col min="171" max="172" width="11.5703125" customWidth="1"/>
  </cols>
  <sheetData>
    <row r="1" spans="1:274" s="24" customFormat="1" ht="20.100000000000001" customHeight="1" x14ac:dyDescent="0.2">
      <c r="A1" s="193" t="str">
        <f>Model!A1</f>
        <v>Oracle</v>
      </c>
      <c r="B1" s="1014"/>
      <c r="C1" s="1014"/>
      <c r="D1" s="1014"/>
      <c r="E1" s="1014"/>
      <c r="F1" s="1014"/>
      <c r="G1" s="1014"/>
      <c r="H1" s="1014"/>
      <c r="I1" s="1014"/>
      <c r="J1" s="1014"/>
      <c r="K1" s="1014"/>
      <c r="L1" s="1014"/>
      <c r="M1" s="1014"/>
      <c r="N1" s="1014"/>
      <c r="O1" s="1014"/>
      <c r="P1" s="1014"/>
      <c r="Q1" s="1014"/>
      <c r="R1" s="1014"/>
      <c r="S1" s="1014"/>
      <c r="T1" s="1014"/>
      <c r="U1" s="1014"/>
      <c r="V1" s="1014"/>
      <c r="W1" s="1014"/>
      <c r="X1" s="1014"/>
      <c r="Y1" s="1014"/>
      <c r="Z1" s="1014"/>
      <c r="AA1" s="1014"/>
      <c r="AB1" s="1014"/>
      <c r="AC1" s="1014"/>
      <c r="AD1" s="1014"/>
      <c r="AE1" s="1014"/>
      <c r="AF1" s="1014"/>
      <c r="AG1" s="1014"/>
      <c r="AH1" s="1014"/>
      <c r="AI1" s="1014"/>
      <c r="AJ1" s="1014"/>
      <c r="AK1" s="1014"/>
      <c r="AL1" s="1014"/>
      <c r="AM1" s="1014"/>
      <c r="AN1" s="1014"/>
      <c r="AO1" s="1014"/>
      <c r="AP1" s="1014"/>
      <c r="AQ1" s="1014"/>
      <c r="AR1" s="1014"/>
      <c r="AS1" s="1014"/>
      <c r="AT1" s="1014"/>
      <c r="AU1" s="1014"/>
      <c r="AV1" s="1014"/>
      <c r="AW1" s="1014"/>
      <c r="AX1" s="1014"/>
      <c r="AY1" s="1014"/>
      <c r="AZ1" s="1014"/>
      <c r="BA1" s="1014"/>
      <c r="BB1" s="1014"/>
      <c r="BC1" s="1014"/>
      <c r="BD1" s="1014"/>
      <c r="BE1" s="1014"/>
      <c r="BF1" s="1014"/>
      <c r="BG1" s="1014"/>
      <c r="BH1" s="1014"/>
      <c r="BI1" s="1014"/>
      <c r="BJ1" s="1014"/>
      <c r="BK1" s="1014"/>
      <c r="BL1" s="1014"/>
      <c r="BM1" s="1014"/>
      <c r="BN1" s="1014"/>
      <c r="BO1" s="1014"/>
      <c r="BP1" s="1014"/>
      <c r="BQ1" s="1014"/>
      <c r="BR1" s="1014"/>
      <c r="BS1" s="1014"/>
      <c r="BT1" s="1014"/>
      <c r="BU1" s="1014"/>
      <c r="BV1" s="1014"/>
      <c r="BW1" s="1014"/>
      <c r="BX1" s="1014"/>
      <c r="BY1" s="1014"/>
      <c r="BZ1" s="1014"/>
      <c r="CA1" s="1014"/>
      <c r="CB1" s="1014"/>
      <c r="CC1" s="1015"/>
      <c r="CD1" s="12"/>
      <c r="CE1" s="12"/>
      <c r="CF1" s="12"/>
      <c r="CG1" s="1014"/>
      <c r="CH1" s="1014"/>
      <c r="CI1" s="1014"/>
      <c r="CJ1" s="1014"/>
      <c r="CK1" s="1014"/>
      <c r="CL1" s="1014"/>
      <c r="CM1" s="1014"/>
      <c r="CN1" s="1014"/>
      <c r="CO1" s="1014"/>
      <c r="CP1" s="1014"/>
      <c r="CQ1" s="1014"/>
      <c r="CR1" s="1014"/>
      <c r="CS1" s="1014"/>
      <c r="CT1" s="1014"/>
      <c r="CU1" s="1014"/>
      <c r="CV1" s="1014"/>
      <c r="CW1" s="1014"/>
      <c r="CX1" s="1014"/>
      <c r="CY1" s="1014"/>
      <c r="CZ1" s="1014"/>
      <c r="DA1" s="1014"/>
      <c r="DB1" s="1014"/>
      <c r="DC1" s="1014"/>
      <c r="DD1" s="1014"/>
      <c r="DE1" s="1014"/>
      <c r="DF1" s="1014"/>
      <c r="DG1" s="1014"/>
      <c r="DH1" s="1014"/>
      <c r="DI1" s="1014"/>
      <c r="DJ1" s="1014"/>
      <c r="DK1" s="1014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</row>
    <row r="2" spans="1:274" s="24" customFormat="1" ht="20.100000000000001" customHeight="1" x14ac:dyDescent="0.2">
      <c r="A2" s="5" t="s">
        <v>407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209"/>
      <c r="BI2" s="8"/>
      <c r="BJ2" s="8"/>
      <c r="BK2" s="8"/>
      <c r="BL2" s="8"/>
      <c r="BM2" s="8"/>
      <c r="BN2" s="209"/>
      <c r="BO2" s="8"/>
      <c r="BP2" s="8"/>
      <c r="BQ2" s="8"/>
      <c r="BR2" s="8"/>
      <c r="BS2" s="8"/>
      <c r="BT2" s="209"/>
      <c r="BU2" s="1070"/>
      <c r="BV2" s="8"/>
      <c r="BW2" s="8"/>
      <c r="BX2" s="8"/>
      <c r="BY2" s="8"/>
      <c r="BZ2" s="209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1049"/>
      <c r="CW2" s="1049"/>
      <c r="CX2" s="1049"/>
      <c r="CY2" s="1049"/>
      <c r="CZ2" s="1049"/>
      <c r="DA2" s="1049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12"/>
      <c r="FC2" s="12"/>
      <c r="FD2" s="12"/>
      <c r="FE2" s="12"/>
      <c r="FF2" s="12"/>
      <c r="FG2" s="12"/>
      <c r="FH2" s="12"/>
      <c r="FI2" s="12"/>
      <c r="FJ2" s="12"/>
      <c r="FK2" s="12"/>
      <c r="FL2" s="12"/>
      <c r="FM2" s="1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</row>
    <row r="3" spans="1:274" s="24" customFormat="1" ht="5.25" customHeight="1" x14ac:dyDescent="0.2">
      <c r="A3" s="9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12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  <c r="EU3" s="12"/>
      <c r="EV3" s="12"/>
      <c r="EW3" s="12"/>
      <c r="EX3" s="12"/>
      <c r="EY3" s="12"/>
      <c r="EZ3" s="12"/>
      <c r="FA3" s="12"/>
      <c r="FB3" s="12"/>
      <c r="FC3" s="12"/>
      <c r="FD3" s="12"/>
      <c r="FE3" s="12"/>
      <c r="FF3" s="12"/>
      <c r="FG3" s="12"/>
      <c r="FH3" s="12"/>
      <c r="FI3" s="12"/>
      <c r="FJ3" s="12"/>
      <c r="FK3" s="12"/>
      <c r="FL3" s="12"/>
      <c r="FM3" s="12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</row>
    <row r="4" spans="1:274" s="24" customFormat="1" ht="11.25" customHeight="1" x14ac:dyDescent="0.2">
      <c r="A4" s="11" t="s">
        <v>408</v>
      </c>
      <c r="B4" s="12"/>
      <c r="C4" s="12"/>
      <c r="D4" s="12"/>
      <c r="E4" s="12"/>
      <c r="F4" s="12"/>
      <c r="G4" s="12"/>
      <c r="H4" s="12"/>
      <c r="I4" s="12"/>
      <c r="J4" s="12"/>
      <c r="K4" s="12"/>
      <c r="L4" s="13"/>
      <c r="M4" s="13"/>
      <c r="N4" s="12"/>
      <c r="O4" s="12"/>
      <c r="P4" s="12"/>
      <c r="Q4" s="12"/>
      <c r="R4" s="13"/>
      <c r="S4" s="13"/>
      <c r="T4" s="13"/>
      <c r="U4" s="12"/>
      <c r="V4" s="12"/>
      <c r="W4" s="12"/>
      <c r="X4" s="13"/>
      <c r="Y4" s="13"/>
      <c r="Z4" s="13"/>
      <c r="AA4" s="12"/>
      <c r="AB4" s="12"/>
      <c r="AC4" s="12"/>
      <c r="AD4" s="13"/>
      <c r="AE4" s="13"/>
      <c r="AF4" s="13"/>
      <c r="AG4" s="12"/>
      <c r="AH4" s="12"/>
      <c r="AI4" s="12"/>
      <c r="AJ4" s="13"/>
      <c r="AK4" s="13"/>
      <c r="AL4" s="13"/>
      <c r="AM4" s="12"/>
      <c r="AN4" s="12"/>
      <c r="AO4" s="12"/>
      <c r="AP4" s="13"/>
      <c r="AQ4" s="13"/>
      <c r="AR4" s="13"/>
      <c r="AS4" s="12"/>
      <c r="AT4" s="12"/>
      <c r="AU4" s="12"/>
      <c r="AV4" s="13"/>
      <c r="AW4" s="13"/>
      <c r="AX4" s="13"/>
      <c r="AY4" s="12"/>
      <c r="AZ4" s="12"/>
      <c r="BA4" s="12"/>
      <c r="BB4" s="13"/>
      <c r="BC4" s="13"/>
      <c r="BD4" s="13"/>
      <c r="BE4" s="12"/>
      <c r="BF4" s="12"/>
      <c r="BG4" s="12"/>
      <c r="BH4" s="13"/>
      <c r="BI4" s="13"/>
      <c r="BJ4" s="13"/>
      <c r="BK4" s="12"/>
      <c r="BL4" s="12"/>
      <c r="BM4" s="12"/>
      <c r="BN4" s="13"/>
      <c r="BO4" s="13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12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2"/>
      <c r="EG4" s="12"/>
      <c r="EH4" s="1742"/>
      <c r="EI4" s="1742"/>
      <c r="EJ4" s="1742"/>
      <c r="EK4" s="1742"/>
      <c r="EL4" s="1742"/>
      <c r="EM4" s="12"/>
      <c r="EN4" s="12"/>
      <c r="EO4" s="12"/>
      <c r="EP4" s="12"/>
      <c r="EQ4" s="12"/>
      <c r="ER4" s="12"/>
      <c r="ES4" s="12"/>
      <c r="ET4" s="12"/>
      <c r="EU4" s="12"/>
      <c r="EV4" s="12"/>
      <c r="EW4" s="12"/>
      <c r="EX4" s="12"/>
      <c r="EY4" s="12"/>
      <c r="EZ4" s="12"/>
      <c r="FA4" s="12"/>
      <c r="FB4" s="12"/>
      <c r="FC4" s="12"/>
      <c r="FD4" s="12"/>
      <c r="FE4" s="12"/>
      <c r="FF4" s="12"/>
      <c r="FG4" s="12"/>
      <c r="FH4" s="12"/>
      <c r="FI4" s="12"/>
      <c r="FJ4" s="12"/>
      <c r="FK4" s="12"/>
      <c r="FL4" s="12"/>
      <c r="FM4" s="12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</row>
    <row r="5" spans="1:274" s="24" customFormat="1" hidden="1" outlineLevel="1" x14ac:dyDescent="0.2">
      <c r="A5" s="187"/>
      <c r="B5" s="1050"/>
      <c r="C5" s="187"/>
      <c r="D5" s="187"/>
      <c r="E5" s="187"/>
      <c r="F5" s="187"/>
      <c r="G5" s="187"/>
      <c r="H5" s="187"/>
      <c r="I5" s="187"/>
      <c r="J5" s="187"/>
      <c r="K5" s="187"/>
      <c r="L5" s="187"/>
      <c r="M5" s="187"/>
      <c r="N5" s="187"/>
      <c r="O5" s="187"/>
      <c r="P5" s="187"/>
      <c r="Q5" s="187"/>
      <c r="R5" s="187"/>
      <c r="S5" s="187"/>
      <c r="T5" s="187"/>
      <c r="U5" s="187"/>
      <c r="V5" s="187"/>
      <c r="W5" s="187"/>
      <c r="X5" s="187"/>
      <c r="Y5" s="187"/>
      <c r="Z5" s="450"/>
      <c r="AA5" s="187"/>
      <c r="AB5" s="187"/>
      <c r="AC5" s="187"/>
      <c r="AD5" s="187"/>
      <c r="AE5" s="187"/>
      <c r="AF5" s="450"/>
      <c r="AG5" s="187"/>
      <c r="AH5" s="187"/>
      <c r="AI5" s="187"/>
      <c r="AJ5" s="187"/>
      <c r="AK5" s="187"/>
      <c r="AL5" s="450"/>
      <c r="AM5" s="187"/>
      <c r="AN5" s="187"/>
      <c r="AO5" s="187"/>
      <c r="AP5" s="187"/>
      <c r="AQ5" s="187"/>
      <c r="AR5" s="450"/>
      <c r="AS5" s="187"/>
      <c r="AT5" s="187"/>
      <c r="AU5" s="187"/>
      <c r="AV5" s="187"/>
      <c r="AW5" s="187"/>
      <c r="AX5" s="450"/>
      <c r="AY5" s="187"/>
      <c r="AZ5" s="187"/>
      <c r="BA5" s="187"/>
      <c r="BB5" s="187"/>
      <c r="BC5" s="187"/>
      <c r="BD5" s="450"/>
      <c r="BE5" s="187"/>
      <c r="BF5" s="187"/>
      <c r="BG5" s="187"/>
      <c r="BH5" s="187"/>
      <c r="BI5" s="187"/>
      <c r="BJ5" s="450"/>
      <c r="BK5" s="187"/>
      <c r="BL5" s="187"/>
      <c r="BM5" s="187"/>
      <c r="BN5" s="187"/>
      <c r="BO5" s="187"/>
      <c r="BP5" s="450"/>
      <c r="BQ5" s="187"/>
      <c r="BR5" s="187"/>
      <c r="BS5" s="187"/>
      <c r="BT5" s="187"/>
      <c r="BU5" s="187"/>
      <c r="BV5" s="450"/>
      <c r="BW5" s="187"/>
      <c r="BX5" s="187"/>
      <c r="BY5" s="187"/>
      <c r="BZ5" s="187"/>
      <c r="CA5" s="187"/>
      <c r="CB5" s="450"/>
      <c r="CC5" s="187"/>
      <c r="CD5" s="187"/>
      <c r="CE5" s="187"/>
      <c r="CF5" s="187"/>
      <c r="CG5" s="187"/>
      <c r="CH5" s="450"/>
      <c r="CI5" s="187"/>
      <c r="CJ5" s="187"/>
      <c r="CK5" s="187"/>
      <c r="CL5" s="187"/>
      <c r="CM5" s="187"/>
      <c r="CN5" s="450"/>
      <c r="CO5" s="187"/>
      <c r="CP5" s="187"/>
      <c r="CQ5" s="187"/>
      <c r="CR5" s="187"/>
      <c r="CS5" s="187"/>
      <c r="CT5" s="450"/>
      <c r="CU5" s="187"/>
      <c r="CV5" s="187"/>
      <c r="CW5" s="187"/>
      <c r="CX5" s="187"/>
      <c r="CY5" s="187"/>
      <c r="CZ5" s="450"/>
      <c r="DA5" s="187"/>
      <c r="DB5" s="187"/>
      <c r="DC5" s="187"/>
      <c r="DD5" s="187"/>
      <c r="DE5" s="187"/>
      <c r="DF5" s="450"/>
      <c r="DG5" s="187"/>
      <c r="DH5" s="187"/>
      <c r="DI5" s="187"/>
      <c r="DJ5" s="187"/>
      <c r="DK5" s="187"/>
      <c r="DL5" s="187"/>
      <c r="DM5" s="187"/>
      <c r="DN5" s="187"/>
      <c r="DO5" s="187"/>
      <c r="DP5" s="187"/>
      <c r="DQ5" s="187"/>
      <c r="DR5" s="187"/>
      <c r="DS5" s="187"/>
      <c r="DT5" s="187"/>
      <c r="DU5" s="187"/>
      <c r="DV5" s="187"/>
      <c r="DW5" s="187"/>
      <c r="DX5" s="187"/>
      <c r="DY5" s="187"/>
      <c r="DZ5" s="187"/>
      <c r="EA5" s="187"/>
      <c r="EB5" s="187"/>
      <c r="EC5" s="187"/>
      <c r="ED5" s="187"/>
      <c r="EE5" s="187"/>
      <c r="EF5" s="187"/>
      <c r="EG5" s="187"/>
      <c r="EH5" s="1743"/>
      <c r="EI5" s="1742"/>
      <c r="EJ5" s="1743"/>
      <c r="EK5" s="1743"/>
      <c r="EL5" s="1743"/>
      <c r="EM5" s="187"/>
      <c r="EN5" s="187"/>
      <c r="EO5" s="187"/>
      <c r="EP5" s="187"/>
      <c r="EQ5" s="187"/>
      <c r="ER5" s="187"/>
      <c r="ES5" s="187"/>
      <c r="ET5" s="187"/>
      <c r="EU5" s="187"/>
      <c r="EV5" s="187"/>
      <c r="EW5" s="187"/>
      <c r="EX5" s="187"/>
      <c r="EY5" s="187"/>
      <c r="EZ5" s="187"/>
      <c r="FA5" s="187"/>
      <c r="FB5" s="187"/>
      <c r="FC5" s="187"/>
      <c r="FD5" s="187"/>
      <c r="FE5" s="187"/>
      <c r="FF5" s="187"/>
      <c r="FG5" s="187"/>
      <c r="FH5" s="187"/>
      <c r="FI5" s="187"/>
      <c r="FJ5" s="187"/>
      <c r="FK5" s="187"/>
      <c r="FL5" s="187"/>
      <c r="FM5" s="187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</row>
    <row r="6" spans="1:274" s="24" customFormat="1" hidden="1" outlineLevel="1" x14ac:dyDescent="0.2">
      <c r="A6" s="345"/>
      <c r="B6" s="1050"/>
      <c r="C6" s="345"/>
      <c r="D6" s="345"/>
      <c r="E6" s="345"/>
      <c r="F6" s="345"/>
      <c r="G6" s="345"/>
      <c r="H6" s="345"/>
      <c r="I6" s="345"/>
      <c r="J6" s="345"/>
      <c r="K6" s="345"/>
      <c r="L6" s="345"/>
      <c r="M6" s="345"/>
      <c r="N6" s="345"/>
      <c r="O6" s="345"/>
      <c r="P6" s="345"/>
      <c r="Q6" s="345"/>
      <c r="R6" s="345"/>
      <c r="S6" s="345"/>
      <c r="T6" s="345"/>
      <c r="U6" s="345"/>
      <c r="V6" s="345"/>
      <c r="W6" s="345"/>
      <c r="X6" s="345"/>
      <c r="Y6" s="345"/>
      <c r="Z6" s="106"/>
      <c r="AA6" s="345"/>
      <c r="AB6" s="345"/>
      <c r="AC6" s="345"/>
      <c r="AD6" s="345"/>
      <c r="AE6" s="345"/>
      <c r="AF6" s="106"/>
      <c r="AG6" s="345"/>
      <c r="AH6" s="345"/>
      <c r="AI6" s="345"/>
      <c r="AJ6" s="345"/>
      <c r="AK6" s="345"/>
      <c r="AL6" s="106"/>
      <c r="AM6" s="345"/>
      <c r="AN6" s="345"/>
      <c r="AO6" s="345"/>
      <c r="AP6" s="345"/>
      <c r="AQ6" s="345"/>
      <c r="AR6" s="106"/>
      <c r="AS6" s="345"/>
      <c r="AT6" s="345"/>
      <c r="AU6" s="345"/>
      <c r="AV6" s="345"/>
      <c r="AW6" s="345"/>
      <c r="AX6" s="106"/>
      <c r="AY6" s="345"/>
      <c r="AZ6" s="345"/>
      <c r="BA6" s="345"/>
      <c r="BB6" s="345"/>
      <c r="BC6" s="345"/>
      <c r="BD6" s="106"/>
      <c r="BE6" s="345"/>
      <c r="BF6" s="345"/>
      <c r="BG6" s="345"/>
      <c r="BH6" s="345"/>
      <c r="BI6" s="345"/>
      <c r="BJ6" s="106"/>
      <c r="BK6" s="345"/>
      <c r="BL6" s="345"/>
      <c r="BM6" s="345"/>
      <c r="BN6" s="345"/>
      <c r="BO6" s="345"/>
      <c r="BP6" s="106"/>
      <c r="BQ6" s="345"/>
      <c r="BR6" s="345"/>
      <c r="BS6" s="345"/>
      <c r="BT6" s="345"/>
      <c r="BU6" s="345"/>
      <c r="BV6" s="106"/>
      <c r="BW6" s="345"/>
      <c r="BX6" s="345"/>
      <c r="BY6" s="345"/>
      <c r="BZ6" s="345"/>
      <c r="CA6" s="345"/>
      <c r="CB6" s="106"/>
      <c r="CC6" s="345"/>
      <c r="CD6" s="345"/>
      <c r="CE6" s="345"/>
      <c r="CF6" s="345"/>
      <c r="CG6" s="345"/>
      <c r="CH6" s="106"/>
      <c r="CI6" s="345"/>
      <c r="CJ6" s="345"/>
      <c r="CK6" s="345"/>
      <c r="CL6" s="345"/>
      <c r="CM6" s="345"/>
      <c r="CN6" s="106"/>
      <c r="CO6" s="345"/>
      <c r="CP6" s="345"/>
      <c r="CQ6" s="345"/>
      <c r="CR6" s="345"/>
      <c r="CS6" s="345"/>
      <c r="CT6" s="106"/>
      <c r="CU6" s="345"/>
      <c r="CV6" s="345"/>
      <c r="CW6" s="345"/>
      <c r="CX6" s="345"/>
      <c r="CY6" s="345"/>
      <c r="CZ6" s="106"/>
      <c r="DA6" s="345"/>
      <c r="DB6" s="345"/>
      <c r="DC6" s="345"/>
      <c r="DD6" s="345"/>
      <c r="DE6" s="345"/>
      <c r="DF6" s="106"/>
      <c r="DG6" s="345"/>
      <c r="DH6" s="345"/>
      <c r="DI6" s="345"/>
      <c r="DJ6" s="345"/>
      <c r="DK6" s="345"/>
      <c r="DL6" s="345"/>
      <c r="DM6" s="345"/>
      <c r="DN6" s="345"/>
      <c r="DO6" s="345"/>
      <c r="DP6" s="345"/>
      <c r="DQ6" s="345"/>
      <c r="DR6" s="345"/>
      <c r="DS6" s="345"/>
      <c r="DT6" s="345"/>
      <c r="DU6" s="345"/>
      <c r="DV6" s="345"/>
      <c r="DW6" s="345"/>
      <c r="DX6" s="345"/>
      <c r="DY6" s="345"/>
      <c r="DZ6" s="345"/>
      <c r="EA6" s="345"/>
      <c r="EB6" s="345"/>
      <c r="EC6" s="345"/>
      <c r="ED6" s="345"/>
      <c r="EE6" s="345"/>
      <c r="EF6" s="345"/>
      <c r="EG6" s="345"/>
      <c r="EH6" s="345"/>
      <c r="EI6" s="1742"/>
      <c r="EJ6" s="345"/>
      <c r="EK6" s="345"/>
      <c r="EL6" s="345"/>
      <c r="EM6" s="345"/>
      <c r="EN6" s="345"/>
      <c r="EO6" s="345"/>
      <c r="EP6" s="345"/>
      <c r="EQ6" s="345"/>
      <c r="ER6" s="345"/>
      <c r="ES6" s="345"/>
      <c r="ET6" s="345"/>
      <c r="EU6" s="345"/>
      <c r="EV6" s="345"/>
      <c r="EW6" s="345"/>
      <c r="EX6" s="345"/>
      <c r="EY6" s="345"/>
      <c r="EZ6" s="345"/>
      <c r="FA6" s="345"/>
      <c r="FB6" s="345"/>
      <c r="FC6" s="345"/>
      <c r="FD6" s="345"/>
      <c r="FE6" s="345"/>
      <c r="FF6" s="345"/>
      <c r="FG6" s="345"/>
      <c r="FH6" s="345"/>
      <c r="FI6" s="345"/>
      <c r="FJ6" s="345"/>
      <c r="FK6" s="345"/>
      <c r="FL6" s="345"/>
      <c r="FM6" s="345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</row>
    <row r="7" spans="1:274" s="24" customFormat="1" collapsed="1" x14ac:dyDescent="0.2">
      <c r="A7" s="27"/>
      <c r="B7" s="1050"/>
      <c r="C7" s="791" t="str">
        <f>Model!C6</f>
        <v>Full Year History Only</v>
      </c>
      <c r="D7" s="791"/>
      <c r="E7" s="791"/>
      <c r="F7" s="791"/>
      <c r="G7" s="791"/>
      <c r="H7" s="791"/>
      <c r="I7" s="791"/>
      <c r="J7" s="791"/>
      <c r="K7" s="791"/>
      <c r="L7" s="791"/>
      <c r="M7" s="791"/>
      <c r="N7" s="32"/>
      <c r="O7" s="791" t="str">
        <f>Model!O6</f>
        <v>F1995</v>
      </c>
      <c r="P7" s="791"/>
      <c r="Q7" s="791"/>
      <c r="R7" s="791"/>
      <c r="S7" s="791"/>
      <c r="T7" s="27"/>
      <c r="U7" s="791" t="str">
        <f>Model!U6</f>
        <v>F1996</v>
      </c>
      <c r="V7" s="791"/>
      <c r="W7" s="791"/>
      <c r="X7" s="791"/>
      <c r="Y7" s="791"/>
      <c r="Z7" s="792"/>
      <c r="AA7" s="791" t="str">
        <f>Model!AA6</f>
        <v>F1997</v>
      </c>
      <c r="AB7" s="791"/>
      <c r="AC7" s="791"/>
      <c r="AD7" s="791"/>
      <c r="AE7" s="791"/>
      <c r="AF7" s="792"/>
      <c r="AG7" s="791" t="str">
        <f>Model!AG6</f>
        <v>F1998</v>
      </c>
      <c r="AH7" s="791"/>
      <c r="AI7" s="791"/>
      <c r="AJ7" s="791"/>
      <c r="AK7" s="791"/>
      <c r="AL7" s="792"/>
      <c r="AM7" s="791" t="str">
        <f>Model!AM6</f>
        <v>F1999</v>
      </c>
      <c r="AN7" s="791"/>
      <c r="AO7" s="791"/>
      <c r="AP7" s="791"/>
      <c r="AQ7" s="791"/>
      <c r="AR7" s="792"/>
      <c r="AS7" s="791" t="str">
        <f>Model!AS6</f>
        <v>F2000</v>
      </c>
      <c r="AT7" s="791"/>
      <c r="AU7" s="791"/>
      <c r="AV7" s="791"/>
      <c r="AW7" s="791"/>
      <c r="AX7" s="792"/>
      <c r="AY7" s="791" t="str">
        <f>Model!AY6</f>
        <v>F2001</v>
      </c>
      <c r="AZ7" s="791"/>
      <c r="BA7" s="791"/>
      <c r="BB7" s="791"/>
      <c r="BC7" s="791"/>
      <c r="BD7" s="792"/>
      <c r="BE7" s="791" t="str">
        <f>Model!BE6</f>
        <v>F2002</v>
      </c>
      <c r="BF7" s="791"/>
      <c r="BG7" s="791"/>
      <c r="BH7" s="791"/>
      <c r="BI7" s="791"/>
      <c r="BJ7" s="792"/>
      <c r="BK7" s="791" t="str">
        <f>Model!BK6</f>
        <v>F2003</v>
      </c>
      <c r="BL7" s="791"/>
      <c r="BM7" s="791"/>
      <c r="BN7" s="791"/>
      <c r="BO7" s="791"/>
      <c r="BP7" s="792"/>
      <c r="BQ7" s="791" t="str">
        <f>Model!BQ6</f>
        <v>F2004</v>
      </c>
      <c r="BR7" s="791"/>
      <c r="BS7" s="791"/>
      <c r="BT7" s="791"/>
      <c r="BU7" s="791"/>
      <c r="BV7" s="792"/>
      <c r="BW7" s="791" t="str">
        <f>Model!BW6</f>
        <v>F2005</v>
      </c>
      <c r="BX7" s="791"/>
      <c r="BY7" s="791"/>
      <c r="BZ7" s="791"/>
      <c r="CA7" s="791"/>
      <c r="CB7" s="792"/>
      <c r="CC7" s="791" t="str">
        <f>Model!CC6</f>
        <v>F2006</v>
      </c>
      <c r="CD7" s="791"/>
      <c r="CE7" s="791"/>
      <c r="CF7" s="791"/>
      <c r="CG7" s="791"/>
      <c r="CH7" s="792"/>
      <c r="CI7" s="791" t="str">
        <f>Model!CI6</f>
        <v>F2007</v>
      </c>
      <c r="CJ7" s="791"/>
      <c r="CK7" s="791"/>
      <c r="CL7" s="791"/>
      <c r="CM7" s="791"/>
      <c r="CN7" s="792"/>
      <c r="CO7" s="791" t="str">
        <f>Model!CO6</f>
        <v>F2008</v>
      </c>
      <c r="CP7" s="791"/>
      <c r="CQ7" s="791"/>
      <c r="CR7" s="791"/>
      <c r="CS7" s="791"/>
      <c r="CT7" s="792"/>
      <c r="CU7" s="791" t="str">
        <f>Model!CU6</f>
        <v>F2009</v>
      </c>
      <c r="CV7" s="791"/>
      <c r="CW7" s="791"/>
      <c r="CX7" s="791"/>
      <c r="CY7" s="791"/>
      <c r="CZ7" s="792"/>
      <c r="DA7" s="791" t="str">
        <f>Model!DA6</f>
        <v>F2010</v>
      </c>
      <c r="DB7" s="791"/>
      <c r="DC7" s="791"/>
      <c r="DD7" s="791"/>
      <c r="DE7" s="791"/>
      <c r="DF7" s="792"/>
      <c r="DG7" s="791" t="str">
        <f>Model!DG6</f>
        <v>F2011</v>
      </c>
      <c r="DH7" s="791"/>
      <c r="DI7" s="791"/>
      <c r="DJ7" s="791"/>
      <c r="DK7" s="791"/>
      <c r="DL7" s="792"/>
      <c r="DM7" s="791" t="str">
        <f>Model!DM6</f>
        <v>F2012</v>
      </c>
      <c r="DN7" s="791"/>
      <c r="DO7" s="791"/>
      <c r="DP7" s="791"/>
      <c r="DQ7" s="791"/>
      <c r="DR7" s="792"/>
      <c r="DS7" s="791" t="str">
        <f>Model!DS6</f>
        <v>F2013</v>
      </c>
      <c r="DT7" s="791"/>
      <c r="DU7" s="791"/>
      <c r="DV7" s="791"/>
      <c r="DW7" s="791"/>
      <c r="DX7" s="792"/>
      <c r="DY7" s="791" t="str">
        <f>Model!DY6</f>
        <v>F2014</v>
      </c>
      <c r="DZ7" s="791"/>
      <c r="EA7" s="791"/>
      <c r="EB7" s="791"/>
      <c r="EC7" s="791"/>
      <c r="ED7" s="792"/>
      <c r="EE7" s="791" t="str">
        <f>Model!EE6</f>
        <v>F2015</v>
      </c>
      <c r="EF7" s="791"/>
      <c r="EG7" s="791"/>
      <c r="EH7" s="791"/>
      <c r="EI7" s="1742"/>
      <c r="EJ7" s="792"/>
      <c r="EK7" s="791" t="str">
        <f>Model!EK6</f>
        <v>F2016</v>
      </c>
      <c r="EL7" s="791"/>
      <c r="EM7" s="791"/>
      <c r="EN7" s="791"/>
      <c r="EO7" s="791"/>
      <c r="EP7" s="792"/>
      <c r="EQ7" s="791" t="str">
        <f>Model!EQ6</f>
        <v>F2017</v>
      </c>
      <c r="ER7" s="791"/>
      <c r="ES7" s="791"/>
      <c r="ET7" s="791"/>
      <c r="EU7" s="791"/>
      <c r="EV7" s="792"/>
      <c r="EW7" s="791" t="str">
        <f>Model!EW6</f>
        <v>F2018E</v>
      </c>
      <c r="EX7" s="791"/>
      <c r="EY7" s="791"/>
      <c r="EZ7" s="791"/>
      <c r="FA7" s="791"/>
      <c r="FB7" s="791"/>
      <c r="FC7" s="791" t="str">
        <f>Model!FC6</f>
        <v>F2019E</v>
      </c>
      <c r="FD7" s="791"/>
      <c r="FE7" s="791"/>
      <c r="FF7" s="791"/>
      <c r="FG7" s="791"/>
      <c r="FH7" s="791"/>
      <c r="FI7" s="791"/>
      <c r="FJ7" s="791"/>
      <c r="FK7" s="791"/>
      <c r="FL7" s="791"/>
      <c r="FM7" s="791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</row>
    <row r="8" spans="1:274" s="24" customFormat="1" x14ac:dyDescent="0.2">
      <c r="A8" s="793"/>
      <c r="B8" s="1051"/>
      <c r="C8" s="794" t="str">
        <f>Model!C7</f>
        <v>FY84</v>
      </c>
      <c r="D8" s="794" t="str">
        <f>Model!D7</f>
        <v>FY85</v>
      </c>
      <c r="E8" s="794" t="str">
        <f>Model!E7</f>
        <v>FY86</v>
      </c>
      <c r="F8" s="794" t="str">
        <f>Model!F7</f>
        <v>FY87</v>
      </c>
      <c r="G8" s="794" t="str">
        <f>Model!G7</f>
        <v>FY88</v>
      </c>
      <c r="H8" s="794" t="str">
        <f>Model!H7</f>
        <v>FY89</v>
      </c>
      <c r="I8" s="794" t="str">
        <f>Model!I7</f>
        <v>FY90</v>
      </c>
      <c r="J8" s="794" t="str">
        <f>Model!J7</f>
        <v>FY91</v>
      </c>
      <c r="K8" s="794" t="str">
        <f>Model!K7</f>
        <v>FY92</v>
      </c>
      <c r="L8" s="794" t="str">
        <f>Model!L7</f>
        <v>FY93</v>
      </c>
      <c r="M8" s="794" t="str">
        <f>Model!M7</f>
        <v>FY94</v>
      </c>
      <c r="N8" s="794"/>
      <c r="O8" s="794" t="str">
        <f>Model!O7</f>
        <v xml:space="preserve"> 8/94</v>
      </c>
      <c r="P8" s="794" t="str">
        <f>Model!P7</f>
        <v xml:space="preserve"> 11/94</v>
      </c>
      <c r="Q8" s="794" t="str">
        <f>Model!Q7</f>
        <v xml:space="preserve"> 2/95</v>
      </c>
      <c r="R8" s="794" t="str">
        <f>Model!R7</f>
        <v>5/95</v>
      </c>
      <c r="S8" s="794" t="str">
        <f>Model!S7</f>
        <v>FY95</v>
      </c>
      <c r="T8" s="794"/>
      <c r="U8" s="794" t="str">
        <f>Model!U7</f>
        <v xml:space="preserve"> 8/95</v>
      </c>
      <c r="V8" s="794" t="str">
        <f>Model!V7</f>
        <v xml:space="preserve"> 11/95</v>
      </c>
      <c r="W8" s="794" t="str">
        <f>Model!W7</f>
        <v xml:space="preserve"> 2/96</v>
      </c>
      <c r="X8" s="794" t="str">
        <f>Model!X7</f>
        <v>5/96</v>
      </c>
      <c r="Y8" s="794" t="str">
        <f>Model!Y7</f>
        <v>FY96</v>
      </c>
      <c r="Z8" s="794"/>
      <c r="AA8" s="794" t="str">
        <f>Model!AA7</f>
        <v xml:space="preserve"> 8/96</v>
      </c>
      <c r="AB8" s="794" t="str">
        <f>Model!AB7</f>
        <v xml:space="preserve"> 11/96</v>
      </c>
      <c r="AC8" s="794" t="str">
        <f>Model!AC7</f>
        <v xml:space="preserve"> 2/97</v>
      </c>
      <c r="AD8" s="794" t="str">
        <f>Model!AD7</f>
        <v>5/97</v>
      </c>
      <c r="AE8" s="794" t="str">
        <f>Model!AE7</f>
        <v>FY97</v>
      </c>
      <c r="AF8" s="794"/>
      <c r="AG8" s="794" t="str">
        <f>Model!AG7</f>
        <v xml:space="preserve"> 8/97</v>
      </c>
      <c r="AH8" s="794" t="str">
        <f>Model!AH7</f>
        <v xml:space="preserve"> 11/97</v>
      </c>
      <c r="AI8" s="794" t="str">
        <f>Model!AI7</f>
        <v xml:space="preserve"> 2/98</v>
      </c>
      <c r="AJ8" s="794" t="str">
        <f>Model!AJ7</f>
        <v>5/98</v>
      </c>
      <c r="AK8" s="794" t="str">
        <f>Model!AK7</f>
        <v>FY98</v>
      </c>
      <c r="AL8" s="794"/>
      <c r="AM8" s="794" t="str">
        <f>Model!AM7</f>
        <v xml:space="preserve"> 8/98</v>
      </c>
      <c r="AN8" s="794" t="str">
        <f>Model!AN7</f>
        <v xml:space="preserve"> 11/98</v>
      </c>
      <c r="AO8" s="794" t="str">
        <f>Model!AO7</f>
        <v xml:space="preserve"> 2/99</v>
      </c>
      <c r="AP8" s="794" t="str">
        <f>Model!AP7</f>
        <v>5/99</v>
      </c>
      <c r="AQ8" s="794" t="str">
        <f>Model!AQ7</f>
        <v>FY99</v>
      </c>
      <c r="AR8" s="794"/>
      <c r="AS8" s="794" t="str">
        <f>Model!AS7</f>
        <v xml:space="preserve"> 8/99</v>
      </c>
      <c r="AT8" s="794" t="str">
        <f>Model!AT7</f>
        <v xml:space="preserve"> 11/99</v>
      </c>
      <c r="AU8" s="794" t="str">
        <f>Model!AU7</f>
        <v xml:space="preserve"> 2/00</v>
      </c>
      <c r="AV8" s="794" t="str">
        <f>Model!AV7</f>
        <v>5/00</v>
      </c>
      <c r="AW8" s="794" t="str">
        <f>Model!AW7</f>
        <v>FY00</v>
      </c>
      <c r="AX8" s="794"/>
      <c r="AY8" s="794" t="str">
        <f>Model!AY7</f>
        <v xml:space="preserve"> 8/00</v>
      </c>
      <c r="AZ8" s="794" t="str">
        <f>Model!AZ7</f>
        <v xml:space="preserve"> 11/00</v>
      </c>
      <c r="BA8" s="794" t="str">
        <f>Model!BA7</f>
        <v xml:space="preserve"> 2/01</v>
      </c>
      <c r="BB8" s="794" t="str">
        <f>Model!BB7</f>
        <v>5/01</v>
      </c>
      <c r="BC8" s="794" t="str">
        <f>Model!BC7</f>
        <v>FY01</v>
      </c>
      <c r="BD8" s="794"/>
      <c r="BE8" s="794" t="str">
        <f>Model!BE7</f>
        <v xml:space="preserve"> 8/01</v>
      </c>
      <c r="BF8" s="794" t="str">
        <f>Model!BF7</f>
        <v xml:space="preserve"> 11/01</v>
      </c>
      <c r="BG8" s="794" t="str">
        <f>Model!BG7</f>
        <v xml:space="preserve"> 2/02</v>
      </c>
      <c r="BH8" s="794" t="str">
        <f>Model!BH7</f>
        <v>5/02</v>
      </c>
      <c r="BI8" s="794" t="str">
        <f>Model!BI7</f>
        <v>FY02</v>
      </c>
      <c r="BJ8" s="794"/>
      <c r="BK8" s="794" t="str">
        <f>Model!BK7</f>
        <v xml:space="preserve"> 8/02</v>
      </c>
      <c r="BL8" s="794" t="str">
        <f>Model!BL7</f>
        <v xml:space="preserve"> 11/02</v>
      </c>
      <c r="BM8" s="794" t="str">
        <f>Model!BM7</f>
        <v xml:space="preserve"> 2/03</v>
      </c>
      <c r="BN8" s="794" t="str">
        <f>Model!BN7</f>
        <v>5/03</v>
      </c>
      <c r="BO8" s="794" t="str">
        <f>Model!BO7</f>
        <v>FY03</v>
      </c>
      <c r="BP8" s="794"/>
      <c r="BQ8" s="794" t="str">
        <f>Model!BQ7</f>
        <v xml:space="preserve"> 8/03</v>
      </c>
      <c r="BR8" s="794" t="str">
        <f>Model!BR7</f>
        <v xml:space="preserve"> 11/03</v>
      </c>
      <c r="BS8" s="794" t="str">
        <f>Model!BS7</f>
        <v xml:space="preserve"> 2/04</v>
      </c>
      <c r="BT8" s="794" t="str">
        <f>Model!BT7</f>
        <v>5/04</v>
      </c>
      <c r="BU8" s="794" t="str">
        <f>Model!BU7</f>
        <v>FY04</v>
      </c>
      <c r="BV8" s="794"/>
      <c r="BW8" s="794" t="str">
        <f>Model!BW7</f>
        <v xml:space="preserve"> 8/04</v>
      </c>
      <c r="BX8" s="794" t="str">
        <f>Model!BX7</f>
        <v xml:space="preserve"> 11/04</v>
      </c>
      <c r="BY8" s="794" t="str">
        <f>Model!BY7</f>
        <v xml:space="preserve"> 2/05</v>
      </c>
      <c r="BZ8" s="794" t="str">
        <f>Model!BZ7</f>
        <v>5/05</v>
      </c>
      <c r="CA8" s="794" t="str">
        <f>Model!CA7</f>
        <v>FY05</v>
      </c>
      <c r="CB8" s="794"/>
      <c r="CC8" s="794" t="str">
        <f>Model!CC7</f>
        <v xml:space="preserve"> 8/05</v>
      </c>
      <c r="CD8" s="794" t="str">
        <f>Model!CD7</f>
        <v xml:space="preserve"> 11/05</v>
      </c>
      <c r="CE8" s="794" t="str">
        <f>Model!CE7</f>
        <v xml:space="preserve"> 2/06</v>
      </c>
      <c r="CF8" s="794" t="str">
        <f>Model!CF7</f>
        <v>5/06</v>
      </c>
      <c r="CG8" s="1052" t="str">
        <f>Model!CG7</f>
        <v>FY06</v>
      </c>
      <c r="CH8" s="794"/>
      <c r="CI8" s="794" t="str">
        <f>Model!CI7</f>
        <v xml:space="preserve"> 8/06</v>
      </c>
      <c r="CJ8" s="794" t="str">
        <f>Model!CJ7</f>
        <v xml:space="preserve"> 11/06</v>
      </c>
      <c r="CK8" s="794" t="str">
        <f>Model!CK7</f>
        <v xml:space="preserve"> 2/07</v>
      </c>
      <c r="CL8" s="794" t="str">
        <f>Model!CL7</f>
        <v>5/07</v>
      </c>
      <c r="CM8" s="1052" t="str">
        <f>Model!CM7</f>
        <v>FY07</v>
      </c>
      <c r="CN8" s="794"/>
      <c r="CO8" s="794" t="str">
        <f>Model!CO7</f>
        <v xml:space="preserve"> 8/07</v>
      </c>
      <c r="CP8" s="794" t="str">
        <f>Model!CP7</f>
        <v xml:space="preserve"> 11/07</v>
      </c>
      <c r="CQ8" s="794" t="str">
        <f>Model!CQ7</f>
        <v xml:space="preserve"> 2/08</v>
      </c>
      <c r="CR8" s="794" t="str">
        <f>Model!CR7</f>
        <v>5/08</v>
      </c>
      <c r="CS8" s="1052" t="str">
        <f>Model!CS7</f>
        <v>FY08</v>
      </c>
      <c r="CT8" s="794"/>
      <c r="CU8" s="794" t="str">
        <f>Model!CU7</f>
        <v xml:space="preserve"> 8/08</v>
      </c>
      <c r="CV8" s="794" t="str">
        <f>Model!CV7</f>
        <v xml:space="preserve"> 11/08</v>
      </c>
      <c r="CW8" s="794" t="str">
        <f>Model!CW7</f>
        <v xml:space="preserve"> 2/09</v>
      </c>
      <c r="CX8" s="794" t="str">
        <f>Model!CX7</f>
        <v>5/09</v>
      </c>
      <c r="CY8" s="1052" t="str">
        <f>Model!CY7</f>
        <v>FY09</v>
      </c>
      <c r="CZ8" s="794"/>
      <c r="DA8" s="794" t="str">
        <f>Model!DA7</f>
        <v>8/09</v>
      </c>
      <c r="DB8" s="794" t="str">
        <f>Model!DB7</f>
        <v>11/09</v>
      </c>
      <c r="DC8" s="794" t="str">
        <f>Model!DC7</f>
        <v>2/10</v>
      </c>
      <c r="DD8" s="794" t="str">
        <f>Model!DD7</f>
        <v>5/10</v>
      </c>
      <c r="DE8" s="1052" t="str">
        <f>Model!DE7</f>
        <v>FY10</v>
      </c>
      <c r="DF8" s="794"/>
      <c r="DG8" s="794" t="str">
        <f>Model!DG7</f>
        <v>8/10</v>
      </c>
      <c r="DH8" s="794" t="str">
        <f>Model!DH7</f>
        <v>11/10</v>
      </c>
      <c r="DI8" s="794" t="str">
        <f>Model!DI7</f>
        <v>2/11</v>
      </c>
      <c r="DJ8" s="794" t="str">
        <f>Model!DJ7</f>
        <v>5/11</v>
      </c>
      <c r="DK8" s="1052" t="str">
        <f>Model!DK7</f>
        <v>FY11</v>
      </c>
      <c r="DL8" s="794"/>
      <c r="DM8" s="794" t="str">
        <f>Model!DM7</f>
        <v>8/11</v>
      </c>
      <c r="DN8" s="794" t="str">
        <f>Model!DN7</f>
        <v>11/11</v>
      </c>
      <c r="DO8" s="794" t="str">
        <f>Model!DO7</f>
        <v xml:space="preserve"> 2/12</v>
      </c>
      <c r="DP8" s="794" t="str">
        <f>Model!DP7</f>
        <v>5/12</v>
      </c>
      <c r="DQ8" s="1052" t="str">
        <f>Model!DQ7</f>
        <v>FY12</v>
      </c>
      <c r="DR8" s="794"/>
      <c r="DS8" s="794" t="str">
        <f>Model!DS7</f>
        <v>8/12</v>
      </c>
      <c r="DT8" s="794" t="str">
        <f>Model!DT7</f>
        <v>11/12</v>
      </c>
      <c r="DU8" s="794" t="str">
        <f>Model!DU7</f>
        <v xml:space="preserve"> 2/13</v>
      </c>
      <c r="DV8" s="794" t="str">
        <f>Model!DV7</f>
        <v>5/13</v>
      </c>
      <c r="DW8" s="1052" t="str">
        <f>Model!DW7</f>
        <v>FY13</v>
      </c>
      <c r="DX8" s="794"/>
      <c r="DY8" s="794" t="str">
        <f>Model!DY7</f>
        <v>8/13</v>
      </c>
      <c r="DZ8" s="794" t="str">
        <f>Model!DZ7</f>
        <v>11/13</v>
      </c>
      <c r="EA8" s="794" t="str">
        <f>Model!EA7</f>
        <v>2/14</v>
      </c>
      <c r="EB8" s="794" t="str">
        <f>Model!EB7</f>
        <v>5/14</v>
      </c>
      <c r="EC8" s="1052" t="str">
        <f>Model!EC7</f>
        <v>FY14</v>
      </c>
      <c r="ED8" s="794"/>
      <c r="EE8" s="794" t="str">
        <f>Model!EE7</f>
        <v>8/14</v>
      </c>
      <c r="EF8" s="794" t="str">
        <f>Model!EF7</f>
        <v>11/14</v>
      </c>
      <c r="EG8" s="794" t="str">
        <f>Model!EG7</f>
        <v>2/15</v>
      </c>
      <c r="EH8" s="794" t="str">
        <f>Model!EH7</f>
        <v>5/15</v>
      </c>
      <c r="EI8" s="1052" t="str">
        <f>Model!EI7</f>
        <v>FY15</v>
      </c>
      <c r="EJ8" s="794"/>
      <c r="EK8" s="794" t="str">
        <f>Model!EK7</f>
        <v xml:space="preserve"> 8/15</v>
      </c>
      <c r="EL8" s="794" t="str">
        <f>Model!EL7</f>
        <v xml:space="preserve"> 11/15</v>
      </c>
      <c r="EM8" s="794" t="str">
        <f>Model!EM7</f>
        <v>2/16</v>
      </c>
      <c r="EN8" s="794" t="str">
        <f>Model!EN7</f>
        <v>5/16</v>
      </c>
      <c r="EO8" s="1052" t="str">
        <f>Model!EO7</f>
        <v>FY16</v>
      </c>
      <c r="EP8" s="794"/>
      <c r="EQ8" s="794" t="str">
        <f>Model!EQ7</f>
        <v xml:space="preserve"> 8/16</v>
      </c>
      <c r="ER8" s="794" t="str">
        <f>Model!ER7</f>
        <v xml:space="preserve"> 11/16</v>
      </c>
      <c r="ES8" s="794" t="str">
        <f>Model!ES7</f>
        <v xml:space="preserve"> 2/17</v>
      </c>
      <c r="ET8" s="794" t="str">
        <f>Model!ET7</f>
        <v>5/17</v>
      </c>
      <c r="EU8" s="1052" t="str">
        <f>Model!EU7</f>
        <v>FY17</v>
      </c>
      <c r="EV8" s="794"/>
      <c r="EW8" s="794" t="str">
        <f>Model!EW7</f>
        <v xml:space="preserve"> 8/17</v>
      </c>
      <c r="EX8" s="794" t="str">
        <f>Model!EX7</f>
        <v xml:space="preserve"> 11/17</v>
      </c>
      <c r="EY8" s="794" t="str">
        <f>Model!EY7</f>
        <v xml:space="preserve"> 2/18</v>
      </c>
      <c r="EZ8" s="794" t="str">
        <f>Model!EZ7</f>
        <v>5/18E</v>
      </c>
      <c r="FA8" s="1052" t="str">
        <f>Model!FA7</f>
        <v>FY18E</v>
      </c>
      <c r="FB8" s="794"/>
      <c r="FC8" s="794" t="str">
        <f>Model!FC7</f>
        <v xml:space="preserve"> 8/18E</v>
      </c>
      <c r="FD8" s="794" t="str">
        <f>Model!FD7</f>
        <v xml:space="preserve"> 11/18E</v>
      </c>
      <c r="FE8" s="794" t="str">
        <f>Model!FE7</f>
        <v xml:space="preserve"> 2/19E</v>
      </c>
      <c r="FF8" s="794" t="str">
        <f>Model!FF7</f>
        <v>5/19E</v>
      </c>
      <c r="FG8" s="1052" t="str">
        <f>Model!FG7</f>
        <v>FY19E</v>
      </c>
      <c r="FH8" s="794"/>
      <c r="FI8" s="794" t="str">
        <f>Model!FI7</f>
        <v xml:space="preserve"> 8/19E</v>
      </c>
      <c r="FJ8" s="794" t="str">
        <f>Model!FJ7</f>
        <v xml:space="preserve"> 11/19E</v>
      </c>
      <c r="FK8" s="794" t="str">
        <f>Model!FK7</f>
        <v xml:space="preserve"> 2/20E</v>
      </c>
      <c r="FL8" s="794" t="str">
        <f>Model!FL7</f>
        <v>5/20E</v>
      </c>
      <c r="FM8" s="1052" t="str">
        <f>Model!FM7</f>
        <v>FY20E</v>
      </c>
      <c r="FQ8" s="24" t="s">
        <v>656</v>
      </c>
      <c r="FR8" s="24" t="s">
        <v>797</v>
      </c>
      <c r="FS8" s="24" t="s">
        <v>411</v>
      </c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</row>
    <row r="9" spans="1:274" s="24" customFormat="1" ht="5.25" customHeight="1" x14ac:dyDescent="0.2">
      <c r="A9" s="18"/>
      <c r="B9" s="630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  <c r="BN9" s="28"/>
      <c r="BO9" s="28"/>
      <c r="BP9" s="28"/>
      <c r="BQ9" s="28"/>
      <c r="BR9" s="28"/>
      <c r="BS9" s="28"/>
      <c r="BT9" s="28"/>
      <c r="BU9" s="28"/>
      <c r="BV9" s="28"/>
      <c r="BW9" s="28"/>
      <c r="BX9" s="28"/>
      <c r="BY9" s="28"/>
      <c r="BZ9" s="28"/>
      <c r="CA9" s="28"/>
      <c r="CB9" s="28"/>
      <c r="CC9" s="28"/>
      <c r="CD9" s="28"/>
      <c r="CE9" s="28"/>
      <c r="CF9" s="28"/>
      <c r="CG9" s="416"/>
      <c r="CH9" s="28"/>
      <c r="CI9" s="28"/>
      <c r="CJ9" s="28"/>
      <c r="CK9" s="28"/>
      <c r="CL9" s="28"/>
      <c r="CM9" s="416"/>
      <c r="CN9" s="28"/>
      <c r="CO9" s="28"/>
      <c r="CP9" s="28"/>
      <c r="CQ9" s="28"/>
      <c r="CR9" s="28"/>
      <c r="CS9" s="416"/>
      <c r="CT9" s="28"/>
      <c r="CU9" s="28"/>
      <c r="CV9" s="28"/>
      <c r="CW9" s="28"/>
      <c r="CX9" s="28"/>
      <c r="CY9" s="416"/>
      <c r="CZ9" s="28"/>
      <c r="DA9" s="28"/>
      <c r="DB9" s="28"/>
      <c r="DC9" s="28"/>
      <c r="DD9" s="28"/>
      <c r="DE9" s="416"/>
      <c r="DF9" s="28"/>
      <c r="DG9" s="28"/>
      <c r="DH9" s="28"/>
      <c r="DI9" s="28"/>
      <c r="DJ9" s="28"/>
      <c r="DK9" s="416"/>
      <c r="DL9" s="28"/>
      <c r="DM9" s="28"/>
      <c r="DN9" s="28"/>
      <c r="DO9" s="28"/>
      <c r="DP9" s="28"/>
      <c r="DQ9" s="416"/>
      <c r="DR9" s="28"/>
      <c r="DS9" s="28"/>
      <c r="DT9" s="28"/>
      <c r="DU9" s="28"/>
      <c r="DV9" s="28"/>
      <c r="DW9" s="416"/>
      <c r="DX9" s="28"/>
      <c r="DY9" s="28"/>
      <c r="DZ9" s="28"/>
      <c r="EA9" s="28"/>
      <c r="EB9" s="28"/>
      <c r="EC9" s="416"/>
      <c r="ED9" s="28"/>
      <c r="EE9" s="28"/>
      <c r="EF9" s="28"/>
      <c r="EG9" s="28"/>
      <c r="EH9" s="28"/>
      <c r="EI9" s="416"/>
      <c r="EJ9" s="28"/>
      <c r="EK9" s="28"/>
      <c r="EL9" s="28"/>
      <c r="EM9" s="28"/>
      <c r="EN9" s="28"/>
      <c r="EO9" s="416"/>
      <c r="EP9" s="28"/>
      <c r="EQ9" s="28"/>
      <c r="ER9" s="28"/>
      <c r="ES9" s="28"/>
      <c r="ET9" s="28"/>
      <c r="EU9" s="416"/>
      <c r="EV9" s="28"/>
      <c r="EW9" s="28"/>
      <c r="EX9" s="28"/>
      <c r="EY9" s="28"/>
      <c r="EZ9" s="28"/>
      <c r="FA9" s="416"/>
      <c r="FB9" s="28"/>
      <c r="FC9" s="28"/>
      <c r="FD9" s="28"/>
      <c r="FE9" s="28"/>
      <c r="FF9" s="28"/>
      <c r="FG9" s="416"/>
      <c r="FH9" s="28"/>
      <c r="FI9" s="28"/>
      <c r="FJ9" s="28"/>
      <c r="FK9" s="28"/>
      <c r="FL9" s="28"/>
      <c r="FM9" s="416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</row>
    <row r="10" spans="1:274" s="24" customFormat="1" x14ac:dyDescent="0.2">
      <c r="A10" s="1221" t="s">
        <v>181</v>
      </c>
      <c r="B10" s="1222"/>
      <c r="C10" s="1474"/>
      <c r="D10" s="1221"/>
      <c r="E10" s="1221"/>
      <c r="F10" s="1221"/>
      <c r="G10" s="1221"/>
      <c r="H10" s="1221"/>
      <c r="I10" s="1221"/>
      <c r="J10" s="1221"/>
      <c r="K10" s="1221"/>
      <c r="L10" s="1221"/>
      <c r="M10" s="1221"/>
      <c r="N10" s="1221"/>
      <c r="O10" s="1221"/>
      <c r="P10" s="1221"/>
      <c r="Q10" s="1221"/>
      <c r="R10" s="1221"/>
      <c r="S10" s="1221"/>
      <c r="T10" s="1221"/>
      <c r="U10" s="1221"/>
      <c r="V10" s="1221"/>
      <c r="W10" s="1221"/>
      <c r="X10" s="1221"/>
      <c r="Y10" s="1221"/>
      <c r="Z10" s="1221"/>
      <c r="AA10" s="1221"/>
      <c r="AB10" s="1221"/>
      <c r="AC10" s="1221"/>
      <c r="AD10" s="1221"/>
      <c r="AE10" s="1221"/>
      <c r="AF10" s="1221"/>
      <c r="AG10" s="1221"/>
      <c r="AH10" s="1221"/>
      <c r="AI10" s="1221"/>
      <c r="AJ10" s="1221"/>
      <c r="AK10" s="1221"/>
      <c r="AL10" s="1221"/>
      <c r="AM10" s="1221"/>
      <c r="AN10" s="1221"/>
      <c r="AO10" s="1221"/>
      <c r="AP10" s="1221"/>
      <c r="AQ10" s="1221"/>
      <c r="AR10" s="1221"/>
      <c r="AS10" s="1221"/>
      <c r="AT10" s="1221"/>
      <c r="AU10" s="1221"/>
      <c r="AV10" s="1221"/>
      <c r="AW10" s="1221"/>
      <c r="AX10" s="1221"/>
      <c r="AY10" s="1221"/>
      <c r="AZ10" s="1221"/>
      <c r="BA10" s="1221"/>
      <c r="BB10" s="1221"/>
      <c r="BC10" s="1221"/>
      <c r="BD10" s="1221"/>
      <c r="BE10" s="1221"/>
      <c r="BF10" s="1221"/>
      <c r="BG10" s="1221"/>
      <c r="BH10" s="1221"/>
      <c r="BI10" s="1221"/>
      <c r="BJ10" s="1221"/>
      <c r="BK10" s="1221"/>
      <c r="BL10" s="1221"/>
      <c r="BM10" s="1221"/>
      <c r="BN10" s="1221"/>
      <c r="BO10" s="1221"/>
      <c r="BP10" s="1221"/>
      <c r="BQ10" s="1221"/>
      <c r="BR10" s="1221"/>
      <c r="BS10" s="1221"/>
      <c r="BT10" s="1221"/>
      <c r="BU10" s="1221"/>
      <c r="BV10" s="1221"/>
      <c r="BW10" s="1221"/>
      <c r="BX10" s="1221"/>
      <c r="BY10" s="1221"/>
      <c r="BZ10" s="1221"/>
      <c r="CA10" s="1221"/>
      <c r="CB10" s="1221"/>
      <c r="CC10" s="1221"/>
      <c r="CD10" s="1221"/>
      <c r="CE10" s="1221"/>
      <c r="CF10" s="1221"/>
      <c r="CG10" s="1374"/>
      <c r="CH10" s="1221"/>
      <c r="CI10" s="1221"/>
      <c r="CJ10" s="1221"/>
      <c r="CK10" s="1221"/>
      <c r="CL10" s="1221"/>
      <c r="CM10" s="1374"/>
      <c r="CN10" s="1221"/>
      <c r="CO10" s="1221"/>
      <c r="CP10" s="1221"/>
      <c r="CQ10" s="1221"/>
      <c r="CR10" s="1221"/>
      <c r="CS10" s="1374"/>
      <c r="CT10" s="1221"/>
      <c r="CU10" s="1221"/>
      <c r="CV10" s="1221"/>
      <c r="CW10" s="1221"/>
      <c r="CX10" s="1221"/>
      <c r="CY10" s="1374"/>
      <c r="CZ10" s="1221"/>
      <c r="DA10" s="1221"/>
      <c r="DB10" s="1221"/>
      <c r="DC10" s="1221"/>
      <c r="DD10" s="1221"/>
      <c r="DE10" s="1374"/>
      <c r="DF10" s="1221"/>
      <c r="DG10" s="1221"/>
      <c r="DH10" s="1221"/>
      <c r="DI10" s="1221"/>
      <c r="DJ10" s="1221"/>
      <c r="DK10" s="1374"/>
      <c r="DL10" s="1221"/>
      <c r="DM10" s="1221"/>
      <c r="DN10" s="1221"/>
      <c r="DO10" s="1221"/>
      <c r="DP10" s="1221"/>
      <c r="DQ10" s="1374"/>
      <c r="DR10" s="1221"/>
      <c r="DS10" s="1221"/>
      <c r="DT10" s="1221"/>
      <c r="DU10" s="1221"/>
      <c r="DV10" s="1221"/>
      <c r="DW10" s="1374"/>
      <c r="DX10" s="1221"/>
      <c r="DY10" s="1221"/>
      <c r="DZ10" s="1221"/>
      <c r="EA10" s="1221"/>
      <c r="EB10" s="1221"/>
      <c r="EC10" s="1374"/>
      <c r="ED10" s="1221"/>
      <c r="EE10" s="1221"/>
      <c r="EF10" s="1221"/>
      <c r="EG10" s="1221"/>
      <c r="EH10" s="1221"/>
      <c r="EI10" s="1374"/>
      <c r="EJ10" s="1221"/>
      <c r="EK10" s="1221"/>
      <c r="EL10" s="1221"/>
      <c r="EM10" s="1221"/>
      <c r="EN10" s="1221"/>
      <c r="EO10" s="1374"/>
      <c r="EP10" s="1221"/>
      <c r="EQ10" s="1221"/>
      <c r="ER10" s="1221"/>
      <c r="ES10" s="1221"/>
      <c r="ET10" s="1221"/>
      <c r="EU10" s="1374"/>
      <c r="EV10" s="1221"/>
      <c r="EW10" s="1221"/>
      <c r="EX10" s="1221"/>
      <c r="EY10" s="1221"/>
      <c r="EZ10" s="1221"/>
      <c r="FA10" s="1374"/>
      <c r="FB10" s="1221"/>
      <c r="FC10" s="1221"/>
      <c r="FD10" s="1221"/>
      <c r="FE10" s="1221"/>
      <c r="FF10" s="1221"/>
      <c r="FG10" s="1374"/>
      <c r="FH10" s="1221"/>
      <c r="FI10" s="1221"/>
      <c r="FJ10" s="1221"/>
      <c r="FK10" s="1221"/>
      <c r="FL10" s="1221"/>
      <c r="FM10" s="1374"/>
      <c r="FP10" s="795" t="s">
        <v>434</v>
      </c>
      <c r="FQ10" s="796" t="s">
        <v>656</v>
      </c>
      <c r="FR10" s="795" t="s">
        <v>797</v>
      </c>
      <c r="FS10" s="795" t="s">
        <v>411</v>
      </c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</row>
    <row r="11" spans="1:274" s="24" customFormat="1" x14ac:dyDescent="0.2">
      <c r="A11" s="58" t="s">
        <v>706</v>
      </c>
      <c r="B11" s="730"/>
      <c r="C11" s="797"/>
      <c r="D11" s="797"/>
      <c r="E11" s="797"/>
      <c r="F11" s="797"/>
      <c r="G11" s="798"/>
      <c r="H11" s="797"/>
      <c r="I11" s="797"/>
      <c r="J11" s="797"/>
      <c r="K11" s="797"/>
      <c r="L11" s="798"/>
      <c r="M11" s="797"/>
      <c r="N11" s="797"/>
      <c r="O11" s="797"/>
      <c r="P11" s="797"/>
      <c r="Q11" s="797"/>
      <c r="R11" s="797"/>
      <c r="S11" s="798"/>
      <c r="T11" s="799"/>
      <c r="U11" s="797"/>
      <c r="V11" s="797"/>
      <c r="W11" s="797"/>
      <c r="X11" s="797"/>
      <c r="Y11" s="798"/>
      <c r="Z11" s="800"/>
      <c r="AA11" s="797"/>
      <c r="AB11" s="797"/>
      <c r="AC11" s="797"/>
      <c r="AD11" s="797"/>
      <c r="AE11" s="798"/>
      <c r="AF11" s="800"/>
      <c r="AG11" s="797"/>
      <c r="AH11" s="797"/>
      <c r="AI11" s="797"/>
      <c r="AJ11" s="797"/>
      <c r="AK11" s="798"/>
      <c r="AL11" s="800"/>
      <c r="AM11" s="797"/>
      <c r="AN11" s="797"/>
      <c r="AO11" s="797"/>
      <c r="AP11" s="797"/>
      <c r="AQ11" s="798"/>
      <c r="AR11" s="800"/>
      <c r="AS11" s="797"/>
      <c r="AT11" s="797"/>
      <c r="AU11" s="797"/>
      <c r="AV11" s="797"/>
      <c r="AW11" s="798"/>
      <c r="AX11" s="800"/>
      <c r="AY11" s="797"/>
      <c r="AZ11" s="797"/>
      <c r="BA11" s="797"/>
      <c r="BB11" s="797"/>
      <c r="BC11" s="798"/>
      <c r="BD11" s="800"/>
      <c r="BE11" s="797"/>
      <c r="BF11" s="797"/>
      <c r="BG11" s="797"/>
      <c r="BH11" s="797"/>
      <c r="BI11" s="798"/>
      <c r="BJ11" s="800"/>
      <c r="BK11" s="797"/>
      <c r="BL11" s="797"/>
      <c r="BM11" s="797"/>
      <c r="BN11" s="797"/>
      <c r="BO11" s="798"/>
      <c r="BP11" s="800"/>
      <c r="BQ11" s="798"/>
      <c r="BR11" s="798"/>
      <c r="BS11" s="798"/>
      <c r="BT11" s="798"/>
      <c r="BU11" s="798"/>
      <c r="BV11" s="800"/>
      <c r="BW11" s="798"/>
      <c r="BX11" s="798"/>
      <c r="BY11" s="798"/>
      <c r="BZ11" s="798"/>
      <c r="CA11" s="798"/>
      <c r="CB11" s="800"/>
      <c r="CC11" s="798"/>
      <c r="CD11" s="798"/>
      <c r="CE11" s="798"/>
      <c r="CF11" s="798"/>
      <c r="CG11" s="801"/>
      <c r="CH11" s="800"/>
      <c r="CI11" s="798"/>
      <c r="CJ11" s="798"/>
      <c r="CK11" s="798"/>
      <c r="CL11" s="798"/>
      <c r="CM11" s="801"/>
      <c r="CN11" s="800"/>
      <c r="CO11" s="798"/>
      <c r="CP11" s="798"/>
      <c r="CQ11" s="798"/>
      <c r="CR11" s="798"/>
      <c r="CS11" s="801"/>
      <c r="CT11" s="800"/>
      <c r="CU11" s="798"/>
      <c r="CV11" s="798"/>
      <c r="CW11" s="798"/>
      <c r="CX11" s="798"/>
      <c r="CY11" s="801"/>
      <c r="CZ11" s="800"/>
      <c r="DA11" s="798"/>
      <c r="DB11" s="798"/>
      <c r="DC11" s="798"/>
      <c r="DD11" s="798"/>
      <c r="DE11" s="801"/>
      <c r="DF11" s="800"/>
      <c r="DG11" s="798"/>
      <c r="DH11" s="798"/>
      <c r="DI11" s="798"/>
      <c r="DJ11" s="798"/>
      <c r="DK11" s="801"/>
      <c r="DL11" s="800"/>
      <c r="DM11" s="798"/>
      <c r="DN11" s="798"/>
      <c r="DO11" s="798"/>
      <c r="DP11" s="798"/>
      <c r="DQ11" s="801"/>
      <c r="DR11" s="800"/>
      <c r="DS11" s="798"/>
      <c r="DT11" s="798"/>
      <c r="DU11" s="798"/>
      <c r="DV11" s="798"/>
      <c r="DW11" s="801"/>
      <c r="DX11" s="800"/>
      <c r="DY11" s="798"/>
      <c r="DZ11" s="798"/>
      <c r="EA11" s="798"/>
      <c r="EB11" s="798"/>
      <c r="EC11" s="801"/>
      <c r="ED11" s="800"/>
      <c r="EE11" s="798"/>
      <c r="EF11" s="798"/>
      <c r="EG11" s="798"/>
      <c r="EH11" s="798"/>
      <c r="EI11" s="801"/>
      <c r="EJ11" s="800"/>
      <c r="EK11" s="798"/>
      <c r="EL11" s="798"/>
      <c r="EM11" s="798"/>
      <c r="EN11" s="798"/>
      <c r="EO11" s="801"/>
      <c r="EP11" s="800"/>
      <c r="EQ11" s="798"/>
      <c r="ER11" s="798"/>
      <c r="ES11" s="798"/>
      <c r="ET11" s="798"/>
      <c r="EU11" s="801"/>
      <c r="EV11" s="800"/>
      <c r="EW11" s="798"/>
      <c r="EX11" s="798"/>
      <c r="EY11" s="798"/>
      <c r="EZ11" s="798"/>
      <c r="FA11" s="801"/>
      <c r="FB11" s="800"/>
      <c r="FC11" s="798"/>
      <c r="FD11" s="798"/>
      <c r="FE11" s="798"/>
      <c r="FF11" s="798"/>
      <c r="FG11" s="801"/>
      <c r="FH11" s="800"/>
      <c r="FI11" s="798"/>
      <c r="FJ11" s="798"/>
      <c r="FK11" s="798"/>
      <c r="FL11" s="798"/>
      <c r="FM11" s="801"/>
      <c r="FO11" s="614" t="s">
        <v>978</v>
      </c>
      <c r="FQ11" s="62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</row>
    <row r="12" spans="1:274" s="24" customFormat="1" x14ac:dyDescent="0.2">
      <c r="A12" s="405" t="s">
        <v>29</v>
      </c>
      <c r="B12" s="1053"/>
      <c r="C12" s="101" t="s">
        <v>945</v>
      </c>
      <c r="D12" s="101" t="s">
        <v>945</v>
      </c>
      <c r="E12" s="101" t="s">
        <v>945</v>
      </c>
      <c r="F12" s="101" t="s">
        <v>945</v>
      </c>
      <c r="G12" s="101" t="s">
        <v>945</v>
      </c>
      <c r="H12" s="101">
        <v>301.66700000000003</v>
      </c>
      <c r="I12" s="101">
        <v>445.92099999999999</v>
      </c>
      <c r="J12" s="101">
        <v>394.27499999999998</v>
      </c>
      <c r="K12" s="101">
        <v>429.01200000000006</v>
      </c>
      <c r="L12" s="101">
        <v>553.48</v>
      </c>
      <c r="M12" s="101">
        <v>942.6690000000001</v>
      </c>
      <c r="N12" s="101"/>
      <c r="O12" s="101">
        <v>260.029</v>
      </c>
      <c r="P12" s="101">
        <v>311.875</v>
      </c>
      <c r="Q12" s="101">
        <v>339.08499999999998</v>
      </c>
      <c r="R12" s="101">
        <v>505.17500000000001</v>
      </c>
      <c r="S12" s="101">
        <f>SUM(O12:R12)</f>
        <v>1416.164</v>
      </c>
      <c r="T12" s="101"/>
      <c r="U12" s="101">
        <v>375.495</v>
      </c>
      <c r="V12" s="101">
        <v>445.98124999999999</v>
      </c>
      <c r="W12" s="101">
        <v>496.49900000000002</v>
      </c>
      <c r="X12" s="101">
        <v>757.45299999999997</v>
      </c>
      <c r="Y12" s="101">
        <f>SUM(U12:X12)</f>
        <v>2075.4282499999999</v>
      </c>
      <c r="Z12" s="101"/>
      <c r="AA12" s="101">
        <v>537.95299999999997</v>
      </c>
      <c r="AB12" s="101">
        <v>666.70600000000002</v>
      </c>
      <c r="AC12" s="101">
        <v>696.36400000000003</v>
      </c>
      <c r="AD12" s="101">
        <v>1092.5519999999999</v>
      </c>
      <c r="AE12" s="101">
        <f>SUM(AA12:AD12)</f>
        <v>2993.5749999999998</v>
      </c>
      <c r="AF12" s="101"/>
      <c r="AG12" s="101">
        <v>733.14700000000005</v>
      </c>
      <c r="AH12" s="101">
        <v>861.66600000000005</v>
      </c>
      <c r="AI12" s="101">
        <v>995.21900000000005</v>
      </c>
      <c r="AJ12" s="101">
        <v>1458.499</v>
      </c>
      <c r="AK12" s="101">
        <f>SUM(AG12:AJ12)</f>
        <v>4048.5309999999999</v>
      </c>
      <c r="AL12" s="101"/>
      <c r="AM12" s="101">
        <v>1003.126</v>
      </c>
      <c r="AN12" s="101">
        <v>1121.56</v>
      </c>
      <c r="AO12" s="101">
        <v>1165.155</v>
      </c>
      <c r="AP12" s="101">
        <v>1763.328</v>
      </c>
      <c r="AQ12" s="101">
        <f>SUM(AM12:AP12)</f>
        <v>5053.1689999999999</v>
      </c>
      <c r="AR12" s="101"/>
      <c r="AS12" s="101">
        <v>1124.25</v>
      </c>
      <c r="AT12" s="101">
        <v>1261.876</v>
      </c>
      <c r="AU12" s="101">
        <v>1450.0920000000001</v>
      </c>
      <c r="AV12" s="101">
        <v>2077.212</v>
      </c>
      <c r="AW12" s="101">
        <f>SUM(AS12:AV12)</f>
        <v>5913.43</v>
      </c>
      <c r="AX12" s="101"/>
      <c r="AY12" s="101">
        <v>1315.5329999999999</v>
      </c>
      <c r="AZ12" s="101">
        <v>1534.47</v>
      </c>
      <c r="BA12" s="101">
        <v>1559.626</v>
      </c>
      <c r="BB12" s="101">
        <v>1940.299</v>
      </c>
      <c r="BC12" s="101">
        <f>SUM(AY12:BB12)</f>
        <v>6349.9279999999999</v>
      </c>
      <c r="BD12" s="101"/>
      <c r="BE12" s="101">
        <v>1245.9760000000001</v>
      </c>
      <c r="BF12" s="101">
        <v>1281.692</v>
      </c>
      <c r="BG12" s="101">
        <v>1259.1769999999999</v>
      </c>
      <c r="BH12" s="101">
        <v>1506.001</v>
      </c>
      <c r="BI12" s="101">
        <f>SUM(BE12:BH12)</f>
        <v>5292.8460000000005</v>
      </c>
      <c r="BJ12" s="101"/>
      <c r="BK12" s="101">
        <v>1106</v>
      </c>
      <c r="BL12" s="101">
        <v>1157</v>
      </c>
      <c r="BM12" s="101">
        <v>1190</v>
      </c>
      <c r="BN12" s="101">
        <v>1391</v>
      </c>
      <c r="BO12" s="101">
        <f>SUM(BK12:BN12)</f>
        <v>4844</v>
      </c>
      <c r="BP12" s="101"/>
      <c r="BQ12" s="101">
        <v>1042</v>
      </c>
      <c r="BR12" s="101">
        <v>1250</v>
      </c>
      <c r="BS12" s="101">
        <v>1216</v>
      </c>
      <c r="BT12" s="101">
        <v>1475</v>
      </c>
      <c r="BU12" s="101">
        <f>SUM(BQ12:BT12)</f>
        <v>4983</v>
      </c>
      <c r="BV12" s="101"/>
      <c r="BW12" s="101">
        <v>1091</v>
      </c>
      <c r="BX12" s="101">
        <v>1292</v>
      </c>
      <c r="BY12" s="167">
        <f>1437+0.6*Model!BY97</f>
        <v>1522.8</v>
      </c>
      <c r="BZ12" s="167">
        <f>1977+0.6*Model!BZ97</f>
        <v>2083.2048</v>
      </c>
      <c r="CA12" s="101">
        <f>SUM(BW12:BZ12)</f>
        <v>5989.0048000000006</v>
      </c>
      <c r="CB12" s="101"/>
      <c r="CC12" s="101">
        <f>1476+139*0.6</f>
        <v>1559.4</v>
      </c>
      <c r="CD12" s="101">
        <f>1733+102*0.6</f>
        <v>1794.2</v>
      </c>
      <c r="CE12" s="101">
        <f>1848+65*0.5</f>
        <v>1880.5</v>
      </c>
      <c r="CF12" s="101">
        <f>2595+86*0.5</f>
        <v>2638</v>
      </c>
      <c r="CG12" s="168">
        <f>SUM(CC12:CF12)</f>
        <v>7872.1</v>
      </c>
      <c r="CH12" s="101"/>
      <c r="CI12" s="101">
        <f>1956+70*0.5</f>
        <v>1991</v>
      </c>
      <c r="CJ12" s="101">
        <f>2170+53*0.5</f>
        <v>2196.5</v>
      </c>
      <c r="CK12" s="101">
        <f>2315+35*0.5</f>
        <v>2332.5</v>
      </c>
      <c r="CL12" s="101">
        <f>3018+55*0.5</f>
        <v>3045.5</v>
      </c>
      <c r="CM12" s="168">
        <f>SUM(CI12:CL12)</f>
        <v>9565.5</v>
      </c>
      <c r="CN12" s="101"/>
      <c r="CO12" s="101">
        <f>2375+64*0.5</f>
        <v>2407</v>
      </c>
      <c r="CP12" s="101">
        <f>2674+51*0.5</f>
        <v>2699.5</v>
      </c>
      <c r="CQ12" s="101">
        <f>2707+22*0.5</f>
        <v>2718</v>
      </c>
      <c r="CR12" s="101">
        <f>3574+42*0.5</f>
        <v>3595</v>
      </c>
      <c r="CS12" s="168">
        <f>SUM(CO12:CR12)</f>
        <v>11419.5</v>
      </c>
      <c r="CT12" s="101"/>
      <c r="CU12" s="101">
        <f>2687+91*0.5</f>
        <v>2732.5</v>
      </c>
      <c r="CV12" s="101">
        <f>2904+80*0.5</f>
        <v>2944</v>
      </c>
      <c r="CW12" s="101">
        <v>2846</v>
      </c>
      <c r="CX12" s="33">
        <v>3463</v>
      </c>
      <c r="CY12" s="168">
        <f>SUM(CU12:CX12)</f>
        <v>11985.5</v>
      </c>
      <c r="CZ12" s="101"/>
      <c r="DA12" s="101">
        <v>2671</v>
      </c>
      <c r="DB12" s="101">
        <v>2979</v>
      </c>
      <c r="DC12" s="101">
        <v>3284</v>
      </c>
      <c r="DD12" s="101">
        <v>4886</v>
      </c>
      <c r="DE12" s="168">
        <f>SUM(DA12:DD12)</f>
        <v>13820</v>
      </c>
      <c r="DF12" s="101"/>
      <c r="DG12" s="101">
        <f>3904/7502*DG15</f>
        <v>3948.7539322847242</v>
      </c>
      <c r="DH12" s="101">
        <v>4452</v>
      </c>
      <c r="DI12" s="101">
        <v>4509</v>
      </c>
      <c r="DJ12" s="101">
        <v>5487</v>
      </c>
      <c r="DK12" s="168">
        <f>SUM(DG12:DJ12)</f>
        <v>18396.753932284722</v>
      </c>
      <c r="DL12" s="101"/>
      <c r="DM12" s="101">
        <v>4226</v>
      </c>
      <c r="DN12" s="101">
        <v>4532</v>
      </c>
      <c r="DO12" s="101">
        <v>4707</v>
      </c>
      <c r="DP12" s="101">
        <v>5771</v>
      </c>
      <c r="DQ12" s="168">
        <f>SUM(DM12:DP12)</f>
        <v>19236</v>
      </c>
      <c r="DR12" s="101"/>
      <c r="DS12" s="101">
        <v>4324</v>
      </c>
      <c r="DT12" s="101">
        <v>4787</v>
      </c>
      <c r="DU12" s="101">
        <v>4698</v>
      </c>
      <c r="DV12" s="101">
        <v>5911</v>
      </c>
      <c r="DW12" s="168">
        <f>SUM(DS12:DV12)</f>
        <v>19720</v>
      </c>
      <c r="DX12" s="101"/>
      <c r="DY12" s="101">
        <v>4517</v>
      </c>
      <c r="DZ12" s="101">
        <v>4995</v>
      </c>
      <c r="EA12" s="101">
        <v>4953</v>
      </c>
      <c r="EB12" s="101">
        <v>5857</v>
      </c>
      <c r="EC12" s="168">
        <f>SUM(DY12:EB12)</f>
        <v>20322</v>
      </c>
      <c r="ED12" s="101"/>
      <c r="EE12" s="101">
        <v>4620</v>
      </c>
      <c r="EF12" s="101">
        <v>5221</v>
      </c>
      <c r="EG12" s="101">
        <v>5134</v>
      </c>
      <c r="EH12" s="101">
        <v>6133</v>
      </c>
      <c r="EI12" s="168">
        <f>SUM(EE12:EH12)</f>
        <v>21108</v>
      </c>
      <c r="EJ12" s="101"/>
      <c r="EK12" s="101">
        <v>4716</v>
      </c>
      <c r="EL12" s="101">
        <v>4960</v>
      </c>
      <c r="EM12" s="101">
        <v>4942</v>
      </c>
      <c r="EN12" s="101">
        <v>5847</v>
      </c>
      <c r="EO12" s="168">
        <f>SUM(EK12:EN12)</f>
        <v>20465</v>
      </c>
      <c r="EP12" s="101"/>
      <c r="EQ12" s="101">
        <v>4817</v>
      </c>
      <c r="ER12" s="101">
        <v>4935</v>
      </c>
      <c r="ES12" s="101">
        <v>5219</v>
      </c>
      <c r="ET12" s="101">
        <f>((5076+542)/(8884+1114))*ET$15</f>
        <v>6147.8833766753351</v>
      </c>
      <c r="EU12" s="168">
        <f>SUM(EQ12:ET12)</f>
        <v>21118.883376675334</v>
      </c>
      <c r="EV12" s="101"/>
      <c r="EW12" s="101">
        <f>((4256+485)/(7384+943))*EW$15</f>
        <v>5244.8771466314402</v>
      </c>
      <c r="EX12" s="101">
        <f>((4414+482)/(7825+940))*EX$15</f>
        <v>5379.1762692527091</v>
      </c>
      <c r="EY12" s="101">
        <f>((4482+472)/(7981+994))*EY$15</f>
        <v>5396.1341504178281</v>
      </c>
      <c r="EZ12" s="101">
        <f t="shared" ref="EZ12:EZ13" si="0">EZ$15*EZ37</f>
        <v>6287.6156269390867</v>
      </c>
      <c r="FA12" s="168">
        <f>SUM(EW12:EZ12)</f>
        <v>22307.803193241067</v>
      </c>
      <c r="FB12" s="101"/>
      <c r="FC12" s="101">
        <f t="shared" ref="FC12:FF13" si="1">FC$15*FC37</f>
        <v>5436.9737094842621</v>
      </c>
      <c r="FD12" s="101">
        <f t="shared" si="1"/>
        <v>5575.7296005683211</v>
      </c>
      <c r="FE12" s="101">
        <f t="shared" si="1"/>
        <v>5570.4683036421602</v>
      </c>
      <c r="FF12" s="101">
        <f t="shared" si="1"/>
        <v>6407.7550364890312</v>
      </c>
      <c r="FG12" s="168">
        <f>SUM(FC12:FF12)</f>
        <v>22990.926650183774</v>
      </c>
      <c r="FH12" s="101"/>
      <c r="FI12" s="101">
        <f t="shared" ref="FI12:FL12" si="2">FI$15*FI37</f>
        <v>5659.1350639912862</v>
      </c>
      <c r="FJ12" s="101">
        <f t="shared" si="2"/>
        <v>5777.3658005218958</v>
      </c>
      <c r="FK12" s="101">
        <f t="shared" si="2"/>
        <v>5762.6518351327222</v>
      </c>
      <c r="FL12" s="101">
        <f t="shared" si="2"/>
        <v>6561.1135660883201</v>
      </c>
      <c r="FM12" s="168">
        <f>SUM(FI12:FL12)</f>
        <v>23760.266265734223</v>
      </c>
      <c r="FO12" s="158" t="str">
        <f>A12</f>
        <v>Americas</v>
      </c>
      <c r="FP12" s="158">
        <f>CG12</f>
        <v>7872.1</v>
      </c>
      <c r="FQ12" s="802">
        <f>CM12</f>
        <v>9565.5</v>
      </c>
      <c r="FR12" s="158">
        <f>CS12</f>
        <v>11419.5</v>
      </c>
      <c r="FS12" s="158">
        <f>CY12</f>
        <v>11985.5</v>
      </c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</row>
    <row r="13" spans="1:274" s="24" customFormat="1" x14ac:dyDescent="0.2">
      <c r="A13" s="405" t="s">
        <v>702</v>
      </c>
      <c r="B13" s="603"/>
      <c r="C13" s="101" t="s">
        <v>945</v>
      </c>
      <c r="D13" s="101" t="s">
        <v>945</v>
      </c>
      <c r="E13" s="101" t="s">
        <v>945</v>
      </c>
      <c r="F13" s="101" t="s">
        <v>945</v>
      </c>
      <c r="G13" s="101" t="s">
        <v>945</v>
      </c>
      <c r="H13" s="101">
        <v>192.928</v>
      </c>
      <c r="I13" s="101">
        <v>350.90899999999999</v>
      </c>
      <c r="J13" s="101">
        <v>506.21</v>
      </c>
      <c r="K13" s="101">
        <v>568.68100000000004</v>
      </c>
      <c r="L13" s="101">
        <v>686.56899999999996</v>
      </c>
      <c r="M13" s="101">
        <v>833.13599999999997</v>
      </c>
      <c r="N13" s="101"/>
      <c r="O13" s="101">
        <v>227.708</v>
      </c>
      <c r="P13" s="101">
        <v>271.87200000000001</v>
      </c>
      <c r="Q13" s="101">
        <v>285.06400000000002</v>
      </c>
      <c r="R13" s="101">
        <v>380.75900000000001</v>
      </c>
      <c r="S13" s="101">
        <f>SUM(O13:R13)</f>
        <v>1165.403</v>
      </c>
      <c r="T13" s="101"/>
      <c r="U13" s="101">
        <v>280.47500000000002</v>
      </c>
      <c r="V13" s="101">
        <v>375.18335999999999</v>
      </c>
      <c r="W13" s="101">
        <v>372.27100000000002</v>
      </c>
      <c r="X13" s="101">
        <v>512.87</v>
      </c>
      <c r="Y13" s="101">
        <f>SUM(U13:X13)</f>
        <v>1540.79936</v>
      </c>
      <c r="Z13" s="101"/>
      <c r="AA13" s="101">
        <v>354.23500000000001</v>
      </c>
      <c r="AB13" s="101">
        <v>436.68900000000002</v>
      </c>
      <c r="AC13" s="101">
        <v>476.01499999999999</v>
      </c>
      <c r="AD13" s="101">
        <v>614.21799999999996</v>
      </c>
      <c r="AE13" s="101">
        <f>SUM(AA13:AD13)</f>
        <v>1881.1569999999997</v>
      </c>
      <c r="AF13" s="101"/>
      <c r="AG13" s="101">
        <v>424.35199999999998</v>
      </c>
      <c r="AH13" s="101">
        <v>541.19500000000005</v>
      </c>
      <c r="AI13" s="101">
        <v>577.03899999999999</v>
      </c>
      <c r="AJ13" s="101">
        <v>754.75400000000002</v>
      </c>
      <c r="AK13" s="101">
        <f>SUM(AG13:AJ13)</f>
        <v>2297.34</v>
      </c>
      <c r="AL13" s="101"/>
      <c r="AM13" s="101">
        <v>564.77300000000002</v>
      </c>
      <c r="AN13" s="101">
        <v>709.51900000000001</v>
      </c>
      <c r="AO13" s="101">
        <v>693.67499999999995</v>
      </c>
      <c r="AP13" s="101">
        <v>887.26800000000003</v>
      </c>
      <c r="AQ13" s="101">
        <f>SUM(AM13:AP13)</f>
        <v>2855.2349999999997</v>
      </c>
      <c r="AR13" s="101"/>
      <c r="AS13" s="101">
        <v>617.73500000000001</v>
      </c>
      <c r="AT13" s="101">
        <v>755.71400000000006</v>
      </c>
      <c r="AU13" s="101">
        <v>707.36099999999999</v>
      </c>
      <c r="AV13" s="101">
        <v>902.33799999999997</v>
      </c>
      <c r="AW13" s="101">
        <f>SUM(AS13:AV13)</f>
        <v>2983.1480000000001</v>
      </c>
      <c r="AX13" s="101"/>
      <c r="AY13" s="101">
        <v>644.35</v>
      </c>
      <c r="AZ13" s="101">
        <v>763.30100000000004</v>
      </c>
      <c r="BA13" s="101">
        <v>785.94299999999998</v>
      </c>
      <c r="BB13" s="101">
        <v>926.17499999999995</v>
      </c>
      <c r="BC13" s="101">
        <f>SUM(AY13:BB13)</f>
        <v>3119.7690000000002</v>
      </c>
      <c r="BD13" s="101"/>
      <c r="BE13" s="101">
        <v>678.59799999999996</v>
      </c>
      <c r="BF13" s="101">
        <v>752.56100000000004</v>
      </c>
      <c r="BG13" s="101">
        <v>720.18299999999999</v>
      </c>
      <c r="BH13" s="101">
        <v>898.97400000000005</v>
      </c>
      <c r="BI13" s="101">
        <f>SUM(BE13:BH13)</f>
        <v>3050.3160000000003</v>
      </c>
      <c r="BJ13" s="101"/>
      <c r="BK13" s="101">
        <v>627</v>
      </c>
      <c r="BL13" s="101">
        <v>818</v>
      </c>
      <c r="BM13" s="101">
        <v>786</v>
      </c>
      <c r="BN13" s="101">
        <v>1024</v>
      </c>
      <c r="BO13" s="101">
        <f>SUM(BK13:BN13)</f>
        <v>3255</v>
      </c>
      <c r="BP13" s="101"/>
      <c r="BQ13" s="101">
        <v>717</v>
      </c>
      <c r="BR13" s="101">
        <v>881</v>
      </c>
      <c r="BS13" s="101">
        <v>918</v>
      </c>
      <c r="BT13" s="101">
        <v>1161</v>
      </c>
      <c r="BU13" s="101">
        <f>SUM(BQ13:BT13)</f>
        <v>3677</v>
      </c>
      <c r="BV13" s="101"/>
      <c r="BW13" s="101">
        <v>778</v>
      </c>
      <c r="BX13" s="101">
        <v>1062</v>
      </c>
      <c r="BY13" s="167">
        <f>1088+0.36*Model!BY97</f>
        <v>1139.48</v>
      </c>
      <c r="BZ13" s="167">
        <f>1361+0.36*Model!BZ97</f>
        <v>1424.72288</v>
      </c>
      <c r="CA13" s="101">
        <f>SUM(BW13:BZ13)</f>
        <v>4404.2028799999998</v>
      </c>
      <c r="CB13" s="101"/>
      <c r="CC13" s="101">
        <f>883+139*0.25</f>
        <v>917.75</v>
      </c>
      <c r="CD13" s="101">
        <f>1090+102*0.25</f>
        <v>1115.5</v>
      </c>
      <c r="CE13" s="101">
        <f>1164+65*0.35</f>
        <v>1186.75</v>
      </c>
      <c r="CF13" s="101">
        <f>1572+86*0.35</f>
        <v>1602.1</v>
      </c>
      <c r="CG13" s="168">
        <f>SUM(CC13:CF13)</f>
        <v>4822.1000000000004</v>
      </c>
      <c r="CH13" s="101"/>
      <c r="CI13" s="101">
        <f>1140+70*0.35</f>
        <v>1164.5</v>
      </c>
      <c r="CJ13" s="101">
        <f>1422+53*0.35</f>
        <v>1440.55</v>
      </c>
      <c r="CK13" s="101">
        <f>1484+35*0.35</f>
        <v>1496.25</v>
      </c>
      <c r="CL13" s="101">
        <f>1992+55*0.35</f>
        <v>2011.25</v>
      </c>
      <c r="CM13" s="168">
        <f>SUM(CI13:CL13)</f>
        <v>6112.55</v>
      </c>
      <c r="CN13" s="101"/>
      <c r="CO13" s="101">
        <f>1530+64*0.35</f>
        <v>1552.4</v>
      </c>
      <c r="CP13" s="101">
        <f>1865+51*0.35</f>
        <v>1882.85</v>
      </c>
      <c r="CQ13" s="101">
        <f>1871+0.35*22</f>
        <v>1878.7</v>
      </c>
      <c r="CR13" s="101">
        <f>2679+0.35*42</f>
        <v>2693.7</v>
      </c>
      <c r="CS13" s="168">
        <f>SUM(CO13:CR13)</f>
        <v>8007.65</v>
      </c>
      <c r="CT13" s="101"/>
      <c r="CU13" s="101">
        <f>1830+0.35*91</f>
        <v>1861.85</v>
      </c>
      <c r="CV13" s="101">
        <f>1881+0.35*80</f>
        <v>1909</v>
      </c>
      <c r="CW13" s="101">
        <v>1824</v>
      </c>
      <c r="CX13" s="33">
        <v>2413</v>
      </c>
      <c r="CY13" s="168">
        <f>SUM(CU13:CX13)</f>
        <v>8007.85</v>
      </c>
      <c r="CZ13" s="101"/>
      <c r="DA13" s="101">
        <v>1642</v>
      </c>
      <c r="DB13" s="101">
        <v>1976</v>
      </c>
      <c r="DC13" s="101">
        <v>2167</v>
      </c>
      <c r="DD13" s="101">
        <v>3153</v>
      </c>
      <c r="DE13" s="168">
        <f>SUM(DA13:DD13)</f>
        <v>8938</v>
      </c>
      <c r="DF13" s="101"/>
      <c r="DG13" s="101">
        <f>2381/7502*DG15</f>
        <v>2408.294854705412</v>
      </c>
      <c r="DH13" s="101">
        <v>2738</v>
      </c>
      <c r="DI13" s="101">
        <v>2815</v>
      </c>
      <c r="DJ13" s="101">
        <v>3564</v>
      </c>
      <c r="DK13" s="168">
        <f>SUM(DG13:DJ13)</f>
        <v>11525.294854705411</v>
      </c>
      <c r="DL13" s="101"/>
      <c r="DM13" s="101">
        <v>2704</v>
      </c>
      <c r="DN13" s="101">
        <v>2756</v>
      </c>
      <c r="DO13" s="101">
        <v>2787</v>
      </c>
      <c r="DP13" s="101">
        <v>3314</v>
      </c>
      <c r="DQ13" s="168">
        <f>SUM(DM13:DP13)</f>
        <v>11561</v>
      </c>
      <c r="DR13" s="101"/>
      <c r="DS13" s="101">
        <v>2383</v>
      </c>
      <c r="DT13" s="101">
        <v>2701</v>
      </c>
      <c r="DU13" s="101">
        <v>2745</v>
      </c>
      <c r="DV13" s="101">
        <v>3328</v>
      </c>
      <c r="DW13" s="168">
        <f>SUM(DS13:DV13)</f>
        <v>11157</v>
      </c>
      <c r="DX13" s="101"/>
      <c r="DY13" s="101">
        <v>2439</v>
      </c>
      <c r="DZ13" s="101">
        <v>2817</v>
      </c>
      <c r="EA13" s="101">
        <v>2923</v>
      </c>
      <c r="EB13" s="101">
        <v>3768</v>
      </c>
      <c r="EC13" s="168">
        <f>SUM(DY13:EB13)</f>
        <v>11947</v>
      </c>
      <c r="ED13" s="101"/>
      <c r="EE13" s="101">
        <v>2589</v>
      </c>
      <c r="EF13" s="101">
        <v>2911</v>
      </c>
      <c r="EG13" s="101">
        <v>2813</v>
      </c>
      <c r="EH13" s="101">
        <v>3067</v>
      </c>
      <c r="EI13" s="168">
        <f>SUM(EE13:EH13)</f>
        <v>11380</v>
      </c>
      <c r="EJ13" s="101"/>
      <c r="EK13" s="101">
        <v>2456</v>
      </c>
      <c r="EL13" s="101">
        <v>2645</v>
      </c>
      <c r="EM13" s="101">
        <v>2661</v>
      </c>
      <c r="EN13" s="101">
        <v>3120</v>
      </c>
      <c r="EO13" s="168">
        <f>SUM(EK13:EN13)</f>
        <v>10882</v>
      </c>
      <c r="EP13" s="101"/>
      <c r="EQ13" s="101">
        <v>2413</v>
      </c>
      <c r="ER13" s="101">
        <v>2558</v>
      </c>
      <c r="ES13" s="101">
        <v>2558</v>
      </c>
      <c r="ET13" s="101">
        <f>((2489+352)/(8884+1114))*ET$15</f>
        <v>3108.9598919783953</v>
      </c>
      <c r="EU13" s="168">
        <f>SUM(EQ13:ET13)</f>
        <v>10637.959891978395</v>
      </c>
      <c r="EV13" s="101"/>
      <c r="EW13" s="101">
        <f>((2019+271)/(7384+943))*EW$15</f>
        <v>2533.3829710580039</v>
      </c>
      <c r="EX13" s="101">
        <f>((2259+272)/(7825+940))*EX$15</f>
        <v>2780.7792355961205</v>
      </c>
      <c r="EY13" s="101">
        <f>((2312+324)/(7981+994))*EY$15</f>
        <v>2871.2574930362116</v>
      </c>
      <c r="EZ13" s="101">
        <f t="shared" si="0"/>
        <v>3179.6219288241264</v>
      </c>
      <c r="FA13" s="168">
        <f>SUM(EW13:EZ13)</f>
        <v>11365.041628514462</v>
      </c>
      <c r="FB13" s="101"/>
      <c r="FC13" s="101">
        <f t="shared" si="1"/>
        <v>2626.1695411767478</v>
      </c>
      <c r="FD13" s="101">
        <f t="shared" si="1"/>
        <v>2882.3879940846446</v>
      </c>
      <c r="FE13" s="101">
        <f t="shared" si="1"/>
        <v>2964.0198725072128</v>
      </c>
      <c r="FF13" s="101">
        <f t="shared" si="1"/>
        <v>3240.3759449386503</v>
      </c>
      <c r="FG13" s="168">
        <f>SUM(FC13:FF13)</f>
        <v>11712.953352707256</v>
      </c>
      <c r="FH13" s="101"/>
      <c r="FI13" s="101">
        <f t="shared" ref="FI13:FL13" si="3">FI$15*FI38</f>
        <v>2733.4780207846543</v>
      </c>
      <c r="FJ13" s="101">
        <f t="shared" si="3"/>
        <v>2986.6243548041089</v>
      </c>
      <c r="FK13" s="101">
        <f t="shared" si="3"/>
        <v>3066.2798218429257</v>
      </c>
      <c r="FL13" s="101">
        <f t="shared" si="3"/>
        <v>3317.9287364287852</v>
      </c>
      <c r="FM13" s="168">
        <f>SUM(FI13:FL13)</f>
        <v>12104.310933860474</v>
      </c>
      <c r="FO13" s="158" t="str">
        <f>A13</f>
        <v>EMEA</v>
      </c>
      <c r="FP13" s="158">
        <f>CG13</f>
        <v>4822.1000000000004</v>
      </c>
      <c r="FQ13" s="802">
        <f>CM13</f>
        <v>6112.55</v>
      </c>
      <c r="FR13" s="158">
        <f>CS13</f>
        <v>8007.65</v>
      </c>
      <c r="FS13" s="158">
        <f>CY13</f>
        <v>8007.85</v>
      </c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</row>
    <row r="14" spans="1:274" s="24" customFormat="1" x14ac:dyDescent="0.2">
      <c r="A14" s="405" t="s">
        <v>1017</v>
      </c>
      <c r="B14" s="441"/>
      <c r="C14" s="101" t="s">
        <v>945</v>
      </c>
      <c r="D14" s="101" t="s">
        <v>945</v>
      </c>
      <c r="E14" s="101" t="s">
        <v>945</v>
      </c>
      <c r="F14" s="101" t="s">
        <v>945</v>
      </c>
      <c r="G14" s="101" t="s">
        <v>945</v>
      </c>
      <c r="H14" s="101">
        <f t="shared" ref="H14:M14" si="4">H15-H12-H13</f>
        <v>89.204999999999927</v>
      </c>
      <c r="I14" s="101">
        <f t="shared" si="4"/>
        <v>119.56</v>
      </c>
      <c r="J14" s="101">
        <f t="shared" si="4"/>
        <v>127.46400000000011</v>
      </c>
      <c r="K14" s="101">
        <f t="shared" si="4"/>
        <v>181.3069999999999</v>
      </c>
      <c r="L14" s="101">
        <f t="shared" si="4"/>
        <v>262.95100000000002</v>
      </c>
      <c r="M14" s="101">
        <f t="shared" si="4"/>
        <v>225.34199999999987</v>
      </c>
      <c r="N14" s="101"/>
      <c r="O14" s="101">
        <f>O15-O12-O13</f>
        <v>68.737000000000052</v>
      </c>
      <c r="P14" s="101">
        <f>P15-P12-P13</f>
        <v>86.532999999999959</v>
      </c>
      <c r="Q14" s="101">
        <f>Q15-Q12-Q13</f>
        <v>98.096000000000004</v>
      </c>
      <c r="R14" s="101">
        <f>R15-R12-R13</f>
        <v>131.94499999999994</v>
      </c>
      <c r="S14" s="101">
        <f>SUM(O14:R14)</f>
        <v>385.31099999999992</v>
      </c>
      <c r="T14" s="101"/>
      <c r="U14" s="101">
        <f>U15-U12-U13</f>
        <v>115.83299999999997</v>
      </c>
      <c r="V14" s="101">
        <f>V15-V12-V13</f>
        <v>145.83538999999996</v>
      </c>
      <c r="W14" s="101">
        <f>W15-W12-W13</f>
        <v>151.46899999999999</v>
      </c>
      <c r="X14" s="101">
        <f>X15-X12-X13</f>
        <v>193.75099999999986</v>
      </c>
      <c r="Y14" s="101">
        <f>SUM(U14:X14)</f>
        <v>606.88838999999984</v>
      </c>
      <c r="Z14" s="101"/>
      <c r="AA14" s="101">
        <f>AA15-AA12-AA13</f>
        <v>160.13099999999997</v>
      </c>
      <c r="AB14" s="101">
        <f>AB15-AB12-AB13</f>
        <v>207.97800000000001</v>
      </c>
      <c r="AC14" s="101">
        <f>AC15-AC12-AC13</f>
        <v>200.23399999999981</v>
      </c>
      <c r="AD14" s="101">
        <f>AD15-AD12-AD13</f>
        <v>241.26100000000008</v>
      </c>
      <c r="AE14" s="101">
        <f>SUM(AA14:AD14)</f>
        <v>809.60399999999993</v>
      </c>
      <c r="AF14" s="101"/>
      <c r="AG14" s="101">
        <f>AG15-AG12-AG13</f>
        <v>211.32899999999995</v>
      </c>
      <c r="AH14" s="101">
        <f>AH15-AH12-AH13</f>
        <v>210.86599999999976</v>
      </c>
      <c r="AI14" s="101">
        <f>AI15-AI12-AI13</f>
        <v>176.49900000000002</v>
      </c>
      <c r="AJ14" s="101">
        <f>AJ15-AJ12-AJ13</f>
        <v>199.29999999999984</v>
      </c>
      <c r="AK14" s="101">
        <f>SUM(AG14:AJ14)</f>
        <v>797.99399999999957</v>
      </c>
      <c r="AL14" s="101"/>
      <c r="AM14" s="101">
        <f>AM15-AM12-AM13</f>
        <v>181.2109999999999</v>
      </c>
      <c r="AN14" s="101">
        <f>AN15-AN12-AN13</f>
        <v>224.86500000000046</v>
      </c>
      <c r="AO14" s="101">
        <f>AO15-AO12-AO13</f>
        <v>220.09000000000015</v>
      </c>
      <c r="AP14" s="101">
        <f>AP15-AP12-AP13</f>
        <v>292.68199999999979</v>
      </c>
      <c r="AQ14" s="101">
        <f>SUM(AM14:AP14)</f>
        <v>918.8480000000003</v>
      </c>
      <c r="AR14" s="101"/>
      <c r="AS14" s="101">
        <f>AS15-AS12-AS13</f>
        <v>242.53200000000004</v>
      </c>
      <c r="AT14" s="101">
        <f>AT15-AT12-AT13</f>
        <v>304.29299999999978</v>
      </c>
      <c r="AU14" s="101">
        <f>AU15-AU12-AU13</f>
        <v>291.96499999999958</v>
      </c>
      <c r="AV14" s="101">
        <f>AV15-AV12-AV13</f>
        <v>394.76000000000045</v>
      </c>
      <c r="AW14" s="101">
        <f>SUM(AS14:AV14)</f>
        <v>1233.5499999999997</v>
      </c>
      <c r="AX14" s="101"/>
      <c r="AY14" s="101">
        <f>AY15-AY12-AY13</f>
        <v>328.10900000000026</v>
      </c>
      <c r="AZ14" s="101">
        <f>AZ15-AZ12-AZ13</f>
        <v>388.63699999999983</v>
      </c>
      <c r="BA14" s="101">
        <f>BA15-BA12-BA13</f>
        <v>350.49299999999994</v>
      </c>
      <c r="BB14" s="101">
        <f>BB15-BB12-BB13</f>
        <v>423.75600000000009</v>
      </c>
      <c r="BC14" s="101">
        <f>SUM(AY14:BB14)</f>
        <v>1490.9950000000001</v>
      </c>
      <c r="BD14" s="101"/>
      <c r="BE14" s="101">
        <f>BE15-BE12-BE13</f>
        <v>340.48099999999977</v>
      </c>
      <c r="BF14" s="101">
        <f>BF15-BF12-BF13</f>
        <v>346.18399999999986</v>
      </c>
      <c r="BG14" s="101">
        <f>BG15-BG12-BG13</f>
        <v>273.95999999999981</v>
      </c>
      <c r="BH14" s="101">
        <f>BH15-BH12-BH13</f>
        <v>369.0060000000002</v>
      </c>
      <c r="BI14" s="101">
        <f>SUM(BE14:BH14)</f>
        <v>1329.6309999999996</v>
      </c>
      <c r="BJ14" s="101"/>
      <c r="BK14" s="101">
        <f>BK15-BK12-BK13</f>
        <v>295</v>
      </c>
      <c r="BL14" s="101">
        <f>BL15-BL12-BL13</f>
        <v>334</v>
      </c>
      <c r="BM14" s="101">
        <v>331</v>
      </c>
      <c r="BN14" s="101">
        <f>BN15-BN12-BN13</f>
        <v>416.40000000000009</v>
      </c>
      <c r="BO14" s="101">
        <f>SUM(BK14:BN14)</f>
        <v>1376.4</v>
      </c>
      <c r="BP14" s="101"/>
      <c r="BQ14" s="101">
        <f>BQ15-BQ12-BQ13</f>
        <v>313</v>
      </c>
      <c r="BR14" s="101">
        <f>BR15-BR12-BR13</f>
        <v>367</v>
      </c>
      <c r="BS14" s="101">
        <f>BS15-BS12-BS13</f>
        <v>375</v>
      </c>
      <c r="BT14" s="101">
        <f>BT15-BT12-BT13</f>
        <v>441</v>
      </c>
      <c r="BU14" s="101">
        <f>SUM(BQ14:BT14)</f>
        <v>1496</v>
      </c>
      <c r="BV14" s="101"/>
      <c r="BW14" s="101">
        <f>BW15-BW12-BW13</f>
        <v>346</v>
      </c>
      <c r="BX14" s="101">
        <f>BX15-BX12-BX13</f>
        <v>402</v>
      </c>
      <c r="BY14" s="167">
        <f>BY15-BY12-BY13</f>
        <v>430.72</v>
      </c>
      <c r="BZ14" s="167">
        <f>BZ15-BZ12-BZ13</f>
        <v>547.07231999999999</v>
      </c>
      <c r="CA14" s="101">
        <f>SUM(BW14:BZ14)</f>
        <v>1725.79232</v>
      </c>
      <c r="CB14" s="101"/>
      <c r="CC14" s="101">
        <f>CC15-CC12-CC13</f>
        <v>429.84999999999991</v>
      </c>
      <c r="CD14" s="101">
        <f>CD15-CD12-CD13</f>
        <v>484.29999999999995</v>
      </c>
      <c r="CE14" s="101">
        <f>CE15-CE12-CE13</f>
        <v>467.15000000000009</v>
      </c>
      <c r="CF14" s="101">
        <f>CF15-CF12-CF13</f>
        <v>696.90000000000009</v>
      </c>
      <c r="CG14" s="168">
        <f>SUM(CC14:CF14)</f>
        <v>2078.1999999999998</v>
      </c>
      <c r="CH14" s="101"/>
      <c r="CI14" s="101">
        <f>CI15-CI12-CI13</f>
        <v>505.5</v>
      </c>
      <c r="CJ14" s="101">
        <f>CJ15-CJ12-CJ13</f>
        <v>578.95000000000005</v>
      </c>
      <c r="CK14" s="101">
        <f>CK15-CK12-CK13</f>
        <v>620.25</v>
      </c>
      <c r="CL14" s="101">
        <f>CL15-CL12-CL13</f>
        <v>826.25</v>
      </c>
      <c r="CM14" s="168">
        <f>SUM(CI14:CL14)</f>
        <v>2530.9499999999998</v>
      </c>
      <c r="CN14" s="101"/>
      <c r="CO14" s="101">
        <f>CO15-CO13-CO12</f>
        <v>633.59999999999991</v>
      </c>
      <c r="CP14" s="101">
        <f>CP15-CP13-CP12</f>
        <v>781.65000000000009</v>
      </c>
      <c r="CQ14" s="101">
        <f>CQ15-CQ12-CQ13</f>
        <v>774.3</v>
      </c>
      <c r="CR14" s="101">
        <f>CR15-CR12-CR13</f>
        <v>992.30000000000018</v>
      </c>
      <c r="CS14" s="168">
        <f>SUM(CO14:CR14)</f>
        <v>3181.8500000000004</v>
      </c>
      <c r="CT14" s="101"/>
      <c r="CU14" s="101">
        <f>CU15-CU12-CU13</f>
        <v>827.65000000000009</v>
      </c>
      <c r="CV14" s="101">
        <f>CV15-CV12-CV13</f>
        <v>834</v>
      </c>
      <c r="CW14" s="101">
        <v>783</v>
      </c>
      <c r="CX14" s="33">
        <v>985</v>
      </c>
      <c r="CY14" s="168">
        <f>SUM(CU14:CX14)</f>
        <v>3429.65</v>
      </c>
      <c r="CZ14" s="101"/>
      <c r="DA14" s="101">
        <f>DA15-DA12-DA13</f>
        <v>750</v>
      </c>
      <c r="DB14" s="101">
        <v>903</v>
      </c>
      <c r="DC14" s="101">
        <v>953</v>
      </c>
      <c r="DD14" s="101">
        <v>1466</v>
      </c>
      <c r="DE14" s="168">
        <f>SUM(DA14:DD14)</f>
        <v>4072</v>
      </c>
      <c r="DF14" s="101"/>
      <c r="DG14" s="101">
        <f>1217/7502*DG15</f>
        <v>1230.951213009864</v>
      </c>
      <c r="DH14" s="101">
        <v>1392</v>
      </c>
      <c r="DI14" s="101">
        <v>1440</v>
      </c>
      <c r="DJ14" s="101">
        <v>1724</v>
      </c>
      <c r="DK14" s="168">
        <f>SUM(DG14:DJ14)</f>
        <v>5786.9512130098637</v>
      </c>
      <c r="DL14" s="101"/>
      <c r="DM14" s="101">
        <v>1444</v>
      </c>
      <c r="DN14" s="101">
        <v>1504</v>
      </c>
      <c r="DO14" s="101">
        <v>1545</v>
      </c>
      <c r="DP14" s="101">
        <v>1831</v>
      </c>
      <c r="DQ14" s="168">
        <f>SUM(DM14:DP14)</f>
        <v>6324</v>
      </c>
      <c r="DR14" s="101"/>
      <c r="DS14" s="101">
        <v>1474</v>
      </c>
      <c r="DT14" s="101">
        <v>1606</v>
      </c>
      <c r="DU14" s="101">
        <v>1515</v>
      </c>
      <c r="DV14" s="101">
        <v>1708</v>
      </c>
      <c r="DW14" s="168">
        <f>SUM(DS14:DV14)</f>
        <v>6303</v>
      </c>
      <c r="DX14" s="101"/>
      <c r="DY14" s="101">
        <v>1416</v>
      </c>
      <c r="DZ14" s="101">
        <v>1463</v>
      </c>
      <c r="EA14" s="101">
        <v>1431</v>
      </c>
      <c r="EB14" s="101">
        <v>1695</v>
      </c>
      <c r="EC14" s="168">
        <f>SUM(DY14:EB14)</f>
        <v>6005</v>
      </c>
      <c r="ED14" s="101"/>
      <c r="EE14" s="101">
        <v>1387</v>
      </c>
      <c r="EF14" s="101">
        <v>1466</v>
      </c>
      <c r="EG14" s="101">
        <v>1380</v>
      </c>
      <c r="EH14" s="101">
        <v>1506</v>
      </c>
      <c r="EI14" s="168">
        <f>SUM(EE14:EH14)</f>
        <v>5739</v>
      </c>
      <c r="EJ14" s="101"/>
      <c r="EK14" s="101">
        <v>1276</v>
      </c>
      <c r="EL14" s="101">
        <v>1388</v>
      </c>
      <c r="EM14" s="101">
        <v>1409</v>
      </c>
      <c r="EN14" s="101">
        <v>1627</v>
      </c>
      <c r="EO14" s="168">
        <f>SUM(EK14:EN14)</f>
        <v>5700</v>
      </c>
      <c r="EP14" s="101"/>
      <c r="EQ14" s="101">
        <v>1365</v>
      </c>
      <c r="ER14" s="101">
        <v>1542</v>
      </c>
      <c r="ES14" s="101">
        <v>1428</v>
      </c>
      <c r="ET14" s="101">
        <f>((1319+220)/(8884+1114))*ET$15</f>
        <v>1684.1567313462692</v>
      </c>
      <c r="EU14" s="168">
        <f>SUM(EQ14:ET14)</f>
        <v>6019.1567313462692</v>
      </c>
      <c r="EV14" s="101"/>
      <c r="EW14" s="101">
        <f>((1109+187)/(7384+943))*EW$15</f>
        <v>1433.7398823105559</v>
      </c>
      <c r="EX14" s="101">
        <f>((1152+186)/(7825+940))*EX$15</f>
        <v>1470.0444951511695</v>
      </c>
      <c r="EY14" s="101">
        <f>((1187+198)/(7981+994))*EY$15</f>
        <v>1508.608356545961</v>
      </c>
      <c r="EZ14" s="101">
        <f>EZ15-EZ12-EZ13</f>
        <v>1722.4351103345052</v>
      </c>
      <c r="FA14" s="168">
        <f>SUM(EW14:EZ14)</f>
        <v>6134.8278443421914</v>
      </c>
      <c r="FB14" s="101"/>
      <c r="FC14" s="101">
        <f>FC15-FC12-FC13</f>
        <v>1486.25140845636</v>
      </c>
      <c r="FD14" s="101">
        <f>FD15-FD12-FD13</f>
        <v>1523.7594374102155</v>
      </c>
      <c r="FE14" s="101">
        <f>FE15-FE12-FE13</f>
        <v>1557.3473154106555</v>
      </c>
      <c r="FF14" s="101">
        <f>FF15-FF12-FF13</f>
        <v>1755.3462088210431</v>
      </c>
      <c r="FG14" s="168">
        <f>SUM(FC14:FF14)</f>
        <v>6322.704370098274</v>
      </c>
      <c r="FH14" s="101"/>
      <c r="FI14" s="101">
        <f>FI15-FI12-FI13</f>
        <v>1546.9814475707035</v>
      </c>
      <c r="FJ14" s="101">
        <f>FJ15-FJ12-FJ13</f>
        <v>1578.8634479367443</v>
      </c>
      <c r="FK14" s="101">
        <f>FK15-FK12-FK13</f>
        <v>1611.0764617801401</v>
      </c>
      <c r="FL14" s="101">
        <f>FL15-FL12-FL13</f>
        <v>1797.3573830918344</v>
      </c>
      <c r="FM14" s="168">
        <f>SUM(FI14:FL14)</f>
        <v>6534.2787403794227</v>
      </c>
      <c r="FO14" s="158" t="str">
        <f>A14</f>
        <v>Asia Pacific</v>
      </c>
      <c r="FP14" s="158">
        <f>CG14</f>
        <v>2078.1999999999998</v>
      </c>
      <c r="FQ14" s="802">
        <f>CM14</f>
        <v>2530.9499999999998</v>
      </c>
      <c r="FR14" s="158">
        <f>CS14</f>
        <v>3181.8500000000004</v>
      </c>
      <c r="FS14" s="158">
        <f>CY14</f>
        <v>3429.65</v>
      </c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</row>
    <row r="15" spans="1:274" s="24" customFormat="1" x14ac:dyDescent="0.2">
      <c r="A15" s="803" t="s">
        <v>409</v>
      </c>
      <c r="B15" s="1054"/>
      <c r="C15" s="804">
        <f>rev _fy84</f>
        <v>12.715</v>
      </c>
      <c r="D15" s="804">
        <f>rev _fy85</f>
        <v>23.150999999999996</v>
      </c>
      <c r="E15" s="804">
        <f>rev _fy86</f>
        <v>55.344999999999999</v>
      </c>
      <c r="F15" s="804">
        <f>rev _fy87</f>
        <v>131.249</v>
      </c>
      <c r="G15" s="804">
        <f>rev _fy88</f>
        <v>282.113</v>
      </c>
      <c r="H15" s="804">
        <f>rev _fy89</f>
        <v>583.79999999999995</v>
      </c>
      <c r="I15" s="804">
        <f>rev _fy90</f>
        <v>916.39</v>
      </c>
      <c r="J15" s="804">
        <f>rev _fy91</f>
        <v>1027.9490000000001</v>
      </c>
      <c r="K15" s="804">
        <f>rev _fy92</f>
        <v>1179</v>
      </c>
      <c r="L15" s="804">
        <f>rev _fy93</f>
        <v>1503</v>
      </c>
      <c r="M15" s="804">
        <f>rev _fy94</f>
        <v>2001.1469999999999</v>
      </c>
      <c r="N15" s="804"/>
      <c r="O15" s="804">
        <f>rev _3c94</f>
        <v>556.47400000000005</v>
      </c>
      <c r="P15" s="804">
        <f>rev _4c94</f>
        <v>670.28</v>
      </c>
      <c r="Q15" s="804">
        <f>rev _1c95</f>
        <v>722.245</v>
      </c>
      <c r="R15" s="804">
        <f>rev _2c95</f>
        <v>1017.879</v>
      </c>
      <c r="S15" s="804">
        <f>rev _fy95</f>
        <v>2966.8779999999997</v>
      </c>
      <c r="T15" s="804"/>
      <c r="U15" s="804">
        <f>rev _3c95</f>
        <v>771.803</v>
      </c>
      <c r="V15" s="804">
        <f>rev _4c95</f>
        <v>967</v>
      </c>
      <c r="W15" s="804">
        <f>rev _1c96</f>
        <v>1020.239</v>
      </c>
      <c r="X15" s="804">
        <f>rev _2c96</f>
        <v>1464.0739999999998</v>
      </c>
      <c r="Y15" s="804">
        <f>rev _fy96</f>
        <v>4223.116</v>
      </c>
      <c r="Z15" s="804"/>
      <c r="AA15" s="804">
        <f>rev _3c96</f>
        <v>1052.319</v>
      </c>
      <c r="AB15" s="804">
        <f>rev _4c96</f>
        <v>1311.373</v>
      </c>
      <c r="AC15" s="804">
        <f>rev _1c97</f>
        <v>1372.6129999999998</v>
      </c>
      <c r="AD15" s="804">
        <f>rev _2c97</f>
        <v>1948.0309999999999</v>
      </c>
      <c r="AE15" s="804">
        <f>rev _fy97</f>
        <v>5684.3359999999993</v>
      </c>
      <c r="AF15" s="804"/>
      <c r="AG15" s="804">
        <f>rev _3c97</f>
        <v>1368.828</v>
      </c>
      <c r="AH15" s="804">
        <f>rev _4c97</f>
        <v>1613.7269999999999</v>
      </c>
      <c r="AI15" s="804">
        <f>rev _1c98</f>
        <v>1748.7570000000001</v>
      </c>
      <c r="AJ15" s="804">
        <f>rev _2c98</f>
        <v>2412.5529999999999</v>
      </c>
      <c r="AK15" s="804">
        <f>rev _fy98</f>
        <v>7143.8649999999998</v>
      </c>
      <c r="AL15" s="804"/>
      <c r="AM15" s="804">
        <f>rev _3c98</f>
        <v>1749.11</v>
      </c>
      <c r="AN15" s="804">
        <f>rev _4c98</f>
        <v>2055.9440000000004</v>
      </c>
      <c r="AO15" s="804">
        <f>rev _1c99</f>
        <v>2078.92</v>
      </c>
      <c r="AP15" s="804">
        <f>rev _2c99</f>
        <v>2943.2779999999998</v>
      </c>
      <c r="AQ15" s="804">
        <f>rev _fy99</f>
        <v>8827.2520000000004</v>
      </c>
      <c r="AR15" s="804"/>
      <c r="AS15" s="804">
        <f>rev _3c99</f>
        <v>1984.5170000000001</v>
      </c>
      <c r="AT15" s="804">
        <f>rev _4c99</f>
        <v>2321.8829999999998</v>
      </c>
      <c r="AU15" s="804">
        <f>rev _1c00</f>
        <v>2449.4179999999997</v>
      </c>
      <c r="AV15" s="804">
        <f>rev _2c00</f>
        <v>3374.3100000000004</v>
      </c>
      <c r="AW15" s="804">
        <f>rev _fy00</f>
        <v>10130.128000000001</v>
      </c>
      <c r="AX15" s="804"/>
      <c r="AY15" s="804">
        <f>rev _3c00</f>
        <v>2287.9920000000002</v>
      </c>
      <c r="AZ15" s="804">
        <f>rev _4c00</f>
        <v>2686.4079999999999</v>
      </c>
      <c r="BA15" s="804">
        <f>rev _1c01</f>
        <v>2696.0619999999999</v>
      </c>
      <c r="BB15" s="804">
        <f>rev _2c01</f>
        <v>3290.23</v>
      </c>
      <c r="BC15" s="804">
        <f>rev _fy01</f>
        <v>10960.691999999999</v>
      </c>
      <c r="BD15" s="804"/>
      <c r="BE15" s="804">
        <f>rev _3c01</f>
        <v>2265.0549999999998</v>
      </c>
      <c r="BF15" s="804">
        <f>rev _4c01</f>
        <v>2380.4369999999999</v>
      </c>
      <c r="BG15" s="804">
        <f>rev _1c02</f>
        <v>2253.3199999999997</v>
      </c>
      <c r="BH15" s="804">
        <f>rev _2c02</f>
        <v>2773.9810000000002</v>
      </c>
      <c r="BI15" s="804">
        <f>rev _fy02</f>
        <v>9672.7929999999997</v>
      </c>
      <c r="BJ15" s="804"/>
      <c r="BK15" s="804">
        <f>rev _3c02</f>
        <v>2028</v>
      </c>
      <c r="BL15" s="804">
        <f>rev _4c02</f>
        <v>2309</v>
      </c>
      <c r="BM15" s="804">
        <f>rev _1c03</f>
        <v>2307</v>
      </c>
      <c r="BN15" s="804">
        <f>rev _2c03</f>
        <v>2831.4</v>
      </c>
      <c r="BO15" s="804">
        <f>rev _fy03</f>
        <v>9475.4</v>
      </c>
      <c r="BP15" s="804"/>
      <c r="BQ15" s="804">
        <f>rev _3c03</f>
        <v>2072</v>
      </c>
      <c r="BR15" s="804">
        <f>rev _4c03</f>
        <v>2498</v>
      </c>
      <c r="BS15" s="804">
        <f>rev _1c04</f>
        <v>2509</v>
      </c>
      <c r="BT15" s="804">
        <f>rev _2c04</f>
        <v>3077</v>
      </c>
      <c r="BU15" s="804">
        <f>rev _fy04</f>
        <v>10156</v>
      </c>
      <c r="BV15" s="804"/>
      <c r="BW15" s="804">
        <f>rev _3c04</f>
        <v>2215</v>
      </c>
      <c r="BX15" s="804">
        <f>rev _4c04</f>
        <v>2756</v>
      </c>
      <c r="BY15" s="804">
        <f>rev _1c05</f>
        <v>3093</v>
      </c>
      <c r="BZ15" s="804">
        <f>rev _2c05</f>
        <v>4055</v>
      </c>
      <c r="CA15" s="804">
        <f>rev _fy05</f>
        <v>12119</v>
      </c>
      <c r="CB15" s="804"/>
      <c r="CC15" s="804">
        <f>rev _3c05</f>
        <v>2907</v>
      </c>
      <c r="CD15" s="804">
        <f>rev _4c05</f>
        <v>3394</v>
      </c>
      <c r="CE15" s="804">
        <f>rev _1c06</f>
        <v>3534.4</v>
      </c>
      <c r="CF15" s="804">
        <f>rev _2c06</f>
        <v>4937</v>
      </c>
      <c r="CG15" s="805">
        <f>rev _fy06</f>
        <v>14772.4</v>
      </c>
      <c r="CH15" s="804"/>
      <c r="CI15" s="804">
        <f>rev _3c06</f>
        <v>3661</v>
      </c>
      <c r="CJ15" s="804">
        <f>rev _4c06</f>
        <v>4216</v>
      </c>
      <c r="CK15" s="804">
        <f>rev _1c07</f>
        <v>4449</v>
      </c>
      <c r="CL15" s="804">
        <f>rev _2c07</f>
        <v>5883</v>
      </c>
      <c r="CM15" s="805">
        <f>rev _fy07</f>
        <v>18209</v>
      </c>
      <c r="CN15" s="804"/>
      <c r="CO15" s="804">
        <f>rev _3c07</f>
        <v>4593</v>
      </c>
      <c r="CP15" s="804">
        <f>rev _4c07</f>
        <v>5364</v>
      </c>
      <c r="CQ15" s="804">
        <f>rev _1c08</f>
        <v>5371</v>
      </c>
      <c r="CR15" s="804">
        <f>rev _2c08</f>
        <v>7281</v>
      </c>
      <c r="CS15" s="805">
        <f>rev _fy08</f>
        <v>22609</v>
      </c>
      <c r="CT15" s="804"/>
      <c r="CU15" s="804">
        <f>rev _3c08</f>
        <v>5422</v>
      </c>
      <c r="CV15" s="804">
        <f>rev _4c08</f>
        <v>5687</v>
      </c>
      <c r="CW15" s="804">
        <f>rev _1c09</f>
        <v>5504</v>
      </c>
      <c r="CX15" s="804">
        <f>rev _2c09</f>
        <v>6881</v>
      </c>
      <c r="CY15" s="805">
        <f>rev _fy09</f>
        <v>23494</v>
      </c>
      <c r="CZ15" s="804"/>
      <c r="DA15" s="804">
        <f>rev _3c09</f>
        <v>5063</v>
      </c>
      <c r="DB15" s="804">
        <f>rev _4c09</f>
        <v>5872</v>
      </c>
      <c r="DC15" s="804">
        <f>rev _1c10</f>
        <v>6469.4</v>
      </c>
      <c r="DD15" s="804">
        <f>rev _2c10</f>
        <v>9631</v>
      </c>
      <c r="DE15" s="805">
        <f>rev _fy10</f>
        <v>27035.4</v>
      </c>
      <c r="DF15" s="804"/>
      <c r="DG15" s="804">
        <f>rev _3c10</f>
        <v>7588</v>
      </c>
      <c r="DH15" s="804">
        <f>rev _4c10</f>
        <v>8694</v>
      </c>
      <c r="DI15" s="804">
        <f>rev _1c11</f>
        <v>8807</v>
      </c>
      <c r="DJ15" s="804">
        <f>rev _2c11</f>
        <v>10806</v>
      </c>
      <c r="DK15" s="805">
        <f>rev _fy11</f>
        <v>35895</v>
      </c>
      <c r="DL15" s="804"/>
      <c r="DM15" s="804">
        <f>rev _3c11</f>
        <v>8398</v>
      </c>
      <c r="DN15" s="804">
        <f>rev _4c11</f>
        <v>8811</v>
      </c>
      <c r="DO15" s="804">
        <f>rev _1c12</f>
        <v>9062.3392000000003</v>
      </c>
      <c r="DP15" s="804">
        <f>rev _2c12</f>
        <v>10950.1597</v>
      </c>
      <c r="DQ15" s="805">
        <f>rev _fy12</f>
        <v>37221.498900000006</v>
      </c>
      <c r="DR15" s="804"/>
      <c r="DS15" s="804">
        <f>rev _3c12</f>
        <v>8209</v>
      </c>
      <c r="DT15" s="804">
        <f>rev _4c12</f>
        <v>9113</v>
      </c>
      <c r="DU15" s="804">
        <f>rev _1c13</f>
        <v>8970</v>
      </c>
      <c r="DV15" s="804">
        <f>rev _2c13</f>
        <v>10961</v>
      </c>
      <c r="DW15" s="805">
        <f>rev _fy13</f>
        <v>37253</v>
      </c>
      <c r="DX15" s="804"/>
      <c r="DY15" s="804">
        <f>rev _3c13</f>
        <v>8381</v>
      </c>
      <c r="DZ15" s="804">
        <f>rev _4c13</f>
        <v>9283</v>
      </c>
      <c r="EA15" s="804">
        <f>rev _1c14</f>
        <v>9315</v>
      </c>
      <c r="EB15" s="804">
        <f>rev _2c14</f>
        <v>11326</v>
      </c>
      <c r="EC15" s="805">
        <f>rev _fy14</f>
        <v>38305</v>
      </c>
      <c r="ED15" s="804"/>
      <c r="EE15" s="804">
        <f>rev _3c14</f>
        <v>8599</v>
      </c>
      <c r="EF15" s="804">
        <f>rev _4c14</f>
        <v>9608</v>
      </c>
      <c r="EG15" s="804">
        <f>rev _1c15</f>
        <v>9334</v>
      </c>
      <c r="EH15" s="804">
        <f>Model!EH91</f>
        <v>10712</v>
      </c>
      <c r="EI15" s="805">
        <f>Model!EI91</f>
        <v>38253</v>
      </c>
      <c r="EJ15" s="804"/>
      <c r="EK15" s="804">
        <f>Model!EK91</f>
        <v>8451</v>
      </c>
      <c r="EL15" s="804">
        <f>Model!EL91</f>
        <v>8996</v>
      </c>
      <c r="EM15" s="804">
        <f>Model!EM91</f>
        <v>9014</v>
      </c>
      <c r="EN15" s="804">
        <f>Model!EN91</f>
        <v>10596</v>
      </c>
      <c r="EO15" s="805">
        <f>Model!EO91</f>
        <v>37057</v>
      </c>
      <c r="EP15" s="804"/>
      <c r="EQ15" s="804">
        <f>Model!EQ91</f>
        <v>8613</v>
      </c>
      <c r="ER15" s="804">
        <f>Model!ER91</f>
        <v>9069.7799999999988</v>
      </c>
      <c r="ES15" s="804">
        <f>Model!ES91</f>
        <v>9274</v>
      </c>
      <c r="ET15" s="804">
        <f>Model!ET91</f>
        <v>10941</v>
      </c>
      <c r="EU15" s="805">
        <f>Model!EU91</f>
        <v>37897.78</v>
      </c>
      <c r="EV15" s="804"/>
      <c r="EW15" s="804">
        <f>Model!EW91</f>
        <v>9212</v>
      </c>
      <c r="EX15" s="804">
        <f>Model!EX91</f>
        <v>9630</v>
      </c>
      <c r="EY15" s="804">
        <f>Model!EY91</f>
        <v>9776</v>
      </c>
      <c r="EZ15" s="804">
        <f>Model!EZ91</f>
        <v>11189.672666097718</v>
      </c>
      <c r="FA15" s="805">
        <f>Model!FA91</f>
        <v>39807.672666097715</v>
      </c>
      <c r="FB15" s="804"/>
      <c r="FC15" s="804">
        <f>Model!FC91</f>
        <v>9549.3946591173699</v>
      </c>
      <c r="FD15" s="804">
        <f>Model!FD91</f>
        <v>9981.8770320631811</v>
      </c>
      <c r="FE15" s="804">
        <f>Model!FE91</f>
        <v>10091.835491560028</v>
      </c>
      <c r="FF15" s="804">
        <f>Model!FF91</f>
        <v>11403.477190248725</v>
      </c>
      <c r="FG15" s="805">
        <f>Model!FG91</f>
        <v>41026.584372989302</v>
      </c>
      <c r="FH15" s="804"/>
      <c r="FI15" s="804">
        <f>Model!FI91</f>
        <v>9939.594532346644</v>
      </c>
      <c r="FJ15" s="804">
        <f>Model!FJ91</f>
        <v>10342.853603262749</v>
      </c>
      <c r="FK15" s="804">
        <f>Model!FK91</f>
        <v>10440.008118755788</v>
      </c>
      <c r="FL15" s="804">
        <f>Model!FL91</f>
        <v>11676.39968560894</v>
      </c>
      <c r="FM15" s="805">
        <f>Model!FM91</f>
        <v>42398.855939974121</v>
      </c>
      <c r="FP15" s="806">
        <f>CG15</f>
        <v>14772.4</v>
      </c>
      <c r="FQ15" s="807">
        <f>CM15</f>
        <v>18209</v>
      </c>
      <c r="FR15" s="808">
        <f>CS15</f>
        <v>22609</v>
      </c>
      <c r="FS15" s="808">
        <f>CY15</f>
        <v>23494</v>
      </c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</row>
    <row r="16" spans="1:274" s="24" customFormat="1" ht="5.25" customHeight="1" x14ac:dyDescent="0.2">
      <c r="A16" s="305"/>
      <c r="B16" s="441"/>
      <c r="C16" s="305"/>
      <c r="D16" s="305"/>
      <c r="E16" s="305"/>
      <c r="F16" s="305"/>
      <c r="G16" s="305"/>
      <c r="H16" s="305"/>
      <c r="I16" s="305"/>
      <c r="J16" s="305"/>
      <c r="K16" s="305"/>
      <c r="L16" s="305"/>
      <c r="M16" s="305"/>
      <c r="N16" s="305"/>
      <c r="O16" s="305"/>
      <c r="P16" s="305"/>
      <c r="Q16" s="305"/>
      <c r="R16" s="305"/>
      <c r="S16" s="305"/>
      <c r="T16" s="305"/>
      <c r="U16" s="305"/>
      <c r="V16" s="305"/>
      <c r="W16" s="305"/>
      <c r="X16" s="305"/>
      <c r="Y16" s="305"/>
      <c r="Z16" s="305"/>
      <c r="AA16" s="305"/>
      <c r="AB16" s="305"/>
      <c r="AC16" s="305"/>
      <c r="AD16" s="305"/>
      <c r="AE16" s="305"/>
      <c r="AF16" s="305"/>
      <c r="AG16" s="305"/>
      <c r="AH16" s="305"/>
      <c r="AI16" s="305"/>
      <c r="AJ16" s="305"/>
      <c r="AK16" s="305"/>
      <c r="AL16" s="305"/>
      <c r="AM16" s="305"/>
      <c r="AN16" s="305"/>
      <c r="AO16" s="305"/>
      <c r="AP16" s="305"/>
      <c r="AQ16" s="305"/>
      <c r="AR16" s="305"/>
      <c r="AS16" s="305"/>
      <c r="AT16" s="305"/>
      <c r="AU16" s="305"/>
      <c r="AV16" s="305"/>
      <c r="AW16" s="305"/>
      <c r="AX16" s="305"/>
      <c r="AY16" s="305"/>
      <c r="AZ16" s="305"/>
      <c r="BA16" s="305"/>
      <c r="BB16" s="305"/>
      <c r="BC16" s="305"/>
      <c r="BD16" s="305"/>
      <c r="BE16" s="305"/>
      <c r="BF16" s="305"/>
      <c r="BG16" s="305"/>
      <c r="BH16" s="305"/>
      <c r="BI16" s="305"/>
      <c r="BJ16" s="305"/>
      <c r="BK16" s="305"/>
      <c r="BL16" s="305"/>
      <c r="BM16" s="305"/>
      <c r="BN16" s="305"/>
      <c r="BO16" s="305"/>
      <c r="BP16" s="305"/>
      <c r="BQ16" s="305"/>
      <c r="BR16" s="305"/>
      <c r="BS16" s="305"/>
      <c r="BT16" s="305"/>
      <c r="BU16" s="305"/>
      <c r="BV16" s="305"/>
      <c r="BW16" s="305"/>
      <c r="BX16" s="305"/>
      <c r="BY16" s="305"/>
      <c r="BZ16" s="305"/>
      <c r="CA16" s="305"/>
      <c r="CB16" s="305"/>
      <c r="CC16" s="305"/>
      <c r="CD16" s="305"/>
      <c r="CE16" s="305"/>
      <c r="CF16" s="305"/>
      <c r="CG16" s="327"/>
      <c r="CH16" s="305"/>
      <c r="CI16" s="305"/>
      <c r="CJ16" s="305"/>
      <c r="CK16" s="305"/>
      <c r="CL16" s="305"/>
      <c r="CM16" s="327"/>
      <c r="CN16" s="305"/>
      <c r="CO16" s="305"/>
      <c r="CP16" s="305"/>
      <c r="CQ16" s="305"/>
      <c r="CR16" s="305"/>
      <c r="CS16" s="327"/>
      <c r="CT16" s="305"/>
      <c r="CU16" s="305"/>
      <c r="CV16" s="305"/>
      <c r="CW16" s="305"/>
      <c r="CX16" s="305"/>
      <c r="CY16" s="327"/>
      <c r="CZ16" s="305"/>
      <c r="DA16" s="305"/>
      <c r="DB16" s="305"/>
      <c r="DC16" s="305"/>
      <c r="DD16" s="305"/>
      <c r="DE16" s="327"/>
      <c r="DF16" s="305"/>
      <c r="DG16" s="305"/>
      <c r="DH16" s="305"/>
      <c r="DI16" s="305"/>
      <c r="DJ16" s="305"/>
      <c r="DK16" s="327"/>
      <c r="DL16" s="305"/>
      <c r="DM16" s="305"/>
      <c r="DN16" s="305"/>
      <c r="DO16" s="305"/>
      <c r="DP16" s="305"/>
      <c r="DQ16" s="327"/>
      <c r="DR16" s="305"/>
      <c r="DS16" s="305"/>
      <c r="DT16" s="305"/>
      <c r="DU16" s="305"/>
      <c r="DV16" s="305"/>
      <c r="DW16" s="327"/>
      <c r="DX16" s="305"/>
      <c r="DY16" s="305"/>
      <c r="DZ16" s="305"/>
      <c r="EA16" s="305"/>
      <c r="EB16" s="305"/>
      <c r="EC16" s="327"/>
      <c r="ED16" s="305"/>
      <c r="EE16" s="305"/>
      <c r="EF16" s="305"/>
      <c r="EG16" s="305"/>
      <c r="EH16" s="305"/>
      <c r="EI16" s="327"/>
      <c r="EJ16" s="305"/>
      <c r="EK16" s="305"/>
      <c r="EL16" s="305"/>
      <c r="EM16" s="305"/>
      <c r="EN16" s="305"/>
      <c r="EO16" s="327"/>
      <c r="EP16" s="305"/>
      <c r="EQ16" s="305"/>
      <c r="ER16" s="305"/>
      <c r="ES16" s="305"/>
      <c r="ET16" s="305"/>
      <c r="EU16" s="327"/>
      <c r="EV16" s="305"/>
      <c r="EW16" s="305"/>
      <c r="EX16" s="305"/>
      <c r="EY16" s="305"/>
      <c r="EZ16" s="305"/>
      <c r="FA16" s="327"/>
      <c r="FB16" s="305"/>
      <c r="FC16" s="305"/>
      <c r="FD16" s="305"/>
      <c r="FE16" s="305"/>
      <c r="FF16" s="305"/>
      <c r="FG16" s="327"/>
      <c r="FH16" s="305"/>
      <c r="FI16" s="305"/>
      <c r="FJ16" s="305"/>
      <c r="FK16" s="305"/>
      <c r="FL16" s="305"/>
      <c r="FM16" s="327"/>
      <c r="FQ16" s="621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</row>
    <row r="17" spans="1:274" s="24" customFormat="1" hidden="1" outlineLevel="1" x14ac:dyDescent="0.2">
      <c r="A17" s="809" t="s">
        <v>668</v>
      </c>
      <c r="B17" s="1055"/>
      <c r="C17" s="810"/>
      <c r="D17" s="810"/>
      <c r="E17" s="810"/>
      <c r="F17" s="810"/>
      <c r="G17" s="810"/>
      <c r="H17" s="810"/>
      <c r="I17" s="810"/>
      <c r="J17" s="810"/>
      <c r="K17" s="810"/>
      <c r="L17" s="810"/>
      <c r="M17" s="810"/>
      <c r="N17" s="810"/>
      <c r="O17" s="810"/>
      <c r="P17" s="810"/>
      <c r="Q17" s="810"/>
      <c r="R17" s="810"/>
      <c r="S17" s="810"/>
      <c r="T17" s="811"/>
      <c r="U17" s="810"/>
      <c r="V17" s="810"/>
      <c r="W17" s="810"/>
      <c r="X17" s="810"/>
      <c r="Y17" s="810"/>
      <c r="Z17" s="810"/>
      <c r="AA17" s="810"/>
      <c r="AB17" s="810"/>
      <c r="AC17" s="810"/>
      <c r="AD17" s="810"/>
      <c r="AE17" s="810"/>
      <c r="AF17" s="810"/>
      <c r="AG17" s="810"/>
      <c r="AH17" s="810"/>
      <c r="AI17" s="810"/>
      <c r="AJ17" s="810"/>
      <c r="AK17" s="810"/>
      <c r="AL17" s="810"/>
      <c r="AM17" s="810"/>
      <c r="AN17" s="810"/>
      <c r="AO17" s="810"/>
      <c r="AP17" s="810"/>
      <c r="AQ17" s="810"/>
      <c r="AR17" s="810"/>
      <c r="AS17" s="636"/>
      <c r="AT17" s="636"/>
      <c r="AU17" s="636"/>
      <c r="AV17" s="636"/>
      <c r="AW17" s="636"/>
      <c r="AX17" s="810"/>
      <c r="AY17" s="810"/>
      <c r="AZ17" s="810"/>
      <c r="BA17" s="810"/>
      <c r="BB17" s="810"/>
      <c r="BC17" s="810"/>
      <c r="BD17" s="810"/>
      <c r="BE17" s="810"/>
      <c r="BF17" s="810"/>
      <c r="BG17" s="810"/>
      <c r="BH17" s="810"/>
      <c r="BI17" s="810"/>
      <c r="BJ17" s="810"/>
      <c r="BK17" s="810"/>
      <c r="BL17" s="810"/>
      <c r="BM17" s="810"/>
      <c r="BN17" s="810"/>
      <c r="BO17" s="810"/>
      <c r="BP17" s="810"/>
      <c r="BQ17" s="810"/>
      <c r="BR17" s="810"/>
      <c r="BS17" s="810"/>
      <c r="BT17" s="810"/>
      <c r="BU17" s="810"/>
      <c r="BV17" s="810"/>
      <c r="BW17" s="810"/>
      <c r="BX17" s="810"/>
      <c r="BY17" s="810"/>
      <c r="BZ17" s="810"/>
      <c r="CA17" s="810"/>
      <c r="CB17" s="810"/>
      <c r="CC17" s="810"/>
      <c r="CD17" s="810"/>
      <c r="CE17" s="810"/>
      <c r="CF17" s="810"/>
      <c r="CG17" s="812"/>
      <c r="CH17" s="810"/>
      <c r="CI17" s="810"/>
      <c r="CJ17" s="810"/>
      <c r="CK17" s="810"/>
      <c r="CL17" s="810"/>
      <c r="CM17" s="812"/>
      <c r="CN17" s="810"/>
      <c r="CO17" s="810"/>
      <c r="CP17" s="810"/>
      <c r="CQ17" s="810"/>
      <c r="CR17" s="810"/>
      <c r="CS17" s="812"/>
      <c r="CT17" s="810"/>
      <c r="CU17" s="810"/>
      <c r="CV17" s="810"/>
      <c r="CW17" s="810"/>
      <c r="CX17" s="810"/>
      <c r="CY17" s="812"/>
      <c r="CZ17" s="810"/>
      <c r="DA17" s="810"/>
      <c r="DB17" s="810"/>
      <c r="DC17" s="810"/>
      <c r="DD17" s="810"/>
      <c r="DE17" s="812"/>
      <c r="DF17" s="810"/>
      <c r="DG17" s="810"/>
      <c r="DH17" s="810"/>
      <c r="DI17" s="810"/>
      <c r="DJ17" s="810"/>
      <c r="DK17" s="812"/>
      <c r="DL17" s="810"/>
      <c r="DM17" s="810"/>
      <c r="DN17" s="810"/>
      <c r="DO17" s="810"/>
      <c r="DP17" s="810"/>
      <c r="DQ17" s="812"/>
      <c r="DR17" s="810"/>
      <c r="DS17" s="810"/>
      <c r="DT17" s="810"/>
      <c r="DU17" s="810"/>
      <c r="DV17" s="810"/>
      <c r="DW17" s="812"/>
      <c r="DX17" s="810"/>
      <c r="DY17" s="810"/>
      <c r="DZ17" s="810"/>
      <c r="EA17" s="810"/>
      <c r="EB17" s="810"/>
      <c r="EC17" s="812"/>
      <c r="ED17" s="810"/>
      <c r="EE17" s="810"/>
      <c r="EF17" s="810"/>
      <c r="EG17" s="810"/>
      <c r="EH17" s="810"/>
      <c r="EI17" s="812"/>
      <c r="EJ17" s="810"/>
      <c r="EK17" s="810"/>
      <c r="EL17" s="810"/>
      <c r="EM17" s="810"/>
      <c r="EN17" s="810"/>
      <c r="EO17" s="812"/>
      <c r="EP17" s="810"/>
      <c r="EQ17" s="810"/>
      <c r="ER17" s="810"/>
      <c r="ES17" s="810"/>
      <c r="ET17" s="810"/>
      <c r="EU17" s="812"/>
      <c r="EV17" s="810"/>
      <c r="EW17" s="810"/>
      <c r="EX17" s="810"/>
      <c r="EY17" s="810"/>
      <c r="EZ17" s="810"/>
      <c r="FA17" s="812"/>
      <c r="FB17" s="810"/>
      <c r="FC17" s="810"/>
      <c r="FD17" s="810"/>
      <c r="FE17" s="810"/>
      <c r="FF17" s="810"/>
      <c r="FG17" s="812"/>
      <c r="FH17" s="810"/>
      <c r="FI17" s="810"/>
      <c r="FJ17" s="810"/>
      <c r="FK17" s="810"/>
      <c r="FL17" s="810"/>
      <c r="FM17" s="812"/>
      <c r="FQ17" s="621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</row>
    <row r="18" spans="1:274" s="24" customFormat="1" hidden="1" outlineLevel="1" x14ac:dyDescent="0.2">
      <c r="A18" s="813" t="s">
        <v>29</v>
      </c>
      <c r="B18" s="1055"/>
      <c r="C18" s="810"/>
      <c r="D18" s="810"/>
      <c r="E18" s="810"/>
      <c r="F18" s="810"/>
      <c r="G18" s="810"/>
      <c r="H18" s="810"/>
      <c r="I18" s="810"/>
      <c r="J18" s="810"/>
      <c r="K18" s="810"/>
      <c r="L18" s="810"/>
      <c r="M18" s="810"/>
      <c r="N18" s="810"/>
      <c r="O18" s="810"/>
      <c r="P18" s="810"/>
      <c r="Q18" s="810"/>
      <c r="R18" s="810"/>
      <c r="S18" s="810"/>
      <c r="T18" s="811"/>
      <c r="U18" s="810"/>
      <c r="V18" s="810"/>
      <c r="W18" s="810"/>
      <c r="X18" s="810"/>
      <c r="Y18" s="810"/>
      <c r="Z18" s="810"/>
      <c r="AA18" s="810"/>
      <c r="AB18" s="810"/>
      <c r="AC18" s="810"/>
      <c r="AD18" s="810"/>
      <c r="AE18" s="810"/>
      <c r="AF18" s="810"/>
      <c r="AG18" s="810"/>
      <c r="AH18" s="810"/>
      <c r="AI18" s="810"/>
      <c r="AJ18" s="810"/>
      <c r="AK18" s="810"/>
      <c r="AL18" s="810"/>
      <c r="AM18" s="810"/>
      <c r="AN18" s="810"/>
      <c r="AO18" s="810"/>
      <c r="AP18" s="810"/>
      <c r="AQ18" s="810"/>
      <c r="AR18" s="810"/>
      <c r="AS18" s="636"/>
      <c r="AT18" s="636"/>
      <c r="AU18" s="636"/>
      <c r="AV18" s="636"/>
      <c r="AW18" s="636"/>
      <c r="AX18" s="810"/>
      <c r="AY18" s="810"/>
      <c r="AZ18" s="810"/>
      <c r="BA18" s="810"/>
      <c r="BB18" s="810"/>
      <c r="BC18" s="810"/>
      <c r="BD18" s="810"/>
      <c r="BE18" s="810"/>
      <c r="BF18" s="810"/>
      <c r="BG18" s="810"/>
      <c r="BH18" s="810"/>
      <c r="BI18" s="810"/>
      <c r="BJ18" s="810"/>
      <c r="BK18" s="810"/>
      <c r="BL18" s="810"/>
      <c r="BM18" s="810"/>
      <c r="BN18" s="810"/>
      <c r="BO18" s="810"/>
      <c r="BP18" s="810"/>
      <c r="BQ18" s="810"/>
      <c r="BR18" s="810"/>
      <c r="BS18" s="810"/>
      <c r="BT18" s="810"/>
      <c r="BU18" s="810"/>
      <c r="BV18" s="810"/>
      <c r="BW18" s="810"/>
      <c r="BX18" s="810"/>
      <c r="BY18" s="810"/>
      <c r="BZ18" s="810"/>
      <c r="CA18" s="810"/>
      <c r="CB18" s="810"/>
      <c r="CC18" s="810"/>
      <c r="CD18" s="810"/>
      <c r="CE18" s="810"/>
      <c r="CF18" s="810"/>
      <c r="CG18" s="812"/>
      <c r="CH18" s="810"/>
      <c r="CI18" s="810"/>
      <c r="CJ18" s="810"/>
      <c r="CK18" s="810"/>
      <c r="CL18" s="810"/>
      <c r="CM18" s="812"/>
      <c r="CN18" s="810"/>
      <c r="CO18" s="814">
        <v>1.0998907687688853E-2</v>
      </c>
      <c r="CP18" s="814">
        <v>2.4647838095364971E-2</v>
      </c>
      <c r="CQ18" s="814">
        <v>2.831212773799674E-2</v>
      </c>
      <c r="CR18" s="814">
        <v>1.8692685100608619E-2</v>
      </c>
      <c r="CS18" s="544">
        <v>2.0826955552811777E-2</v>
      </c>
      <c r="CT18" s="815"/>
      <c r="CU18" s="814">
        <v>1.313343400912248E-2</v>
      </c>
      <c r="CV18" s="814">
        <v>-3.7003436968827907E-2</v>
      </c>
      <c r="CW18" s="814">
        <v>-5.6760369096241936E-2</v>
      </c>
      <c r="CX18" s="814">
        <v>-3.6949805222642684E-2</v>
      </c>
      <c r="CY18" s="544">
        <v>-3.124878219967564E-2</v>
      </c>
      <c r="CZ18" s="815"/>
      <c r="DA18" s="814">
        <v>-2.1708227250661016E-2</v>
      </c>
      <c r="DB18" s="814">
        <v>1.2801879270025629E-2</v>
      </c>
      <c r="DC18" s="814">
        <v>2.9871668172911869E-2</v>
      </c>
      <c r="DD18" s="814">
        <v>2.3650681339469681E-2</v>
      </c>
      <c r="DE18" s="544">
        <v>1.5026263434785525E-2</v>
      </c>
      <c r="DF18" s="810"/>
      <c r="DG18" s="1079">
        <v>1.2660166477909574E-2</v>
      </c>
      <c r="DH18" s="814">
        <v>1.0573503600143308E-2</v>
      </c>
      <c r="DI18" s="1079">
        <v>1.1537529818778536E-2</v>
      </c>
      <c r="DJ18" s="1079">
        <v>9.0421257956501133E-3</v>
      </c>
      <c r="DK18" s="1121">
        <v>8.5320600142961833E-3</v>
      </c>
      <c r="DL18" s="810"/>
      <c r="DM18" s="814">
        <v>0.01</v>
      </c>
      <c r="DN18" s="814">
        <v>-5.2729568539164884E-3</v>
      </c>
      <c r="DO18" s="814">
        <v>-7.7702053299901763E-3</v>
      </c>
      <c r="DP18" s="814">
        <v>-1.7315482829791895E-2</v>
      </c>
      <c r="DQ18" s="1176">
        <v>-4.4595484793461537E-3</v>
      </c>
      <c r="DR18" s="810"/>
      <c r="DS18" s="814">
        <v>-0.02</v>
      </c>
      <c r="DT18" s="814">
        <v>0</v>
      </c>
      <c r="DU18" s="814">
        <v>-0.01</v>
      </c>
      <c r="DV18" s="814">
        <v>-0.01</v>
      </c>
      <c r="DW18" s="1176">
        <v>-0.01</v>
      </c>
      <c r="DX18" s="810"/>
      <c r="DY18" s="814">
        <v>-7.3334807537108748E-3</v>
      </c>
      <c r="DZ18" s="814">
        <v>-8.8361789548472292E-3</v>
      </c>
      <c r="EA18" s="814">
        <v>-1.0974107601707583E-2</v>
      </c>
      <c r="EB18" s="814">
        <v>-1.0233696186191965E-2</v>
      </c>
      <c r="EC18" s="1176">
        <v>-9.5512498311662863E-3</v>
      </c>
      <c r="ED18" s="810"/>
      <c r="EE18" s="814">
        <v>-0.01</v>
      </c>
      <c r="EF18" s="814">
        <f>5%-6%</f>
        <v>-9.999999999999995E-3</v>
      </c>
      <c r="EG18" s="814">
        <f>4%-6%</f>
        <v>-1.9999999999999997E-2</v>
      </c>
      <c r="EH18" s="814">
        <v>-1.9981488050784167E-2</v>
      </c>
      <c r="EI18" s="1176">
        <f>4%-6%</f>
        <v>-1.9999999999999997E-2</v>
      </c>
      <c r="EJ18" s="810"/>
      <c r="EK18" s="814">
        <f>0.02-0.06</f>
        <v>-3.9999999999999994E-2</v>
      </c>
      <c r="EL18" s="814">
        <f>(-0.05-(-0.02))</f>
        <v>-3.0000000000000002E-2</v>
      </c>
      <c r="EM18" s="814">
        <f>-3%--1%</f>
        <v>-1.9999999999999997E-2</v>
      </c>
      <c r="EN18" s="814">
        <v>-1.2E-2</v>
      </c>
      <c r="EO18" s="1176">
        <f>(EK18*EK12+EL18*EL12+EM18*EM12+EN18*EN12)/SUM(EK12:EN12)</f>
        <v>-2.4746836061568526E-2</v>
      </c>
      <c r="EP18" s="810"/>
      <c r="EQ18" s="814">
        <v>-0.01</v>
      </c>
      <c r="ER18" s="814">
        <v>0</v>
      </c>
      <c r="ES18" s="814">
        <v>0.01</v>
      </c>
      <c r="ET18" s="814">
        <v>0</v>
      </c>
      <c r="EU18" s="1176">
        <f>(EQ18*EQ12+ER18*ER12+ES18*ES12+ET18*ET12)/SUM(EQ12:ET12)</f>
        <v>1.9035097302728935E-4</v>
      </c>
      <c r="EV18" s="810"/>
      <c r="EW18" s="814">
        <f>(0.01*4256+0)/(4256+485)</f>
        <v>8.9770090698164957E-3</v>
      </c>
      <c r="EX18" s="814">
        <f>(0+0.01*482)/(4414+482)</f>
        <v>9.8447712418300664E-4</v>
      </c>
      <c r="EY18" s="814">
        <f>(0+0.01*4482)/(4482+472)</f>
        <v>9.047234557932984E-3</v>
      </c>
      <c r="EZ18" s="814">
        <v>0</v>
      </c>
      <c r="FA18" s="1176">
        <f>(EW18*EW12+EX18*EX12+EY18*EY12+EZ18*EZ12)/SUM(EW12:EZ12)</f>
        <v>4.5364878014960888E-3</v>
      </c>
      <c r="FB18" s="810"/>
      <c r="FC18" s="814">
        <v>-1E-3</v>
      </c>
      <c r="FD18" s="814">
        <v>-1E-3</v>
      </c>
      <c r="FE18" s="814">
        <v>-1E-3</v>
      </c>
      <c r="FF18" s="814"/>
      <c r="FG18" s="1176"/>
      <c r="FH18" s="810"/>
      <c r="FI18" s="810"/>
      <c r="FJ18" s="810"/>
      <c r="FK18" s="810"/>
      <c r="FL18" s="810"/>
      <c r="FM18" s="812"/>
      <c r="FQ18" s="621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</row>
    <row r="19" spans="1:274" s="24" customFormat="1" hidden="1" outlineLevel="1" x14ac:dyDescent="0.2">
      <c r="A19" s="813" t="s">
        <v>702</v>
      </c>
      <c r="B19" s="1056"/>
      <c r="C19" s="810"/>
      <c r="D19" s="810"/>
      <c r="E19" s="810"/>
      <c r="F19" s="810"/>
      <c r="G19" s="810"/>
      <c r="H19" s="810"/>
      <c r="I19" s="810"/>
      <c r="J19" s="810"/>
      <c r="K19" s="810"/>
      <c r="L19" s="810"/>
      <c r="M19" s="810"/>
      <c r="N19" s="810"/>
      <c r="O19" s="810"/>
      <c r="P19" s="810"/>
      <c r="Q19" s="810"/>
      <c r="R19" s="810"/>
      <c r="S19" s="810"/>
      <c r="T19" s="810"/>
      <c r="U19" s="810"/>
      <c r="V19" s="810"/>
      <c r="W19" s="810"/>
      <c r="X19" s="810"/>
      <c r="Y19" s="810"/>
      <c r="Z19" s="810"/>
      <c r="AA19" s="810"/>
      <c r="AB19" s="810"/>
      <c r="AC19" s="810"/>
      <c r="AD19" s="810"/>
      <c r="AE19" s="810"/>
      <c r="AF19" s="638"/>
      <c r="AG19" s="810"/>
      <c r="AH19" s="810"/>
      <c r="AI19" s="810"/>
      <c r="AJ19" s="810"/>
      <c r="AK19" s="810"/>
      <c r="AL19" s="638"/>
      <c r="AM19" s="810"/>
      <c r="AN19" s="810"/>
      <c r="AO19" s="810"/>
      <c r="AP19" s="810"/>
      <c r="AQ19" s="810"/>
      <c r="AR19" s="638"/>
      <c r="AS19" s="810"/>
      <c r="AT19" s="810"/>
      <c r="AU19" s="636"/>
      <c r="AV19" s="636"/>
      <c r="AW19" s="636"/>
      <c r="AX19" s="638"/>
      <c r="AY19" s="636"/>
      <c r="AZ19" s="636"/>
      <c r="BA19" s="636"/>
      <c r="BB19" s="636"/>
      <c r="BC19" s="636"/>
      <c r="BD19" s="638"/>
      <c r="BE19" s="636"/>
      <c r="BF19" s="636"/>
      <c r="BG19" s="636"/>
      <c r="BH19" s="636"/>
      <c r="BI19" s="636"/>
      <c r="BJ19" s="638"/>
      <c r="BK19" s="636"/>
      <c r="BL19" s="636"/>
      <c r="BM19" s="636"/>
      <c r="BN19" s="636"/>
      <c r="BO19" s="636"/>
      <c r="BP19" s="638"/>
      <c r="BQ19" s="636"/>
      <c r="BR19" s="636"/>
      <c r="BS19" s="636"/>
      <c r="BT19" s="636"/>
      <c r="BU19" s="636"/>
      <c r="BV19" s="638"/>
      <c r="BW19" s="636"/>
      <c r="BX19" s="636"/>
      <c r="BY19" s="636"/>
      <c r="BZ19" s="636"/>
      <c r="CA19" s="636"/>
      <c r="CB19" s="638"/>
      <c r="CC19" s="636"/>
      <c r="CD19" s="636"/>
      <c r="CE19" s="636"/>
      <c r="CF19" s="636"/>
      <c r="CG19" s="816"/>
      <c r="CH19" s="638"/>
      <c r="CI19" s="636"/>
      <c r="CJ19" s="636"/>
      <c r="CK19" s="636"/>
      <c r="CL19" s="636"/>
      <c r="CM19" s="816"/>
      <c r="CN19" s="638"/>
      <c r="CO19" s="814">
        <v>8.1455091456881901E-2</v>
      </c>
      <c r="CP19" s="814">
        <v>0.12883204896730138</v>
      </c>
      <c r="CQ19" s="814">
        <v>0.12300948472545525</v>
      </c>
      <c r="CR19" s="814">
        <v>0.14995889797569384</v>
      </c>
      <c r="CS19" s="544">
        <v>0.12501431986273004</v>
      </c>
      <c r="CT19" s="815"/>
      <c r="CU19" s="814">
        <v>9.6142340317522557E-2</v>
      </c>
      <c r="CV19" s="814">
        <v>-0.14316424669635475</v>
      </c>
      <c r="CW19" s="814">
        <v>-0.19146227859208453</v>
      </c>
      <c r="CX19" s="814">
        <v>-0.14855248668855892</v>
      </c>
      <c r="CY19" s="544">
        <v>-0.11234243097787688</v>
      </c>
      <c r="CZ19" s="815"/>
      <c r="DA19" s="814">
        <v>-7.9537541554398405E-2</v>
      </c>
      <c r="DB19" s="814">
        <v>9.1792621649946837E-2</v>
      </c>
      <c r="DC19" s="814">
        <v>7.0000000000000007E-2</v>
      </c>
      <c r="DD19" s="814">
        <v>-3.8271707629360829E-2</v>
      </c>
      <c r="DE19" s="544">
        <v>6.660674548165435E-3</v>
      </c>
      <c r="DF19" s="638"/>
      <c r="DG19" s="1079">
        <v>-0.14245454458828433</v>
      </c>
      <c r="DH19" s="814">
        <v>-0.1087004167665353</v>
      </c>
      <c r="DI19" s="1079">
        <v>-3.271882740755272E-2</v>
      </c>
      <c r="DJ19" s="1079">
        <v>9.412725430362312E-2</v>
      </c>
      <c r="DK19" s="1121">
        <v>-3.3065230373471755E-2</v>
      </c>
      <c r="DL19" s="638"/>
      <c r="DM19" s="814">
        <v>0.1</v>
      </c>
      <c r="DN19" s="814">
        <v>1.4516813660249595E-2</v>
      </c>
      <c r="DO19" s="814">
        <v>-3.2496815855342254E-2</v>
      </c>
      <c r="DP19" s="814">
        <v>-0.08</v>
      </c>
      <c r="DQ19" s="1176">
        <v>-5.9200573771540643E-3</v>
      </c>
      <c r="DR19" s="638"/>
      <c r="DS19" s="814">
        <v>-0.09</v>
      </c>
      <c r="DT19" s="814">
        <v>-0.02</v>
      </c>
      <c r="DU19" s="814">
        <v>-0.01</v>
      </c>
      <c r="DV19" s="814">
        <v>0</v>
      </c>
      <c r="DW19" s="1176">
        <v>-0.02</v>
      </c>
      <c r="DX19" s="638"/>
      <c r="DY19" s="814">
        <v>3.3343584563461981E-2</v>
      </c>
      <c r="DZ19" s="814">
        <v>3.5213090104193712E-2</v>
      </c>
      <c r="EA19" s="814">
        <v>2.8741898902860274E-2</v>
      </c>
      <c r="EB19" s="814">
        <v>5.048981709760425E-2</v>
      </c>
      <c r="EC19" s="1176">
        <v>3.6870623218323684E-2</v>
      </c>
      <c r="ED19" s="638"/>
      <c r="EE19" s="814">
        <v>0.02</v>
      </c>
      <c r="EF19" s="814">
        <f>3%-9%</f>
        <v>-0.06</v>
      </c>
      <c r="EG19" s="814">
        <f>-4%-9%</f>
        <v>-0.13</v>
      </c>
      <c r="EH19" s="814">
        <v>-4.365585176413566E-2</v>
      </c>
      <c r="EI19" s="1176">
        <f>+-5%-4%</f>
        <v>-0.09</v>
      </c>
      <c r="EJ19" s="638"/>
      <c r="EK19" s="814">
        <f>-0.05-0.08</f>
        <v>-0.13</v>
      </c>
      <c r="EL19" s="814">
        <f>(-0.09-(0.02))</f>
        <v>-0.11</v>
      </c>
      <c r="EM19" s="814">
        <f>-5%-2%</f>
        <v>-7.0000000000000007E-2</v>
      </c>
      <c r="EN19" s="814">
        <v>-2E-3</v>
      </c>
      <c r="EO19" s="1176">
        <f>(EK19*EK13+EL19*EL13+EM19*EM13+EN19*EN13)/SUM(EK13:EN13)</f>
        <v>-7.3767689762911232E-2</v>
      </c>
      <c r="EP19" s="638"/>
      <c r="EQ19" s="814">
        <f>(-0.05*(1903)+-0.04*(275))/(1903+275)</f>
        <v>-4.8737373737373739E-2</v>
      </c>
      <c r="ER19" s="814">
        <v>-0.05</v>
      </c>
      <c r="ES19" s="814">
        <v>-0.04</v>
      </c>
      <c r="ET19" s="814">
        <v>-3.5000000000000003E-2</v>
      </c>
      <c r="EU19" s="1176">
        <f>(EQ19*EQ13+ER19*ER13+ES19*ES13+ET19*ET13)/SUM(EQ13:ET13)</f>
        <v>-4.2925230371648228E-2</v>
      </c>
      <c r="EV19" s="638"/>
      <c r="EW19" s="814">
        <v>0.03</v>
      </c>
      <c r="EX19" s="814">
        <f>+(0.05*2259+0.04*272)/(2259+272)</f>
        <v>4.8925325958119319E-2</v>
      </c>
      <c r="EY19" s="814">
        <f>+(0.11*2312+0.09*324)/(2312+324)</f>
        <v>0.10754172989377846</v>
      </c>
      <c r="EZ19" s="814">
        <v>0.03</v>
      </c>
      <c r="FA19" s="1176">
        <f>(EW19*EW13+EX19*EX13+EY19*EY13+EZ19*EZ13)/SUM(EW13:EZ13)</f>
        <v>5.4220714312307246E-2</v>
      </c>
      <c r="FB19" s="638"/>
      <c r="FC19" s="814">
        <v>0.02</v>
      </c>
      <c r="FD19" s="814">
        <v>1.4999999999999999E-2</v>
      </c>
      <c r="FE19" s="814">
        <v>7.0000000000000001E-3</v>
      </c>
      <c r="FF19" s="814"/>
      <c r="FG19" s="1176"/>
      <c r="FH19" s="638"/>
      <c r="FI19" s="636"/>
      <c r="FJ19" s="636"/>
      <c r="FK19" s="636"/>
      <c r="FL19" s="636"/>
      <c r="FM19" s="816"/>
      <c r="FQ19" s="621"/>
      <c r="FT19"/>
      <c r="FU19"/>
      <c r="FV19" s="1797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</row>
    <row r="20" spans="1:274" s="24" customFormat="1" hidden="1" outlineLevel="1" x14ac:dyDescent="0.2">
      <c r="A20" s="813" t="s">
        <v>1017</v>
      </c>
      <c r="B20" s="1056"/>
      <c r="C20" s="810"/>
      <c r="D20" s="810"/>
      <c r="E20" s="810"/>
      <c r="F20" s="810"/>
      <c r="G20" s="810"/>
      <c r="H20" s="810"/>
      <c r="I20" s="810"/>
      <c r="J20" s="810"/>
      <c r="K20" s="810"/>
      <c r="L20" s="810"/>
      <c r="M20" s="810"/>
      <c r="N20" s="810"/>
      <c r="O20" s="810"/>
      <c r="P20" s="810"/>
      <c r="Q20" s="810"/>
      <c r="R20" s="810"/>
      <c r="S20" s="810"/>
      <c r="T20" s="810"/>
      <c r="U20" s="810"/>
      <c r="V20" s="810"/>
      <c r="W20" s="810"/>
      <c r="X20" s="810"/>
      <c r="Y20" s="810"/>
      <c r="Z20" s="810"/>
      <c r="AA20" s="810"/>
      <c r="AB20" s="810"/>
      <c r="AC20" s="810"/>
      <c r="AD20" s="810"/>
      <c r="AE20" s="810"/>
      <c r="AF20" s="638"/>
      <c r="AG20" s="810"/>
      <c r="AH20" s="810"/>
      <c r="AI20" s="810"/>
      <c r="AJ20" s="810"/>
      <c r="AK20" s="810"/>
      <c r="AL20" s="638"/>
      <c r="AM20" s="810"/>
      <c r="AN20" s="810"/>
      <c r="AO20" s="810"/>
      <c r="AP20" s="810"/>
      <c r="AQ20" s="810"/>
      <c r="AR20" s="638"/>
      <c r="AS20" s="810"/>
      <c r="AT20" s="810"/>
      <c r="AU20" s="636"/>
      <c r="AV20" s="636"/>
      <c r="AW20" s="636"/>
      <c r="AX20" s="638"/>
      <c r="AY20" s="636"/>
      <c r="AZ20" s="636"/>
      <c r="BA20" s="636"/>
      <c r="BB20" s="636"/>
      <c r="BC20" s="636"/>
      <c r="BD20" s="638"/>
      <c r="BE20" s="636"/>
      <c r="BF20" s="636"/>
      <c r="BG20" s="636"/>
      <c r="BH20" s="636"/>
      <c r="BI20" s="636"/>
      <c r="BJ20" s="638"/>
      <c r="BK20" s="636"/>
      <c r="BL20" s="636"/>
      <c r="BM20" s="636"/>
      <c r="BN20" s="636"/>
      <c r="BO20" s="636"/>
      <c r="BP20" s="638"/>
      <c r="BQ20" s="636"/>
      <c r="BR20" s="636"/>
      <c r="BS20" s="636"/>
      <c r="BT20" s="636"/>
      <c r="BU20" s="636"/>
      <c r="BV20" s="638"/>
      <c r="BW20" s="636"/>
      <c r="BX20" s="636"/>
      <c r="BY20" s="636"/>
      <c r="BZ20" s="636"/>
      <c r="CA20" s="636"/>
      <c r="CB20" s="638"/>
      <c r="CC20" s="636"/>
      <c r="CD20" s="636"/>
      <c r="CE20" s="636"/>
      <c r="CF20" s="636"/>
      <c r="CG20" s="816"/>
      <c r="CH20" s="638"/>
      <c r="CI20" s="636"/>
      <c r="CJ20" s="636"/>
      <c r="CK20" s="636"/>
      <c r="CL20" s="636"/>
      <c r="CM20" s="816"/>
      <c r="CN20" s="638"/>
      <c r="CO20" s="814">
        <v>1.0998907687688853E-2</v>
      </c>
      <c r="CP20" s="814">
        <v>2.4647838095364971E-2</v>
      </c>
      <c r="CQ20" s="814">
        <v>2.831212773799674E-2</v>
      </c>
      <c r="CR20" s="814">
        <v>1.8692685100608619E-2</v>
      </c>
      <c r="CS20" s="544">
        <v>2.0826955552811777E-2</v>
      </c>
      <c r="CT20" s="815"/>
      <c r="CU20" s="814">
        <v>8.3876004615327515E-2</v>
      </c>
      <c r="CV20" s="814">
        <v>-3.1669205905340059E-2</v>
      </c>
      <c r="CW20" s="814">
        <v>-5.7703248403567997E-2</v>
      </c>
      <c r="CX20" s="814">
        <v>-4.9216656101413792E-2</v>
      </c>
      <c r="CY20" s="544">
        <v>-0.05</v>
      </c>
      <c r="CZ20" s="815"/>
      <c r="DA20" s="814">
        <v>4.4263679068169859E-2</v>
      </c>
      <c r="DB20" s="814">
        <v>0.10138089009659601</v>
      </c>
      <c r="DC20" s="814">
        <v>9.5305339641849951E-2</v>
      </c>
      <c r="DD20" s="814">
        <v>8.2556006098298385E-2</v>
      </c>
      <c r="DE20" s="544">
        <v>0.10547293789093981</v>
      </c>
      <c r="DF20" s="638"/>
      <c r="DG20" s="1079">
        <v>0.10483965736618983</v>
      </c>
      <c r="DH20" s="814">
        <v>4.3028452909559478E-2</v>
      </c>
      <c r="DI20" s="1079">
        <v>0.10508545466218178</v>
      </c>
      <c r="DJ20" s="1079">
        <v>0.12250952203660304</v>
      </c>
      <c r="DK20" s="1121">
        <v>9.1009308639737219E-2</v>
      </c>
      <c r="DL20" s="638"/>
      <c r="DM20" s="814">
        <v>0.11</v>
      </c>
      <c r="DN20" s="814">
        <v>5.6774317776760563E-2</v>
      </c>
      <c r="DO20" s="814">
        <v>3.4211506745962961E-2</v>
      </c>
      <c r="DP20" s="814">
        <v>-4.4999999999999998E-2</v>
      </c>
      <c r="DQ20" s="1176">
        <v>4.7133643546155346E-2</v>
      </c>
      <c r="DR20" s="638"/>
      <c r="DS20" s="814">
        <v>-0.04</v>
      </c>
      <c r="DT20" s="814">
        <v>0</v>
      </c>
      <c r="DU20" s="814">
        <v>-0.04</v>
      </c>
      <c r="DV20" s="814">
        <v>-0.05</v>
      </c>
      <c r="DW20" s="1176">
        <v>-0.04</v>
      </c>
      <c r="DX20" s="638"/>
      <c r="DY20" s="814">
        <v>-0.17549099892295827</v>
      </c>
      <c r="DZ20" s="814">
        <v>-0.16304911072169359</v>
      </c>
      <c r="EA20" s="814">
        <v>-0.10753491568540041</v>
      </c>
      <c r="EB20" s="814">
        <v>-4.1221525461235142E-2</v>
      </c>
      <c r="EC20" s="1176">
        <v>-0.10451027615825215</v>
      </c>
      <c r="ED20" s="638"/>
      <c r="EE20" s="814">
        <v>0.01</v>
      </c>
      <c r="EF20" s="814">
        <f>0%-5%</f>
        <v>-0.05</v>
      </c>
      <c r="EG20" s="814">
        <f>-4%-3%</f>
        <v>-7.0000000000000007E-2</v>
      </c>
      <c r="EH20" s="814">
        <v>-1.3097166163759178E-2</v>
      </c>
      <c r="EI20" s="1176">
        <f>+-4%-1%</f>
        <v>-0.05</v>
      </c>
      <c r="EJ20" s="638"/>
      <c r="EK20" s="814">
        <f>-0.08-0.05</f>
        <v>-0.13</v>
      </c>
      <c r="EL20" s="814">
        <f>(-0.05-(0.04))</f>
        <v>-0.09</v>
      </c>
      <c r="EM20" s="814">
        <f>4%-10%</f>
        <v>-6.0000000000000005E-2</v>
      </c>
      <c r="EN20" s="814">
        <v>-6.0000000000000001E-3</v>
      </c>
      <c r="EO20" s="1176">
        <f>(EK20*EK14+EL20*EL14+EM20*EM14+EN20*EN14)/SUM(EK14:EN14)</f>
        <v>-6.7561754385964914E-2</v>
      </c>
      <c r="EP20" s="638"/>
      <c r="EQ20" s="814">
        <f>(0.04*(1012)+0.02*(195))/(1012+195)</f>
        <v>3.6768848384424194E-2</v>
      </c>
      <c r="ER20" s="814">
        <f>(0.04*(1169)+0.02*(210))/(1169+210)</f>
        <v>3.6954314720812183E-2</v>
      </c>
      <c r="ES20" s="814">
        <v>0.02</v>
      </c>
      <c r="ET20" s="814">
        <v>0</v>
      </c>
      <c r="EU20" s="1176">
        <f>(EQ20*EQ14+ER20*ER14+ES20*ES14+ET20*ET14)/SUM(EQ14:ET14)</f>
        <v>2.2550173953332631E-2</v>
      </c>
      <c r="EV20" s="638"/>
      <c r="EW20" s="814">
        <v>0</v>
      </c>
      <c r="EX20" s="814">
        <v>0.01</v>
      </c>
      <c r="EY20" s="814">
        <v>0.05</v>
      </c>
      <c r="EZ20" s="814">
        <v>2.5000000000000001E-3</v>
      </c>
      <c r="FA20" s="1176">
        <f>(EW20*EW14+EX20*EX14+EY20*EY14+EZ20*EZ14)/SUM(EW14:EZ14)</f>
        <v>1.5393577937437957E-2</v>
      </c>
      <c r="FB20" s="638"/>
      <c r="FC20" s="814">
        <v>4.0000000000000001E-3</v>
      </c>
      <c r="FD20" s="814">
        <v>4.0000000000000001E-3</v>
      </c>
      <c r="FE20" s="814">
        <v>2E-3</v>
      </c>
      <c r="FF20" s="814"/>
      <c r="FG20" s="1176"/>
      <c r="FH20" s="638"/>
      <c r="FI20" s="636"/>
      <c r="FJ20" s="636"/>
      <c r="FK20" s="636"/>
      <c r="FL20" s="636"/>
      <c r="FM20" s="816"/>
      <c r="FQ20" s="621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</row>
    <row r="21" spans="1:274" s="24" customFormat="1" hidden="1" outlineLevel="1" x14ac:dyDescent="0.2">
      <c r="A21" s="813" t="s">
        <v>409</v>
      </c>
      <c r="B21" s="1056"/>
      <c r="C21" s="810"/>
      <c r="D21" s="810"/>
      <c r="E21" s="810"/>
      <c r="F21" s="810"/>
      <c r="G21" s="810"/>
      <c r="H21" s="810"/>
      <c r="I21" s="810"/>
      <c r="J21" s="810"/>
      <c r="K21" s="810"/>
      <c r="L21" s="810"/>
      <c r="M21" s="810"/>
      <c r="N21" s="810"/>
      <c r="O21" s="810"/>
      <c r="P21" s="810"/>
      <c r="Q21" s="810"/>
      <c r="R21" s="810"/>
      <c r="S21" s="810"/>
      <c r="T21" s="810"/>
      <c r="U21" s="810"/>
      <c r="V21" s="810"/>
      <c r="W21" s="810"/>
      <c r="X21" s="810"/>
      <c r="Y21" s="810"/>
      <c r="Z21" s="810"/>
      <c r="AA21" s="810"/>
      <c r="AB21" s="810"/>
      <c r="AC21" s="810"/>
      <c r="AD21" s="810"/>
      <c r="AE21" s="810"/>
      <c r="AF21" s="638"/>
      <c r="AG21" s="810"/>
      <c r="AH21" s="810"/>
      <c r="AI21" s="810"/>
      <c r="AJ21" s="810"/>
      <c r="AK21" s="810"/>
      <c r="AL21" s="638"/>
      <c r="AM21" s="810"/>
      <c r="AN21" s="810"/>
      <c r="AO21" s="810"/>
      <c r="AP21" s="810"/>
      <c r="AQ21" s="810"/>
      <c r="AR21" s="638"/>
      <c r="AS21" s="810"/>
      <c r="AT21" s="810"/>
      <c r="AU21" s="636"/>
      <c r="AV21" s="636"/>
      <c r="AW21" s="636"/>
      <c r="AX21" s="638"/>
      <c r="AY21" s="636"/>
      <c r="AZ21" s="636"/>
      <c r="BA21" s="636"/>
      <c r="BB21" s="636"/>
      <c r="BC21" s="636"/>
      <c r="BD21" s="638"/>
      <c r="BE21" s="636"/>
      <c r="BF21" s="636"/>
      <c r="BG21" s="636"/>
      <c r="BH21" s="636"/>
      <c r="BI21" s="636"/>
      <c r="BJ21" s="638"/>
      <c r="BK21" s="636"/>
      <c r="BL21" s="636"/>
      <c r="BM21" s="636"/>
      <c r="BN21" s="636"/>
      <c r="BO21" s="636"/>
      <c r="BP21" s="638"/>
      <c r="BQ21" s="636"/>
      <c r="BR21" s="636"/>
      <c r="BS21" s="636"/>
      <c r="BT21" s="636"/>
      <c r="BU21" s="636"/>
      <c r="BV21" s="638"/>
      <c r="BW21" s="636"/>
      <c r="BX21" s="636"/>
      <c r="BY21" s="636"/>
      <c r="BZ21" s="636"/>
      <c r="CA21" s="636"/>
      <c r="CB21" s="638"/>
      <c r="CC21" s="636"/>
      <c r="CD21" s="636"/>
      <c r="CE21" s="636"/>
      <c r="CF21" s="636"/>
      <c r="CG21" s="816"/>
      <c r="CH21" s="638"/>
      <c r="CI21" s="636"/>
      <c r="CJ21" s="636"/>
      <c r="CK21" s="636"/>
      <c r="CL21" s="636"/>
      <c r="CM21" s="816"/>
      <c r="CN21" s="638"/>
      <c r="CO21" s="636">
        <v>0.04</v>
      </c>
      <c r="CP21" s="636">
        <v>7.0000000000000007E-2</v>
      </c>
      <c r="CQ21" s="636">
        <v>0.06</v>
      </c>
      <c r="CR21" s="636">
        <v>0.06</v>
      </c>
      <c r="CS21" s="816">
        <v>0.06</v>
      </c>
      <c r="CT21" s="638"/>
      <c r="CU21" s="636">
        <v>0.04</v>
      </c>
      <c r="CV21" s="636">
        <v>-0.06</v>
      </c>
      <c r="CW21" s="814">
        <v>-0.10442222248964717</v>
      </c>
      <c r="CX21" s="814">
        <v>-0.09</v>
      </c>
      <c r="CY21" s="544">
        <v>-0.06</v>
      </c>
      <c r="CZ21" s="1067"/>
      <c r="DA21" s="517">
        <v>-3.3223478381656069E-2</v>
      </c>
      <c r="DB21" s="814">
        <v>5.3393784081251838E-2</v>
      </c>
      <c r="DC21" s="814">
        <v>0.05</v>
      </c>
      <c r="DD21" s="814">
        <v>1.1118425881908811E-2</v>
      </c>
      <c r="DE21" s="544">
        <v>2.5681101033667053E-2</v>
      </c>
      <c r="DF21" s="638"/>
      <c r="DG21" s="814">
        <v>-0.01</v>
      </c>
      <c r="DH21" s="814">
        <v>-2.0495150252048067E-2</v>
      </c>
      <c r="DI21" s="814">
        <v>0.02</v>
      </c>
      <c r="DJ21" s="814">
        <v>5.4043934664975257E-2</v>
      </c>
      <c r="DK21" s="1121">
        <v>8.0348225428596987E-3</v>
      </c>
      <c r="DL21" s="638"/>
      <c r="DM21" s="814">
        <v>0.06</v>
      </c>
      <c r="DN21" s="814">
        <v>1.1285113222551102E-2</v>
      </c>
      <c r="DO21" s="814">
        <v>-9.0243357214465636E-3</v>
      </c>
      <c r="DP21" s="814">
        <v>-4.2784660579438416E-2</v>
      </c>
      <c r="DQ21" s="1176">
        <v>3.4660249233466889E-3</v>
      </c>
      <c r="DR21" s="638"/>
      <c r="DS21" s="814">
        <v>-4.7624518811688055E-2</v>
      </c>
      <c r="DT21" s="814">
        <v>-1.2166413251415431E-2</v>
      </c>
      <c r="DU21" s="814">
        <v>-1.7123947239962245E-2</v>
      </c>
      <c r="DV21" s="814">
        <v>-2.356124567661344E-2</v>
      </c>
      <c r="DW21" s="1176">
        <v>-2.4500271640664151E-2</v>
      </c>
      <c r="DX21" s="638"/>
      <c r="DY21" s="814">
        <v>-2.0998685145519058E-2</v>
      </c>
      <c r="DZ21" s="814">
        <v>-1.9290879010039896E-2</v>
      </c>
      <c r="EA21" s="814">
        <v>-1.4066029152205228E-2</v>
      </c>
      <c r="EB21" s="814">
        <v>0</v>
      </c>
      <c r="EC21" s="1176">
        <v>-1.2022028346011737E-2</v>
      </c>
      <c r="ED21" s="638"/>
      <c r="EE21" s="814">
        <v>0.01</v>
      </c>
      <c r="EF21" s="814">
        <f>3%-7%</f>
        <v>-4.0000000000000008E-2</v>
      </c>
      <c r="EG21" s="814">
        <f>0%-6%</f>
        <v>-0.06</v>
      </c>
      <c r="EH21" s="814">
        <f>SUM(EH18:EH20)</f>
        <v>-7.6734505978679007E-2</v>
      </c>
      <c r="EI21" s="1176">
        <f>0-4%</f>
        <v>-0.04</v>
      </c>
      <c r="EJ21" s="638"/>
      <c r="EK21" s="814">
        <f>-0.02-0.07</f>
        <v>-9.0000000000000011E-2</v>
      </c>
      <c r="EL21" s="814">
        <f>(EL18*EL12+EL19*EL13+EL20*EL14)/EL15</f>
        <v>-6.2769008448199201E-2</v>
      </c>
      <c r="EM21" s="814">
        <f>(EM18*EM12+EM19*EM13+EM20*EM14)/EM15</f>
        <v>-4.1008431329043714E-2</v>
      </c>
      <c r="EN21" s="814">
        <f>(EN18*EN12+EN19*EN13+EN20*EN14)/EN15</f>
        <v>-8.1319365798414485E-3</v>
      </c>
      <c r="EO21" s="1176">
        <f>(EK21*EK15+EL21*EL15+EM21*EM15+EN21*EN15)/SUM(EK15:EN15)</f>
        <v>-4.8063145964325232E-2</v>
      </c>
      <c r="EP21" s="638"/>
      <c r="EQ21" s="814">
        <f>(EQ18*EQ12+EQ19*EQ13+EQ20*EQ14)/EQ15</f>
        <v>-1.3419691719905239E-2</v>
      </c>
      <c r="ER21" s="814">
        <f>(ER18*ER12+ER19*ER13+ER20*ER14)/ER15</f>
        <v>-7.81898201505523E-3</v>
      </c>
      <c r="ES21" s="814">
        <f>(ES18*ES12+ES19*ES13+ES20*ES14)/ES15</f>
        <v>-2.3258572352814325E-3</v>
      </c>
      <c r="ET21" s="814">
        <f>(ET18*ET12+ET19*ET13+ET20*ET14)/ET15</f>
        <v>-9.9454890978195633E-3</v>
      </c>
      <c r="EU21" s="1176">
        <f>(EQ21*EQ15+ER21*ER15+ES21*ES15+ET21*ET15)/SUM(EQ15:ET15)</f>
        <v>-8.3615411695169284E-3</v>
      </c>
      <c r="EV21" s="638"/>
      <c r="EW21" s="814">
        <f>(EW18*EW12+EW19*EW13+EW20*EW14)/EW15</f>
        <v>1.3361354629518433E-2</v>
      </c>
      <c r="EX21" s="814">
        <f>(EX18*EX12+EX19*EX13+EX20*EX14)/EX15</f>
        <v>1.6204221334854534E-2</v>
      </c>
      <c r="EY21" s="814">
        <f>(EY18*EY12+EY19*EY13+EY20*EY14)/EY15</f>
        <v>4.4295264623955437E-2</v>
      </c>
      <c r="EZ21" s="814">
        <f t="shared" ref="EZ21" si="5">SUM(EZ18:EZ20)</f>
        <v>3.2500000000000001E-2</v>
      </c>
      <c r="FA21" s="1176">
        <f>SUM(FA18:FA20)</f>
        <v>7.4150780051241288E-2</v>
      </c>
      <c r="FB21" s="638"/>
      <c r="FC21" s="814">
        <f t="shared" ref="FC21:FF21" si="6">SUM(FC18:FC20)</f>
        <v>2.3E-2</v>
      </c>
      <c r="FD21" s="814">
        <f t="shared" si="6"/>
        <v>1.7999999999999999E-2</v>
      </c>
      <c r="FE21" s="814">
        <f t="shared" si="6"/>
        <v>8.0000000000000002E-3</v>
      </c>
      <c r="FF21" s="814">
        <f t="shared" si="6"/>
        <v>0</v>
      </c>
      <c r="FG21" s="1176"/>
      <c r="FH21" s="638"/>
      <c r="FI21" s="636"/>
      <c r="FJ21" s="636"/>
      <c r="FK21" s="636"/>
      <c r="FL21" s="636"/>
      <c r="FM21" s="816"/>
      <c r="FQ21" s="6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</row>
    <row r="22" spans="1:274" s="24" customFormat="1" ht="5.25" hidden="1" customHeight="1" outlineLevel="1" x14ac:dyDescent="0.2">
      <c r="A22" s="18"/>
      <c r="B22" s="1057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28"/>
      <c r="CG22" s="416"/>
      <c r="CH22" s="28"/>
      <c r="CI22" s="28"/>
      <c r="CJ22" s="28"/>
      <c r="CK22" s="28"/>
      <c r="CL22" s="28"/>
      <c r="CM22" s="416"/>
      <c r="CN22" s="28"/>
      <c r="CO22" s="28"/>
      <c r="CP22" s="28"/>
      <c r="CQ22" s="28"/>
      <c r="CR22" s="28"/>
      <c r="CS22" s="416"/>
      <c r="CT22" s="28"/>
      <c r="CU22" s="28"/>
      <c r="CV22" s="28"/>
      <c r="CW22" s="28"/>
      <c r="CX22" s="28"/>
      <c r="CY22" s="416"/>
      <c r="CZ22" s="28"/>
      <c r="DA22" s="28"/>
      <c r="DB22" s="28"/>
      <c r="DC22" s="28"/>
      <c r="DD22" s="28"/>
      <c r="DE22" s="416"/>
      <c r="DF22" s="28"/>
      <c r="DG22" s="28"/>
      <c r="DH22" s="28"/>
      <c r="DI22" s="28"/>
      <c r="DJ22" s="28"/>
      <c r="DK22" s="416"/>
      <c r="DL22" s="28"/>
      <c r="DM22" s="28"/>
      <c r="DN22" s="28"/>
      <c r="DO22" s="28"/>
      <c r="DP22" s="28"/>
      <c r="DQ22" s="416"/>
      <c r="DR22" s="28"/>
      <c r="DS22" s="28"/>
      <c r="DT22" s="28"/>
      <c r="DU22" s="28"/>
      <c r="DV22" s="28"/>
      <c r="DW22" s="416"/>
      <c r="DX22" s="28"/>
      <c r="DY22" s="28"/>
      <c r="DZ22" s="28"/>
      <c r="EA22" s="28"/>
      <c r="EB22" s="28"/>
      <c r="EC22" s="416"/>
      <c r="ED22" s="28"/>
      <c r="EE22" s="28"/>
      <c r="EF22" s="28"/>
      <c r="EG22" s="28"/>
      <c r="EH22" s="28"/>
      <c r="EI22" s="416"/>
      <c r="EJ22" s="28"/>
      <c r="EK22" s="28"/>
      <c r="EL22" s="28"/>
      <c r="EM22" s="28"/>
      <c r="EN22" s="28"/>
      <c r="EO22" s="416"/>
      <c r="EP22" s="28"/>
      <c r="EQ22" s="28"/>
      <c r="ER22" s="28"/>
      <c r="ES22" s="28"/>
      <c r="ET22" s="28"/>
      <c r="EU22" s="416"/>
      <c r="EV22" s="28"/>
      <c r="EW22" s="28"/>
      <c r="EX22" s="28"/>
      <c r="EY22" s="28"/>
      <c r="EZ22" s="28"/>
      <c r="FA22" s="416"/>
      <c r="FB22" s="28"/>
      <c r="FC22" s="28"/>
      <c r="FD22" s="28"/>
      <c r="FE22" s="28"/>
      <c r="FF22" s="28"/>
      <c r="FG22" s="416"/>
      <c r="FH22" s="28"/>
      <c r="FI22" s="28"/>
      <c r="FJ22" s="28"/>
      <c r="FK22" s="28"/>
      <c r="FL22" s="28"/>
      <c r="FM22" s="416"/>
      <c r="FQ22" s="621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</row>
    <row r="23" spans="1:274" s="24" customFormat="1" collapsed="1" x14ac:dyDescent="0.2">
      <c r="A23" s="817" t="s">
        <v>699</v>
      </c>
      <c r="B23" s="29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818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  <c r="AH23" s="50"/>
      <c r="AI23" s="50"/>
      <c r="AJ23" s="50"/>
      <c r="AK23" s="50"/>
      <c r="AL23" s="50"/>
      <c r="AM23" s="50"/>
      <c r="AN23" s="50"/>
      <c r="AO23" s="50"/>
      <c r="AP23" s="50"/>
      <c r="AQ23" s="50"/>
      <c r="AR23" s="50"/>
      <c r="AS23" s="52"/>
      <c r="AT23" s="52"/>
      <c r="AU23" s="52"/>
      <c r="AV23" s="52"/>
      <c r="AW23" s="52"/>
      <c r="AX23" s="50"/>
      <c r="AY23" s="50"/>
      <c r="AZ23" s="50"/>
      <c r="BA23" s="50"/>
      <c r="BB23" s="50"/>
      <c r="BC23" s="50"/>
      <c r="BD23" s="50"/>
      <c r="BE23" s="50"/>
      <c r="BF23" s="50"/>
      <c r="BG23" s="50"/>
      <c r="BH23" s="50"/>
      <c r="BI23" s="50"/>
      <c r="BJ23" s="50"/>
      <c r="BK23" s="50"/>
      <c r="BL23" s="50"/>
      <c r="BM23" s="50"/>
      <c r="BN23" s="50"/>
      <c r="BO23" s="50"/>
      <c r="BP23" s="50"/>
      <c r="BQ23" s="50"/>
      <c r="BR23" s="50"/>
      <c r="BS23" s="50"/>
      <c r="BT23" s="50"/>
      <c r="BU23" s="50"/>
      <c r="BV23" s="50"/>
      <c r="BW23" s="50"/>
      <c r="BX23" s="50"/>
      <c r="BY23" s="50"/>
      <c r="BZ23" s="50"/>
      <c r="CA23" s="50"/>
      <c r="CB23" s="50"/>
      <c r="CC23" s="50"/>
      <c r="CD23" s="50"/>
      <c r="CE23" s="50"/>
      <c r="CF23" s="50"/>
      <c r="CG23" s="164"/>
      <c r="CH23" s="50"/>
      <c r="CI23" s="50"/>
      <c r="CJ23" s="50"/>
      <c r="CK23" s="50"/>
      <c r="CL23" s="50"/>
      <c r="CM23" s="164"/>
      <c r="CN23" s="50"/>
      <c r="CO23" s="50"/>
      <c r="CP23" s="50"/>
      <c r="CQ23" s="50"/>
      <c r="CR23" s="50"/>
      <c r="CS23" s="164"/>
      <c r="CT23" s="50"/>
      <c r="CU23" s="50"/>
      <c r="CV23" s="50"/>
      <c r="CW23" s="50"/>
      <c r="CX23" s="50"/>
      <c r="CY23" s="164"/>
      <c r="CZ23" s="50"/>
      <c r="DA23" s="50"/>
      <c r="DB23" s="50"/>
      <c r="DC23" s="50"/>
      <c r="DD23" s="50"/>
      <c r="DE23" s="164"/>
      <c r="DF23" s="50"/>
      <c r="DG23" s="50"/>
      <c r="DH23" s="50"/>
      <c r="DI23" s="50"/>
      <c r="DJ23" s="50"/>
      <c r="DK23" s="164"/>
      <c r="DL23" s="50"/>
      <c r="DM23" s="50"/>
      <c r="DN23" s="50"/>
      <c r="DO23" s="50"/>
      <c r="DP23" s="50"/>
      <c r="DQ23" s="164"/>
      <c r="DR23" s="50"/>
      <c r="DS23" s="50"/>
      <c r="DT23" s="50"/>
      <c r="DU23" s="50"/>
      <c r="DV23" s="50"/>
      <c r="DW23" s="164"/>
      <c r="DX23" s="50"/>
      <c r="DY23" s="50"/>
      <c r="DZ23" s="50"/>
      <c r="EA23" s="50"/>
      <c r="EB23" s="50"/>
      <c r="EC23" s="164"/>
      <c r="ED23" s="50"/>
      <c r="EE23" s="50"/>
      <c r="EF23" s="50"/>
      <c r="EG23" s="50"/>
      <c r="EH23" s="50"/>
      <c r="EI23" s="164"/>
      <c r="EJ23" s="50"/>
      <c r="EK23" s="50"/>
      <c r="EL23" s="50"/>
      <c r="EM23" s="50"/>
      <c r="EN23" s="50"/>
      <c r="EO23" s="164"/>
      <c r="EP23" s="50"/>
      <c r="EQ23" s="50"/>
      <c r="ER23" s="50"/>
      <c r="ES23" s="50"/>
      <c r="ET23" s="50"/>
      <c r="EU23" s="164"/>
      <c r="EV23" s="50"/>
      <c r="EW23" s="50"/>
      <c r="EX23" s="50"/>
      <c r="EY23" s="50"/>
      <c r="EZ23" s="50"/>
      <c r="FA23" s="164"/>
      <c r="FB23" s="50"/>
      <c r="FC23" s="50"/>
      <c r="FD23" s="50"/>
      <c r="FE23" s="50"/>
      <c r="FF23" s="50"/>
      <c r="FG23" s="164"/>
      <c r="FH23" s="50"/>
      <c r="FI23" s="50"/>
      <c r="FJ23" s="50"/>
      <c r="FK23" s="50"/>
      <c r="FL23" s="50"/>
      <c r="FM23" s="164"/>
      <c r="FO23" s="614" t="s">
        <v>111</v>
      </c>
      <c r="FQ23" s="621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</row>
    <row r="24" spans="1:274" s="24" customFormat="1" x14ac:dyDescent="0.2">
      <c r="A24" s="819" t="s">
        <v>29</v>
      </c>
      <c r="B24" s="610"/>
      <c r="C24" s="50" t="s">
        <v>945</v>
      </c>
      <c r="D24" s="50" t="s">
        <v>945</v>
      </c>
      <c r="E24" s="50" t="s">
        <v>945</v>
      </c>
      <c r="F24" s="50" t="s">
        <v>945</v>
      </c>
      <c r="G24" s="50" t="s">
        <v>945</v>
      </c>
      <c r="H24" s="50" t="s">
        <v>945</v>
      </c>
      <c r="I24" s="52">
        <f t="shared" ref="I24:M27" si="7">I12/H12-1</f>
        <v>0.47818952686240102</v>
      </c>
      <c r="J24" s="52">
        <f t="shared" si="7"/>
        <v>-0.11581872125331616</v>
      </c>
      <c r="K24" s="52">
        <f t="shared" si="7"/>
        <v>8.8103481072855372E-2</v>
      </c>
      <c r="L24" s="52">
        <f t="shared" si="7"/>
        <v>0.29012708269232546</v>
      </c>
      <c r="M24" s="52">
        <f t="shared" si="7"/>
        <v>0.70316723278167248</v>
      </c>
      <c r="N24" s="50"/>
      <c r="O24" s="50" t="s">
        <v>945</v>
      </c>
      <c r="P24" s="50" t="s">
        <v>945</v>
      </c>
      <c r="Q24" s="50" t="s">
        <v>945</v>
      </c>
      <c r="R24" s="50" t="s">
        <v>945</v>
      </c>
      <c r="S24" s="52">
        <f>S12/M12-1</f>
        <v>0.5022918967315142</v>
      </c>
      <c r="T24" s="50"/>
      <c r="U24" s="52">
        <f t="shared" ref="U24:Y27" si="8">U12/O12-1</f>
        <v>0.44405047129358644</v>
      </c>
      <c r="V24" s="52">
        <f t="shared" si="8"/>
        <v>0.42999999999999994</v>
      </c>
      <c r="W24" s="52">
        <f t="shared" si="8"/>
        <v>0.46423168232154199</v>
      </c>
      <c r="X24" s="52">
        <f t="shared" si="8"/>
        <v>0.49938734102043836</v>
      </c>
      <c r="Y24" s="52">
        <f t="shared" si="8"/>
        <v>0.46552818035199306</v>
      </c>
      <c r="Z24" s="50"/>
      <c r="AA24" s="52">
        <f t="shared" ref="AA24:AE27" si="9">AA12/U12-1</f>
        <v>0.43265023502310274</v>
      </c>
      <c r="AB24" s="52">
        <f t="shared" si="9"/>
        <v>0.49491934918788627</v>
      </c>
      <c r="AC24" s="52">
        <f t="shared" si="9"/>
        <v>0.40254864561660741</v>
      </c>
      <c r="AD24" s="52">
        <f t="shared" si="9"/>
        <v>0.44240236687952916</v>
      </c>
      <c r="AE24" s="52">
        <f t="shared" si="9"/>
        <v>0.44238905874004564</v>
      </c>
      <c r="AF24" s="51"/>
      <c r="AG24" s="52">
        <f t="shared" ref="AG24:AK27" si="10">AG12/AA12-1</f>
        <v>0.3628458248211277</v>
      </c>
      <c r="AH24" s="52">
        <f t="shared" si="10"/>
        <v>0.2924227470579237</v>
      </c>
      <c r="AI24" s="52">
        <f t="shared" si="10"/>
        <v>0.42916491949612556</v>
      </c>
      <c r="AJ24" s="52">
        <f t="shared" si="10"/>
        <v>0.33494698650499033</v>
      </c>
      <c r="AK24" s="52">
        <f t="shared" si="10"/>
        <v>0.35240673776337661</v>
      </c>
      <c r="AL24" s="51"/>
      <c r="AM24" s="52">
        <f t="shared" ref="AM24:AQ27" si="11">AM12/AG12-1</f>
        <v>0.36824674996965134</v>
      </c>
      <c r="AN24" s="52">
        <f t="shared" si="11"/>
        <v>0.30161802833116291</v>
      </c>
      <c r="AO24" s="52">
        <f t="shared" si="11"/>
        <v>0.17075236706694708</v>
      </c>
      <c r="AP24" s="52">
        <f t="shared" si="11"/>
        <v>0.20900185738900068</v>
      </c>
      <c r="AQ24" s="52">
        <f t="shared" si="11"/>
        <v>0.2481487729746914</v>
      </c>
      <c r="AR24" s="51"/>
      <c r="AS24" s="52">
        <f t="shared" ref="AS24:AW27" si="12">AS12/AM12-1</f>
        <v>0.12074654629627779</v>
      </c>
      <c r="AT24" s="52">
        <f t="shared" si="12"/>
        <v>0.12510788544527274</v>
      </c>
      <c r="AU24" s="52">
        <f t="shared" si="12"/>
        <v>0.24454857937355978</v>
      </c>
      <c r="AV24" s="52">
        <f t="shared" si="12"/>
        <v>0.17800658754355392</v>
      </c>
      <c r="AW24" s="52">
        <f t="shared" si="12"/>
        <v>0.17024188187650169</v>
      </c>
      <c r="AX24" s="51"/>
      <c r="AY24" s="52">
        <f t="shared" ref="AY24:BC27" si="13">AY12/AS12-1</f>
        <v>0.17014276184122745</v>
      </c>
      <c r="AZ24" s="52">
        <f t="shared" si="13"/>
        <v>0.21602281048217109</v>
      </c>
      <c r="BA24" s="52">
        <f t="shared" si="13"/>
        <v>7.5535897032739996E-2</v>
      </c>
      <c r="BB24" s="52">
        <f t="shared" si="13"/>
        <v>-6.5911904995734627E-2</v>
      </c>
      <c r="BC24" s="52">
        <f t="shared" si="13"/>
        <v>7.3814689613303841E-2</v>
      </c>
      <c r="BD24" s="51"/>
      <c r="BE24" s="52">
        <f t="shared" ref="BE24:BI27" si="14">BE12/AY12-1</f>
        <v>-5.2873626127204587E-2</v>
      </c>
      <c r="BF24" s="52">
        <f t="shared" si="14"/>
        <v>-0.16473310002802266</v>
      </c>
      <c r="BG24" s="52">
        <f t="shared" si="14"/>
        <v>-0.19264169743258963</v>
      </c>
      <c r="BH24" s="52">
        <f t="shared" si="14"/>
        <v>-0.2238304508738086</v>
      </c>
      <c r="BI24" s="52">
        <f t="shared" si="14"/>
        <v>-0.16647149385000892</v>
      </c>
      <c r="BJ24" s="51"/>
      <c r="BK24" s="52">
        <f t="shared" ref="BK24:BO27" si="15">BK12/BE12-1</f>
        <v>-0.11234245282413158</v>
      </c>
      <c r="BL24" s="52">
        <f t="shared" si="15"/>
        <v>-9.7287023715526E-2</v>
      </c>
      <c r="BM24" s="52">
        <f t="shared" si="15"/>
        <v>-5.4938265231972871E-2</v>
      </c>
      <c r="BN24" s="52">
        <f t="shared" si="15"/>
        <v>-7.6361835085102858E-2</v>
      </c>
      <c r="BO24" s="52">
        <f t="shared" si="15"/>
        <v>-8.4802391756722217E-2</v>
      </c>
      <c r="BP24" s="51"/>
      <c r="BQ24" s="52">
        <f t="shared" ref="BQ24:BU27" si="16">BQ12/BK12-1</f>
        <v>-5.7866184448462921E-2</v>
      </c>
      <c r="BR24" s="52">
        <f t="shared" si="16"/>
        <v>8.0380293863439922E-2</v>
      </c>
      <c r="BS24" s="52">
        <f t="shared" si="16"/>
        <v>2.1848739495798242E-2</v>
      </c>
      <c r="BT24" s="52">
        <f t="shared" si="16"/>
        <v>6.038820992092031E-2</v>
      </c>
      <c r="BU24" s="52">
        <f t="shared" si="16"/>
        <v>2.869529314616015E-2</v>
      </c>
      <c r="BV24" s="51"/>
      <c r="BW24" s="52">
        <f t="shared" ref="BW24:CA27" si="17">BW12/BQ12-1</f>
        <v>4.702495201535517E-2</v>
      </c>
      <c r="BX24" s="52">
        <f t="shared" si="17"/>
        <v>3.3600000000000074E-2</v>
      </c>
      <c r="BY24" s="52">
        <f t="shared" si="17"/>
        <v>0.25230263157894739</v>
      </c>
      <c r="BZ24" s="52">
        <f t="shared" si="17"/>
        <v>0.41234223728813557</v>
      </c>
      <c r="CA24" s="52">
        <f t="shared" si="17"/>
        <v>0.20188737708207927</v>
      </c>
      <c r="CB24" s="51"/>
      <c r="CC24" s="52">
        <f t="shared" ref="CC24:CG27" si="18">CC12/BW12-1</f>
        <v>0.42933088909257577</v>
      </c>
      <c r="CD24" s="52">
        <f t="shared" si="18"/>
        <v>0.38869969040247687</v>
      </c>
      <c r="CE24" s="52">
        <f t="shared" si="18"/>
        <v>0.2348962437614921</v>
      </c>
      <c r="CF24" s="52">
        <f t="shared" si="18"/>
        <v>0.2663181267631487</v>
      </c>
      <c r="CG24" s="149">
        <f t="shared" si="18"/>
        <v>0.31442539501721556</v>
      </c>
      <c r="CH24" s="51"/>
      <c r="CI24" s="52">
        <f t="shared" ref="CI24:CM27" si="19">CI12/CC12-1</f>
        <v>0.27677311786584569</v>
      </c>
      <c r="CJ24" s="52">
        <f t="shared" si="19"/>
        <v>0.22422249470516098</v>
      </c>
      <c r="CK24" s="52">
        <f t="shared" si="19"/>
        <v>0.24036160595586287</v>
      </c>
      <c r="CL24" s="52">
        <f t="shared" si="19"/>
        <v>0.15447308567096285</v>
      </c>
      <c r="CM24" s="149">
        <f t="shared" si="19"/>
        <v>0.21511413726959772</v>
      </c>
      <c r="CN24" s="51"/>
      <c r="CO24" s="52">
        <f t="shared" ref="CO24:CS27" si="20">CO12/CI12-1</f>
        <v>0.20894023103967863</v>
      </c>
      <c r="CP24" s="52">
        <f t="shared" si="20"/>
        <v>0.22900068290462094</v>
      </c>
      <c r="CQ24" s="52">
        <f t="shared" si="20"/>
        <v>0.16527331189710615</v>
      </c>
      <c r="CR24" s="52">
        <f t="shared" si="20"/>
        <v>0.18043014283368897</v>
      </c>
      <c r="CS24" s="149">
        <f t="shared" si="20"/>
        <v>0.1938215461815902</v>
      </c>
      <c r="CT24" s="51"/>
      <c r="CU24" s="52">
        <f t="shared" ref="CU24:CY27" si="21">CU12/CO12-1</f>
        <v>0.13523057748234324</v>
      </c>
      <c r="CV24" s="52">
        <f t="shared" si="21"/>
        <v>9.0572328208927688E-2</v>
      </c>
      <c r="CW24" s="52">
        <f t="shared" si="21"/>
        <v>4.7093451066960945E-2</v>
      </c>
      <c r="CX24" s="52">
        <f t="shared" si="21"/>
        <v>-3.6717663421418689E-2</v>
      </c>
      <c r="CY24" s="149">
        <f t="shared" si="21"/>
        <v>4.9564341696221481E-2</v>
      </c>
      <c r="CZ24" s="51"/>
      <c r="DA24" s="52">
        <f t="shared" ref="DA24:DE27" si="22">DA12/CU12-1</f>
        <v>-2.2506861848124449E-2</v>
      </c>
      <c r="DB24" s="52">
        <f t="shared" si="22"/>
        <v>1.1888586956521729E-2</v>
      </c>
      <c r="DC24" s="52">
        <f t="shared" si="22"/>
        <v>0.15390021082220651</v>
      </c>
      <c r="DD24" s="52">
        <f t="shared" si="22"/>
        <v>0.4109153912792376</v>
      </c>
      <c r="DE24" s="149">
        <f t="shared" si="22"/>
        <v>0.15305994743648577</v>
      </c>
      <c r="DF24" s="51"/>
      <c r="DG24" s="52">
        <f t="shared" ref="DG24:DK27" si="23">DG12/DA12-1</f>
        <v>0.47838035652741451</v>
      </c>
      <c r="DH24" s="52">
        <f t="shared" si="23"/>
        <v>0.49446122860020147</v>
      </c>
      <c r="DI24" s="52">
        <f t="shared" si="23"/>
        <v>0.37302070645554197</v>
      </c>
      <c r="DJ24" s="52">
        <f t="shared" si="23"/>
        <v>0.12300450266066321</v>
      </c>
      <c r="DK24" s="149">
        <f t="shared" si="23"/>
        <v>0.33116888077313478</v>
      </c>
      <c r="DL24" s="51"/>
      <c r="DM24" s="52">
        <f t="shared" ref="DM24:DQ27" si="24">DM12/DG12-1</f>
        <v>7.021102668579382E-2</v>
      </c>
      <c r="DN24" s="52">
        <f t="shared" si="24"/>
        <v>1.7969451931716174E-2</v>
      </c>
      <c r="DO24" s="52">
        <f t="shared" si="24"/>
        <v>4.3912175648702645E-2</v>
      </c>
      <c r="DP24" s="52">
        <f t="shared" si="24"/>
        <v>5.1758702387461275E-2</v>
      </c>
      <c r="DQ24" s="149">
        <f t="shared" si="24"/>
        <v>4.5619247330501711E-2</v>
      </c>
      <c r="DR24" s="51"/>
      <c r="DS24" s="52">
        <f t="shared" ref="DS24:DW27" si="25">DS12/DM12-1</f>
        <v>2.3189777567439673E-2</v>
      </c>
      <c r="DT24" s="52">
        <f t="shared" si="25"/>
        <v>5.6266548984995612E-2</v>
      </c>
      <c r="DU24" s="52">
        <f t="shared" si="25"/>
        <v>-1.9120458891013214E-3</v>
      </c>
      <c r="DV24" s="52">
        <f t="shared" si="25"/>
        <v>2.4259227170334352E-2</v>
      </c>
      <c r="DW24" s="149">
        <f t="shared" si="25"/>
        <v>2.5161156165522947E-2</v>
      </c>
      <c r="DX24" s="51"/>
      <c r="DY24" s="52">
        <f t="shared" ref="DY24:EC27" si="26">DY12/DS12-1</f>
        <v>4.4634597594819692E-2</v>
      </c>
      <c r="DZ24" s="52">
        <f t="shared" si="26"/>
        <v>4.345101316064337E-2</v>
      </c>
      <c r="EA24" s="52">
        <f t="shared" si="26"/>
        <v>5.4278416347381953E-2</v>
      </c>
      <c r="EB24" s="52">
        <f t="shared" si="26"/>
        <v>-9.1355100659786803E-3</v>
      </c>
      <c r="EC24" s="149">
        <f t="shared" si="26"/>
        <v>3.0527383367140004E-2</v>
      </c>
      <c r="ED24" s="51"/>
      <c r="EE24" s="52">
        <f t="shared" ref="EE24:EI27" si="27">EE12/DY12-1</f>
        <v>2.2802745184857143E-2</v>
      </c>
      <c r="EF24" s="52">
        <f t="shared" si="27"/>
        <v>4.5245245245245203E-2</v>
      </c>
      <c r="EG24" s="52">
        <f t="shared" si="27"/>
        <v>3.654350898445391E-2</v>
      </c>
      <c r="EH24" s="52">
        <f t="shared" si="27"/>
        <v>4.7123100563428277E-2</v>
      </c>
      <c r="EI24" s="149">
        <f t="shared" si="27"/>
        <v>3.8677295541777346E-2</v>
      </c>
      <c r="EJ24" s="51"/>
      <c r="EK24" s="52">
        <f t="shared" ref="EK24:ET27" si="28">EK12/EE12-1</f>
        <v>2.0779220779220786E-2</v>
      </c>
      <c r="EL24" s="52">
        <f t="shared" si="28"/>
        <v>-4.9990423290557362E-2</v>
      </c>
      <c r="EM24" s="52">
        <f t="shared" si="28"/>
        <v>-3.7397740553174907E-2</v>
      </c>
      <c r="EN24" s="52">
        <f t="shared" si="28"/>
        <v>-4.6632969183107775E-2</v>
      </c>
      <c r="EO24" s="149">
        <f t="shared" si="28"/>
        <v>-3.0462383930263459E-2</v>
      </c>
      <c r="EP24" s="51"/>
      <c r="EQ24" s="52">
        <f t="shared" si="28"/>
        <v>2.1416454622561476E-2</v>
      </c>
      <c r="ER24" s="52">
        <f t="shared" si="28"/>
        <v>-5.0403225806451291E-3</v>
      </c>
      <c r="ES24" s="52">
        <f t="shared" si="28"/>
        <v>5.6050182112505009E-2</v>
      </c>
      <c r="ET24" s="52">
        <f t="shared" si="28"/>
        <v>5.1459445301066387E-2</v>
      </c>
      <c r="EU24" s="149">
        <f t="shared" ref="EU24:EU27" si="29">EU12/EO12-1</f>
        <v>3.1951301083573691E-2</v>
      </c>
      <c r="EV24" s="51"/>
      <c r="EW24" s="52">
        <f t="shared" ref="EW24:EY27" si="30">EW12/EQ12-1</f>
        <v>8.8826478437085354E-2</v>
      </c>
      <c r="EX24" s="52">
        <f t="shared" si="30"/>
        <v>9.0005323050194264E-2</v>
      </c>
      <c r="EY24" s="52">
        <f t="shared" si="30"/>
        <v>3.3940247253847033E-2</v>
      </c>
      <c r="EZ24" s="52">
        <f t="shared" ref="EZ24:FA27" si="31">EZ12/ET12-1</f>
        <v>2.272851349033167E-2</v>
      </c>
      <c r="FA24" s="149">
        <f t="shared" si="31"/>
        <v>5.6296528341968521E-2</v>
      </c>
      <c r="FB24" s="51"/>
      <c r="FC24" s="52">
        <f t="shared" ref="FC24:FG27" si="32">FC12/EW12-1</f>
        <v>3.6625560043135996E-2</v>
      </c>
      <c r="FD24" s="52">
        <f t="shared" si="32"/>
        <v>3.6539671034598431E-2</v>
      </c>
      <c r="FE24" s="52">
        <f t="shared" si="32"/>
        <v>3.2307231133390735E-2</v>
      </c>
      <c r="FF24" s="52">
        <f t="shared" si="32"/>
        <v>1.9107308187735095E-2</v>
      </c>
      <c r="FG24" s="149">
        <f t="shared" si="32"/>
        <v>3.0622623439213514E-2</v>
      </c>
      <c r="FH24" s="51"/>
      <c r="FI24" s="52">
        <f t="shared" ref="FI24:FI27" si="33">FI12/FC12-1</f>
        <v>4.0861215517648208E-2</v>
      </c>
      <c r="FJ24" s="52">
        <f t="shared" ref="FJ24:FJ27" si="34">FJ12/FD12-1</f>
        <v>3.6163195563325479E-2</v>
      </c>
      <c r="FK24" s="52">
        <f t="shared" ref="FK24:FK27" si="35">FK12/FE12-1</f>
        <v>3.4500426358212266E-2</v>
      </c>
      <c r="FL24" s="52">
        <f t="shared" ref="FL24:FL27" si="36">FL12/FF12-1</f>
        <v>2.3933269721764905E-2</v>
      </c>
      <c r="FM24" s="149">
        <f t="shared" ref="FM24:FM27" si="37">FM12/FG12-1</f>
        <v>3.346274933830462E-2</v>
      </c>
      <c r="FO24" s="158" t="str">
        <f>A24</f>
        <v>Americas</v>
      </c>
      <c r="FP24" s="613">
        <f>CG24</f>
        <v>0.31442539501721556</v>
      </c>
      <c r="FQ24" s="820">
        <f>CM24</f>
        <v>0.21511413726959772</v>
      </c>
      <c r="FR24" s="613">
        <f>CS24</f>
        <v>0.1938215461815902</v>
      </c>
      <c r="FS24" s="613">
        <f>CY24</f>
        <v>4.9564341696221481E-2</v>
      </c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</row>
    <row r="25" spans="1:274" s="24" customFormat="1" x14ac:dyDescent="0.2">
      <c r="A25" s="819" t="s">
        <v>702</v>
      </c>
      <c r="B25" s="21"/>
      <c r="C25" s="50" t="s">
        <v>945</v>
      </c>
      <c r="D25" s="50" t="s">
        <v>945</v>
      </c>
      <c r="E25" s="50" t="s">
        <v>945</v>
      </c>
      <c r="F25" s="50" t="s">
        <v>945</v>
      </c>
      <c r="G25" s="50" t="s">
        <v>945</v>
      </c>
      <c r="H25" s="50" t="s">
        <v>945</v>
      </c>
      <c r="I25" s="52">
        <f t="shared" si="7"/>
        <v>0.81885988555315969</v>
      </c>
      <c r="J25" s="52">
        <f t="shared" si="7"/>
        <v>0.44256773123516346</v>
      </c>
      <c r="K25" s="52">
        <f t="shared" si="7"/>
        <v>0.12340925702771588</v>
      </c>
      <c r="L25" s="52">
        <f t="shared" si="7"/>
        <v>0.20730075384969759</v>
      </c>
      <c r="M25" s="52">
        <f t="shared" si="7"/>
        <v>0.21347745091899006</v>
      </c>
      <c r="N25" s="50"/>
      <c r="O25" s="50" t="s">
        <v>945</v>
      </c>
      <c r="P25" s="50" t="s">
        <v>945</v>
      </c>
      <c r="Q25" s="50" t="s">
        <v>945</v>
      </c>
      <c r="R25" s="50" t="s">
        <v>945</v>
      </c>
      <c r="S25" s="52">
        <f>S13/M13-1</f>
        <v>0.39881483935395901</v>
      </c>
      <c r="T25" s="50"/>
      <c r="U25" s="52">
        <f t="shared" si="8"/>
        <v>0.2317309888102308</v>
      </c>
      <c r="V25" s="52">
        <f t="shared" si="8"/>
        <v>0.37999999999999989</v>
      </c>
      <c r="W25" s="52">
        <f t="shared" si="8"/>
        <v>0.30592077568546006</v>
      </c>
      <c r="X25" s="52">
        <f t="shared" si="8"/>
        <v>0.34696750437941049</v>
      </c>
      <c r="Y25" s="52">
        <f t="shared" si="8"/>
        <v>0.32211720752392092</v>
      </c>
      <c r="Z25" s="50"/>
      <c r="AA25" s="52">
        <f t="shared" si="9"/>
        <v>0.26298244050271857</v>
      </c>
      <c r="AB25" s="52">
        <f t="shared" si="9"/>
        <v>0.16393488239990184</v>
      </c>
      <c r="AC25" s="52">
        <f t="shared" si="9"/>
        <v>0.27867870449215748</v>
      </c>
      <c r="AD25" s="52">
        <f t="shared" si="9"/>
        <v>0.19760953068028919</v>
      </c>
      <c r="AE25" s="52">
        <f t="shared" si="9"/>
        <v>0.22089679476502355</v>
      </c>
      <c r="AF25" s="51"/>
      <c r="AG25" s="52">
        <f t="shared" si="10"/>
        <v>0.19793922113850959</v>
      </c>
      <c r="AH25" s="52">
        <f t="shared" si="10"/>
        <v>0.23931447780915027</v>
      </c>
      <c r="AI25" s="52">
        <f t="shared" si="10"/>
        <v>0.21222860624140005</v>
      </c>
      <c r="AJ25" s="52">
        <f t="shared" si="10"/>
        <v>0.22880475661735744</v>
      </c>
      <c r="AK25" s="52">
        <f t="shared" si="10"/>
        <v>0.22123778079128997</v>
      </c>
      <c r="AL25" s="51"/>
      <c r="AM25" s="52">
        <f t="shared" si="11"/>
        <v>0.33090688862076778</v>
      </c>
      <c r="AN25" s="52">
        <f t="shared" si="11"/>
        <v>0.31102282910965529</v>
      </c>
      <c r="AO25" s="52">
        <f t="shared" si="11"/>
        <v>0.20212845232297982</v>
      </c>
      <c r="AP25" s="52">
        <f t="shared" si="11"/>
        <v>0.17557243817190771</v>
      </c>
      <c r="AQ25" s="52">
        <f t="shared" si="11"/>
        <v>0.24284389772519499</v>
      </c>
      <c r="AR25" s="51"/>
      <c r="AS25" s="52">
        <f t="shared" si="12"/>
        <v>9.3775729363832827E-2</v>
      </c>
      <c r="AT25" s="52">
        <f t="shared" si="12"/>
        <v>6.510748831250468E-2</v>
      </c>
      <c r="AU25" s="52">
        <f t="shared" si="12"/>
        <v>1.9729700508163139E-2</v>
      </c>
      <c r="AV25" s="52">
        <f t="shared" si="12"/>
        <v>1.6984721639910383E-2</v>
      </c>
      <c r="AW25" s="52">
        <f t="shared" si="12"/>
        <v>4.4799464842648851E-2</v>
      </c>
      <c r="AX25" s="51"/>
      <c r="AY25" s="52">
        <f t="shared" si="13"/>
        <v>4.3084817923543239E-2</v>
      </c>
      <c r="AZ25" s="52">
        <f t="shared" si="13"/>
        <v>1.0039512302272957E-2</v>
      </c>
      <c r="BA25" s="52">
        <f t="shared" si="13"/>
        <v>0.11109179047190887</v>
      </c>
      <c r="BB25" s="52">
        <f t="shared" si="13"/>
        <v>2.6416930241217829E-2</v>
      </c>
      <c r="BC25" s="52">
        <f t="shared" si="13"/>
        <v>4.5797593682914917E-2</v>
      </c>
      <c r="BD25" s="51"/>
      <c r="BE25" s="52">
        <f t="shared" si="14"/>
        <v>5.31512376813843E-2</v>
      </c>
      <c r="BF25" s="52">
        <f t="shared" si="14"/>
        <v>-1.4070464993495402E-2</v>
      </c>
      <c r="BG25" s="52">
        <f t="shared" si="14"/>
        <v>-8.3670189822926067E-2</v>
      </c>
      <c r="BH25" s="52">
        <f t="shared" si="14"/>
        <v>-2.9369179690663105E-2</v>
      </c>
      <c r="BI25" s="52">
        <f t="shared" si="14"/>
        <v>-2.2262225183979911E-2</v>
      </c>
      <c r="BJ25" s="51"/>
      <c r="BK25" s="52">
        <f t="shared" si="15"/>
        <v>-7.6036180477985438E-2</v>
      </c>
      <c r="BL25" s="52">
        <f t="shared" si="15"/>
        <v>8.6955077395719282E-2</v>
      </c>
      <c r="BM25" s="52">
        <f t="shared" si="15"/>
        <v>9.1389271893393742E-2</v>
      </c>
      <c r="BN25" s="52">
        <f t="shared" si="15"/>
        <v>0.139076324788036</v>
      </c>
      <c r="BO25" s="52">
        <f t="shared" si="15"/>
        <v>6.7102555931909835E-2</v>
      </c>
      <c r="BP25" s="51"/>
      <c r="BQ25" s="52">
        <f t="shared" si="16"/>
        <v>0.14354066985645941</v>
      </c>
      <c r="BR25" s="52">
        <f t="shared" si="16"/>
        <v>7.7017114914425422E-2</v>
      </c>
      <c r="BS25" s="52">
        <f t="shared" si="16"/>
        <v>0.16793893129770998</v>
      </c>
      <c r="BT25" s="52">
        <f t="shared" si="16"/>
        <v>0.1337890625</v>
      </c>
      <c r="BU25" s="52">
        <f t="shared" si="16"/>
        <v>0.12964669738863277</v>
      </c>
      <c r="BV25" s="51"/>
      <c r="BW25" s="52">
        <f t="shared" si="17"/>
        <v>8.5076708507670906E-2</v>
      </c>
      <c r="BX25" s="52">
        <f t="shared" si="17"/>
        <v>0.20544835414301921</v>
      </c>
      <c r="BY25" s="52">
        <f t="shared" si="17"/>
        <v>0.24126361655773421</v>
      </c>
      <c r="BZ25" s="52">
        <f t="shared" si="17"/>
        <v>0.227151490094746</v>
      </c>
      <c r="CA25" s="52">
        <f t="shared" si="17"/>
        <v>0.19777070437856947</v>
      </c>
      <c r="CB25" s="51"/>
      <c r="CC25" s="52">
        <f t="shared" si="18"/>
        <v>0.17962724935732655</v>
      </c>
      <c r="CD25" s="52">
        <f t="shared" si="18"/>
        <v>5.0376647834274868E-2</v>
      </c>
      <c r="CE25" s="52">
        <f t="shared" si="18"/>
        <v>4.1483834731631974E-2</v>
      </c>
      <c r="CF25" s="52">
        <f t="shared" si="18"/>
        <v>0.12449938334674582</v>
      </c>
      <c r="CG25" s="149">
        <f>CG13/CA13-1</f>
        <v>9.488598309077001E-2</v>
      </c>
      <c r="CH25" s="51"/>
      <c r="CI25" s="52">
        <f t="shared" si="19"/>
        <v>0.26886406973576693</v>
      </c>
      <c r="CJ25" s="52">
        <f t="shared" si="19"/>
        <v>0.29139399372478714</v>
      </c>
      <c r="CK25" s="52">
        <f t="shared" si="19"/>
        <v>0.26079629239519697</v>
      </c>
      <c r="CL25" s="52">
        <f t="shared" si="19"/>
        <v>0.25538355907870924</v>
      </c>
      <c r="CM25" s="149">
        <f t="shared" si="19"/>
        <v>0.26761162149271067</v>
      </c>
      <c r="CN25" s="51"/>
      <c r="CO25" s="52">
        <f t="shared" si="20"/>
        <v>0.33310433662516115</v>
      </c>
      <c r="CP25" s="52">
        <f t="shared" si="20"/>
        <v>0.30703550727152829</v>
      </c>
      <c r="CQ25" s="52">
        <f t="shared" si="20"/>
        <v>0.25560568086883872</v>
      </c>
      <c r="CR25" s="52">
        <f t="shared" si="20"/>
        <v>0.33931634555624601</v>
      </c>
      <c r="CS25" s="149">
        <f t="shared" si="20"/>
        <v>0.31003427374827197</v>
      </c>
      <c r="CT25" s="51"/>
      <c r="CU25" s="52">
        <f t="shared" si="21"/>
        <v>0.19933651120845131</v>
      </c>
      <c r="CV25" s="52">
        <f t="shared" si="21"/>
        <v>1.388852006267105E-2</v>
      </c>
      <c r="CW25" s="52">
        <f t="shared" si="21"/>
        <v>-2.9115878000745221E-2</v>
      </c>
      <c r="CX25" s="52">
        <f t="shared" si="21"/>
        <v>-0.10420611055425621</v>
      </c>
      <c r="CY25" s="149">
        <f t="shared" si="21"/>
        <v>2.4976116588693031E-5</v>
      </c>
      <c r="CZ25" s="51"/>
      <c r="DA25" s="52">
        <f t="shared" si="22"/>
        <v>-0.11808147809973946</v>
      </c>
      <c r="DB25" s="52">
        <f t="shared" si="22"/>
        <v>3.5096909376636898E-2</v>
      </c>
      <c r="DC25" s="52">
        <f t="shared" si="22"/>
        <v>0.1880482456140351</v>
      </c>
      <c r="DD25" s="52">
        <f t="shared" si="22"/>
        <v>0.30667219229175302</v>
      </c>
      <c r="DE25" s="149">
        <f t="shared" si="22"/>
        <v>0.11615477312886724</v>
      </c>
      <c r="DF25" s="51"/>
      <c r="DG25" s="52">
        <f t="shared" si="23"/>
        <v>0.46668383355993415</v>
      </c>
      <c r="DH25" s="52">
        <f t="shared" si="23"/>
        <v>0.38562753036437236</v>
      </c>
      <c r="DI25" s="52">
        <f t="shared" si="23"/>
        <v>0.29903091832025841</v>
      </c>
      <c r="DJ25" s="52">
        <f t="shared" si="23"/>
        <v>0.13035204567078962</v>
      </c>
      <c r="DK25" s="149">
        <f t="shared" si="23"/>
        <v>0.28947134198986468</v>
      </c>
      <c r="DL25" s="51"/>
      <c r="DM25" s="52">
        <f t="shared" si="24"/>
        <v>0.12278610516350552</v>
      </c>
      <c r="DN25" s="52">
        <f t="shared" si="24"/>
        <v>6.5741417092768373E-3</v>
      </c>
      <c r="DO25" s="52">
        <f t="shared" si="24"/>
        <v>-9.9467140319715597E-3</v>
      </c>
      <c r="DP25" s="52">
        <f t="shared" si="24"/>
        <v>-7.0145903479236771E-2</v>
      </c>
      <c r="DQ25" s="149">
        <f t="shared" si="24"/>
        <v>3.0979810707412181E-3</v>
      </c>
      <c r="DR25" s="51"/>
      <c r="DS25" s="52">
        <f t="shared" si="25"/>
        <v>-0.11871301775147924</v>
      </c>
      <c r="DT25" s="52">
        <f t="shared" si="25"/>
        <v>-1.9956458635703944E-2</v>
      </c>
      <c r="DU25" s="52">
        <f t="shared" si="25"/>
        <v>-1.5069967707212029E-2</v>
      </c>
      <c r="DV25" s="52">
        <f t="shared" si="25"/>
        <v>4.2245021122511162E-3</v>
      </c>
      <c r="DW25" s="149">
        <f t="shared" si="25"/>
        <v>-3.494507395554014E-2</v>
      </c>
      <c r="DX25" s="51"/>
      <c r="DY25" s="52">
        <f t="shared" si="26"/>
        <v>2.3499790180444791E-2</v>
      </c>
      <c r="DZ25" s="52">
        <f t="shared" si="26"/>
        <v>4.2947056645686876E-2</v>
      </c>
      <c r="EA25" s="52">
        <f t="shared" si="26"/>
        <v>6.4845173041894411E-2</v>
      </c>
      <c r="EB25" s="52">
        <f t="shared" si="26"/>
        <v>0.13221153846153855</v>
      </c>
      <c r="EC25" s="149">
        <f t="shared" si="26"/>
        <v>7.0807564757551233E-2</v>
      </c>
      <c r="ED25" s="51"/>
      <c r="EE25" s="52">
        <f t="shared" si="27"/>
        <v>6.1500615006150117E-2</v>
      </c>
      <c r="EF25" s="52">
        <f t="shared" si="27"/>
        <v>3.336883209087671E-2</v>
      </c>
      <c r="EG25" s="52">
        <f t="shared" si="27"/>
        <v>-3.763256927813885E-2</v>
      </c>
      <c r="EH25" s="52">
        <f t="shared" si="27"/>
        <v>-0.18604033970276013</v>
      </c>
      <c r="EI25" s="149">
        <f t="shared" si="27"/>
        <v>-4.7459613292039848E-2</v>
      </c>
      <c r="EJ25" s="51"/>
      <c r="EK25" s="52">
        <f t="shared" si="28"/>
        <v>-5.1371185786017737E-2</v>
      </c>
      <c r="EL25" s="52">
        <f t="shared" si="28"/>
        <v>-9.1377533493644747E-2</v>
      </c>
      <c r="EM25" s="52">
        <f t="shared" si="28"/>
        <v>-5.4034838250977657E-2</v>
      </c>
      <c r="EN25" s="52">
        <f t="shared" si="28"/>
        <v>1.7280730355396123E-2</v>
      </c>
      <c r="EO25" s="149">
        <f t="shared" si="28"/>
        <v>-4.3760984182776852E-2</v>
      </c>
      <c r="EP25" s="51"/>
      <c r="EQ25" s="52">
        <f t="shared" si="28"/>
        <v>-1.7508143322475522E-2</v>
      </c>
      <c r="ER25" s="52">
        <f t="shared" si="28"/>
        <v>-3.2892249527410211E-2</v>
      </c>
      <c r="ES25" s="52">
        <f t="shared" si="28"/>
        <v>-3.8707252912438928E-2</v>
      </c>
      <c r="ET25" s="52">
        <f t="shared" si="28"/>
        <v>-3.5384961607707321E-3</v>
      </c>
      <c r="EU25" s="149">
        <f t="shared" si="29"/>
        <v>-2.2426034554457352E-2</v>
      </c>
      <c r="EV25" s="51"/>
      <c r="EW25" s="52">
        <f t="shared" si="30"/>
        <v>4.9889337363449693E-2</v>
      </c>
      <c r="EX25" s="52">
        <f t="shared" si="30"/>
        <v>8.7091178888240917E-2</v>
      </c>
      <c r="EY25" s="52">
        <f t="shared" si="30"/>
        <v>0.12246188156224069</v>
      </c>
      <c r="EZ25" s="52">
        <f t="shared" si="31"/>
        <v>2.272851349033167E-2</v>
      </c>
      <c r="FA25" s="149">
        <f t="shared" si="31"/>
        <v>6.8347854656260365E-2</v>
      </c>
      <c r="FB25" s="51"/>
      <c r="FC25" s="52">
        <f t="shared" si="32"/>
        <v>3.6625560043136218E-2</v>
      </c>
      <c r="FD25" s="52">
        <f t="shared" si="32"/>
        <v>3.6539671034598209E-2</v>
      </c>
      <c r="FE25" s="52">
        <f t="shared" si="32"/>
        <v>3.2307231133390735E-2</v>
      </c>
      <c r="FF25" s="52">
        <f t="shared" si="32"/>
        <v>1.9107308187735317E-2</v>
      </c>
      <c r="FG25" s="149">
        <f t="shared" si="32"/>
        <v>3.0612446092577184E-2</v>
      </c>
      <c r="FH25" s="51"/>
      <c r="FI25" s="52">
        <f t="shared" si="33"/>
        <v>4.0861215517648208E-2</v>
      </c>
      <c r="FJ25" s="52">
        <f t="shared" si="34"/>
        <v>3.6163195563325479E-2</v>
      </c>
      <c r="FK25" s="52">
        <f t="shared" si="35"/>
        <v>3.4500426358212266E-2</v>
      </c>
      <c r="FL25" s="52">
        <f t="shared" si="36"/>
        <v>2.3933269721764683E-2</v>
      </c>
      <c r="FM25" s="149">
        <f t="shared" si="37"/>
        <v>3.3412374263640521E-2</v>
      </c>
      <c r="FO25" s="158" t="str">
        <f>A25</f>
        <v>EMEA</v>
      </c>
      <c r="FP25" s="613">
        <f>CG25</f>
        <v>9.488598309077001E-2</v>
      </c>
      <c r="FQ25" s="820">
        <f>CM25</f>
        <v>0.26761162149271067</v>
      </c>
      <c r="FR25" s="613">
        <f>CS25</f>
        <v>0.31003427374827197</v>
      </c>
      <c r="FS25" s="613">
        <f>CY25</f>
        <v>2.4976116588693031E-5</v>
      </c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</row>
    <row r="26" spans="1:274" s="24" customFormat="1" x14ac:dyDescent="0.2">
      <c r="A26" s="819" t="s">
        <v>1017</v>
      </c>
      <c r="B26" s="21"/>
      <c r="C26" s="50" t="s">
        <v>945</v>
      </c>
      <c r="D26" s="50" t="s">
        <v>945</v>
      </c>
      <c r="E26" s="50" t="s">
        <v>945</v>
      </c>
      <c r="F26" s="50" t="s">
        <v>945</v>
      </c>
      <c r="G26" s="50" t="s">
        <v>945</v>
      </c>
      <c r="H26" s="50" t="s">
        <v>945</v>
      </c>
      <c r="I26" s="52">
        <f t="shared" si="7"/>
        <v>0.34028361638921689</v>
      </c>
      <c r="J26" s="52">
        <f t="shared" si="7"/>
        <v>6.6109066577451525E-2</v>
      </c>
      <c r="K26" s="52">
        <f t="shared" si="7"/>
        <v>0.42241730998556259</v>
      </c>
      <c r="L26" s="52">
        <f t="shared" si="7"/>
        <v>0.45030804105743383</v>
      </c>
      <c r="M26" s="52">
        <f t="shared" si="7"/>
        <v>-0.14302664755030459</v>
      </c>
      <c r="N26" s="50"/>
      <c r="O26" s="50" t="s">
        <v>945</v>
      </c>
      <c r="P26" s="50" t="s">
        <v>945</v>
      </c>
      <c r="Q26" s="50" t="s">
        <v>945</v>
      </c>
      <c r="R26" s="50" t="s">
        <v>945</v>
      </c>
      <c r="S26" s="52">
        <f>S14/M14-1</f>
        <v>0.7098942940064441</v>
      </c>
      <c r="T26" s="50"/>
      <c r="U26" s="52">
        <f t="shared" si="8"/>
        <v>0.68516228523211486</v>
      </c>
      <c r="V26" s="52">
        <f t="shared" si="8"/>
        <v>0.68531531323310224</v>
      </c>
      <c r="W26" s="52">
        <f t="shared" si="8"/>
        <v>0.54408946338280861</v>
      </c>
      <c r="X26" s="52">
        <f t="shared" si="8"/>
        <v>0.46842244874758387</v>
      </c>
      <c r="Y26" s="52">
        <f t="shared" si="8"/>
        <v>0.57506115838893779</v>
      </c>
      <c r="Z26" s="50"/>
      <c r="AA26" s="52">
        <f t="shared" si="9"/>
        <v>0.3824298774960504</v>
      </c>
      <c r="AB26" s="52">
        <f t="shared" si="9"/>
        <v>0.42611474485034173</v>
      </c>
      <c r="AC26" s="52">
        <f t="shared" si="9"/>
        <v>0.321947065076021</v>
      </c>
      <c r="AD26" s="52">
        <f t="shared" si="9"/>
        <v>0.24521163761735543</v>
      </c>
      <c r="AE26" s="52">
        <f t="shared" si="9"/>
        <v>0.3340245312651311</v>
      </c>
      <c r="AF26" s="51"/>
      <c r="AG26" s="52">
        <f t="shared" si="10"/>
        <v>0.31972572456301407</v>
      </c>
      <c r="AH26" s="52">
        <f t="shared" si="10"/>
        <v>1.3886084105048324E-2</v>
      </c>
      <c r="AI26" s="52">
        <f t="shared" si="10"/>
        <v>-0.11853631251435726</v>
      </c>
      <c r="AJ26" s="52">
        <f t="shared" si="10"/>
        <v>-0.17392367601891823</v>
      </c>
      <c r="AK26" s="52">
        <f t="shared" si="10"/>
        <v>-1.4340344168260466E-2</v>
      </c>
      <c r="AL26" s="51"/>
      <c r="AM26" s="52">
        <f t="shared" si="11"/>
        <v>-0.14251711785888377</v>
      </c>
      <c r="AN26" s="52">
        <f t="shared" si="11"/>
        <v>6.6388132747814854E-2</v>
      </c>
      <c r="AO26" s="52">
        <f t="shared" si="11"/>
        <v>0.24697590354619647</v>
      </c>
      <c r="AP26" s="52">
        <f t="shared" si="11"/>
        <v>0.46854992473657808</v>
      </c>
      <c r="AQ26" s="52">
        <f t="shared" si="11"/>
        <v>0.15144725398937942</v>
      </c>
      <c r="AR26" s="51"/>
      <c r="AS26" s="52">
        <f t="shared" si="12"/>
        <v>0.3383955720127374</v>
      </c>
      <c r="AT26" s="52">
        <f t="shared" si="12"/>
        <v>0.35322526849442615</v>
      </c>
      <c r="AU26" s="52">
        <f t="shared" si="12"/>
        <v>0.32657094824844113</v>
      </c>
      <c r="AV26" s="52">
        <f t="shared" si="12"/>
        <v>0.34876760443074994</v>
      </c>
      <c r="AW26" s="52">
        <f t="shared" si="12"/>
        <v>0.34249625618165291</v>
      </c>
      <c r="AX26" s="51"/>
      <c r="AY26" s="52">
        <f t="shared" si="13"/>
        <v>0.35284828393779044</v>
      </c>
      <c r="AZ26" s="52">
        <f t="shared" si="13"/>
        <v>0.27718021775065527</v>
      </c>
      <c r="BA26" s="52">
        <f t="shared" si="13"/>
        <v>0.20046238418988738</v>
      </c>
      <c r="BB26" s="52">
        <f t="shared" si="13"/>
        <v>7.345222413618302E-2</v>
      </c>
      <c r="BC26" s="52">
        <f t="shared" si="13"/>
        <v>0.20870252523205424</v>
      </c>
      <c r="BD26" s="51"/>
      <c r="BE26" s="52">
        <f t="shared" si="14"/>
        <v>3.7706981521383076E-2</v>
      </c>
      <c r="BF26" s="52">
        <f t="shared" si="14"/>
        <v>-0.10923561060835685</v>
      </c>
      <c r="BG26" s="52">
        <f t="shared" si="14"/>
        <v>-0.21835814124675856</v>
      </c>
      <c r="BH26" s="52">
        <f t="shared" si="14"/>
        <v>-0.12920171041825923</v>
      </c>
      <c r="BI26" s="52">
        <f t="shared" si="14"/>
        <v>-0.10822571504263967</v>
      </c>
      <c r="BJ26" s="51"/>
      <c r="BK26" s="52">
        <f t="shared" si="15"/>
        <v>-0.13357867252504485</v>
      </c>
      <c r="BL26" s="52">
        <f t="shared" si="15"/>
        <v>-3.5195156333047928E-2</v>
      </c>
      <c r="BM26" s="52">
        <f t="shared" si="15"/>
        <v>0.20820557745656387</v>
      </c>
      <c r="BN26" s="52">
        <f t="shared" si="15"/>
        <v>0.12843693598478034</v>
      </c>
      <c r="BO26" s="52">
        <f t="shared" si="15"/>
        <v>3.5174420572324561E-2</v>
      </c>
      <c r="BP26" s="51"/>
      <c r="BQ26" s="52">
        <f t="shared" si="16"/>
        <v>6.1016949152542299E-2</v>
      </c>
      <c r="BR26" s="52">
        <f t="shared" si="16"/>
        <v>9.8802395209580895E-2</v>
      </c>
      <c r="BS26" s="52">
        <f t="shared" si="16"/>
        <v>0.13293051359516617</v>
      </c>
      <c r="BT26" s="52">
        <f t="shared" si="16"/>
        <v>5.9077809798270708E-2</v>
      </c>
      <c r="BU26" s="52">
        <f t="shared" si="16"/>
        <v>8.6893344957861052E-2</v>
      </c>
      <c r="BV26" s="51"/>
      <c r="BW26" s="52">
        <f t="shared" si="17"/>
        <v>0.10543130990415328</v>
      </c>
      <c r="BX26" s="52">
        <f t="shared" si="17"/>
        <v>9.5367847411444107E-2</v>
      </c>
      <c r="BY26" s="52">
        <f t="shared" si="17"/>
        <v>0.14858666666666664</v>
      </c>
      <c r="BZ26" s="52">
        <f t="shared" si="17"/>
        <v>0.24052680272108851</v>
      </c>
      <c r="CA26" s="52">
        <f t="shared" si="17"/>
        <v>0.1536044919786097</v>
      </c>
      <c r="CB26" s="51"/>
      <c r="CC26" s="52">
        <f t="shared" si="18"/>
        <v>0.24234104046242755</v>
      </c>
      <c r="CD26" s="52">
        <f t="shared" si="18"/>
        <v>0.20472636815920398</v>
      </c>
      <c r="CE26" s="52">
        <f>CE14/BY14-1</f>
        <v>8.4579309063893104E-2</v>
      </c>
      <c r="CF26" s="52">
        <f t="shared" si="18"/>
        <v>0.27387179815641205</v>
      </c>
      <c r="CG26" s="149">
        <f>CG14/CA14-1</f>
        <v>0.20420051469460687</v>
      </c>
      <c r="CH26" s="51"/>
      <c r="CI26" s="52">
        <f t="shared" si="19"/>
        <v>0.17599162498546028</v>
      </c>
      <c r="CJ26" s="52">
        <f t="shared" si="19"/>
        <v>0.19543671278133412</v>
      </c>
      <c r="CK26" s="52">
        <f t="shared" si="19"/>
        <v>0.32773199186556745</v>
      </c>
      <c r="CL26" s="52">
        <f t="shared" si="19"/>
        <v>0.18560769120390286</v>
      </c>
      <c r="CM26" s="149">
        <f t="shared" si="19"/>
        <v>0.21785679915311329</v>
      </c>
      <c r="CN26" s="51"/>
      <c r="CO26" s="52">
        <f t="shared" si="20"/>
        <v>0.25341246290801167</v>
      </c>
      <c r="CP26" s="52">
        <f t="shared" si="20"/>
        <v>0.35011659037913478</v>
      </c>
      <c r="CQ26" s="52">
        <f t="shared" si="20"/>
        <v>0.24836759371221273</v>
      </c>
      <c r="CR26" s="52">
        <f t="shared" si="20"/>
        <v>0.2009682299546145</v>
      </c>
      <c r="CS26" s="149">
        <f t="shared" si="20"/>
        <v>0.25717615914972658</v>
      </c>
      <c r="CT26" s="51"/>
      <c r="CU26" s="52">
        <f t="shared" si="21"/>
        <v>0.3062657828282831</v>
      </c>
      <c r="CV26" s="52">
        <f t="shared" si="21"/>
        <v>6.697370946075587E-2</v>
      </c>
      <c r="CW26" s="52">
        <f t="shared" si="21"/>
        <v>1.1235955056179803E-2</v>
      </c>
      <c r="CX26" s="52">
        <f t="shared" si="21"/>
        <v>-7.3566461755519841E-3</v>
      </c>
      <c r="CY26" s="149">
        <f t="shared" si="21"/>
        <v>7.7879221207787896E-2</v>
      </c>
      <c r="CZ26" s="51"/>
      <c r="DA26" s="52">
        <f t="shared" si="22"/>
        <v>-9.3819851386455766E-2</v>
      </c>
      <c r="DB26" s="52">
        <f t="shared" si="22"/>
        <v>8.2733812949640217E-2</v>
      </c>
      <c r="DC26" s="52">
        <f t="shared" si="22"/>
        <v>0.21711366538952737</v>
      </c>
      <c r="DD26" s="52">
        <f t="shared" si="22"/>
        <v>0.48832487309644668</v>
      </c>
      <c r="DE26" s="149">
        <f t="shared" si="22"/>
        <v>0.18729316402548357</v>
      </c>
      <c r="DF26" s="51"/>
      <c r="DG26" s="52">
        <f t="shared" si="23"/>
        <v>0.64126828401315206</v>
      </c>
      <c r="DH26" s="52">
        <f t="shared" si="23"/>
        <v>0.54152823920265791</v>
      </c>
      <c r="DI26" s="52">
        <f t="shared" si="23"/>
        <v>0.51101783840503678</v>
      </c>
      <c r="DJ26" s="52">
        <f t="shared" si="23"/>
        <v>0.17598908594815832</v>
      </c>
      <c r="DK26" s="149">
        <f t="shared" si="23"/>
        <v>0.42115697765468174</v>
      </c>
      <c r="DL26" s="51"/>
      <c r="DM26" s="52">
        <f t="shared" si="24"/>
        <v>0.1730765482323211</v>
      </c>
      <c r="DN26" s="52">
        <f t="shared" si="24"/>
        <v>8.0459770114942541E-2</v>
      </c>
      <c r="DO26" s="52">
        <f t="shared" si="24"/>
        <v>7.2916666666666741E-2</v>
      </c>
      <c r="DP26" s="52">
        <f t="shared" si="24"/>
        <v>6.2064965197215827E-2</v>
      </c>
      <c r="DQ26" s="149">
        <f t="shared" si="24"/>
        <v>9.2803406702786084E-2</v>
      </c>
      <c r="DR26" s="51"/>
      <c r="DS26" s="52">
        <f t="shared" si="25"/>
        <v>2.0775623268697974E-2</v>
      </c>
      <c r="DT26" s="52">
        <f t="shared" si="25"/>
        <v>6.7819148936170137E-2</v>
      </c>
      <c r="DU26" s="52">
        <f t="shared" si="25"/>
        <v>-1.9417475728155331E-2</v>
      </c>
      <c r="DV26" s="52">
        <f t="shared" si="25"/>
        <v>-6.7176406335335836E-2</v>
      </c>
      <c r="DW26" s="149">
        <f t="shared" si="25"/>
        <v>-3.3206831119544367E-3</v>
      </c>
      <c r="DX26" s="51"/>
      <c r="DY26" s="52">
        <f t="shared" si="26"/>
        <v>-3.9348710990502078E-2</v>
      </c>
      <c r="DZ26" s="52">
        <f t="shared" si="26"/>
        <v>-8.9041095890410982E-2</v>
      </c>
      <c r="EA26" s="52">
        <f t="shared" si="26"/>
        <v>-5.5445544554455495E-2</v>
      </c>
      <c r="EB26" s="52">
        <f t="shared" si="26"/>
        <v>-7.6112412177985478E-3</v>
      </c>
      <c r="EC26" s="149">
        <f t="shared" si="26"/>
        <v>-4.7279073457083931E-2</v>
      </c>
      <c r="ED26" s="51"/>
      <c r="EE26" s="52">
        <f t="shared" si="27"/>
        <v>-2.0480225988700584E-2</v>
      </c>
      <c r="EF26" s="52">
        <f t="shared" si="27"/>
        <v>2.0505809979494138E-3</v>
      </c>
      <c r="EG26" s="52">
        <f t="shared" si="27"/>
        <v>-3.5639412997903519E-2</v>
      </c>
      <c r="EH26" s="52">
        <f t="shared" si="27"/>
        <v>-0.1115044247787611</v>
      </c>
      <c r="EI26" s="149">
        <f t="shared" si="27"/>
        <v>-4.4296419650291408E-2</v>
      </c>
      <c r="EJ26" s="51"/>
      <c r="EK26" s="52">
        <f t="shared" si="28"/>
        <v>-8.0028839221341075E-2</v>
      </c>
      <c r="EL26" s="52">
        <f t="shared" si="28"/>
        <v>-5.3206002728512947E-2</v>
      </c>
      <c r="EM26" s="52">
        <f t="shared" si="28"/>
        <v>2.1014492753623104E-2</v>
      </c>
      <c r="EN26" s="52">
        <f t="shared" si="28"/>
        <v>8.0345285524568322E-2</v>
      </c>
      <c r="EO26" s="149">
        <f t="shared" si="28"/>
        <v>-6.7956089911134221E-3</v>
      </c>
      <c r="EP26" s="51"/>
      <c r="EQ26" s="52">
        <f t="shared" si="28"/>
        <v>6.9749216300940331E-2</v>
      </c>
      <c r="ER26" s="52">
        <f t="shared" si="28"/>
        <v>0.1109510086455332</v>
      </c>
      <c r="ES26" s="52">
        <f t="shared" si="28"/>
        <v>1.3484740951029028E-2</v>
      </c>
      <c r="ET26" s="52">
        <f t="shared" si="28"/>
        <v>3.5130136045647964E-2</v>
      </c>
      <c r="EU26" s="149">
        <f t="shared" si="29"/>
        <v>5.5992409008117416E-2</v>
      </c>
      <c r="EV26" s="51"/>
      <c r="EW26" s="52">
        <f t="shared" si="30"/>
        <v>5.0358888139601321E-2</v>
      </c>
      <c r="EX26" s="52">
        <f t="shared" si="30"/>
        <v>-4.666375152323643E-2</v>
      </c>
      <c r="EY26" s="52">
        <f t="shared" si="30"/>
        <v>5.6448428953754126E-2</v>
      </c>
      <c r="EZ26" s="52">
        <f t="shared" si="31"/>
        <v>2.2728513490331226E-2</v>
      </c>
      <c r="FA26" s="149">
        <f t="shared" si="31"/>
        <v>1.9217162496124374E-2</v>
      </c>
      <c r="FB26" s="51"/>
      <c r="FC26" s="52">
        <f t="shared" si="32"/>
        <v>3.6625560043135996E-2</v>
      </c>
      <c r="FD26" s="52">
        <f t="shared" si="32"/>
        <v>3.6539671034598431E-2</v>
      </c>
      <c r="FE26" s="52">
        <f t="shared" si="32"/>
        <v>3.2307231133390291E-2</v>
      </c>
      <c r="FF26" s="52">
        <f t="shared" si="32"/>
        <v>1.9107308187735761E-2</v>
      </c>
      <c r="FG26" s="149">
        <f t="shared" si="32"/>
        <v>3.0624579943078656E-2</v>
      </c>
      <c r="FH26" s="51"/>
      <c r="FI26" s="52">
        <f t="shared" si="33"/>
        <v>4.0861215517648208E-2</v>
      </c>
      <c r="FJ26" s="52">
        <f t="shared" si="34"/>
        <v>3.6163195563325701E-2</v>
      </c>
      <c r="FK26" s="52">
        <f t="shared" si="35"/>
        <v>3.4500426358212044E-2</v>
      </c>
      <c r="FL26" s="52">
        <f t="shared" si="36"/>
        <v>2.3933269721764905E-2</v>
      </c>
      <c r="FM26" s="149">
        <f t="shared" si="37"/>
        <v>3.3462638437080638E-2</v>
      </c>
      <c r="FO26" s="158" t="str">
        <f>A26</f>
        <v>Asia Pacific</v>
      </c>
      <c r="FP26" s="613">
        <f>CG26</f>
        <v>0.20420051469460687</v>
      </c>
      <c r="FQ26" s="820">
        <f>CM26</f>
        <v>0.21785679915311329</v>
      </c>
      <c r="FR26" s="613">
        <f>CS26</f>
        <v>0.25717615914972658</v>
      </c>
      <c r="FS26" s="613">
        <f>CY26</f>
        <v>7.7879221207787896E-2</v>
      </c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</row>
    <row r="27" spans="1:274" s="24" customFormat="1" x14ac:dyDescent="0.2">
      <c r="A27" s="870" t="s">
        <v>698</v>
      </c>
      <c r="B27" s="873"/>
      <c r="C27" s="169" t="s">
        <v>945</v>
      </c>
      <c r="D27" s="252">
        <f>D15/C15-1</f>
        <v>0.82076287848997209</v>
      </c>
      <c r="E27" s="252">
        <f>E15/D15-1</f>
        <v>1.3906094769124446</v>
      </c>
      <c r="F27" s="252">
        <f>F15/E15-1</f>
        <v>1.3714698708103712</v>
      </c>
      <c r="G27" s="252">
        <f>G15/F15-1</f>
        <v>1.1494487577048207</v>
      </c>
      <c r="H27" s="252">
        <f>H15/G15-1</f>
        <v>1.0693835448915858</v>
      </c>
      <c r="I27" s="252">
        <f t="shared" si="7"/>
        <v>0.56969852689277167</v>
      </c>
      <c r="J27" s="252">
        <f t="shared" si="7"/>
        <v>0.12173746985453793</v>
      </c>
      <c r="K27" s="252">
        <f t="shared" si="7"/>
        <v>0.14694406045436104</v>
      </c>
      <c r="L27" s="252">
        <f t="shared" si="7"/>
        <v>0.27480916030534353</v>
      </c>
      <c r="M27" s="252">
        <f t="shared" si="7"/>
        <v>0.33143512974051892</v>
      </c>
      <c r="N27" s="169"/>
      <c r="O27" s="169" t="s">
        <v>945</v>
      </c>
      <c r="P27" s="169" t="s">
        <v>945</v>
      </c>
      <c r="Q27" s="169" t="s">
        <v>945</v>
      </c>
      <c r="R27" s="169" t="s">
        <v>945</v>
      </c>
      <c r="S27" s="252">
        <f>S15/M15-1</f>
        <v>0.48258873536027069</v>
      </c>
      <c r="T27" s="169"/>
      <c r="U27" s="252">
        <f t="shared" si="8"/>
        <v>0.38695249014329502</v>
      </c>
      <c r="V27" s="252">
        <f t="shared" si="8"/>
        <v>0.44268067076445661</v>
      </c>
      <c r="W27" s="252">
        <f t="shared" si="8"/>
        <v>0.41259406434104773</v>
      </c>
      <c r="X27" s="252">
        <f t="shared" si="8"/>
        <v>0.4383576043910915</v>
      </c>
      <c r="Y27" s="252">
        <f t="shared" si="8"/>
        <v>0.42342084844742534</v>
      </c>
      <c r="Z27" s="169"/>
      <c r="AA27" s="252">
        <f t="shared" si="9"/>
        <v>0.36345544134967089</v>
      </c>
      <c r="AB27" s="252">
        <f t="shared" si="9"/>
        <v>0.35612512926577056</v>
      </c>
      <c r="AC27" s="252">
        <f t="shared" si="9"/>
        <v>0.3453837777226707</v>
      </c>
      <c r="AD27" s="252">
        <f t="shared" si="9"/>
        <v>0.33055501292967437</v>
      </c>
      <c r="AE27" s="252">
        <f t="shared" si="9"/>
        <v>0.34600517721985358</v>
      </c>
      <c r="AF27" s="254"/>
      <c r="AG27" s="252">
        <f t="shared" si="10"/>
        <v>0.30077286450211393</v>
      </c>
      <c r="AH27" s="252">
        <f t="shared" si="10"/>
        <v>0.23056292908272469</v>
      </c>
      <c r="AI27" s="252">
        <f t="shared" si="10"/>
        <v>0.27403499748290328</v>
      </c>
      <c r="AJ27" s="252">
        <f t="shared" si="10"/>
        <v>0.23845719087632578</v>
      </c>
      <c r="AK27" s="252">
        <f t="shared" si="10"/>
        <v>0.25676332292813098</v>
      </c>
      <c r="AL27" s="254"/>
      <c r="AM27" s="252">
        <f t="shared" si="11"/>
        <v>0.27781576648052186</v>
      </c>
      <c r="AN27" s="252">
        <f t="shared" si="11"/>
        <v>0.27403457957882638</v>
      </c>
      <c r="AO27" s="252">
        <f t="shared" si="11"/>
        <v>0.18879867242847359</v>
      </c>
      <c r="AP27" s="252">
        <f t="shared" si="11"/>
        <v>0.21998480447890678</v>
      </c>
      <c r="AQ27" s="252">
        <f t="shared" si="11"/>
        <v>0.2356409310646268</v>
      </c>
      <c r="AR27" s="254"/>
      <c r="AS27" s="252">
        <f t="shared" si="12"/>
        <v>0.13458673268119226</v>
      </c>
      <c r="AT27" s="252">
        <f t="shared" si="12"/>
        <v>0.12935128583268773</v>
      </c>
      <c r="AU27" s="252">
        <f t="shared" si="12"/>
        <v>0.17821657399034097</v>
      </c>
      <c r="AV27" s="252">
        <f t="shared" si="12"/>
        <v>0.14644624123171535</v>
      </c>
      <c r="AW27" s="252">
        <f t="shared" si="12"/>
        <v>0.14759700980554302</v>
      </c>
      <c r="AX27" s="254"/>
      <c r="AY27" s="252">
        <f t="shared" si="13"/>
        <v>0.15292134055792928</v>
      </c>
      <c r="AZ27" s="252">
        <f t="shared" si="13"/>
        <v>0.15699542138858846</v>
      </c>
      <c r="BA27" s="252">
        <f t="shared" si="13"/>
        <v>0.10069494059405137</v>
      </c>
      <c r="BB27" s="252">
        <f t="shared" si="13"/>
        <v>-2.4917686875242762E-2</v>
      </c>
      <c r="BC27" s="252">
        <f t="shared" si="13"/>
        <v>8.1989487200951228E-2</v>
      </c>
      <c r="BD27" s="254"/>
      <c r="BE27" s="252">
        <f t="shared" si="14"/>
        <v>-1.0024947639677206E-2</v>
      </c>
      <c r="BF27" s="252">
        <f t="shared" si="14"/>
        <v>-0.11389595325803081</v>
      </c>
      <c r="BG27" s="252">
        <f t="shared" si="14"/>
        <v>-0.16421803356154285</v>
      </c>
      <c r="BH27" s="252">
        <f t="shared" si="14"/>
        <v>-0.15690362071952413</v>
      </c>
      <c r="BI27" s="252">
        <f t="shared" si="14"/>
        <v>-0.11750161394919223</v>
      </c>
      <c r="BJ27" s="254"/>
      <c r="BK27" s="252">
        <f t="shared" si="15"/>
        <v>-0.10465750279794528</v>
      </c>
      <c r="BL27" s="252">
        <f t="shared" si="15"/>
        <v>-3.0010035972386495E-2</v>
      </c>
      <c r="BM27" s="252">
        <f t="shared" si="15"/>
        <v>2.3822626169385686E-2</v>
      </c>
      <c r="BN27" s="252">
        <f t="shared" si="15"/>
        <v>2.0699132402132392E-2</v>
      </c>
      <c r="BO27" s="252">
        <f t="shared" si="15"/>
        <v>-2.0407032384544999E-2</v>
      </c>
      <c r="BP27" s="254"/>
      <c r="BQ27" s="252">
        <f t="shared" si="16"/>
        <v>2.1696252465483346E-2</v>
      </c>
      <c r="BR27" s="252">
        <f t="shared" si="16"/>
        <v>8.1853616284105701E-2</v>
      </c>
      <c r="BS27" s="252">
        <f t="shared" si="16"/>
        <v>8.7559601213697436E-2</v>
      </c>
      <c r="BT27" s="252">
        <f t="shared" si="16"/>
        <v>8.6741541286995849E-2</v>
      </c>
      <c r="BU27" s="252">
        <f t="shared" si="16"/>
        <v>7.1828102243704839E-2</v>
      </c>
      <c r="BV27" s="254"/>
      <c r="BW27" s="252">
        <f t="shared" si="17"/>
        <v>6.9015444015444016E-2</v>
      </c>
      <c r="BX27" s="252">
        <f t="shared" si="17"/>
        <v>0.10328262610088079</v>
      </c>
      <c r="BY27" s="252">
        <f t="shared" si="17"/>
        <v>0.2327620565962536</v>
      </c>
      <c r="BZ27" s="252">
        <f t="shared" si="17"/>
        <v>0.31784205394865128</v>
      </c>
      <c r="CA27" s="252">
        <f t="shared" si="17"/>
        <v>0.19328475777865295</v>
      </c>
      <c r="CB27" s="254"/>
      <c r="CC27" s="252">
        <f t="shared" si="18"/>
        <v>0.31241534988713315</v>
      </c>
      <c r="CD27" s="252">
        <f t="shared" si="18"/>
        <v>0.2314949201741654</v>
      </c>
      <c r="CE27" s="252">
        <f t="shared" si="18"/>
        <v>0.1427093436792759</v>
      </c>
      <c r="CF27" s="252">
        <f t="shared" si="18"/>
        <v>0.21750924784217007</v>
      </c>
      <c r="CG27" s="871">
        <f>CG15/CA15-1</f>
        <v>0.21894545754600214</v>
      </c>
      <c r="CH27" s="254"/>
      <c r="CI27" s="252">
        <f t="shared" si="19"/>
        <v>0.25937392500860001</v>
      </c>
      <c r="CJ27" s="173">
        <f t="shared" si="19"/>
        <v>0.24219210371243372</v>
      </c>
      <c r="CK27" s="252">
        <f t="shared" si="19"/>
        <v>0.25877093707559973</v>
      </c>
      <c r="CL27" s="252">
        <f t="shared" si="19"/>
        <v>0.19161434069272842</v>
      </c>
      <c r="CM27" s="871">
        <f>CM15/CG15-1</f>
        <v>0.23263653840946641</v>
      </c>
      <c r="CN27" s="254"/>
      <c r="CO27" s="872">
        <f t="shared" si="20"/>
        <v>0.2545752526632068</v>
      </c>
      <c r="CP27" s="252">
        <f t="shared" si="20"/>
        <v>0.27229601518026558</v>
      </c>
      <c r="CQ27" s="252">
        <f t="shared" si="20"/>
        <v>0.20723758147898397</v>
      </c>
      <c r="CR27" s="173">
        <f t="shared" si="20"/>
        <v>0.23763386027536981</v>
      </c>
      <c r="CS27" s="871">
        <f t="shared" si="20"/>
        <v>0.24163875006864743</v>
      </c>
      <c r="CT27" s="254"/>
      <c r="CU27" s="252">
        <f t="shared" si="21"/>
        <v>0.18049205312431971</v>
      </c>
      <c r="CV27" s="252">
        <f t="shared" si="21"/>
        <v>6.0216256524981304E-2</v>
      </c>
      <c r="CW27" s="252">
        <f t="shared" si="21"/>
        <v>2.4762614038354114E-2</v>
      </c>
      <c r="CX27" s="252">
        <f t="shared" si="21"/>
        <v>-5.4937508583985717E-2</v>
      </c>
      <c r="CY27" s="871">
        <f t="shared" si="21"/>
        <v>3.9143703834755961E-2</v>
      </c>
      <c r="CZ27" s="254"/>
      <c r="DA27" s="252">
        <f t="shared" si="22"/>
        <v>-6.6211729988933987E-2</v>
      </c>
      <c r="DB27" s="252">
        <f t="shared" si="22"/>
        <v>3.2530332336908829E-2</v>
      </c>
      <c r="DC27" s="252">
        <f t="shared" si="22"/>
        <v>0.17539970930232562</v>
      </c>
      <c r="DD27" s="252">
        <f t="shared" si="22"/>
        <v>0.39965121348641186</v>
      </c>
      <c r="DE27" s="871">
        <f t="shared" si="22"/>
        <v>0.1507363582191199</v>
      </c>
      <c r="DF27" s="254"/>
      <c r="DG27" s="252">
        <f t="shared" si="23"/>
        <v>0.49871617618013042</v>
      </c>
      <c r="DH27" s="252">
        <f t="shared" si="23"/>
        <v>0.48058583106267028</v>
      </c>
      <c r="DI27" s="252">
        <f t="shared" si="23"/>
        <v>0.36133180820477939</v>
      </c>
      <c r="DJ27" s="252">
        <f t="shared" si="23"/>
        <v>0.12200186896480125</v>
      </c>
      <c r="DK27" s="871">
        <f t="shared" si="23"/>
        <v>0.32770367740074113</v>
      </c>
      <c r="DL27" s="254"/>
      <c r="DM27" s="252">
        <f t="shared" si="24"/>
        <v>0.106747496046389</v>
      </c>
      <c r="DN27" s="252">
        <f t="shared" si="24"/>
        <v>1.3457556935817738E-2</v>
      </c>
      <c r="DO27" s="252">
        <f t="shared" si="24"/>
        <v>2.8992755762461631E-2</v>
      </c>
      <c r="DP27" s="252">
        <f t="shared" si="24"/>
        <v>1.3340708865445139E-2</v>
      </c>
      <c r="DQ27" s="871">
        <f t="shared" si="24"/>
        <v>3.6954977016297796E-2</v>
      </c>
      <c r="DR27" s="254"/>
      <c r="DS27" s="252">
        <f t="shared" si="25"/>
        <v>-2.2505358418671073E-2</v>
      </c>
      <c r="DT27" s="252">
        <f t="shared" si="25"/>
        <v>3.4275337646124227E-2</v>
      </c>
      <c r="DU27" s="252">
        <f t="shared" si="25"/>
        <v>-1.0189333897367314E-2</v>
      </c>
      <c r="DV27" s="252">
        <f t="shared" si="25"/>
        <v>9.89967297006622E-4</v>
      </c>
      <c r="DW27" s="871">
        <f t="shared" si="25"/>
        <v>8.4631465499618308E-4</v>
      </c>
      <c r="DX27" s="254"/>
      <c r="DY27" s="252">
        <f t="shared" si="26"/>
        <v>2.0952612985747354E-2</v>
      </c>
      <c r="DZ27" s="252">
        <f t="shared" si="26"/>
        <v>1.8654669153955972E-2</v>
      </c>
      <c r="EA27" s="252">
        <f t="shared" si="26"/>
        <v>3.8461538461538547E-2</v>
      </c>
      <c r="EB27" s="252">
        <f t="shared" si="26"/>
        <v>3.3299881397682585E-2</v>
      </c>
      <c r="EC27" s="871">
        <f t="shared" si="26"/>
        <v>2.8239336429280781E-2</v>
      </c>
      <c r="ED27" s="254"/>
      <c r="EE27" s="252">
        <f t="shared" si="27"/>
        <v>2.6011215845364477E-2</v>
      </c>
      <c r="EF27" s="252">
        <f t="shared" si="27"/>
        <v>3.5010233760637721E-2</v>
      </c>
      <c r="EG27" s="1737">
        <f t="shared" si="27"/>
        <v>2.0397208803006883E-3</v>
      </c>
      <c r="EH27" s="252">
        <f t="shared" si="27"/>
        <v>-5.4211548649125918E-2</v>
      </c>
      <c r="EI27" s="871">
        <f t="shared" si="27"/>
        <v>-1.3575251272679445E-3</v>
      </c>
      <c r="EJ27" s="254"/>
      <c r="EK27" s="252">
        <f t="shared" si="28"/>
        <v>-1.7211303639958153E-2</v>
      </c>
      <c r="EL27" s="252">
        <f t="shared" si="28"/>
        <v>-6.3696919233971694E-2</v>
      </c>
      <c r="EM27" s="252">
        <f t="shared" si="28"/>
        <v>-3.4283265481037106E-2</v>
      </c>
      <c r="EN27" s="252">
        <f t="shared" si="28"/>
        <v>-1.0828976848394345E-2</v>
      </c>
      <c r="EO27" s="871">
        <f t="shared" si="28"/>
        <v>-3.1265521658431994E-2</v>
      </c>
      <c r="EP27" s="254"/>
      <c r="EQ27" s="252">
        <f t="shared" si="28"/>
        <v>1.9169329073482455E-2</v>
      </c>
      <c r="ER27" s="252">
        <f t="shared" si="28"/>
        <v>8.201422854601903E-3</v>
      </c>
      <c r="ES27" s="252">
        <f t="shared" si="28"/>
        <v>2.8844020412691407E-2</v>
      </c>
      <c r="ET27" s="252">
        <f t="shared" si="28"/>
        <v>3.2559456398641107E-2</v>
      </c>
      <c r="EU27" s="871">
        <f t="shared" si="29"/>
        <v>2.2688830720241748E-2</v>
      </c>
      <c r="EV27" s="254"/>
      <c r="EW27" s="252">
        <f t="shared" si="30"/>
        <v>6.954603506327639E-2</v>
      </c>
      <c r="EX27" s="252">
        <f t="shared" si="30"/>
        <v>6.1767760629254598E-2</v>
      </c>
      <c r="EY27" s="252">
        <f t="shared" si="30"/>
        <v>5.4129825318093516E-2</v>
      </c>
      <c r="EZ27" s="252">
        <f t="shared" si="31"/>
        <v>2.272851349033167E-2</v>
      </c>
      <c r="FA27" s="871">
        <f t="shared" si="31"/>
        <v>5.0395898284746998E-2</v>
      </c>
      <c r="FB27" s="254"/>
      <c r="FC27" s="252">
        <f t="shared" si="32"/>
        <v>3.6625560043136218E-2</v>
      </c>
      <c r="FD27" s="252">
        <f t="shared" si="32"/>
        <v>3.6539671034598209E-2</v>
      </c>
      <c r="FE27" s="252">
        <f t="shared" si="32"/>
        <v>3.2307231133390735E-2</v>
      </c>
      <c r="FF27" s="252">
        <f t="shared" si="32"/>
        <v>1.9107308187735317E-2</v>
      </c>
      <c r="FG27" s="871">
        <f t="shared" si="32"/>
        <v>3.0620019339379079E-2</v>
      </c>
      <c r="FH27" s="254"/>
      <c r="FI27" s="252">
        <f t="shared" si="33"/>
        <v>4.0861215517648208E-2</v>
      </c>
      <c r="FJ27" s="252">
        <f t="shared" si="34"/>
        <v>3.6163195563325479E-2</v>
      </c>
      <c r="FK27" s="252">
        <f t="shared" si="35"/>
        <v>3.4500426358212266E-2</v>
      </c>
      <c r="FL27" s="252">
        <f t="shared" si="36"/>
        <v>2.3933269721764683E-2</v>
      </c>
      <c r="FM27" s="871">
        <f t="shared" si="37"/>
        <v>3.3448350330823162E-2</v>
      </c>
      <c r="FP27" s="821">
        <f>CG27</f>
        <v>0.21894545754600214</v>
      </c>
      <c r="FQ27" s="822">
        <f>CM27</f>
        <v>0.23263653840946641</v>
      </c>
      <c r="FR27" s="823">
        <f>CS27</f>
        <v>0.24163875006864743</v>
      </c>
      <c r="FS27" s="823">
        <f>CY27</f>
        <v>3.9143703834755961E-2</v>
      </c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</row>
    <row r="28" spans="1:274" s="24" customFormat="1" ht="5.25" customHeight="1" x14ac:dyDescent="0.2">
      <c r="A28" s="18"/>
      <c r="B28" s="29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28"/>
      <c r="BJ28" s="28"/>
      <c r="BK28" s="28"/>
      <c r="BL28" s="28"/>
      <c r="BM28" s="28"/>
      <c r="BN28" s="28"/>
      <c r="BO28" s="28"/>
      <c r="BP28" s="28"/>
      <c r="BQ28" s="28"/>
      <c r="BR28" s="28"/>
      <c r="BS28" s="28"/>
      <c r="BT28" s="28"/>
      <c r="BU28" s="28"/>
      <c r="BV28" s="28"/>
      <c r="BW28" s="28"/>
      <c r="BX28" s="28"/>
      <c r="BY28" s="28"/>
      <c r="BZ28" s="28"/>
      <c r="CA28" s="28"/>
      <c r="CB28" s="28"/>
      <c r="CC28" s="28"/>
      <c r="CD28" s="28"/>
      <c r="CE28" s="28"/>
      <c r="CF28" s="28"/>
      <c r="CG28" s="416"/>
      <c r="CH28" s="28"/>
      <c r="CI28" s="28"/>
      <c r="CJ28" s="28"/>
      <c r="CK28" s="28"/>
      <c r="CL28" s="28"/>
      <c r="CM28" s="416"/>
      <c r="CN28" s="28"/>
      <c r="CO28" s="28"/>
      <c r="CP28" s="28"/>
      <c r="CQ28" s="28"/>
      <c r="CR28" s="28"/>
      <c r="CS28" s="416"/>
      <c r="CT28" s="28"/>
      <c r="CU28" s="28"/>
      <c r="CV28" s="28"/>
      <c r="CW28" s="28"/>
      <c r="CX28" s="28"/>
      <c r="CY28" s="416"/>
      <c r="CZ28" s="28"/>
      <c r="DA28" s="28"/>
      <c r="DB28" s="28"/>
      <c r="DC28" s="28"/>
      <c r="DD28" s="28"/>
      <c r="DE28" s="416"/>
      <c r="DF28" s="28"/>
      <c r="DG28" s="28"/>
      <c r="DH28" s="28"/>
      <c r="DI28" s="28"/>
      <c r="DJ28" s="28"/>
      <c r="DK28" s="416"/>
      <c r="DL28" s="28"/>
      <c r="DM28" s="28"/>
      <c r="DN28" s="28"/>
      <c r="DO28" s="28"/>
      <c r="DP28" s="28"/>
      <c r="DQ28" s="416"/>
      <c r="DR28" s="28"/>
      <c r="DS28" s="28"/>
      <c r="DT28" s="28"/>
      <c r="DU28" s="28"/>
      <c r="DV28" s="28"/>
      <c r="DW28" s="416"/>
      <c r="DX28" s="28"/>
      <c r="DY28" s="28"/>
      <c r="DZ28" s="28"/>
      <c r="EA28" s="28"/>
      <c r="EB28" s="28"/>
      <c r="EC28" s="416"/>
      <c r="ED28" s="28"/>
      <c r="EE28" s="28"/>
      <c r="EF28" s="28"/>
      <c r="EG28" s="28"/>
      <c r="EH28" s="28"/>
      <c r="EI28" s="416"/>
      <c r="EJ28" s="28"/>
      <c r="EK28" s="28"/>
      <c r="EL28" s="28"/>
      <c r="EM28" s="28"/>
      <c r="EN28" s="28"/>
      <c r="EO28" s="416"/>
      <c r="EP28" s="28"/>
      <c r="EQ28" s="28"/>
      <c r="ER28" s="28"/>
      <c r="ES28" s="28"/>
      <c r="ET28" s="28"/>
      <c r="EU28" s="416"/>
      <c r="EV28" s="28"/>
      <c r="EW28" s="28"/>
      <c r="EX28" s="28"/>
      <c r="EY28" s="28"/>
      <c r="EZ28" s="28"/>
      <c r="FA28" s="416"/>
      <c r="FB28" s="28"/>
      <c r="FC28" s="28"/>
      <c r="FD28" s="28"/>
      <c r="FE28" s="28"/>
      <c r="FF28" s="28"/>
      <c r="FG28" s="416"/>
      <c r="FH28" s="28"/>
      <c r="FI28" s="28"/>
      <c r="FJ28" s="28"/>
      <c r="FK28" s="28"/>
      <c r="FL28" s="28"/>
      <c r="FM28" s="416"/>
      <c r="FQ28" s="621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</row>
    <row r="29" spans="1:274" s="24" customFormat="1" x14ac:dyDescent="0.2">
      <c r="A29" s="817" t="s">
        <v>43</v>
      </c>
      <c r="B29" s="104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818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  <c r="AH29" s="50"/>
      <c r="AI29" s="50"/>
      <c r="AJ29" s="50"/>
      <c r="AK29" s="50"/>
      <c r="AL29" s="50"/>
      <c r="AM29" s="50"/>
      <c r="AN29" s="50"/>
      <c r="AO29" s="50"/>
      <c r="AP29" s="50"/>
      <c r="AQ29" s="50"/>
      <c r="AR29" s="50"/>
      <c r="AS29" s="50"/>
      <c r="AT29" s="50"/>
      <c r="AU29" s="50"/>
      <c r="AV29" s="50"/>
      <c r="AW29" s="50"/>
      <c r="AX29" s="50"/>
      <c r="AY29" s="50"/>
      <c r="AZ29" s="50"/>
      <c r="BA29" s="50"/>
      <c r="BB29" s="50"/>
      <c r="BC29" s="50"/>
      <c r="BD29" s="50"/>
      <c r="BE29" s="50"/>
      <c r="BF29" s="50"/>
      <c r="BG29" s="50"/>
      <c r="BH29" s="50"/>
      <c r="BI29" s="50"/>
      <c r="BJ29" s="50"/>
      <c r="BK29" s="50"/>
      <c r="BL29" s="50"/>
      <c r="BM29" s="50"/>
      <c r="BN29" s="50"/>
      <c r="BO29" s="50"/>
      <c r="BP29" s="50"/>
      <c r="BQ29" s="50"/>
      <c r="BR29" s="824"/>
      <c r="BS29" s="824"/>
      <c r="BT29" s="50"/>
      <c r="BU29" s="50"/>
      <c r="BV29" s="50"/>
      <c r="BW29" s="50"/>
      <c r="BX29" s="50"/>
      <c r="BY29" s="50"/>
      <c r="BZ29" s="50"/>
      <c r="CA29" s="50"/>
      <c r="CB29" s="50"/>
      <c r="CC29" s="50"/>
      <c r="CD29" s="50"/>
      <c r="CE29" s="50"/>
      <c r="CF29" s="50"/>
      <c r="CG29" s="164"/>
      <c r="CH29" s="50"/>
      <c r="CI29" s="50"/>
      <c r="CJ29" s="50"/>
      <c r="CK29" s="50"/>
      <c r="CL29" s="50"/>
      <c r="CM29" s="164"/>
      <c r="CN29" s="50"/>
      <c r="CO29" s="50"/>
      <c r="CP29" s="50"/>
      <c r="CQ29" s="50"/>
      <c r="CR29" s="50"/>
      <c r="CS29" s="164"/>
      <c r="CT29" s="50"/>
      <c r="CU29" s="50"/>
      <c r="CV29" s="50"/>
      <c r="CW29" s="50"/>
      <c r="CX29" s="50"/>
      <c r="CY29" s="164"/>
      <c r="CZ29" s="50"/>
      <c r="DA29" s="50"/>
      <c r="DB29" s="50"/>
      <c r="DC29" s="50"/>
      <c r="DD29" s="50"/>
      <c r="DE29" s="164"/>
      <c r="DF29" s="50"/>
      <c r="DG29" s="50"/>
      <c r="DH29" s="50"/>
      <c r="DI29" s="50"/>
      <c r="DJ29" s="50"/>
      <c r="DK29" s="164"/>
      <c r="DL29" s="50"/>
      <c r="DM29" s="50"/>
      <c r="DN29" s="50"/>
      <c r="DO29" s="50"/>
      <c r="DP29" s="50"/>
      <c r="DQ29" s="164"/>
      <c r="DR29" s="50"/>
      <c r="DS29" s="50"/>
      <c r="DT29" s="50"/>
      <c r="DU29" s="50"/>
      <c r="DV29" s="50"/>
      <c r="DW29" s="164"/>
      <c r="DX29" s="50"/>
      <c r="DY29" s="50"/>
      <c r="DZ29" s="50"/>
      <c r="EA29" s="50"/>
      <c r="EB29" s="50"/>
      <c r="EC29" s="164"/>
      <c r="ED29" s="50"/>
      <c r="EE29" s="50"/>
      <c r="EF29" s="50"/>
      <c r="EG29" s="50"/>
      <c r="EH29" s="50"/>
      <c r="EI29" s="164"/>
      <c r="EJ29" s="50"/>
      <c r="EK29" s="50"/>
      <c r="EL29" s="50"/>
      <c r="EM29" s="50"/>
      <c r="EN29" s="50"/>
      <c r="EO29" s="164"/>
      <c r="EP29" s="50"/>
      <c r="EQ29" s="50"/>
      <c r="ER29" s="50"/>
      <c r="ES29" s="50"/>
      <c r="ET29" s="50"/>
      <c r="EU29" s="164"/>
      <c r="EV29" s="50"/>
      <c r="EW29" s="50"/>
      <c r="EX29" s="50"/>
      <c r="EY29" s="50"/>
      <c r="EZ29" s="50"/>
      <c r="FA29" s="164"/>
      <c r="FB29" s="50"/>
      <c r="FC29" s="50"/>
      <c r="FD29" s="50"/>
      <c r="FE29" s="50"/>
      <c r="FF29" s="50"/>
      <c r="FG29" s="164"/>
      <c r="FH29" s="50"/>
      <c r="FI29" s="50"/>
      <c r="FJ29" s="50"/>
      <c r="FK29" s="50"/>
      <c r="FL29" s="50"/>
      <c r="FM29" s="164"/>
      <c r="FO29" s="614" t="s">
        <v>43</v>
      </c>
      <c r="FQ29" s="621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</row>
    <row r="30" spans="1:274" s="24" customFormat="1" x14ac:dyDescent="0.2">
      <c r="A30" s="819" t="s">
        <v>29</v>
      </c>
      <c r="B30" s="610"/>
      <c r="C30" s="50" t="s">
        <v>945</v>
      </c>
      <c r="D30" s="50" t="s">
        <v>945</v>
      </c>
      <c r="E30" s="50" t="s">
        <v>945</v>
      </c>
      <c r="F30" s="50" t="s">
        <v>945</v>
      </c>
      <c r="G30" s="50" t="s">
        <v>945</v>
      </c>
      <c r="H30" s="50" t="s">
        <v>945</v>
      </c>
      <c r="I30" s="50" t="s">
        <v>945</v>
      </c>
      <c r="J30" s="50" t="s">
        <v>945</v>
      </c>
      <c r="K30" s="50" t="s">
        <v>945</v>
      </c>
      <c r="L30" s="50" t="s">
        <v>945</v>
      </c>
      <c r="M30" s="50" t="s">
        <v>945</v>
      </c>
      <c r="N30" s="50"/>
      <c r="O30" s="50" t="s">
        <v>945</v>
      </c>
      <c r="P30" s="50" t="s">
        <v>945</v>
      </c>
      <c r="Q30" s="50" t="s">
        <v>945</v>
      </c>
      <c r="R30" s="50" t="s">
        <v>945</v>
      </c>
      <c r="S30" s="50" t="s">
        <v>945</v>
      </c>
      <c r="T30" s="50"/>
      <c r="U30" s="50" t="s">
        <v>945</v>
      </c>
      <c r="V30" s="50" t="s">
        <v>945</v>
      </c>
      <c r="W30" s="50" t="s">
        <v>945</v>
      </c>
      <c r="X30" s="50" t="s">
        <v>945</v>
      </c>
      <c r="Y30" s="50" t="s">
        <v>945</v>
      </c>
      <c r="Z30" s="50"/>
      <c r="AA30" s="50" t="s">
        <v>945</v>
      </c>
      <c r="AB30" s="50" t="s">
        <v>945</v>
      </c>
      <c r="AC30" s="50" t="s">
        <v>945</v>
      </c>
      <c r="AD30" s="50" t="s">
        <v>945</v>
      </c>
      <c r="AE30" s="50" t="s">
        <v>945</v>
      </c>
      <c r="AF30" s="51"/>
      <c r="AG30" s="50" t="s">
        <v>945</v>
      </c>
      <c r="AH30" s="50" t="s">
        <v>945</v>
      </c>
      <c r="AI30" s="50" t="s">
        <v>945</v>
      </c>
      <c r="AJ30" s="50" t="s">
        <v>945</v>
      </c>
      <c r="AK30" s="50" t="s">
        <v>945</v>
      </c>
      <c r="AL30" s="51"/>
      <c r="AM30" s="50" t="s">
        <v>945</v>
      </c>
      <c r="AN30" s="50" t="s">
        <v>945</v>
      </c>
      <c r="AO30" s="50" t="s">
        <v>945</v>
      </c>
      <c r="AP30" s="50" t="s">
        <v>945</v>
      </c>
      <c r="AQ30" s="50" t="s">
        <v>945</v>
      </c>
      <c r="AR30" s="51"/>
      <c r="AS30" s="50" t="s">
        <v>945</v>
      </c>
      <c r="AT30" s="50" t="s">
        <v>945</v>
      </c>
      <c r="AU30" s="52">
        <v>0.24454857937355978</v>
      </c>
      <c r="AV30" s="52">
        <v>0.17800658754355392</v>
      </c>
      <c r="AW30" s="50" t="s">
        <v>945</v>
      </c>
      <c r="AX30" s="51"/>
      <c r="AY30" s="52">
        <v>0.17014276184122745</v>
      </c>
      <c r="AZ30" s="52">
        <v>0.21602281048217109</v>
      </c>
      <c r="BA30" s="52">
        <v>7.5535897032739996E-2</v>
      </c>
      <c r="BB30" s="52">
        <v>-6.5911904995734627E-2</v>
      </c>
      <c r="BC30" s="52">
        <v>7.3814689613303841E-2</v>
      </c>
      <c r="BD30" s="51"/>
      <c r="BE30" s="52">
        <v>-5.2873626127204587E-2</v>
      </c>
      <c r="BF30" s="52">
        <v>-0.16473310002802266</v>
      </c>
      <c r="BG30" s="52">
        <v>-0.19264169743258963</v>
      </c>
      <c r="BH30" s="52">
        <v>-0.2238304508738086</v>
      </c>
      <c r="BI30" s="52">
        <v>-0.16647149385000892</v>
      </c>
      <c r="BJ30" s="51"/>
      <c r="BK30" s="52">
        <v>-0.11234245282413158</v>
      </c>
      <c r="BL30" s="52">
        <v>-9.7287023715526E-2</v>
      </c>
      <c r="BM30" s="52">
        <v>-5.4938265231972871E-2</v>
      </c>
      <c r="BN30" s="52">
        <v>-7.6361835085102858E-2</v>
      </c>
      <c r="BO30" s="52">
        <v>-8.4802391756722217E-2</v>
      </c>
      <c r="BP30" s="51"/>
      <c r="BQ30" s="52">
        <v>-5.7866184448462921E-2</v>
      </c>
      <c r="BR30" s="52">
        <v>8.0380293863439922E-2</v>
      </c>
      <c r="BS30" s="52">
        <v>2.1848739495798242E-2</v>
      </c>
      <c r="BT30" s="52">
        <v>6.038820992092031E-2</v>
      </c>
      <c r="BU30" s="52">
        <v>2.869529314616015E-2</v>
      </c>
      <c r="BV30" s="51"/>
      <c r="BW30" s="52">
        <v>4.702495201535517E-2</v>
      </c>
      <c r="BX30" s="52">
        <v>3.3600000000000074E-2</v>
      </c>
      <c r="BY30" s="52">
        <v>0.25230263157894739</v>
      </c>
      <c r="BZ30" s="52">
        <v>0.41234223728813557</v>
      </c>
      <c r="CA30" s="52">
        <v>0.20188737708207927</v>
      </c>
      <c r="CB30" s="51"/>
      <c r="CC30" s="52">
        <v>0.42933088909257577</v>
      </c>
      <c r="CD30" s="52">
        <v>0.38869969040247687</v>
      </c>
      <c r="CE30" s="52">
        <v>0.2348962437614921</v>
      </c>
      <c r="CF30" s="52">
        <v>0.2663181267631487</v>
      </c>
      <c r="CG30" s="149">
        <v>0.31442539501721556</v>
      </c>
      <c r="CH30" s="51"/>
      <c r="CI30" s="52">
        <v>0.27677311786584569</v>
      </c>
      <c r="CJ30" s="52">
        <v>0.22422249470516098</v>
      </c>
      <c r="CK30" s="52">
        <v>0.24036160595586287</v>
      </c>
      <c r="CL30" s="52">
        <v>0.15447308567096285</v>
      </c>
      <c r="CM30" s="149">
        <v>0.21511413726959772</v>
      </c>
      <c r="CN30" s="51"/>
      <c r="CO30" s="52">
        <f>CO24-CO18</f>
        <v>0.19794132335198977</v>
      </c>
      <c r="CP30" s="52">
        <f>CP24-CP18</f>
        <v>0.20435284480925597</v>
      </c>
      <c r="CQ30" s="52">
        <f>CQ24-CQ18</f>
        <v>0.13696118415910941</v>
      </c>
      <c r="CR30" s="52">
        <f>CR24-CR18</f>
        <v>0.16173745773308035</v>
      </c>
      <c r="CS30" s="149">
        <f>CS24-CS18</f>
        <v>0.17299459062877842</v>
      </c>
      <c r="CT30" s="51"/>
      <c r="CU30" s="52">
        <f>CU24-CU18</f>
        <v>0.12209714347322076</v>
      </c>
      <c r="CV30" s="52">
        <f t="shared" ref="CV30:CY32" si="38">CV24-CV18</f>
        <v>0.1275757651777556</v>
      </c>
      <c r="CW30" s="52">
        <f t="shared" si="38"/>
        <v>0.10385382016320288</v>
      </c>
      <c r="CX30" s="52">
        <f t="shared" si="38"/>
        <v>2.3214180122399508E-4</v>
      </c>
      <c r="CY30" s="149">
        <f t="shared" si="38"/>
        <v>8.0813123895897121E-2</v>
      </c>
      <c r="CZ30" s="51"/>
      <c r="DA30" s="52">
        <f>DA24-DA18</f>
        <v>-7.9863459746343235E-4</v>
      </c>
      <c r="DB30" s="52">
        <f>DB24-DB18</f>
        <v>-9.132923135038995E-4</v>
      </c>
      <c r="DC30" s="52">
        <f>DC24-DC18</f>
        <v>0.12402854264929464</v>
      </c>
      <c r="DD30" s="52">
        <f>DD24-DD18</f>
        <v>0.38726470993976791</v>
      </c>
      <c r="DE30" s="149">
        <f>DE24-DE18</f>
        <v>0.13803368400170024</v>
      </c>
      <c r="DF30" s="51"/>
      <c r="DG30" s="52">
        <f>DG24-DG18</f>
        <v>0.46572019004950493</v>
      </c>
      <c r="DH30" s="52">
        <f t="shared" ref="DH30:DK32" si="39">DH24-DH18</f>
        <v>0.48388772500005817</v>
      </c>
      <c r="DI30" s="52">
        <f t="shared" si="39"/>
        <v>0.36148317663676344</v>
      </c>
      <c r="DJ30" s="52">
        <f t="shared" si="39"/>
        <v>0.11396237686501309</v>
      </c>
      <c r="DK30" s="149">
        <f t="shared" si="39"/>
        <v>0.32263682075883859</v>
      </c>
      <c r="DL30" s="51"/>
      <c r="DM30" s="52">
        <f t="shared" ref="DM30:DQ33" si="40">DM24-DM18</f>
        <v>6.0211026685793818E-2</v>
      </c>
      <c r="DN30" s="52">
        <f t="shared" si="40"/>
        <v>2.3242408785632662E-2</v>
      </c>
      <c r="DO30" s="52">
        <f t="shared" si="40"/>
        <v>5.1682380978692821E-2</v>
      </c>
      <c r="DP30" s="52">
        <f t="shared" si="40"/>
        <v>6.907418521725317E-2</v>
      </c>
      <c r="DQ30" s="149">
        <f t="shared" si="40"/>
        <v>5.0078795809847865E-2</v>
      </c>
      <c r="DR30" s="51"/>
      <c r="DS30" s="52">
        <f t="shared" ref="DS30:DW33" si="41">DS24-DS18</f>
        <v>4.3189777567439677E-2</v>
      </c>
      <c r="DT30" s="52">
        <f t="shared" si="41"/>
        <v>5.6266548984995612E-2</v>
      </c>
      <c r="DU30" s="52">
        <f t="shared" si="41"/>
        <v>8.0879541108986788E-3</v>
      </c>
      <c r="DV30" s="52">
        <f t="shared" si="41"/>
        <v>3.4259227170334354E-2</v>
      </c>
      <c r="DW30" s="149">
        <f t="shared" si="41"/>
        <v>3.5161156165522948E-2</v>
      </c>
      <c r="DX30" s="51"/>
      <c r="DY30" s="52">
        <f t="shared" ref="DY30:EC33" si="42">DY24-DY18</f>
        <v>5.1968078348530566E-2</v>
      </c>
      <c r="DZ30" s="52">
        <f t="shared" si="42"/>
        <v>5.2287192115490599E-2</v>
      </c>
      <c r="EA30" s="52">
        <f t="shared" si="42"/>
        <v>6.5252523949089536E-2</v>
      </c>
      <c r="EB30" s="52">
        <f t="shared" si="42"/>
        <v>1.0981861202132848E-3</v>
      </c>
      <c r="EC30" s="149">
        <f t="shared" si="42"/>
        <v>4.007863319830629E-2</v>
      </c>
      <c r="ED30" s="51"/>
      <c r="EE30" s="52">
        <f t="shared" ref="EE30:EI33" si="43">EE24-EE18</f>
        <v>3.2802745184857145E-2</v>
      </c>
      <c r="EF30" s="52">
        <f t="shared" si="43"/>
        <v>5.5245245245245198E-2</v>
      </c>
      <c r="EG30" s="52">
        <f t="shared" si="43"/>
        <v>5.6543508984453907E-2</v>
      </c>
      <c r="EH30" s="52">
        <f t="shared" si="43"/>
        <v>6.7104588614212451E-2</v>
      </c>
      <c r="EI30" s="149">
        <f t="shared" si="43"/>
        <v>5.8677295541777343E-2</v>
      </c>
      <c r="EJ30" s="51"/>
      <c r="EK30" s="52">
        <f t="shared" ref="EK30:EO33" si="44">EK24-EK18</f>
        <v>6.077922077922078E-2</v>
      </c>
      <c r="EL30" s="52">
        <f t="shared" si="44"/>
        <v>-1.999042329055736E-2</v>
      </c>
      <c r="EM30" s="52">
        <f t="shared" si="44"/>
        <v>-1.739774055317491E-2</v>
      </c>
      <c r="EN30" s="52">
        <f t="shared" si="44"/>
        <v>-3.4632969183107778E-2</v>
      </c>
      <c r="EO30" s="149">
        <f t="shared" si="44"/>
        <v>-5.7155478686949333E-3</v>
      </c>
      <c r="EP30" s="51"/>
      <c r="EQ30" s="52">
        <f>EQ24-EQ18</f>
        <v>3.1416454622561478E-2</v>
      </c>
      <c r="ER30" s="52">
        <f t="shared" ref="ER30:ET30" si="45">ER24-ER18</f>
        <v>-5.0403225806451291E-3</v>
      </c>
      <c r="ES30" s="52">
        <f t="shared" si="45"/>
        <v>4.6050182112505007E-2</v>
      </c>
      <c r="ET30" s="52">
        <f t="shared" si="45"/>
        <v>5.1459445301066387E-2</v>
      </c>
      <c r="EU30" s="149">
        <f t="shared" ref="EU30:EU33" si="46">EU24-EU18</f>
        <v>3.1760950110546401E-2</v>
      </c>
      <c r="EV30" s="51"/>
      <c r="EW30" s="52">
        <f>EW24-EW18</f>
        <v>7.984946936726886E-2</v>
      </c>
      <c r="EX30" s="52">
        <f t="shared" ref="EX30:EY30" si="47">EX24-EX18</f>
        <v>8.9020845926011255E-2</v>
      </c>
      <c r="EY30" s="52">
        <f t="shared" si="47"/>
        <v>2.4893012695914048E-2</v>
      </c>
      <c r="EZ30" s="52">
        <f t="shared" ref="EZ30:FA33" si="48">EZ24-EZ18</f>
        <v>2.272851349033167E-2</v>
      </c>
      <c r="FA30" s="149">
        <f t="shared" si="48"/>
        <v>5.1760040540472431E-2</v>
      </c>
      <c r="FB30" s="51"/>
      <c r="FC30" s="52">
        <f t="shared" ref="FC30:FG33" si="49">FC24-FC18</f>
        <v>3.7625560043135997E-2</v>
      </c>
      <c r="FD30" s="52">
        <f t="shared" si="49"/>
        <v>3.7539671034598432E-2</v>
      </c>
      <c r="FE30" s="52">
        <f t="shared" si="49"/>
        <v>3.3307231133390736E-2</v>
      </c>
      <c r="FF30" s="52">
        <f t="shared" si="49"/>
        <v>1.9107308187735095E-2</v>
      </c>
      <c r="FG30" s="149">
        <f t="shared" si="49"/>
        <v>3.0622623439213514E-2</v>
      </c>
      <c r="FH30" s="51"/>
      <c r="FI30" s="52">
        <f t="shared" ref="FI30:FM30" si="50">FI24-FI18</f>
        <v>4.0861215517648208E-2</v>
      </c>
      <c r="FJ30" s="52">
        <f t="shared" si="50"/>
        <v>3.6163195563325479E-2</v>
      </c>
      <c r="FK30" s="52">
        <f t="shared" si="50"/>
        <v>3.4500426358212266E-2</v>
      </c>
      <c r="FL30" s="52">
        <f t="shared" si="50"/>
        <v>2.3933269721764905E-2</v>
      </c>
      <c r="FM30" s="149">
        <f t="shared" si="50"/>
        <v>3.346274933830462E-2</v>
      </c>
      <c r="FO30" s="158" t="str">
        <f>A30</f>
        <v>Americas</v>
      </c>
      <c r="FP30" s="613">
        <f>CG30</f>
        <v>0.31442539501721556</v>
      </c>
      <c r="FQ30" s="820">
        <f>CM30</f>
        <v>0.21511413726959772</v>
      </c>
      <c r="FR30" s="613">
        <f>CS30</f>
        <v>0.17299459062877842</v>
      </c>
      <c r="FS30" s="613">
        <f>CY30</f>
        <v>8.0813123895897121E-2</v>
      </c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</row>
    <row r="31" spans="1:274" s="24" customFormat="1" x14ac:dyDescent="0.2">
      <c r="A31" s="819" t="s">
        <v>702</v>
      </c>
      <c r="B31" s="21"/>
      <c r="C31" s="50" t="s">
        <v>945</v>
      </c>
      <c r="D31" s="50" t="s">
        <v>945</v>
      </c>
      <c r="E31" s="50" t="s">
        <v>945</v>
      </c>
      <c r="F31" s="50" t="s">
        <v>945</v>
      </c>
      <c r="G31" s="50" t="s">
        <v>945</v>
      </c>
      <c r="H31" s="50" t="s">
        <v>945</v>
      </c>
      <c r="I31" s="50" t="s">
        <v>945</v>
      </c>
      <c r="J31" s="50" t="s">
        <v>945</v>
      </c>
      <c r="K31" s="50" t="s">
        <v>945</v>
      </c>
      <c r="L31" s="50" t="s">
        <v>945</v>
      </c>
      <c r="M31" s="50" t="s">
        <v>945</v>
      </c>
      <c r="N31" s="50"/>
      <c r="O31" s="50" t="s">
        <v>945</v>
      </c>
      <c r="P31" s="50" t="s">
        <v>945</v>
      </c>
      <c r="Q31" s="50" t="s">
        <v>945</v>
      </c>
      <c r="R31" s="50" t="s">
        <v>945</v>
      </c>
      <c r="S31" s="50" t="s">
        <v>945</v>
      </c>
      <c r="T31" s="50"/>
      <c r="U31" s="50" t="s">
        <v>945</v>
      </c>
      <c r="V31" s="50" t="s">
        <v>945</v>
      </c>
      <c r="W31" s="50" t="s">
        <v>945</v>
      </c>
      <c r="X31" s="50" t="s">
        <v>945</v>
      </c>
      <c r="Y31" s="50" t="s">
        <v>945</v>
      </c>
      <c r="Z31" s="50"/>
      <c r="AA31" s="50" t="s">
        <v>945</v>
      </c>
      <c r="AB31" s="50" t="s">
        <v>945</v>
      </c>
      <c r="AC31" s="50" t="s">
        <v>945</v>
      </c>
      <c r="AD31" s="50" t="s">
        <v>945</v>
      </c>
      <c r="AE31" s="50" t="s">
        <v>945</v>
      </c>
      <c r="AF31" s="51"/>
      <c r="AG31" s="50" t="s">
        <v>945</v>
      </c>
      <c r="AH31" s="50" t="s">
        <v>945</v>
      </c>
      <c r="AI31" s="50" t="s">
        <v>945</v>
      </c>
      <c r="AJ31" s="50" t="s">
        <v>945</v>
      </c>
      <c r="AK31" s="50" t="s">
        <v>945</v>
      </c>
      <c r="AL31" s="51"/>
      <c r="AM31" s="50" t="s">
        <v>945</v>
      </c>
      <c r="AN31" s="50" t="s">
        <v>945</v>
      </c>
      <c r="AO31" s="50" t="s">
        <v>945</v>
      </c>
      <c r="AP31" s="50" t="s">
        <v>945</v>
      </c>
      <c r="AQ31" s="50" t="s">
        <v>945</v>
      </c>
      <c r="AR31" s="51"/>
      <c r="AS31" s="50" t="s">
        <v>945</v>
      </c>
      <c r="AT31" s="50" t="s">
        <v>945</v>
      </c>
      <c r="AU31" s="52">
        <v>0.15949448864710414</v>
      </c>
      <c r="AV31" s="52">
        <v>0.15182975872042515</v>
      </c>
      <c r="AW31" s="50" t="s">
        <v>945</v>
      </c>
      <c r="AX31" s="51"/>
      <c r="AY31" s="52">
        <v>0.16997387154691923</v>
      </c>
      <c r="AZ31" s="52">
        <v>0.23390299490802247</v>
      </c>
      <c r="BA31" s="52">
        <v>0.2115312604856654</v>
      </c>
      <c r="BB31" s="52">
        <v>8.0338346343114653E-2</v>
      </c>
      <c r="BC31" s="52">
        <v>0.16610951864126777</v>
      </c>
      <c r="BD31" s="51"/>
      <c r="BE31" s="52">
        <v>0.12614113007112038</v>
      </c>
      <c r="BF31" s="52">
        <v>-5.9387428837290646E-2</v>
      </c>
      <c r="BG31" s="52">
        <v>-4.4585583677535734E-2</v>
      </c>
      <c r="BH31" s="52">
        <v>-3.08259183453784E-2</v>
      </c>
      <c r="BI31" s="52">
        <v>-1.0928832815447209E-2</v>
      </c>
      <c r="BJ31" s="51"/>
      <c r="BK31" s="52">
        <v>-0.17498888885859443</v>
      </c>
      <c r="BL31" s="52">
        <v>-8.1254778530180927E-3</v>
      </c>
      <c r="BM31" s="52">
        <v>-8.6115528061677438E-2</v>
      </c>
      <c r="BN31" s="52">
        <v>-8.0947550752876185E-2</v>
      </c>
      <c r="BO31" s="52">
        <v>-8.5403590227224546E-2</v>
      </c>
      <c r="BP31" s="51"/>
      <c r="BQ31" s="52">
        <v>-2.1250617838337149E-2</v>
      </c>
      <c r="BR31" s="52">
        <v>-7.8933490357996239E-2</v>
      </c>
      <c r="BS31" s="52">
        <v>-1.7883349133006377E-2</v>
      </c>
      <c r="BT31" s="52">
        <v>3.797907789248689E-2</v>
      </c>
      <c r="BU31" s="52">
        <v>-1.7449921207529528E-2</v>
      </c>
      <c r="BV31" s="51"/>
      <c r="BW31" s="52">
        <v>1.3403165491202129E-2</v>
      </c>
      <c r="BX31" s="52">
        <v>0.10881976651865344</v>
      </c>
      <c r="BY31" s="52">
        <v>0.17946133999804692</v>
      </c>
      <c r="BZ31" s="52">
        <v>0.14708376193041217</v>
      </c>
      <c r="CA31" s="52">
        <v>0.11962914130570024</v>
      </c>
      <c r="CB31" s="51"/>
      <c r="CC31" s="52">
        <v>0.18326482187871185</v>
      </c>
      <c r="CD31" s="52">
        <v>9.8178877028962219E-2</v>
      </c>
      <c r="CE31" s="52">
        <v>0.14654892677168885</v>
      </c>
      <c r="CF31" s="52">
        <v>0.17791834275081708</v>
      </c>
      <c r="CG31" s="149">
        <v>0.15180625140202819</v>
      </c>
      <c r="CH31" s="51"/>
      <c r="CI31" s="52">
        <v>0.28155271043312458</v>
      </c>
      <c r="CJ31" s="52">
        <v>0.22682429403854765</v>
      </c>
      <c r="CK31" s="52">
        <v>0.1599325890035812</v>
      </c>
      <c r="CL31" s="52">
        <v>0.15445368432776752</v>
      </c>
      <c r="CM31" s="149">
        <v>0.19502780650013851</v>
      </c>
      <c r="CN31" s="51"/>
      <c r="CO31" s="52">
        <f t="shared" ref="CO31:CR32" si="51">CO25-CO19</f>
        <v>0.25164924516827925</v>
      </c>
      <c r="CP31" s="52">
        <f t="shared" si="51"/>
        <v>0.1782034583042269</v>
      </c>
      <c r="CQ31" s="52">
        <f t="shared" si="51"/>
        <v>0.13259619614338347</v>
      </c>
      <c r="CR31" s="52">
        <f t="shared" si="51"/>
        <v>0.18935744758055217</v>
      </c>
      <c r="CS31" s="149">
        <f>CS25-CS19</f>
        <v>0.18501995388554193</v>
      </c>
      <c r="CT31" s="51"/>
      <c r="CU31" s="52">
        <f>CU25-CU19</f>
        <v>0.10319417089092875</v>
      </c>
      <c r="CV31" s="52">
        <f t="shared" ref="CV31:CX32" si="52">CV25-CV19</f>
        <v>0.1570527667590258</v>
      </c>
      <c r="CW31" s="52">
        <f t="shared" si="52"/>
        <v>0.16234640059133931</v>
      </c>
      <c r="CX31" s="52">
        <f t="shared" si="52"/>
        <v>4.4346376134302701E-2</v>
      </c>
      <c r="CY31" s="149">
        <f t="shared" si="38"/>
        <v>0.11236740709446558</v>
      </c>
      <c r="CZ31" s="51"/>
      <c r="DA31" s="52">
        <f>DA25-DA19</f>
        <v>-3.8543936545341051E-2</v>
      </c>
      <c r="DB31" s="52">
        <f t="shared" ref="DB31:DD33" si="53">DB25-DB19</f>
        <v>-5.6695712273309939E-2</v>
      </c>
      <c r="DC31" s="52">
        <f t="shared" si="53"/>
        <v>0.1180482456140351</v>
      </c>
      <c r="DD31" s="52">
        <f t="shared" si="53"/>
        <v>0.34494389992111385</v>
      </c>
      <c r="DE31" s="149">
        <f>DE25-DE19</f>
        <v>0.1094940985807018</v>
      </c>
      <c r="DF31" s="51"/>
      <c r="DG31" s="52">
        <f>DG25-DG19</f>
        <v>0.60913837814821847</v>
      </c>
      <c r="DH31" s="52">
        <f t="shared" ref="DH31:DJ33" si="54">DH25-DH19</f>
        <v>0.49432794713090766</v>
      </c>
      <c r="DI31" s="52">
        <f t="shared" si="54"/>
        <v>0.33174974572781113</v>
      </c>
      <c r="DJ31" s="52">
        <f t="shared" si="54"/>
        <v>3.6224791367166498E-2</v>
      </c>
      <c r="DK31" s="149">
        <f t="shared" si="39"/>
        <v>0.32253657236333644</v>
      </c>
      <c r="DL31" s="51"/>
      <c r="DM31" s="52">
        <f t="shared" si="40"/>
        <v>2.2786105163505516E-2</v>
      </c>
      <c r="DN31" s="52">
        <f t="shared" si="40"/>
        <v>-7.9426719509727572E-3</v>
      </c>
      <c r="DO31" s="52">
        <f t="shared" si="40"/>
        <v>2.2550101823370694E-2</v>
      </c>
      <c r="DP31" s="52">
        <f t="shared" si="40"/>
        <v>9.8540965207632308E-3</v>
      </c>
      <c r="DQ31" s="149">
        <f t="shared" si="40"/>
        <v>9.0180384478952824E-3</v>
      </c>
      <c r="DR31" s="51"/>
      <c r="DS31" s="52">
        <f t="shared" si="41"/>
        <v>-2.8713017751479247E-2</v>
      </c>
      <c r="DT31" s="52">
        <f t="shared" si="41"/>
        <v>4.3541364296056234E-5</v>
      </c>
      <c r="DU31" s="52">
        <f t="shared" si="41"/>
        <v>-5.0699677072120284E-3</v>
      </c>
      <c r="DV31" s="52">
        <f t="shared" si="41"/>
        <v>4.2245021122511162E-3</v>
      </c>
      <c r="DW31" s="149">
        <f t="shared" si="41"/>
        <v>-1.494507395554014E-2</v>
      </c>
      <c r="DX31" s="51"/>
      <c r="DY31" s="52">
        <f t="shared" si="42"/>
        <v>-9.8437943830171903E-3</v>
      </c>
      <c r="DZ31" s="52">
        <f t="shared" si="42"/>
        <v>7.7339665414931646E-3</v>
      </c>
      <c r="EA31" s="52">
        <f t="shared" si="42"/>
        <v>3.6103274139034136E-2</v>
      </c>
      <c r="EB31" s="52">
        <f t="shared" si="42"/>
        <v>8.1721721363934297E-2</v>
      </c>
      <c r="EC31" s="149">
        <f t="shared" si="42"/>
        <v>3.393694153922755E-2</v>
      </c>
      <c r="ED31" s="51"/>
      <c r="EE31" s="52">
        <f t="shared" si="43"/>
        <v>4.1500615006150113E-2</v>
      </c>
      <c r="EF31" s="52">
        <f t="shared" si="43"/>
        <v>9.3368832090876708E-2</v>
      </c>
      <c r="EG31" s="52">
        <f t="shared" si="43"/>
        <v>9.2367430721861155E-2</v>
      </c>
      <c r="EH31" s="52">
        <f t="shared" si="43"/>
        <v>-0.14238448793862446</v>
      </c>
      <c r="EI31" s="149">
        <f t="shared" si="43"/>
        <v>4.2540386707960148E-2</v>
      </c>
      <c r="EJ31" s="51"/>
      <c r="EK31" s="52">
        <f t="shared" si="44"/>
        <v>7.8628814213982268E-2</v>
      </c>
      <c r="EL31" s="52">
        <f t="shared" si="44"/>
        <v>1.8622466506355254E-2</v>
      </c>
      <c r="EM31" s="52">
        <f t="shared" si="44"/>
        <v>1.596516174902235E-2</v>
      </c>
      <c r="EN31" s="52">
        <f t="shared" si="44"/>
        <v>1.9280730355396125E-2</v>
      </c>
      <c r="EO31" s="149">
        <f t="shared" si="44"/>
        <v>3.000670558013438E-2</v>
      </c>
      <c r="EP31" s="51"/>
      <c r="EQ31" s="52">
        <f>EQ25-EQ19</f>
        <v>3.1229230414898217E-2</v>
      </c>
      <c r="ER31" s="52">
        <f t="shared" ref="ER31:ET31" si="55">ER25-ER19</f>
        <v>1.7107750472589792E-2</v>
      </c>
      <c r="ES31" s="52">
        <f t="shared" si="55"/>
        <v>1.2927470875610733E-3</v>
      </c>
      <c r="ET31" s="52">
        <f t="shared" si="55"/>
        <v>3.1461503839229271E-2</v>
      </c>
      <c r="EU31" s="149">
        <f t="shared" si="46"/>
        <v>2.0499195817190875E-2</v>
      </c>
      <c r="EV31" s="51"/>
      <c r="EW31" s="52">
        <f>EW25-EW19</f>
        <v>1.9889337363449694E-2</v>
      </c>
      <c r="EX31" s="52">
        <f t="shared" ref="EX31:EY31" si="56">EX25-EX19</f>
        <v>3.8165852930121598E-2</v>
      </c>
      <c r="EY31" s="52">
        <f t="shared" si="56"/>
        <v>1.4920151668462237E-2</v>
      </c>
      <c r="EZ31" s="52">
        <f t="shared" si="48"/>
        <v>-7.271486509668329E-3</v>
      </c>
      <c r="FA31" s="149">
        <f t="shared" si="48"/>
        <v>1.4127140343953119E-2</v>
      </c>
      <c r="FB31" s="51"/>
      <c r="FC31" s="52">
        <f t="shared" si="49"/>
        <v>1.6625560043136218E-2</v>
      </c>
      <c r="FD31" s="52">
        <f t="shared" si="49"/>
        <v>2.153967103459821E-2</v>
      </c>
      <c r="FE31" s="52">
        <f t="shared" si="49"/>
        <v>2.5307231133390735E-2</v>
      </c>
      <c r="FF31" s="52">
        <f t="shared" si="49"/>
        <v>1.9107308187735317E-2</v>
      </c>
      <c r="FG31" s="149">
        <f t="shared" si="49"/>
        <v>3.0612446092577184E-2</v>
      </c>
      <c r="FH31" s="51"/>
      <c r="FI31" s="52">
        <f t="shared" ref="FI31:FM31" si="57">FI25-FI19</f>
        <v>4.0861215517648208E-2</v>
      </c>
      <c r="FJ31" s="52">
        <f t="shared" si="57"/>
        <v>3.6163195563325479E-2</v>
      </c>
      <c r="FK31" s="52">
        <f t="shared" si="57"/>
        <v>3.4500426358212266E-2</v>
      </c>
      <c r="FL31" s="52">
        <f t="shared" si="57"/>
        <v>2.3933269721764683E-2</v>
      </c>
      <c r="FM31" s="149">
        <f t="shared" si="57"/>
        <v>3.3412374263640521E-2</v>
      </c>
      <c r="FO31" s="158" t="str">
        <f>A31</f>
        <v>EMEA</v>
      </c>
      <c r="FP31" s="613">
        <f>CG31</f>
        <v>0.15180625140202819</v>
      </c>
      <c r="FQ31" s="820">
        <f>CM31</f>
        <v>0.19502780650013851</v>
      </c>
      <c r="FR31" s="613">
        <f>CS31</f>
        <v>0.18501995388554193</v>
      </c>
      <c r="FS31" s="613">
        <f>CY31</f>
        <v>0.11236740709446558</v>
      </c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</row>
    <row r="32" spans="1:274" s="24" customFormat="1" x14ac:dyDescent="0.2">
      <c r="A32" s="819" t="s">
        <v>1017</v>
      </c>
      <c r="B32" s="21"/>
      <c r="C32" s="50" t="s">
        <v>945</v>
      </c>
      <c r="D32" s="50" t="s">
        <v>945</v>
      </c>
      <c r="E32" s="50" t="s">
        <v>945</v>
      </c>
      <c r="F32" s="50" t="s">
        <v>945</v>
      </c>
      <c r="G32" s="50" t="s">
        <v>945</v>
      </c>
      <c r="H32" s="50" t="s">
        <v>945</v>
      </c>
      <c r="I32" s="50" t="s">
        <v>945</v>
      </c>
      <c r="J32" s="50" t="s">
        <v>945</v>
      </c>
      <c r="K32" s="50" t="s">
        <v>945</v>
      </c>
      <c r="L32" s="50" t="s">
        <v>945</v>
      </c>
      <c r="M32" s="50" t="s">
        <v>945</v>
      </c>
      <c r="N32" s="50"/>
      <c r="O32" s="50" t="s">
        <v>945</v>
      </c>
      <c r="P32" s="50" t="s">
        <v>945</v>
      </c>
      <c r="Q32" s="50" t="s">
        <v>945</v>
      </c>
      <c r="R32" s="50" t="s">
        <v>945</v>
      </c>
      <c r="S32" s="50" t="s">
        <v>945</v>
      </c>
      <c r="T32" s="50"/>
      <c r="U32" s="50" t="s">
        <v>945</v>
      </c>
      <c r="V32" s="50" t="s">
        <v>945</v>
      </c>
      <c r="W32" s="50" t="s">
        <v>945</v>
      </c>
      <c r="X32" s="50" t="s">
        <v>945</v>
      </c>
      <c r="Y32" s="50" t="s">
        <v>945</v>
      </c>
      <c r="Z32" s="50"/>
      <c r="AA32" s="50" t="s">
        <v>945</v>
      </c>
      <c r="AB32" s="50" t="s">
        <v>945</v>
      </c>
      <c r="AC32" s="50" t="s">
        <v>945</v>
      </c>
      <c r="AD32" s="50" t="s">
        <v>945</v>
      </c>
      <c r="AE32" s="50" t="s">
        <v>945</v>
      </c>
      <c r="AF32" s="51"/>
      <c r="AG32" s="50" t="s">
        <v>945</v>
      </c>
      <c r="AH32" s="50" t="s">
        <v>945</v>
      </c>
      <c r="AI32" s="50" t="s">
        <v>945</v>
      </c>
      <c r="AJ32" s="50" t="s">
        <v>945</v>
      </c>
      <c r="AK32" s="50" t="s">
        <v>945</v>
      </c>
      <c r="AL32" s="51"/>
      <c r="AM32" s="50" t="s">
        <v>945</v>
      </c>
      <c r="AN32" s="50" t="s">
        <v>945</v>
      </c>
      <c r="AO32" s="50" t="s">
        <v>945</v>
      </c>
      <c r="AP32" s="50" t="s">
        <v>945</v>
      </c>
      <c r="AQ32" s="50" t="s">
        <v>945</v>
      </c>
      <c r="AR32" s="51"/>
      <c r="AS32" s="50" t="s">
        <v>945</v>
      </c>
      <c r="AT32" s="50" t="s">
        <v>945</v>
      </c>
      <c r="AU32" s="52">
        <v>0.21758017862352474</v>
      </c>
      <c r="AV32" s="52">
        <v>0.19130463616194837</v>
      </c>
      <c r="AW32" s="50" t="s">
        <v>945</v>
      </c>
      <c r="AX32" s="51"/>
      <c r="AY32" s="52">
        <v>0.23325118259682087</v>
      </c>
      <c r="AZ32" s="52">
        <v>0.30349351979650918</v>
      </c>
      <c r="BA32" s="52">
        <v>0.3060553867678717</v>
      </c>
      <c r="BB32" s="52">
        <v>0.22999941953369851</v>
      </c>
      <c r="BC32" s="52">
        <v>0.26669006139437657</v>
      </c>
      <c r="BD32" s="51"/>
      <c r="BE32" s="52">
        <v>0.18574284629734872</v>
      </c>
      <c r="BF32" s="52">
        <v>-4.5421480091434319E-3</v>
      </c>
      <c r="BG32" s="52">
        <v>-0.10798791991784207</v>
      </c>
      <c r="BH32" s="52">
        <v>-7.888768968035198E-2</v>
      </c>
      <c r="BI32" s="52">
        <v>-9.69232246871643E-3</v>
      </c>
      <c r="BJ32" s="51"/>
      <c r="BK32" s="52">
        <v>-0.15206990781591856</v>
      </c>
      <c r="BL32" s="52">
        <v>-2.4682043715719804E-2</v>
      </c>
      <c r="BM32" s="52">
        <v>0.10432556278759031</v>
      </c>
      <c r="BN32" s="52">
        <v>3.476976929854847E-2</v>
      </c>
      <c r="BO32" s="52">
        <v>-1.1560002075144404E-2</v>
      </c>
      <c r="BP32" s="51"/>
      <c r="BQ32" s="52">
        <v>4.7264604022810852E-2</v>
      </c>
      <c r="BR32" s="52">
        <v>6.8528582132310056E-4</v>
      </c>
      <c r="BS32" s="52">
        <v>9.4098844486385502E-3</v>
      </c>
      <c r="BT32" s="52">
        <v>-2.3110155305914315E-2</v>
      </c>
      <c r="BU32" s="52">
        <v>4.9985333977753399E-3</v>
      </c>
      <c r="BV32" s="51"/>
      <c r="BW32" s="52">
        <v>2.2771937351494742E-2</v>
      </c>
      <c r="BX32" s="52">
        <v>6.2844429886257824E-2</v>
      </c>
      <c r="BY32" s="52">
        <v>0.11782613225902572</v>
      </c>
      <c r="BZ32" s="52">
        <v>0.20614179118607723</v>
      </c>
      <c r="CA32" s="52">
        <v>0.10953594309431702</v>
      </c>
      <c r="CB32" s="51"/>
      <c r="CC32" s="52">
        <v>0.25064669830289454</v>
      </c>
      <c r="CD32" s="52">
        <v>0.28213011056745008</v>
      </c>
      <c r="CE32" s="52">
        <v>0.22246300943182296</v>
      </c>
      <c r="CF32" s="52">
        <v>0.36596340237171221</v>
      </c>
      <c r="CG32" s="149">
        <v>0.28779938283637718</v>
      </c>
      <c r="CH32" s="51"/>
      <c r="CI32" s="52">
        <v>0.25831103873444272</v>
      </c>
      <c r="CJ32" s="52">
        <v>0.22551920136556824</v>
      </c>
      <c r="CK32" s="52">
        <v>0.35185461408630681</v>
      </c>
      <c r="CL32" s="52">
        <v>0.22976451862876379</v>
      </c>
      <c r="CM32" s="149">
        <v>0.26242515827822799</v>
      </c>
      <c r="CN32" s="51"/>
      <c r="CO32" s="52">
        <f t="shared" si="51"/>
        <v>0.24241355522032282</v>
      </c>
      <c r="CP32" s="52">
        <f t="shared" si="51"/>
        <v>0.32546875228376981</v>
      </c>
      <c r="CQ32" s="52">
        <f t="shared" si="51"/>
        <v>0.22005546597421599</v>
      </c>
      <c r="CR32" s="52">
        <f t="shared" si="51"/>
        <v>0.18227554485400588</v>
      </c>
      <c r="CS32" s="149">
        <f>CS26-CS20</f>
        <v>0.2363492035969148</v>
      </c>
      <c r="CT32" s="51"/>
      <c r="CU32" s="52">
        <f>CU26-CU20</f>
        <v>0.22238977821295558</v>
      </c>
      <c r="CV32" s="52">
        <f t="shared" si="52"/>
        <v>9.8642915366095929E-2</v>
      </c>
      <c r="CW32" s="52">
        <f t="shared" si="52"/>
        <v>6.89392034597478E-2</v>
      </c>
      <c r="CX32" s="52">
        <f t="shared" si="52"/>
        <v>4.1860009925861807E-2</v>
      </c>
      <c r="CY32" s="149">
        <f t="shared" si="38"/>
        <v>0.12787922120778789</v>
      </c>
      <c r="CZ32" s="51"/>
      <c r="DA32" s="52">
        <f>DA26-DA20</f>
        <v>-0.13808353045462562</v>
      </c>
      <c r="DB32" s="52">
        <f t="shared" si="53"/>
        <v>-1.8647077146955793E-2</v>
      </c>
      <c r="DC32" s="52">
        <f t="shared" si="53"/>
        <v>0.12180832574767742</v>
      </c>
      <c r="DD32" s="52">
        <f t="shared" si="53"/>
        <v>0.40576886699814829</v>
      </c>
      <c r="DE32" s="149">
        <f>DE26-DE20</f>
        <v>8.1820226134543761E-2</v>
      </c>
      <c r="DF32" s="51"/>
      <c r="DG32" s="52">
        <f>DG26-DG20</f>
        <v>0.53642862664696223</v>
      </c>
      <c r="DH32" s="52">
        <f t="shared" si="54"/>
        <v>0.49849978629309843</v>
      </c>
      <c r="DI32" s="52">
        <f t="shared" si="54"/>
        <v>0.40593238374285501</v>
      </c>
      <c r="DJ32" s="52">
        <f t="shared" si="54"/>
        <v>5.3479563911555283E-2</v>
      </c>
      <c r="DK32" s="149">
        <f t="shared" si="39"/>
        <v>0.33014766901494452</v>
      </c>
      <c r="DL32" s="51"/>
      <c r="DM32" s="52">
        <f t="shared" si="40"/>
        <v>6.3076548232321103E-2</v>
      </c>
      <c r="DN32" s="52">
        <f t="shared" si="40"/>
        <v>2.3685452338181978E-2</v>
      </c>
      <c r="DO32" s="52">
        <f t="shared" si="40"/>
        <v>3.870515992070378E-2</v>
      </c>
      <c r="DP32" s="52">
        <f t="shared" si="40"/>
        <v>0.10706496519721583</v>
      </c>
      <c r="DQ32" s="149">
        <f t="shared" si="40"/>
        <v>4.5669763156630738E-2</v>
      </c>
      <c r="DR32" s="51"/>
      <c r="DS32" s="52">
        <f t="shared" si="41"/>
        <v>6.0775623268697974E-2</v>
      </c>
      <c r="DT32" s="52">
        <f t="shared" si="41"/>
        <v>6.7819148936170137E-2</v>
      </c>
      <c r="DU32" s="52">
        <f t="shared" si="41"/>
        <v>2.058252427184467E-2</v>
      </c>
      <c r="DV32" s="52">
        <f t="shared" si="41"/>
        <v>-1.7176406335335834E-2</v>
      </c>
      <c r="DW32" s="149">
        <f t="shared" si="41"/>
        <v>3.6679316888045564E-2</v>
      </c>
      <c r="DX32" s="51"/>
      <c r="DY32" s="52">
        <f t="shared" si="42"/>
        <v>0.1361422879324562</v>
      </c>
      <c r="DZ32" s="52">
        <f t="shared" si="42"/>
        <v>7.4008014831282609E-2</v>
      </c>
      <c r="EA32" s="52">
        <f t="shared" si="42"/>
        <v>5.2089371130944917E-2</v>
      </c>
      <c r="EB32" s="52">
        <f t="shared" si="42"/>
        <v>3.3610284243436594E-2</v>
      </c>
      <c r="EC32" s="149">
        <f t="shared" si="42"/>
        <v>5.7231202701168216E-2</v>
      </c>
      <c r="ED32" s="51"/>
      <c r="EE32" s="52">
        <f t="shared" si="43"/>
        <v>-3.0480225988700586E-2</v>
      </c>
      <c r="EF32" s="52">
        <f t="shared" si="43"/>
        <v>5.2050580997949417E-2</v>
      </c>
      <c r="EG32" s="52">
        <f t="shared" si="43"/>
        <v>3.4360587002096488E-2</v>
      </c>
      <c r="EH32" s="52">
        <f t="shared" si="43"/>
        <v>-9.8407258615001922E-2</v>
      </c>
      <c r="EI32" s="149">
        <f t="shared" si="43"/>
        <v>5.7035803497085952E-3</v>
      </c>
      <c r="EJ32" s="51"/>
      <c r="EK32" s="52">
        <f t="shared" si="44"/>
        <v>4.997116077865893E-2</v>
      </c>
      <c r="EL32" s="52">
        <f t="shared" si="44"/>
        <v>3.679399727148705E-2</v>
      </c>
      <c r="EM32" s="52">
        <f t="shared" si="44"/>
        <v>8.1014492753623102E-2</v>
      </c>
      <c r="EN32" s="52">
        <f t="shared" si="44"/>
        <v>8.6345285524568327E-2</v>
      </c>
      <c r="EO32" s="149">
        <f t="shared" si="44"/>
        <v>6.0766145394851492E-2</v>
      </c>
      <c r="EP32" s="51"/>
      <c r="EQ32" s="52">
        <f>EQ26-EQ20</f>
        <v>3.2980367916516137E-2</v>
      </c>
      <c r="ER32" s="52">
        <f t="shared" ref="ER32:ET32" si="58">ER26-ER20</f>
        <v>7.3996693924721024E-2</v>
      </c>
      <c r="ES32" s="52">
        <f t="shared" si="58"/>
        <v>-6.5152590489709721E-3</v>
      </c>
      <c r="ET32" s="52">
        <f t="shared" si="58"/>
        <v>3.5130136045647964E-2</v>
      </c>
      <c r="EU32" s="149">
        <f t="shared" si="46"/>
        <v>3.3442235054784789E-2</v>
      </c>
      <c r="EV32" s="51"/>
      <c r="EW32" s="52">
        <f>EW26-EW20</f>
        <v>5.0358888139601321E-2</v>
      </c>
      <c r="EX32" s="52">
        <f t="shared" ref="EX32:EY32" si="59">EX26-EX20</f>
        <v>-5.6663751523236432E-2</v>
      </c>
      <c r="EY32" s="52">
        <f t="shared" si="59"/>
        <v>6.4484289537541234E-3</v>
      </c>
      <c r="EZ32" s="52">
        <f t="shared" si="48"/>
        <v>2.0228513490331227E-2</v>
      </c>
      <c r="FA32" s="149">
        <f t="shared" si="48"/>
        <v>3.8235845586864162E-3</v>
      </c>
      <c r="FB32" s="51"/>
      <c r="FC32" s="52">
        <f t="shared" si="49"/>
        <v>3.2625560043135993E-2</v>
      </c>
      <c r="FD32" s="52">
        <f t="shared" si="49"/>
        <v>3.2539671034598427E-2</v>
      </c>
      <c r="FE32" s="52">
        <f t="shared" si="49"/>
        <v>3.0307231133390289E-2</v>
      </c>
      <c r="FF32" s="52">
        <f t="shared" si="49"/>
        <v>1.9107308187735761E-2</v>
      </c>
      <c r="FG32" s="149">
        <f t="shared" si="49"/>
        <v>3.0624579943078656E-2</v>
      </c>
      <c r="FH32" s="51"/>
      <c r="FI32" s="52">
        <f t="shared" ref="FI32:FM32" si="60">FI26-FI20</f>
        <v>4.0861215517648208E-2</v>
      </c>
      <c r="FJ32" s="52">
        <f t="shared" si="60"/>
        <v>3.6163195563325701E-2</v>
      </c>
      <c r="FK32" s="52">
        <f t="shared" si="60"/>
        <v>3.4500426358212044E-2</v>
      </c>
      <c r="FL32" s="52">
        <f t="shared" si="60"/>
        <v>2.3933269721764905E-2</v>
      </c>
      <c r="FM32" s="149">
        <f t="shared" si="60"/>
        <v>3.3462638437080638E-2</v>
      </c>
      <c r="FO32" s="158" t="str">
        <f>A32</f>
        <v>Asia Pacific</v>
      </c>
      <c r="FP32" s="613">
        <f>CG32</f>
        <v>0.28779938283637718</v>
      </c>
      <c r="FQ32" s="820">
        <f>CM32</f>
        <v>0.26242515827822799</v>
      </c>
      <c r="FR32" s="613">
        <f>CS32</f>
        <v>0.2363492035969148</v>
      </c>
      <c r="FS32" s="613">
        <f>CY32</f>
        <v>0.12787922120778789</v>
      </c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</row>
    <row r="33" spans="1:274" s="24" customFormat="1" x14ac:dyDescent="0.2">
      <c r="A33" s="870" t="s">
        <v>698</v>
      </c>
      <c r="B33" s="873"/>
      <c r="C33" s="169" t="s">
        <v>945</v>
      </c>
      <c r="D33" s="169" t="s">
        <v>945</v>
      </c>
      <c r="E33" s="169" t="s">
        <v>945</v>
      </c>
      <c r="F33" s="169" t="s">
        <v>945</v>
      </c>
      <c r="G33" s="169" t="s">
        <v>945</v>
      </c>
      <c r="H33" s="169" t="s">
        <v>945</v>
      </c>
      <c r="I33" s="169" t="s">
        <v>945</v>
      </c>
      <c r="J33" s="169" t="s">
        <v>945</v>
      </c>
      <c r="K33" s="169" t="s">
        <v>945</v>
      </c>
      <c r="L33" s="169" t="s">
        <v>945</v>
      </c>
      <c r="M33" s="169" t="s">
        <v>945</v>
      </c>
      <c r="N33" s="169"/>
      <c r="O33" s="169" t="s">
        <v>945</v>
      </c>
      <c r="P33" s="169" t="s">
        <v>945</v>
      </c>
      <c r="Q33" s="169" t="s">
        <v>945</v>
      </c>
      <c r="R33" s="169" t="s">
        <v>945</v>
      </c>
      <c r="S33" s="169" t="s">
        <v>945</v>
      </c>
      <c r="T33" s="169"/>
      <c r="U33" s="169" t="s">
        <v>945</v>
      </c>
      <c r="V33" s="169" t="s">
        <v>945</v>
      </c>
      <c r="W33" s="169" t="s">
        <v>945</v>
      </c>
      <c r="X33" s="169" t="s">
        <v>945</v>
      </c>
      <c r="Y33" s="169" t="s">
        <v>945</v>
      </c>
      <c r="Z33" s="169"/>
      <c r="AA33" s="169" t="s">
        <v>945</v>
      </c>
      <c r="AB33" s="169" t="s">
        <v>945</v>
      </c>
      <c r="AC33" s="169" t="s">
        <v>945</v>
      </c>
      <c r="AD33" s="169" t="s">
        <v>945</v>
      </c>
      <c r="AE33" s="169" t="s">
        <v>945</v>
      </c>
      <c r="AF33" s="254"/>
      <c r="AG33" s="169" t="s">
        <v>945</v>
      </c>
      <c r="AH33" s="169" t="s">
        <v>945</v>
      </c>
      <c r="AI33" s="169" t="s">
        <v>945</v>
      </c>
      <c r="AJ33" s="169" t="s">
        <v>945</v>
      </c>
      <c r="AK33" s="169" t="s">
        <v>945</v>
      </c>
      <c r="AL33" s="254"/>
      <c r="AM33" s="169" t="s">
        <v>945</v>
      </c>
      <c r="AN33" s="169" t="s">
        <v>945</v>
      </c>
      <c r="AO33" s="169" t="s">
        <v>945</v>
      </c>
      <c r="AP33" s="169" t="s">
        <v>945</v>
      </c>
      <c r="AQ33" s="169" t="s">
        <v>945</v>
      </c>
      <c r="AR33" s="254"/>
      <c r="AS33" s="169" t="s">
        <v>945</v>
      </c>
      <c r="AT33" s="169" t="s">
        <v>945</v>
      </c>
      <c r="AU33" s="252">
        <v>0.21558843337692424</v>
      </c>
      <c r="AV33" s="252">
        <v>0.17241251195964558</v>
      </c>
      <c r="AW33" s="169" t="s">
        <v>945</v>
      </c>
      <c r="AX33" s="254"/>
      <c r="AY33" s="252">
        <v>0.17874490439149238</v>
      </c>
      <c r="AZ33" s="252">
        <v>0.23307029906867793</v>
      </c>
      <c r="BA33" s="252">
        <v>0.13893856739009647</v>
      </c>
      <c r="BB33" s="252">
        <v>3.4156130917979421E-3</v>
      </c>
      <c r="BC33" s="252">
        <v>0.12234613732602773</v>
      </c>
      <c r="BD33" s="254"/>
      <c r="BE33" s="252">
        <v>2.7112048092788665E-2</v>
      </c>
      <c r="BF33" s="252">
        <v>-0.11254184887874785</v>
      </c>
      <c r="BG33" s="252">
        <v>-0.14013244282055615</v>
      </c>
      <c r="BH33" s="252">
        <v>-0.15129202480131365</v>
      </c>
      <c r="BI33" s="252">
        <v>-0.10242569984268834</v>
      </c>
      <c r="BJ33" s="254"/>
      <c r="BK33" s="252">
        <v>-0.13844076097521696</v>
      </c>
      <c r="BL33" s="252">
        <v>-5.7106712229922585E-2</v>
      </c>
      <c r="BM33" s="252">
        <v>-4.6289242097457439E-2</v>
      </c>
      <c r="BN33" s="252">
        <v>-6.3256919568160597E-2</v>
      </c>
      <c r="BO33" s="252">
        <v>-7.5055479738030839E-2</v>
      </c>
      <c r="BP33" s="254"/>
      <c r="BQ33" s="252">
        <v>-3.0616680081501424E-2</v>
      </c>
      <c r="BR33" s="252">
        <v>7.1571271148034299E-3</v>
      </c>
      <c r="BS33" s="252">
        <v>5.119725587445334E-3</v>
      </c>
      <c r="BT33" s="252">
        <v>3.9192682849604976E-2</v>
      </c>
      <c r="BU33" s="252">
        <v>8.053482122361677E-3</v>
      </c>
      <c r="BV33" s="254"/>
      <c r="BW33" s="252">
        <v>3.1188642942013178E-2</v>
      </c>
      <c r="BX33" s="252">
        <v>6.5736340568870677E-2</v>
      </c>
      <c r="BY33" s="252">
        <v>0.20471071113059214</v>
      </c>
      <c r="BZ33" s="252">
        <v>0.2789332055237439</v>
      </c>
      <c r="CA33" s="252">
        <v>0.15727161311818616</v>
      </c>
      <c r="CB33" s="254"/>
      <c r="CC33" s="252">
        <v>0.31519985159670316</v>
      </c>
      <c r="CD33" s="252">
        <v>0.2638226587536836</v>
      </c>
      <c r="CE33" s="252">
        <v>0.20217645044058319</v>
      </c>
      <c r="CF33" s="252">
        <v>0.24876520239274935</v>
      </c>
      <c r="CG33" s="871">
        <v>0.25303237560195035</v>
      </c>
      <c r="CH33" s="254"/>
      <c r="CI33" s="252">
        <v>0.27570206078731463</v>
      </c>
      <c r="CJ33" s="173">
        <v>0.22528841424264634</v>
      </c>
      <c r="CK33" s="173">
        <v>0.22586980976862248</v>
      </c>
      <c r="CL33" s="252">
        <v>0.16447948408585167</v>
      </c>
      <c r="CM33" s="871">
        <v>0.21458780987947423</v>
      </c>
      <c r="CN33" s="254"/>
      <c r="CO33" s="872">
        <f>CO27-CO34</f>
        <v>0.21457525266320679</v>
      </c>
      <c r="CP33" s="252">
        <f>CP27-CP34</f>
        <v>0.20229601518026558</v>
      </c>
      <c r="CQ33" s="252">
        <f>CQ27-CQ34</f>
        <v>0.14723758147898397</v>
      </c>
      <c r="CR33" s="252">
        <f>CR27-CR34</f>
        <v>0.17763386027536981</v>
      </c>
      <c r="CS33" s="871">
        <f>CS27-CS34</f>
        <v>0.18163875006864744</v>
      </c>
      <c r="CT33" s="254"/>
      <c r="CU33" s="252">
        <f>CU27-CU34</f>
        <v>0.1404920531243197</v>
      </c>
      <c r="CV33" s="252">
        <f>CV27-CV34</f>
        <v>0.1202162565249813</v>
      </c>
      <c r="CW33" s="252">
        <f>CW27-CW21</f>
        <v>0.12918483652800128</v>
      </c>
      <c r="CX33" s="252">
        <f>CX27-CX21</f>
        <v>3.506249141601428E-2</v>
      </c>
      <c r="CY33" s="871">
        <f>CY27-CY21</f>
        <v>9.9143703834755958E-2</v>
      </c>
      <c r="CZ33" s="254"/>
      <c r="DA33" s="252">
        <f>DA27-DA21</f>
        <v>-3.2988251607277919E-2</v>
      </c>
      <c r="DB33" s="252">
        <f t="shared" si="53"/>
        <v>-2.0863451744343009E-2</v>
      </c>
      <c r="DC33" s="252">
        <f t="shared" si="53"/>
        <v>0.12539970930232563</v>
      </c>
      <c r="DD33" s="252">
        <f t="shared" si="53"/>
        <v>0.38853278760450305</v>
      </c>
      <c r="DE33" s="871">
        <f>DE27-DE21</f>
        <v>0.12505525718545285</v>
      </c>
      <c r="DF33" s="254"/>
      <c r="DG33" s="252">
        <f>DG27-DG21</f>
        <v>0.50871617618013043</v>
      </c>
      <c r="DH33" s="252">
        <f t="shared" si="54"/>
        <v>0.50108098131471834</v>
      </c>
      <c r="DI33" s="252">
        <f t="shared" si="54"/>
        <v>0.34133180820477937</v>
      </c>
      <c r="DJ33" s="252">
        <f t="shared" si="54"/>
        <v>6.7957934299825995E-2</v>
      </c>
      <c r="DK33" s="871">
        <f>DK27-DK21</f>
        <v>0.31966885485788143</v>
      </c>
      <c r="DL33" s="254"/>
      <c r="DM33" s="252">
        <f>DM27-DM21</f>
        <v>4.6747496046389003E-2</v>
      </c>
      <c r="DN33" s="252">
        <f t="shared" si="40"/>
        <v>2.1724437132666363E-3</v>
      </c>
      <c r="DO33" s="252">
        <f t="shared" si="40"/>
        <v>3.8017091483908194E-2</v>
      </c>
      <c r="DP33" s="252">
        <f t="shared" si="40"/>
        <v>5.6125369444883555E-2</v>
      </c>
      <c r="DQ33" s="871">
        <f t="shared" si="40"/>
        <v>3.3488952092951108E-2</v>
      </c>
      <c r="DR33" s="254"/>
      <c r="DS33" s="252">
        <f t="shared" si="41"/>
        <v>2.5119160393016982E-2</v>
      </c>
      <c r="DT33" s="252">
        <f t="shared" si="41"/>
        <v>4.6441750897539658E-2</v>
      </c>
      <c r="DU33" s="252">
        <f t="shared" si="41"/>
        <v>6.9346133425949308E-3</v>
      </c>
      <c r="DV33" s="252">
        <f t="shared" si="41"/>
        <v>2.4551212973620062E-2</v>
      </c>
      <c r="DW33" s="871">
        <f t="shared" si="41"/>
        <v>2.5346586295660334E-2</v>
      </c>
      <c r="DX33" s="254"/>
      <c r="DY33" s="252">
        <f t="shared" si="42"/>
        <v>4.1951298131266412E-2</v>
      </c>
      <c r="DZ33" s="252">
        <f t="shared" si="42"/>
        <v>3.7945548163995868E-2</v>
      </c>
      <c r="EA33" s="252">
        <f t="shared" si="42"/>
        <v>5.2527567613743775E-2</v>
      </c>
      <c r="EB33" s="252">
        <f t="shared" si="42"/>
        <v>3.3299881397682585E-2</v>
      </c>
      <c r="EC33" s="871">
        <f t="shared" si="42"/>
        <v>4.0261364775292519E-2</v>
      </c>
      <c r="ED33" s="254"/>
      <c r="EE33" s="252">
        <f t="shared" si="43"/>
        <v>1.6011215845364475E-2</v>
      </c>
      <c r="EF33" s="252">
        <f t="shared" si="43"/>
        <v>7.5010233760637729E-2</v>
      </c>
      <c r="EG33" s="1737">
        <f t="shared" si="43"/>
        <v>6.2039720880300686E-2</v>
      </c>
      <c r="EH33" s="1737">
        <f t="shared" si="43"/>
        <v>2.2522957329553089E-2</v>
      </c>
      <c r="EI33" s="871">
        <f t="shared" si="43"/>
        <v>3.8642474872732056E-2</v>
      </c>
      <c r="EJ33" s="254"/>
      <c r="EK33" s="252">
        <f>EK27-EK21</f>
        <v>7.2788696360041857E-2</v>
      </c>
      <c r="EL33" s="252">
        <f t="shared" si="44"/>
        <v>-9.2791078577249275E-4</v>
      </c>
      <c r="EM33" s="252">
        <f t="shared" si="44"/>
        <v>6.7251658480066076E-3</v>
      </c>
      <c r="EN33" s="252">
        <f t="shared" si="44"/>
        <v>-2.6970402685528964E-3</v>
      </c>
      <c r="EO33" s="871">
        <f t="shared" si="44"/>
        <v>1.6797624305893238E-2</v>
      </c>
      <c r="EP33" s="254"/>
      <c r="EQ33" s="252">
        <f>EQ27-EQ21</f>
        <v>3.2589020793387692E-2</v>
      </c>
      <c r="ER33" s="252">
        <f t="shared" ref="ER33:ET33" si="61">ER27-ER21</f>
        <v>1.6020404869657133E-2</v>
      </c>
      <c r="ES33" s="252">
        <f t="shared" si="61"/>
        <v>3.1169877647972841E-2</v>
      </c>
      <c r="ET33" s="252">
        <f t="shared" si="61"/>
        <v>4.2504945496460667E-2</v>
      </c>
      <c r="EU33" s="871">
        <f t="shared" si="46"/>
        <v>3.1050371889758677E-2</v>
      </c>
      <c r="EV33" s="254"/>
      <c r="EW33" s="252">
        <f>EW27-EW21</f>
        <v>5.6184680433757961E-2</v>
      </c>
      <c r="EX33" s="252">
        <f t="shared" ref="EX33:EY33" si="62">EX27-EX21</f>
        <v>4.556353929440006E-2</v>
      </c>
      <c r="EY33" s="252">
        <f t="shared" si="62"/>
        <v>9.8345606941380795E-3</v>
      </c>
      <c r="EZ33" s="252">
        <f t="shared" si="48"/>
        <v>-9.7714865096683312E-3</v>
      </c>
      <c r="FA33" s="871">
        <f t="shared" si="48"/>
        <v>-2.375488176649429E-2</v>
      </c>
      <c r="FB33" s="254"/>
      <c r="FC33" s="252">
        <f t="shared" si="49"/>
        <v>1.3625560043136219E-2</v>
      </c>
      <c r="FD33" s="252">
        <f t="shared" si="49"/>
        <v>1.853967103459821E-2</v>
      </c>
      <c r="FE33" s="252">
        <f t="shared" si="49"/>
        <v>2.4307231133390735E-2</v>
      </c>
      <c r="FF33" s="252">
        <f t="shared" si="49"/>
        <v>1.9107308187735317E-2</v>
      </c>
      <c r="FG33" s="871">
        <f t="shared" si="49"/>
        <v>3.0620019339379079E-2</v>
      </c>
      <c r="FH33" s="254"/>
      <c r="FI33" s="252">
        <f t="shared" ref="FI33:FM33" si="63">FI27-FI21</f>
        <v>4.0861215517648208E-2</v>
      </c>
      <c r="FJ33" s="252">
        <f t="shared" si="63"/>
        <v>3.6163195563325479E-2</v>
      </c>
      <c r="FK33" s="252">
        <f t="shared" si="63"/>
        <v>3.4500426358212266E-2</v>
      </c>
      <c r="FL33" s="252">
        <f t="shared" si="63"/>
        <v>2.3933269721764683E-2</v>
      </c>
      <c r="FM33" s="871">
        <f t="shared" si="63"/>
        <v>3.3448350330823162E-2</v>
      </c>
      <c r="FP33" s="821">
        <f>CG33</f>
        <v>0.25303237560195035</v>
      </c>
      <c r="FQ33" s="822">
        <f>CM33</f>
        <v>0.21458780987947423</v>
      </c>
      <c r="FR33" s="823">
        <f>CS33</f>
        <v>0.18163875006864744</v>
      </c>
      <c r="FS33" s="823">
        <f>CY33</f>
        <v>9.9143703834755958E-2</v>
      </c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</row>
    <row r="34" spans="1:274" s="24" customFormat="1" ht="15" customHeight="1" x14ac:dyDescent="0.2">
      <c r="A34" s="19" t="s">
        <v>564</v>
      </c>
      <c r="B34" s="29"/>
      <c r="C34" s="50" t="s">
        <v>945</v>
      </c>
      <c r="D34" s="50" t="s">
        <v>945</v>
      </c>
      <c r="E34" s="50" t="s">
        <v>945</v>
      </c>
      <c r="F34" s="50" t="s">
        <v>945</v>
      </c>
      <c r="G34" s="50" t="s">
        <v>945</v>
      </c>
      <c r="H34" s="50" t="s">
        <v>945</v>
      </c>
      <c r="I34" s="50" t="s">
        <v>945</v>
      </c>
      <c r="J34" s="50" t="s">
        <v>945</v>
      </c>
      <c r="K34" s="50" t="s">
        <v>945</v>
      </c>
      <c r="L34" s="50" t="s">
        <v>945</v>
      </c>
      <c r="M34" s="50" t="s">
        <v>945</v>
      </c>
      <c r="N34" s="342"/>
      <c r="O34" s="50" t="s">
        <v>945</v>
      </c>
      <c r="P34" s="50" t="s">
        <v>945</v>
      </c>
      <c r="Q34" s="50" t="s">
        <v>945</v>
      </c>
      <c r="R34" s="50" t="s">
        <v>945</v>
      </c>
      <c r="S34" s="50" t="s">
        <v>945</v>
      </c>
      <c r="T34" s="342"/>
      <c r="U34" s="50" t="s">
        <v>945</v>
      </c>
      <c r="V34" s="50" t="s">
        <v>945</v>
      </c>
      <c r="W34" s="50" t="s">
        <v>945</v>
      </c>
      <c r="X34" s="50" t="s">
        <v>945</v>
      </c>
      <c r="Y34" s="50" t="s">
        <v>945</v>
      </c>
      <c r="Z34" s="53"/>
      <c r="AA34" s="342"/>
      <c r="AB34" s="342"/>
      <c r="AC34" s="342"/>
      <c r="AD34" s="342"/>
      <c r="AE34" s="342"/>
      <c r="AF34" s="53"/>
      <c r="AG34" s="342"/>
      <c r="AH34" s="342"/>
      <c r="AI34" s="342"/>
      <c r="AJ34" s="342"/>
      <c r="AK34" s="342"/>
      <c r="AL34" s="53"/>
      <c r="AM34" s="342"/>
      <c r="AN34" s="342"/>
      <c r="AO34" s="342"/>
      <c r="AP34" s="342"/>
      <c r="AQ34" s="342"/>
      <c r="AR34" s="53"/>
      <c r="AS34" s="342"/>
      <c r="AT34" s="342"/>
      <c r="AU34" s="342"/>
      <c r="AV34" s="342"/>
      <c r="AW34" s="342"/>
      <c r="AX34" s="53"/>
      <c r="AY34" s="342"/>
      <c r="AZ34" s="342"/>
      <c r="BA34" s="342"/>
      <c r="BB34" s="342"/>
      <c r="BC34" s="342"/>
      <c r="BD34" s="53"/>
      <c r="BE34" s="342"/>
      <c r="BF34" s="342"/>
      <c r="BG34" s="342"/>
      <c r="BH34" s="342"/>
      <c r="BI34" s="342"/>
      <c r="BJ34" s="53"/>
      <c r="BK34" s="342"/>
      <c r="BL34" s="342"/>
      <c r="BM34" s="342"/>
      <c r="BN34" s="342"/>
      <c r="BO34" s="342"/>
      <c r="BP34" s="53"/>
      <c r="BQ34" s="342"/>
      <c r="BR34" s="342"/>
      <c r="BS34" s="342"/>
      <c r="BT34" s="342"/>
      <c r="BU34" s="342"/>
      <c r="BV34" s="53"/>
      <c r="BW34" s="342"/>
      <c r="BX34" s="342"/>
      <c r="BY34" s="342"/>
      <c r="BZ34" s="342"/>
      <c r="CA34" s="342"/>
      <c r="CB34" s="53"/>
      <c r="CC34" s="43">
        <f>CC27-CC33</f>
        <v>-2.7845017095700086E-3</v>
      </c>
      <c r="CD34" s="43">
        <f>CD27-CD33</f>
        <v>-3.2327738579518206E-2</v>
      </c>
      <c r="CE34" s="43">
        <f>CE27-CE33</f>
        <v>-5.9467106761307287E-2</v>
      </c>
      <c r="CF34" s="43">
        <f>CF27-CF33</f>
        <v>-3.1255954550579279E-2</v>
      </c>
      <c r="CG34" s="395">
        <f>CG27-CG33</f>
        <v>-3.4086918055948212E-2</v>
      </c>
      <c r="CH34" s="53"/>
      <c r="CI34" s="43">
        <f>CI27-CI33</f>
        <v>-1.6328135778714614E-2</v>
      </c>
      <c r="CJ34" s="43">
        <f>CJ27-CJ33</f>
        <v>1.6903689469787375E-2</v>
      </c>
      <c r="CK34" s="43">
        <f>CK27-CK33</f>
        <v>3.2901127306977251E-2</v>
      </c>
      <c r="CL34" s="43">
        <f>CL27-CL33</f>
        <v>2.7134856606876756E-2</v>
      </c>
      <c r="CM34" s="395">
        <f>CM27-CM33</f>
        <v>1.8048728529992175E-2</v>
      </c>
      <c r="CN34" s="53"/>
      <c r="CO34" s="43">
        <v>0.04</v>
      </c>
      <c r="CP34" s="43">
        <v>7.0000000000000007E-2</v>
      </c>
      <c r="CQ34" s="43">
        <v>0.06</v>
      </c>
      <c r="CR34" s="43">
        <v>0.06</v>
      </c>
      <c r="CS34" s="395">
        <v>0.06</v>
      </c>
      <c r="CT34" s="53"/>
      <c r="CU34" s="43">
        <v>0.04</v>
      </c>
      <c r="CV34" s="43">
        <v>-0.06</v>
      </c>
      <c r="CW34" s="43">
        <f>CW27-CW33</f>
        <v>-0.10442222248964717</v>
      </c>
      <c r="CX34" s="43">
        <f>CX27-CX33</f>
        <v>-0.09</v>
      </c>
      <c r="CY34" s="395">
        <f>CY27-CY33</f>
        <v>-0.06</v>
      </c>
      <c r="CZ34" s="53"/>
      <c r="DA34" s="43">
        <f>DA27-DA33</f>
        <v>-3.3223478381656069E-2</v>
      </c>
      <c r="DB34" s="43">
        <f>DB27-DB33</f>
        <v>5.3393784081251838E-2</v>
      </c>
      <c r="DC34" s="43">
        <f>DC27-DC33</f>
        <v>4.9999999999999989E-2</v>
      </c>
      <c r="DD34" s="43">
        <f>DD27-DD33</f>
        <v>1.1118425881908811E-2</v>
      </c>
      <c r="DE34" s="395">
        <f>DE27-DE33</f>
        <v>2.5681101033667053E-2</v>
      </c>
      <c r="DF34" s="53"/>
      <c r="DG34" s="43">
        <f>DG27-DG33</f>
        <v>-1.0000000000000009E-2</v>
      </c>
      <c r="DH34" s="43">
        <f>DH27-DH33</f>
        <v>-2.0495150252048067E-2</v>
      </c>
      <c r="DI34" s="43">
        <f>DI27-DI33</f>
        <v>2.0000000000000018E-2</v>
      </c>
      <c r="DJ34" s="43">
        <f>DJ27-DJ33</f>
        <v>5.4043934664975257E-2</v>
      </c>
      <c r="DK34" s="395">
        <f>DK27-DK33</f>
        <v>8.0348225428596987E-3</v>
      </c>
      <c r="DL34" s="53"/>
      <c r="DM34" s="43">
        <f>DM27-DM33</f>
        <v>0.06</v>
      </c>
      <c r="DN34" s="43">
        <f>DN27-DN33</f>
        <v>1.1285113222551102E-2</v>
      </c>
      <c r="DO34" s="43">
        <f>DO27-DO33</f>
        <v>-9.0243357214465636E-3</v>
      </c>
      <c r="DP34" s="43">
        <f>DP27-DP33</f>
        <v>-4.2784660579438416E-2</v>
      </c>
      <c r="DQ34" s="395">
        <f>DQ27-DQ33</f>
        <v>3.4660249233466889E-3</v>
      </c>
      <c r="DR34" s="53"/>
      <c r="DS34" s="43">
        <f>DS27-DS33</f>
        <v>-4.7624518811688055E-2</v>
      </c>
      <c r="DT34" s="43">
        <f>DT27-DT33</f>
        <v>-1.2166413251415431E-2</v>
      </c>
      <c r="DU34" s="43">
        <f>DU27-DU33</f>
        <v>-1.7123947239962245E-2</v>
      </c>
      <c r="DV34" s="43">
        <f>DV27-DV33</f>
        <v>-2.356124567661344E-2</v>
      </c>
      <c r="DW34" s="395">
        <f>DW27-DW33</f>
        <v>-2.4500271640664151E-2</v>
      </c>
      <c r="DX34" s="53"/>
      <c r="DY34" s="43">
        <f>DY27-DY33</f>
        <v>-2.0998685145519058E-2</v>
      </c>
      <c r="DZ34" s="43">
        <f>DZ27-DZ33</f>
        <v>-1.9290879010039896E-2</v>
      </c>
      <c r="EA34" s="43">
        <f>EA27-EA33</f>
        <v>-1.4066029152205228E-2</v>
      </c>
      <c r="EB34" s="43">
        <f>EB27-EB33</f>
        <v>0</v>
      </c>
      <c r="EC34" s="395">
        <f>EC27-EC33</f>
        <v>-1.2022028346011737E-2</v>
      </c>
      <c r="ED34" s="53"/>
      <c r="EE34" s="43">
        <f>EE27-EE33</f>
        <v>1.0000000000000002E-2</v>
      </c>
      <c r="EF34" s="43">
        <f>EF27-EF33</f>
        <v>-4.0000000000000008E-2</v>
      </c>
      <c r="EG34" s="43">
        <f>EG27-EG33</f>
        <v>-0.06</v>
      </c>
      <c r="EH34" s="43">
        <f>EH27-EH33</f>
        <v>-7.6734505978679007E-2</v>
      </c>
      <c r="EI34" s="395">
        <f>EI27-EI33</f>
        <v>-0.04</v>
      </c>
      <c r="EJ34" s="53"/>
      <c r="EK34" s="43">
        <f>EK27-EK33</f>
        <v>-9.0000000000000011E-2</v>
      </c>
      <c r="EL34" s="43">
        <f>EL27-EL33</f>
        <v>-6.2769008448199201E-2</v>
      </c>
      <c r="EM34" s="43">
        <f>EM27-EM33</f>
        <v>-4.1008431329043714E-2</v>
      </c>
      <c r="EN34" s="43">
        <f>EN27-EN33</f>
        <v>-8.1319365798414485E-3</v>
      </c>
      <c r="EO34" s="395">
        <f>EO27-EO33</f>
        <v>-4.8063145964325232E-2</v>
      </c>
      <c r="EP34" s="53"/>
      <c r="EQ34" s="43">
        <f>EQ27-EQ33</f>
        <v>-1.3419691719905237E-2</v>
      </c>
      <c r="ER34" s="43">
        <f>ER27-ER33</f>
        <v>-7.81898201505523E-3</v>
      </c>
      <c r="ES34" s="43">
        <f>ES27-ES33</f>
        <v>-2.3258572352814338E-3</v>
      </c>
      <c r="ET34" s="43">
        <f>ET27-ET33</f>
        <v>-9.9454890978195598E-3</v>
      </c>
      <c r="EU34" s="395">
        <f>EU27-EU33</f>
        <v>-8.3615411695169284E-3</v>
      </c>
      <c r="EV34" s="53"/>
      <c r="EW34" s="43">
        <f>EW27-EW33</f>
        <v>1.3361354629518429E-2</v>
      </c>
      <c r="EX34" s="43">
        <f>EX27-EX33</f>
        <v>1.6204221334854538E-2</v>
      </c>
      <c r="EY34" s="43">
        <f>EY27-EY33</f>
        <v>4.4295264623955437E-2</v>
      </c>
      <c r="EZ34" s="43">
        <f>EZ27-EZ33</f>
        <v>3.2500000000000001E-2</v>
      </c>
      <c r="FA34" s="395">
        <f>FA27-FA33</f>
        <v>7.4150780051241288E-2</v>
      </c>
      <c r="FB34" s="53"/>
      <c r="FC34" s="43">
        <f>FC27-FC33</f>
        <v>2.3E-2</v>
      </c>
      <c r="FD34" s="43">
        <f>FD27-FD33</f>
        <v>1.7999999999999999E-2</v>
      </c>
      <c r="FE34" s="43">
        <f>FE27-FE33</f>
        <v>8.0000000000000002E-3</v>
      </c>
      <c r="FF34" s="43">
        <f>FF27-FF33</f>
        <v>0</v>
      </c>
      <c r="FG34" s="395">
        <f>FG27-FG33</f>
        <v>0</v>
      </c>
      <c r="FH34" s="53"/>
      <c r="FI34" s="43">
        <f>FI27-FI33</f>
        <v>0</v>
      </c>
      <c r="FJ34" s="43">
        <f>FJ27-FJ33</f>
        <v>0</v>
      </c>
      <c r="FK34" s="43">
        <f>FK27-FK33</f>
        <v>0</v>
      </c>
      <c r="FL34" s="43">
        <f>FL27-FL33</f>
        <v>0</v>
      </c>
      <c r="FM34" s="395">
        <f>FM27-FM33</f>
        <v>0</v>
      </c>
      <c r="FO34" s="621"/>
      <c r="FP34" s="621"/>
      <c r="FQ34" s="820"/>
      <c r="FR34" s="820"/>
      <c r="FS34" s="820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</row>
    <row r="35" spans="1:274" s="24" customFormat="1" ht="5.25" customHeight="1" x14ac:dyDescent="0.2">
      <c r="A35" s="18"/>
      <c r="B35" s="29"/>
      <c r="C35" s="50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416"/>
      <c r="CH35" s="28"/>
      <c r="CI35" s="28"/>
      <c r="CJ35" s="28"/>
      <c r="CK35" s="28"/>
      <c r="CL35" s="28"/>
      <c r="CM35" s="416"/>
      <c r="CN35" s="28"/>
      <c r="CO35" s="28"/>
      <c r="CP35" s="28"/>
      <c r="CQ35" s="28"/>
      <c r="CR35" s="28"/>
      <c r="CS35" s="416"/>
      <c r="CT35" s="28"/>
      <c r="CU35" s="28"/>
      <c r="CV35" s="28"/>
      <c r="CW35" s="28"/>
      <c r="CX35" s="28"/>
      <c r="CY35" s="416"/>
      <c r="CZ35" s="28"/>
      <c r="DA35" s="28"/>
      <c r="DB35" s="28"/>
      <c r="DC35" s="28"/>
      <c r="DD35" s="28"/>
      <c r="DE35" s="416"/>
      <c r="DF35" s="28"/>
      <c r="DG35" s="28"/>
      <c r="DH35" s="28"/>
      <c r="DI35" s="28"/>
      <c r="DJ35" s="28"/>
      <c r="DK35" s="416"/>
      <c r="DL35" s="28"/>
      <c r="DM35" s="28"/>
      <c r="DN35" s="28"/>
      <c r="DO35" s="28"/>
      <c r="DP35" s="28"/>
      <c r="DQ35" s="416"/>
      <c r="DR35" s="28"/>
      <c r="DS35" s="28"/>
      <c r="DT35" s="28"/>
      <c r="DU35" s="28"/>
      <c r="DV35" s="28"/>
      <c r="DW35" s="416"/>
      <c r="DX35" s="28"/>
      <c r="DY35" s="28"/>
      <c r="DZ35" s="28"/>
      <c r="EA35" s="28"/>
      <c r="EB35" s="28"/>
      <c r="EC35" s="416"/>
      <c r="ED35" s="28"/>
      <c r="EE35" s="28"/>
      <c r="EF35" s="28"/>
      <c r="EG35" s="28"/>
      <c r="EH35" s="28"/>
      <c r="EI35" s="416"/>
      <c r="EJ35" s="28"/>
      <c r="EK35" s="28"/>
      <c r="EL35" s="28"/>
      <c r="EM35" s="28"/>
      <c r="EN35" s="28"/>
      <c r="EO35" s="416"/>
      <c r="EP35" s="28"/>
      <c r="EQ35" s="28"/>
      <c r="ER35" s="28"/>
      <c r="ES35" s="28"/>
      <c r="ET35" s="28"/>
      <c r="EU35" s="416"/>
      <c r="EV35" s="28"/>
      <c r="EW35" s="28"/>
      <c r="EX35" s="28"/>
      <c r="EY35" s="28"/>
      <c r="EZ35" s="28"/>
      <c r="FA35" s="416"/>
      <c r="FB35" s="28"/>
      <c r="FC35" s="28"/>
      <c r="FD35" s="28"/>
      <c r="FE35" s="28"/>
      <c r="FF35" s="28"/>
      <c r="FG35" s="416"/>
      <c r="FH35" s="28"/>
      <c r="FI35" s="28"/>
      <c r="FJ35" s="28"/>
      <c r="FK35" s="28"/>
      <c r="FL35" s="28"/>
      <c r="FM35" s="416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</row>
    <row r="36" spans="1:274" s="24" customFormat="1" x14ac:dyDescent="0.2">
      <c r="A36" s="817" t="s">
        <v>883</v>
      </c>
      <c r="B36" s="29"/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818"/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50"/>
      <c r="AF36" s="50"/>
      <c r="AG36" s="50"/>
      <c r="AH36" s="50"/>
      <c r="AI36" s="50"/>
      <c r="AJ36" s="50"/>
      <c r="AK36" s="50"/>
      <c r="AL36" s="50"/>
      <c r="AM36" s="50"/>
      <c r="AN36" s="50"/>
      <c r="AO36" s="50"/>
      <c r="AP36" s="50"/>
      <c r="AQ36" s="50"/>
      <c r="AR36" s="50"/>
      <c r="AS36" s="50"/>
      <c r="AT36" s="50"/>
      <c r="AU36" s="50"/>
      <c r="AV36" s="50"/>
      <c r="AW36" s="50"/>
      <c r="AX36" s="50"/>
      <c r="AY36" s="50"/>
      <c r="AZ36" s="50"/>
      <c r="BA36" s="50"/>
      <c r="BB36" s="50"/>
      <c r="BC36" s="50"/>
      <c r="BD36" s="50"/>
      <c r="BE36" s="50"/>
      <c r="BF36" s="50"/>
      <c r="BG36" s="50"/>
      <c r="BH36" s="50"/>
      <c r="BI36" s="50"/>
      <c r="BJ36" s="50"/>
      <c r="BK36" s="50"/>
      <c r="BL36" s="50"/>
      <c r="BM36" s="50"/>
      <c r="BN36" s="50"/>
      <c r="BO36" s="50"/>
      <c r="BP36" s="50"/>
      <c r="BQ36" s="50"/>
      <c r="BR36" s="50"/>
      <c r="BS36" s="50"/>
      <c r="BT36" s="52"/>
      <c r="BU36" s="50"/>
      <c r="BV36" s="50"/>
      <c r="BW36" s="50"/>
      <c r="BX36" s="50"/>
      <c r="BY36" s="50"/>
      <c r="BZ36" s="50"/>
      <c r="CA36" s="50"/>
      <c r="CB36" s="50"/>
      <c r="CC36" s="825"/>
      <c r="CD36" s="50"/>
      <c r="CE36" s="50"/>
      <c r="CF36" s="50"/>
      <c r="CG36" s="164"/>
      <c r="CH36" s="50"/>
      <c r="CI36" s="50"/>
      <c r="CJ36" s="50"/>
      <c r="CK36" s="670"/>
      <c r="CL36" s="50"/>
      <c r="CM36" s="164"/>
      <c r="CN36" s="50"/>
      <c r="CO36" s="670"/>
      <c r="CP36" s="670"/>
      <c r="CQ36" s="670"/>
      <c r="CR36" s="670"/>
      <c r="CS36" s="164"/>
      <c r="CT36" s="50"/>
      <c r="CU36" s="670"/>
      <c r="CV36" s="670"/>
      <c r="CW36" s="670"/>
      <c r="CX36" s="670"/>
      <c r="CY36" s="164"/>
      <c r="CZ36" s="50"/>
      <c r="DA36" s="670"/>
      <c r="DB36" s="670"/>
      <c r="DC36" s="50"/>
      <c r="DD36" s="50"/>
      <c r="DE36" s="164"/>
      <c r="DF36" s="50"/>
      <c r="DG36" s="50"/>
      <c r="DH36" s="670"/>
      <c r="DI36" s="50"/>
      <c r="DJ36" s="50"/>
      <c r="DK36" s="164"/>
      <c r="DL36" s="50"/>
      <c r="DM36" s="50"/>
      <c r="DN36" s="50"/>
      <c r="DO36" s="50"/>
      <c r="DP36" s="50"/>
      <c r="DQ36" s="164"/>
      <c r="DR36" s="50"/>
      <c r="DS36" s="50"/>
      <c r="DT36" s="50"/>
      <c r="DU36" s="50"/>
      <c r="DV36" s="50"/>
      <c r="DW36" s="164"/>
      <c r="DX36" s="50"/>
      <c r="DY36" s="50"/>
      <c r="DZ36" s="50"/>
      <c r="EA36" s="50"/>
      <c r="EB36" s="50"/>
      <c r="EC36" s="164"/>
      <c r="ED36" s="50"/>
      <c r="EE36" s="50"/>
      <c r="EF36" s="50"/>
      <c r="EG36" s="50"/>
      <c r="EH36" s="50"/>
      <c r="EI36" s="164"/>
      <c r="EJ36" s="50"/>
      <c r="EK36" s="50"/>
      <c r="EL36" s="50"/>
      <c r="EM36" s="50"/>
      <c r="EN36" s="50"/>
      <c r="EO36" s="164"/>
      <c r="EP36" s="50"/>
      <c r="EQ36" s="50"/>
      <c r="ER36" s="50"/>
      <c r="ES36" s="50"/>
      <c r="ET36" s="50"/>
      <c r="EU36" s="164"/>
      <c r="EV36" s="50"/>
      <c r="EW36" s="50"/>
      <c r="EX36" s="50"/>
      <c r="EY36" s="50"/>
      <c r="EZ36" s="50"/>
      <c r="FA36" s="164"/>
      <c r="FB36" s="50"/>
      <c r="FC36" s="50"/>
      <c r="FD36" s="50"/>
      <c r="FE36" s="50"/>
      <c r="FF36" s="50"/>
      <c r="FG36" s="164"/>
      <c r="FH36" s="50"/>
      <c r="FI36" s="50"/>
      <c r="FJ36" s="50"/>
      <c r="FK36" s="50"/>
      <c r="FL36" s="50"/>
      <c r="FM36" s="164"/>
      <c r="FO36" s="614" t="s">
        <v>205</v>
      </c>
      <c r="FP36" s="614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</row>
    <row r="37" spans="1:274" s="24" customFormat="1" x14ac:dyDescent="0.2">
      <c r="A37" s="819" t="s">
        <v>29</v>
      </c>
      <c r="B37" s="29"/>
      <c r="C37" s="50" t="s">
        <v>945</v>
      </c>
      <c r="D37" s="50" t="s">
        <v>945</v>
      </c>
      <c r="E37" s="50" t="s">
        <v>945</v>
      </c>
      <c r="F37" s="50" t="s">
        <v>945</v>
      </c>
      <c r="G37" s="50" t="s">
        <v>945</v>
      </c>
      <c r="H37" s="52">
        <f t="shared" ref="H37:M37" si="64">H12/H$15</f>
        <v>0.51673004453580007</v>
      </c>
      <c r="I37" s="52">
        <f t="shared" si="64"/>
        <v>0.48660613930750007</v>
      </c>
      <c r="J37" s="52">
        <f t="shared" si="64"/>
        <v>0.38355502072573633</v>
      </c>
      <c r="K37" s="52">
        <f t="shared" si="64"/>
        <v>0.36387786259541988</v>
      </c>
      <c r="L37" s="52">
        <f t="shared" si="64"/>
        <v>0.36825016633399871</v>
      </c>
      <c r="M37" s="52">
        <f t="shared" si="64"/>
        <v>0.47106434459837287</v>
      </c>
      <c r="N37" s="50"/>
      <c r="O37" s="52">
        <f t="shared" ref="O37:S39" si="65">O12/O$15</f>
        <v>0.46727969321118323</v>
      </c>
      <c r="P37" s="52">
        <f t="shared" si="65"/>
        <v>0.4652906248135108</v>
      </c>
      <c r="Q37" s="52">
        <f t="shared" si="65"/>
        <v>0.46948750077882156</v>
      </c>
      <c r="R37" s="52">
        <f t="shared" si="65"/>
        <v>0.49630162327742294</v>
      </c>
      <c r="S37" s="52">
        <f t="shared" si="65"/>
        <v>0.47732464900814936</v>
      </c>
      <c r="T37" s="50"/>
      <c r="U37" s="52">
        <f t="shared" ref="U37:Y39" si="66">U12/U$15</f>
        <v>0.48651663701747727</v>
      </c>
      <c r="V37" s="52">
        <f t="shared" si="66"/>
        <v>0.46120087900723888</v>
      </c>
      <c r="W37" s="52">
        <f t="shared" si="66"/>
        <v>0.48664969678673331</v>
      </c>
      <c r="X37" s="52">
        <f t="shared" si="66"/>
        <v>0.51735977826257418</v>
      </c>
      <c r="Y37" s="52">
        <f t="shared" si="66"/>
        <v>0.49144476495554468</v>
      </c>
      <c r="Z37" s="50"/>
      <c r="AA37" s="52">
        <f t="shared" ref="AA37:AE39" si="67">AA12/AA$15</f>
        <v>0.51120715296407271</v>
      </c>
      <c r="AB37" s="52">
        <f t="shared" si="67"/>
        <v>0.50840302492120848</v>
      </c>
      <c r="AC37" s="52">
        <f t="shared" si="67"/>
        <v>0.50732726558760566</v>
      </c>
      <c r="AD37" s="52">
        <f t="shared" si="67"/>
        <v>0.56084939100045117</v>
      </c>
      <c r="AE37" s="52">
        <f t="shared" si="67"/>
        <v>0.52663582870541081</v>
      </c>
      <c r="AF37" s="51"/>
      <c r="AG37" s="52">
        <f t="shared" ref="AG37:AK39" si="68">AG12/AG$15</f>
        <v>0.53560198943914072</v>
      </c>
      <c r="AH37" s="52">
        <f t="shared" si="68"/>
        <v>0.53396020516481424</v>
      </c>
      <c r="AI37" s="52">
        <f t="shared" si="68"/>
        <v>0.56910079559367022</v>
      </c>
      <c r="AJ37" s="52">
        <f t="shared" si="68"/>
        <v>0.60454588976905377</v>
      </c>
      <c r="AK37" s="52">
        <f t="shared" si="68"/>
        <v>0.56671437660146151</v>
      </c>
      <c r="AL37" s="51"/>
      <c r="AM37" s="52">
        <f t="shared" ref="AM37:AQ39" si="69">AM12/AM$15</f>
        <v>0.5735065261761696</v>
      </c>
      <c r="AN37" s="52">
        <f t="shared" si="69"/>
        <v>0.54552069511620926</v>
      </c>
      <c r="AO37" s="52">
        <f t="shared" si="69"/>
        <v>0.56046168202720636</v>
      </c>
      <c r="AP37" s="52">
        <f t="shared" si="69"/>
        <v>0.59910344860390352</v>
      </c>
      <c r="AQ37" s="52">
        <f t="shared" si="69"/>
        <v>0.57245097341732165</v>
      </c>
      <c r="AR37" s="51"/>
      <c r="AS37" s="52">
        <f t="shared" ref="AS37:AW39" si="70">AS12/AS$15</f>
        <v>0.56651064213609659</v>
      </c>
      <c r="AT37" s="52">
        <f t="shared" si="70"/>
        <v>0.54347096731402922</v>
      </c>
      <c r="AU37" s="52">
        <f t="shared" si="70"/>
        <v>0.59201491946250095</v>
      </c>
      <c r="AV37" s="52">
        <f t="shared" si="70"/>
        <v>0.61559607742027256</v>
      </c>
      <c r="AW37" s="52">
        <f t="shared" si="70"/>
        <v>0.58374681938865924</v>
      </c>
      <c r="AX37" s="51"/>
      <c r="AY37" s="52">
        <f t="shared" ref="AY37:BC39" si="71">AY12/AY$15</f>
        <v>0.57497272717736769</v>
      </c>
      <c r="AZ37" s="52">
        <f t="shared" si="71"/>
        <v>0.57119767362217511</v>
      </c>
      <c r="BA37" s="52">
        <f t="shared" si="71"/>
        <v>0.57848298740904325</v>
      </c>
      <c r="BB37" s="52">
        <f t="shared" si="71"/>
        <v>0.58971530865623378</v>
      </c>
      <c r="BC37" s="52">
        <f t="shared" si="71"/>
        <v>0.5793364141607118</v>
      </c>
      <c r="BD37" s="51"/>
      <c r="BE37" s="52">
        <f t="shared" ref="BE37:BI39" si="72">BE12/BE$15</f>
        <v>0.55008642174251843</v>
      </c>
      <c r="BF37" s="52">
        <f t="shared" si="72"/>
        <v>0.53842718794910349</v>
      </c>
      <c r="BG37" s="52">
        <f t="shared" si="72"/>
        <v>0.55880966751282557</v>
      </c>
      <c r="BH37" s="52">
        <f t="shared" si="72"/>
        <v>0.54290242074477069</v>
      </c>
      <c r="BI37" s="52">
        <f t="shared" si="72"/>
        <v>0.54718900735289178</v>
      </c>
      <c r="BJ37" s="51"/>
      <c r="BK37" s="52">
        <f t="shared" ref="BK37:BO39" si="73">BK12/BK$15</f>
        <v>0.54536489151873768</v>
      </c>
      <c r="BL37" s="52">
        <f t="shared" si="73"/>
        <v>0.50108271979211783</v>
      </c>
      <c r="BM37" s="52">
        <f t="shared" si="73"/>
        <v>0.51582141309059382</v>
      </c>
      <c r="BN37" s="52">
        <f t="shared" si="73"/>
        <v>0.49127640036730946</v>
      </c>
      <c r="BO37" s="52">
        <f t="shared" si="73"/>
        <v>0.5112185237562531</v>
      </c>
      <c r="BP37" s="51"/>
      <c r="BQ37" s="52">
        <f t="shared" ref="BQ37:BS38" si="74">BQ12/BQ$15</f>
        <v>0.50289575289575295</v>
      </c>
      <c r="BR37" s="52">
        <f t="shared" si="74"/>
        <v>0.50040032025620496</v>
      </c>
      <c r="BS37" s="52">
        <f t="shared" si="74"/>
        <v>0.4846552411319251</v>
      </c>
      <c r="BT37" s="52">
        <f>BT12/BT$15</f>
        <v>0.4793630159246019</v>
      </c>
      <c r="BU37" s="52">
        <f>BU12/BU$15</f>
        <v>0.49064592359196535</v>
      </c>
      <c r="BV37" s="51"/>
      <c r="BW37" s="52">
        <f t="shared" ref="BW37:BY38" si="75">BW12/BW$15</f>
        <v>0.49255079006772007</v>
      </c>
      <c r="BX37" s="52">
        <f t="shared" si="75"/>
        <v>0.46879535558780844</v>
      </c>
      <c r="BY37" s="52">
        <f t="shared" si="75"/>
        <v>0.49233753637245392</v>
      </c>
      <c r="BZ37" s="52">
        <f>BZ12/BZ$15</f>
        <v>0.51373731196054251</v>
      </c>
      <c r="CA37" s="52">
        <f>CA12/CA$15</f>
        <v>0.49418308441290543</v>
      </c>
      <c r="CB37" s="51"/>
      <c r="CC37" s="52">
        <f t="shared" ref="CC37:CE38" si="76">CC12/CC$15</f>
        <v>0.5364293085655315</v>
      </c>
      <c r="CD37" s="52">
        <f t="shared" si="76"/>
        <v>0.52863877430760164</v>
      </c>
      <c r="CE37" s="52">
        <f t="shared" si="76"/>
        <v>0.53205636034404702</v>
      </c>
      <c r="CF37" s="52">
        <f>CF12/CF$15</f>
        <v>0.53433259064209038</v>
      </c>
      <c r="CG37" s="149">
        <f>CG12/CG$15</f>
        <v>0.53289242100132683</v>
      </c>
      <c r="CH37" s="51"/>
      <c r="CI37" s="52">
        <f t="shared" ref="CI37:CK38" si="77">CI12/CI$15</f>
        <v>0.54384048074296643</v>
      </c>
      <c r="CJ37" s="52">
        <f t="shared" si="77"/>
        <v>0.52099146110056926</v>
      </c>
      <c r="CK37" s="52">
        <f t="shared" si="77"/>
        <v>0.5242751180040458</v>
      </c>
      <c r="CL37" s="52">
        <f>CL12/CL$15</f>
        <v>0.51767805541390444</v>
      </c>
      <c r="CM37" s="149">
        <f>CM12/CM$15</f>
        <v>0.52531715085946507</v>
      </c>
      <c r="CN37" s="51"/>
      <c r="CO37" s="52">
        <f t="shared" ref="CO37:CQ38" si="78">CO12/CO$15</f>
        <v>0.52405834966252995</v>
      </c>
      <c r="CP37" s="52">
        <f t="shared" si="78"/>
        <v>0.50326249067859807</v>
      </c>
      <c r="CQ37" s="52">
        <f t="shared" si="78"/>
        <v>0.50605101470862035</v>
      </c>
      <c r="CR37" s="52">
        <f>CR12/CR$15</f>
        <v>0.49375085839857163</v>
      </c>
      <c r="CS37" s="149">
        <f>CS12/CS$15</f>
        <v>0.50508646998982709</v>
      </c>
      <c r="CT37" s="51"/>
      <c r="CU37" s="52">
        <f t="shared" ref="CU37:CW38" si="79">CU12/CU$15</f>
        <v>0.50396532644780523</v>
      </c>
      <c r="CV37" s="52">
        <f t="shared" si="79"/>
        <v>0.51767188324248281</v>
      </c>
      <c r="CW37" s="52">
        <f t="shared" si="79"/>
        <v>0.51707848837209303</v>
      </c>
      <c r="CX37" s="52">
        <f>CX12/CX$15</f>
        <v>0.50326987356488884</v>
      </c>
      <c r="CY37" s="149">
        <f>CY12/CY$15</f>
        <v>0.51015152804971486</v>
      </c>
      <c r="CZ37" s="51"/>
      <c r="DA37" s="52">
        <f t="shared" ref="DA37:DC38" si="80">DA12/DA$15</f>
        <v>0.52755283428797151</v>
      </c>
      <c r="DB37" s="52">
        <f t="shared" si="80"/>
        <v>0.50732288828337879</v>
      </c>
      <c r="DC37" s="52">
        <f t="shared" si="80"/>
        <v>0.50762049030822032</v>
      </c>
      <c r="DD37" s="52">
        <f>DD12/DD$15</f>
        <v>0.50732011213788808</v>
      </c>
      <c r="DE37" s="149">
        <f>DE12/DE$15</f>
        <v>0.51118163592918908</v>
      </c>
      <c r="DF37" s="51"/>
      <c r="DG37" s="52">
        <f t="shared" ref="DG37:DI38" si="81">DG12/DG$15</f>
        <v>0.52039456145027996</v>
      </c>
      <c r="DH37" s="52">
        <f t="shared" si="81"/>
        <v>0.51207729468599039</v>
      </c>
      <c r="DI37" s="52">
        <f t="shared" si="81"/>
        <v>0.51197910752810261</v>
      </c>
      <c r="DJ37" s="52">
        <f>DJ12/DJ$15</f>
        <v>0.50777345918933925</v>
      </c>
      <c r="DK37" s="149">
        <f>DK12/DK$15</f>
        <v>0.51251578025587752</v>
      </c>
      <c r="DL37" s="51"/>
      <c r="DM37" s="52">
        <f t="shared" ref="DM37:DO38" si="82">DM12/DM$15</f>
        <v>0.5032150512026673</v>
      </c>
      <c r="DN37" s="52">
        <f t="shared" si="82"/>
        <v>0.51435705368289641</v>
      </c>
      <c r="DO37" s="52">
        <f t="shared" si="82"/>
        <v>0.51940231943646509</v>
      </c>
      <c r="DP37" s="52">
        <f>DP12/DP$15</f>
        <v>0.52702427709798605</v>
      </c>
      <c r="DQ37" s="149">
        <f>DQ12/DQ$15</f>
        <v>0.51679810239990087</v>
      </c>
      <c r="DR37" s="51"/>
      <c r="DS37" s="52">
        <f t="shared" ref="DS37:DU38" si="83">DS12/DS$15</f>
        <v>0.52673894506029972</v>
      </c>
      <c r="DT37" s="52">
        <f t="shared" si="83"/>
        <v>0.52529353670580492</v>
      </c>
      <c r="DU37" s="52">
        <f t="shared" si="83"/>
        <v>0.52374581939799336</v>
      </c>
      <c r="DV37" s="52">
        <f>DV12/DV$15</f>
        <v>0.53927561353891074</v>
      </c>
      <c r="DW37" s="149">
        <f>DW12/DW$15</f>
        <v>0.52935334067055007</v>
      </c>
      <c r="DX37" s="51"/>
      <c r="DY37" s="52">
        <f>DY12/DY$15</f>
        <v>0.53895716501610791</v>
      </c>
      <c r="DZ37" s="52">
        <f>DZ12/DZ$15</f>
        <v>0.53808036195195519</v>
      </c>
      <c r="EA37" s="52">
        <f t="shared" ref="EA37:EC38" si="84">EA12/EA$15</f>
        <v>0.53172302737520127</v>
      </c>
      <c r="EB37" s="52">
        <f t="shared" si="84"/>
        <v>0.51712873035493556</v>
      </c>
      <c r="EC37" s="149">
        <f t="shared" si="84"/>
        <v>0.53053126223730585</v>
      </c>
      <c r="ED37" s="51"/>
      <c r="EE37" s="52">
        <f t="shared" ref="EE37:EI38" si="85">EE12/EE$15</f>
        <v>0.53727177578788232</v>
      </c>
      <c r="EF37" s="52">
        <f t="shared" si="85"/>
        <v>0.54340133222314735</v>
      </c>
      <c r="EG37" s="52">
        <f t="shared" si="85"/>
        <v>0.55003214056138849</v>
      </c>
      <c r="EH37" s="52">
        <f t="shared" si="85"/>
        <v>0.57253547423450335</v>
      </c>
      <c r="EI37" s="149">
        <f t="shared" si="85"/>
        <v>0.55179985883460125</v>
      </c>
      <c r="EJ37" s="51"/>
      <c r="EK37" s="52">
        <f t="shared" ref="EK37:EM38" si="86">EK12/EK$15</f>
        <v>0.55804046858359957</v>
      </c>
      <c r="EL37" s="52">
        <f t="shared" si="86"/>
        <v>0.55135615829257445</v>
      </c>
      <c r="EM37" s="52">
        <f t="shared" si="86"/>
        <v>0.54825826492123364</v>
      </c>
      <c r="EN37" s="52">
        <f>EN12/EN$15</f>
        <v>0.55181200453001134</v>
      </c>
      <c r="EO37" s="149">
        <f>EO12/EO$15</f>
        <v>0.55225733329735271</v>
      </c>
      <c r="EP37" s="51"/>
      <c r="EQ37" s="52">
        <f>EQ12/EQ$15</f>
        <v>0.55927086961569716</v>
      </c>
      <c r="ER37" s="52">
        <f t="shared" ref="ER37:ES37" si="87">ER12/ER$15</f>
        <v>0.54411463122589532</v>
      </c>
      <c r="ES37" s="52">
        <f t="shared" si="87"/>
        <v>0.56275609230105672</v>
      </c>
      <c r="ET37" s="52">
        <f>ET12/ET$15</f>
        <v>0.56191238247649533</v>
      </c>
      <c r="EU37" s="149">
        <f>EU12/EU$15</f>
        <v>0.55725911588159871</v>
      </c>
      <c r="EV37" s="51"/>
      <c r="EW37" s="52">
        <f>EW12/EW$15</f>
        <v>0.56935270805812421</v>
      </c>
      <c r="EX37" s="52">
        <f t="shared" ref="EX37:EY37" si="88">EX12/EX$15</f>
        <v>0.5585852823730747</v>
      </c>
      <c r="EY37" s="52">
        <f t="shared" si="88"/>
        <v>0.55197771587743738</v>
      </c>
      <c r="EZ37" s="55">
        <f t="shared" ref="EZ37:EZ38" si="89">ET37</f>
        <v>0.56191238247649533</v>
      </c>
      <c r="FA37" s="149">
        <f>FA12/FA$15</f>
        <v>0.56038953546358794</v>
      </c>
      <c r="FB37" s="51"/>
      <c r="FC37" s="55">
        <f t="shared" ref="FC37:FF38" si="90">EW37</f>
        <v>0.56935270805812421</v>
      </c>
      <c r="FD37" s="55">
        <f t="shared" si="90"/>
        <v>0.5585852823730747</v>
      </c>
      <c r="FE37" s="55">
        <f t="shared" si="90"/>
        <v>0.55197771587743738</v>
      </c>
      <c r="FF37" s="55">
        <f t="shared" si="90"/>
        <v>0.56191238247649533</v>
      </c>
      <c r="FG37" s="149">
        <f>FG12/FG$15</f>
        <v>0.56039095141735284</v>
      </c>
      <c r="FH37" s="51"/>
      <c r="FI37" s="55">
        <f t="shared" ref="FI37:FI38" si="91">FC37</f>
        <v>0.56935270805812421</v>
      </c>
      <c r="FJ37" s="55">
        <f t="shared" ref="FJ37:FJ38" si="92">FD37</f>
        <v>0.5585852823730747</v>
      </c>
      <c r="FK37" s="55">
        <f t="shared" ref="FK37:FK38" si="93">FE37</f>
        <v>0.55197771587743738</v>
      </c>
      <c r="FL37" s="55">
        <f t="shared" ref="FL37:FL38" si="94">FF37</f>
        <v>0.56191238247649533</v>
      </c>
      <c r="FM37" s="149">
        <f>FM12/FM$15</f>
        <v>0.56039875932908778</v>
      </c>
      <c r="FO37" s="158" t="str">
        <f>A37</f>
        <v>Americas</v>
      </c>
      <c r="FQ37" s="613">
        <f t="shared" ref="FQ37:FS39" si="95">(FQ12-FP12)/(FQ$15-FP$15)</f>
        <v>0.49275446662398864</v>
      </c>
      <c r="FR37" s="613">
        <f t="shared" si="95"/>
        <v>0.42136363636363638</v>
      </c>
      <c r="FS37" s="613">
        <f t="shared" si="95"/>
        <v>0.63954802259887</v>
      </c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</row>
    <row r="38" spans="1:274" s="24" customFormat="1" x14ac:dyDescent="0.2">
      <c r="A38" s="819" t="s">
        <v>702</v>
      </c>
      <c r="B38" s="29"/>
      <c r="C38" s="50" t="s">
        <v>945</v>
      </c>
      <c r="D38" s="50" t="s">
        <v>945</v>
      </c>
      <c r="E38" s="50" t="s">
        <v>945</v>
      </c>
      <c r="F38" s="50" t="s">
        <v>945</v>
      </c>
      <c r="G38" s="50" t="s">
        <v>945</v>
      </c>
      <c r="H38" s="52">
        <f t="shared" ref="H38:M39" si="96">H13/H$15</f>
        <v>0.33046933881466256</v>
      </c>
      <c r="I38" s="52">
        <f t="shared" si="96"/>
        <v>0.38292539202741188</v>
      </c>
      <c r="J38" s="52">
        <f t="shared" si="96"/>
        <v>0.49244660970534526</v>
      </c>
      <c r="K38" s="52">
        <f t="shared" si="96"/>
        <v>0.48234181509754032</v>
      </c>
      <c r="L38" s="52">
        <f t="shared" si="96"/>
        <v>0.45679906852960744</v>
      </c>
      <c r="M38" s="52">
        <f t="shared" si="96"/>
        <v>0.41632923518362219</v>
      </c>
      <c r="N38" s="50"/>
      <c r="O38" s="52">
        <f t="shared" si="65"/>
        <v>0.40919791400856104</v>
      </c>
      <c r="P38" s="52">
        <f t="shared" si="65"/>
        <v>0.40560959598973567</v>
      </c>
      <c r="Q38" s="52">
        <f t="shared" si="65"/>
        <v>0.39469155203566658</v>
      </c>
      <c r="R38" s="52">
        <f t="shared" si="65"/>
        <v>0.37407098486165841</v>
      </c>
      <c r="S38" s="52">
        <f t="shared" si="65"/>
        <v>0.39280449010710927</v>
      </c>
      <c r="T38" s="50"/>
      <c r="U38" s="52">
        <f t="shared" si="66"/>
        <v>0.36340231898554426</v>
      </c>
      <c r="V38" s="52">
        <f t="shared" si="66"/>
        <v>0.38798692864529472</v>
      </c>
      <c r="W38" s="52">
        <f t="shared" si="66"/>
        <v>0.36488607081281937</v>
      </c>
      <c r="X38" s="52">
        <f t="shared" si="66"/>
        <v>0.35030333166219746</v>
      </c>
      <c r="Y38" s="52">
        <f t="shared" si="66"/>
        <v>0.36484893145251041</v>
      </c>
      <c r="Z38" s="50"/>
      <c r="AA38" s="52">
        <f t="shared" si="67"/>
        <v>0.33662321026228742</v>
      </c>
      <c r="AB38" s="52">
        <f t="shared" si="67"/>
        <v>0.33300136574414757</v>
      </c>
      <c r="AC38" s="52">
        <f t="shared" si="67"/>
        <v>0.34679476298126277</v>
      </c>
      <c r="AD38" s="52">
        <f t="shared" si="67"/>
        <v>0.31530196388045156</v>
      </c>
      <c r="AE38" s="52">
        <f t="shared" si="67"/>
        <v>0.33093698190958448</v>
      </c>
      <c r="AF38" s="51"/>
      <c r="AG38" s="52">
        <f t="shared" si="68"/>
        <v>0.31001119205627004</v>
      </c>
      <c r="AH38" s="52">
        <f t="shared" si="68"/>
        <v>0.33536961332369114</v>
      </c>
      <c r="AI38" s="52">
        <f t="shared" si="68"/>
        <v>0.32997094507698893</v>
      </c>
      <c r="AJ38" s="52">
        <f t="shared" si="68"/>
        <v>0.31284452610989272</v>
      </c>
      <c r="AK38" s="52">
        <f t="shared" si="68"/>
        <v>0.32158222474808806</v>
      </c>
      <c r="AL38" s="51"/>
      <c r="AM38" s="52">
        <f t="shared" si="69"/>
        <v>0.32289164203509219</v>
      </c>
      <c r="AN38" s="52">
        <f t="shared" si="69"/>
        <v>0.34510618966275342</v>
      </c>
      <c r="AO38" s="52">
        <f t="shared" si="69"/>
        <v>0.33367084832509186</v>
      </c>
      <c r="AP38" s="52">
        <f t="shared" si="69"/>
        <v>0.30145572385619029</v>
      </c>
      <c r="AQ38" s="52">
        <f t="shared" si="69"/>
        <v>0.3234568357173897</v>
      </c>
      <c r="AR38" s="51"/>
      <c r="AS38" s="52">
        <f t="shared" si="70"/>
        <v>0.31127725285296121</v>
      </c>
      <c r="AT38" s="52">
        <f t="shared" si="70"/>
        <v>0.32547462555176127</v>
      </c>
      <c r="AU38" s="52">
        <f t="shared" si="70"/>
        <v>0.28878737724635001</v>
      </c>
      <c r="AV38" s="52">
        <f t="shared" si="70"/>
        <v>0.26741407873016998</v>
      </c>
      <c r="AW38" s="52">
        <f t="shared" si="70"/>
        <v>0.29448275480823144</v>
      </c>
      <c r="AX38" s="51"/>
      <c r="AY38" s="52">
        <f t="shared" si="71"/>
        <v>0.28162248819051816</v>
      </c>
      <c r="AZ38" s="52">
        <f t="shared" si="71"/>
        <v>0.28413442783076887</v>
      </c>
      <c r="BA38" s="52">
        <f t="shared" si="71"/>
        <v>0.29151518028888063</v>
      </c>
      <c r="BB38" s="52">
        <f t="shared" si="71"/>
        <v>0.28149247924917103</v>
      </c>
      <c r="BC38" s="52">
        <f t="shared" si="71"/>
        <v>0.28463248488325377</v>
      </c>
      <c r="BD38" s="51"/>
      <c r="BE38" s="52">
        <f t="shared" si="72"/>
        <v>0.29959449108299796</v>
      </c>
      <c r="BF38" s="52">
        <f t="shared" si="72"/>
        <v>0.31614405254161321</v>
      </c>
      <c r="BG38" s="52">
        <f t="shared" si="72"/>
        <v>0.31960973141852916</v>
      </c>
      <c r="BH38" s="52">
        <f t="shared" si="72"/>
        <v>0.32407359675498859</v>
      </c>
      <c r="BI38" s="52">
        <f t="shared" si="72"/>
        <v>0.31535007520578601</v>
      </c>
      <c r="BJ38" s="51"/>
      <c r="BK38" s="52">
        <f t="shared" si="73"/>
        <v>0.30917159763313612</v>
      </c>
      <c r="BL38" s="52">
        <f t="shared" si="73"/>
        <v>0.35426591598094415</v>
      </c>
      <c r="BM38" s="52">
        <f t="shared" si="73"/>
        <v>0.34070221066319895</v>
      </c>
      <c r="BN38" s="52">
        <f t="shared" si="73"/>
        <v>0.36165854347672527</v>
      </c>
      <c r="BO38" s="52">
        <f t="shared" si="73"/>
        <v>0.34352111784199085</v>
      </c>
      <c r="BP38" s="51"/>
      <c r="BQ38" s="52">
        <f t="shared" si="74"/>
        <v>0.34604247104247104</v>
      </c>
      <c r="BR38" s="52">
        <f t="shared" si="74"/>
        <v>0.35268214571657325</v>
      </c>
      <c r="BS38" s="52">
        <f t="shared" si="74"/>
        <v>0.36588282184137105</v>
      </c>
      <c r="BT38" s="52">
        <f>BT13/BT$15</f>
        <v>0.3773155671108222</v>
      </c>
      <c r="BU38" s="52">
        <f>BU13/BU$15</f>
        <v>0.36205198897203622</v>
      </c>
      <c r="BV38" s="51"/>
      <c r="BW38" s="52">
        <f t="shared" si="75"/>
        <v>0.3512415349887133</v>
      </c>
      <c r="BX38" s="52">
        <f t="shared" si="75"/>
        <v>0.38534107402031931</v>
      </c>
      <c r="BY38" s="52">
        <f t="shared" si="75"/>
        <v>0.36840607824118982</v>
      </c>
      <c r="BZ38" s="52">
        <f>BZ13/BZ$15</f>
        <v>0.3513496621454994</v>
      </c>
      <c r="CA38" s="52">
        <f>CA13/CA$15</f>
        <v>0.36341306048353822</v>
      </c>
      <c r="CB38" s="51"/>
      <c r="CC38" s="52">
        <f t="shared" si="76"/>
        <v>0.31570347437220503</v>
      </c>
      <c r="CD38" s="52">
        <f t="shared" si="76"/>
        <v>0.32866823806717738</v>
      </c>
      <c r="CE38" s="52">
        <f t="shared" si="76"/>
        <v>0.33577127659574468</v>
      </c>
      <c r="CF38" s="52">
        <f>CF13/CF$15</f>
        <v>0.32450881101883733</v>
      </c>
      <c r="CG38" s="149">
        <f>CG13/CG$15</f>
        <v>0.3264263085212965</v>
      </c>
      <c r="CH38" s="51"/>
      <c r="CI38" s="52">
        <f t="shared" si="77"/>
        <v>0.31808249112264408</v>
      </c>
      <c r="CJ38" s="52">
        <f t="shared" si="77"/>
        <v>0.34168643263757115</v>
      </c>
      <c r="CK38" s="52">
        <f t="shared" si="77"/>
        <v>0.33631153068105191</v>
      </c>
      <c r="CL38" s="52">
        <f>CL13/CL$15</f>
        <v>0.34187489376168623</v>
      </c>
      <c r="CM38" s="149">
        <f>CM13/CM$15</f>
        <v>0.33568839584820692</v>
      </c>
      <c r="CN38" s="51"/>
      <c r="CO38" s="52">
        <f t="shared" si="78"/>
        <v>0.33799259743087307</v>
      </c>
      <c r="CP38" s="52">
        <f t="shared" si="78"/>
        <v>0.35101603281133481</v>
      </c>
      <c r="CQ38" s="52">
        <f t="shared" si="78"/>
        <v>0.34978588717184883</v>
      </c>
      <c r="CR38" s="52">
        <f>CR13/CR$15</f>
        <v>0.36996291718170576</v>
      </c>
      <c r="CS38" s="149">
        <f>CS13/CS$15</f>
        <v>0.35417975142642311</v>
      </c>
      <c r="CT38" s="51"/>
      <c r="CU38" s="52">
        <f t="shared" si="79"/>
        <v>0.34338804869052009</v>
      </c>
      <c r="CV38" s="52">
        <f t="shared" si="79"/>
        <v>0.33567786179004749</v>
      </c>
      <c r="CW38" s="52">
        <f t="shared" si="79"/>
        <v>0.33139534883720928</v>
      </c>
      <c r="CX38" s="52">
        <f>CX13/CX$15</f>
        <v>0.35067577387007703</v>
      </c>
      <c r="CY38" s="149">
        <f>CY13/CY$15</f>
        <v>0.34084659913169324</v>
      </c>
      <c r="CZ38" s="51"/>
      <c r="DA38" s="52">
        <f t="shared" si="80"/>
        <v>0.32431364803476198</v>
      </c>
      <c r="DB38" s="52">
        <f t="shared" si="80"/>
        <v>0.33651226158038144</v>
      </c>
      <c r="DC38" s="52">
        <f t="shared" si="80"/>
        <v>0.33496151111385913</v>
      </c>
      <c r="DD38" s="52">
        <f>DD13/DD$15</f>
        <v>0.32738033433703667</v>
      </c>
      <c r="DE38" s="149">
        <f>DE13/DE$15</f>
        <v>0.33060357901122228</v>
      </c>
      <c r="DF38" s="51"/>
      <c r="DG38" s="52">
        <f t="shared" si="81"/>
        <v>0.31738203145827781</v>
      </c>
      <c r="DH38" s="52">
        <f t="shared" si="81"/>
        <v>0.31492983666896712</v>
      </c>
      <c r="DI38" s="52">
        <f t="shared" si="81"/>
        <v>0.3196321108209379</v>
      </c>
      <c r="DJ38" s="52">
        <f>DJ13/DJ$15</f>
        <v>0.32981676846196556</v>
      </c>
      <c r="DK38" s="149">
        <f>DK13/DK$15</f>
        <v>0.32108357305210783</v>
      </c>
      <c r="DL38" s="51"/>
      <c r="DM38" s="52">
        <f t="shared" si="82"/>
        <v>0.32198142414860681</v>
      </c>
      <c r="DN38" s="52">
        <f t="shared" si="82"/>
        <v>0.31279082964476224</v>
      </c>
      <c r="DO38" s="52">
        <f t="shared" si="82"/>
        <v>0.30753649124058385</v>
      </c>
      <c r="DP38" s="52">
        <f>DP13/DP$15</f>
        <v>0.30264398792284281</v>
      </c>
      <c r="DQ38" s="149">
        <f>DQ13/DQ$15</f>
        <v>0.31060006559811049</v>
      </c>
      <c r="DR38" s="51"/>
      <c r="DS38" s="52">
        <f t="shared" si="83"/>
        <v>0.29029114386648802</v>
      </c>
      <c r="DT38" s="52">
        <f t="shared" si="83"/>
        <v>0.29638977285196971</v>
      </c>
      <c r="DU38" s="52">
        <f t="shared" si="83"/>
        <v>0.30602006688963213</v>
      </c>
      <c r="DV38" s="52">
        <f>DV13/DV$15</f>
        <v>0.3036219323054466</v>
      </c>
      <c r="DW38" s="149">
        <f>DW13/DW$15</f>
        <v>0.29949265830939792</v>
      </c>
      <c r="DX38" s="51"/>
      <c r="DY38" s="52">
        <f>DY13/DY$15</f>
        <v>0.29101539195800025</v>
      </c>
      <c r="DZ38" s="52">
        <f>DZ13/DZ$15</f>
        <v>0.30345793385758912</v>
      </c>
      <c r="EA38" s="52">
        <f t="shared" si="84"/>
        <v>0.31379495437466454</v>
      </c>
      <c r="EB38" s="52">
        <f t="shared" si="84"/>
        <v>0.33268585555359348</v>
      </c>
      <c r="EC38" s="149">
        <f t="shared" si="84"/>
        <v>0.31189139798981858</v>
      </c>
      <c r="ED38" s="51"/>
      <c r="EE38" s="52">
        <f t="shared" si="85"/>
        <v>0.30108152110710545</v>
      </c>
      <c r="EF38" s="52">
        <f t="shared" si="85"/>
        <v>0.3029766860949209</v>
      </c>
      <c r="EG38" s="52">
        <f t="shared" si="85"/>
        <v>0.30137133061924148</v>
      </c>
      <c r="EH38" s="52">
        <f t="shared" si="85"/>
        <v>0.28631441374159822</v>
      </c>
      <c r="EI38" s="149">
        <f t="shared" si="85"/>
        <v>0.29749300708441168</v>
      </c>
      <c r="EJ38" s="51"/>
      <c r="EK38" s="52">
        <f t="shared" si="86"/>
        <v>0.29061649508933857</v>
      </c>
      <c r="EL38" s="52">
        <f t="shared" si="86"/>
        <v>0.29401956425077813</v>
      </c>
      <c r="EM38" s="52">
        <f t="shared" si="86"/>
        <v>0.29520745506989127</v>
      </c>
      <c r="EN38" s="52">
        <f>EN13/EN$15</f>
        <v>0.29445073612684031</v>
      </c>
      <c r="EO38" s="149">
        <f>EO13/EO$15</f>
        <v>0.29365571956715331</v>
      </c>
      <c r="EP38" s="51"/>
      <c r="EQ38" s="52">
        <f>EQ13/EQ$15</f>
        <v>0.28015790084755604</v>
      </c>
      <c r="ER38" s="52">
        <f t="shared" ref="ER38:ES38" si="97">ER13/ER$15</f>
        <v>0.28203550692519558</v>
      </c>
      <c r="ES38" s="52">
        <f t="shared" si="97"/>
        <v>0.27582488678024586</v>
      </c>
      <c r="ET38" s="52">
        <f>ET13/ET$15</f>
        <v>0.28415683136627323</v>
      </c>
      <c r="EU38" s="149">
        <f>EU13/EU$15</f>
        <v>0.28070139971202523</v>
      </c>
      <c r="EV38" s="51"/>
      <c r="EW38" s="52">
        <f>EW13/EW$15</f>
        <v>0.27500900684520235</v>
      </c>
      <c r="EX38" s="52">
        <f t="shared" ref="EX38:EY38" si="98">EX13/EX$15</f>
        <v>0.28876212207644036</v>
      </c>
      <c r="EY38" s="52">
        <f t="shared" si="98"/>
        <v>0.29370473537604458</v>
      </c>
      <c r="EZ38" s="55">
        <f t="shared" si="89"/>
        <v>0.28415683136627323</v>
      </c>
      <c r="FA38" s="149">
        <f>FA13/FA$15</f>
        <v>0.28549877115005329</v>
      </c>
      <c r="FB38" s="51"/>
      <c r="FC38" s="55">
        <f t="shared" si="90"/>
        <v>0.27500900684520235</v>
      </c>
      <c r="FD38" s="55">
        <f t="shared" si="90"/>
        <v>0.28876212207644036</v>
      </c>
      <c r="FE38" s="55">
        <f t="shared" si="90"/>
        <v>0.29370473537604458</v>
      </c>
      <c r="FF38" s="55">
        <f t="shared" si="90"/>
        <v>0.28415683136627323</v>
      </c>
      <c r="FG38" s="149">
        <f>FG13/FG$15</f>
        <v>0.28549667323557942</v>
      </c>
      <c r="FH38" s="51"/>
      <c r="FI38" s="55">
        <f t="shared" si="91"/>
        <v>0.27500900684520235</v>
      </c>
      <c r="FJ38" s="55">
        <f t="shared" si="92"/>
        <v>0.28876212207644036</v>
      </c>
      <c r="FK38" s="55">
        <f t="shared" si="93"/>
        <v>0.29370473537604458</v>
      </c>
      <c r="FL38" s="55">
        <f t="shared" si="94"/>
        <v>0.28415683136627323</v>
      </c>
      <c r="FM38" s="149">
        <f>FM13/FM$15</f>
        <v>0.28548673461843088</v>
      </c>
      <c r="FO38" s="158" t="str">
        <f>A38</f>
        <v>EMEA</v>
      </c>
      <c r="FQ38" s="613">
        <f t="shared" si="95"/>
        <v>0.37550194960135008</v>
      </c>
      <c r="FR38" s="613">
        <f t="shared" si="95"/>
        <v>0.43070454545454534</v>
      </c>
      <c r="FS38" s="613">
        <f t="shared" si="95"/>
        <v>2.259887005657939E-4</v>
      </c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</row>
    <row r="39" spans="1:274" s="24" customFormat="1" x14ac:dyDescent="0.2">
      <c r="A39" s="819" t="s">
        <v>1017</v>
      </c>
      <c r="B39" s="29"/>
      <c r="C39" s="50" t="s">
        <v>945</v>
      </c>
      <c r="D39" s="50" t="s">
        <v>945</v>
      </c>
      <c r="E39" s="50" t="s">
        <v>945</v>
      </c>
      <c r="F39" s="50" t="s">
        <v>945</v>
      </c>
      <c r="G39" s="50" t="s">
        <v>945</v>
      </c>
      <c r="H39" s="52">
        <f t="shared" si="96"/>
        <v>0.1528006166495374</v>
      </c>
      <c r="I39" s="52">
        <f t="shared" si="96"/>
        <v>0.13046846866508802</v>
      </c>
      <c r="J39" s="52">
        <f t="shared" si="96"/>
        <v>0.12399836956891841</v>
      </c>
      <c r="K39" s="52">
        <f t="shared" si="96"/>
        <v>0.15378032230703978</v>
      </c>
      <c r="L39" s="52">
        <f t="shared" si="96"/>
        <v>0.1749507651363939</v>
      </c>
      <c r="M39" s="52">
        <f t="shared" si="96"/>
        <v>0.11260642021800492</v>
      </c>
      <c r="N39" s="50"/>
      <c r="O39" s="52">
        <f t="shared" si="65"/>
        <v>0.12352239278025576</v>
      </c>
      <c r="P39" s="52">
        <f t="shared" si="65"/>
        <v>0.12909977919675353</v>
      </c>
      <c r="Q39" s="52">
        <f t="shared" si="65"/>
        <v>0.13582094718551185</v>
      </c>
      <c r="R39" s="52">
        <f t="shared" si="65"/>
        <v>0.12962739186091857</v>
      </c>
      <c r="S39" s="52">
        <f t="shared" si="65"/>
        <v>0.12987086088474145</v>
      </c>
      <c r="T39" s="50"/>
      <c r="U39" s="52">
        <f t="shared" si="66"/>
        <v>0.15008104399697847</v>
      </c>
      <c r="V39" s="52">
        <f t="shared" si="66"/>
        <v>0.15081219234746635</v>
      </c>
      <c r="W39" s="52">
        <f t="shared" si="66"/>
        <v>0.14846423240044734</v>
      </c>
      <c r="X39" s="52">
        <f t="shared" si="66"/>
        <v>0.13233689007522836</v>
      </c>
      <c r="Y39" s="52">
        <f t="shared" si="66"/>
        <v>0.14370630359194486</v>
      </c>
      <c r="Z39" s="50"/>
      <c r="AA39" s="52">
        <f t="shared" si="67"/>
        <v>0.1521696367736399</v>
      </c>
      <c r="AB39" s="52">
        <f t="shared" si="67"/>
        <v>0.15859560933464392</v>
      </c>
      <c r="AC39" s="52">
        <f t="shared" si="67"/>
        <v>0.1458779714311316</v>
      </c>
      <c r="AD39" s="52">
        <f t="shared" si="67"/>
        <v>0.12384864511909723</v>
      </c>
      <c r="AE39" s="52">
        <f t="shared" si="67"/>
        <v>0.1424271893850047</v>
      </c>
      <c r="AF39" s="51"/>
      <c r="AG39" s="52">
        <f t="shared" si="68"/>
        <v>0.1543868185045893</v>
      </c>
      <c r="AH39" s="52">
        <f t="shared" si="68"/>
        <v>0.13067018151149468</v>
      </c>
      <c r="AI39" s="52">
        <f t="shared" si="68"/>
        <v>0.1009282593293408</v>
      </c>
      <c r="AJ39" s="52">
        <f t="shared" si="68"/>
        <v>8.2609584121053445E-2</v>
      </c>
      <c r="AK39" s="52">
        <f t="shared" si="68"/>
        <v>0.11170339865045037</v>
      </c>
      <c r="AL39" s="51"/>
      <c r="AM39" s="52">
        <f t="shared" si="69"/>
        <v>0.10360183178873822</v>
      </c>
      <c r="AN39" s="52">
        <f t="shared" si="69"/>
        <v>0.10937311522103735</v>
      </c>
      <c r="AO39" s="52">
        <f t="shared" si="69"/>
        <v>0.10586746964770176</v>
      </c>
      <c r="AP39" s="52">
        <f t="shared" si="69"/>
        <v>9.9440827539906115E-2</v>
      </c>
      <c r="AQ39" s="52">
        <f t="shared" si="69"/>
        <v>0.10409219086528856</v>
      </c>
      <c r="AR39" s="51"/>
      <c r="AS39" s="52">
        <f t="shared" si="70"/>
        <v>0.12221210501094222</v>
      </c>
      <c r="AT39" s="52">
        <f t="shared" si="70"/>
        <v>0.13105440713420952</v>
      </c>
      <c r="AU39" s="52">
        <f t="shared" si="70"/>
        <v>0.11919770329114901</v>
      </c>
      <c r="AV39" s="52">
        <f t="shared" si="70"/>
        <v>0.1169898438495575</v>
      </c>
      <c r="AW39" s="52">
        <f t="shared" si="70"/>
        <v>0.12177042580310926</v>
      </c>
      <c r="AX39" s="51"/>
      <c r="AY39" s="52">
        <f t="shared" si="71"/>
        <v>0.1434047846321142</v>
      </c>
      <c r="AZ39" s="52">
        <f t="shared" si="71"/>
        <v>0.14466789854705608</v>
      </c>
      <c r="BA39" s="52">
        <f t="shared" si="71"/>
        <v>0.13000183230207613</v>
      </c>
      <c r="BB39" s="52">
        <f t="shared" si="71"/>
        <v>0.12879221209459524</v>
      </c>
      <c r="BC39" s="52">
        <f t="shared" si="71"/>
        <v>0.13603110095603455</v>
      </c>
      <c r="BD39" s="51"/>
      <c r="BE39" s="52">
        <f t="shared" si="72"/>
        <v>0.15031908717448353</v>
      </c>
      <c r="BF39" s="52">
        <f t="shared" si="72"/>
        <v>0.14542875950928333</v>
      </c>
      <c r="BG39" s="52">
        <f t="shared" si="72"/>
        <v>0.12158060106864531</v>
      </c>
      <c r="BH39" s="52">
        <f t="shared" si="72"/>
        <v>0.1330239825002407</v>
      </c>
      <c r="BI39" s="52">
        <f t="shared" si="72"/>
        <v>0.13746091744132224</v>
      </c>
      <c r="BJ39" s="51"/>
      <c r="BK39" s="52">
        <f t="shared" si="73"/>
        <v>0.14546351084812623</v>
      </c>
      <c r="BL39" s="52">
        <f t="shared" si="73"/>
        <v>0.14465136422693806</v>
      </c>
      <c r="BM39" s="52">
        <f t="shared" si="73"/>
        <v>0.14347637624620718</v>
      </c>
      <c r="BN39" s="52">
        <f t="shared" si="73"/>
        <v>0.14706505615596527</v>
      </c>
      <c r="BO39" s="52">
        <f t="shared" si="73"/>
        <v>0.14526035840175613</v>
      </c>
      <c r="BP39" s="51"/>
      <c r="BQ39" s="52">
        <f>BQ14/BQ$15</f>
        <v>0.15106177606177607</v>
      </c>
      <c r="BR39" s="52">
        <f>1-BR37-BR38</f>
        <v>0.1469175340272218</v>
      </c>
      <c r="BS39" s="52">
        <f>1-BS37-BS38</f>
        <v>0.14946193702670379</v>
      </c>
      <c r="BT39" s="52">
        <f>1-BT37-BT38</f>
        <v>0.14332141696457595</v>
      </c>
      <c r="BU39" s="52">
        <f>1-BU37-BU38</f>
        <v>0.14730208743599843</v>
      </c>
      <c r="BV39" s="51"/>
      <c r="BW39" s="52">
        <f>1-BW37-BW38</f>
        <v>0.15620767494356663</v>
      </c>
      <c r="BX39" s="52">
        <f>1-BX37-BX38</f>
        <v>0.14586357039187231</v>
      </c>
      <c r="BY39" s="52">
        <f>1-BY37-BY38</f>
        <v>0.13925638538635626</v>
      </c>
      <c r="BZ39" s="52">
        <f>1-BZ37-BZ38</f>
        <v>0.13491302589395809</v>
      </c>
      <c r="CA39" s="52">
        <f>1-CA37-CA38</f>
        <v>0.14240385510355641</v>
      </c>
      <c r="CB39" s="51"/>
      <c r="CC39" s="52">
        <f>1-CC37-CC38</f>
        <v>0.14786721706226347</v>
      </c>
      <c r="CD39" s="52">
        <f>1-CD37-CD38</f>
        <v>0.14269298762522098</v>
      </c>
      <c r="CE39" s="52">
        <f>1-CE37-CE38</f>
        <v>0.1321723630602083</v>
      </c>
      <c r="CF39" s="52">
        <f>1-CF37-CF38</f>
        <v>0.14115859833907229</v>
      </c>
      <c r="CG39" s="149">
        <f>1-CG37-CG38</f>
        <v>0.14068127047737666</v>
      </c>
      <c r="CH39" s="51"/>
      <c r="CI39" s="52">
        <f>1-CI37-CI38</f>
        <v>0.13807702813438949</v>
      </c>
      <c r="CJ39" s="52">
        <f>1-CJ37-CJ38</f>
        <v>0.13732210626185959</v>
      </c>
      <c r="CK39" s="52">
        <f>1-CK37-CK38</f>
        <v>0.13941335131490229</v>
      </c>
      <c r="CL39" s="52">
        <f>1-CL37-CL38</f>
        <v>0.14044705082440934</v>
      </c>
      <c r="CM39" s="149">
        <f>1-CM37-CM38</f>
        <v>0.13899445329232801</v>
      </c>
      <c r="CN39" s="51"/>
      <c r="CO39" s="52">
        <f>1-CO37-CO38</f>
        <v>0.13794905290659698</v>
      </c>
      <c r="CP39" s="52">
        <f>1-CP37-CP38</f>
        <v>0.14572147651006712</v>
      </c>
      <c r="CQ39" s="52">
        <f>1-CQ37-CQ38</f>
        <v>0.14416309811953082</v>
      </c>
      <c r="CR39" s="52">
        <f>1-CR37-CR38</f>
        <v>0.13628622441972255</v>
      </c>
      <c r="CS39" s="149">
        <f>1-CS37-CS38</f>
        <v>0.1407337785837498</v>
      </c>
      <c r="CT39" s="51"/>
      <c r="CU39" s="52">
        <f>1-CU37-CU38</f>
        <v>0.15264662486167468</v>
      </c>
      <c r="CV39" s="52">
        <f>1-CV37-CV38</f>
        <v>0.1466502549674697</v>
      </c>
      <c r="CW39" s="52">
        <f>1-CW37-CW38</f>
        <v>0.15152616279069769</v>
      </c>
      <c r="CX39" s="52">
        <f>1-CX37-CX38</f>
        <v>0.14605435256503413</v>
      </c>
      <c r="CY39" s="149">
        <f>1-CY37-CY38</f>
        <v>0.1490018728185919</v>
      </c>
      <c r="CZ39" s="51"/>
      <c r="DA39" s="52">
        <f>1-DA37-DA38</f>
        <v>0.14813351767726651</v>
      </c>
      <c r="DB39" s="52">
        <f>1-DB37-DB38</f>
        <v>0.15616485013623976</v>
      </c>
      <c r="DC39" s="52">
        <f>1-DC37-DC38</f>
        <v>0.15741799857792055</v>
      </c>
      <c r="DD39" s="52">
        <f>1-DD37-DD38</f>
        <v>0.16529955352507525</v>
      </c>
      <c r="DE39" s="149">
        <f>1-DE37-DE38</f>
        <v>0.15821478505958864</v>
      </c>
      <c r="DF39" s="51"/>
      <c r="DG39" s="52">
        <f>1-DG37-DG38</f>
        <v>0.16222340709144223</v>
      </c>
      <c r="DH39" s="52">
        <f>1-DH37-DH38</f>
        <v>0.17299286864504249</v>
      </c>
      <c r="DI39" s="52">
        <f>1-DI37-DI38</f>
        <v>0.1683887816509595</v>
      </c>
      <c r="DJ39" s="52">
        <f>1-DJ37-DJ38</f>
        <v>0.16240977234869519</v>
      </c>
      <c r="DK39" s="149">
        <f>1-DK37-DK38</f>
        <v>0.16640064669201465</v>
      </c>
      <c r="DL39" s="51"/>
      <c r="DM39" s="52">
        <f>1-DM37-DM38</f>
        <v>0.17480352464872589</v>
      </c>
      <c r="DN39" s="52">
        <f>1-DN37-DN38</f>
        <v>0.17285211667234135</v>
      </c>
      <c r="DO39" s="52">
        <f>1-DO37-DO38</f>
        <v>0.17306118932295106</v>
      </c>
      <c r="DP39" s="52">
        <f>1-DP37-DP38</f>
        <v>0.17033173497917115</v>
      </c>
      <c r="DQ39" s="149">
        <f>1-DQ37-DQ38</f>
        <v>0.17260183200198864</v>
      </c>
      <c r="DR39" s="51"/>
      <c r="DS39" s="52">
        <f>1-DS37-DS38</f>
        <v>0.18296991107321225</v>
      </c>
      <c r="DT39" s="52">
        <f>1-DT37-DT38</f>
        <v>0.17831669044222537</v>
      </c>
      <c r="DU39" s="52">
        <f>1-DU37-DU38</f>
        <v>0.17023411371237451</v>
      </c>
      <c r="DV39" s="52">
        <f>1-DV37-DV38</f>
        <v>0.15710245415564267</v>
      </c>
      <c r="DW39" s="149">
        <f>1-DW37-DW38</f>
        <v>0.17115400102005202</v>
      </c>
      <c r="DX39" s="51"/>
      <c r="DY39" s="52">
        <f>1-DY37-DY38</f>
        <v>0.17002744302589184</v>
      </c>
      <c r="DZ39" s="52">
        <f>1-DZ37-DZ38</f>
        <v>0.15846170419045569</v>
      </c>
      <c r="EA39" s="52">
        <f>1-EA37-EA38</f>
        <v>0.15448201825013419</v>
      </c>
      <c r="EB39" s="52">
        <f>1-EB37-EB38</f>
        <v>0.15018541409147096</v>
      </c>
      <c r="EC39" s="149">
        <f>1-EC37-EC38</f>
        <v>0.15757733977287558</v>
      </c>
      <c r="ED39" s="51"/>
      <c r="EE39" s="52">
        <f>1-EE37-EE38</f>
        <v>0.16164670310501222</v>
      </c>
      <c r="EF39" s="52">
        <f>1-EF37-EF38</f>
        <v>0.15362198168193175</v>
      </c>
      <c r="EG39" s="52">
        <f>1-EG37-EG38</f>
        <v>0.14859652881937002</v>
      </c>
      <c r="EH39" s="52">
        <f>1-EH37-EH38</f>
        <v>0.14115011202389843</v>
      </c>
      <c r="EI39" s="149">
        <f>1-EI37-EI38</f>
        <v>0.15070713408098707</v>
      </c>
      <c r="EJ39" s="51"/>
      <c r="EK39" s="52">
        <f>1-EK37-EK38</f>
        <v>0.15134303632706186</v>
      </c>
      <c r="EL39" s="52">
        <f>1-EL37-EL38</f>
        <v>0.15462427745664742</v>
      </c>
      <c r="EM39" s="52">
        <f>1-EM37-EM38</f>
        <v>0.15653428000887509</v>
      </c>
      <c r="EN39" s="52">
        <f>1-EN37-EN38</f>
        <v>0.15373725934314836</v>
      </c>
      <c r="EO39" s="149">
        <f>1-EO37-EO38</f>
        <v>0.15408694713549398</v>
      </c>
      <c r="EP39" s="51"/>
      <c r="EQ39" s="52">
        <f>1-EQ37-EQ38</f>
        <v>0.1605712295367468</v>
      </c>
      <c r="ER39" s="52">
        <f>1-ER37-ER38</f>
        <v>0.1738498618489091</v>
      </c>
      <c r="ES39" s="52">
        <f>1-ES37-ES38</f>
        <v>0.16141902091869742</v>
      </c>
      <c r="ET39" s="52">
        <f>1-ET37-ET38</f>
        <v>0.15393078615723144</v>
      </c>
      <c r="EU39" s="149">
        <f>1-EU37-EU38</f>
        <v>0.16203948440637606</v>
      </c>
      <c r="EV39" s="51"/>
      <c r="EW39" s="52">
        <f>1-EW37-EW38</f>
        <v>0.15563828509667343</v>
      </c>
      <c r="EX39" s="52">
        <f>1-EX37-EX38</f>
        <v>0.15265259555048494</v>
      </c>
      <c r="EY39" s="52">
        <f>1-EY37-EY38</f>
        <v>0.15431754874651804</v>
      </c>
      <c r="EZ39" s="52">
        <f>1-EZ37-EZ38</f>
        <v>0.15393078615723144</v>
      </c>
      <c r="FA39" s="149">
        <f>1-FA37-FA38</f>
        <v>0.15411169338635877</v>
      </c>
      <c r="FB39" s="51"/>
      <c r="FC39" s="52">
        <f>1-FC37-FC38</f>
        <v>0.15563828509667343</v>
      </c>
      <c r="FD39" s="52">
        <f>1-FD37-FD38</f>
        <v>0.15265259555048494</v>
      </c>
      <c r="FE39" s="52">
        <f>1-FE37-FE38</f>
        <v>0.15431754874651804</v>
      </c>
      <c r="FF39" s="52">
        <f>1-FF37-FF38</f>
        <v>0.15393078615723144</v>
      </c>
      <c r="FG39" s="149">
        <f>1-FG37-FG38</f>
        <v>0.15411237534706773</v>
      </c>
      <c r="FH39" s="51"/>
      <c r="FI39" s="52">
        <f>1-FI37-FI38</f>
        <v>0.15563828509667343</v>
      </c>
      <c r="FJ39" s="52">
        <f>1-FJ37-FJ38</f>
        <v>0.15265259555048494</v>
      </c>
      <c r="FK39" s="52">
        <f>1-FK37-FK38</f>
        <v>0.15431754874651804</v>
      </c>
      <c r="FL39" s="52">
        <f>1-FL37-FL38</f>
        <v>0.15393078615723144</v>
      </c>
      <c r="FM39" s="149">
        <f>1-FM37-FM38</f>
        <v>0.15411450605248134</v>
      </c>
      <c r="FO39" s="158" t="str">
        <f>A39</f>
        <v>Asia Pacific</v>
      </c>
      <c r="FQ39" s="613">
        <f t="shared" si="95"/>
        <v>0.131743583774661</v>
      </c>
      <c r="FR39" s="613">
        <f t="shared" si="95"/>
        <v>0.1479318181818183</v>
      </c>
      <c r="FS39" s="613">
        <f t="shared" si="95"/>
        <v>0.27999999999999969</v>
      </c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</row>
    <row r="40" spans="1:274" s="24" customFormat="1" ht="5.25" customHeight="1" x14ac:dyDescent="0.2">
      <c r="A40" s="819"/>
      <c r="B40" s="29"/>
      <c r="C40" s="50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  <c r="AX40" s="28"/>
      <c r="AY40" s="28"/>
      <c r="AZ40" s="28"/>
      <c r="BA40" s="28"/>
      <c r="BB40" s="28"/>
      <c r="BC40" s="28"/>
      <c r="BD40" s="28"/>
      <c r="BE40" s="28"/>
      <c r="BF40" s="28"/>
      <c r="BG40" s="28"/>
      <c r="BH40" s="28"/>
      <c r="BI40" s="28"/>
      <c r="BJ40" s="28"/>
      <c r="BK40" s="28"/>
      <c r="BL40" s="28"/>
      <c r="BM40" s="28"/>
      <c r="BN40" s="28"/>
      <c r="BO40" s="28"/>
      <c r="BP40" s="28"/>
      <c r="BQ40" s="28"/>
      <c r="BR40" s="28"/>
      <c r="BS40" s="28"/>
      <c r="BT40" s="28"/>
      <c r="BU40" s="28"/>
      <c r="BV40" s="28"/>
      <c r="BW40" s="28"/>
      <c r="BX40" s="28"/>
      <c r="BY40" s="28"/>
      <c r="BZ40" s="28"/>
      <c r="CA40" s="28"/>
      <c r="CB40" s="28"/>
      <c r="CC40" s="28"/>
      <c r="CD40" s="28"/>
      <c r="CE40" s="28"/>
      <c r="CF40" s="28"/>
      <c r="CG40" s="416"/>
      <c r="CH40" s="28"/>
      <c r="CI40" s="28"/>
      <c r="CJ40" s="28"/>
      <c r="CK40" s="28"/>
      <c r="CL40" s="28"/>
      <c r="CM40" s="416"/>
      <c r="CN40" s="28"/>
      <c r="CO40" s="28"/>
      <c r="CP40" s="28"/>
      <c r="CQ40" s="28"/>
      <c r="CR40" s="28"/>
      <c r="CS40" s="416"/>
      <c r="CT40" s="28"/>
      <c r="CU40" s="28"/>
      <c r="CV40" s="28"/>
      <c r="CW40" s="28"/>
      <c r="CX40" s="28"/>
      <c r="CY40" s="416"/>
      <c r="CZ40" s="28"/>
      <c r="DA40" s="28"/>
      <c r="DB40" s="28"/>
      <c r="DC40" s="28"/>
      <c r="DD40" s="28"/>
      <c r="DE40" s="416"/>
      <c r="DF40" s="28"/>
      <c r="DG40" s="28"/>
      <c r="DH40" s="28"/>
      <c r="DI40" s="28"/>
      <c r="DJ40" s="28"/>
      <c r="DK40" s="416"/>
      <c r="DL40" s="28"/>
      <c r="DM40" s="28"/>
      <c r="DN40" s="28"/>
      <c r="DO40" s="28"/>
      <c r="DP40" s="28"/>
      <c r="DQ40" s="416"/>
      <c r="DR40" s="28"/>
      <c r="DS40" s="28"/>
      <c r="DT40" s="28"/>
      <c r="DU40" s="28"/>
      <c r="DV40" s="28"/>
      <c r="DW40" s="416"/>
      <c r="DX40" s="28"/>
      <c r="DY40" s="28"/>
      <c r="DZ40" s="28"/>
      <c r="EA40" s="28"/>
      <c r="EB40" s="28"/>
      <c r="EC40" s="416"/>
      <c r="ED40" s="28"/>
      <c r="EE40" s="28"/>
      <c r="EF40" s="28"/>
      <c r="EG40" s="28"/>
      <c r="EH40" s="28"/>
      <c r="EI40" s="416"/>
      <c r="EJ40" s="28"/>
      <c r="EK40" s="28"/>
      <c r="EL40" s="28"/>
      <c r="EM40" s="28"/>
      <c r="EN40" s="28"/>
      <c r="EO40" s="416"/>
      <c r="EP40" s="28"/>
      <c r="EQ40" s="28"/>
      <c r="ER40" s="28"/>
      <c r="ES40" s="28"/>
      <c r="ET40" s="28"/>
      <c r="EU40" s="416"/>
      <c r="EV40" s="28"/>
      <c r="EW40" s="28"/>
      <c r="EX40" s="28"/>
      <c r="EY40" s="28"/>
      <c r="EZ40" s="28"/>
      <c r="FA40" s="416"/>
      <c r="FB40" s="28"/>
      <c r="FC40" s="28"/>
      <c r="FD40" s="28"/>
      <c r="FE40" s="28"/>
      <c r="FF40" s="28"/>
      <c r="FG40" s="416"/>
      <c r="FH40" s="28"/>
      <c r="FI40" s="28"/>
      <c r="FJ40" s="28"/>
      <c r="FK40" s="28"/>
      <c r="FL40" s="28"/>
      <c r="FM40" s="416"/>
      <c r="FR40" s="613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</row>
    <row r="41" spans="1:274" s="24" customFormat="1" x14ac:dyDescent="0.2">
      <c r="A41" s="1221" t="s">
        <v>631</v>
      </c>
      <c r="B41" s="1475"/>
      <c r="C41" s="1474"/>
      <c r="D41" s="1221"/>
      <c r="E41" s="1221"/>
      <c r="F41" s="1221"/>
      <c r="G41" s="1221"/>
      <c r="H41" s="1221"/>
      <c r="I41" s="1221"/>
      <c r="J41" s="1221"/>
      <c r="K41" s="1221"/>
      <c r="L41" s="1221"/>
      <c r="M41" s="1221"/>
      <c r="N41" s="1221"/>
      <c r="O41" s="1221"/>
      <c r="P41" s="1221"/>
      <c r="Q41" s="1221"/>
      <c r="R41" s="1221"/>
      <c r="S41" s="1221"/>
      <c r="T41" s="1221"/>
      <c r="U41" s="1221"/>
      <c r="V41" s="1221"/>
      <c r="W41" s="1221"/>
      <c r="X41" s="1221"/>
      <c r="Y41" s="1221"/>
      <c r="Z41" s="1221"/>
      <c r="AA41" s="1221"/>
      <c r="AB41" s="1221"/>
      <c r="AC41" s="1221"/>
      <c r="AD41" s="1221"/>
      <c r="AE41" s="1221"/>
      <c r="AF41" s="1221"/>
      <c r="AG41" s="1221"/>
      <c r="AH41" s="1221"/>
      <c r="AI41" s="1221"/>
      <c r="AJ41" s="1221"/>
      <c r="AK41" s="1221"/>
      <c r="AL41" s="1221"/>
      <c r="AM41" s="1221"/>
      <c r="AN41" s="1221"/>
      <c r="AO41" s="1221"/>
      <c r="AP41" s="1221"/>
      <c r="AQ41" s="1221"/>
      <c r="AR41" s="1221"/>
      <c r="AS41" s="1221"/>
      <c r="AT41" s="1221"/>
      <c r="AU41" s="1221"/>
      <c r="AV41" s="1221"/>
      <c r="AW41" s="1221"/>
      <c r="AX41" s="1221"/>
      <c r="AY41" s="1221"/>
      <c r="AZ41" s="1221"/>
      <c r="BA41" s="1221"/>
      <c r="BB41" s="1221"/>
      <c r="BC41" s="1221"/>
      <c r="BD41" s="1221"/>
      <c r="BE41" s="1221"/>
      <c r="BF41" s="1221"/>
      <c r="BG41" s="1221"/>
      <c r="BH41" s="1221"/>
      <c r="BI41" s="1221"/>
      <c r="BJ41" s="1221"/>
      <c r="BK41" s="1221"/>
      <c r="BL41" s="1221"/>
      <c r="BM41" s="1221"/>
      <c r="BN41" s="1221"/>
      <c r="BO41" s="1221"/>
      <c r="BP41" s="1221"/>
      <c r="BQ41" s="1221"/>
      <c r="BR41" s="1221"/>
      <c r="BS41" s="1221"/>
      <c r="BT41" s="1221"/>
      <c r="BU41" s="1221"/>
      <c r="BV41" s="1221"/>
      <c r="BW41" s="1221"/>
      <c r="BX41" s="1221"/>
      <c r="BY41" s="1221"/>
      <c r="BZ41" s="1221"/>
      <c r="CA41" s="1221"/>
      <c r="CB41" s="1221"/>
      <c r="CC41" s="1221"/>
      <c r="CD41" s="1221"/>
      <c r="CE41" s="1221"/>
      <c r="CF41" s="1221"/>
      <c r="CG41" s="1374"/>
      <c r="CH41" s="1221"/>
      <c r="CI41" s="1221"/>
      <c r="CJ41" s="1221"/>
      <c r="CK41" s="1221"/>
      <c r="CL41" s="1221"/>
      <c r="CM41" s="1374"/>
      <c r="CN41" s="1221"/>
      <c r="CO41" s="1221"/>
      <c r="CP41" s="1221"/>
      <c r="CQ41" s="1221"/>
      <c r="CR41" s="1221"/>
      <c r="CS41" s="1374"/>
      <c r="CT41" s="1221"/>
      <c r="CU41" s="1221"/>
      <c r="CV41" s="1221"/>
      <c r="CW41" s="1221"/>
      <c r="CX41" s="1221"/>
      <c r="CY41" s="1374"/>
      <c r="CZ41" s="1221"/>
      <c r="DA41" s="1221"/>
      <c r="DB41" s="1221"/>
      <c r="DC41" s="1221"/>
      <c r="DD41" s="1221"/>
      <c r="DE41" s="1374"/>
      <c r="DF41" s="1221"/>
      <c r="DG41" s="1221"/>
      <c r="DH41" s="1221"/>
      <c r="DI41" s="1221"/>
      <c r="DJ41" s="1221"/>
      <c r="DK41" s="1374"/>
      <c r="DL41" s="1221"/>
      <c r="DM41" s="1221"/>
      <c r="DN41" s="1221"/>
      <c r="DO41" s="1221"/>
      <c r="DP41" s="1221"/>
      <c r="DQ41" s="1374"/>
      <c r="DR41" s="1221"/>
      <c r="DS41" s="1221"/>
      <c r="DT41" s="1221"/>
      <c r="DU41" s="1221"/>
      <c r="DV41" s="1221"/>
      <c r="DW41" s="1374"/>
      <c r="DX41" s="1221"/>
      <c r="DY41" s="1221"/>
      <c r="DZ41" s="1221"/>
      <c r="EA41" s="1221"/>
      <c r="EB41" s="1221"/>
      <c r="EC41" s="1374"/>
      <c r="ED41" s="1221"/>
      <c r="EE41" s="1221"/>
      <c r="EF41" s="1221"/>
      <c r="EG41" s="1221"/>
      <c r="EH41" s="1221"/>
      <c r="EI41" s="1374"/>
      <c r="EJ41" s="1221"/>
      <c r="EK41" s="1221"/>
      <c r="EL41" s="1221"/>
      <c r="EM41" s="1221"/>
      <c r="EN41" s="1221"/>
      <c r="EO41" s="1374"/>
      <c r="EP41" s="1221"/>
      <c r="EQ41" s="1221"/>
      <c r="ER41" s="1221"/>
      <c r="ES41" s="1221"/>
      <c r="ET41" s="1221"/>
      <c r="EU41" s="1374"/>
      <c r="EV41" s="1221"/>
      <c r="EW41" s="1221"/>
      <c r="EX41" s="1221"/>
      <c r="EY41" s="1221"/>
      <c r="EZ41" s="1221"/>
      <c r="FA41" s="1374"/>
      <c r="FB41" s="1221"/>
      <c r="FC41" s="1221"/>
      <c r="FD41" s="1221"/>
      <c r="FE41" s="1221"/>
      <c r="FF41" s="1221"/>
      <c r="FG41" s="1374"/>
      <c r="FH41" s="1221"/>
      <c r="FI41" s="1221"/>
      <c r="FJ41" s="1221"/>
      <c r="FK41" s="1221"/>
      <c r="FL41" s="1221"/>
      <c r="FM41" s="1374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</row>
    <row r="42" spans="1:274" s="24" customFormat="1" x14ac:dyDescent="0.2">
      <c r="A42" s="58" t="s">
        <v>706</v>
      </c>
      <c r="B42" s="695"/>
      <c r="C42" s="797"/>
      <c r="D42" s="797"/>
      <c r="E42" s="797"/>
      <c r="F42" s="797"/>
      <c r="G42" s="798"/>
      <c r="H42" s="797"/>
      <c r="I42" s="797"/>
      <c r="J42" s="797"/>
      <c r="K42" s="797"/>
      <c r="L42" s="798"/>
      <c r="M42" s="797"/>
      <c r="N42" s="797"/>
      <c r="O42" s="797"/>
      <c r="P42" s="797"/>
      <c r="Q42" s="797"/>
      <c r="R42" s="797"/>
      <c r="S42" s="798"/>
      <c r="T42" s="799"/>
      <c r="U42" s="797"/>
      <c r="V42" s="797"/>
      <c r="W42" s="797"/>
      <c r="X42" s="797"/>
      <c r="Y42" s="798"/>
      <c r="Z42" s="800"/>
      <c r="AA42" s="797"/>
      <c r="AB42" s="797"/>
      <c r="AC42" s="797"/>
      <c r="AD42" s="797"/>
      <c r="AE42" s="798"/>
      <c r="AF42" s="800"/>
      <c r="AG42" s="797"/>
      <c r="AH42" s="797"/>
      <c r="AI42" s="797"/>
      <c r="AJ42" s="797"/>
      <c r="AK42" s="798"/>
      <c r="AL42" s="800"/>
      <c r="AM42" s="797"/>
      <c r="AN42" s="797"/>
      <c r="AO42" s="797"/>
      <c r="AP42" s="797"/>
      <c r="AQ42" s="798"/>
      <c r="AR42" s="800"/>
      <c r="AS42" s="797"/>
      <c r="AT42" s="797"/>
      <c r="AU42" s="797"/>
      <c r="AV42" s="797"/>
      <c r="AW42" s="798"/>
      <c r="AX42" s="800"/>
      <c r="AY42" s="797"/>
      <c r="AZ42" s="797"/>
      <c r="BA42" s="797"/>
      <c r="BB42" s="797"/>
      <c r="BC42" s="798"/>
      <c r="BD42" s="800"/>
      <c r="BE42" s="797"/>
      <c r="BF42" s="797"/>
      <c r="BG42" s="797"/>
      <c r="BH42" s="797"/>
      <c r="BI42" s="798"/>
      <c r="BJ42" s="800"/>
      <c r="BK42" s="797"/>
      <c r="BL42" s="797"/>
      <c r="BM42" s="797"/>
      <c r="BN42" s="797"/>
      <c r="BO42" s="798"/>
      <c r="BP42" s="800"/>
      <c r="BQ42" s="798"/>
      <c r="BR42" s="798"/>
      <c r="BS42" s="798"/>
      <c r="BT42" s="798"/>
      <c r="BU42" s="798"/>
      <c r="BV42" s="800"/>
      <c r="BW42" s="798"/>
      <c r="BX42" s="798"/>
      <c r="BY42" s="798"/>
      <c r="BZ42" s="798"/>
      <c r="CA42" s="798"/>
      <c r="CB42" s="800"/>
      <c r="CC42" s="798"/>
      <c r="CD42" s="798"/>
      <c r="CE42" s="798"/>
      <c r="CF42" s="798"/>
      <c r="CG42" s="801"/>
      <c r="CH42" s="800"/>
      <c r="CI42" s="798"/>
      <c r="CJ42" s="798"/>
      <c r="CK42" s="798"/>
      <c r="CL42" s="798"/>
      <c r="CM42" s="801"/>
      <c r="CN42" s="800"/>
      <c r="CO42" s="798"/>
      <c r="CP42" s="798"/>
      <c r="CQ42" s="798"/>
      <c r="CR42" s="798"/>
      <c r="CS42" s="801"/>
      <c r="CT42" s="800"/>
      <c r="CU42" s="798"/>
      <c r="CV42" s="798"/>
      <c r="CW42" s="798"/>
      <c r="CX42" s="798"/>
      <c r="CY42" s="801"/>
      <c r="CZ42" s="800"/>
      <c r="DA42" s="798"/>
      <c r="DB42" s="798"/>
      <c r="DC42" s="798"/>
      <c r="DD42" s="798"/>
      <c r="DE42" s="801"/>
      <c r="DF42" s="800"/>
      <c r="DG42" s="798"/>
      <c r="DH42" s="798"/>
      <c r="DI42" s="798"/>
      <c r="DJ42" s="798"/>
      <c r="DK42" s="801"/>
      <c r="DL42" s="800"/>
      <c r="DM42" s="798"/>
      <c r="DN42" s="798"/>
      <c r="DO42" s="798"/>
      <c r="DP42" s="798"/>
      <c r="DQ42" s="801"/>
      <c r="DR42" s="800"/>
      <c r="DS42" s="798"/>
      <c r="DT42" s="798"/>
      <c r="DU42" s="798"/>
      <c r="DV42" s="798"/>
      <c r="DW42" s="801"/>
      <c r="DX42" s="800"/>
      <c r="DY42" s="798"/>
      <c r="DZ42" s="798"/>
      <c r="EA42" s="798"/>
      <c r="EB42" s="798"/>
      <c r="EC42" s="801"/>
      <c r="ED42" s="800"/>
      <c r="EE42" s="798"/>
      <c r="EF42" s="798"/>
      <c r="EG42" s="798"/>
      <c r="EH42" s="798"/>
      <c r="EI42" s="801"/>
      <c r="EJ42" s="800"/>
      <c r="EK42" s="798"/>
      <c r="EL42" s="798"/>
      <c r="EM42" s="798"/>
      <c r="EN42" s="798"/>
      <c r="EO42" s="801"/>
      <c r="EP42" s="800"/>
      <c r="EQ42" s="798"/>
      <c r="ER42" s="798"/>
      <c r="ES42" s="798"/>
      <c r="ET42" s="798"/>
      <c r="EU42" s="801"/>
      <c r="EV42" s="800"/>
      <c r="EW42" s="798"/>
      <c r="EX42" s="798"/>
      <c r="EY42" s="798"/>
      <c r="EZ42" s="798"/>
      <c r="FA42" s="801"/>
      <c r="FB42" s="800"/>
      <c r="FC42" s="798"/>
      <c r="FD42" s="798"/>
      <c r="FE42" s="798"/>
      <c r="FF42" s="798"/>
      <c r="FG42" s="801"/>
      <c r="FH42" s="800"/>
      <c r="FI42" s="798"/>
      <c r="FJ42" s="798"/>
      <c r="FK42" s="798"/>
      <c r="FL42" s="798"/>
      <c r="FM42" s="801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</row>
    <row r="43" spans="1:274" s="24" customFormat="1" x14ac:dyDescent="0.2">
      <c r="A43" s="405" t="s">
        <v>681</v>
      </c>
      <c r="B43" s="603"/>
      <c r="C43" s="101" t="s">
        <v>945</v>
      </c>
      <c r="D43" s="101" t="s">
        <v>945</v>
      </c>
      <c r="E43" s="101" t="s">
        <v>945</v>
      </c>
      <c r="F43" s="101" t="s">
        <v>945</v>
      </c>
      <c r="G43" s="101" t="s">
        <v>945</v>
      </c>
      <c r="H43" s="101" t="s">
        <v>945</v>
      </c>
      <c r="I43" s="101" t="s">
        <v>945</v>
      </c>
      <c r="J43" s="101" t="s">
        <v>945</v>
      </c>
      <c r="K43" s="101" t="s">
        <v>945</v>
      </c>
      <c r="L43" s="101" t="s">
        <v>945</v>
      </c>
      <c r="M43" s="101" t="s">
        <v>945</v>
      </c>
      <c r="N43" s="101"/>
      <c r="O43" s="101" t="s">
        <v>945</v>
      </c>
      <c r="P43" s="101" t="s">
        <v>945</v>
      </c>
      <c r="Q43" s="101" t="s">
        <v>945</v>
      </c>
      <c r="R43" s="101" t="s">
        <v>945</v>
      </c>
      <c r="S43" s="101" t="s">
        <v>945</v>
      </c>
      <c r="T43" s="59"/>
      <c r="U43" s="101" t="s">
        <v>945</v>
      </c>
      <c r="V43" s="101" t="s">
        <v>945</v>
      </c>
      <c r="W43" s="101" t="s">
        <v>945</v>
      </c>
      <c r="X43" s="101" t="s">
        <v>945</v>
      </c>
      <c r="Y43" s="101" t="s">
        <v>945</v>
      </c>
      <c r="Z43" s="101"/>
      <c r="AA43" s="101">
        <v>444.31700000000001</v>
      </c>
      <c r="AB43" s="101">
        <v>606.447</v>
      </c>
      <c r="AC43" s="101">
        <v>664.25699999999995</v>
      </c>
      <c r="AD43" s="101">
        <v>1107.4290000000001</v>
      </c>
      <c r="AE43" s="101">
        <f>SUM(AA43:AD43)</f>
        <v>2822.4500000000003</v>
      </c>
      <c r="AF43" s="101"/>
      <c r="AG43" s="101">
        <v>505.37700000000001</v>
      </c>
      <c r="AH43" s="101">
        <v>621.16800000000001</v>
      </c>
      <c r="AI43" s="101">
        <v>753.19299999999998</v>
      </c>
      <c r="AJ43" s="101">
        <v>1209.3230000000001</v>
      </c>
      <c r="AK43" s="101">
        <f>SUM(AG43:AJ43)</f>
        <v>3089.0610000000001</v>
      </c>
      <c r="AL43" s="101"/>
      <c r="AM43" s="101">
        <v>557.61300000000006</v>
      </c>
      <c r="AN43" s="101">
        <v>745.24699999999996</v>
      </c>
      <c r="AO43" s="101">
        <v>804.60699999999997</v>
      </c>
      <c r="AP43" s="101">
        <v>1483.4010000000001</v>
      </c>
      <c r="AQ43" s="101">
        <f>SUM(AM43:AP43)</f>
        <v>3590.8680000000004</v>
      </c>
      <c r="AR43" s="101"/>
      <c r="AS43" s="101">
        <v>602.64599999999996</v>
      </c>
      <c r="AT43" s="101">
        <v>877.17100000000005</v>
      </c>
      <c r="AU43" s="101">
        <v>1043.2059999999999</v>
      </c>
      <c r="AV43" s="101">
        <v>1792.0060000000001</v>
      </c>
      <c r="AW43" s="101">
        <f>SUM(AS43:AV43)</f>
        <v>4315.0290000000005</v>
      </c>
      <c r="AX43" s="101"/>
      <c r="AY43" s="101">
        <v>771.245</v>
      </c>
      <c r="AZ43" s="101">
        <v>1093.193</v>
      </c>
      <c r="BA43" s="101">
        <v>1100.9649999999999</v>
      </c>
      <c r="BB43" s="101">
        <v>1618.48</v>
      </c>
      <c r="BC43" s="101">
        <f>SUM(AY43:BB43)</f>
        <v>4583.8829999999998</v>
      </c>
      <c r="BD43" s="101"/>
      <c r="BE43" s="101">
        <f>Model!BE14</f>
        <v>711.10800000000006</v>
      </c>
      <c r="BF43" s="101">
        <f>Model!BF14</f>
        <v>803.39100000000008</v>
      </c>
      <c r="BG43" s="101">
        <f>Model!BG14</f>
        <v>776.95299999999997</v>
      </c>
      <c r="BH43" s="101">
        <f>Model!BH14</f>
        <v>1149.9780000000001</v>
      </c>
      <c r="BI43" s="101">
        <f t="shared" ref="BI43:BI49" si="99">SUM(BE43:BH43)</f>
        <v>3441.4300000000003</v>
      </c>
      <c r="BJ43" s="101"/>
      <c r="BK43" s="101">
        <f>Model!BK14</f>
        <v>563</v>
      </c>
      <c r="BL43" s="101">
        <f>Model!BL14</f>
        <v>765</v>
      </c>
      <c r="BM43" s="101">
        <f>Model!BM14</f>
        <v>755</v>
      </c>
      <c r="BN43" s="101">
        <f>Model!BN14</f>
        <v>1187</v>
      </c>
      <c r="BO43" s="101">
        <f t="shared" ref="BO43:BO49" si="100">SUM(BK43:BN43)</f>
        <v>3270</v>
      </c>
      <c r="BP43" s="101"/>
      <c r="BQ43" s="101">
        <f>Model!BQ14</f>
        <v>525</v>
      </c>
      <c r="BR43" s="101">
        <f>Model!BR14</f>
        <v>855</v>
      </c>
      <c r="BS43" s="101">
        <f>Model!BS14</f>
        <v>847</v>
      </c>
      <c r="BT43" s="101">
        <f>Model!BT14</f>
        <v>1314</v>
      </c>
      <c r="BU43" s="101">
        <f>Model!BU14</f>
        <v>3541</v>
      </c>
      <c r="BV43" s="101"/>
      <c r="BW43" s="101">
        <f>Model!BW14</f>
        <v>563</v>
      </c>
      <c r="BX43" s="101">
        <f>Model!BX14</f>
        <v>971</v>
      </c>
      <c r="BY43" s="101">
        <f>Model!BY14</f>
        <v>947</v>
      </c>
      <c r="BZ43" s="101">
        <f>Model!BZ14</f>
        <v>1609</v>
      </c>
      <c r="CA43" s="101">
        <f>Model!CA14</f>
        <v>4090</v>
      </c>
      <c r="CB43" s="101"/>
      <c r="CC43" s="101">
        <f>Model!CC14</f>
        <v>629</v>
      </c>
      <c r="CD43" s="101">
        <f>Model!CD14</f>
        <v>1058</v>
      </c>
      <c r="CE43" s="101">
        <f>Model!CE14</f>
        <v>1096.4000000000001</v>
      </c>
      <c r="CF43" s="101">
        <f>Model!CF14</f>
        <v>2121</v>
      </c>
      <c r="CG43" s="168">
        <f>Model!CG14</f>
        <v>4904.3999999999996</v>
      </c>
      <c r="CH43" s="101"/>
      <c r="CI43" s="101">
        <f>Model!CI14</f>
        <v>804</v>
      </c>
      <c r="CJ43" s="101">
        <f>Model!CJ14</f>
        <v>1207</v>
      </c>
      <c r="CK43" s="101">
        <f>Model!CK14</f>
        <v>1390</v>
      </c>
      <c r="CL43" s="101">
        <f>Model!CL14</f>
        <v>2481</v>
      </c>
      <c r="CM43" s="168">
        <f>Model!CM14</f>
        <v>5882</v>
      </c>
      <c r="CN43" s="101"/>
      <c r="CO43" s="101">
        <f>Model!CO14</f>
        <v>1087</v>
      </c>
      <c r="CP43" s="101">
        <f>Model!CP14</f>
        <v>1668</v>
      </c>
      <c r="CQ43" s="101">
        <f>Model!CQ14</f>
        <v>1616</v>
      </c>
      <c r="CR43" s="101">
        <f>Model!CR14</f>
        <v>3144</v>
      </c>
      <c r="CS43" s="168">
        <f>Model!CS14</f>
        <v>7515</v>
      </c>
      <c r="CT43" s="101"/>
      <c r="CU43" s="101">
        <f>Model!CU14</f>
        <v>1235</v>
      </c>
      <c r="CV43" s="101">
        <f>Model!CV14</f>
        <v>1626</v>
      </c>
      <c r="CW43" s="101">
        <f>Model!CW14</f>
        <v>1516</v>
      </c>
      <c r="CX43" s="101">
        <f>Model!CX14</f>
        <v>2744</v>
      </c>
      <c r="CY43" s="168">
        <f>Model!CY14</f>
        <v>7121</v>
      </c>
      <c r="CZ43" s="101"/>
      <c r="DA43" s="101">
        <f>Model!DA14</f>
        <v>1028</v>
      </c>
      <c r="DB43" s="101">
        <f>Model!DB14</f>
        <v>1653</v>
      </c>
      <c r="DC43" s="101">
        <f>Model!DC14</f>
        <v>1718.4</v>
      </c>
      <c r="DD43" s="101">
        <f>Model!DD14</f>
        <v>3135</v>
      </c>
      <c r="DE43" s="168">
        <f>Model!DE14</f>
        <v>7534.4</v>
      </c>
      <c r="DF43" s="101"/>
      <c r="DG43" s="101">
        <f>Model!DG14</f>
        <v>1286</v>
      </c>
      <c r="DH43" s="101">
        <f>Model!DH14</f>
        <v>1999</v>
      </c>
      <c r="DI43" s="101">
        <f>Model!DI14</f>
        <v>2214</v>
      </c>
      <c r="DJ43" s="101">
        <f>Model!DJ14</f>
        <v>3736</v>
      </c>
      <c r="DK43" s="168">
        <f>Model!DK14</f>
        <v>9235</v>
      </c>
      <c r="DL43" s="101"/>
      <c r="DM43" s="101">
        <f>Model!DM14</f>
        <v>1498</v>
      </c>
      <c r="DN43" s="101">
        <f>Model!DN14</f>
        <v>2048</v>
      </c>
      <c r="DO43" s="101">
        <f>Model!DO14</f>
        <v>2374</v>
      </c>
      <c r="DP43" s="101">
        <f>Model!DP14</f>
        <v>4007</v>
      </c>
      <c r="DQ43" s="168">
        <f>Model!DQ14</f>
        <v>9927</v>
      </c>
      <c r="DR43" s="101"/>
      <c r="DS43" s="101">
        <f>Model!DS14</f>
        <v>1712</v>
      </c>
      <c r="DT43" s="101">
        <f>Model!DT14</f>
        <v>2515</v>
      </c>
      <c r="DU43" s="101">
        <f>Model!DU14</f>
        <v>2448</v>
      </c>
      <c r="DV43" s="101">
        <f>Model!DV14</f>
        <v>4147</v>
      </c>
      <c r="DW43" s="168">
        <f>Model!DW14</f>
        <v>10822</v>
      </c>
      <c r="DX43" s="101"/>
      <c r="DY43" s="101">
        <f>Model!DY14</f>
        <v>1765</v>
      </c>
      <c r="DZ43" s="101">
        <f>Model!DZ14</f>
        <v>2480</v>
      </c>
      <c r="EA43" s="101">
        <f>Model!EA14</f>
        <v>2541</v>
      </c>
      <c r="EB43" s="101">
        <f>Model!EB14</f>
        <v>4224</v>
      </c>
      <c r="EC43" s="168">
        <f>Model!EC14</f>
        <v>11010</v>
      </c>
      <c r="ED43" s="101"/>
      <c r="EE43" s="101">
        <f>Model!EE14</f>
        <v>1847</v>
      </c>
      <c r="EF43" s="101">
        <f>Model!EF14</f>
        <v>2564</v>
      </c>
      <c r="EG43" s="101">
        <f>Model!EG14</f>
        <v>2512</v>
      </c>
      <c r="EH43" s="101">
        <f>Model!EH14</f>
        <v>3717</v>
      </c>
      <c r="EI43" s="168">
        <f>Model!EI14</f>
        <v>10640</v>
      </c>
      <c r="EJ43" s="101"/>
      <c r="EK43" s="101">
        <f>Model!EK14</f>
        <v>1763</v>
      </c>
      <c r="EL43" s="101">
        <f>Model!EL14</f>
        <v>2329</v>
      </c>
      <c r="EM43" s="101">
        <f>Model!EM14</f>
        <v>2417</v>
      </c>
      <c r="EN43" s="101">
        <f>Model!EN14</f>
        <v>3626</v>
      </c>
      <c r="EO43" s="168">
        <f>Model!EO14</f>
        <v>10135</v>
      </c>
      <c r="EP43" s="101"/>
      <c r="EQ43" s="101">
        <f>Model!EQ14</f>
        <v>2016</v>
      </c>
      <c r="ER43" s="101">
        <f>Model!ER14</f>
        <v>2434</v>
      </c>
      <c r="ES43" s="101">
        <f>Model!ES14</f>
        <v>2672</v>
      </c>
      <c r="ET43" s="101">
        <f>Model!ET14</f>
        <v>4036</v>
      </c>
      <c r="EU43" s="168">
        <f>Model!EU14</f>
        <v>11158</v>
      </c>
      <c r="EV43" s="101"/>
      <c r="EW43" s="101">
        <f>Model!EW14</f>
        <v>2458</v>
      </c>
      <c r="EX43" s="101">
        <f>Model!EX14</f>
        <v>2881</v>
      </c>
      <c r="EY43" s="101">
        <f>Model!EY14</f>
        <v>2959</v>
      </c>
      <c r="EZ43" s="101">
        <f>Model!EZ14</f>
        <v>4147.915</v>
      </c>
      <c r="FA43" s="168">
        <f>Model!FA14</f>
        <v>12445.915000000001</v>
      </c>
      <c r="FB43" s="101"/>
      <c r="FC43" s="101">
        <f>Model!FC14</f>
        <v>2762.4468000000002</v>
      </c>
      <c r="FD43" s="101">
        <f>Model!FD14</f>
        <v>3183.7200000000003</v>
      </c>
      <c r="FE43" s="101">
        <f>Model!FE14</f>
        <v>3275.6750000000002</v>
      </c>
      <c r="FF43" s="101">
        <f>Model!FF14</f>
        <v>4379.8607000000002</v>
      </c>
      <c r="FG43" s="168">
        <f>Model!FG14</f>
        <v>13601.702500000003</v>
      </c>
      <c r="FH43" s="101"/>
      <c r="FI43" s="101">
        <f>Model!FI14</f>
        <v>3113.7178200000003</v>
      </c>
      <c r="FJ43" s="101">
        <f>Model!FJ14</f>
        <v>3521.9654</v>
      </c>
      <c r="FK43" s="101">
        <f>Model!FK14</f>
        <v>3613.6665499999999</v>
      </c>
      <c r="FL43" s="101">
        <f>Model!FL14</f>
        <v>4656.8482059999997</v>
      </c>
      <c r="FM43" s="168">
        <f>Model!FM14</f>
        <v>14906.197975999999</v>
      </c>
      <c r="FP43" s="795" t="s">
        <v>434</v>
      </c>
      <c r="FQ43" s="796" t="s">
        <v>656</v>
      </c>
      <c r="FR43" s="795" t="s">
        <v>797</v>
      </c>
      <c r="FS43" s="795" t="s">
        <v>411</v>
      </c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</row>
    <row r="44" spans="1:274" s="24" customFormat="1" x14ac:dyDescent="0.2">
      <c r="A44" s="405" t="s">
        <v>544</v>
      </c>
      <c r="B44" s="440"/>
      <c r="C44" s="101" t="s">
        <v>945</v>
      </c>
      <c r="D44" s="101" t="s">
        <v>945</v>
      </c>
      <c r="E44" s="101" t="s">
        <v>945</v>
      </c>
      <c r="F44" s="101" t="s">
        <v>945</v>
      </c>
      <c r="G44" s="101" t="s">
        <v>945</v>
      </c>
      <c r="H44" s="101" t="s">
        <v>945</v>
      </c>
      <c r="I44" s="101" t="s">
        <v>945</v>
      </c>
      <c r="J44" s="101" t="s">
        <v>945</v>
      </c>
      <c r="K44" s="101" t="s">
        <v>945</v>
      </c>
      <c r="L44" s="101" t="s">
        <v>945</v>
      </c>
      <c r="M44" s="101" t="s">
        <v>945</v>
      </c>
      <c r="N44" s="101"/>
      <c r="O44" s="101" t="s">
        <v>945</v>
      </c>
      <c r="P44" s="101" t="s">
        <v>945</v>
      </c>
      <c r="Q44" s="101" t="s">
        <v>945</v>
      </c>
      <c r="R44" s="101" t="s">
        <v>945</v>
      </c>
      <c r="S44" s="101" t="s">
        <v>945</v>
      </c>
      <c r="T44" s="59"/>
      <c r="U44" s="101" t="s">
        <v>945</v>
      </c>
      <c r="V44" s="101" t="s">
        <v>945</v>
      </c>
      <c r="W44" s="101" t="s">
        <v>945</v>
      </c>
      <c r="X44" s="101" t="s">
        <v>945</v>
      </c>
      <c r="Y44" s="101" t="s">
        <v>945</v>
      </c>
      <c r="Z44" s="101"/>
      <c r="AA44" s="101">
        <v>287.28500000000003</v>
      </c>
      <c r="AB44" s="101">
        <v>317.42</v>
      </c>
      <c r="AC44" s="101">
        <v>332.738</v>
      </c>
      <c r="AD44" s="101">
        <v>382.50700000000001</v>
      </c>
      <c r="AE44" s="101">
        <f>SUM(AA44:AD44)</f>
        <v>1319.95</v>
      </c>
      <c r="AF44" s="101"/>
      <c r="AG44" s="101">
        <v>405.12900000000002</v>
      </c>
      <c r="AH44" s="101">
        <v>427.75599999999997</v>
      </c>
      <c r="AI44" s="101">
        <v>447.995</v>
      </c>
      <c r="AJ44" s="101">
        <v>513.23699999999997</v>
      </c>
      <c r="AK44" s="101">
        <f>SUM(AG44:AJ44)</f>
        <v>1794.1170000000002</v>
      </c>
      <c r="AL44" s="101"/>
      <c r="AM44" s="101">
        <v>524.85599999999999</v>
      </c>
      <c r="AN44" s="101">
        <v>566.44000000000005</v>
      </c>
      <c r="AO44" s="101">
        <v>583.596</v>
      </c>
      <c r="AP44" s="101">
        <v>670.63199999999995</v>
      </c>
      <c r="AQ44" s="101">
        <f>SUM(AM44:AP44)</f>
        <v>2345.5239999999999</v>
      </c>
      <c r="AR44" s="101"/>
      <c r="AS44" s="101">
        <v>667.41499999999996</v>
      </c>
      <c r="AT44" s="101">
        <v>720.34199999999998</v>
      </c>
      <c r="AU44" s="101">
        <v>754.41300000000001</v>
      </c>
      <c r="AV44" s="101">
        <v>836.70299999999997</v>
      </c>
      <c r="AW44" s="101">
        <f>SUM(AS44:AV44)</f>
        <v>2978.873</v>
      </c>
      <c r="AX44" s="101"/>
      <c r="AY44" s="101">
        <f>512.681+326.637</f>
        <v>839.31799999999998</v>
      </c>
      <c r="AZ44" s="101">
        <f>553.898+318.9</f>
        <v>872.798</v>
      </c>
      <c r="BA44" s="101">
        <f>561.283+345.236</f>
        <v>906.51900000000001</v>
      </c>
      <c r="BB44" s="101">
        <f>576.637+374.907</f>
        <v>951.54399999999987</v>
      </c>
      <c r="BC44" s="101">
        <f>SUM(AY44:BB44)</f>
        <v>3570.1790000000001</v>
      </c>
      <c r="BD44" s="101"/>
      <c r="BE44" s="101">
        <f>Model!BE46</f>
        <v>843.16499999999996</v>
      </c>
      <c r="BF44" s="101">
        <f>Model!BF46</f>
        <v>881.13499999999999</v>
      </c>
      <c r="BG44" s="101">
        <f>Model!BG46</f>
        <v>866.39700000000005</v>
      </c>
      <c r="BH44" s="101">
        <f>Model!BH46</f>
        <v>949.53899999999999</v>
      </c>
      <c r="BI44" s="101">
        <f t="shared" si="99"/>
        <v>3540.2359999999999</v>
      </c>
      <c r="BJ44" s="101"/>
      <c r="BK44" s="101">
        <f>Model!BK46</f>
        <v>905</v>
      </c>
      <c r="BL44" s="101">
        <f>Model!BL46</f>
        <v>954</v>
      </c>
      <c r="BM44" s="101">
        <f>Model!BM46</f>
        <v>1005</v>
      </c>
      <c r="BN44" s="101">
        <f>Model!BN46</f>
        <v>1065.4000000000001</v>
      </c>
      <c r="BO44" s="101">
        <f t="shared" si="100"/>
        <v>3929.4</v>
      </c>
      <c r="BP44" s="101"/>
      <c r="BQ44" s="101">
        <f>Model!BQ46</f>
        <v>1034</v>
      </c>
      <c r="BR44" s="101">
        <f>Model!BR46</f>
        <v>1114</v>
      </c>
      <c r="BS44" s="101">
        <f>Model!BS46</f>
        <v>1176</v>
      </c>
      <c r="BT44" s="101">
        <f>Model!BT46</f>
        <v>1205</v>
      </c>
      <c r="BU44" s="101">
        <f>Model!BU46</f>
        <v>4529</v>
      </c>
      <c r="BV44" s="101"/>
      <c r="BW44" s="101">
        <f>Model!BW46</f>
        <v>1176</v>
      </c>
      <c r="BX44" s="101">
        <f>Model!BX46</f>
        <v>1252</v>
      </c>
      <c r="BY44" s="101">
        <f>Model!BY46</f>
        <v>1532</v>
      </c>
      <c r="BZ44" s="101">
        <f>Model!BZ46</f>
        <v>1691</v>
      </c>
      <c r="CA44" s="101">
        <f>Model!CA46</f>
        <v>5651</v>
      </c>
      <c r="CB44" s="101"/>
      <c r="CC44" s="101">
        <f>Model!CC46</f>
        <v>1641</v>
      </c>
      <c r="CD44" s="101">
        <f>Model!CD46</f>
        <v>1661</v>
      </c>
      <c r="CE44" s="101">
        <f>Model!CE46</f>
        <v>1767</v>
      </c>
      <c r="CF44" s="101">
        <f>Model!CF46</f>
        <v>1959</v>
      </c>
      <c r="CG44" s="168">
        <f>Model!CG46</f>
        <v>7028</v>
      </c>
      <c r="CH44" s="101"/>
      <c r="CI44" s="101">
        <f>Model!CI46</f>
        <v>2011</v>
      </c>
      <c r="CJ44" s="101">
        <f>Model!CJ46</f>
        <v>2060</v>
      </c>
      <c r="CK44" s="101">
        <f>Model!CK46</f>
        <v>2143</v>
      </c>
      <c r="CL44" s="101">
        <f>Model!CL46</f>
        <v>2327</v>
      </c>
      <c r="CM44" s="168">
        <f>Model!CM46</f>
        <v>8541</v>
      </c>
      <c r="CN44" s="101"/>
      <c r="CO44" s="101">
        <f>Model!CO46</f>
        <v>2447</v>
      </c>
      <c r="CP44" s="101">
        <f>Model!CP46</f>
        <v>2542</v>
      </c>
      <c r="CQ44" s="101">
        <f>Model!CQ46</f>
        <v>2646</v>
      </c>
      <c r="CR44" s="101">
        <f>Model!CR46</f>
        <v>2872</v>
      </c>
      <c r="CS44" s="168">
        <f>Model!CS46</f>
        <v>10507</v>
      </c>
      <c r="CT44" s="101"/>
      <c r="CU44" s="101">
        <f>Model!CU46</f>
        <v>3027</v>
      </c>
      <c r="CV44" s="101">
        <f>Model!CV46</f>
        <v>2930</v>
      </c>
      <c r="CW44" s="101">
        <f>Model!CW46</f>
        <v>2968</v>
      </c>
      <c r="CX44" s="101">
        <f>Model!CX46</f>
        <v>3072</v>
      </c>
      <c r="CY44" s="168">
        <f>Model!CY46</f>
        <v>11997</v>
      </c>
      <c r="CZ44" s="101"/>
      <c r="DA44" s="101">
        <f>Model!DA46</f>
        <v>3126</v>
      </c>
      <c r="DB44" s="101">
        <f>Model!DB46</f>
        <v>3261</v>
      </c>
      <c r="DC44" s="101">
        <f>Model!DC46</f>
        <v>3323</v>
      </c>
      <c r="DD44" s="101">
        <f>Model!DD46</f>
        <v>3467</v>
      </c>
      <c r="DE44" s="168">
        <f>Model!DE46</f>
        <v>13177</v>
      </c>
      <c r="DF44" s="101"/>
      <c r="DG44" s="101">
        <f>Model!DG46</f>
        <v>3475</v>
      </c>
      <c r="DH44" s="101">
        <f>Model!DH46</f>
        <v>3712</v>
      </c>
      <c r="DI44" s="101">
        <f>Model!DI46</f>
        <v>3756</v>
      </c>
      <c r="DJ44" s="101">
        <f>Model!DJ46</f>
        <v>3978</v>
      </c>
      <c r="DK44" s="168">
        <f>Model!DK46</f>
        <v>14921</v>
      </c>
      <c r="DL44" s="101"/>
      <c r="DM44" s="101">
        <f>Model!DM46</f>
        <v>4035</v>
      </c>
      <c r="DN44" s="101">
        <f>Model!DN46</f>
        <v>3996</v>
      </c>
      <c r="DO44" s="101">
        <f>Model!DO46</f>
        <v>4068</v>
      </c>
      <c r="DP44" s="101">
        <f>Model!DP46</f>
        <v>4160</v>
      </c>
      <c r="DQ44" s="168">
        <f>Model!DQ46</f>
        <v>16259</v>
      </c>
      <c r="DR44" s="101"/>
      <c r="DS44" s="101">
        <f>Model!DS46</f>
        <v>4145</v>
      </c>
      <c r="DT44" s="101">
        <f>Model!DT46</f>
        <v>4264</v>
      </c>
      <c r="DU44" s="101">
        <f>Model!DU46</f>
        <v>4344</v>
      </c>
      <c r="DV44" s="101">
        <f>Model!DV46</f>
        <v>4404</v>
      </c>
      <c r="DW44" s="168">
        <f>Model!DW46</f>
        <v>17157</v>
      </c>
      <c r="DX44" s="101"/>
      <c r="DY44" s="101">
        <f>Model!DY46</f>
        <v>4432</v>
      </c>
      <c r="DZ44" s="101">
        <f>Model!DZ46</f>
        <v>4517</v>
      </c>
      <c r="EA44" s="101">
        <f>Model!EA46</f>
        <v>4565</v>
      </c>
      <c r="EB44" s="101">
        <f>Model!EB46</f>
        <v>4695</v>
      </c>
      <c r="EC44" s="168">
        <f>Model!EC46</f>
        <v>18209</v>
      </c>
      <c r="ED44" s="101"/>
      <c r="EE44" s="101">
        <f>Model!EE46</f>
        <v>4731</v>
      </c>
      <c r="EF44" s="101">
        <f>Model!EF46</f>
        <v>4773</v>
      </c>
      <c r="EG44" s="101">
        <f>Model!EG46</f>
        <v>4664</v>
      </c>
      <c r="EH44" s="101">
        <f>Model!EH46</f>
        <v>4688</v>
      </c>
      <c r="EI44" s="168">
        <f>Model!EI46</f>
        <v>18856</v>
      </c>
      <c r="EJ44" s="101"/>
      <c r="EK44" s="101">
        <f>Model!EK46</f>
        <v>4697</v>
      </c>
      <c r="EL44" s="101">
        <f>Model!EL46</f>
        <v>4683</v>
      </c>
      <c r="EM44" s="101">
        <f>Model!EM46</f>
        <v>4669</v>
      </c>
      <c r="EN44" s="101">
        <f>Model!EN46</f>
        <v>4815</v>
      </c>
      <c r="EO44" s="168">
        <f>Model!EO46</f>
        <v>18864</v>
      </c>
      <c r="EP44" s="101"/>
      <c r="EQ44" s="101">
        <f>Model!EQ46</f>
        <v>4793</v>
      </c>
      <c r="ER44" s="101">
        <f>Model!ER46</f>
        <v>4778</v>
      </c>
      <c r="ES44" s="101">
        <f>Model!ES46</f>
        <v>4762</v>
      </c>
      <c r="ET44" s="101">
        <f>Model!ET46</f>
        <v>4897</v>
      </c>
      <c r="EU44" s="168">
        <f>Model!EU46</f>
        <v>19230</v>
      </c>
      <c r="EV44" s="101"/>
      <c r="EW44" s="101">
        <f>Model!EW46</f>
        <v>4951</v>
      </c>
      <c r="EX44" s="101">
        <f>Model!EX46</f>
        <v>4953</v>
      </c>
      <c r="EY44" s="101">
        <f>Model!EY46</f>
        <v>5027</v>
      </c>
      <c r="EZ44" s="101">
        <f>Model!EZ46</f>
        <v>5100.8785660977192</v>
      </c>
      <c r="FA44" s="168">
        <f>Model!FA46</f>
        <v>20031.878566097719</v>
      </c>
      <c r="FB44" s="101"/>
      <c r="FC44" s="101">
        <f>Model!FC46</f>
        <v>5130.0453609200986</v>
      </c>
      <c r="FD44" s="101">
        <f>Model!FD46</f>
        <v>5129.8879920631807</v>
      </c>
      <c r="FE44" s="101">
        <f>Model!FE46</f>
        <v>5187.2310515600275</v>
      </c>
      <c r="FF44" s="101">
        <f>Model!FF46</f>
        <v>5243.4262902487244</v>
      </c>
      <c r="FG44" s="168">
        <f>Model!FG46</f>
        <v>20690.59069479203</v>
      </c>
      <c r="FH44" s="101"/>
      <c r="FI44" s="101">
        <f>Model!FI46</f>
        <v>5260.1915950466428</v>
      </c>
      <c r="FJ44" s="101">
        <f>Model!FJ46</f>
        <v>5254.9917846627486</v>
      </c>
      <c r="FK44" s="101">
        <f>Model!FK46</f>
        <v>5307.0951941557878</v>
      </c>
      <c r="FL44" s="101">
        <f>Model!FL46</f>
        <v>5357.9341997339388</v>
      </c>
      <c r="FM44" s="168">
        <f>Model!FM46</f>
        <v>21180.21277359912</v>
      </c>
      <c r="FO44" s="614" t="s">
        <v>206</v>
      </c>
      <c r="FQ44" s="621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</row>
    <row r="45" spans="1:274" s="24" customFormat="1" x14ac:dyDescent="0.2">
      <c r="A45" s="405" t="s">
        <v>235</v>
      </c>
      <c r="B45" s="440"/>
      <c r="C45" s="101" t="s">
        <v>945</v>
      </c>
      <c r="D45" s="101" t="s">
        <v>945</v>
      </c>
      <c r="E45" s="101" t="s">
        <v>945</v>
      </c>
      <c r="F45" s="101" t="s">
        <v>945</v>
      </c>
      <c r="G45" s="101" t="s">
        <v>945</v>
      </c>
      <c r="H45" s="101" t="s">
        <v>945</v>
      </c>
      <c r="I45" s="101" t="s">
        <v>945</v>
      </c>
      <c r="J45" s="101" t="s">
        <v>945</v>
      </c>
      <c r="K45" s="101" t="s">
        <v>945</v>
      </c>
      <c r="L45" s="101" t="s">
        <v>945</v>
      </c>
      <c r="M45" s="101" t="s">
        <v>945</v>
      </c>
      <c r="N45" s="101"/>
      <c r="O45" s="101" t="s">
        <v>945</v>
      </c>
      <c r="P45" s="101" t="s">
        <v>945</v>
      </c>
      <c r="Q45" s="101" t="s">
        <v>945</v>
      </c>
      <c r="R45" s="101" t="s">
        <v>945</v>
      </c>
      <c r="S45" s="101" t="s">
        <v>945</v>
      </c>
      <c r="T45" s="59"/>
      <c r="U45" s="101" t="s">
        <v>945</v>
      </c>
      <c r="V45" s="101" t="s">
        <v>945</v>
      </c>
      <c r="W45" s="101" t="s">
        <v>945</v>
      </c>
      <c r="X45" s="101" t="s">
        <v>945</v>
      </c>
      <c r="Y45" s="101" t="s">
        <v>945</v>
      </c>
      <c r="Z45" s="101"/>
      <c r="AA45" s="101">
        <v>303.18700000000001</v>
      </c>
      <c r="AB45" s="101">
        <v>369.81599999999997</v>
      </c>
      <c r="AC45" s="101">
        <v>358.767</v>
      </c>
      <c r="AD45" s="101">
        <v>435.92099999999999</v>
      </c>
      <c r="AE45" s="101">
        <f>SUM(AA45:AD45)</f>
        <v>1467.691</v>
      </c>
      <c r="AF45" s="101"/>
      <c r="AG45" s="491">
        <v>433.05700000000002</v>
      </c>
      <c r="AH45" s="491">
        <v>540.60500000000002</v>
      </c>
      <c r="AI45" s="491">
        <v>526.24099999999999</v>
      </c>
      <c r="AJ45" s="491">
        <v>656.35599999999999</v>
      </c>
      <c r="AK45" s="491">
        <f>SUM(AG45:AJ45)</f>
        <v>2156.259</v>
      </c>
      <c r="AL45" s="101"/>
      <c r="AM45" s="491">
        <v>641.79</v>
      </c>
      <c r="AN45" s="491">
        <v>722.07600000000002</v>
      </c>
      <c r="AO45" s="491">
        <v>669.58500000000004</v>
      </c>
      <c r="AP45" s="491">
        <v>759.91099999999994</v>
      </c>
      <c r="AQ45" s="491">
        <f>SUM(AM45:AP45)</f>
        <v>2793.3620000000001</v>
      </c>
      <c r="AR45" s="101"/>
      <c r="AS45" s="491">
        <v>684.92100000000005</v>
      </c>
      <c r="AT45" s="491">
        <v>698.90899999999999</v>
      </c>
      <c r="AU45" s="491">
        <v>623.63199999999995</v>
      </c>
      <c r="AV45" s="491">
        <v>696.99800000000005</v>
      </c>
      <c r="AW45" s="491">
        <f>SUM(AS45:AV45)</f>
        <v>2704.46</v>
      </c>
      <c r="AX45" s="101"/>
      <c r="AY45" s="101">
        <v>549.44399999999996</v>
      </c>
      <c r="AZ45" s="101">
        <v>580.52099999999996</v>
      </c>
      <c r="BA45" s="101">
        <v>562.64599999999996</v>
      </c>
      <c r="BB45" s="101">
        <v>564.61900000000003</v>
      </c>
      <c r="BC45" s="101">
        <f>SUM(AY45:BB45)</f>
        <v>2257.23</v>
      </c>
      <c r="BD45" s="101"/>
      <c r="BE45" s="101">
        <f>Model!BE72</f>
        <v>524.67499999999995</v>
      </c>
      <c r="BF45" s="101">
        <f>Model!BF72</f>
        <v>510.93700000000001</v>
      </c>
      <c r="BG45" s="101">
        <f>Model!BG72</f>
        <v>458.81299999999999</v>
      </c>
      <c r="BH45" s="101">
        <f>Model!BH72</f>
        <v>487.37200000000001</v>
      </c>
      <c r="BI45" s="101">
        <f t="shared" si="99"/>
        <v>1981.7970000000003</v>
      </c>
      <c r="BJ45" s="101"/>
      <c r="BK45" s="101">
        <f>Model!BK72</f>
        <v>432</v>
      </c>
      <c r="BL45" s="101">
        <f>Model!BL72</f>
        <v>455</v>
      </c>
      <c r="BM45" s="101">
        <f>Model!BM72</f>
        <v>430</v>
      </c>
      <c r="BN45" s="101">
        <f>Model!BN72</f>
        <v>444</v>
      </c>
      <c r="BO45" s="101">
        <f t="shared" si="100"/>
        <v>1761</v>
      </c>
      <c r="BP45" s="101"/>
      <c r="BQ45" s="101">
        <f>Model!BQ72</f>
        <v>397</v>
      </c>
      <c r="BR45" s="101">
        <f>Model!BR72</f>
        <v>396</v>
      </c>
      <c r="BS45" s="101">
        <f>Model!BS72</f>
        <v>374</v>
      </c>
      <c r="BT45" s="101">
        <f>Model!BT72</f>
        <v>422</v>
      </c>
      <c r="BU45" s="101">
        <f>Model!BU72</f>
        <v>1589</v>
      </c>
      <c r="BV45" s="101"/>
      <c r="BW45" s="101">
        <f>Model!BW72</f>
        <v>355</v>
      </c>
      <c r="BX45" s="101">
        <f>Model!BX72</f>
        <v>395</v>
      </c>
      <c r="BY45" s="101">
        <f>Model!BY72</f>
        <v>470</v>
      </c>
      <c r="BZ45" s="101">
        <f>Model!BZ72</f>
        <v>589</v>
      </c>
      <c r="CA45" s="101">
        <f>Model!CA72</f>
        <v>1809</v>
      </c>
      <c r="CB45" s="101"/>
      <c r="CC45" s="101">
        <f>Model!CC72</f>
        <v>481</v>
      </c>
      <c r="CD45" s="101">
        <f>Model!CD72</f>
        <v>506</v>
      </c>
      <c r="CE45" s="101">
        <f>Model!CE72</f>
        <v>501</v>
      </c>
      <c r="CF45" s="101">
        <f>Model!CF72</f>
        <v>632</v>
      </c>
      <c r="CG45" s="168">
        <f>Model!CG72</f>
        <v>2120</v>
      </c>
      <c r="CH45" s="101"/>
      <c r="CI45" s="101">
        <f>Model!CI72</f>
        <v>640</v>
      </c>
      <c r="CJ45" s="101">
        <f>Model!CJ72</f>
        <v>716</v>
      </c>
      <c r="CK45" s="101">
        <f>Model!CK72</f>
        <v>694</v>
      </c>
      <c r="CL45" s="101">
        <f>Model!CL72</f>
        <v>819</v>
      </c>
      <c r="CM45" s="168">
        <f>Model!CM72</f>
        <v>2869</v>
      </c>
      <c r="CN45" s="101"/>
      <c r="CO45" s="101">
        <f>Model!CO72</f>
        <v>801</v>
      </c>
      <c r="CP45" s="101">
        <f>Model!CP72</f>
        <v>877</v>
      </c>
      <c r="CQ45" s="101">
        <f>Model!CQ72</f>
        <v>843</v>
      </c>
      <c r="CR45" s="101">
        <f>Model!CR72</f>
        <v>957</v>
      </c>
      <c r="CS45" s="168">
        <f>Model!CS72</f>
        <v>3478</v>
      </c>
      <c r="CT45" s="101"/>
      <c r="CU45" s="101">
        <f>Model!CU72</f>
        <v>865</v>
      </c>
      <c r="CV45" s="101">
        <f>Model!CV72</f>
        <v>842</v>
      </c>
      <c r="CW45" s="101">
        <f>Model!CW72</f>
        <v>758</v>
      </c>
      <c r="CX45" s="101">
        <f>Model!CX72</f>
        <v>782</v>
      </c>
      <c r="CY45" s="168">
        <f>Model!CY72</f>
        <v>3247</v>
      </c>
      <c r="CZ45" s="101"/>
      <c r="DA45" s="101">
        <f>Model!DA72</f>
        <v>663</v>
      </c>
      <c r="DB45" s="101">
        <f>Model!DB72</f>
        <v>692</v>
      </c>
      <c r="DC45" s="101">
        <f>Model!DC72</f>
        <v>651</v>
      </c>
      <c r="DD45" s="101">
        <f>Model!DD72</f>
        <v>713</v>
      </c>
      <c r="DE45" s="168">
        <f>Model!DE72</f>
        <v>2719</v>
      </c>
      <c r="DF45" s="101"/>
      <c r="DG45" s="101">
        <f>Model!DG72</f>
        <v>666</v>
      </c>
      <c r="DH45" s="101">
        <f>Model!DH72</f>
        <v>738</v>
      </c>
      <c r="DI45" s="101">
        <f>Model!DI72</f>
        <v>722</v>
      </c>
      <c r="DJ45" s="101">
        <f>Model!DJ72</f>
        <v>787</v>
      </c>
      <c r="DK45" s="168">
        <f>Model!DK72</f>
        <v>2913</v>
      </c>
      <c r="DL45" s="101"/>
      <c r="DM45" s="101">
        <f>Model!DM72</f>
        <v>727.41899999999998</v>
      </c>
      <c r="DN45" s="101">
        <f>Model!DN72</f>
        <v>740.68799999999999</v>
      </c>
      <c r="DO45" s="101">
        <f>Model!DO72</f>
        <v>706.81920000000002</v>
      </c>
      <c r="DP45" s="101">
        <f>Model!DP72</f>
        <v>735.59069999999997</v>
      </c>
      <c r="DQ45" s="168">
        <f>Model!DQ72</f>
        <v>2910.5168999999996</v>
      </c>
      <c r="DR45" s="101"/>
      <c r="DS45" s="101">
        <f>Model!DS72</f>
        <v>687.96</v>
      </c>
      <c r="DT45" s="101">
        <f>Model!DT72</f>
        <v>676.74860000000001</v>
      </c>
      <c r="DU45" s="101">
        <f>Model!DU72</f>
        <v>627.25</v>
      </c>
      <c r="DV45" s="101">
        <f>Model!DV72</f>
        <v>621.19200000000001</v>
      </c>
      <c r="DW45" s="168">
        <f>Model!DW72</f>
        <v>2613.1505999999999</v>
      </c>
      <c r="DX45" s="101"/>
      <c r="DY45" s="101">
        <f>Model!DY72</f>
        <v>590</v>
      </c>
      <c r="DZ45" s="101">
        <f>Model!DZ72</f>
        <v>596.26499999999999</v>
      </c>
      <c r="EA45" s="101">
        <f>Model!EA72</f>
        <v>583.85400000000004</v>
      </c>
      <c r="EB45" s="101">
        <f>Model!EB72</f>
        <v>583.85400000000004</v>
      </c>
      <c r="EC45" s="168">
        <f>Model!EC72</f>
        <v>2353.973</v>
      </c>
      <c r="ED45" s="101"/>
      <c r="EE45" s="101">
        <f>Model!EE72</f>
        <v>567.97399999999993</v>
      </c>
      <c r="EF45" s="101">
        <f>Model!EF72</f>
        <v>572.68799999999999</v>
      </c>
      <c r="EG45" s="101">
        <f>Model!EG72</f>
        <v>549.96</v>
      </c>
      <c r="EH45" s="101">
        <f>Model!EH72</f>
        <v>512.1</v>
      </c>
      <c r="EI45" s="168">
        <f>Model!EI72</f>
        <v>2202.7219999999998</v>
      </c>
      <c r="EJ45" s="101"/>
      <c r="EK45" s="101">
        <f>Model!EK72</f>
        <v>486.48599999999999</v>
      </c>
      <c r="EL45" s="101">
        <f>Model!EL72</f>
        <v>472.90600000000001</v>
      </c>
      <c r="EM45" s="101">
        <f>Model!EM72</f>
        <v>443.46799999999996</v>
      </c>
      <c r="EN45" s="101">
        <f>Model!EN72</f>
        <v>421.892</v>
      </c>
      <c r="EO45" s="168">
        <f>Model!EO72</f>
        <v>1824.7520000000002</v>
      </c>
      <c r="EP45" s="101"/>
      <c r="EQ45" s="101">
        <f>Model!EQ72</f>
        <v>404.14449999999994</v>
      </c>
      <c r="ER45" s="101">
        <f>Model!ER72</f>
        <v>392.32249999999999</v>
      </c>
      <c r="ES45" s="101">
        <f>Model!ES72</f>
        <v>367.19199999999995</v>
      </c>
      <c r="ET45" s="101">
        <f>Model!ET72</f>
        <v>359.35199999999998</v>
      </c>
      <c r="EU45" s="168">
        <f>Model!EU72</f>
        <v>1523.011</v>
      </c>
      <c r="EV45" s="101"/>
      <c r="EW45" s="101">
        <f>Model!EW72</f>
        <v>346.23849999999993</v>
      </c>
      <c r="EX45" s="101">
        <f>Model!EX72</f>
        <v>352.92449999999997</v>
      </c>
      <c r="EY45" s="101">
        <f>Model!EY72</f>
        <v>341.98199999999997</v>
      </c>
      <c r="EZ45" s="101">
        <f>Model!EZ72</f>
        <v>332.41022999999996</v>
      </c>
      <c r="FA45" s="168">
        <f>Model!FA72</f>
        <v>1373.5552299999999</v>
      </c>
      <c r="FB45" s="101"/>
      <c r="FC45" s="101">
        <f>Model!FC72</f>
        <v>322.66946249999995</v>
      </c>
      <c r="FD45" s="101">
        <f>Model!FD72</f>
        <v>324.47241749999995</v>
      </c>
      <c r="FE45" s="101">
        <f>Model!FE72</f>
        <v>310.32273999999995</v>
      </c>
      <c r="FF45" s="101">
        <f>Model!FF72</f>
        <v>300.13596079999996</v>
      </c>
      <c r="FG45" s="168">
        <f>Model!FG72</f>
        <v>1257.6005807999998</v>
      </c>
      <c r="FH45" s="101"/>
      <c r="FI45" s="101">
        <f>Model!FI72</f>
        <v>287.61457909999996</v>
      </c>
      <c r="FJ45" s="101">
        <f>Model!FJ72</f>
        <v>288.07001889999992</v>
      </c>
      <c r="FK45" s="101">
        <f>Model!FK72</f>
        <v>274.51626999999991</v>
      </c>
      <c r="FL45" s="101">
        <f>Model!FL72</f>
        <v>265.50488839999991</v>
      </c>
      <c r="FM45" s="168">
        <f>Model!FM72</f>
        <v>1115.7057563999997</v>
      </c>
      <c r="FO45" s="158" t="str">
        <f>FO12</f>
        <v>Americas</v>
      </c>
      <c r="FP45" s="158">
        <f>CG74</f>
        <v>1517</v>
      </c>
      <c r="FQ45" s="802">
        <f>CM74</f>
        <v>1743</v>
      </c>
      <c r="FR45" s="158">
        <f>CS74</f>
        <v>2158</v>
      </c>
      <c r="FS45" s="158">
        <f>CY74</f>
        <v>2113.5</v>
      </c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</row>
    <row r="46" spans="1:274" s="24" customFormat="1" x14ac:dyDescent="0.2">
      <c r="A46" s="405" t="s">
        <v>236</v>
      </c>
      <c r="B46" s="440"/>
      <c r="C46" s="101" t="s">
        <v>945</v>
      </c>
      <c r="D46" s="101" t="s">
        <v>945</v>
      </c>
      <c r="E46" s="101" t="s">
        <v>945</v>
      </c>
      <c r="F46" s="101" t="s">
        <v>945</v>
      </c>
      <c r="G46" s="101" t="s">
        <v>945</v>
      </c>
      <c r="H46" s="101" t="s">
        <v>945</v>
      </c>
      <c r="I46" s="101" t="s">
        <v>945</v>
      </c>
      <c r="J46" s="101" t="s">
        <v>945</v>
      </c>
      <c r="K46" s="101" t="s">
        <v>945</v>
      </c>
      <c r="L46" s="101" t="s">
        <v>945</v>
      </c>
      <c r="M46" s="101" t="s">
        <v>945</v>
      </c>
      <c r="N46" s="101"/>
      <c r="O46" s="101" t="s">
        <v>945</v>
      </c>
      <c r="P46" s="101" t="s">
        <v>945</v>
      </c>
      <c r="Q46" s="101" t="s">
        <v>945</v>
      </c>
      <c r="R46" s="101" t="s">
        <v>945</v>
      </c>
      <c r="S46" s="101" t="s">
        <v>945</v>
      </c>
      <c r="T46" s="59"/>
      <c r="U46" s="101" t="s">
        <v>945</v>
      </c>
      <c r="V46" s="101" t="s">
        <v>945</v>
      </c>
      <c r="W46" s="101" t="s">
        <v>945</v>
      </c>
      <c r="X46" s="101" t="s">
        <v>945</v>
      </c>
      <c r="Y46" s="101" t="s">
        <v>945</v>
      </c>
      <c r="Z46" s="101"/>
      <c r="AA46" s="101" t="s">
        <v>945</v>
      </c>
      <c r="AB46" s="101" t="s">
        <v>945</v>
      </c>
      <c r="AC46" s="101" t="s">
        <v>945</v>
      </c>
      <c r="AD46" s="101" t="s">
        <v>945</v>
      </c>
      <c r="AE46" s="101" t="s">
        <v>945</v>
      </c>
      <c r="AF46" s="101"/>
      <c r="AG46" s="101" t="s">
        <v>945</v>
      </c>
      <c r="AH46" s="101" t="s">
        <v>945</v>
      </c>
      <c r="AI46" s="101" t="s">
        <v>945</v>
      </c>
      <c r="AJ46" s="101" t="s">
        <v>945</v>
      </c>
      <c r="AK46" s="101" t="s">
        <v>945</v>
      </c>
      <c r="AL46" s="101"/>
      <c r="AM46" s="101" t="s">
        <v>945</v>
      </c>
      <c r="AN46" s="101" t="s">
        <v>945</v>
      </c>
      <c r="AO46" s="101" t="s">
        <v>945</v>
      </c>
      <c r="AP46" s="101" t="s">
        <v>945</v>
      </c>
      <c r="AQ46" s="101" t="s">
        <v>945</v>
      </c>
      <c r="AR46" s="101"/>
      <c r="AS46" s="101" t="s">
        <v>945</v>
      </c>
      <c r="AT46" s="101" t="s">
        <v>945</v>
      </c>
      <c r="AU46" s="101" t="s">
        <v>945</v>
      </c>
      <c r="AV46" s="101" t="s">
        <v>945</v>
      </c>
      <c r="AW46" s="101" t="s">
        <v>945</v>
      </c>
      <c r="AX46" s="101"/>
      <c r="AY46" s="101" t="s">
        <v>945</v>
      </c>
      <c r="AZ46" s="101" t="s">
        <v>945</v>
      </c>
      <c r="BA46" s="101" t="s">
        <v>945</v>
      </c>
      <c r="BB46" s="101" t="s">
        <v>945</v>
      </c>
      <c r="BC46" s="101" t="s">
        <v>945</v>
      </c>
      <c r="BD46" s="101"/>
      <c r="BE46" s="101">
        <f>Model!BE73</f>
        <v>77.664000000000001</v>
      </c>
      <c r="BF46" s="101">
        <f>Model!BF73</f>
        <v>83.200999999999993</v>
      </c>
      <c r="BG46" s="101">
        <f>Model!BG73</f>
        <v>74.867000000000004</v>
      </c>
      <c r="BH46" s="101">
        <f>Model!BH73</f>
        <v>84.872</v>
      </c>
      <c r="BI46" s="101">
        <f t="shared" si="99"/>
        <v>320.60400000000004</v>
      </c>
      <c r="BJ46" s="101"/>
      <c r="BK46" s="101">
        <f>Model!BK73</f>
        <v>64</v>
      </c>
      <c r="BL46" s="101">
        <f>Model!BL73</f>
        <v>64</v>
      </c>
      <c r="BM46" s="101">
        <f>Model!BM73</f>
        <v>63</v>
      </c>
      <c r="BN46" s="101">
        <f>Model!BN73</f>
        <v>66</v>
      </c>
      <c r="BO46" s="101">
        <f t="shared" si="100"/>
        <v>257</v>
      </c>
      <c r="BP46" s="101"/>
      <c r="BQ46" s="101">
        <f>Model!BQ73</f>
        <v>60</v>
      </c>
      <c r="BR46" s="101">
        <f>Model!BR73</f>
        <v>65</v>
      </c>
      <c r="BS46" s="101">
        <f>Model!BS73</f>
        <v>62</v>
      </c>
      <c r="BT46" s="101">
        <f>Model!BT73</f>
        <v>71</v>
      </c>
      <c r="BU46" s="101">
        <f>Model!BU73</f>
        <v>258</v>
      </c>
      <c r="BV46" s="101"/>
      <c r="BW46" s="101">
        <f>Model!BW73</f>
        <v>71</v>
      </c>
      <c r="BX46" s="101">
        <f>Model!BX73</f>
        <v>72</v>
      </c>
      <c r="BY46" s="101">
        <f>Model!BY73</f>
        <v>76</v>
      </c>
      <c r="BZ46" s="101">
        <f>Model!BZ73</f>
        <v>80</v>
      </c>
      <c r="CA46" s="101">
        <f>Model!CA73</f>
        <v>299</v>
      </c>
      <c r="CB46" s="101"/>
      <c r="CC46" s="101">
        <f>Model!CC73</f>
        <v>84</v>
      </c>
      <c r="CD46" s="101">
        <f>Model!CD73</f>
        <v>87</v>
      </c>
      <c r="CE46" s="101">
        <f>Model!CE73</f>
        <v>96</v>
      </c>
      <c r="CF46" s="101">
        <f>Model!CF73</f>
        <v>130</v>
      </c>
      <c r="CG46" s="168">
        <f>Model!CG73</f>
        <v>397</v>
      </c>
      <c r="CH46" s="101"/>
      <c r="CI46" s="101">
        <f>Model!CI73</f>
        <v>125</v>
      </c>
      <c r="CJ46" s="101">
        <f>Model!CJ73</f>
        <v>140</v>
      </c>
      <c r="CK46" s="101">
        <f>Model!CK73</f>
        <v>142</v>
      </c>
      <c r="CL46" s="101">
        <f>Model!CL73</f>
        <v>151</v>
      </c>
      <c r="CM46" s="168">
        <f>Model!CM73</f>
        <v>558</v>
      </c>
      <c r="CN46" s="101"/>
      <c r="CO46" s="101">
        <f>Model!CO73</f>
        <v>158</v>
      </c>
      <c r="CP46" s="101">
        <f>Model!CP73</f>
        <v>167</v>
      </c>
      <c r="CQ46" s="101">
        <f>Model!CQ73</f>
        <v>174</v>
      </c>
      <c r="CR46" s="101">
        <f>Model!CR73</f>
        <v>194</v>
      </c>
      <c r="CS46" s="168">
        <f>Model!CS73</f>
        <v>693</v>
      </c>
      <c r="CT46" s="101"/>
      <c r="CU46" s="101">
        <f>Model!CU73</f>
        <v>195</v>
      </c>
      <c r="CV46" s="101">
        <f>Model!CV73</f>
        <v>189</v>
      </c>
      <c r="CW46" s="101">
        <f>Model!CW73</f>
        <v>191</v>
      </c>
      <c r="CX46" s="101">
        <f>Model!CX73</f>
        <v>204</v>
      </c>
      <c r="CY46" s="168">
        <f>Model!CY73</f>
        <v>779</v>
      </c>
      <c r="CZ46" s="101"/>
      <c r="DA46" s="101">
        <f>Model!DA73</f>
        <v>180</v>
      </c>
      <c r="DB46" s="101">
        <f>Model!DB73</f>
        <v>188</v>
      </c>
      <c r="DC46" s="101">
        <f>Model!DC73</f>
        <v>211</v>
      </c>
      <c r="DD46" s="101">
        <f>Model!DD73</f>
        <v>295</v>
      </c>
      <c r="DE46" s="168">
        <f>Model!DE73</f>
        <v>874</v>
      </c>
      <c r="DF46" s="101"/>
      <c r="DG46" s="101">
        <f>Model!DG73</f>
        <v>321</v>
      </c>
      <c r="DH46" s="101">
        <f>Model!DH73</f>
        <v>350</v>
      </c>
      <c r="DI46" s="101">
        <f>Model!DI73</f>
        <v>341</v>
      </c>
      <c r="DJ46" s="101">
        <f>Model!DJ73</f>
        <v>367</v>
      </c>
      <c r="DK46" s="168">
        <f>Model!DK73</f>
        <v>1379</v>
      </c>
      <c r="DL46" s="101"/>
      <c r="DM46" s="101">
        <f>Model!DM73</f>
        <v>387.327</v>
      </c>
      <c r="DN46" s="101">
        <f>Model!DN73</f>
        <v>375.09199999999998</v>
      </c>
      <c r="DO46" s="101">
        <f>Model!DO73</f>
        <v>347.61599999999999</v>
      </c>
      <c r="DP46" s="101">
        <f>Model!DP73</f>
        <v>377.226</v>
      </c>
      <c r="DQ46" s="168">
        <f>Model!DQ73</f>
        <v>1487.261</v>
      </c>
      <c r="DR46" s="101"/>
      <c r="DS46" s="101">
        <f>Model!DS73</f>
        <v>214.78225421556067</v>
      </c>
      <c r="DT46" s="101">
        <f>Model!DT73</f>
        <v>208.49375444947205</v>
      </c>
      <c r="DU46" s="101">
        <f>Model!DU73</f>
        <v>159.51860138550833</v>
      </c>
      <c r="DV46" s="101">
        <f>Model!DV73</f>
        <v>160.8911040473109</v>
      </c>
      <c r="DW46" s="168">
        <f>Model!DW73</f>
        <v>743.68571409785193</v>
      </c>
      <c r="DX46" s="101"/>
      <c r="DY46" s="101">
        <f>Model!DY73</f>
        <v>159.66620689655167</v>
      </c>
      <c r="DZ46" s="101">
        <f>Model!DZ73</f>
        <v>187.50547970479704</v>
      </c>
      <c r="EA46" s="101">
        <f>Model!EA73</f>
        <v>130.48311652794297</v>
      </c>
      <c r="EB46" s="101">
        <f>Model!EB73</f>
        <v>173.05555040871931</v>
      </c>
      <c r="EC46" s="168">
        <f>Model!EC73</f>
        <v>650.71035353801096</v>
      </c>
      <c r="ED46" s="101"/>
      <c r="EE46" s="101">
        <f>Model!EE73</f>
        <v>149.39868965517235</v>
      </c>
      <c r="EF46" s="101">
        <f>Model!EF73</f>
        <v>176.63592619926197</v>
      </c>
      <c r="EG46" s="101">
        <f>Model!EG73</f>
        <v>117.83922948870398</v>
      </c>
      <c r="EH46" s="101">
        <f>Model!EH73</f>
        <v>148.31209809264303</v>
      </c>
      <c r="EI46" s="168">
        <f>Model!EI73</f>
        <v>592.18594343578138</v>
      </c>
      <c r="EJ46" s="101"/>
      <c r="EK46" s="101">
        <f>Model!EK73</f>
        <v>124.0231034482758</v>
      </c>
      <c r="EL46" s="101">
        <f>Model!EL73</f>
        <v>119.22</v>
      </c>
      <c r="EM46" s="101">
        <f>Model!EM73</f>
        <v>90.65192152199765</v>
      </c>
      <c r="EN46" s="101">
        <f>Model!EN73</f>
        <v>119.12578928247045</v>
      </c>
      <c r="EO46" s="168">
        <f>Model!EO73</f>
        <v>453.02081425274389</v>
      </c>
      <c r="EP46" s="101"/>
      <c r="EQ46" s="101">
        <f>Model!EQ73</f>
        <v>99.525362068965464</v>
      </c>
      <c r="ER46" s="101">
        <f>Model!ER73</f>
        <v>95.521999999999991</v>
      </c>
      <c r="ES46" s="101">
        <f>Model!ES73</f>
        <v>71.183602853745569</v>
      </c>
      <c r="ET46" s="101">
        <f>Model!ET73</f>
        <v>98.673760217983613</v>
      </c>
      <c r="EU46" s="168">
        <f>Model!EU73</f>
        <v>364.90472514069467</v>
      </c>
      <c r="EV46" s="101"/>
      <c r="EW46" s="101">
        <f>Model!EW73</f>
        <v>82.041327586206847</v>
      </c>
      <c r="EX46" s="101">
        <f>Model!EX73</f>
        <v>82.666999999999987</v>
      </c>
      <c r="EY46" s="101">
        <f>Model!EY73</f>
        <v>62.418831153388837</v>
      </c>
      <c r="EZ46" s="101">
        <f>Model!EZ73</f>
        <v>88.500715354223388</v>
      </c>
      <c r="FA46" s="168">
        <f>Model!FA73</f>
        <v>315.62787409381906</v>
      </c>
      <c r="FB46" s="101"/>
      <c r="FC46" s="101">
        <f>Model!FC73</f>
        <v>73.22318508620684</v>
      </c>
      <c r="FD46" s="101">
        <f>Model!FD73</f>
        <v>72.77885999999998</v>
      </c>
      <c r="FE46" s="101">
        <f>Model!FE73</f>
        <v>52.851087705112967</v>
      </c>
      <c r="FF46" s="101">
        <f>Model!FF73</f>
        <v>77.209572253587609</v>
      </c>
      <c r="FG46" s="168">
        <f>Model!FG73</f>
        <v>276.06270504490737</v>
      </c>
      <c r="FH46" s="101"/>
      <c r="FI46" s="101">
        <f>Model!FI73</f>
        <v>62.157742768965456</v>
      </c>
      <c r="FJ46" s="101">
        <f>Model!FJ73</f>
        <v>61.529518599999975</v>
      </c>
      <c r="FK46" s="101">
        <f>Model!FK73</f>
        <v>43.132675288703929</v>
      </c>
      <c r="FL46" s="101">
        <f>Model!FL73</f>
        <v>65.72270870530059</v>
      </c>
      <c r="FM46" s="168">
        <f>Model!FM73</f>
        <v>232.54264536296995</v>
      </c>
      <c r="FO46" s="158" t="str">
        <f>FO13</f>
        <v>EMEA</v>
      </c>
      <c r="FP46" s="158">
        <f>CG89</f>
        <v>1277</v>
      </c>
      <c r="FQ46" s="802">
        <f>CM89</f>
        <v>1507</v>
      </c>
      <c r="FR46" s="158">
        <f>CS89</f>
        <v>2011</v>
      </c>
      <c r="FS46" s="158">
        <f>CY89</f>
        <v>1962</v>
      </c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</row>
    <row r="47" spans="1:274" s="24" customFormat="1" x14ac:dyDescent="0.2">
      <c r="A47" s="405" t="s">
        <v>92</v>
      </c>
      <c r="B47" s="603"/>
      <c r="C47" s="101" t="s">
        <v>945</v>
      </c>
      <c r="D47" s="101" t="s">
        <v>945</v>
      </c>
      <c r="E47" s="101" t="s">
        <v>945</v>
      </c>
      <c r="F47" s="101" t="s">
        <v>945</v>
      </c>
      <c r="G47" s="101" t="s">
        <v>945</v>
      </c>
      <c r="H47" s="101" t="s">
        <v>945</v>
      </c>
      <c r="I47" s="101" t="s">
        <v>945</v>
      </c>
      <c r="J47" s="101" t="s">
        <v>945</v>
      </c>
      <c r="K47" s="101" t="s">
        <v>945</v>
      </c>
      <c r="L47" s="101" t="s">
        <v>945</v>
      </c>
      <c r="M47" s="101" t="s">
        <v>945</v>
      </c>
      <c r="N47" s="101"/>
      <c r="O47" s="101" t="s">
        <v>945</v>
      </c>
      <c r="P47" s="101" t="s">
        <v>945</v>
      </c>
      <c r="Q47" s="101" t="s">
        <v>945</v>
      </c>
      <c r="R47" s="101" t="s">
        <v>945</v>
      </c>
      <c r="S47" s="101" t="s">
        <v>945</v>
      </c>
      <c r="T47" s="59"/>
      <c r="U47" s="101" t="s">
        <v>945</v>
      </c>
      <c r="V47" s="101" t="s">
        <v>945</v>
      </c>
      <c r="W47" s="101" t="s">
        <v>945</v>
      </c>
      <c r="X47" s="101" t="s">
        <v>945</v>
      </c>
      <c r="Y47" s="101" t="s">
        <v>945</v>
      </c>
      <c r="Z47" s="101"/>
      <c r="AA47" s="101" t="s">
        <v>945</v>
      </c>
      <c r="AB47" s="101" t="s">
        <v>945</v>
      </c>
      <c r="AC47" s="101" t="s">
        <v>945</v>
      </c>
      <c r="AD47" s="101" t="s">
        <v>945</v>
      </c>
      <c r="AE47" s="101" t="s">
        <v>945</v>
      </c>
      <c r="AF47" s="101"/>
      <c r="AG47" s="101" t="s">
        <v>945</v>
      </c>
      <c r="AH47" s="101" t="s">
        <v>945</v>
      </c>
      <c r="AI47" s="101" t="s">
        <v>945</v>
      </c>
      <c r="AJ47" s="101" t="s">
        <v>945</v>
      </c>
      <c r="AK47" s="101" t="s">
        <v>945</v>
      </c>
      <c r="AL47" s="101"/>
      <c r="AM47" s="101" t="s">
        <v>945</v>
      </c>
      <c r="AN47" s="101" t="s">
        <v>945</v>
      </c>
      <c r="AO47" s="101" t="s">
        <v>945</v>
      </c>
      <c r="AP47" s="101" t="s">
        <v>945</v>
      </c>
      <c r="AQ47" s="101" t="s">
        <v>945</v>
      </c>
      <c r="AR47" s="101"/>
      <c r="AS47" s="101" t="s">
        <v>945</v>
      </c>
      <c r="AT47" s="101" t="s">
        <v>945</v>
      </c>
      <c r="AU47" s="101" t="s">
        <v>945</v>
      </c>
      <c r="AV47" s="101" t="s">
        <v>945</v>
      </c>
      <c r="AW47" s="101" t="s">
        <v>945</v>
      </c>
      <c r="AX47" s="101"/>
      <c r="AY47" s="101">
        <v>88.903999999999996</v>
      </c>
      <c r="AZ47" s="101">
        <v>112.11499999999999</v>
      </c>
      <c r="BA47" s="101">
        <v>95.613</v>
      </c>
      <c r="BB47" s="101">
        <v>115.083</v>
      </c>
      <c r="BC47" s="101">
        <f>SUM(AY47:BB47)</f>
        <v>411.71500000000003</v>
      </c>
      <c r="BD47" s="101"/>
      <c r="BE47" s="101">
        <f>Model!BE74</f>
        <v>88.119</v>
      </c>
      <c r="BF47" s="101">
        <f>Model!BF74</f>
        <v>85.84</v>
      </c>
      <c r="BG47" s="101">
        <f>Model!BG74</f>
        <v>63.664999999999999</v>
      </c>
      <c r="BH47" s="101">
        <f>Model!BH74</f>
        <v>79.578000000000003</v>
      </c>
      <c r="BI47" s="101">
        <f t="shared" si="99"/>
        <v>317.202</v>
      </c>
      <c r="BJ47" s="101"/>
      <c r="BK47" s="101">
        <f>Model!BK74</f>
        <v>64</v>
      </c>
      <c r="BL47" s="101">
        <f>Model!BL74</f>
        <v>71</v>
      </c>
      <c r="BM47" s="101">
        <f>Model!BM74</f>
        <v>54</v>
      </c>
      <c r="BN47" s="101">
        <f>Model!BN74</f>
        <v>69</v>
      </c>
      <c r="BO47" s="101">
        <f t="shared" si="100"/>
        <v>258</v>
      </c>
      <c r="BP47" s="101"/>
      <c r="BQ47" s="101">
        <f>Model!BQ74</f>
        <v>56</v>
      </c>
      <c r="BR47" s="101">
        <f>Model!BR74</f>
        <v>68</v>
      </c>
      <c r="BS47" s="101">
        <f>Model!BS74</f>
        <v>50</v>
      </c>
      <c r="BT47" s="101">
        <f>Model!BT74</f>
        <v>65</v>
      </c>
      <c r="BU47" s="101">
        <f>Model!BU74</f>
        <v>239</v>
      </c>
      <c r="BV47" s="101"/>
      <c r="BW47" s="101">
        <f>Model!BW74</f>
        <v>50</v>
      </c>
      <c r="BX47" s="101">
        <f>Model!BX74</f>
        <v>66</v>
      </c>
      <c r="BY47" s="101">
        <f>Model!BY74</f>
        <v>68</v>
      </c>
      <c r="BZ47" s="101">
        <f>Model!BZ74</f>
        <v>86</v>
      </c>
      <c r="CA47" s="101">
        <f>Model!CA74</f>
        <v>270</v>
      </c>
      <c r="CB47" s="101"/>
      <c r="CC47" s="101">
        <f>Model!CC74</f>
        <v>72</v>
      </c>
      <c r="CD47" s="101">
        <f>Model!CD74</f>
        <v>82</v>
      </c>
      <c r="CE47" s="101">
        <f>Model!CE74</f>
        <v>74</v>
      </c>
      <c r="CF47" s="101">
        <f>Model!CF74</f>
        <v>95</v>
      </c>
      <c r="CG47" s="168">
        <f>Model!CG74</f>
        <v>323</v>
      </c>
      <c r="CH47" s="101"/>
      <c r="CI47" s="101">
        <f>Model!CI74</f>
        <v>81</v>
      </c>
      <c r="CJ47" s="101">
        <f>Model!CJ74</f>
        <v>93</v>
      </c>
      <c r="CK47" s="101">
        <f>Model!CK74</f>
        <v>80</v>
      </c>
      <c r="CL47" s="101">
        <f>Model!CL74</f>
        <v>105</v>
      </c>
      <c r="CM47" s="168">
        <f>Model!CM74</f>
        <v>359</v>
      </c>
      <c r="CN47" s="101"/>
      <c r="CO47" s="101">
        <f>Model!CO74</f>
        <v>100</v>
      </c>
      <c r="CP47" s="101">
        <f>Model!CP74</f>
        <v>110</v>
      </c>
      <c r="CQ47" s="101">
        <f>Model!CQ74</f>
        <v>92</v>
      </c>
      <c r="CR47" s="101">
        <f>Model!CR74</f>
        <v>114</v>
      </c>
      <c r="CS47" s="168">
        <f>Model!CS74</f>
        <v>416</v>
      </c>
      <c r="CT47" s="101"/>
      <c r="CU47" s="101">
        <f>Model!CU74</f>
        <v>99</v>
      </c>
      <c r="CV47" s="101">
        <f>Model!CV74</f>
        <v>100</v>
      </c>
      <c r="CW47" s="101">
        <f>Model!CW74</f>
        <v>71</v>
      </c>
      <c r="CX47" s="101">
        <f>Model!CX74</f>
        <v>79</v>
      </c>
      <c r="CY47" s="168">
        <f>Model!CY74</f>
        <v>349</v>
      </c>
      <c r="CZ47" s="101"/>
      <c r="DA47" s="101">
        <f>Model!DA74</f>
        <v>66</v>
      </c>
      <c r="DB47" s="101">
        <f>Model!DB74</f>
        <v>78</v>
      </c>
      <c r="DC47" s="101">
        <f>Model!DC74</f>
        <v>69</v>
      </c>
      <c r="DD47" s="101">
        <f>Model!DD74</f>
        <v>100</v>
      </c>
      <c r="DE47" s="168">
        <f>Model!DE74</f>
        <v>313</v>
      </c>
      <c r="DF47" s="101"/>
      <c r="DG47" s="101">
        <f>Model!DG74</f>
        <v>81</v>
      </c>
      <c r="DH47" s="101">
        <f>Model!DH74</f>
        <v>97</v>
      </c>
      <c r="DI47" s="101">
        <f>Model!DI74</f>
        <v>83</v>
      </c>
      <c r="DJ47" s="101">
        <f>Model!DJ74</f>
        <v>94</v>
      </c>
      <c r="DK47" s="168">
        <f>Model!DK74</f>
        <v>355</v>
      </c>
      <c r="DL47" s="101"/>
      <c r="DM47" s="101">
        <f>Model!DM74</f>
        <v>65.254000000000019</v>
      </c>
      <c r="DN47" s="101">
        <f>Model!DN74</f>
        <v>64.220000000000027</v>
      </c>
      <c r="DO47" s="101">
        <f>Model!DO74</f>
        <v>86.903999999999996</v>
      </c>
      <c r="DP47" s="101">
        <f>Model!DP74</f>
        <v>89.342999999999989</v>
      </c>
      <c r="DQ47" s="168">
        <f>Model!DQ74</f>
        <v>305.721</v>
      </c>
      <c r="DR47" s="101"/>
      <c r="DS47" s="101">
        <f>Model!DS74</f>
        <v>58.800000000000004</v>
      </c>
      <c r="DT47" s="101">
        <f>Model!DT74</f>
        <v>59.538000000000004</v>
      </c>
      <c r="DU47" s="101">
        <f>Model!DU74</f>
        <v>57.9</v>
      </c>
      <c r="DV47" s="101">
        <f>Model!DV74</f>
        <v>65.884</v>
      </c>
      <c r="DW47" s="168">
        <f>Model!DW74</f>
        <v>242.12200000000001</v>
      </c>
      <c r="DX47" s="101"/>
      <c r="DY47" s="101">
        <f>Model!DY74</f>
        <v>47.2</v>
      </c>
      <c r="DZ47" s="101">
        <f>Model!DZ74</f>
        <v>46.95</v>
      </c>
      <c r="EA47" s="101">
        <f>Model!EA74</f>
        <v>47.085000000000001</v>
      </c>
      <c r="EB47" s="101">
        <f>Model!EB74</f>
        <v>47.085000000000001</v>
      </c>
      <c r="EC47" s="168">
        <f>Model!EC74</f>
        <v>188.32000000000002</v>
      </c>
      <c r="ED47" s="101"/>
      <c r="EE47" s="101">
        <f>Model!EE74</f>
        <v>45.062400000000004</v>
      </c>
      <c r="EF47" s="101">
        <f>Model!EF74</f>
        <v>44.697600000000001</v>
      </c>
      <c r="EG47" s="101">
        <f>Model!EG74</f>
        <v>43.996800000000007</v>
      </c>
      <c r="EH47" s="101">
        <f>Model!EH74</f>
        <v>40.968000000000004</v>
      </c>
      <c r="EI47" s="168">
        <f>Model!EI74</f>
        <v>174.72480000000002</v>
      </c>
      <c r="EJ47" s="101"/>
      <c r="EK47" s="101">
        <f>Model!EK74</f>
        <v>38.253600000000006</v>
      </c>
      <c r="EL47" s="101">
        <f>Model!EL74</f>
        <v>36.560800000000008</v>
      </c>
      <c r="EM47" s="101">
        <f>Model!EM74</f>
        <v>35.171600000000005</v>
      </c>
      <c r="EN47" s="101">
        <f>Model!EN74</f>
        <v>33.460400000000007</v>
      </c>
      <c r="EO47" s="168">
        <f>Model!EO74</f>
        <v>143.44640000000004</v>
      </c>
      <c r="EP47" s="101"/>
      <c r="EQ47" s="101">
        <f>Model!EQ74</f>
        <v>31.473200000000009</v>
      </c>
      <c r="ER47" s="101">
        <f>Model!ER74</f>
        <v>30.021200000000007</v>
      </c>
      <c r="ES47" s="101">
        <f>Model!ES74</f>
        <v>28.850800000000007</v>
      </c>
      <c r="ET47" s="101">
        <f>Model!ET74</f>
        <v>28.234800000000007</v>
      </c>
      <c r="EU47" s="168">
        <f>Model!EU74</f>
        <v>118.58000000000003</v>
      </c>
      <c r="EV47" s="101"/>
      <c r="EW47" s="101">
        <f>Model!EW74</f>
        <v>26.682600000000008</v>
      </c>
      <c r="EX47" s="101">
        <f>Model!EX74</f>
        <v>26.70780000000001</v>
      </c>
      <c r="EY47" s="101">
        <f>Model!EY74</f>
        <v>26.598600000000008</v>
      </c>
      <c r="EZ47" s="101">
        <f>Model!EZ74</f>
        <v>25.854129000000007</v>
      </c>
      <c r="FA47" s="168">
        <f>Model!FA74</f>
        <v>105.84312900000003</v>
      </c>
      <c r="FB47" s="101"/>
      <c r="FC47" s="101">
        <f>Model!FC74</f>
        <v>24.584340000000012</v>
      </c>
      <c r="FD47" s="101">
        <f>Model!FD74</f>
        <v>24.259620000000009</v>
      </c>
      <c r="FE47" s="101">
        <f>Model!FE74</f>
        <v>23.87098000000001</v>
      </c>
      <c r="FF47" s="101">
        <f>Model!FF74</f>
        <v>23.087381600000011</v>
      </c>
      <c r="FG47" s="168">
        <f>Model!FG74</f>
        <v>95.802321600000056</v>
      </c>
      <c r="FH47" s="101"/>
      <c r="FI47" s="101">
        <f>Model!FI74</f>
        <v>21.642285160000011</v>
      </c>
      <c r="FJ47" s="101">
        <f>Model!FJ74</f>
        <v>21.255651880000009</v>
      </c>
      <c r="FK47" s="101">
        <f>Model!FK74</f>
        <v>20.863236520000008</v>
      </c>
      <c r="FL47" s="101">
        <f>Model!FL74</f>
        <v>20.178371518400009</v>
      </c>
      <c r="FM47" s="168">
        <f>Model!FM74</f>
        <v>83.93954507840003</v>
      </c>
      <c r="FO47" s="158" t="str">
        <f>FO14</f>
        <v>Asia Pacific</v>
      </c>
      <c r="FP47" s="158">
        <f>CG104</f>
        <v>771</v>
      </c>
      <c r="FQ47" s="802">
        <f>CM104</f>
        <v>869</v>
      </c>
      <c r="FR47" s="158">
        <f>CS104</f>
        <v>977</v>
      </c>
      <c r="FS47" s="158">
        <f>CY104</f>
        <v>1046</v>
      </c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</row>
    <row r="48" spans="1:274" s="24" customFormat="1" x14ac:dyDescent="0.2">
      <c r="A48" s="405" t="s">
        <v>543</v>
      </c>
      <c r="B48" s="440"/>
      <c r="C48" s="101" t="s">
        <v>945</v>
      </c>
      <c r="D48" s="101" t="s">
        <v>945</v>
      </c>
      <c r="E48" s="101" t="s">
        <v>945</v>
      </c>
      <c r="F48" s="101" t="s">
        <v>945</v>
      </c>
      <c r="G48" s="101" t="s">
        <v>945</v>
      </c>
      <c r="H48" s="101" t="s">
        <v>945</v>
      </c>
      <c r="I48" s="101" t="s">
        <v>945</v>
      </c>
      <c r="J48" s="101" t="s">
        <v>945</v>
      </c>
      <c r="K48" s="101" t="s">
        <v>945</v>
      </c>
      <c r="L48" s="101" t="s">
        <v>945</v>
      </c>
      <c r="M48" s="101" t="s">
        <v>945</v>
      </c>
      <c r="N48" s="101"/>
      <c r="O48" s="101" t="s">
        <v>945</v>
      </c>
      <c r="P48" s="101" t="s">
        <v>945</v>
      </c>
      <c r="Q48" s="101" t="s">
        <v>945</v>
      </c>
      <c r="R48" s="101" t="s">
        <v>945</v>
      </c>
      <c r="S48" s="101" t="s">
        <v>945</v>
      </c>
      <c r="T48" s="59"/>
      <c r="U48" s="101" t="s">
        <v>945</v>
      </c>
      <c r="V48" s="101" t="s">
        <v>945</v>
      </c>
      <c r="W48" s="101" t="s">
        <v>945</v>
      </c>
      <c r="X48" s="101" t="s">
        <v>945</v>
      </c>
      <c r="Y48" s="101" t="s">
        <v>945</v>
      </c>
      <c r="Z48" s="101"/>
      <c r="AA48" s="101">
        <v>17.53</v>
      </c>
      <c r="AB48" s="101">
        <v>17.690000000000001</v>
      </c>
      <c r="AC48" s="101">
        <v>16.850999999999999</v>
      </c>
      <c r="AD48" s="101">
        <v>22.173999999999999</v>
      </c>
      <c r="AE48" s="101">
        <f>SUM(AA48:AD48)</f>
        <v>74.245000000000005</v>
      </c>
      <c r="AF48" s="101"/>
      <c r="AG48" s="101">
        <v>25.265999999999998</v>
      </c>
      <c r="AH48" s="101">
        <v>24.198</v>
      </c>
      <c r="AI48" s="101">
        <v>21.327999999999999</v>
      </c>
      <c r="AJ48" s="101">
        <v>33.637</v>
      </c>
      <c r="AK48" s="101">
        <f>SUM(AG48:AJ48)</f>
        <v>104.429</v>
      </c>
      <c r="AL48" s="101"/>
      <c r="AM48" s="101">
        <v>24.850999999999999</v>
      </c>
      <c r="AN48" s="101">
        <v>22.181000000000001</v>
      </c>
      <c r="AO48" s="101">
        <v>21.132000000000001</v>
      </c>
      <c r="AP48" s="101">
        <v>29.334</v>
      </c>
      <c r="AQ48" s="101">
        <f>SUM(AM48:AP48)</f>
        <v>97.498000000000005</v>
      </c>
      <c r="AR48" s="101"/>
      <c r="AS48" s="101">
        <v>29.535</v>
      </c>
      <c r="AT48" s="101">
        <v>25.460999999999999</v>
      </c>
      <c r="AU48" s="101">
        <v>28.167000000000002</v>
      </c>
      <c r="AV48" s="101">
        <v>48.603000000000002</v>
      </c>
      <c r="AW48" s="101">
        <f>SUM(AS48:AV48)</f>
        <v>131.76599999999999</v>
      </c>
      <c r="AX48" s="101"/>
      <c r="AY48" s="101">
        <v>39.081000000000003</v>
      </c>
      <c r="AZ48" s="101">
        <v>27.780999999999999</v>
      </c>
      <c r="BA48" s="101">
        <v>30.318999999999999</v>
      </c>
      <c r="BB48" s="101">
        <v>40.503999999999998</v>
      </c>
      <c r="BC48" s="101">
        <f>SUM(AY48:BB48)</f>
        <v>137.685</v>
      </c>
      <c r="BD48" s="101"/>
      <c r="BE48" s="101">
        <f>Model!BE75</f>
        <v>20.324000000000002</v>
      </c>
      <c r="BF48" s="101">
        <f>Model!BF75</f>
        <v>15.933</v>
      </c>
      <c r="BG48" s="101">
        <f>Model!BG75</f>
        <v>12.625</v>
      </c>
      <c r="BH48" s="101">
        <f>Model!BH75</f>
        <v>22.641999999999999</v>
      </c>
      <c r="BI48" s="101">
        <f t="shared" si="99"/>
        <v>71.524000000000001</v>
      </c>
      <c r="BJ48" s="101"/>
      <c r="BK48" s="101">
        <f>Model!BK75</f>
        <v>0</v>
      </c>
      <c r="BL48" s="101">
        <f>Model!BL75</f>
        <v>0</v>
      </c>
      <c r="BM48" s="101">
        <f>Model!BM75</f>
        <v>0</v>
      </c>
      <c r="BN48" s="101">
        <f>Model!BN75</f>
        <v>0</v>
      </c>
      <c r="BO48" s="101">
        <f t="shared" si="100"/>
        <v>0</v>
      </c>
      <c r="BP48" s="101"/>
      <c r="BQ48" s="101">
        <f>Model!BQ75</f>
        <v>0</v>
      </c>
      <c r="BR48" s="101">
        <f>Model!BR75</f>
        <v>0</v>
      </c>
      <c r="BS48" s="101">
        <f>Model!BS75</f>
        <v>0</v>
      </c>
      <c r="BT48" s="101">
        <f>Model!BT75</f>
        <v>0</v>
      </c>
      <c r="BU48" s="101">
        <f>Model!BU75</f>
        <v>0</v>
      </c>
      <c r="BV48" s="101"/>
      <c r="BW48" s="101">
        <f>Model!BW75</f>
        <v>0</v>
      </c>
      <c r="BX48" s="101">
        <f>Model!BX75</f>
        <v>0</v>
      </c>
      <c r="BY48" s="101">
        <f>Model!BY75</f>
        <v>0</v>
      </c>
      <c r="BZ48" s="101">
        <f>Model!BZ75</f>
        <v>0</v>
      </c>
      <c r="CA48" s="101">
        <f>Model!CA75</f>
        <v>0</v>
      </c>
      <c r="CB48" s="101"/>
      <c r="CC48" s="101">
        <f>Model!CC75</f>
        <v>637</v>
      </c>
      <c r="CD48" s="101">
        <f>Model!CD75</f>
        <v>675</v>
      </c>
      <c r="CE48" s="101">
        <f>Model!CE75</f>
        <v>671</v>
      </c>
      <c r="CF48" s="101">
        <f>Model!CF75</f>
        <v>857</v>
      </c>
      <c r="CG48" s="168">
        <f>Model!CG75</f>
        <v>2840</v>
      </c>
      <c r="CH48" s="101"/>
      <c r="CI48" s="101">
        <f>Model!CI75</f>
        <v>846</v>
      </c>
      <c r="CJ48" s="101">
        <f>Model!CJ75</f>
        <v>949</v>
      </c>
      <c r="CK48" s="101">
        <f>Model!CK75</f>
        <v>916</v>
      </c>
      <c r="CL48" s="101">
        <f>Model!CL75</f>
        <v>1075</v>
      </c>
      <c r="CM48" s="168">
        <f>Model!CM75</f>
        <v>3786</v>
      </c>
      <c r="CN48" s="101"/>
      <c r="CO48" s="101">
        <f>Model!CO75</f>
        <v>1059</v>
      </c>
      <c r="CP48" s="101">
        <f>Model!CP75</f>
        <v>1154</v>
      </c>
      <c r="CQ48" s="101">
        <f>Model!CQ75</f>
        <v>1109</v>
      </c>
      <c r="CR48" s="101">
        <f>Model!CR75</f>
        <v>1265</v>
      </c>
      <c r="CS48" s="168">
        <f>Model!CS75</f>
        <v>4587</v>
      </c>
      <c r="CT48" s="101"/>
      <c r="CU48" s="101">
        <f>Model!CU75</f>
        <v>1159</v>
      </c>
      <c r="CV48" s="101">
        <f>Model!CV75</f>
        <v>1131</v>
      </c>
      <c r="CW48" s="101">
        <f>Model!CW75</f>
        <v>1020</v>
      </c>
      <c r="CX48" s="101">
        <f>Model!CX75</f>
        <v>1065</v>
      </c>
      <c r="CY48" s="168">
        <f>Model!CY75</f>
        <v>4375</v>
      </c>
      <c r="CZ48" s="101"/>
      <c r="DA48" s="101">
        <f>Model!DA75</f>
        <v>909</v>
      </c>
      <c r="DB48" s="101">
        <f>Model!DB75</f>
        <v>958</v>
      </c>
      <c r="DC48" s="101">
        <f>Model!DC75</f>
        <v>931</v>
      </c>
      <c r="DD48" s="101">
        <f>Model!DD75</f>
        <v>1108</v>
      </c>
      <c r="DE48" s="168">
        <f>Model!DE75</f>
        <v>3906</v>
      </c>
      <c r="DF48" s="101"/>
      <c r="DG48" s="101">
        <f>Model!DG75</f>
        <v>1068</v>
      </c>
      <c r="DH48" s="101">
        <f>Model!DH75</f>
        <v>1185</v>
      </c>
      <c r="DI48" s="101">
        <f>Model!DI75</f>
        <v>1146</v>
      </c>
      <c r="DJ48" s="101">
        <f>Model!DJ75</f>
        <v>1248</v>
      </c>
      <c r="DK48" s="168">
        <f>Model!DK75</f>
        <v>4647</v>
      </c>
      <c r="DL48" s="101"/>
      <c r="DM48" s="101">
        <f>Model!DM75</f>
        <v>1180</v>
      </c>
      <c r="DN48" s="101">
        <f>Model!DN75</f>
        <v>1180</v>
      </c>
      <c r="DO48" s="101">
        <f>Model!DO75</f>
        <v>1141.3391999999999</v>
      </c>
      <c r="DP48" s="101">
        <f>Model!DP75</f>
        <v>1202.1596999999999</v>
      </c>
      <c r="DQ48" s="168">
        <f>Model!DQ75</f>
        <v>4703.4988999999996</v>
      </c>
      <c r="DR48" s="101"/>
      <c r="DS48" s="101">
        <f>Model!DS75</f>
        <v>995</v>
      </c>
      <c r="DT48" s="101">
        <f>Model!DT75</f>
        <v>1010</v>
      </c>
      <c r="DU48" s="101">
        <f>Model!DU75</f>
        <v>935</v>
      </c>
      <c r="DV48" s="101">
        <f>Model!DV75</f>
        <v>975</v>
      </c>
      <c r="DW48" s="168">
        <f>Model!DW75</f>
        <v>3915</v>
      </c>
      <c r="DX48" s="101"/>
      <c r="DY48" s="101">
        <f>Model!DY75</f>
        <v>918</v>
      </c>
      <c r="DZ48" s="101">
        <f>Model!DZ75</f>
        <v>959</v>
      </c>
      <c r="EA48" s="101">
        <f>Model!EA75</f>
        <v>884</v>
      </c>
      <c r="EB48" s="101">
        <f>Model!EB75</f>
        <v>940</v>
      </c>
      <c r="EC48" s="168">
        <f>Model!EC75</f>
        <v>3701</v>
      </c>
      <c r="ED48" s="101"/>
      <c r="EE48" s="101">
        <f>Model!EE75</f>
        <v>855</v>
      </c>
      <c r="EF48" s="101">
        <f>Model!EF75</f>
        <v>935</v>
      </c>
      <c r="EG48" s="101">
        <f>Model!EG75</f>
        <v>858</v>
      </c>
      <c r="EH48" s="101">
        <f>Model!EH75</f>
        <v>899</v>
      </c>
      <c r="EI48" s="168">
        <f>Model!EI75</f>
        <v>3547</v>
      </c>
      <c r="EJ48" s="101"/>
      <c r="EK48" s="101">
        <f>Model!EK75</f>
        <v>862</v>
      </c>
      <c r="EL48" s="101">
        <f>Model!EL75</f>
        <v>861</v>
      </c>
      <c r="EM48" s="101">
        <f>Model!EM75</f>
        <v>793</v>
      </c>
      <c r="EN48" s="101">
        <f>Model!EN75</f>
        <v>872</v>
      </c>
      <c r="EO48" s="168">
        <f>Model!EO75</f>
        <v>3388</v>
      </c>
      <c r="EP48" s="101"/>
      <c r="EQ48" s="101">
        <f>Model!EQ75</f>
        <v>808</v>
      </c>
      <c r="ER48" s="101">
        <f>Model!ER75</f>
        <v>843.78</v>
      </c>
      <c r="ES48" s="101">
        <f>Model!ES75</f>
        <v>812</v>
      </c>
      <c r="ET48" s="101">
        <f>Model!ET75</f>
        <v>894</v>
      </c>
      <c r="EU48" s="168">
        <f>Model!EU75</f>
        <v>3357.7799999999997</v>
      </c>
      <c r="EV48" s="101"/>
      <c r="EW48" s="101">
        <f>Model!EW75</f>
        <v>860</v>
      </c>
      <c r="EX48" s="101">
        <f>Model!EX75</f>
        <v>856</v>
      </c>
      <c r="EY48" s="101">
        <f>Model!EY75</f>
        <v>796</v>
      </c>
      <c r="EZ48" s="101">
        <f>Model!EZ75</f>
        <v>911.88</v>
      </c>
      <c r="FA48" s="168">
        <f>Model!FA75</f>
        <v>3423.88</v>
      </c>
      <c r="FB48" s="101"/>
      <c r="FC48" s="101">
        <f>Model!FC75</f>
        <v>860</v>
      </c>
      <c r="FD48" s="101">
        <f>Model!FD75</f>
        <v>856</v>
      </c>
      <c r="FE48" s="101">
        <f>Model!FE75</f>
        <v>796</v>
      </c>
      <c r="FF48" s="101">
        <f>Model!FF75</f>
        <v>911.88</v>
      </c>
      <c r="FG48" s="168">
        <f>Model!FG75</f>
        <v>3423.88</v>
      </c>
      <c r="FH48" s="101"/>
      <c r="FI48" s="101">
        <f>Model!FI75</f>
        <v>860</v>
      </c>
      <c r="FJ48" s="101">
        <f>Model!FJ75</f>
        <v>856</v>
      </c>
      <c r="FK48" s="101">
        <f>Model!FK75</f>
        <v>796</v>
      </c>
      <c r="FL48" s="101">
        <f>Model!FL75</f>
        <v>911.88</v>
      </c>
      <c r="FM48" s="168">
        <f>Model!FM75</f>
        <v>3423.88</v>
      </c>
      <c r="FP48" s="806">
        <f>CG119</f>
        <v>3565</v>
      </c>
      <c r="FQ48" s="807">
        <f>CM119</f>
        <v>4119</v>
      </c>
      <c r="FR48" s="808">
        <f>CS119</f>
        <v>5146</v>
      </c>
      <c r="FS48" s="808">
        <f>CY119</f>
        <v>5121.5</v>
      </c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</row>
    <row r="49" spans="1:274" s="24" customFormat="1" x14ac:dyDescent="0.2">
      <c r="A49" s="803" t="s">
        <v>698</v>
      </c>
      <c r="B49" s="602"/>
      <c r="C49" s="804" t="s">
        <v>945</v>
      </c>
      <c r="D49" s="804" t="s">
        <v>945</v>
      </c>
      <c r="E49" s="804" t="s">
        <v>945</v>
      </c>
      <c r="F49" s="804" t="s">
        <v>945</v>
      </c>
      <c r="G49" s="804" t="s">
        <v>945</v>
      </c>
      <c r="H49" s="804" t="s">
        <v>945</v>
      </c>
      <c r="I49" s="804" t="s">
        <v>945</v>
      </c>
      <c r="J49" s="804" t="s">
        <v>945</v>
      </c>
      <c r="K49" s="804" t="s">
        <v>945</v>
      </c>
      <c r="L49" s="804" t="s">
        <v>945</v>
      </c>
      <c r="M49" s="804" t="s">
        <v>945</v>
      </c>
      <c r="N49" s="804"/>
      <c r="O49" s="804" t="s">
        <v>945</v>
      </c>
      <c r="P49" s="804" t="s">
        <v>945</v>
      </c>
      <c r="Q49" s="804" t="s">
        <v>945</v>
      </c>
      <c r="R49" s="804" t="s">
        <v>945</v>
      </c>
      <c r="S49" s="804" t="s">
        <v>945</v>
      </c>
      <c r="T49" s="804"/>
      <c r="U49" s="804" t="s">
        <v>945</v>
      </c>
      <c r="V49" s="804" t="s">
        <v>945</v>
      </c>
      <c r="W49" s="804" t="s">
        <v>945</v>
      </c>
      <c r="X49" s="804" t="s">
        <v>945</v>
      </c>
      <c r="Y49" s="804" t="s">
        <v>945</v>
      </c>
      <c r="Z49" s="804"/>
      <c r="AA49" s="804">
        <f>SUM(AA43:AA48)</f>
        <v>1052.3190000000002</v>
      </c>
      <c r="AB49" s="804">
        <f>SUM(AB43:AB48)</f>
        <v>1311.373</v>
      </c>
      <c r="AC49" s="804">
        <f>SUM(AC43:AC48)</f>
        <v>1372.6129999999998</v>
      </c>
      <c r="AD49" s="804">
        <f>SUM(AD43:AD48)</f>
        <v>1948.0310000000002</v>
      </c>
      <c r="AE49" s="804">
        <f>SUM(AE43:AE48)</f>
        <v>5684.3360000000002</v>
      </c>
      <c r="AF49" s="804"/>
      <c r="AG49" s="804">
        <f>SUM(AG43:AG48)</f>
        <v>1368.8290000000002</v>
      </c>
      <c r="AH49" s="804">
        <f>SUM(AH43:AH48)</f>
        <v>1613.7270000000001</v>
      </c>
      <c r="AI49" s="804">
        <f>SUM(AI43:AI48)</f>
        <v>1748.7570000000001</v>
      </c>
      <c r="AJ49" s="804">
        <f>SUM(AJ43:AJ48)</f>
        <v>2412.5530000000003</v>
      </c>
      <c r="AK49" s="804">
        <f>SUM(AK43:AK48)</f>
        <v>7143.866</v>
      </c>
      <c r="AL49" s="804"/>
      <c r="AM49" s="804">
        <f>SUM(AM43:AM48)</f>
        <v>1749.1100000000001</v>
      </c>
      <c r="AN49" s="804">
        <f>SUM(AN43:AN48)</f>
        <v>2055.944</v>
      </c>
      <c r="AO49" s="804">
        <f>SUM(AO43:AO48)</f>
        <v>2078.92</v>
      </c>
      <c r="AP49" s="804">
        <f>SUM(AP43:AP48)</f>
        <v>2943.2779999999998</v>
      </c>
      <c r="AQ49" s="804">
        <f>SUM(AQ43:AQ48)</f>
        <v>8827.2520000000004</v>
      </c>
      <c r="AR49" s="804"/>
      <c r="AS49" s="804">
        <f>SUM(AS43:AS48)</f>
        <v>1984.5170000000001</v>
      </c>
      <c r="AT49" s="804">
        <f>SUM(AT43:AT48)</f>
        <v>2321.8829999999998</v>
      </c>
      <c r="AU49" s="804">
        <f>SUM(AU43:AU48)</f>
        <v>2449.4179999999997</v>
      </c>
      <c r="AV49" s="804">
        <f>SUM(AV43:AV48)</f>
        <v>3374.31</v>
      </c>
      <c r="AW49" s="804">
        <f>SUM(AW43:AW48)</f>
        <v>10130.128000000001</v>
      </c>
      <c r="AX49" s="804"/>
      <c r="AY49" s="804">
        <f>SUM(AY43:AY48)</f>
        <v>2287.9920000000002</v>
      </c>
      <c r="AZ49" s="804">
        <f>SUM(AZ43:AZ48)</f>
        <v>2686.4079999999994</v>
      </c>
      <c r="BA49" s="804">
        <f>SUM(BA43:BA48)</f>
        <v>2696.0619999999999</v>
      </c>
      <c r="BB49" s="804">
        <f>SUM(BB43:BB48)</f>
        <v>3290.23</v>
      </c>
      <c r="BC49" s="804">
        <f>SUM(BC43:BC48)</f>
        <v>10960.691999999999</v>
      </c>
      <c r="BD49" s="804"/>
      <c r="BE49" s="804">
        <f>Model!BE91</f>
        <v>2265.0549999999998</v>
      </c>
      <c r="BF49" s="804">
        <f>Model!BF91</f>
        <v>2380.4369999999999</v>
      </c>
      <c r="BG49" s="804">
        <f>Model!BG91</f>
        <v>2253.3199999999997</v>
      </c>
      <c r="BH49" s="804">
        <f>Model!BH91</f>
        <v>2773.9810000000002</v>
      </c>
      <c r="BI49" s="804">
        <f t="shared" si="99"/>
        <v>9672.7929999999997</v>
      </c>
      <c r="BJ49" s="804"/>
      <c r="BK49" s="804">
        <f>Model!BK91</f>
        <v>2028</v>
      </c>
      <c r="BL49" s="804">
        <f>Model!BL91</f>
        <v>2309</v>
      </c>
      <c r="BM49" s="804">
        <f>Model!BM91</f>
        <v>2307</v>
      </c>
      <c r="BN49" s="804">
        <f>Model!BN91</f>
        <v>2831.4</v>
      </c>
      <c r="BO49" s="804">
        <f t="shared" si="100"/>
        <v>9475.4</v>
      </c>
      <c r="BP49" s="804"/>
      <c r="BQ49" s="804">
        <f>Model!BQ91</f>
        <v>2072</v>
      </c>
      <c r="BR49" s="804">
        <f>Model!BR91</f>
        <v>2498</v>
      </c>
      <c r="BS49" s="804">
        <f>Model!BS91</f>
        <v>2509</v>
      </c>
      <c r="BT49" s="804">
        <f>Model!BT91</f>
        <v>3077</v>
      </c>
      <c r="BU49" s="804">
        <f>Model!BU91</f>
        <v>10156</v>
      </c>
      <c r="BV49" s="804"/>
      <c r="BW49" s="804">
        <f>Model!BW91</f>
        <v>2215</v>
      </c>
      <c r="BX49" s="804">
        <f>Model!BX91</f>
        <v>2756</v>
      </c>
      <c r="BY49" s="804">
        <f>Model!BY91</f>
        <v>3093</v>
      </c>
      <c r="BZ49" s="804">
        <f>Model!BZ91</f>
        <v>4055</v>
      </c>
      <c r="CA49" s="804">
        <f>Model!CA91</f>
        <v>12119</v>
      </c>
      <c r="CB49" s="804"/>
      <c r="CC49" s="804">
        <f>Model!CC91</f>
        <v>2907</v>
      </c>
      <c r="CD49" s="804">
        <f>Model!CD91</f>
        <v>3394</v>
      </c>
      <c r="CE49" s="804">
        <f>Model!CE91</f>
        <v>3534.4</v>
      </c>
      <c r="CF49" s="804">
        <f>Model!CF91</f>
        <v>4937</v>
      </c>
      <c r="CG49" s="805">
        <f>Model!CG91</f>
        <v>14772.4</v>
      </c>
      <c r="CH49" s="804"/>
      <c r="CI49" s="804">
        <f>Model!CI91</f>
        <v>3661</v>
      </c>
      <c r="CJ49" s="804">
        <f>Model!CJ91</f>
        <v>4216</v>
      </c>
      <c r="CK49" s="804">
        <f>Model!CK91</f>
        <v>4449</v>
      </c>
      <c r="CL49" s="804">
        <f>Model!CL91</f>
        <v>5883</v>
      </c>
      <c r="CM49" s="805">
        <f>Model!CM91</f>
        <v>18209</v>
      </c>
      <c r="CN49" s="804"/>
      <c r="CO49" s="804">
        <f>Model!CO91</f>
        <v>4593</v>
      </c>
      <c r="CP49" s="804">
        <f>Model!CP91</f>
        <v>5364</v>
      </c>
      <c r="CQ49" s="804">
        <f>Model!CQ91</f>
        <v>5371</v>
      </c>
      <c r="CR49" s="804">
        <f>Model!CR91</f>
        <v>7281</v>
      </c>
      <c r="CS49" s="805">
        <f>Model!CS91</f>
        <v>22609</v>
      </c>
      <c r="CT49" s="804"/>
      <c r="CU49" s="804">
        <f>Model!CU91</f>
        <v>5422</v>
      </c>
      <c r="CV49" s="804">
        <f>Model!CV91</f>
        <v>5687</v>
      </c>
      <c r="CW49" s="804">
        <f>Model!CW91</f>
        <v>5504</v>
      </c>
      <c r="CX49" s="804">
        <f>Model!CX91</f>
        <v>6881</v>
      </c>
      <c r="CY49" s="805">
        <f>Model!CY91</f>
        <v>23494</v>
      </c>
      <c r="CZ49" s="804"/>
      <c r="DA49" s="804">
        <f>Model!DA91</f>
        <v>5063</v>
      </c>
      <c r="DB49" s="804">
        <f>Model!DB91</f>
        <v>5872</v>
      </c>
      <c r="DC49" s="804">
        <f>Model!DC91</f>
        <v>6469.4</v>
      </c>
      <c r="DD49" s="804">
        <f>Model!DD91</f>
        <v>9631</v>
      </c>
      <c r="DE49" s="805">
        <f>Model!DE91</f>
        <v>27035.4</v>
      </c>
      <c r="DF49" s="804"/>
      <c r="DG49" s="804">
        <f>Model!DG91</f>
        <v>7588</v>
      </c>
      <c r="DH49" s="804">
        <f>Model!DH91</f>
        <v>8694</v>
      </c>
      <c r="DI49" s="804">
        <f>Model!DI91</f>
        <v>8807</v>
      </c>
      <c r="DJ49" s="804">
        <f>Model!DJ91</f>
        <v>10806</v>
      </c>
      <c r="DK49" s="805">
        <f>Model!DK91</f>
        <v>35895</v>
      </c>
      <c r="DL49" s="804"/>
      <c r="DM49" s="804">
        <f>Model!DM91</f>
        <v>8398</v>
      </c>
      <c r="DN49" s="804">
        <f>Model!DN91</f>
        <v>8811</v>
      </c>
      <c r="DO49" s="804">
        <f>Model!DO91</f>
        <v>9062.3392000000003</v>
      </c>
      <c r="DP49" s="804">
        <f>Model!DP91</f>
        <v>10950.1597</v>
      </c>
      <c r="DQ49" s="805">
        <f>Model!DQ91</f>
        <v>37221.498900000006</v>
      </c>
      <c r="DR49" s="804"/>
      <c r="DS49" s="804">
        <f>Model!DS91</f>
        <v>8209</v>
      </c>
      <c r="DT49" s="804">
        <f>Model!DT91</f>
        <v>9113</v>
      </c>
      <c r="DU49" s="804">
        <f>Model!DU91</f>
        <v>8970</v>
      </c>
      <c r="DV49" s="804">
        <f>Model!DV91</f>
        <v>10961</v>
      </c>
      <c r="DW49" s="805">
        <f>Model!DW91</f>
        <v>37253</v>
      </c>
      <c r="DX49" s="804"/>
      <c r="DY49" s="804">
        <f>Model!DY91</f>
        <v>8381</v>
      </c>
      <c r="DZ49" s="804">
        <f>Model!DZ91</f>
        <v>9283</v>
      </c>
      <c r="EA49" s="804">
        <f>Model!EA91</f>
        <v>9315</v>
      </c>
      <c r="EB49" s="804">
        <f>Model!EB91</f>
        <v>11326</v>
      </c>
      <c r="EC49" s="805">
        <f>Model!EC91</f>
        <v>38305</v>
      </c>
      <c r="ED49" s="804"/>
      <c r="EE49" s="804">
        <f>Model!EE91</f>
        <v>8599</v>
      </c>
      <c r="EF49" s="804">
        <f>Model!EF91</f>
        <v>9608</v>
      </c>
      <c r="EG49" s="804">
        <f>Model!EG91</f>
        <v>9334</v>
      </c>
      <c r="EH49" s="804">
        <f>Model!EH91</f>
        <v>10712</v>
      </c>
      <c r="EI49" s="805">
        <f>Model!EI91</f>
        <v>38253</v>
      </c>
      <c r="EJ49" s="804"/>
      <c r="EK49" s="804">
        <f>Model!EK91</f>
        <v>8451</v>
      </c>
      <c r="EL49" s="804">
        <f>Model!EL91</f>
        <v>8996</v>
      </c>
      <c r="EM49" s="804">
        <f>Model!EM91</f>
        <v>9014</v>
      </c>
      <c r="EN49" s="804">
        <f>Model!EN91</f>
        <v>10596</v>
      </c>
      <c r="EO49" s="805">
        <f>Model!EO91</f>
        <v>37057</v>
      </c>
      <c r="EP49" s="804"/>
      <c r="EQ49" s="804">
        <f>Model!EQ91</f>
        <v>8613</v>
      </c>
      <c r="ER49" s="804">
        <f>Model!ER91</f>
        <v>9069.7799999999988</v>
      </c>
      <c r="ES49" s="804">
        <f>Model!ES91</f>
        <v>9274</v>
      </c>
      <c r="ET49" s="804">
        <f>Model!ET91</f>
        <v>10941</v>
      </c>
      <c r="EU49" s="805">
        <f>Model!EU91</f>
        <v>37897.78</v>
      </c>
      <c r="EV49" s="804"/>
      <c r="EW49" s="804">
        <f>Model!EW91</f>
        <v>9212</v>
      </c>
      <c r="EX49" s="804">
        <f>Model!EX91</f>
        <v>9630</v>
      </c>
      <c r="EY49" s="804">
        <f>Model!EY91</f>
        <v>9776</v>
      </c>
      <c r="EZ49" s="804">
        <f>Model!EZ91</f>
        <v>11189.672666097718</v>
      </c>
      <c r="FA49" s="805">
        <f>Model!FA91</f>
        <v>39807.672666097715</v>
      </c>
      <c r="FB49" s="804"/>
      <c r="FC49" s="804">
        <f>Model!FC91</f>
        <v>9549.3946591173699</v>
      </c>
      <c r="FD49" s="804">
        <f>Model!FD91</f>
        <v>9981.8770320631811</v>
      </c>
      <c r="FE49" s="804">
        <f>Model!FE91</f>
        <v>10091.835491560028</v>
      </c>
      <c r="FF49" s="804">
        <f>Model!FF91</f>
        <v>11403.477190248725</v>
      </c>
      <c r="FG49" s="805">
        <f>Model!FG91</f>
        <v>41026.584372989302</v>
      </c>
      <c r="FH49" s="804"/>
      <c r="FI49" s="804">
        <f>Model!FI91</f>
        <v>9939.594532346644</v>
      </c>
      <c r="FJ49" s="804">
        <f>Model!FJ91</f>
        <v>10342.853603262749</v>
      </c>
      <c r="FK49" s="804">
        <f>Model!FK91</f>
        <v>10440.008118755788</v>
      </c>
      <c r="FL49" s="804">
        <f>Model!FL91</f>
        <v>11676.39968560894</v>
      </c>
      <c r="FM49" s="805">
        <f>Model!FM91</f>
        <v>42398.855939974121</v>
      </c>
      <c r="FQ49" s="621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</row>
    <row r="50" spans="1:274" s="24" customFormat="1" ht="4.5" customHeight="1" x14ac:dyDescent="0.2">
      <c r="A50" s="342"/>
      <c r="B50" s="695"/>
      <c r="C50" s="826"/>
      <c r="D50" s="826"/>
      <c r="E50" s="826"/>
      <c r="F50" s="826"/>
      <c r="G50" s="826"/>
      <c r="H50" s="826"/>
      <c r="I50" s="826"/>
      <c r="J50" s="826"/>
      <c r="K50" s="826"/>
      <c r="L50" s="826"/>
      <c r="M50" s="826"/>
      <c r="N50" s="826"/>
      <c r="O50" s="826"/>
      <c r="P50" s="826"/>
      <c r="Q50" s="826"/>
      <c r="R50" s="826"/>
      <c r="S50" s="826"/>
      <c r="T50" s="826"/>
      <c r="U50" s="826"/>
      <c r="V50" s="826"/>
      <c r="W50" s="826"/>
      <c r="X50" s="826"/>
      <c r="Y50" s="826"/>
      <c r="Z50" s="827"/>
      <c r="AA50" s="827"/>
      <c r="AB50" s="827"/>
      <c r="AC50" s="827"/>
      <c r="AD50" s="827"/>
      <c r="AE50" s="827"/>
      <c r="AF50" s="827"/>
      <c r="AG50" s="827"/>
      <c r="AH50" s="827"/>
      <c r="AI50" s="827"/>
      <c r="AJ50" s="827"/>
      <c r="AK50" s="827"/>
      <c r="AL50" s="827"/>
      <c r="AM50" s="827"/>
      <c r="AN50" s="827"/>
      <c r="AO50" s="827"/>
      <c r="AP50" s="827"/>
      <c r="AQ50" s="827"/>
      <c r="AR50" s="827"/>
      <c r="AS50" s="827"/>
      <c r="AT50" s="827"/>
      <c r="AU50" s="827"/>
      <c r="AV50" s="827"/>
      <c r="AW50" s="827"/>
      <c r="AX50" s="827"/>
      <c r="AY50" s="827"/>
      <c r="AZ50" s="827"/>
      <c r="BA50" s="827"/>
      <c r="BB50" s="827"/>
      <c r="BC50" s="827"/>
      <c r="BD50" s="827"/>
      <c r="BE50" s="827"/>
      <c r="BF50" s="827"/>
      <c r="BG50" s="827"/>
      <c r="BH50" s="827"/>
      <c r="BI50" s="827"/>
      <c r="BJ50" s="827"/>
      <c r="BK50" s="827"/>
      <c r="BL50" s="827"/>
      <c r="BM50" s="827"/>
      <c r="BN50" s="827"/>
      <c r="BO50" s="827"/>
      <c r="BP50" s="827"/>
      <c r="BQ50" s="827"/>
      <c r="BR50" s="827"/>
      <c r="BS50" s="827"/>
      <c r="BT50" s="827"/>
      <c r="BU50" s="827"/>
      <c r="BV50" s="827"/>
      <c r="BW50" s="827"/>
      <c r="BX50" s="827"/>
      <c r="BY50" s="827"/>
      <c r="BZ50" s="827"/>
      <c r="CA50" s="827"/>
      <c r="CB50" s="827"/>
      <c r="CC50" s="827"/>
      <c r="CD50" s="827"/>
      <c r="CE50" s="827"/>
      <c r="CF50" s="827"/>
      <c r="CG50" s="828"/>
      <c r="CH50" s="827"/>
      <c r="CI50" s="827"/>
      <c r="CJ50" s="827"/>
      <c r="CK50" s="827"/>
      <c r="CL50" s="827"/>
      <c r="CM50" s="828"/>
      <c r="CN50" s="827"/>
      <c r="CO50" s="827"/>
      <c r="CP50" s="827"/>
      <c r="CQ50" s="827"/>
      <c r="CR50" s="827"/>
      <c r="CS50" s="828"/>
      <c r="CT50" s="827"/>
      <c r="CU50" s="827"/>
      <c r="CV50" s="827"/>
      <c r="CW50" s="827"/>
      <c r="CX50" s="827"/>
      <c r="CY50" s="828"/>
      <c r="CZ50" s="827"/>
      <c r="DA50" s="827"/>
      <c r="DB50" s="827"/>
      <c r="DC50" s="827"/>
      <c r="DD50" s="827"/>
      <c r="DE50" s="828"/>
      <c r="DF50" s="827"/>
      <c r="DG50" s="827"/>
      <c r="DH50" s="827"/>
      <c r="DI50" s="827"/>
      <c r="DJ50" s="827"/>
      <c r="DK50" s="828"/>
      <c r="DL50" s="827"/>
      <c r="DM50" s="827"/>
      <c r="DN50" s="827"/>
      <c r="DO50" s="827"/>
      <c r="DP50" s="827"/>
      <c r="DQ50" s="828"/>
      <c r="DR50" s="827"/>
      <c r="DS50" s="827"/>
      <c r="DT50" s="827"/>
      <c r="DU50" s="827"/>
      <c r="DV50" s="827"/>
      <c r="DW50" s="828"/>
      <c r="DX50" s="827"/>
      <c r="DY50" s="827"/>
      <c r="DZ50" s="827"/>
      <c r="EA50" s="827"/>
      <c r="EB50" s="827"/>
      <c r="EC50" s="828"/>
      <c r="ED50" s="827"/>
      <c r="EE50" s="827"/>
      <c r="EF50" s="827"/>
      <c r="EG50" s="827"/>
      <c r="EH50" s="827"/>
      <c r="EI50" s="828"/>
      <c r="EJ50" s="827"/>
      <c r="EK50" s="827"/>
      <c r="EL50" s="827"/>
      <c r="EM50" s="827"/>
      <c r="EN50" s="827"/>
      <c r="EO50" s="828"/>
      <c r="EP50" s="827"/>
      <c r="EQ50" s="827"/>
      <c r="ER50" s="827"/>
      <c r="ES50" s="827"/>
      <c r="ET50" s="827"/>
      <c r="EU50" s="828"/>
      <c r="EV50" s="827"/>
      <c r="EW50" s="827"/>
      <c r="EX50" s="827"/>
      <c r="EY50" s="827"/>
      <c r="EZ50" s="827"/>
      <c r="FA50" s="828"/>
      <c r="FB50" s="827"/>
      <c r="FC50" s="827"/>
      <c r="FD50" s="827"/>
      <c r="FE50" s="827"/>
      <c r="FF50" s="827"/>
      <c r="FG50" s="828"/>
      <c r="FH50" s="827"/>
      <c r="FI50" s="827"/>
      <c r="FJ50" s="827"/>
      <c r="FK50" s="827"/>
      <c r="FL50" s="827"/>
      <c r="FM50" s="828"/>
      <c r="FQ50" s="621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</row>
    <row r="51" spans="1:274" s="24" customFormat="1" x14ac:dyDescent="0.2">
      <c r="A51" s="817" t="s">
        <v>699</v>
      </c>
      <c r="B51" s="695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818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  <c r="AM51" s="50"/>
      <c r="AN51" s="50"/>
      <c r="AO51" s="50"/>
      <c r="AP51" s="50"/>
      <c r="AQ51" s="50"/>
      <c r="AR51" s="50"/>
      <c r="AS51" s="52"/>
      <c r="AT51" s="52"/>
      <c r="AU51" s="52"/>
      <c r="AV51" s="52"/>
      <c r="AW51" s="52"/>
      <c r="AX51" s="50"/>
      <c r="AY51" s="50"/>
      <c r="AZ51" s="50"/>
      <c r="BA51" s="50"/>
      <c r="BB51" s="50"/>
      <c r="BC51" s="50"/>
      <c r="BD51" s="50"/>
      <c r="BE51" s="50"/>
      <c r="BF51" s="50"/>
      <c r="BG51" s="50"/>
      <c r="BH51" s="50"/>
      <c r="BI51" s="50"/>
      <c r="BJ51" s="50"/>
      <c r="BK51" s="50"/>
      <c r="BL51" s="50"/>
      <c r="BM51" s="50"/>
      <c r="BN51" s="50"/>
      <c r="BO51" s="50"/>
      <c r="BP51" s="50"/>
      <c r="BQ51" s="50"/>
      <c r="BR51" s="50"/>
      <c r="BS51" s="50"/>
      <c r="BT51" s="50"/>
      <c r="BU51" s="50"/>
      <c r="BV51" s="50"/>
      <c r="BW51" s="50"/>
      <c r="BX51" s="50"/>
      <c r="BY51" s="50"/>
      <c r="BZ51" s="50"/>
      <c r="CA51" s="50"/>
      <c r="CB51" s="50"/>
      <c r="CC51" s="50"/>
      <c r="CD51" s="50"/>
      <c r="CE51" s="50"/>
      <c r="CF51" s="50"/>
      <c r="CG51" s="164"/>
      <c r="CH51" s="50"/>
      <c r="CI51" s="50"/>
      <c r="CJ51" s="50"/>
      <c r="CK51" s="50"/>
      <c r="CL51" s="50"/>
      <c r="CM51" s="164"/>
      <c r="CN51" s="50"/>
      <c r="CO51" s="50"/>
      <c r="CP51" s="50"/>
      <c r="CQ51" s="50"/>
      <c r="CR51" s="50"/>
      <c r="CS51" s="164"/>
      <c r="CT51" s="50"/>
      <c r="CU51" s="50"/>
      <c r="CV51" s="50"/>
      <c r="CW51" s="50"/>
      <c r="CX51" s="50"/>
      <c r="CY51" s="164"/>
      <c r="CZ51" s="50"/>
      <c r="DA51" s="50"/>
      <c r="DB51" s="50"/>
      <c r="DC51" s="50"/>
      <c r="DD51" s="50"/>
      <c r="DE51" s="164"/>
      <c r="DF51" s="50"/>
      <c r="DG51" s="50"/>
      <c r="DH51" s="50"/>
      <c r="DI51" s="50"/>
      <c r="DJ51" s="50"/>
      <c r="DK51" s="164"/>
      <c r="DL51" s="50"/>
      <c r="DM51" s="50"/>
      <c r="DN51" s="50"/>
      <c r="DO51" s="50"/>
      <c r="DP51" s="50"/>
      <c r="DQ51" s="164"/>
      <c r="DR51" s="50"/>
      <c r="DS51" s="50"/>
      <c r="DT51" s="50"/>
      <c r="DU51" s="50"/>
      <c r="DV51" s="50"/>
      <c r="DW51" s="164"/>
      <c r="DX51" s="50"/>
      <c r="DY51" s="50"/>
      <c r="DZ51" s="50"/>
      <c r="EA51" s="50"/>
      <c r="EB51" s="50"/>
      <c r="EC51" s="164"/>
      <c r="ED51" s="50"/>
      <c r="EE51" s="50"/>
      <c r="EF51" s="50"/>
      <c r="EG51" s="50"/>
      <c r="EH51" s="50"/>
      <c r="EI51" s="164"/>
      <c r="EJ51" s="50"/>
      <c r="EK51" s="50"/>
      <c r="EL51" s="50"/>
      <c r="EM51" s="50"/>
      <c r="EN51" s="50"/>
      <c r="EO51" s="164"/>
      <c r="EP51" s="50"/>
      <c r="EQ51" s="50"/>
      <c r="ER51" s="50"/>
      <c r="ES51" s="50"/>
      <c r="ET51" s="50"/>
      <c r="EU51" s="164"/>
      <c r="EV51" s="50"/>
      <c r="EW51" s="50"/>
      <c r="EX51" s="50"/>
      <c r="EY51" s="50"/>
      <c r="EZ51" s="50"/>
      <c r="FA51" s="164"/>
      <c r="FB51" s="50"/>
      <c r="FC51" s="50"/>
      <c r="FD51" s="50"/>
      <c r="FE51" s="50"/>
      <c r="FF51" s="50"/>
      <c r="FG51" s="164"/>
      <c r="FH51" s="50"/>
      <c r="FI51" s="50"/>
      <c r="FJ51" s="50"/>
      <c r="FK51" s="50"/>
      <c r="FL51" s="50"/>
      <c r="FM51" s="164"/>
      <c r="FO51" s="614" t="s">
        <v>204</v>
      </c>
      <c r="FQ51" s="62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</row>
    <row r="52" spans="1:274" s="24" customFormat="1" x14ac:dyDescent="0.2">
      <c r="A52" s="819" t="s">
        <v>681</v>
      </c>
      <c r="B52" s="29"/>
      <c r="C52" s="50" t="s">
        <v>945</v>
      </c>
      <c r="D52" s="50" t="s">
        <v>945</v>
      </c>
      <c r="E52" s="50" t="s">
        <v>945</v>
      </c>
      <c r="F52" s="50" t="s">
        <v>945</v>
      </c>
      <c r="G52" s="50" t="s">
        <v>945</v>
      </c>
      <c r="H52" s="50" t="s">
        <v>945</v>
      </c>
      <c r="I52" s="50" t="s">
        <v>945</v>
      </c>
      <c r="J52" s="50" t="s">
        <v>945</v>
      </c>
      <c r="K52" s="50" t="s">
        <v>945</v>
      </c>
      <c r="L52" s="50" t="s">
        <v>945</v>
      </c>
      <c r="M52" s="50" t="s">
        <v>945</v>
      </c>
      <c r="N52" s="50"/>
      <c r="O52" s="50" t="s">
        <v>945</v>
      </c>
      <c r="P52" s="50" t="s">
        <v>945</v>
      </c>
      <c r="Q52" s="50" t="s">
        <v>945</v>
      </c>
      <c r="R52" s="50" t="s">
        <v>945</v>
      </c>
      <c r="S52" s="50" t="s">
        <v>945</v>
      </c>
      <c r="T52" s="818"/>
      <c r="U52" s="50" t="s">
        <v>945</v>
      </c>
      <c r="V52" s="50" t="s">
        <v>945</v>
      </c>
      <c r="W52" s="50" t="s">
        <v>945</v>
      </c>
      <c r="X52" s="50" t="s">
        <v>945</v>
      </c>
      <c r="Y52" s="50" t="s">
        <v>945</v>
      </c>
      <c r="Z52" s="50"/>
      <c r="AA52" s="52">
        <v>0.27</v>
      </c>
      <c r="AB52" s="52">
        <v>0.25</v>
      </c>
      <c r="AC52" s="52">
        <v>0.28999999999999998</v>
      </c>
      <c r="AD52" s="52">
        <v>0.25</v>
      </c>
      <c r="AE52" s="52">
        <v>0.26</v>
      </c>
      <c r="AF52" s="50"/>
      <c r="AG52" s="52">
        <f t="shared" ref="AG52:AK54" si="101">AG43/AA43-1</f>
        <v>0.13742440644854903</v>
      </c>
      <c r="AH52" s="52">
        <f t="shared" si="101"/>
        <v>2.4274174000366022E-2</v>
      </c>
      <c r="AI52" s="52">
        <f t="shared" si="101"/>
        <v>0.1338879379517266</v>
      </c>
      <c r="AJ52" s="52">
        <f t="shared" si="101"/>
        <v>9.2009510316237053E-2</v>
      </c>
      <c r="AK52" s="52">
        <f t="shared" si="101"/>
        <v>9.4460840758915143E-2</v>
      </c>
      <c r="AL52" s="50"/>
      <c r="AM52" s="52">
        <f t="shared" ref="AM52:AQ54" si="102">AM43/AG43-1</f>
        <v>0.10336046159599666</v>
      </c>
      <c r="AN52" s="52">
        <f t="shared" si="102"/>
        <v>0.19975111403034274</v>
      </c>
      <c r="AO52" s="52">
        <f t="shared" si="102"/>
        <v>6.8261388515294286E-2</v>
      </c>
      <c r="AP52" s="52">
        <f t="shared" si="102"/>
        <v>0.2266375484465275</v>
      </c>
      <c r="AQ52" s="52">
        <f t="shared" si="102"/>
        <v>0.16244645217430165</v>
      </c>
      <c r="AR52" s="50"/>
      <c r="AS52" s="52">
        <f t="shared" ref="AS52:AV54" si="103">AS43/AM43-1</f>
        <v>8.0760312259577693E-2</v>
      </c>
      <c r="AT52" s="52">
        <f t="shared" si="103"/>
        <v>0.17702050461122298</v>
      </c>
      <c r="AU52" s="52">
        <f t="shared" si="103"/>
        <v>0.29654104426135985</v>
      </c>
      <c r="AV52" s="52">
        <f t="shared" si="103"/>
        <v>0.20803882429632981</v>
      </c>
      <c r="AW52" s="52">
        <f t="shared" ref="AW52:BC54" si="104">AW43/AQ43-1</f>
        <v>0.20166739629526909</v>
      </c>
      <c r="AX52" s="50"/>
      <c r="AY52" s="52">
        <f t="shared" si="104"/>
        <v>0.27976457157269774</v>
      </c>
      <c r="AZ52" s="52">
        <f t="shared" si="104"/>
        <v>0.24627125155756402</v>
      </c>
      <c r="BA52" s="52">
        <f t="shared" si="104"/>
        <v>5.5366821126412225E-2</v>
      </c>
      <c r="BB52" s="52">
        <f t="shared" si="104"/>
        <v>-9.683338113823281E-2</v>
      </c>
      <c r="BC52" s="52">
        <f t="shared" si="104"/>
        <v>6.2306417871119679E-2</v>
      </c>
      <c r="BD52" s="50"/>
      <c r="BE52" s="52">
        <f t="shared" ref="BE52:BE58" si="105">BE43/AY43-1</f>
        <v>-7.7973925276663025E-2</v>
      </c>
      <c r="BF52" s="52">
        <f t="shared" ref="BF52:BF58" si="106">BF43/AZ43-1</f>
        <v>-0.26509683102617732</v>
      </c>
      <c r="BG52" s="52">
        <f t="shared" ref="BG52:BG58" si="107">BG43/BA43-1</f>
        <v>-0.29429818386597206</v>
      </c>
      <c r="BH52" s="52">
        <f t="shared" ref="BH52:BH58" si="108">BH43/BB43-1</f>
        <v>-0.2894703672581681</v>
      </c>
      <c r="BI52" s="52">
        <f t="shared" ref="BI52:BI58" si="109">BI43/BC43-1</f>
        <v>-0.24923258294332551</v>
      </c>
      <c r="BJ52" s="50"/>
      <c r="BK52" s="52">
        <f t="shared" ref="BK52:BO58" si="110">BK43/BE43-1</f>
        <v>-0.20827778621531479</v>
      </c>
      <c r="BL52" s="52">
        <f t="shared" si="110"/>
        <v>-4.7786196260600433E-2</v>
      </c>
      <c r="BM52" s="52">
        <f t="shared" si="110"/>
        <v>-2.8255248386968024E-2</v>
      </c>
      <c r="BN52" s="52">
        <f t="shared" si="110"/>
        <v>3.2193659356961613E-2</v>
      </c>
      <c r="BO52" s="52">
        <f t="shared" si="110"/>
        <v>-4.9813594930014693E-2</v>
      </c>
      <c r="BP52" s="50"/>
      <c r="BQ52" s="52">
        <f t="shared" ref="BQ52:BQ58" si="111">BQ43/BK43-1</f>
        <v>-6.7495559502664282E-2</v>
      </c>
      <c r="BR52" s="52">
        <f t="shared" ref="BR52:BR58" si="112">BR43/BL43-1</f>
        <v>0.11764705882352944</v>
      </c>
      <c r="BS52" s="52">
        <f t="shared" ref="BS52:BS58" si="113">BS43/BM43-1</f>
        <v>0.12185430463576163</v>
      </c>
      <c r="BT52" s="52">
        <f t="shared" ref="BT52:BT58" si="114">BT43/BN43-1</f>
        <v>0.10699241786015157</v>
      </c>
      <c r="BU52" s="52">
        <f t="shared" ref="BU52:BU58" si="115">BU43/BO43-1</f>
        <v>8.2874617737002998E-2</v>
      </c>
      <c r="BV52" s="50"/>
      <c r="BW52" s="52">
        <f t="shared" ref="BW52:BW58" si="116">BW43/BQ43-1</f>
        <v>7.2380952380952435E-2</v>
      </c>
      <c r="BX52" s="52">
        <f t="shared" ref="BX52:BX58" si="117">BX43/BR43-1</f>
        <v>0.13567251461988294</v>
      </c>
      <c r="BY52" s="52">
        <f t="shared" ref="BY52:BY58" si="118">BY43/BS43-1</f>
        <v>0.11806375442739081</v>
      </c>
      <c r="BZ52" s="52">
        <f t="shared" ref="BZ52:BZ58" si="119">BZ43/BT43-1</f>
        <v>0.22450532724505323</v>
      </c>
      <c r="CA52" s="52">
        <f t="shared" ref="CA52:CA58" si="120">CA43/BU43-1</f>
        <v>0.15504094888449593</v>
      </c>
      <c r="CB52" s="50"/>
      <c r="CC52" s="52">
        <f t="shared" ref="CC52:CC58" si="121">CC43/BW43-1</f>
        <v>0.1172291296625223</v>
      </c>
      <c r="CD52" s="52">
        <f t="shared" ref="CD52:CD58" si="122">CD43/BX43-1</f>
        <v>8.9598352214212085E-2</v>
      </c>
      <c r="CE52" s="52">
        <f t="shared" ref="CE52:CE58" si="123">CE43/BY43-1</f>
        <v>0.15776135163674776</v>
      </c>
      <c r="CF52" s="52">
        <f t="shared" ref="CF52:CF58" si="124">CF43/BZ43-1</f>
        <v>0.3182100683654443</v>
      </c>
      <c r="CG52" s="149">
        <f t="shared" ref="CG52:CG58" si="125">CG43/CA43-1</f>
        <v>0.19911980440097787</v>
      </c>
      <c r="CH52" s="50"/>
      <c r="CI52" s="52">
        <f t="shared" ref="CI52:CI58" si="126">CI43/CC43-1</f>
        <v>0.27821939586645472</v>
      </c>
      <c r="CJ52" s="52">
        <f t="shared" ref="CJ52:CJ58" si="127">CJ43/CD43-1</f>
        <v>0.14083175803402637</v>
      </c>
      <c r="CK52" s="52">
        <f t="shared" ref="CK52:CK58" si="128">CK43/CE43-1</f>
        <v>0.26778547975191525</v>
      </c>
      <c r="CL52" s="52">
        <f t="shared" ref="CL52:CL58" si="129">CL43/CF43-1</f>
        <v>0.16973125884016982</v>
      </c>
      <c r="CM52" s="671">
        <f t="shared" ref="CM52:CM58" si="130">CM43/CG43-1</f>
        <v>0.19933121278851651</v>
      </c>
      <c r="CN52" s="50"/>
      <c r="CO52" s="52">
        <f t="shared" ref="CO52:CO58" si="131">CO43/CI43-1</f>
        <v>0.35199004975124382</v>
      </c>
      <c r="CP52" s="52">
        <f t="shared" ref="CP52:CP58" si="132">CP43/CJ43-1</f>
        <v>0.38193869096934541</v>
      </c>
      <c r="CQ52" s="52">
        <f t="shared" ref="CQ52:CQ58" si="133">CQ43/CK43-1</f>
        <v>0.16258992805755401</v>
      </c>
      <c r="CR52" s="52">
        <f t="shared" ref="CR52:CR58" si="134">CR43/CL43-1</f>
        <v>0.26723095525997587</v>
      </c>
      <c r="CS52" s="149">
        <f t="shared" ref="CS52:CS58" si="135">CS43/CM43-1</f>
        <v>0.27762665759945593</v>
      </c>
      <c r="CT52" s="50"/>
      <c r="CU52" s="52">
        <f t="shared" ref="CU52:CU58" si="136">CU43/CO43-1</f>
        <v>0.13615455381784725</v>
      </c>
      <c r="CV52" s="52">
        <f>CV43/CP43-1</f>
        <v>-2.5179856115107868E-2</v>
      </c>
      <c r="CW52" s="52">
        <f t="shared" ref="CW52:CW58" si="137">CW43/CQ43-1</f>
        <v>-6.1881188118811936E-2</v>
      </c>
      <c r="CX52" s="52">
        <f t="shared" ref="CX52:CX58" si="138">CX43/CR43-1</f>
        <v>-0.12722646310432573</v>
      </c>
      <c r="CY52" s="149">
        <f t="shared" ref="CY52:CY58" si="139">CY43/CS43-1</f>
        <v>-5.2428476380572242E-2</v>
      </c>
      <c r="CZ52" s="50"/>
      <c r="DA52" s="52">
        <f t="shared" ref="DA52:DA58" si="140">DA43/CU43-1</f>
        <v>-0.16761133603238865</v>
      </c>
      <c r="DB52" s="52">
        <f t="shared" ref="DB52:DB58" si="141">DB43/CV43-1</f>
        <v>1.6605166051660625E-2</v>
      </c>
      <c r="DC52" s="52">
        <f t="shared" ref="DC52:DC58" si="142">DC43/CW43-1</f>
        <v>0.13350923482849608</v>
      </c>
      <c r="DD52" s="52">
        <f>DD43/CX43-1</f>
        <v>0.14249271137026231</v>
      </c>
      <c r="DE52" s="149">
        <f t="shared" ref="DE52:DE58" si="143">DE43/CY43-1</f>
        <v>5.8053644151102368E-2</v>
      </c>
      <c r="DF52" s="50"/>
      <c r="DG52" s="52">
        <f t="shared" ref="DG52:DG58" si="144">DG43/DA43-1</f>
        <v>0.25097276264591439</v>
      </c>
      <c r="DH52" s="52">
        <f t="shared" ref="DH52:DH58" si="145">DH43/DB43-1</f>
        <v>0.20931639443436167</v>
      </c>
      <c r="DI52" s="52">
        <f t="shared" ref="DI52:DI58" si="146">DI43/DC43-1</f>
        <v>0.28840782122905018</v>
      </c>
      <c r="DJ52" s="52">
        <f t="shared" ref="DJ52:DJ58" si="147">DJ43/DD43-1</f>
        <v>0.19170653907496016</v>
      </c>
      <c r="DK52" s="149">
        <f t="shared" ref="DK52:DK58" si="148">DK43/DE43-1</f>
        <v>0.22571140369505205</v>
      </c>
      <c r="DL52" s="50"/>
      <c r="DM52" s="52">
        <f t="shared" ref="DM52:DQ56" si="149">DM43/DG43-1</f>
        <v>0.16485225505443224</v>
      </c>
      <c r="DN52" s="52">
        <f t="shared" si="149"/>
        <v>2.4512256128063958E-2</v>
      </c>
      <c r="DO52" s="52">
        <f t="shared" si="149"/>
        <v>7.2267389340560095E-2</v>
      </c>
      <c r="DP52" s="52">
        <f t="shared" si="149"/>
        <v>7.2537473233404759E-2</v>
      </c>
      <c r="DQ52" s="149">
        <f t="shared" si="149"/>
        <v>7.4932322685435926E-2</v>
      </c>
      <c r="DR52" s="50"/>
      <c r="DS52" s="52">
        <f t="shared" ref="DS52:DW56" si="150">DS43/DM43-1</f>
        <v>0.14285714285714279</v>
      </c>
      <c r="DT52" s="52">
        <f t="shared" si="150"/>
        <v>0.22802734375</v>
      </c>
      <c r="DU52" s="52">
        <f t="shared" si="150"/>
        <v>3.1171019376579512E-2</v>
      </c>
      <c r="DV52" s="52">
        <f t="shared" si="150"/>
        <v>3.4938857000249568E-2</v>
      </c>
      <c r="DW52" s="149">
        <f t="shared" si="150"/>
        <v>9.0158154528054757E-2</v>
      </c>
      <c r="DX52" s="50"/>
      <c r="DY52" s="52">
        <f t="shared" ref="DY52:EC56" si="151">DY43/DS43-1</f>
        <v>3.0957943925233655E-2</v>
      </c>
      <c r="DZ52" s="52">
        <f t="shared" si="151"/>
        <v>-1.3916500994035741E-2</v>
      </c>
      <c r="EA52" s="52">
        <f t="shared" si="151"/>
        <v>3.799019607843146E-2</v>
      </c>
      <c r="EB52" s="52">
        <f t="shared" si="151"/>
        <v>1.8567639257294433E-2</v>
      </c>
      <c r="EC52" s="149">
        <f t="shared" si="151"/>
        <v>1.7372019959342122E-2</v>
      </c>
      <c r="ED52" s="50"/>
      <c r="EE52" s="52">
        <f t="shared" ref="EE52:EK56" si="152">EE43/DY43-1</f>
        <v>4.6458923512747941E-2</v>
      </c>
      <c r="EF52" s="52">
        <f t="shared" si="152"/>
        <v>3.3870967741935543E-2</v>
      </c>
      <c r="EG52" s="52">
        <f t="shared" si="152"/>
        <v>-1.1412829594647733E-2</v>
      </c>
      <c r="EH52" s="52">
        <f t="shared" si="152"/>
        <v>-0.12002840909090906</v>
      </c>
      <c r="EI52" s="149">
        <f t="shared" si="152"/>
        <v>-3.3605812897366083E-2</v>
      </c>
      <c r="EJ52" s="50"/>
      <c r="EK52" s="52">
        <f t="shared" si="152"/>
        <v>-4.5479155387114223E-2</v>
      </c>
      <c r="EL52" s="52">
        <f t="shared" ref="EL52:EO56" si="153">EL43/EF43-1</f>
        <v>-9.1653666146645829E-2</v>
      </c>
      <c r="EM52" s="52">
        <f t="shared" si="153"/>
        <v>-3.7818471337579651E-2</v>
      </c>
      <c r="EN52" s="52">
        <f t="shared" si="153"/>
        <v>-2.4482109227871973E-2</v>
      </c>
      <c r="EO52" s="149">
        <f t="shared" si="153"/>
        <v>-4.7462406015037595E-2</v>
      </c>
      <c r="EP52" s="50"/>
      <c r="EQ52" s="52">
        <f>EQ43/EK43-1</f>
        <v>0.14350538854225747</v>
      </c>
      <c r="ER52" s="52">
        <f t="shared" ref="ER52:ET56" si="154">ER43/EL43-1</f>
        <v>4.5083726921425482E-2</v>
      </c>
      <c r="ES52" s="52">
        <f t="shared" si="154"/>
        <v>0.10550268928423656</v>
      </c>
      <c r="ET52" s="52">
        <f t="shared" si="154"/>
        <v>0.11307225592939885</v>
      </c>
      <c r="EU52" s="149">
        <f t="shared" ref="EU52:EU56" si="155">EU43/EO43-1</f>
        <v>0.10093734583127767</v>
      </c>
      <c r="EV52" s="50"/>
      <c r="EW52" s="52">
        <f t="shared" ref="EW52:FA56" si="156">EW43/EQ43-1</f>
        <v>0.21924603174603186</v>
      </c>
      <c r="EX52" s="52">
        <f t="shared" si="156"/>
        <v>0.18364831552999172</v>
      </c>
      <c r="EY52" s="52">
        <f t="shared" si="156"/>
        <v>0.10741017964071853</v>
      </c>
      <c r="EZ52" s="52">
        <f t="shared" si="156"/>
        <v>2.772918731417251E-2</v>
      </c>
      <c r="FA52" s="149">
        <f t="shared" si="156"/>
        <v>0.11542525542211868</v>
      </c>
      <c r="FB52" s="50"/>
      <c r="FC52" s="52">
        <f t="shared" ref="FC52:FG56" si="157">FC43/EW43-1</f>
        <v>0.12385956061838899</v>
      </c>
      <c r="FD52" s="52">
        <f t="shared" si="157"/>
        <v>0.10507462686567171</v>
      </c>
      <c r="FE52" s="52">
        <f t="shared" si="157"/>
        <v>0.10702095302467063</v>
      </c>
      <c r="FF52" s="52">
        <f t="shared" si="157"/>
        <v>5.5918624176242826E-2</v>
      </c>
      <c r="FG52" s="149">
        <f t="shared" si="157"/>
        <v>9.2864807448870046E-2</v>
      </c>
      <c r="FH52" s="50"/>
      <c r="FI52" s="52">
        <f t="shared" ref="FI52:FI56" si="158">FI43/FC43-1</f>
        <v>0.12715937914170872</v>
      </c>
      <c r="FJ52" s="52">
        <f t="shared" ref="FJ52:FJ56" si="159">FJ43/FD43-1</f>
        <v>0.10624219466536</v>
      </c>
      <c r="FK52" s="52">
        <f t="shared" ref="FK52:FK56" si="160">FK43/FE43-1</f>
        <v>0.10318226014485554</v>
      </c>
      <c r="FL52" s="52">
        <f t="shared" ref="FL52:FL56" si="161">FL43/FF43-1</f>
        <v>6.3241167921162411E-2</v>
      </c>
      <c r="FM52" s="149">
        <f t="shared" ref="FM52:FM56" si="162">FM43/FG43-1</f>
        <v>9.5906779022699284E-2</v>
      </c>
      <c r="FO52" s="158" t="str">
        <f>FO45</f>
        <v>Americas</v>
      </c>
      <c r="FP52" s="613">
        <f>CG78</f>
        <v>0.15536938309215542</v>
      </c>
      <c r="FQ52" s="820">
        <f>CM78</f>
        <v>0.1489782465392222</v>
      </c>
      <c r="FR52" s="613">
        <f>CS78</f>
        <v>0.22</v>
      </c>
      <c r="FS52" s="613">
        <f>CY78</f>
        <v>-2.0620945319740458E-2</v>
      </c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</row>
    <row r="53" spans="1:274" s="24" customFormat="1" x14ac:dyDescent="0.2">
      <c r="A53" s="819" t="s">
        <v>544</v>
      </c>
      <c r="B53" s="1058"/>
      <c r="C53" s="50" t="s">
        <v>945</v>
      </c>
      <c r="D53" s="50" t="s">
        <v>945</v>
      </c>
      <c r="E53" s="50" t="s">
        <v>945</v>
      </c>
      <c r="F53" s="50" t="s">
        <v>945</v>
      </c>
      <c r="G53" s="50" t="s">
        <v>945</v>
      </c>
      <c r="H53" s="50" t="s">
        <v>945</v>
      </c>
      <c r="I53" s="50" t="s">
        <v>945</v>
      </c>
      <c r="J53" s="50" t="s">
        <v>945</v>
      </c>
      <c r="K53" s="50" t="s">
        <v>945</v>
      </c>
      <c r="L53" s="50" t="s">
        <v>945</v>
      </c>
      <c r="M53" s="50" t="s">
        <v>945</v>
      </c>
      <c r="N53" s="50"/>
      <c r="O53" s="50" t="s">
        <v>945</v>
      </c>
      <c r="P53" s="50" t="s">
        <v>945</v>
      </c>
      <c r="Q53" s="50" t="s">
        <v>945</v>
      </c>
      <c r="R53" s="50" t="s">
        <v>945</v>
      </c>
      <c r="S53" s="50" t="s">
        <v>945</v>
      </c>
      <c r="T53" s="818"/>
      <c r="U53" s="50" t="s">
        <v>945</v>
      </c>
      <c r="V53" s="50" t="s">
        <v>945</v>
      </c>
      <c r="W53" s="50" t="s">
        <v>945</v>
      </c>
      <c r="X53" s="50" t="s">
        <v>945</v>
      </c>
      <c r="Y53" s="50" t="s">
        <v>945</v>
      </c>
      <c r="Z53" s="50"/>
      <c r="AA53" s="52">
        <v>0.45</v>
      </c>
      <c r="AB53" s="52">
        <v>0.5</v>
      </c>
      <c r="AC53" s="52">
        <v>0.45</v>
      </c>
      <c r="AD53" s="52">
        <v>0.43</v>
      </c>
      <c r="AE53" s="52">
        <v>0.46</v>
      </c>
      <c r="AF53" s="50"/>
      <c r="AG53" s="52">
        <f t="shared" si="101"/>
        <v>0.41019893137476715</v>
      </c>
      <c r="AH53" s="52">
        <f t="shared" si="101"/>
        <v>0.3476025455232814</v>
      </c>
      <c r="AI53" s="52">
        <f t="shared" si="101"/>
        <v>0.34638965191832605</v>
      </c>
      <c r="AJ53" s="52">
        <f t="shared" si="101"/>
        <v>0.34177152313552428</v>
      </c>
      <c r="AK53" s="52">
        <f t="shared" si="101"/>
        <v>0.35923103147846525</v>
      </c>
      <c r="AL53" s="50"/>
      <c r="AM53" s="52">
        <f t="shared" si="102"/>
        <v>0.29552809105247957</v>
      </c>
      <c r="AN53" s="52">
        <f t="shared" si="102"/>
        <v>0.32421286901878665</v>
      </c>
      <c r="AO53" s="52">
        <f t="shared" si="102"/>
        <v>0.30268418174309986</v>
      </c>
      <c r="AP53" s="52">
        <f t="shared" si="102"/>
        <v>0.30667118699548168</v>
      </c>
      <c r="AQ53" s="52">
        <f t="shared" si="102"/>
        <v>0.30734171740193061</v>
      </c>
      <c r="AR53" s="50"/>
      <c r="AS53" s="52">
        <f t="shared" si="103"/>
        <v>0.27161545261938502</v>
      </c>
      <c r="AT53" s="52">
        <f t="shared" si="103"/>
        <v>0.27170044488383582</v>
      </c>
      <c r="AU53" s="52">
        <f t="shared" si="103"/>
        <v>0.29269734542388903</v>
      </c>
      <c r="AV53" s="52">
        <f t="shared" si="103"/>
        <v>0.24763357549296794</v>
      </c>
      <c r="AW53" s="52">
        <f t="shared" si="104"/>
        <v>0.27002452330481375</v>
      </c>
      <c r="AX53" s="50"/>
      <c r="AY53" s="52">
        <f t="shared" si="104"/>
        <v>0.25756538285774222</v>
      </c>
      <c r="AZ53" s="52">
        <f t="shared" si="104"/>
        <v>0.21164391358549128</v>
      </c>
      <c r="BA53" s="52">
        <f t="shared" si="104"/>
        <v>0.20162165816336675</v>
      </c>
      <c r="BB53" s="52">
        <f t="shared" si="104"/>
        <v>0.13725419892124191</v>
      </c>
      <c r="BC53" s="52">
        <f t="shared" si="104"/>
        <v>0.19849990247989768</v>
      </c>
      <c r="BD53" s="50"/>
      <c r="BE53" s="52">
        <f t="shared" si="105"/>
        <v>4.5834832566440387E-3</v>
      </c>
      <c r="BF53" s="52">
        <f t="shared" si="106"/>
        <v>9.5520383868890057E-3</v>
      </c>
      <c r="BG53" s="52">
        <f t="shared" si="107"/>
        <v>-4.4259414309021583E-2</v>
      </c>
      <c r="BH53" s="52">
        <f t="shared" si="108"/>
        <v>-2.107101720992266E-3</v>
      </c>
      <c r="BI53" s="52">
        <f t="shared" si="109"/>
        <v>-8.3869744346152242E-3</v>
      </c>
      <c r="BJ53" s="50"/>
      <c r="BK53" s="52">
        <f t="shared" si="110"/>
        <v>7.3336772755036028E-2</v>
      </c>
      <c r="BL53" s="52">
        <f t="shared" si="110"/>
        <v>8.2694479279565636E-2</v>
      </c>
      <c r="BM53" s="52">
        <f t="shared" si="110"/>
        <v>0.15997631570746429</v>
      </c>
      <c r="BN53" s="52">
        <f t="shared" si="110"/>
        <v>0.1220181582852311</v>
      </c>
      <c r="BO53" s="52">
        <f t="shared" si="110"/>
        <v>0.10992600493300464</v>
      </c>
      <c r="BP53" s="50"/>
      <c r="BQ53" s="52">
        <f t="shared" si="111"/>
        <v>0.14254143646408846</v>
      </c>
      <c r="BR53" s="52">
        <f t="shared" si="112"/>
        <v>0.16771488469601681</v>
      </c>
      <c r="BS53" s="52">
        <f t="shared" si="113"/>
        <v>0.17014925373134338</v>
      </c>
      <c r="BT53" s="52">
        <f t="shared" si="114"/>
        <v>0.13103059883611778</v>
      </c>
      <c r="BU53" s="52">
        <f t="shared" si="115"/>
        <v>0.15259327123733901</v>
      </c>
      <c r="BV53" s="50"/>
      <c r="BW53" s="52">
        <f t="shared" si="116"/>
        <v>0.13733075435203101</v>
      </c>
      <c r="BX53" s="52">
        <f t="shared" si="117"/>
        <v>0.12387791741472176</v>
      </c>
      <c r="BY53" s="52">
        <f t="shared" si="118"/>
        <v>0.30272108843537415</v>
      </c>
      <c r="BZ53" s="52">
        <f t="shared" si="119"/>
        <v>0.4033195020746887</v>
      </c>
      <c r="CA53" s="52">
        <f t="shared" si="120"/>
        <v>0.24773680724221681</v>
      </c>
      <c r="CB53" s="50"/>
      <c r="CC53" s="52">
        <f t="shared" si="121"/>
        <v>0.39540816326530615</v>
      </c>
      <c r="CD53" s="52">
        <f t="shared" si="122"/>
        <v>0.32667731629392982</v>
      </c>
      <c r="CE53" s="52">
        <f t="shared" si="123"/>
        <v>0.1533942558746737</v>
      </c>
      <c r="CF53" s="52">
        <f t="shared" si="124"/>
        <v>0.1584861028976936</v>
      </c>
      <c r="CG53" s="149">
        <f t="shared" si="125"/>
        <v>0.24367368607326134</v>
      </c>
      <c r="CH53" s="50"/>
      <c r="CI53" s="52">
        <f t="shared" si="126"/>
        <v>0.22547227300426576</v>
      </c>
      <c r="CJ53" s="52">
        <f t="shared" si="127"/>
        <v>0.24021673690547862</v>
      </c>
      <c r="CK53" s="52">
        <f t="shared" si="128"/>
        <v>0.21279003961516696</v>
      </c>
      <c r="CL53" s="52">
        <f t="shared" si="129"/>
        <v>0.187850944359367</v>
      </c>
      <c r="CM53" s="149">
        <f t="shared" si="130"/>
        <v>0.21528173022196917</v>
      </c>
      <c r="CN53" s="50"/>
      <c r="CO53" s="52">
        <f t="shared" si="131"/>
        <v>0.21680755842864241</v>
      </c>
      <c r="CP53" s="52">
        <f t="shared" si="132"/>
        <v>0.23398058252427179</v>
      </c>
      <c r="CQ53" s="52">
        <f t="shared" si="133"/>
        <v>0.23471768548763405</v>
      </c>
      <c r="CR53" s="52">
        <f t="shared" si="134"/>
        <v>0.23420713364847434</v>
      </c>
      <c r="CS53" s="149">
        <f t="shared" si="135"/>
        <v>0.23018381922491504</v>
      </c>
      <c r="CT53" s="50"/>
      <c r="CU53" s="52">
        <f t="shared" si="136"/>
        <v>0.2370249284838577</v>
      </c>
      <c r="CV53" s="52">
        <f t="shared" ref="CV53:CV58" si="163">CV44/CP44-1</f>
        <v>0.15263571990558611</v>
      </c>
      <c r="CW53" s="52">
        <f t="shared" si="137"/>
        <v>0.12169312169312163</v>
      </c>
      <c r="CX53" s="52">
        <f t="shared" si="138"/>
        <v>6.9637883008356605E-2</v>
      </c>
      <c r="CY53" s="149">
        <f t="shared" si="139"/>
        <v>0.14181022175692393</v>
      </c>
      <c r="CZ53" s="50"/>
      <c r="DA53" s="52">
        <f t="shared" si="140"/>
        <v>3.2705649157581673E-2</v>
      </c>
      <c r="DB53" s="52">
        <f t="shared" si="141"/>
        <v>0.11296928327645062</v>
      </c>
      <c r="DC53" s="52">
        <f t="shared" si="142"/>
        <v>0.11960916442048508</v>
      </c>
      <c r="DD53" s="52">
        <f t="shared" ref="DD53:DD58" si="164">DD44/CX44-1</f>
        <v>0.12858072916666674</v>
      </c>
      <c r="DE53" s="149">
        <f t="shared" si="143"/>
        <v>9.8357922814036769E-2</v>
      </c>
      <c r="DF53" s="50"/>
      <c r="DG53" s="52">
        <f t="shared" si="144"/>
        <v>0.11164427383237374</v>
      </c>
      <c r="DH53" s="52">
        <f t="shared" si="145"/>
        <v>0.13830113462128191</v>
      </c>
      <c r="DI53" s="52">
        <f t="shared" si="146"/>
        <v>0.13030394222088471</v>
      </c>
      <c r="DJ53" s="52">
        <f t="shared" si="147"/>
        <v>0.14738967406980108</v>
      </c>
      <c r="DK53" s="149">
        <f t="shared" si="148"/>
        <v>0.13235182514988231</v>
      </c>
      <c r="DL53" s="50"/>
      <c r="DM53" s="52">
        <f t="shared" si="149"/>
        <v>0.16115107913669058</v>
      </c>
      <c r="DN53" s="52">
        <f t="shared" si="149"/>
        <v>7.6508620689655249E-2</v>
      </c>
      <c r="DO53" s="52">
        <f t="shared" si="149"/>
        <v>8.3067092651757157E-2</v>
      </c>
      <c r="DP53" s="52">
        <f t="shared" si="149"/>
        <v>4.5751633986928164E-2</v>
      </c>
      <c r="DQ53" s="149">
        <f t="shared" si="149"/>
        <v>8.9672273976274974E-2</v>
      </c>
      <c r="DR53" s="50"/>
      <c r="DS53" s="52">
        <f t="shared" si="150"/>
        <v>2.7261462205700138E-2</v>
      </c>
      <c r="DT53" s="52">
        <f t="shared" si="150"/>
        <v>6.7067067067066999E-2</v>
      </c>
      <c r="DU53" s="52">
        <f t="shared" si="150"/>
        <v>6.7846607669616477E-2</v>
      </c>
      <c r="DV53" s="52">
        <f t="shared" si="150"/>
        <v>5.8653846153846168E-2</v>
      </c>
      <c r="DW53" s="149">
        <f t="shared" si="150"/>
        <v>5.5230949012854413E-2</v>
      </c>
      <c r="DX53" s="50"/>
      <c r="DY53" s="52">
        <f t="shared" si="151"/>
        <v>6.9240048250904795E-2</v>
      </c>
      <c r="DZ53" s="52">
        <f t="shared" si="151"/>
        <v>5.9333958724202551E-2</v>
      </c>
      <c r="EA53" s="52">
        <f t="shared" si="151"/>
        <v>5.0874769797421671E-2</v>
      </c>
      <c r="EB53" s="52">
        <f t="shared" si="151"/>
        <v>6.607629427792916E-2</v>
      </c>
      <c r="EC53" s="149">
        <f t="shared" si="151"/>
        <v>6.1316080899924241E-2</v>
      </c>
      <c r="ED53" s="50"/>
      <c r="EE53" s="52">
        <f t="shared" si="152"/>
        <v>6.746389891696758E-2</v>
      </c>
      <c r="EF53" s="52">
        <f t="shared" si="152"/>
        <v>5.6674784148771362E-2</v>
      </c>
      <c r="EG53" s="52">
        <f t="shared" si="152"/>
        <v>2.168674698795181E-2</v>
      </c>
      <c r="EH53" s="52">
        <f t="shared" si="152"/>
        <v>-1.49094781682646E-3</v>
      </c>
      <c r="EI53" s="149">
        <f t="shared" si="152"/>
        <v>3.5531879839639791E-2</v>
      </c>
      <c r="EJ53" s="50"/>
      <c r="EK53" s="52">
        <f t="shared" si="152"/>
        <v>-7.1866413020502673E-3</v>
      </c>
      <c r="EL53" s="52">
        <f t="shared" si="153"/>
        <v>-1.8856065367693242E-2</v>
      </c>
      <c r="EM53" s="52">
        <f t="shared" si="153"/>
        <v>1.0720411663807106E-3</v>
      </c>
      <c r="EN53" s="52">
        <f t="shared" si="153"/>
        <v>2.7090443686006882E-2</v>
      </c>
      <c r="EO53" s="149">
        <f t="shared" si="153"/>
        <v>4.2426813746287984E-4</v>
      </c>
      <c r="EP53" s="50"/>
      <c r="EQ53" s="52">
        <f>EQ44/EK44-1</f>
        <v>2.0438577815627079E-2</v>
      </c>
      <c r="ER53" s="52">
        <f t="shared" si="154"/>
        <v>2.0286141362374499E-2</v>
      </c>
      <c r="ES53" s="52">
        <f t="shared" si="154"/>
        <v>1.9918612122510115E-2</v>
      </c>
      <c r="ET53" s="52">
        <f t="shared" si="154"/>
        <v>1.7030114226376014E-2</v>
      </c>
      <c r="EU53" s="149">
        <f t="shared" si="155"/>
        <v>1.9402035623409697E-2</v>
      </c>
      <c r="EV53" s="50"/>
      <c r="EW53" s="52">
        <f t="shared" si="156"/>
        <v>3.2964740246192337E-2</v>
      </c>
      <c r="EX53" s="52">
        <f t="shared" si="156"/>
        <v>3.662620343239853E-2</v>
      </c>
      <c r="EY53" s="52">
        <f t="shared" si="156"/>
        <v>5.5648887022259563E-2</v>
      </c>
      <c r="EZ53" s="52">
        <f t="shared" si="156"/>
        <v>4.1633360444704781E-2</v>
      </c>
      <c r="FA53" s="149">
        <f t="shared" si="156"/>
        <v>4.1699353411217777E-2</v>
      </c>
      <c r="FB53" s="50"/>
      <c r="FC53" s="52">
        <f t="shared" si="157"/>
        <v>3.6163474231488246E-2</v>
      </c>
      <c r="FD53" s="52">
        <f t="shared" si="157"/>
        <v>3.5713303465209068E-2</v>
      </c>
      <c r="FE53" s="52">
        <f t="shared" si="157"/>
        <v>3.1874090224791596E-2</v>
      </c>
      <c r="FF53" s="52">
        <f t="shared" si="157"/>
        <v>2.794571999781148E-2</v>
      </c>
      <c r="FG53" s="149">
        <f t="shared" si="157"/>
        <v>3.2883192982665399E-2</v>
      </c>
      <c r="FH53" s="50"/>
      <c r="FI53" s="52">
        <f t="shared" si="158"/>
        <v>2.5369411958416244E-2</v>
      </c>
      <c r="FJ53" s="52">
        <f t="shared" si="159"/>
        <v>2.4387236679070723E-2</v>
      </c>
      <c r="FK53" s="52">
        <f t="shared" si="160"/>
        <v>2.3107538762845659E-2</v>
      </c>
      <c r="FL53" s="52">
        <f t="shared" si="161"/>
        <v>2.1838374975951647E-2</v>
      </c>
      <c r="FM53" s="149">
        <f t="shared" si="162"/>
        <v>2.3663997129397041E-2</v>
      </c>
      <c r="FO53" s="158" t="str">
        <f>FO46</f>
        <v>EMEA</v>
      </c>
      <c r="FP53" s="613">
        <f>CG93</f>
        <v>5.5118110236220819E-3</v>
      </c>
      <c r="FQ53" s="820">
        <f>CM93</f>
        <v>0.1801096319498825</v>
      </c>
      <c r="FR53" s="613">
        <f>CS93</f>
        <v>0.32</v>
      </c>
      <c r="FS53" s="613">
        <f>CY93</f>
        <v>-2.436598707110893E-2</v>
      </c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</row>
    <row r="54" spans="1:274" s="24" customFormat="1" x14ac:dyDescent="0.2">
      <c r="A54" s="819" t="s">
        <v>235</v>
      </c>
      <c r="B54" s="29"/>
      <c r="C54" s="50" t="s">
        <v>945</v>
      </c>
      <c r="D54" s="50" t="s">
        <v>945</v>
      </c>
      <c r="E54" s="50" t="s">
        <v>945</v>
      </c>
      <c r="F54" s="50" t="s">
        <v>945</v>
      </c>
      <c r="G54" s="50" t="s">
        <v>945</v>
      </c>
      <c r="H54" s="50" t="s">
        <v>945</v>
      </c>
      <c r="I54" s="50" t="s">
        <v>945</v>
      </c>
      <c r="J54" s="50" t="s">
        <v>945</v>
      </c>
      <c r="K54" s="50" t="s">
        <v>945</v>
      </c>
      <c r="L54" s="50" t="s">
        <v>945</v>
      </c>
      <c r="M54" s="50" t="s">
        <v>945</v>
      </c>
      <c r="N54" s="50"/>
      <c r="O54" s="50" t="s">
        <v>945</v>
      </c>
      <c r="P54" s="50" t="s">
        <v>945</v>
      </c>
      <c r="Q54" s="50" t="s">
        <v>945</v>
      </c>
      <c r="R54" s="50" t="s">
        <v>945</v>
      </c>
      <c r="S54" s="50" t="s">
        <v>945</v>
      </c>
      <c r="T54" s="818"/>
      <c r="U54" s="50" t="s">
        <v>945</v>
      </c>
      <c r="V54" s="50" t="s">
        <v>945</v>
      </c>
      <c r="W54" s="50" t="s">
        <v>945</v>
      </c>
      <c r="X54" s="50" t="s">
        <v>945</v>
      </c>
      <c r="Y54" s="50" t="s">
        <v>945</v>
      </c>
      <c r="Z54" s="50"/>
      <c r="AA54" s="52">
        <v>0.46</v>
      </c>
      <c r="AB54" s="52">
        <v>0.46</v>
      </c>
      <c r="AC54" s="52">
        <v>0.37</v>
      </c>
      <c r="AD54" s="52">
        <v>0.47</v>
      </c>
      <c r="AE54" s="52">
        <v>0.44</v>
      </c>
      <c r="AF54" s="50"/>
      <c r="AG54" s="52">
        <f t="shared" si="101"/>
        <v>0.42834950047330533</v>
      </c>
      <c r="AH54" s="52">
        <f t="shared" si="101"/>
        <v>0.46182155450277995</v>
      </c>
      <c r="AI54" s="52">
        <f t="shared" si="101"/>
        <v>0.46680436049023455</v>
      </c>
      <c r="AJ54" s="52">
        <f t="shared" si="101"/>
        <v>0.50567648725342429</v>
      </c>
      <c r="AK54" s="52">
        <f t="shared" si="101"/>
        <v>0.46915052282803393</v>
      </c>
      <c r="AL54" s="50"/>
      <c r="AM54" s="52">
        <f t="shared" si="102"/>
        <v>0.48199890545586355</v>
      </c>
      <c r="AN54" s="52">
        <f t="shared" si="102"/>
        <v>0.33568132000258966</v>
      </c>
      <c r="AO54" s="52">
        <f t="shared" si="102"/>
        <v>0.27239230694681726</v>
      </c>
      <c r="AP54" s="52">
        <f t="shared" si="102"/>
        <v>0.15777261120489472</v>
      </c>
      <c r="AQ54" s="52">
        <f t="shared" si="102"/>
        <v>0.29546682471818086</v>
      </c>
      <c r="AR54" s="50"/>
      <c r="AS54" s="52">
        <f t="shared" si="103"/>
        <v>6.7204225681297691E-2</v>
      </c>
      <c r="AT54" s="52">
        <f t="shared" si="103"/>
        <v>-3.2083880367163586E-2</v>
      </c>
      <c r="AU54" s="52">
        <f t="shared" si="103"/>
        <v>-6.8629076218852059E-2</v>
      </c>
      <c r="AV54" s="52">
        <f t="shared" si="103"/>
        <v>-8.2789958297747934E-2</v>
      </c>
      <c r="AW54" s="52">
        <f t="shared" si="104"/>
        <v>-3.182616502980995E-2</v>
      </c>
      <c r="AX54" s="50"/>
      <c r="AY54" s="52" t="s">
        <v>945</v>
      </c>
      <c r="AZ54" s="52" t="s">
        <v>945</v>
      </c>
      <c r="BA54" s="52" t="s">
        <v>945</v>
      </c>
      <c r="BB54" s="52" t="s">
        <v>945</v>
      </c>
      <c r="BC54" s="52" t="s">
        <v>945</v>
      </c>
      <c r="BD54" s="50"/>
      <c r="BE54" s="52">
        <f t="shared" si="105"/>
        <v>-4.5080117354998839E-2</v>
      </c>
      <c r="BF54" s="52">
        <f t="shared" si="106"/>
        <v>-0.11986474218848231</v>
      </c>
      <c r="BG54" s="52">
        <f t="shared" si="107"/>
        <v>-0.18454410055345627</v>
      </c>
      <c r="BH54" s="52">
        <f t="shared" si="108"/>
        <v>-0.13681261169036107</v>
      </c>
      <c r="BI54" s="52">
        <f t="shared" si="109"/>
        <v>-0.12202256748315399</v>
      </c>
      <c r="BJ54" s="50"/>
      <c r="BK54" s="52">
        <f t="shared" si="110"/>
        <v>-0.17663315385714962</v>
      </c>
      <c r="BL54" s="52">
        <f t="shared" si="110"/>
        <v>-0.1094792508665452</v>
      </c>
      <c r="BM54" s="52">
        <f t="shared" si="110"/>
        <v>-6.2799005259223217E-2</v>
      </c>
      <c r="BN54" s="52">
        <f t="shared" si="110"/>
        <v>-8.8991571120212054E-2</v>
      </c>
      <c r="BO54" s="52">
        <f t="shared" si="110"/>
        <v>-0.11141252106043165</v>
      </c>
      <c r="BP54" s="50"/>
      <c r="BQ54" s="52">
        <f t="shared" si="111"/>
        <v>-8.101851851851849E-2</v>
      </c>
      <c r="BR54" s="52">
        <f t="shared" si="112"/>
        <v>-0.12967032967032965</v>
      </c>
      <c r="BS54" s="52">
        <f t="shared" si="113"/>
        <v>-0.13023255813953494</v>
      </c>
      <c r="BT54" s="52">
        <f t="shared" si="114"/>
        <v>-4.9549549549549599E-2</v>
      </c>
      <c r="BU54" s="52">
        <f t="shared" si="115"/>
        <v>-9.7671777399204962E-2</v>
      </c>
      <c r="BV54" s="50"/>
      <c r="BW54" s="52">
        <f t="shared" si="116"/>
        <v>-0.10579345088161207</v>
      </c>
      <c r="BX54" s="52">
        <f t="shared" si="117"/>
        <v>-2.525252525252486E-3</v>
      </c>
      <c r="BY54" s="52">
        <f t="shared" si="118"/>
        <v>0.25668449197860954</v>
      </c>
      <c r="BZ54" s="52">
        <f t="shared" si="119"/>
        <v>0.39573459715639814</v>
      </c>
      <c r="CA54" s="52">
        <f t="shared" si="120"/>
        <v>0.13845185651353042</v>
      </c>
      <c r="CB54" s="50"/>
      <c r="CC54" s="52">
        <f t="shared" si="121"/>
        <v>0.3549295774647887</v>
      </c>
      <c r="CD54" s="52">
        <f t="shared" si="122"/>
        <v>0.28101265822784804</v>
      </c>
      <c r="CE54" s="52">
        <f t="shared" si="123"/>
        <v>6.5957446808510678E-2</v>
      </c>
      <c r="CF54" s="52">
        <f t="shared" si="124"/>
        <v>7.3005093378607722E-2</v>
      </c>
      <c r="CG54" s="149">
        <f t="shared" si="125"/>
        <v>0.17191818684355997</v>
      </c>
      <c r="CH54" s="50"/>
      <c r="CI54" s="52">
        <f t="shared" si="126"/>
        <v>0.33056133056133064</v>
      </c>
      <c r="CJ54" s="52">
        <f t="shared" si="127"/>
        <v>0.41501976284584985</v>
      </c>
      <c r="CK54" s="52">
        <f t="shared" si="128"/>
        <v>0.38522954091816364</v>
      </c>
      <c r="CL54" s="52">
        <f t="shared" si="129"/>
        <v>0.29588607594936711</v>
      </c>
      <c r="CM54" s="149">
        <f t="shared" si="130"/>
        <v>0.35330188679245289</v>
      </c>
      <c r="CN54" s="50"/>
      <c r="CO54" s="52">
        <f t="shared" si="131"/>
        <v>0.25156249999999991</v>
      </c>
      <c r="CP54" s="52">
        <f t="shared" si="132"/>
        <v>0.22486033519553073</v>
      </c>
      <c r="CQ54" s="52">
        <f t="shared" si="133"/>
        <v>0.21469740634005774</v>
      </c>
      <c r="CR54" s="52">
        <f t="shared" si="134"/>
        <v>0.16849816849816857</v>
      </c>
      <c r="CS54" s="149">
        <f t="shared" si="135"/>
        <v>0.21226908330428729</v>
      </c>
      <c r="CT54" s="50"/>
      <c r="CU54" s="52">
        <f t="shared" si="136"/>
        <v>7.9900124843945042E-2</v>
      </c>
      <c r="CV54" s="52">
        <f t="shared" si="163"/>
        <v>-3.9908779931584926E-2</v>
      </c>
      <c r="CW54" s="52">
        <f t="shared" si="137"/>
        <v>-0.10083036773428233</v>
      </c>
      <c r="CX54" s="52">
        <f t="shared" si="138"/>
        <v>-0.18286311389759669</v>
      </c>
      <c r="CY54" s="149">
        <f t="shared" si="139"/>
        <v>-6.641748131109837E-2</v>
      </c>
      <c r="CZ54" s="50"/>
      <c r="DA54" s="52">
        <f t="shared" si="140"/>
        <v>-0.23352601156069364</v>
      </c>
      <c r="DB54" s="52">
        <f t="shared" si="141"/>
        <v>-0.17814726840855111</v>
      </c>
      <c r="DC54" s="52">
        <f t="shared" si="142"/>
        <v>-0.14116094986807393</v>
      </c>
      <c r="DD54" s="52">
        <f t="shared" si="164"/>
        <v>-8.8235294117647078E-2</v>
      </c>
      <c r="DE54" s="149">
        <f t="shared" si="143"/>
        <v>-0.16261164151524488</v>
      </c>
      <c r="DF54" s="50"/>
      <c r="DG54" s="52">
        <f t="shared" si="144"/>
        <v>4.5248868778280382E-3</v>
      </c>
      <c r="DH54" s="52">
        <f t="shared" si="145"/>
        <v>6.6473988439306408E-2</v>
      </c>
      <c r="DI54" s="52">
        <f t="shared" si="146"/>
        <v>0.1090629800307219</v>
      </c>
      <c r="DJ54" s="52">
        <f t="shared" si="147"/>
        <v>0.10378681626928477</v>
      </c>
      <c r="DK54" s="149">
        <f t="shared" si="148"/>
        <v>7.1349760941522566E-2</v>
      </c>
      <c r="DL54" s="50"/>
      <c r="DM54" s="52">
        <f t="shared" si="149"/>
        <v>9.2220720720720628E-2</v>
      </c>
      <c r="DN54" s="52">
        <f t="shared" si="149"/>
        <v>3.6422764227641569E-3</v>
      </c>
      <c r="DO54" s="52">
        <f t="shared" si="149"/>
        <v>-2.1026038781163381E-2</v>
      </c>
      <c r="DP54" s="52">
        <f t="shared" si="149"/>
        <v>-6.5323125794155112E-2</v>
      </c>
      <c r="DQ54" s="149">
        <f t="shared" si="149"/>
        <v>-8.5242018537601272E-4</v>
      </c>
      <c r="DR54" s="50"/>
      <c r="DS54" s="52">
        <f t="shared" si="150"/>
        <v>-5.4245214931146868E-2</v>
      </c>
      <c r="DT54" s="52">
        <f t="shared" si="150"/>
        <v>-8.6324336292744053E-2</v>
      </c>
      <c r="DU54" s="52">
        <f t="shared" si="150"/>
        <v>-0.11257362561741391</v>
      </c>
      <c r="DV54" s="52">
        <f t="shared" si="150"/>
        <v>-0.1555195028974673</v>
      </c>
      <c r="DW54" s="149">
        <f t="shared" si="150"/>
        <v>-0.10216958369147411</v>
      </c>
      <c r="DX54" s="50"/>
      <c r="DY54" s="52">
        <f t="shared" si="151"/>
        <v>-0.14239199953485671</v>
      </c>
      <c r="DZ54" s="52">
        <f t="shared" si="151"/>
        <v>-0.11892688067622159</v>
      </c>
      <c r="EA54" s="52">
        <f t="shared" si="151"/>
        <v>-6.9184535671582226E-2</v>
      </c>
      <c r="EB54" s="52">
        <f t="shared" si="151"/>
        <v>-6.0107020051771376E-2</v>
      </c>
      <c r="EC54" s="149">
        <f t="shared" si="151"/>
        <v>-9.9182037192957817E-2</v>
      </c>
      <c r="ED54" s="50"/>
      <c r="EE54" s="52">
        <f t="shared" si="152"/>
        <v>-3.7332203389830676E-2</v>
      </c>
      <c r="EF54" s="52">
        <f t="shared" si="152"/>
        <v>-3.9541143619028496E-2</v>
      </c>
      <c r="EG54" s="52">
        <f t="shared" si="152"/>
        <v>-5.8052184278946428E-2</v>
      </c>
      <c r="EH54" s="52">
        <f t="shared" si="152"/>
        <v>-0.12289716264682615</v>
      </c>
      <c r="EI54" s="149">
        <f t="shared" si="152"/>
        <v>-6.4253498234686734E-2</v>
      </c>
      <c r="EJ54" s="50"/>
      <c r="EK54" s="52">
        <f t="shared" si="152"/>
        <v>-0.14347135608320094</v>
      </c>
      <c r="EL54" s="52">
        <f t="shared" si="153"/>
        <v>-0.17423448719023271</v>
      </c>
      <c r="EM54" s="52">
        <f t="shared" si="153"/>
        <v>-0.19363590079278503</v>
      </c>
      <c r="EN54" s="52">
        <f t="shared" si="153"/>
        <v>-0.17615309509861354</v>
      </c>
      <c r="EO54" s="149">
        <f t="shared" si="153"/>
        <v>-0.17159223905694843</v>
      </c>
      <c r="EP54" s="50"/>
      <c r="EQ54" s="52">
        <f>EQ45/EK45-1</f>
        <v>-0.16925769703547489</v>
      </c>
      <c r="ER54" s="52">
        <f t="shared" si="154"/>
        <v>-0.17040067159224037</v>
      </c>
      <c r="ES54" s="52">
        <f t="shared" si="154"/>
        <v>-0.17199888154274945</v>
      </c>
      <c r="ET54" s="52">
        <f t="shared" si="154"/>
        <v>-0.1482369895613096</v>
      </c>
      <c r="EU54" s="149">
        <f t="shared" si="155"/>
        <v>-0.16536000508562265</v>
      </c>
      <c r="EV54" s="50"/>
      <c r="EW54" s="52">
        <f t="shared" si="156"/>
        <v>-0.1432804355867765</v>
      </c>
      <c r="EX54" s="52">
        <f t="shared" si="156"/>
        <v>-0.10042248405329801</v>
      </c>
      <c r="EY54" s="52">
        <f t="shared" si="156"/>
        <v>-6.865617987319983E-2</v>
      </c>
      <c r="EZ54" s="52">
        <f t="shared" si="156"/>
        <v>-7.4973201763173791E-2</v>
      </c>
      <c r="FA54" s="149">
        <f t="shared" si="156"/>
        <v>-9.8131773178263382E-2</v>
      </c>
      <c r="FB54" s="50"/>
      <c r="FC54" s="52">
        <f t="shared" si="157"/>
        <v>-6.8071683247241332E-2</v>
      </c>
      <c r="FD54" s="52">
        <f t="shared" si="157"/>
        <v>-8.0618042952529612E-2</v>
      </c>
      <c r="FE54" s="52">
        <f t="shared" si="157"/>
        <v>-9.2575808083466438E-2</v>
      </c>
      <c r="FF54" s="52">
        <f t="shared" si="157"/>
        <v>-9.7091684573004877E-2</v>
      </c>
      <c r="FG54" s="149">
        <f t="shared" si="157"/>
        <v>-8.4419356912208143E-2</v>
      </c>
      <c r="FH54" s="50"/>
      <c r="FI54" s="52">
        <f t="shared" si="158"/>
        <v>-0.10864022621911429</v>
      </c>
      <c r="FJ54" s="52">
        <f t="shared" si="159"/>
        <v>-0.1121895009766124</v>
      </c>
      <c r="FK54" s="52">
        <f t="shared" si="160"/>
        <v>-0.11538461538461553</v>
      </c>
      <c r="FL54" s="52">
        <f t="shared" si="161"/>
        <v>-0.11538461538461553</v>
      </c>
      <c r="FM54" s="149">
        <f t="shared" si="162"/>
        <v>-0.11282980189921366</v>
      </c>
      <c r="FO54" s="158" t="str">
        <f>FO47</f>
        <v>Asia Pacific</v>
      </c>
      <c r="FP54" s="613">
        <f>CG108</f>
        <v>6.9348127600554754E-2</v>
      </c>
      <c r="FQ54" s="820">
        <f>CM108</f>
        <v>0.12710765239948119</v>
      </c>
      <c r="FR54" s="613">
        <f>CS108</f>
        <v>0.12428078250863051</v>
      </c>
      <c r="FS54" s="613">
        <f>CY108</f>
        <v>7.0624360286591692E-2</v>
      </c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</row>
    <row r="55" spans="1:274" s="24" customFormat="1" x14ac:dyDescent="0.2">
      <c r="A55" s="819" t="s">
        <v>236</v>
      </c>
      <c r="B55" s="695"/>
      <c r="C55" s="50" t="s">
        <v>945</v>
      </c>
      <c r="D55" s="50" t="s">
        <v>945</v>
      </c>
      <c r="E55" s="50" t="s">
        <v>945</v>
      </c>
      <c r="F55" s="50" t="s">
        <v>945</v>
      </c>
      <c r="G55" s="50" t="s">
        <v>945</v>
      </c>
      <c r="H55" s="50" t="s">
        <v>945</v>
      </c>
      <c r="I55" s="50" t="s">
        <v>945</v>
      </c>
      <c r="J55" s="50" t="s">
        <v>945</v>
      </c>
      <c r="K55" s="50" t="s">
        <v>945</v>
      </c>
      <c r="L55" s="50" t="s">
        <v>945</v>
      </c>
      <c r="M55" s="50" t="s">
        <v>945</v>
      </c>
      <c r="N55" s="50"/>
      <c r="O55" s="50" t="s">
        <v>945</v>
      </c>
      <c r="P55" s="50" t="s">
        <v>945</v>
      </c>
      <c r="Q55" s="50" t="s">
        <v>945</v>
      </c>
      <c r="R55" s="50" t="s">
        <v>945</v>
      </c>
      <c r="S55" s="50" t="s">
        <v>945</v>
      </c>
      <c r="T55" s="818"/>
      <c r="U55" s="50" t="s">
        <v>945</v>
      </c>
      <c r="V55" s="50" t="s">
        <v>945</v>
      </c>
      <c r="W55" s="50" t="s">
        <v>945</v>
      </c>
      <c r="X55" s="50" t="s">
        <v>945</v>
      </c>
      <c r="Y55" s="50" t="s">
        <v>945</v>
      </c>
      <c r="Z55" s="50"/>
      <c r="AA55" s="52" t="s">
        <v>945</v>
      </c>
      <c r="AB55" s="52" t="s">
        <v>945</v>
      </c>
      <c r="AC55" s="52" t="s">
        <v>945</v>
      </c>
      <c r="AD55" s="52" t="s">
        <v>945</v>
      </c>
      <c r="AE55" s="52" t="s">
        <v>945</v>
      </c>
      <c r="AF55" s="50"/>
      <c r="AG55" s="52" t="s">
        <v>945</v>
      </c>
      <c r="AH55" s="52" t="s">
        <v>945</v>
      </c>
      <c r="AI55" s="52" t="s">
        <v>945</v>
      </c>
      <c r="AJ55" s="52" t="s">
        <v>945</v>
      </c>
      <c r="AK55" s="52" t="s">
        <v>945</v>
      </c>
      <c r="AL55" s="50"/>
      <c r="AM55" s="52" t="s">
        <v>945</v>
      </c>
      <c r="AN55" s="52" t="s">
        <v>945</v>
      </c>
      <c r="AO55" s="52" t="s">
        <v>945</v>
      </c>
      <c r="AP55" s="52" t="s">
        <v>945</v>
      </c>
      <c r="AQ55" s="52" t="s">
        <v>945</v>
      </c>
      <c r="AR55" s="50"/>
      <c r="AS55" s="52" t="s">
        <v>945</v>
      </c>
      <c r="AT55" s="52" t="s">
        <v>945</v>
      </c>
      <c r="AU55" s="52" t="s">
        <v>945</v>
      </c>
      <c r="AV55" s="52" t="s">
        <v>945</v>
      </c>
      <c r="AW55" s="52" t="s">
        <v>945</v>
      </c>
      <c r="AX55" s="50"/>
      <c r="AY55" s="52" t="s">
        <v>945</v>
      </c>
      <c r="AZ55" s="52" t="s">
        <v>945</v>
      </c>
      <c r="BA55" s="52" t="s">
        <v>945</v>
      </c>
      <c r="BB55" s="52" t="s">
        <v>945</v>
      </c>
      <c r="BC55" s="52" t="s">
        <v>945</v>
      </c>
      <c r="BD55" s="50"/>
      <c r="BE55" s="52" t="s">
        <v>945</v>
      </c>
      <c r="BF55" s="52" t="s">
        <v>945</v>
      </c>
      <c r="BG55" s="52" t="s">
        <v>945</v>
      </c>
      <c r="BH55" s="52" t="s">
        <v>945</v>
      </c>
      <c r="BI55" s="52" t="s">
        <v>945</v>
      </c>
      <c r="BJ55" s="50"/>
      <c r="BK55" s="52">
        <f t="shared" si="110"/>
        <v>-0.17593737124021425</v>
      </c>
      <c r="BL55" s="52">
        <f t="shared" si="110"/>
        <v>-0.23077847622023773</v>
      </c>
      <c r="BM55" s="52">
        <f t="shared" si="110"/>
        <v>-0.15850775374998338</v>
      </c>
      <c r="BN55" s="52">
        <f t="shared" si="110"/>
        <v>-0.22235837496465261</v>
      </c>
      <c r="BO55" s="52">
        <f t="shared" si="110"/>
        <v>-0.19838804256964993</v>
      </c>
      <c r="BP55" s="50"/>
      <c r="BQ55" s="52">
        <f t="shared" si="111"/>
        <v>-6.25E-2</v>
      </c>
      <c r="BR55" s="52">
        <f t="shared" si="112"/>
        <v>1.5625E-2</v>
      </c>
      <c r="BS55" s="52">
        <f t="shared" si="113"/>
        <v>-1.5873015873015928E-2</v>
      </c>
      <c r="BT55" s="52">
        <f t="shared" si="114"/>
        <v>7.575757575757569E-2</v>
      </c>
      <c r="BU55" s="52">
        <f t="shared" si="115"/>
        <v>3.8910505836575737E-3</v>
      </c>
      <c r="BV55" s="50"/>
      <c r="BW55" s="52">
        <f t="shared" si="116"/>
        <v>0.18333333333333335</v>
      </c>
      <c r="BX55" s="52">
        <f t="shared" si="117"/>
        <v>0.10769230769230775</v>
      </c>
      <c r="BY55" s="52">
        <f t="shared" si="118"/>
        <v>0.22580645161290325</v>
      </c>
      <c r="BZ55" s="52">
        <f t="shared" si="119"/>
        <v>0.12676056338028174</v>
      </c>
      <c r="CA55" s="52">
        <f t="shared" si="120"/>
        <v>0.1589147286821706</v>
      </c>
      <c r="CB55" s="50"/>
      <c r="CC55" s="52">
        <f t="shared" si="121"/>
        <v>0.18309859154929575</v>
      </c>
      <c r="CD55" s="52">
        <f t="shared" si="122"/>
        <v>0.20833333333333326</v>
      </c>
      <c r="CE55" s="52">
        <f t="shared" si="123"/>
        <v>0.26315789473684204</v>
      </c>
      <c r="CF55" s="52">
        <f t="shared" si="124"/>
        <v>0.625</v>
      </c>
      <c r="CG55" s="149">
        <f t="shared" si="125"/>
        <v>0.32775919732441472</v>
      </c>
      <c r="CH55" s="50"/>
      <c r="CI55" s="52">
        <f t="shared" si="126"/>
        <v>0.48809523809523814</v>
      </c>
      <c r="CJ55" s="52">
        <f t="shared" si="127"/>
        <v>0.60919540229885061</v>
      </c>
      <c r="CK55" s="52">
        <f t="shared" si="128"/>
        <v>0.47916666666666674</v>
      </c>
      <c r="CL55" s="52">
        <f t="shared" si="129"/>
        <v>0.16153846153846163</v>
      </c>
      <c r="CM55" s="149">
        <f t="shared" si="130"/>
        <v>0.40554156171284639</v>
      </c>
      <c r="CN55" s="50"/>
      <c r="CO55" s="52">
        <f t="shared" si="131"/>
        <v>0.26400000000000001</v>
      </c>
      <c r="CP55" s="52">
        <f t="shared" si="132"/>
        <v>0.19285714285714284</v>
      </c>
      <c r="CQ55" s="52">
        <f t="shared" si="133"/>
        <v>0.22535211267605626</v>
      </c>
      <c r="CR55" s="52">
        <f t="shared" si="134"/>
        <v>0.2847682119205297</v>
      </c>
      <c r="CS55" s="149">
        <f t="shared" si="135"/>
        <v>0.24193548387096775</v>
      </c>
      <c r="CT55" s="50"/>
      <c r="CU55" s="52">
        <f t="shared" si="136"/>
        <v>0.23417721518987333</v>
      </c>
      <c r="CV55" s="52">
        <f t="shared" si="163"/>
        <v>0.13173652694610771</v>
      </c>
      <c r="CW55" s="52">
        <f t="shared" si="137"/>
        <v>9.7701149425287293E-2</v>
      </c>
      <c r="CX55" s="52">
        <f t="shared" si="138"/>
        <v>5.1546391752577359E-2</v>
      </c>
      <c r="CY55" s="149">
        <f t="shared" si="139"/>
        <v>0.12409812409812404</v>
      </c>
      <c r="CZ55" s="50"/>
      <c r="DA55" s="52">
        <f t="shared" si="140"/>
        <v>-7.6923076923076872E-2</v>
      </c>
      <c r="DB55" s="52">
        <f t="shared" si="141"/>
        <v>-5.2910052910053462E-3</v>
      </c>
      <c r="DC55" s="52">
        <f t="shared" si="142"/>
        <v>0.10471204188481686</v>
      </c>
      <c r="DD55" s="52">
        <f t="shared" si="164"/>
        <v>0.44607843137254899</v>
      </c>
      <c r="DE55" s="149">
        <f t="shared" si="143"/>
        <v>0.12195121951219523</v>
      </c>
      <c r="DF55" s="50"/>
      <c r="DG55" s="52">
        <f t="shared" si="144"/>
        <v>0.78333333333333344</v>
      </c>
      <c r="DH55" s="52">
        <f t="shared" si="145"/>
        <v>0.86170212765957444</v>
      </c>
      <c r="DI55" s="52">
        <f t="shared" si="146"/>
        <v>0.61611374407582931</v>
      </c>
      <c r="DJ55" s="52">
        <f t="shared" si="147"/>
        <v>0.24406779661016942</v>
      </c>
      <c r="DK55" s="149">
        <f t="shared" si="148"/>
        <v>0.5778032036613272</v>
      </c>
      <c r="DL55" s="50"/>
      <c r="DM55" s="52">
        <f t="shared" si="149"/>
        <v>0.20662616822429913</v>
      </c>
      <c r="DN55" s="52">
        <f t="shared" si="149"/>
        <v>7.1691428571428517E-2</v>
      </c>
      <c r="DO55" s="52">
        <f t="shared" si="149"/>
        <v>1.9401759530791818E-2</v>
      </c>
      <c r="DP55" s="52">
        <f t="shared" si="149"/>
        <v>2.7863760217983646E-2</v>
      </c>
      <c r="DQ55" s="149">
        <f t="shared" si="149"/>
        <v>7.8506889050036222E-2</v>
      </c>
      <c r="DR55" s="50"/>
      <c r="DS55" s="52">
        <f t="shared" si="150"/>
        <v>-0.44547564663563177</v>
      </c>
      <c r="DT55" s="52">
        <f t="shared" si="150"/>
        <v>-0.44415302259319833</v>
      </c>
      <c r="DU55" s="52">
        <f t="shared" si="150"/>
        <v>-0.54110684955379407</v>
      </c>
      <c r="DV55" s="52">
        <f t="shared" si="150"/>
        <v>-0.57348882620150543</v>
      </c>
      <c r="DW55" s="149">
        <f t="shared" si="150"/>
        <v>-0.49996287531384742</v>
      </c>
      <c r="DX55" s="50"/>
      <c r="DY55" s="52">
        <f t="shared" si="151"/>
        <v>-0.25661359929528071</v>
      </c>
      <c r="DZ55" s="52">
        <f t="shared" si="151"/>
        <v>-0.10066620364765633</v>
      </c>
      <c r="EA55" s="52">
        <f t="shared" si="151"/>
        <v>-0.18201942974283836</v>
      </c>
      <c r="EB55" s="52">
        <f t="shared" si="151"/>
        <v>7.5606705749445169E-2</v>
      </c>
      <c r="EC55" s="149">
        <f t="shared" si="151"/>
        <v>-0.12501969420325254</v>
      </c>
      <c r="ED55" s="50"/>
      <c r="EE55" s="52">
        <f t="shared" si="152"/>
        <v>-6.4306138668601798E-2</v>
      </c>
      <c r="EF55" s="52">
        <f t="shared" si="152"/>
        <v>-5.7969257872611313E-2</v>
      </c>
      <c r="EG55" s="52">
        <f t="shared" si="152"/>
        <v>-9.6900559824774746E-2</v>
      </c>
      <c r="EH55" s="52">
        <f t="shared" si="152"/>
        <v>-0.14297982501940953</v>
      </c>
      <c r="EI55" s="149">
        <f t="shared" si="152"/>
        <v>-8.9939263735429265E-2</v>
      </c>
      <c r="EJ55" s="50"/>
      <c r="EK55" s="52">
        <f t="shared" si="152"/>
        <v>-0.16985146432988152</v>
      </c>
      <c r="EL55" s="52">
        <f t="shared" si="153"/>
        <v>-0.32505236864719922</v>
      </c>
      <c r="EM55" s="52">
        <f t="shared" si="153"/>
        <v>-0.23071525573164486</v>
      </c>
      <c r="EN55" s="52">
        <f t="shared" si="153"/>
        <v>-0.1967898046452109</v>
      </c>
      <c r="EO55" s="149">
        <f t="shared" si="153"/>
        <v>-0.23500241896256535</v>
      </c>
      <c r="EP55" s="50"/>
      <c r="EQ55" s="52">
        <f>EQ46/EK46-1</f>
        <v>-0.19752562787244876</v>
      </c>
      <c r="ER55" s="52">
        <f t="shared" si="154"/>
        <v>-0.19877537325952033</v>
      </c>
      <c r="ES55" s="52">
        <f t="shared" si="154"/>
        <v>-0.21475902927802681</v>
      </c>
      <c r="ET55" s="52">
        <f t="shared" si="154"/>
        <v>-0.17168431107718496</v>
      </c>
      <c r="EU55" s="149">
        <f t="shared" si="155"/>
        <v>-0.19450781584372978</v>
      </c>
      <c r="EV55" s="50"/>
      <c r="EW55" s="52">
        <f t="shared" si="156"/>
        <v>-0.17567416103086531</v>
      </c>
      <c r="EX55" s="52">
        <f t="shared" si="156"/>
        <v>-0.13457632796633245</v>
      </c>
      <c r="EY55" s="52">
        <f t="shared" si="156"/>
        <v>-0.12312908238664044</v>
      </c>
      <c r="EZ55" s="52">
        <f t="shared" si="156"/>
        <v>-0.10309777230832795</v>
      </c>
      <c r="FA55" s="149">
        <f t="shared" si="156"/>
        <v>-0.13504032053264359</v>
      </c>
      <c r="FB55" s="50"/>
      <c r="FC55" s="52">
        <f t="shared" si="157"/>
        <v>-0.10748415170066739</v>
      </c>
      <c r="FD55" s="52">
        <f t="shared" si="157"/>
        <v>-0.11961411445921599</v>
      </c>
      <c r="FE55" s="52">
        <f t="shared" si="157"/>
        <v>-0.15328296399469532</v>
      </c>
      <c r="FF55" s="52">
        <f t="shared" si="157"/>
        <v>-0.12758250659831472</v>
      </c>
      <c r="FG55" s="149">
        <f t="shared" si="157"/>
        <v>-0.12535384956891071</v>
      </c>
      <c r="FH55" s="50"/>
      <c r="FI55" s="52">
        <f t="shared" si="158"/>
        <v>-0.15111937980045342</v>
      </c>
      <c r="FJ55" s="52">
        <f t="shared" si="159"/>
        <v>-0.15456880473258316</v>
      </c>
      <c r="FK55" s="52">
        <f t="shared" si="160"/>
        <v>-0.18388292158968855</v>
      </c>
      <c r="FL55" s="52">
        <f t="shared" si="161"/>
        <v>-0.14877512221618705</v>
      </c>
      <c r="FM55" s="149">
        <f t="shared" si="162"/>
        <v>-0.15764555981894757</v>
      </c>
      <c r="FP55" s="821">
        <f>CG123</f>
        <v>7.8995157384987857E-2</v>
      </c>
      <c r="FQ55" s="822">
        <f>CM123</f>
        <v>0.15539971949509113</v>
      </c>
      <c r="FR55" s="823">
        <f>CS123</f>
        <v>0.24</v>
      </c>
      <c r="FS55" s="823">
        <f>CY123</f>
        <v>-4.7609794014769058E-3</v>
      </c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</row>
    <row r="56" spans="1:274" s="24" customFormat="1" x14ac:dyDescent="0.2">
      <c r="A56" s="819" t="s">
        <v>92</v>
      </c>
      <c r="B56" s="1040"/>
      <c r="C56" s="50" t="s">
        <v>945</v>
      </c>
      <c r="D56" s="50" t="s">
        <v>945</v>
      </c>
      <c r="E56" s="50" t="s">
        <v>945</v>
      </c>
      <c r="F56" s="50" t="s">
        <v>945</v>
      </c>
      <c r="G56" s="50" t="s">
        <v>945</v>
      </c>
      <c r="H56" s="50" t="s">
        <v>945</v>
      </c>
      <c r="I56" s="50" t="s">
        <v>945</v>
      </c>
      <c r="J56" s="50" t="s">
        <v>945</v>
      </c>
      <c r="K56" s="50" t="s">
        <v>945</v>
      </c>
      <c r="L56" s="50" t="s">
        <v>945</v>
      </c>
      <c r="M56" s="50" t="s">
        <v>945</v>
      </c>
      <c r="N56" s="50"/>
      <c r="O56" s="50" t="s">
        <v>945</v>
      </c>
      <c r="P56" s="50" t="s">
        <v>945</v>
      </c>
      <c r="Q56" s="50" t="s">
        <v>945</v>
      </c>
      <c r="R56" s="50" t="s">
        <v>945</v>
      </c>
      <c r="S56" s="50" t="s">
        <v>945</v>
      </c>
      <c r="T56" s="818"/>
      <c r="U56" s="50" t="s">
        <v>945</v>
      </c>
      <c r="V56" s="50" t="s">
        <v>945</v>
      </c>
      <c r="W56" s="50" t="s">
        <v>945</v>
      </c>
      <c r="X56" s="50" t="s">
        <v>945</v>
      </c>
      <c r="Y56" s="50" t="s">
        <v>945</v>
      </c>
      <c r="Z56" s="50"/>
      <c r="AA56" s="52" t="s">
        <v>945</v>
      </c>
      <c r="AB56" s="52" t="s">
        <v>945</v>
      </c>
      <c r="AC56" s="52" t="s">
        <v>945</v>
      </c>
      <c r="AD56" s="52" t="s">
        <v>945</v>
      </c>
      <c r="AE56" s="52" t="s">
        <v>945</v>
      </c>
      <c r="AF56" s="50"/>
      <c r="AG56" s="52" t="s">
        <v>945</v>
      </c>
      <c r="AH56" s="52" t="s">
        <v>945</v>
      </c>
      <c r="AI56" s="52" t="s">
        <v>945</v>
      </c>
      <c r="AJ56" s="52" t="s">
        <v>945</v>
      </c>
      <c r="AK56" s="52" t="s">
        <v>945</v>
      </c>
      <c r="AL56" s="50"/>
      <c r="AM56" s="52" t="s">
        <v>945</v>
      </c>
      <c r="AN56" s="52" t="s">
        <v>945</v>
      </c>
      <c r="AO56" s="52" t="s">
        <v>945</v>
      </c>
      <c r="AP56" s="52" t="s">
        <v>945</v>
      </c>
      <c r="AQ56" s="52" t="s">
        <v>945</v>
      </c>
      <c r="AR56" s="50"/>
      <c r="AS56" s="52" t="s">
        <v>945</v>
      </c>
      <c r="AT56" s="52" t="s">
        <v>945</v>
      </c>
      <c r="AU56" s="52" t="s">
        <v>945</v>
      </c>
      <c r="AV56" s="52" t="s">
        <v>945</v>
      </c>
      <c r="AW56" s="52" t="s">
        <v>945</v>
      </c>
      <c r="AX56" s="50"/>
      <c r="AY56" s="52" t="s">
        <v>943</v>
      </c>
      <c r="AZ56" s="52" t="s">
        <v>943</v>
      </c>
      <c r="BA56" s="52" t="s">
        <v>943</v>
      </c>
      <c r="BB56" s="52" t="s">
        <v>943</v>
      </c>
      <c r="BC56" s="52" t="s">
        <v>943</v>
      </c>
      <c r="BD56" s="50"/>
      <c r="BE56" s="52">
        <f t="shared" si="105"/>
        <v>-8.8297489426797382E-3</v>
      </c>
      <c r="BF56" s="52">
        <f t="shared" si="106"/>
        <v>-0.23435757927128387</v>
      </c>
      <c r="BG56" s="52">
        <f t="shared" si="107"/>
        <v>-0.33413866315250018</v>
      </c>
      <c r="BH56" s="52">
        <f t="shared" si="108"/>
        <v>-0.30851646203175098</v>
      </c>
      <c r="BI56" s="52">
        <f t="shared" si="109"/>
        <v>-0.2295592825133892</v>
      </c>
      <c r="BJ56" s="50"/>
      <c r="BK56" s="52">
        <f t="shared" si="110"/>
        <v>-0.27370941567652829</v>
      </c>
      <c r="BL56" s="52">
        <f t="shared" si="110"/>
        <v>-0.17287977632805218</v>
      </c>
      <c r="BM56" s="52">
        <f t="shared" si="110"/>
        <v>-0.15181025681300553</v>
      </c>
      <c r="BN56" s="52">
        <f t="shared" si="110"/>
        <v>-0.132926185629194</v>
      </c>
      <c r="BO56" s="52">
        <f t="shared" si="110"/>
        <v>-0.18663816747687589</v>
      </c>
      <c r="BP56" s="50"/>
      <c r="BQ56" s="52">
        <f t="shared" si="111"/>
        <v>-0.125</v>
      </c>
      <c r="BR56" s="52">
        <f t="shared" si="112"/>
        <v>-4.2253521126760618E-2</v>
      </c>
      <c r="BS56" s="52">
        <f t="shared" si="113"/>
        <v>-7.407407407407407E-2</v>
      </c>
      <c r="BT56" s="52">
        <f t="shared" si="114"/>
        <v>-5.7971014492753659E-2</v>
      </c>
      <c r="BU56" s="52">
        <f t="shared" si="115"/>
        <v>-7.3643410852713198E-2</v>
      </c>
      <c r="BV56" s="50"/>
      <c r="BW56" s="52">
        <f t="shared" si="116"/>
        <v>-0.1071428571428571</v>
      </c>
      <c r="BX56" s="52">
        <f t="shared" si="117"/>
        <v>-2.9411764705882359E-2</v>
      </c>
      <c r="BY56" s="52">
        <f t="shared" si="118"/>
        <v>0.3600000000000001</v>
      </c>
      <c r="BZ56" s="52">
        <f t="shared" si="119"/>
        <v>0.32307692307692304</v>
      </c>
      <c r="CA56" s="52">
        <f t="shared" si="120"/>
        <v>0.12970711297071125</v>
      </c>
      <c r="CB56" s="50"/>
      <c r="CC56" s="52">
        <f t="shared" si="121"/>
        <v>0.43999999999999995</v>
      </c>
      <c r="CD56" s="52">
        <f t="shared" si="122"/>
        <v>0.24242424242424243</v>
      </c>
      <c r="CE56" s="52">
        <f t="shared" si="123"/>
        <v>8.8235294117646967E-2</v>
      </c>
      <c r="CF56" s="52">
        <f t="shared" si="124"/>
        <v>0.10465116279069764</v>
      </c>
      <c r="CG56" s="149">
        <f t="shared" si="125"/>
        <v>0.19629629629629619</v>
      </c>
      <c r="CH56" s="50"/>
      <c r="CI56" s="52">
        <f t="shared" si="126"/>
        <v>0.125</v>
      </c>
      <c r="CJ56" s="52">
        <f t="shared" si="127"/>
        <v>0.13414634146341453</v>
      </c>
      <c r="CK56" s="52">
        <f t="shared" si="128"/>
        <v>8.1081081081081141E-2</v>
      </c>
      <c r="CL56" s="52">
        <f t="shared" si="129"/>
        <v>0.10526315789473695</v>
      </c>
      <c r="CM56" s="149">
        <f t="shared" si="130"/>
        <v>0.11145510835913308</v>
      </c>
      <c r="CN56" s="50"/>
      <c r="CO56" s="52">
        <f t="shared" si="131"/>
        <v>0.23456790123456783</v>
      </c>
      <c r="CP56" s="52">
        <f t="shared" si="132"/>
        <v>0.18279569892473124</v>
      </c>
      <c r="CQ56" s="52">
        <f t="shared" si="133"/>
        <v>0.14999999999999991</v>
      </c>
      <c r="CR56" s="52">
        <f t="shared" si="134"/>
        <v>8.5714285714285632E-2</v>
      </c>
      <c r="CS56" s="149">
        <f t="shared" si="135"/>
        <v>0.15877437325905297</v>
      </c>
      <c r="CT56" s="50"/>
      <c r="CU56" s="52">
        <f t="shared" si="136"/>
        <v>-1.0000000000000009E-2</v>
      </c>
      <c r="CV56" s="52">
        <f t="shared" si="163"/>
        <v>-9.0909090909090939E-2</v>
      </c>
      <c r="CW56" s="52">
        <f t="shared" si="137"/>
        <v>-0.22826086956521741</v>
      </c>
      <c r="CX56" s="52">
        <f t="shared" si="138"/>
        <v>-0.30701754385964908</v>
      </c>
      <c r="CY56" s="149">
        <f t="shared" si="139"/>
        <v>-0.16105769230769229</v>
      </c>
      <c r="CZ56" s="50"/>
      <c r="DA56" s="52">
        <f t="shared" si="140"/>
        <v>-0.33333333333333337</v>
      </c>
      <c r="DB56" s="52">
        <f t="shared" si="141"/>
        <v>-0.21999999999999997</v>
      </c>
      <c r="DC56" s="52">
        <f t="shared" si="142"/>
        <v>-2.8169014084507005E-2</v>
      </c>
      <c r="DD56" s="52">
        <f t="shared" si="164"/>
        <v>0.26582278481012667</v>
      </c>
      <c r="DE56" s="149">
        <f t="shared" si="143"/>
        <v>-0.1031518624641834</v>
      </c>
      <c r="DF56" s="50"/>
      <c r="DG56" s="52">
        <f t="shared" si="144"/>
        <v>0.22727272727272729</v>
      </c>
      <c r="DH56" s="52">
        <f t="shared" si="145"/>
        <v>0.24358974358974361</v>
      </c>
      <c r="DI56" s="52">
        <f t="shared" si="146"/>
        <v>0.20289855072463769</v>
      </c>
      <c r="DJ56" s="52">
        <f t="shared" si="147"/>
        <v>-6.0000000000000053E-2</v>
      </c>
      <c r="DK56" s="149">
        <f t="shared" si="148"/>
        <v>0.13418530351437696</v>
      </c>
      <c r="DL56" s="50"/>
      <c r="DM56" s="52">
        <f t="shared" si="149"/>
        <v>-0.19439506172839482</v>
      </c>
      <c r="DN56" s="52">
        <f t="shared" si="149"/>
        <v>-0.33793814432989666</v>
      </c>
      <c r="DO56" s="52">
        <f t="shared" si="149"/>
        <v>4.7036144578313177E-2</v>
      </c>
      <c r="DP56" s="52">
        <f t="shared" si="149"/>
        <v>-4.954255319148948E-2</v>
      </c>
      <c r="DQ56" s="149">
        <f t="shared" si="149"/>
        <v>-0.13881408450704225</v>
      </c>
      <c r="DR56" s="50"/>
      <c r="DS56" s="52">
        <f t="shared" si="150"/>
        <v>-9.8905814202960962E-2</v>
      </c>
      <c r="DT56" s="52">
        <f t="shared" si="150"/>
        <v>-7.290563687324858E-2</v>
      </c>
      <c r="DU56" s="52">
        <f t="shared" si="150"/>
        <v>-0.33374758354045841</v>
      </c>
      <c r="DV56" s="52">
        <f t="shared" si="150"/>
        <v>-0.26257233359076804</v>
      </c>
      <c r="DW56" s="149">
        <f t="shared" si="150"/>
        <v>-0.2080295432763859</v>
      </c>
      <c r="DX56" s="50"/>
      <c r="DY56" s="52">
        <f t="shared" si="151"/>
        <v>-0.19727891156462585</v>
      </c>
      <c r="DZ56" s="52">
        <f t="shared" si="151"/>
        <v>-0.21142799556585712</v>
      </c>
      <c r="EA56" s="52">
        <f t="shared" si="151"/>
        <v>-0.18678756476683933</v>
      </c>
      <c r="EB56" s="52">
        <f t="shared" si="151"/>
        <v>-0.28533483091494138</v>
      </c>
      <c r="EC56" s="149">
        <f t="shared" si="151"/>
        <v>-0.22221029067990516</v>
      </c>
      <c r="ED56" s="50"/>
      <c r="EE56" s="52">
        <f t="shared" si="152"/>
        <v>-4.5288135593220313E-2</v>
      </c>
      <c r="EF56" s="52">
        <f t="shared" si="152"/>
        <v>-4.7974440894568704E-2</v>
      </c>
      <c r="EG56" s="52">
        <f t="shared" si="152"/>
        <v>-6.5587766804714787E-2</v>
      </c>
      <c r="EH56" s="52">
        <f t="shared" si="152"/>
        <v>-0.12991398534565146</v>
      </c>
      <c r="EI56" s="149">
        <f t="shared" si="152"/>
        <v>-7.219201359388272E-2</v>
      </c>
      <c r="EJ56" s="50"/>
      <c r="EK56" s="52">
        <f t="shared" si="152"/>
        <v>-0.15109714529186191</v>
      </c>
      <c r="EL56" s="52">
        <f t="shared" si="153"/>
        <v>-0.18204109392898038</v>
      </c>
      <c r="EM56" s="52">
        <f t="shared" si="153"/>
        <v>-0.20058731544112296</v>
      </c>
      <c r="EN56" s="52">
        <f t="shared" si="153"/>
        <v>-0.18325522358914259</v>
      </c>
      <c r="EO56" s="149">
        <f t="shared" si="153"/>
        <v>-0.17901522851936291</v>
      </c>
      <c r="EP56" s="50"/>
      <c r="EQ56" s="52">
        <f>EQ47/EK47-1</f>
        <v>-0.1772486772486771</v>
      </c>
      <c r="ER56" s="52">
        <f t="shared" si="154"/>
        <v>-0.17886917135292446</v>
      </c>
      <c r="ES56" s="52">
        <f t="shared" si="154"/>
        <v>-0.17971317767744421</v>
      </c>
      <c r="ET56" s="52">
        <f t="shared" si="154"/>
        <v>-0.15617266978278799</v>
      </c>
      <c r="EU56" s="149">
        <f t="shared" si="155"/>
        <v>-0.173349766881567</v>
      </c>
      <c r="EV56" s="50"/>
      <c r="EW56" s="52">
        <f t="shared" si="156"/>
        <v>-0.15221204072035888</v>
      </c>
      <c r="EX56" s="52">
        <f t="shared" si="156"/>
        <v>-0.11036867280455132</v>
      </c>
      <c r="EY56" s="52">
        <f t="shared" si="156"/>
        <v>-7.8063693207813922E-2</v>
      </c>
      <c r="EZ56" s="52">
        <f t="shared" si="156"/>
        <v>-8.4316906795868896E-2</v>
      </c>
      <c r="FA56" s="149">
        <f t="shared" si="156"/>
        <v>-0.10741162927981107</v>
      </c>
      <c r="FB56" s="50"/>
      <c r="FC56" s="52">
        <f t="shared" si="157"/>
        <v>-7.8637763936048044E-2</v>
      </c>
      <c r="FD56" s="52">
        <f t="shared" si="157"/>
        <v>-9.1665356188079916E-2</v>
      </c>
      <c r="FE56" s="52">
        <f t="shared" si="157"/>
        <v>-0.10254750250013145</v>
      </c>
      <c r="FF56" s="52">
        <f t="shared" si="157"/>
        <v>-0.10701375397330137</v>
      </c>
      <c r="FG56" s="149">
        <f t="shared" si="157"/>
        <v>-9.4864990244194036E-2</v>
      </c>
      <c r="FH56" s="50"/>
      <c r="FI56" s="52">
        <f t="shared" si="158"/>
        <v>-0.11967190658768956</v>
      </c>
      <c r="FJ56" s="52">
        <f t="shared" si="159"/>
        <v>-0.12382585217740416</v>
      </c>
      <c r="FK56" s="52">
        <f t="shared" si="160"/>
        <v>-0.126</v>
      </c>
      <c r="FL56" s="52">
        <f t="shared" si="161"/>
        <v>-0.126</v>
      </c>
      <c r="FM56" s="149">
        <f t="shared" si="162"/>
        <v>-0.12382556417714219</v>
      </c>
      <c r="FQ56" s="621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</row>
    <row r="57" spans="1:274" s="24" customFormat="1" x14ac:dyDescent="0.2">
      <c r="A57" s="819" t="s">
        <v>543</v>
      </c>
      <c r="B57" s="1040"/>
      <c r="C57" s="50" t="s">
        <v>945</v>
      </c>
      <c r="D57" s="50" t="s">
        <v>945</v>
      </c>
      <c r="E57" s="50" t="s">
        <v>945</v>
      </c>
      <c r="F57" s="50" t="s">
        <v>945</v>
      </c>
      <c r="G57" s="50" t="s">
        <v>945</v>
      </c>
      <c r="H57" s="50" t="s">
        <v>945</v>
      </c>
      <c r="I57" s="50" t="s">
        <v>945</v>
      </c>
      <c r="J57" s="50" t="s">
        <v>945</v>
      </c>
      <c r="K57" s="50" t="s">
        <v>945</v>
      </c>
      <c r="L57" s="50" t="s">
        <v>945</v>
      </c>
      <c r="M57" s="50" t="s">
        <v>945</v>
      </c>
      <c r="N57" s="50"/>
      <c r="O57" s="50" t="s">
        <v>945</v>
      </c>
      <c r="P57" s="50" t="s">
        <v>945</v>
      </c>
      <c r="Q57" s="50" t="s">
        <v>945</v>
      </c>
      <c r="R57" s="50" t="s">
        <v>945</v>
      </c>
      <c r="S57" s="50" t="s">
        <v>945</v>
      </c>
      <c r="T57" s="818"/>
      <c r="U57" s="50" t="s">
        <v>945</v>
      </c>
      <c r="V57" s="50" t="s">
        <v>945</v>
      </c>
      <c r="W57" s="50" t="s">
        <v>945</v>
      </c>
      <c r="X57" s="50" t="s">
        <v>945</v>
      </c>
      <c r="Y57" s="50" t="s">
        <v>945</v>
      </c>
      <c r="Z57" s="50"/>
      <c r="AA57" s="52" t="s">
        <v>945</v>
      </c>
      <c r="AB57" s="52" t="s">
        <v>945</v>
      </c>
      <c r="AC57" s="52" t="s">
        <v>945</v>
      </c>
      <c r="AD57" s="52" t="s">
        <v>945</v>
      </c>
      <c r="AE57" s="52" t="s">
        <v>945</v>
      </c>
      <c r="AF57" s="50"/>
      <c r="AG57" s="52">
        <f t="shared" ref="AG57:AK58" si="165">AG48/AA48-1</f>
        <v>0.44130062749572141</v>
      </c>
      <c r="AH57" s="52">
        <f t="shared" si="165"/>
        <v>0.36789146410401341</v>
      </c>
      <c r="AI57" s="52">
        <f t="shared" si="165"/>
        <v>0.26568156192510828</v>
      </c>
      <c r="AJ57" s="52">
        <f t="shared" si="165"/>
        <v>0.51695679624785784</v>
      </c>
      <c r="AK57" s="52">
        <f t="shared" si="165"/>
        <v>0.406545895346488</v>
      </c>
      <c r="AL57" s="50"/>
      <c r="AM57" s="52">
        <f t="shared" ref="AM57:AQ58" si="166">AM48/AG48-1</f>
        <v>-1.6425235494340162E-2</v>
      </c>
      <c r="AN57" s="52">
        <f t="shared" si="166"/>
        <v>-8.3353996198032854E-2</v>
      </c>
      <c r="AO57" s="52">
        <f t="shared" si="166"/>
        <v>-9.1897974493622137E-3</v>
      </c>
      <c r="AP57" s="52">
        <f t="shared" si="166"/>
        <v>-0.12792460683176266</v>
      </c>
      <c r="AQ57" s="52">
        <f t="shared" si="166"/>
        <v>-6.6370452652041112E-2</v>
      </c>
      <c r="AR57" s="50"/>
      <c r="AS57" s="52">
        <f t="shared" ref="AS57:AW58" si="167">AS48/AM48-1</f>
        <v>0.18848336083055006</v>
      </c>
      <c r="AT57" s="52">
        <f t="shared" si="167"/>
        <v>0.14787430683918656</v>
      </c>
      <c r="AU57" s="52">
        <f t="shared" si="167"/>
        <v>0.33290743895513919</v>
      </c>
      <c r="AV57" s="52">
        <f t="shared" si="167"/>
        <v>0.65688279811822459</v>
      </c>
      <c r="AW57" s="52">
        <f t="shared" si="167"/>
        <v>0.35147387638720784</v>
      </c>
      <c r="AX57" s="50"/>
      <c r="AY57" s="52">
        <f t="shared" ref="AY57:BC58" si="168">AY48/AS48-1</f>
        <v>0.32320975114271211</v>
      </c>
      <c r="AZ57" s="52">
        <f t="shared" si="168"/>
        <v>9.1119751777227975E-2</v>
      </c>
      <c r="BA57" s="52">
        <f t="shared" si="168"/>
        <v>7.6401462704583256E-2</v>
      </c>
      <c r="BB57" s="52">
        <f t="shared" si="168"/>
        <v>-0.16663580437421566</v>
      </c>
      <c r="BC57" s="52">
        <f t="shared" si="168"/>
        <v>4.4920540958972799E-2</v>
      </c>
      <c r="BD57" s="50"/>
      <c r="BE57" s="52">
        <f t="shared" si="105"/>
        <v>-0.47995189478263089</v>
      </c>
      <c r="BF57" s="52">
        <f t="shared" si="106"/>
        <v>-0.42647852849069501</v>
      </c>
      <c r="BG57" s="52">
        <f t="shared" si="107"/>
        <v>-0.58359444572710184</v>
      </c>
      <c r="BH57" s="52">
        <f t="shared" si="108"/>
        <v>-0.44099348212522216</v>
      </c>
      <c r="BI57" s="52">
        <f t="shared" si="109"/>
        <v>-0.48052438537240805</v>
      </c>
      <c r="BJ57" s="50"/>
      <c r="BK57" s="52"/>
      <c r="BL57" s="52"/>
      <c r="BM57" s="52"/>
      <c r="BN57" s="52"/>
      <c r="BO57" s="52"/>
      <c r="BP57" s="50"/>
      <c r="BQ57" s="52"/>
      <c r="BR57" s="52"/>
      <c r="BS57" s="52"/>
      <c r="BT57" s="52"/>
      <c r="BU57" s="52"/>
      <c r="BV57" s="50"/>
      <c r="BW57" s="52"/>
      <c r="BX57" s="52"/>
      <c r="BY57" s="52"/>
      <c r="BZ57" s="52"/>
      <c r="CA57" s="52"/>
      <c r="CB57" s="50"/>
      <c r="CC57" s="52"/>
      <c r="CD57" s="52"/>
      <c r="CE57" s="52"/>
      <c r="CF57" s="52"/>
      <c r="CG57" s="149"/>
      <c r="CH57" s="50"/>
      <c r="CI57" s="52"/>
      <c r="CJ57" s="52"/>
      <c r="CK57" s="52"/>
      <c r="CL57" s="52"/>
      <c r="CM57" s="149"/>
      <c r="CN57" s="50"/>
      <c r="CO57" s="52"/>
      <c r="CP57" s="52"/>
      <c r="CQ57" s="52"/>
      <c r="CR57" s="52"/>
      <c r="CS57" s="149"/>
      <c r="CT57" s="50"/>
      <c r="CU57" s="52"/>
      <c r="CV57" s="52"/>
      <c r="CW57" s="52"/>
      <c r="CX57" s="52"/>
      <c r="CY57" s="149"/>
      <c r="CZ57" s="50"/>
      <c r="DA57" s="52"/>
      <c r="DB57" s="52"/>
      <c r="DC57" s="52"/>
      <c r="DD57" s="52"/>
      <c r="DE57" s="149"/>
      <c r="DF57" s="50"/>
      <c r="DG57" s="52"/>
      <c r="DH57" s="52"/>
      <c r="DI57" s="52"/>
      <c r="DJ57" s="52"/>
      <c r="DK57" s="149"/>
      <c r="DL57" s="50"/>
      <c r="DM57" s="52"/>
      <c r="DN57" s="52"/>
      <c r="DO57" s="52"/>
      <c r="DP57" s="52"/>
      <c r="DQ57" s="149"/>
      <c r="DR57" s="50"/>
      <c r="DS57" s="52"/>
      <c r="DT57" s="52"/>
      <c r="DU57" s="52"/>
      <c r="DV57" s="52"/>
      <c r="DW57" s="149"/>
      <c r="DX57" s="50"/>
      <c r="DY57" s="52"/>
      <c r="DZ57" s="52"/>
      <c r="EA57" s="52"/>
      <c r="EB57" s="52"/>
      <c r="EC57" s="149"/>
      <c r="ED57" s="50"/>
      <c r="EE57" s="52"/>
      <c r="EF57" s="52"/>
      <c r="EG57" s="52"/>
      <c r="EH57" s="52"/>
      <c r="EI57" s="149"/>
      <c r="EJ57" s="50"/>
      <c r="EK57" s="52"/>
      <c r="EL57" s="52"/>
      <c r="EM57" s="52"/>
      <c r="EN57" s="52"/>
      <c r="EO57" s="149"/>
      <c r="EP57" s="50"/>
      <c r="EQ57" s="52"/>
      <c r="ER57" s="52"/>
      <c r="ES57" s="52"/>
      <c r="ET57" s="52"/>
      <c r="EU57" s="149"/>
      <c r="EV57" s="50"/>
      <c r="EW57" s="52"/>
      <c r="EX57" s="52"/>
      <c r="EY57" s="52"/>
      <c r="EZ57" s="52"/>
      <c r="FA57" s="149"/>
      <c r="FB57" s="50"/>
      <c r="FC57" s="52"/>
      <c r="FD57" s="52"/>
      <c r="FE57" s="52"/>
      <c r="FF57" s="52"/>
      <c r="FG57" s="149"/>
      <c r="FH57" s="50"/>
      <c r="FI57" s="52"/>
      <c r="FJ57" s="52"/>
      <c r="FK57" s="52"/>
      <c r="FL57" s="52"/>
      <c r="FM57" s="149"/>
      <c r="FO57" s="614" t="s">
        <v>43</v>
      </c>
      <c r="FQ57" s="621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</row>
    <row r="58" spans="1:274" s="24" customFormat="1" x14ac:dyDescent="0.2">
      <c r="A58" s="870" t="s">
        <v>698</v>
      </c>
      <c r="B58" s="873"/>
      <c r="C58" s="169" t="s">
        <v>945</v>
      </c>
      <c r="D58" s="169" t="s">
        <v>945</v>
      </c>
      <c r="E58" s="169" t="s">
        <v>945</v>
      </c>
      <c r="F58" s="169" t="s">
        <v>945</v>
      </c>
      <c r="G58" s="169" t="s">
        <v>945</v>
      </c>
      <c r="H58" s="169" t="s">
        <v>945</v>
      </c>
      <c r="I58" s="169" t="s">
        <v>945</v>
      </c>
      <c r="J58" s="169" t="s">
        <v>945</v>
      </c>
      <c r="K58" s="169" t="s">
        <v>945</v>
      </c>
      <c r="L58" s="169" t="s">
        <v>945</v>
      </c>
      <c r="M58" s="169" t="s">
        <v>945</v>
      </c>
      <c r="N58" s="169"/>
      <c r="O58" s="169" t="s">
        <v>945</v>
      </c>
      <c r="P58" s="169" t="s">
        <v>945</v>
      </c>
      <c r="Q58" s="169" t="s">
        <v>945</v>
      </c>
      <c r="R58" s="169" t="s">
        <v>945</v>
      </c>
      <c r="S58" s="169" t="s">
        <v>945</v>
      </c>
      <c r="T58" s="169"/>
      <c r="U58" s="169" t="s">
        <v>945</v>
      </c>
      <c r="V58" s="169" t="s">
        <v>945</v>
      </c>
      <c r="W58" s="169" t="s">
        <v>945</v>
      </c>
      <c r="X58" s="169" t="s">
        <v>945</v>
      </c>
      <c r="Y58" s="169" t="s">
        <v>945</v>
      </c>
      <c r="Z58" s="169"/>
      <c r="AA58" s="252">
        <v>0.36</v>
      </c>
      <c r="AB58" s="252">
        <v>0.36</v>
      </c>
      <c r="AC58" s="252">
        <v>0.35</v>
      </c>
      <c r="AD58" s="252">
        <v>0.33</v>
      </c>
      <c r="AE58" s="252">
        <v>0.35</v>
      </c>
      <c r="AF58" s="169"/>
      <c r="AG58" s="252">
        <f t="shared" si="165"/>
        <v>0.30077381478430021</v>
      </c>
      <c r="AH58" s="252">
        <f t="shared" si="165"/>
        <v>0.23056292908272469</v>
      </c>
      <c r="AI58" s="252">
        <f t="shared" si="165"/>
        <v>0.27403499748290328</v>
      </c>
      <c r="AJ58" s="252">
        <f t="shared" si="165"/>
        <v>0.238457190876326</v>
      </c>
      <c r="AK58" s="252">
        <f t="shared" si="165"/>
        <v>0.25676349885017347</v>
      </c>
      <c r="AL58" s="169"/>
      <c r="AM58" s="252">
        <f t="shared" si="166"/>
        <v>0.27781483297037091</v>
      </c>
      <c r="AN58" s="252">
        <f t="shared" si="166"/>
        <v>0.27403457957882571</v>
      </c>
      <c r="AO58" s="252">
        <f t="shared" si="166"/>
        <v>0.18879867242847359</v>
      </c>
      <c r="AP58" s="252">
        <f t="shared" si="166"/>
        <v>0.21998480447890656</v>
      </c>
      <c r="AQ58" s="252">
        <f t="shared" si="166"/>
        <v>0.23564075809932605</v>
      </c>
      <c r="AR58" s="169"/>
      <c r="AS58" s="252">
        <f t="shared" si="167"/>
        <v>0.13458673268119203</v>
      </c>
      <c r="AT58" s="252">
        <f t="shared" si="167"/>
        <v>0.12935128583268796</v>
      </c>
      <c r="AU58" s="252">
        <f t="shared" si="167"/>
        <v>0.17821657399034097</v>
      </c>
      <c r="AV58" s="252">
        <f t="shared" si="167"/>
        <v>0.14644624123171512</v>
      </c>
      <c r="AW58" s="252">
        <f t="shared" si="167"/>
        <v>0.14759700980554302</v>
      </c>
      <c r="AX58" s="169"/>
      <c r="AY58" s="252">
        <f t="shared" si="168"/>
        <v>0.15292134055792928</v>
      </c>
      <c r="AZ58" s="252">
        <f t="shared" si="168"/>
        <v>0.15699542138858824</v>
      </c>
      <c r="BA58" s="252">
        <f t="shared" si="168"/>
        <v>0.10069494059405137</v>
      </c>
      <c r="BB58" s="252">
        <f t="shared" si="168"/>
        <v>-2.4917686875242651E-2</v>
      </c>
      <c r="BC58" s="252">
        <f t="shared" si="168"/>
        <v>8.1989487200951228E-2</v>
      </c>
      <c r="BD58" s="169"/>
      <c r="BE58" s="252">
        <f t="shared" si="105"/>
        <v>-1.0024947639677206E-2</v>
      </c>
      <c r="BF58" s="252">
        <f t="shared" si="106"/>
        <v>-0.1138959532580307</v>
      </c>
      <c r="BG58" s="252">
        <f t="shared" si="107"/>
        <v>-0.16421803356154285</v>
      </c>
      <c r="BH58" s="252">
        <f t="shared" si="108"/>
        <v>-0.15690362071952413</v>
      </c>
      <c r="BI58" s="252">
        <f t="shared" si="109"/>
        <v>-0.11750161394919223</v>
      </c>
      <c r="BJ58" s="169"/>
      <c r="BK58" s="252">
        <f t="shared" si="110"/>
        <v>-0.10465750279794528</v>
      </c>
      <c r="BL58" s="252">
        <f t="shared" si="110"/>
        <v>-3.0010035972386495E-2</v>
      </c>
      <c r="BM58" s="252">
        <f t="shared" si="110"/>
        <v>2.3822626169385686E-2</v>
      </c>
      <c r="BN58" s="252">
        <f t="shared" si="110"/>
        <v>2.0699132402132392E-2</v>
      </c>
      <c r="BO58" s="252">
        <f t="shared" si="110"/>
        <v>-2.0407032384544999E-2</v>
      </c>
      <c r="BP58" s="169"/>
      <c r="BQ58" s="252">
        <f t="shared" si="111"/>
        <v>2.1696252465483346E-2</v>
      </c>
      <c r="BR58" s="252">
        <f t="shared" si="112"/>
        <v>8.1853616284105701E-2</v>
      </c>
      <c r="BS58" s="252">
        <f t="shared" si="113"/>
        <v>8.7559601213697436E-2</v>
      </c>
      <c r="BT58" s="252">
        <f t="shared" si="114"/>
        <v>8.6741541286995849E-2</v>
      </c>
      <c r="BU58" s="252">
        <f t="shared" si="115"/>
        <v>7.1828102243704839E-2</v>
      </c>
      <c r="BV58" s="169"/>
      <c r="BW58" s="252">
        <f t="shared" si="116"/>
        <v>6.9015444015444016E-2</v>
      </c>
      <c r="BX58" s="252">
        <f t="shared" si="117"/>
        <v>0.10328262610088079</v>
      </c>
      <c r="BY58" s="252">
        <f t="shared" si="118"/>
        <v>0.2327620565962536</v>
      </c>
      <c r="BZ58" s="252">
        <f t="shared" si="119"/>
        <v>0.31784205394865128</v>
      </c>
      <c r="CA58" s="252">
        <f t="shared" si="120"/>
        <v>0.19328475777865295</v>
      </c>
      <c r="CB58" s="169"/>
      <c r="CC58" s="252">
        <f t="shared" si="121"/>
        <v>0.31241534988713315</v>
      </c>
      <c r="CD58" s="252">
        <f t="shared" si="122"/>
        <v>0.2314949201741654</v>
      </c>
      <c r="CE58" s="252">
        <f t="shared" si="123"/>
        <v>0.1427093436792759</v>
      </c>
      <c r="CF58" s="252">
        <f t="shared" si="124"/>
        <v>0.21750924784217007</v>
      </c>
      <c r="CG58" s="871">
        <f t="shared" si="125"/>
        <v>0.21894545754600214</v>
      </c>
      <c r="CH58" s="169"/>
      <c r="CI58" s="252">
        <f t="shared" si="126"/>
        <v>0.25937392500860001</v>
      </c>
      <c r="CJ58" s="252">
        <f t="shared" si="127"/>
        <v>0.24219210371243372</v>
      </c>
      <c r="CK58" s="252">
        <f t="shared" si="128"/>
        <v>0.25877093707559973</v>
      </c>
      <c r="CL58" s="252">
        <f t="shared" si="129"/>
        <v>0.19161434069272842</v>
      </c>
      <c r="CM58" s="871">
        <f t="shared" si="130"/>
        <v>0.23263653840946641</v>
      </c>
      <c r="CN58" s="169"/>
      <c r="CO58" s="252">
        <f t="shared" si="131"/>
        <v>0.2545752526632068</v>
      </c>
      <c r="CP58" s="252">
        <f t="shared" si="132"/>
        <v>0.27229601518026558</v>
      </c>
      <c r="CQ58" s="252">
        <f t="shared" si="133"/>
        <v>0.20723758147898397</v>
      </c>
      <c r="CR58" s="252">
        <f t="shared" si="134"/>
        <v>0.23763386027536981</v>
      </c>
      <c r="CS58" s="871">
        <f t="shared" si="135"/>
        <v>0.24163875006864743</v>
      </c>
      <c r="CT58" s="169"/>
      <c r="CU58" s="252">
        <f t="shared" si="136"/>
        <v>0.18049205312431971</v>
      </c>
      <c r="CV58" s="252">
        <f t="shared" si="163"/>
        <v>6.0216256524981304E-2</v>
      </c>
      <c r="CW58" s="252">
        <f t="shared" si="137"/>
        <v>2.4762614038354114E-2</v>
      </c>
      <c r="CX58" s="252">
        <f t="shared" si="138"/>
        <v>-5.4937508583985717E-2</v>
      </c>
      <c r="CY58" s="871">
        <f t="shared" si="139"/>
        <v>3.9143703834755961E-2</v>
      </c>
      <c r="CZ58" s="169"/>
      <c r="DA58" s="252">
        <f t="shared" si="140"/>
        <v>-6.6211729988933987E-2</v>
      </c>
      <c r="DB58" s="252">
        <f t="shared" si="141"/>
        <v>3.2530332336908829E-2</v>
      </c>
      <c r="DC58" s="252">
        <f t="shared" si="142"/>
        <v>0.17539970930232562</v>
      </c>
      <c r="DD58" s="252">
        <f t="shared" si="164"/>
        <v>0.39965121348641186</v>
      </c>
      <c r="DE58" s="871">
        <f t="shared" si="143"/>
        <v>0.1507363582191199</v>
      </c>
      <c r="DF58" s="169"/>
      <c r="DG58" s="252">
        <f t="shared" si="144"/>
        <v>0.49871617618013042</v>
      </c>
      <c r="DH58" s="252">
        <f t="shared" si="145"/>
        <v>0.48058583106267028</v>
      </c>
      <c r="DI58" s="252">
        <f t="shared" si="146"/>
        <v>0.36133180820477939</v>
      </c>
      <c r="DJ58" s="252">
        <f t="shared" si="147"/>
        <v>0.12200186896480125</v>
      </c>
      <c r="DK58" s="871">
        <f t="shared" si="148"/>
        <v>0.32770367740074113</v>
      </c>
      <c r="DL58" s="169"/>
      <c r="DM58" s="252">
        <f>DM49/DG49-1</f>
        <v>0.106747496046389</v>
      </c>
      <c r="DN58" s="252">
        <f>DN49/DH49-1</f>
        <v>1.3457556935817738E-2</v>
      </c>
      <c r="DO58" s="252">
        <f>DO49/DI49-1</f>
        <v>2.8992755762461631E-2</v>
      </c>
      <c r="DP58" s="252">
        <f>DP49/DJ49-1</f>
        <v>1.3340708865445139E-2</v>
      </c>
      <c r="DQ58" s="871">
        <f>DQ49/DK49-1</f>
        <v>3.6954977016297796E-2</v>
      </c>
      <c r="DR58" s="169"/>
      <c r="DS58" s="252">
        <f>DS49/DM49-1</f>
        <v>-2.2505358418671073E-2</v>
      </c>
      <c r="DT58" s="252">
        <f>DT49/DN49-1</f>
        <v>3.4275337646124227E-2</v>
      </c>
      <c r="DU58" s="252">
        <f>DU49/DO49-1</f>
        <v>-1.0189333897367314E-2</v>
      </c>
      <c r="DV58" s="252">
        <f>DV49/DP49-1</f>
        <v>9.89967297006622E-4</v>
      </c>
      <c r="DW58" s="871">
        <f>DW49/DQ49-1</f>
        <v>8.4631465499618308E-4</v>
      </c>
      <c r="DX58" s="169"/>
      <c r="DY58" s="252">
        <f>DY49/DS49-1</f>
        <v>2.0952612985747354E-2</v>
      </c>
      <c r="DZ58" s="252">
        <f>DZ49/DT49-1</f>
        <v>1.8654669153955972E-2</v>
      </c>
      <c r="EA58" s="252">
        <f>EA49/DU49-1</f>
        <v>3.8461538461538547E-2</v>
      </c>
      <c r="EB58" s="252">
        <f>EB49/DV49-1</f>
        <v>3.3299881397682585E-2</v>
      </c>
      <c r="EC58" s="871">
        <f>EC49/DW49-1</f>
        <v>2.8239336429280781E-2</v>
      </c>
      <c r="ED58" s="169"/>
      <c r="EE58" s="252">
        <f>EE49/DY49-1</f>
        <v>2.6011215845364477E-2</v>
      </c>
      <c r="EF58" s="252">
        <f>EF49/DZ49-1</f>
        <v>3.5010233760637721E-2</v>
      </c>
      <c r="EG58" s="252">
        <f>EG49/EA49-1</f>
        <v>2.0397208803006883E-3</v>
      </c>
      <c r="EH58" s="252">
        <f>EH49/EB49-1</f>
        <v>-5.4211548649125918E-2</v>
      </c>
      <c r="EI58" s="871">
        <f>EI49/EC49-1</f>
        <v>-1.3575251272679445E-3</v>
      </c>
      <c r="EJ58" s="169"/>
      <c r="EK58" s="252">
        <f>EK49/EE49-1</f>
        <v>-1.7211303639958153E-2</v>
      </c>
      <c r="EL58" s="252">
        <f>EL49/EF49-1</f>
        <v>-6.3696919233971694E-2</v>
      </c>
      <c r="EM58" s="252">
        <f>EM49/EG49-1</f>
        <v>-3.4283265481037106E-2</v>
      </c>
      <c r="EN58" s="252">
        <f>EN49/EH49-1</f>
        <v>-1.0828976848394345E-2</v>
      </c>
      <c r="EO58" s="871">
        <f>EO49/EI49-1</f>
        <v>-3.1265521658431994E-2</v>
      </c>
      <c r="EP58" s="169"/>
      <c r="EQ58" s="252">
        <f>EQ49/EK49-1</f>
        <v>1.9169329073482455E-2</v>
      </c>
      <c r="ER58" s="252">
        <f>ER49/EL49-1</f>
        <v>8.201422854601903E-3</v>
      </c>
      <c r="ES58" s="252">
        <f>ES49/EM49-1</f>
        <v>2.8844020412691407E-2</v>
      </c>
      <c r="ET58" s="252">
        <f>ET49/EN49-1</f>
        <v>3.2559456398641107E-2</v>
      </c>
      <c r="EU58" s="871">
        <f>EU49/EO49-1</f>
        <v>2.2688830720241748E-2</v>
      </c>
      <c r="EV58" s="169"/>
      <c r="EW58" s="252">
        <f>EW49/EQ49-1</f>
        <v>6.954603506327639E-2</v>
      </c>
      <c r="EX58" s="252">
        <f>EX49/ER49-1</f>
        <v>6.1767760629254598E-2</v>
      </c>
      <c r="EY58" s="252">
        <f>EY49/ES49-1</f>
        <v>5.4129825318093516E-2</v>
      </c>
      <c r="EZ58" s="252">
        <f>EZ49/ET49-1</f>
        <v>2.272851349033167E-2</v>
      </c>
      <c r="FA58" s="871">
        <f>FA49/EU49-1</f>
        <v>5.0395898284746998E-2</v>
      </c>
      <c r="FB58" s="169"/>
      <c r="FC58" s="252">
        <f>FC49/EW49-1</f>
        <v>3.6625560043136218E-2</v>
      </c>
      <c r="FD58" s="252">
        <f>FD49/EX49-1</f>
        <v>3.6539671034598209E-2</v>
      </c>
      <c r="FE58" s="252">
        <f>FE49/EY49-1</f>
        <v>3.2307231133390735E-2</v>
      </c>
      <c r="FF58" s="252">
        <f>FF49/EZ49-1</f>
        <v>1.9107308187735317E-2</v>
      </c>
      <c r="FG58" s="871">
        <f>FG49/FA49-1</f>
        <v>3.0620019339379079E-2</v>
      </c>
      <c r="FH58" s="169"/>
      <c r="FI58" s="252">
        <f>FI49/FC49-1</f>
        <v>4.0861215517648208E-2</v>
      </c>
      <c r="FJ58" s="252">
        <f>FJ49/FD49-1</f>
        <v>3.6163195563325479E-2</v>
      </c>
      <c r="FK58" s="252">
        <f>FK49/FE49-1</f>
        <v>3.4500426358212266E-2</v>
      </c>
      <c r="FL58" s="252">
        <f>FL49/FF49-1</f>
        <v>2.3933269721764683E-2</v>
      </c>
      <c r="FM58" s="871">
        <f>FM49/FG49-1</f>
        <v>3.3448350330823162E-2</v>
      </c>
      <c r="FO58" s="158" t="str">
        <f>FO52</f>
        <v>Americas</v>
      </c>
      <c r="FP58" s="613">
        <f>CG82</f>
        <v>0.14000000000000001</v>
      </c>
      <c r="FQ58" s="820">
        <f>CM82</f>
        <v>0.14000000000000001</v>
      </c>
      <c r="FR58" s="613">
        <f>CS82</f>
        <v>0.2</v>
      </c>
      <c r="FS58" s="613">
        <f>CY82</f>
        <v>1.0627836879935182E-2</v>
      </c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</row>
    <row r="59" spans="1:274" s="24" customFormat="1" ht="14.25" customHeight="1" x14ac:dyDescent="0.2">
      <c r="A59" s="819"/>
      <c r="B59" s="29"/>
      <c r="C59" s="818"/>
      <c r="D59" s="818"/>
      <c r="E59" s="818"/>
      <c r="F59" s="818"/>
      <c r="G59" s="818"/>
      <c r="H59" s="818"/>
      <c r="I59" s="818"/>
      <c r="J59" s="818"/>
      <c r="K59" s="818"/>
      <c r="L59" s="818"/>
      <c r="M59" s="818"/>
      <c r="N59" s="818"/>
      <c r="O59" s="818"/>
      <c r="P59" s="818"/>
      <c r="Q59" s="818"/>
      <c r="R59" s="818"/>
      <c r="S59" s="818"/>
      <c r="T59" s="818"/>
      <c r="U59" s="818"/>
      <c r="V59" s="818"/>
      <c r="W59" s="818"/>
      <c r="X59" s="818"/>
      <c r="Y59" s="818"/>
      <c r="Z59" s="818"/>
      <c r="AA59" s="818"/>
      <c r="AB59" s="818"/>
      <c r="AC59" s="818"/>
      <c r="AD59" s="818"/>
      <c r="AE59" s="818"/>
      <c r="AF59" s="818"/>
      <c r="AG59" s="818"/>
      <c r="AH59" s="818"/>
      <c r="AI59" s="818"/>
      <c r="AJ59" s="818"/>
      <c r="AK59" s="818"/>
      <c r="AL59" s="818"/>
      <c r="AM59" s="818"/>
      <c r="AN59" s="818"/>
      <c r="AO59" s="818"/>
      <c r="AP59" s="818"/>
      <c r="AQ59" s="818"/>
      <c r="AR59" s="818"/>
      <c r="AS59" s="818"/>
      <c r="AT59" s="818"/>
      <c r="AU59" s="818"/>
      <c r="AV59" s="818"/>
      <c r="AW59" s="818"/>
      <c r="AX59" s="818"/>
      <c r="AY59" s="818"/>
      <c r="AZ59" s="818"/>
      <c r="BA59" s="818"/>
      <c r="BB59" s="818"/>
      <c r="BC59" s="818"/>
      <c r="BD59" s="818"/>
      <c r="BE59" s="818"/>
      <c r="BF59" s="818"/>
      <c r="BG59" s="818"/>
      <c r="BH59" s="818"/>
      <c r="BI59" s="818"/>
      <c r="BJ59" s="818"/>
      <c r="BK59" s="818"/>
      <c r="BL59" s="818"/>
      <c r="BM59" s="818"/>
      <c r="BN59" s="818"/>
      <c r="BO59" s="818"/>
      <c r="BP59" s="818"/>
      <c r="BQ59" s="818"/>
      <c r="BR59" s="818"/>
      <c r="BS59" s="818"/>
      <c r="BT59" s="818"/>
      <c r="BU59" s="818"/>
      <c r="BV59" s="818"/>
      <c r="BW59" s="818"/>
      <c r="BX59" s="818"/>
      <c r="BY59" s="818"/>
      <c r="BZ59" s="818"/>
      <c r="CA59" s="818"/>
      <c r="CB59" s="818"/>
      <c r="CC59" s="818"/>
      <c r="CD59" s="818"/>
      <c r="CE59" s="818"/>
      <c r="CF59" s="818"/>
      <c r="CG59" s="164"/>
      <c r="CH59" s="818"/>
      <c r="CI59" s="818"/>
      <c r="CJ59" s="818"/>
      <c r="CK59" s="818"/>
      <c r="CL59" s="818"/>
      <c r="CM59" s="164"/>
      <c r="CN59" s="818"/>
      <c r="CO59" s="818"/>
      <c r="CP59" s="818"/>
      <c r="CQ59" s="818"/>
      <c r="CR59" s="818"/>
      <c r="CS59" s="164"/>
      <c r="CT59" s="818"/>
      <c r="CU59" s="818"/>
      <c r="CV59" s="818"/>
      <c r="CW59" s="818"/>
      <c r="CX59" s="818"/>
      <c r="CY59" s="164"/>
      <c r="CZ59" s="818"/>
      <c r="DA59" s="818"/>
      <c r="DB59" s="818"/>
      <c r="DC59" s="818"/>
      <c r="DD59" s="818"/>
      <c r="DE59" s="164"/>
      <c r="DF59" s="818"/>
      <c r="DG59" s="818"/>
      <c r="DH59" s="818"/>
      <c r="DI59" s="818"/>
      <c r="DJ59" s="818"/>
      <c r="DK59" s="164"/>
      <c r="DL59" s="818"/>
      <c r="DM59" s="818"/>
      <c r="DN59" s="818"/>
      <c r="DO59" s="818"/>
      <c r="DP59" s="818"/>
      <c r="DQ59" s="164"/>
      <c r="DR59" s="818"/>
      <c r="DS59" s="818"/>
      <c r="DT59" s="818"/>
      <c r="DU59" s="818"/>
      <c r="DV59" s="818"/>
      <c r="DW59" s="164"/>
      <c r="DX59" s="818"/>
      <c r="DY59" s="818"/>
      <c r="DZ59" s="818"/>
      <c r="EA59" s="818"/>
      <c r="EB59" s="818"/>
      <c r="EC59" s="164"/>
      <c r="ED59" s="818"/>
      <c r="EE59" s="818"/>
      <c r="EF59" s="818"/>
      <c r="EG59" s="818"/>
      <c r="EH59" s="818"/>
      <c r="EI59" s="164"/>
      <c r="EJ59" s="818"/>
      <c r="EK59" s="818"/>
      <c r="EL59" s="818"/>
      <c r="EM59" s="818"/>
      <c r="EN59" s="818"/>
      <c r="EO59" s="164"/>
      <c r="EP59" s="818"/>
      <c r="EQ59" s="818"/>
      <c r="ER59" s="818"/>
      <c r="ES59" s="818"/>
      <c r="ET59" s="818"/>
      <c r="EU59" s="164"/>
      <c r="EV59" s="818"/>
      <c r="EW59" s="818"/>
      <c r="EX59" s="818"/>
      <c r="EY59" s="818"/>
      <c r="EZ59" s="818"/>
      <c r="FA59" s="164"/>
      <c r="FB59" s="818"/>
      <c r="FC59" s="818"/>
      <c r="FD59" s="818"/>
      <c r="FE59" s="818"/>
      <c r="FF59" s="818"/>
      <c r="FG59" s="164"/>
      <c r="FH59" s="818"/>
      <c r="FI59" s="818"/>
      <c r="FJ59" s="818"/>
      <c r="FK59" s="818"/>
      <c r="FL59" s="818"/>
      <c r="FM59" s="164"/>
      <c r="FO59" s="158" t="str">
        <f>FO53</f>
        <v>EMEA</v>
      </c>
      <c r="FP59" s="613">
        <f>CG97</f>
        <v>0.05</v>
      </c>
      <c r="FQ59" s="820">
        <f>CM97</f>
        <v>0.1</v>
      </c>
      <c r="FR59" s="613">
        <f>CS97</f>
        <v>0.19</v>
      </c>
      <c r="FS59" s="613">
        <f>CY97</f>
        <v>8.7976443906767954E-2</v>
      </c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</row>
    <row r="60" spans="1:274" s="24" customFormat="1" x14ac:dyDescent="0.2">
      <c r="A60" s="817" t="s">
        <v>43</v>
      </c>
      <c r="B60" s="29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818"/>
      <c r="U60" s="50"/>
      <c r="V60" s="50"/>
      <c r="W60" s="50"/>
      <c r="X60" s="50"/>
      <c r="Y60" s="50"/>
      <c r="Z60" s="50"/>
      <c r="AA60" s="50"/>
      <c r="AB60" s="50"/>
      <c r="AC60" s="50"/>
      <c r="AD60" s="50"/>
      <c r="AE60" s="50"/>
      <c r="AF60" s="50"/>
      <c r="AG60" s="50"/>
      <c r="AH60" s="50"/>
      <c r="AI60" s="50"/>
      <c r="AJ60" s="50"/>
      <c r="AK60" s="50"/>
      <c r="AL60" s="50"/>
      <c r="AM60" s="50"/>
      <c r="AN60" s="50"/>
      <c r="AO60" s="50"/>
      <c r="AP60" s="50"/>
      <c r="AQ60" s="50"/>
      <c r="AR60" s="50"/>
      <c r="AS60" s="50"/>
      <c r="AT60" s="50"/>
      <c r="AU60" s="50"/>
      <c r="AV60" s="50"/>
      <c r="AW60" s="50"/>
      <c r="AX60" s="50"/>
      <c r="AY60" s="50"/>
      <c r="AZ60" s="50"/>
      <c r="BA60" s="50"/>
      <c r="BB60" s="50"/>
      <c r="BC60" s="50"/>
      <c r="BD60" s="50"/>
      <c r="BE60" s="50"/>
      <c r="BF60" s="50"/>
      <c r="BG60" s="50"/>
      <c r="BH60" s="50"/>
      <c r="BI60" s="50"/>
      <c r="BJ60" s="50"/>
      <c r="BK60" s="50"/>
      <c r="BL60" s="50"/>
      <c r="BM60" s="50"/>
      <c r="BN60" s="50"/>
      <c r="BO60" s="50"/>
      <c r="BP60" s="50"/>
      <c r="BQ60" s="50"/>
      <c r="BR60" s="50"/>
      <c r="BS60" s="50"/>
      <c r="BT60" s="50"/>
      <c r="BU60" s="50"/>
      <c r="BV60" s="50"/>
      <c r="BW60" s="50"/>
      <c r="BX60" s="50"/>
      <c r="BY60" s="50"/>
      <c r="BZ60" s="50"/>
      <c r="CA60" s="50"/>
      <c r="CB60" s="50"/>
      <c r="CC60" s="50"/>
      <c r="CD60" s="50"/>
      <c r="CE60" s="50"/>
      <c r="CF60" s="50"/>
      <c r="CG60" s="164"/>
      <c r="CH60" s="50"/>
      <c r="CI60" s="50"/>
      <c r="CJ60" s="50"/>
      <c r="CK60" s="50"/>
      <c r="CL60" s="50"/>
      <c r="CM60" s="164"/>
      <c r="CN60" s="50"/>
      <c r="CO60" s="50"/>
      <c r="CP60" s="50"/>
      <c r="CQ60" s="50"/>
      <c r="CR60" s="50"/>
      <c r="CS60" s="164"/>
      <c r="CT60" s="50"/>
      <c r="CU60" s="50"/>
      <c r="CV60" s="50"/>
      <c r="CW60" s="50"/>
      <c r="CX60" s="50"/>
      <c r="CY60" s="164"/>
      <c r="CZ60" s="50"/>
      <c r="DA60" s="50"/>
      <c r="DB60" s="50"/>
      <c r="DC60" s="50"/>
      <c r="DD60" s="50"/>
      <c r="DE60" s="164"/>
      <c r="DF60" s="50"/>
      <c r="DG60" s="50"/>
      <c r="DH60" s="50"/>
      <c r="DI60" s="50"/>
      <c r="DJ60" s="50"/>
      <c r="DK60" s="164"/>
      <c r="DL60" s="50"/>
      <c r="DM60" s="50"/>
      <c r="DN60" s="50"/>
      <c r="DO60" s="50"/>
      <c r="DP60" s="50"/>
      <c r="DQ60" s="164"/>
      <c r="DR60" s="50"/>
      <c r="DS60" s="50"/>
      <c r="DT60" s="50"/>
      <c r="DU60" s="50"/>
      <c r="DV60" s="50"/>
      <c r="DW60" s="164"/>
      <c r="DX60" s="50"/>
      <c r="DY60" s="50"/>
      <c r="DZ60" s="50"/>
      <c r="EA60" s="50"/>
      <c r="EB60" s="50"/>
      <c r="EC60" s="164"/>
      <c r="ED60" s="50"/>
      <c r="EE60" s="50"/>
      <c r="EF60" s="50"/>
      <c r="EG60" s="50"/>
      <c r="EH60" s="50"/>
      <c r="EI60" s="164"/>
      <c r="EJ60" s="50"/>
      <c r="EK60" s="50"/>
      <c r="EL60" s="50"/>
      <c r="EM60" s="50"/>
      <c r="EN60" s="50"/>
      <c r="EO60" s="164"/>
      <c r="EP60" s="50"/>
      <c r="EQ60" s="50"/>
      <c r="ER60" s="50"/>
      <c r="ES60" s="50"/>
      <c r="ET60" s="50"/>
      <c r="EU60" s="164"/>
      <c r="EV60" s="50"/>
      <c r="EW60" s="50"/>
      <c r="EX60" s="50"/>
      <c r="EY60" s="50"/>
      <c r="EZ60" s="50"/>
      <c r="FA60" s="164"/>
      <c r="FB60" s="50"/>
      <c r="FC60" s="50"/>
      <c r="FD60" s="50"/>
      <c r="FE60" s="50"/>
      <c r="FF60" s="50"/>
      <c r="FG60" s="164"/>
      <c r="FH60" s="50"/>
      <c r="FI60" s="50"/>
      <c r="FJ60" s="50"/>
      <c r="FK60" s="50"/>
      <c r="FL60" s="50"/>
      <c r="FM60" s="164"/>
      <c r="FO60" s="158" t="str">
        <f>FO54</f>
        <v>Asia Pacific</v>
      </c>
      <c r="FP60" s="613">
        <f>CG112</f>
        <v>0.16</v>
      </c>
      <c r="FQ60" s="820">
        <f>CM112</f>
        <v>0.11</v>
      </c>
      <c r="FR60" s="613">
        <f>CS112</f>
        <v>0.04</v>
      </c>
      <c r="FS60" s="613">
        <f>CY112</f>
        <v>0.12062436028659169</v>
      </c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</row>
    <row r="61" spans="1:274" s="24" customFormat="1" x14ac:dyDescent="0.2">
      <c r="A61" s="819" t="s">
        <v>681</v>
      </c>
      <c r="B61" s="29"/>
      <c r="C61" s="50" t="s">
        <v>945</v>
      </c>
      <c r="D61" s="50" t="s">
        <v>945</v>
      </c>
      <c r="E61" s="50" t="s">
        <v>945</v>
      </c>
      <c r="F61" s="50" t="s">
        <v>945</v>
      </c>
      <c r="G61" s="50" t="s">
        <v>945</v>
      </c>
      <c r="H61" s="50" t="s">
        <v>945</v>
      </c>
      <c r="I61" s="50" t="s">
        <v>945</v>
      </c>
      <c r="J61" s="50" t="s">
        <v>945</v>
      </c>
      <c r="K61" s="50" t="s">
        <v>945</v>
      </c>
      <c r="L61" s="50" t="s">
        <v>945</v>
      </c>
      <c r="M61" s="50" t="s">
        <v>945</v>
      </c>
      <c r="N61" s="50"/>
      <c r="O61" s="50" t="s">
        <v>945</v>
      </c>
      <c r="P61" s="50" t="s">
        <v>945</v>
      </c>
      <c r="Q61" s="50" t="s">
        <v>945</v>
      </c>
      <c r="R61" s="50" t="s">
        <v>945</v>
      </c>
      <c r="S61" s="50" t="s">
        <v>945</v>
      </c>
      <c r="T61" s="818"/>
      <c r="U61" s="50" t="s">
        <v>945</v>
      </c>
      <c r="V61" s="50" t="s">
        <v>945</v>
      </c>
      <c r="W61" s="50" t="s">
        <v>945</v>
      </c>
      <c r="X61" s="50" t="s">
        <v>945</v>
      </c>
      <c r="Y61" s="50" t="s">
        <v>945</v>
      </c>
      <c r="Z61" s="50"/>
      <c r="AA61" s="52">
        <v>0.31</v>
      </c>
      <c r="AB61" s="52">
        <v>0.28000000000000003</v>
      </c>
      <c r="AC61" s="52">
        <v>0.34</v>
      </c>
      <c r="AD61" s="52">
        <v>0.28999999999999998</v>
      </c>
      <c r="AE61" s="52">
        <v>0.3</v>
      </c>
      <c r="AF61" s="50"/>
      <c r="AG61" s="52">
        <v>0.2</v>
      </c>
      <c r="AH61" s="52">
        <v>0.08</v>
      </c>
      <c r="AI61" s="52">
        <v>0.18</v>
      </c>
      <c r="AJ61" s="52">
        <v>0.12</v>
      </c>
      <c r="AK61" s="52">
        <v>0.14000000000000001</v>
      </c>
      <c r="AL61" s="50"/>
      <c r="AM61" s="52">
        <v>0.16</v>
      </c>
      <c r="AN61" s="52">
        <v>0.21</v>
      </c>
      <c r="AO61" s="52">
        <v>7.0000000000000007E-2</v>
      </c>
      <c r="AP61" s="52">
        <v>0.24</v>
      </c>
      <c r="AQ61" s="52">
        <v>0.18</v>
      </c>
      <c r="AR61" s="50"/>
      <c r="AS61" s="52">
        <v>7.0000000000000007E-2</v>
      </c>
      <c r="AT61" s="52">
        <v>0.19</v>
      </c>
      <c r="AU61" s="52">
        <v>0.32</v>
      </c>
      <c r="AV61" s="52">
        <v>0.23</v>
      </c>
      <c r="AW61" s="52">
        <v>0.22</v>
      </c>
      <c r="AX61" s="50"/>
      <c r="AY61" s="52">
        <v>0.31</v>
      </c>
      <c r="AZ61" s="52">
        <v>0.32</v>
      </c>
      <c r="BA61" s="52">
        <v>0.09</v>
      </c>
      <c r="BB61" s="52">
        <v>-0.06</v>
      </c>
      <c r="BC61" s="52">
        <v>0.1</v>
      </c>
      <c r="BD61" s="50"/>
      <c r="BE61" s="52">
        <v>-0.05</v>
      </c>
      <c r="BF61" s="52">
        <v>-0.26</v>
      </c>
      <c r="BG61" s="52">
        <v>-0.27</v>
      </c>
      <c r="BH61" s="52">
        <v>-0.28999999999999998</v>
      </c>
      <c r="BI61" s="52">
        <v>-0.24</v>
      </c>
      <c r="BJ61" s="50"/>
      <c r="BK61" s="52">
        <v>-0.24</v>
      </c>
      <c r="BL61" s="52">
        <v>-0.08</v>
      </c>
      <c r="BM61" s="52">
        <v>-0.1</v>
      </c>
      <c r="BN61" s="52">
        <v>-0.04</v>
      </c>
      <c r="BO61" s="52">
        <v>-0.11</v>
      </c>
      <c r="BP61" s="50"/>
      <c r="BQ61" s="52">
        <v>-0.1</v>
      </c>
      <c r="BR61" s="52">
        <v>0.04</v>
      </c>
      <c r="BS61" s="52">
        <v>0.04</v>
      </c>
      <c r="BT61" s="829">
        <v>7.0000000000000007E-2</v>
      </c>
      <c r="BU61" s="829">
        <v>0.03</v>
      </c>
      <c r="BV61" s="50"/>
      <c r="BW61" s="829">
        <v>0.03</v>
      </c>
      <c r="BX61" s="829">
        <v>0.09</v>
      </c>
      <c r="BY61" s="829">
        <v>0.08</v>
      </c>
      <c r="BZ61" s="52">
        <f>BZ52+(BZ67-BZ58)</f>
        <v>0.19666327329640193</v>
      </c>
      <c r="CA61" s="52">
        <v>0.11</v>
      </c>
      <c r="CB61" s="50"/>
      <c r="CC61" s="52">
        <v>0.1</v>
      </c>
      <c r="CD61" s="52">
        <v>0.12</v>
      </c>
      <c r="CE61" s="52">
        <f>CE52+(CE67-CE58)</f>
        <v>0.21722845839805505</v>
      </c>
      <c r="CF61" s="52">
        <f>CF52+(CF67-CF58)</f>
        <v>0.34946602291602358</v>
      </c>
      <c r="CG61" s="149">
        <f>CG52+(CG67-CG58)</f>
        <v>0.23320672245692609</v>
      </c>
      <c r="CH61" s="50"/>
      <c r="CI61" s="52">
        <v>0.26</v>
      </c>
      <c r="CJ61" s="52">
        <v>0.1</v>
      </c>
      <c r="CK61" s="52">
        <v>0.23</v>
      </c>
      <c r="CL61" s="52">
        <v>0.13</v>
      </c>
      <c r="CM61" s="671">
        <v>0.17</v>
      </c>
      <c r="CN61" s="50"/>
      <c r="CO61" s="52">
        <v>0.32</v>
      </c>
      <c r="CP61" s="52">
        <v>0.31</v>
      </c>
      <c r="CQ61" s="52">
        <v>0.09</v>
      </c>
      <c r="CR61" s="52">
        <f>CR52+(CR67-CR58)</f>
        <v>0.20723095525997587</v>
      </c>
      <c r="CS61" s="149">
        <f>CS52+(CS67-CS58)</f>
        <v>0.21762665759945593</v>
      </c>
      <c r="CT61" s="50"/>
      <c r="CU61" s="52">
        <f>CU52+(CU67-CU58)</f>
        <v>9.6154553817847238E-2</v>
      </c>
      <c r="CV61" s="52">
        <f>CV52+(CV67-CV58)</f>
        <v>3.482014388489213E-2</v>
      </c>
      <c r="CW61" s="52">
        <v>0.03</v>
      </c>
      <c r="CX61" s="52">
        <f>CX52+(CX67-CX58)</f>
        <v>-3.722646310432573E-2</v>
      </c>
      <c r="CY61" s="149">
        <f>CY52+(CY67-CY58)</f>
        <v>7.5715236194277558E-3</v>
      </c>
      <c r="CZ61" s="50"/>
      <c r="DA61" s="52">
        <f>DA52+(DA67-DA58)</f>
        <v>-0.13438785765073258</v>
      </c>
      <c r="DB61" s="52">
        <f>DB52+(DB67-DB58)</f>
        <v>-3.6788618029591214E-2</v>
      </c>
      <c r="DC61" s="52">
        <f>DC52+(DC67-DC58)</f>
        <v>8.3509234828496093E-2</v>
      </c>
      <c r="DD61" s="52">
        <f>DD52+(DD67-DD58)</f>
        <v>0.1313742854883535</v>
      </c>
      <c r="DE61" s="149">
        <f>DE52+(DE67-DE58)</f>
        <v>3.2372543117435315E-2</v>
      </c>
      <c r="DF61" s="50"/>
      <c r="DG61" s="52">
        <f>DG52+(DG67-DG58)</f>
        <v>0.2609727626459144</v>
      </c>
      <c r="DH61" s="52">
        <f>DH52+(DH67-DH58)</f>
        <v>0.22981154468640974</v>
      </c>
      <c r="DI61" s="52">
        <f>DI52+(DI67-DI58)</f>
        <v>0.26840782122905016</v>
      </c>
      <c r="DJ61" s="52">
        <f>DJ52+(DJ67-DJ58)</f>
        <v>0.1376626044099849</v>
      </c>
      <c r="DK61" s="149">
        <f>DK52+(DK67-DK58)</f>
        <v>0.21767658115219235</v>
      </c>
      <c r="DL61" s="50"/>
      <c r="DM61" s="52">
        <f>DM52+(DM67-DM58)</f>
        <v>0.10485225505443224</v>
      </c>
      <c r="DN61" s="52">
        <f>DN52+(DN67-DN58)</f>
        <v>1.3227142905512856E-2</v>
      </c>
      <c r="DO61" s="52">
        <f>DO52+(DO67-DO58)</f>
        <v>8.1291725062006659E-2</v>
      </c>
      <c r="DP61" s="52">
        <f>DP52+(DP67-DP58)</f>
        <v>0.11532213381284317</v>
      </c>
      <c r="DQ61" s="149">
        <f>DQ52+(DQ67-DQ58)</f>
        <v>7.1466297762089237E-2</v>
      </c>
      <c r="DR61" s="50"/>
      <c r="DS61" s="52">
        <f>DS52+(DS67-DS58)</f>
        <v>0.19048166166883085</v>
      </c>
      <c r="DT61" s="52">
        <f>DT52+(DT67-DT58)</f>
        <v>0.24019375700141543</v>
      </c>
      <c r="DU61" s="52">
        <f>DU52+(DU67-DU58)</f>
        <v>4.8294966616541757E-2</v>
      </c>
      <c r="DV61" s="52">
        <f>DV52+(DV67-DV58)</f>
        <v>5.8500102676863008E-2</v>
      </c>
      <c r="DW61" s="149">
        <f>DW52+(DW67-DW58)</f>
        <v>0.11465842616871891</v>
      </c>
      <c r="DX61" s="50"/>
      <c r="DY61" s="52">
        <f>DY52+(DY67-DY58)</f>
        <v>5.1956629070752713E-2</v>
      </c>
      <c r="DZ61" s="52">
        <f>DZ52+(DZ67-DZ58)</f>
        <v>5.3743780160041554E-3</v>
      </c>
      <c r="EA61" s="52">
        <f>EA52+(EA67-EA58)</f>
        <v>5.2056225230636688E-2</v>
      </c>
      <c r="EB61" s="52">
        <f>EB52+(EB67-EB58)</f>
        <v>1.8567639257294433E-2</v>
      </c>
      <c r="EC61" s="149">
        <f>EC52+(EC67-EC58)</f>
        <v>2.9394048305353859E-2</v>
      </c>
      <c r="ED61" s="50"/>
      <c r="EE61" s="52">
        <f>EE52+(EE67-EE58)</f>
        <v>3.6458923512747939E-2</v>
      </c>
      <c r="EF61" s="52">
        <f>EF52+(EF67-EF58)</f>
        <v>7.387096774193555E-2</v>
      </c>
      <c r="EG61" s="52">
        <f>EG52+(EG67-EG58)</f>
        <v>4.8587170405352265E-2</v>
      </c>
      <c r="EH61" s="52">
        <f>EH52+(EH67-EH58)</f>
        <v>-4.3293903112230053E-2</v>
      </c>
      <c r="EI61" s="149">
        <f>EI52+(EI67-EI58)</f>
        <v>6.3941871026339178E-3</v>
      </c>
      <c r="EJ61" s="50"/>
      <c r="EK61" s="52">
        <f>EK52+(EK67-EK58)</f>
        <v>4.4520844612885788E-2</v>
      </c>
      <c r="EL61" s="52">
        <f>EL52+(EL67-EL58)</f>
        <v>-2.8884657698446628E-2</v>
      </c>
      <c r="EM61" s="52">
        <f>EM52+(EM67-EM58)</f>
        <v>3.1899599914640628E-3</v>
      </c>
      <c r="EN61" s="52">
        <f>EN52+(EN67-EN58)</f>
        <v>-1.6350172648030525E-2</v>
      </c>
      <c r="EO61" s="149">
        <f>EO52+(EO67-EO58)</f>
        <v>6.0073994928763752E-4</v>
      </c>
      <c r="EP61" s="50"/>
      <c r="EQ61" s="52">
        <f>EQ52+(EQ67-EQ58)</f>
        <v>0.1569250802621627</v>
      </c>
      <c r="ER61" s="52">
        <f>ER52+(ER67-ER58)</f>
        <v>5.2902708936480712E-2</v>
      </c>
      <c r="ES61" s="52">
        <f>ES52+(ES67-ES58)</f>
        <v>0.107828546519518</v>
      </c>
      <c r="ET61" s="52">
        <f>ET52+(ET67-ET58)</f>
        <v>0.12301774502721841</v>
      </c>
      <c r="EU61" s="149">
        <f>EU52+(EU67-EU58)</f>
        <v>0.1092988870007946</v>
      </c>
      <c r="EV61" s="50"/>
      <c r="EW61" s="52">
        <f>EW52+(EW67-EW58)</f>
        <v>0.20588467711651343</v>
      </c>
      <c r="EX61" s="52">
        <f>EX52+(EX67-EX58)</f>
        <v>0.16744409419513717</v>
      </c>
      <c r="EY61" s="52">
        <f>EY52+(EY67-EY58)</f>
        <v>6.3114915016763085E-2</v>
      </c>
      <c r="EZ61" s="52">
        <f>EZ52+(EZ67-EZ58)</f>
        <v>-4.7708126858274913E-3</v>
      </c>
      <c r="FA61" s="149">
        <f>FA52+(FA67-FA58)</f>
        <v>4.1274475370877389E-2</v>
      </c>
      <c r="FB61" s="50"/>
      <c r="FC61" s="52">
        <f>FC52+(FC67-FC58)</f>
        <v>0.10085956061838899</v>
      </c>
      <c r="FD61" s="52">
        <f>FD52+(FD67-FD58)</f>
        <v>8.7074626865671703E-2</v>
      </c>
      <c r="FE61" s="52">
        <f>FE52+(FE67-FE58)</f>
        <v>9.9020953024670622E-2</v>
      </c>
      <c r="FF61" s="52">
        <f>FF52+(FF67-FF58)</f>
        <v>5.5918624176242826E-2</v>
      </c>
      <c r="FG61" s="149">
        <f>FG52+(FG67-FG58)</f>
        <v>9.2864807448870046E-2</v>
      </c>
      <c r="FH61" s="50"/>
      <c r="FI61" s="52">
        <f>FI52+(FI67-FI58)</f>
        <v>0.12715937914170872</v>
      </c>
      <c r="FJ61" s="52">
        <f>FJ52+(FJ67-FJ58)</f>
        <v>0.10624219466536</v>
      </c>
      <c r="FK61" s="52">
        <f>FK52+(FK67-FK58)</f>
        <v>0.10318226014485554</v>
      </c>
      <c r="FL61" s="52">
        <f>FL52+(FL67-FL58)</f>
        <v>6.3241167921162411E-2</v>
      </c>
      <c r="FM61" s="149">
        <f>FM52+(FM67-FM58)</f>
        <v>9.5906779022699284E-2</v>
      </c>
      <c r="FP61" s="821">
        <f>CG127</f>
        <v>0.1</v>
      </c>
      <c r="FQ61" s="822">
        <f>CM127</f>
        <v>0.12</v>
      </c>
      <c r="FR61" s="823">
        <f>CS127</f>
        <v>0.17</v>
      </c>
      <c r="FS61" s="823">
        <f>CY127</f>
        <v>5.5239020598523092E-2</v>
      </c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</row>
    <row r="62" spans="1:274" s="24" customFormat="1" x14ac:dyDescent="0.2">
      <c r="A62" s="819" t="s">
        <v>544</v>
      </c>
      <c r="B62" s="29"/>
      <c r="C62" s="50" t="s">
        <v>945</v>
      </c>
      <c r="D62" s="50" t="s">
        <v>945</v>
      </c>
      <c r="E62" s="50" t="s">
        <v>945</v>
      </c>
      <c r="F62" s="50" t="s">
        <v>945</v>
      </c>
      <c r="G62" s="50" t="s">
        <v>945</v>
      </c>
      <c r="H62" s="50" t="s">
        <v>945</v>
      </c>
      <c r="I62" s="50" t="s">
        <v>945</v>
      </c>
      <c r="J62" s="50" t="s">
        <v>945</v>
      </c>
      <c r="K62" s="50" t="s">
        <v>945</v>
      </c>
      <c r="L62" s="50" t="s">
        <v>945</v>
      </c>
      <c r="M62" s="50" t="s">
        <v>945</v>
      </c>
      <c r="N62" s="50"/>
      <c r="O62" s="50" t="s">
        <v>945</v>
      </c>
      <c r="P62" s="50" t="s">
        <v>945</v>
      </c>
      <c r="Q62" s="50" t="s">
        <v>945</v>
      </c>
      <c r="R62" s="50" t="s">
        <v>945</v>
      </c>
      <c r="S62" s="50" t="s">
        <v>945</v>
      </c>
      <c r="T62" s="818"/>
      <c r="U62" s="50" t="s">
        <v>945</v>
      </c>
      <c r="V62" s="50" t="s">
        <v>945</v>
      </c>
      <c r="W62" s="50" t="s">
        <v>945</v>
      </c>
      <c r="X62" s="50" t="s">
        <v>945</v>
      </c>
      <c r="Y62" s="50" t="s">
        <v>945</v>
      </c>
      <c r="Z62" s="50"/>
      <c r="AA62" s="52">
        <v>0.48</v>
      </c>
      <c r="AB62" s="52">
        <v>0.52</v>
      </c>
      <c r="AC62" s="52">
        <v>0.48</v>
      </c>
      <c r="AD62" s="52">
        <v>0.47</v>
      </c>
      <c r="AE62" s="52">
        <v>0.49</v>
      </c>
      <c r="AF62" s="50"/>
      <c r="AG62" s="52">
        <v>0.47</v>
      </c>
      <c r="AH62" s="52">
        <v>0.41</v>
      </c>
      <c r="AI62" s="52">
        <v>0.41</v>
      </c>
      <c r="AJ62" s="52">
        <v>0.39</v>
      </c>
      <c r="AK62" s="52">
        <v>0.42</v>
      </c>
      <c r="AL62" s="50"/>
      <c r="AM62" s="52">
        <v>0.34</v>
      </c>
      <c r="AN62" s="52">
        <v>0.34</v>
      </c>
      <c r="AO62" s="52">
        <v>0.3</v>
      </c>
      <c r="AP62" s="52">
        <v>0.33</v>
      </c>
      <c r="AQ62" s="52">
        <v>0.33</v>
      </c>
      <c r="AR62" s="50"/>
      <c r="AS62" s="52">
        <v>0.28000000000000003</v>
      </c>
      <c r="AT62" s="52">
        <v>0.3</v>
      </c>
      <c r="AU62" s="52">
        <v>0.32</v>
      </c>
      <c r="AV62" s="52">
        <v>0.28000000000000003</v>
      </c>
      <c r="AW62" s="52">
        <v>0.3</v>
      </c>
      <c r="AX62" s="50"/>
      <c r="AY62" s="52">
        <v>0.3</v>
      </c>
      <c r="AZ62" s="52">
        <v>0.28000000000000003</v>
      </c>
      <c r="BA62" s="52">
        <v>0.25</v>
      </c>
      <c r="BB62" s="52">
        <v>0.18</v>
      </c>
      <c r="BC62" s="52">
        <v>0.25</v>
      </c>
      <c r="BD62" s="50"/>
      <c r="BE62" s="52">
        <v>0.11</v>
      </c>
      <c r="BF62" s="52">
        <v>0.09</v>
      </c>
      <c r="BG62" s="52">
        <v>0.06</v>
      </c>
      <c r="BH62" s="52">
        <v>0.1</v>
      </c>
      <c r="BI62" s="52">
        <v>0.09</v>
      </c>
      <c r="BJ62" s="50"/>
      <c r="BK62" s="52">
        <v>0.05</v>
      </c>
      <c r="BL62" s="52">
        <v>7.0000000000000007E-2</v>
      </c>
      <c r="BM62" s="52">
        <v>0.1</v>
      </c>
      <c r="BN62" s="52">
        <v>0.06</v>
      </c>
      <c r="BO62" s="52">
        <v>7.0000000000000007E-2</v>
      </c>
      <c r="BP62" s="50"/>
      <c r="BQ62" s="52">
        <v>0.09</v>
      </c>
      <c r="BR62" s="52">
        <v>0.09</v>
      </c>
      <c r="BS62" s="52">
        <v>0.1</v>
      </c>
      <c r="BT62" s="52">
        <v>0.09</v>
      </c>
      <c r="BU62" s="52">
        <v>0.09</v>
      </c>
      <c r="BV62" s="50"/>
      <c r="BW62" s="52">
        <v>0.1</v>
      </c>
      <c r="BX62" s="52">
        <v>0.08</v>
      </c>
      <c r="BY62" s="829">
        <f>BY53-3%</f>
        <v>0.27272108843537413</v>
      </c>
      <c r="BZ62" s="829">
        <v>0.36</v>
      </c>
      <c r="CA62" s="52">
        <v>0.21</v>
      </c>
      <c r="CB62" s="50"/>
      <c r="CC62" s="52">
        <v>0.38</v>
      </c>
      <c r="CD62" s="52">
        <v>0.35</v>
      </c>
      <c r="CE62" s="50" t="s">
        <v>945</v>
      </c>
      <c r="CF62" s="50" t="s">
        <v>945</v>
      </c>
      <c r="CG62" s="164" t="s">
        <v>945</v>
      </c>
      <c r="CH62" s="50"/>
      <c r="CI62" s="50" t="s">
        <v>945</v>
      </c>
      <c r="CJ62" s="50" t="s">
        <v>945</v>
      </c>
      <c r="CK62" s="50" t="s">
        <v>945</v>
      </c>
      <c r="CL62" s="50" t="s">
        <v>945</v>
      </c>
      <c r="CM62" s="164" t="s">
        <v>945</v>
      </c>
      <c r="CN62" s="50"/>
      <c r="CO62" s="50" t="s">
        <v>945</v>
      </c>
      <c r="CP62" s="50" t="s">
        <v>945</v>
      </c>
      <c r="CQ62" s="50" t="s">
        <v>945</v>
      </c>
      <c r="CR62" s="50" t="s">
        <v>945</v>
      </c>
      <c r="CS62" s="164" t="s">
        <v>945</v>
      </c>
      <c r="CT62" s="50"/>
      <c r="CU62" s="50" t="s">
        <v>945</v>
      </c>
      <c r="CV62" s="50" t="s">
        <v>945</v>
      </c>
      <c r="CW62" s="50" t="s">
        <v>945</v>
      </c>
      <c r="CX62" s="50" t="s">
        <v>945</v>
      </c>
      <c r="CY62" s="164" t="s">
        <v>945</v>
      </c>
      <c r="CZ62" s="50"/>
      <c r="DA62" s="50" t="s">
        <v>945</v>
      </c>
      <c r="DB62" s="50" t="s">
        <v>945</v>
      </c>
      <c r="DC62" s="50" t="s">
        <v>945</v>
      </c>
      <c r="DD62" s="50" t="s">
        <v>945</v>
      </c>
      <c r="DE62" s="164" t="s">
        <v>945</v>
      </c>
      <c r="DF62" s="50"/>
      <c r="DG62" s="50" t="s">
        <v>945</v>
      </c>
      <c r="DH62" s="50" t="s">
        <v>945</v>
      </c>
      <c r="DI62" s="50" t="s">
        <v>945</v>
      </c>
      <c r="DJ62" s="50" t="s">
        <v>945</v>
      </c>
      <c r="DK62" s="164" t="s">
        <v>945</v>
      </c>
      <c r="DL62" s="50"/>
      <c r="DM62" s="50" t="s">
        <v>945</v>
      </c>
      <c r="DN62" s="50" t="s">
        <v>945</v>
      </c>
      <c r="DO62" s="50" t="s">
        <v>945</v>
      </c>
      <c r="DP62" s="50" t="s">
        <v>945</v>
      </c>
      <c r="DQ62" s="164" t="s">
        <v>945</v>
      </c>
      <c r="DR62" s="50"/>
      <c r="DS62" s="50" t="s">
        <v>945</v>
      </c>
      <c r="DT62" s="50" t="s">
        <v>945</v>
      </c>
      <c r="DU62" s="50" t="s">
        <v>945</v>
      </c>
      <c r="DV62" s="50" t="s">
        <v>945</v>
      </c>
      <c r="DW62" s="164" t="s">
        <v>945</v>
      </c>
      <c r="DX62" s="50"/>
      <c r="DY62" s="50" t="s">
        <v>945</v>
      </c>
      <c r="DZ62" s="50" t="s">
        <v>945</v>
      </c>
      <c r="EA62" s="50" t="s">
        <v>945</v>
      </c>
      <c r="EB62" s="50" t="s">
        <v>945</v>
      </c>
      <c r="EC62" s="164" t="s">
        <v>945</v>
      </c>
      <c r="ED62" s="50"/>
      <c r="EE62" s="50" t="s">
        <v>945</v>
      </c>
      <c r="EF62" s="50" t="s">
        <v>945</v>
      </c>
      <c r="EG62" s="50" t="s">
        <v>945</v>
      </c>
      <c r="EH62" s="50" t="s">
        <v>945</v>
      </c>
      <c r="EI62" s="164" t="s">
        <v>945</v>
      </c>
      <c r="EJ62" s="50"/>
      <c r="EK62" s="50" t="s">
        <v>945</v>
      </c>
      <c r="EL62" s="50" t="s">
        <v>945</v>
      </c>
      <c r="EM62" s="50" t="s">
        <v>945</v>
      </c>
      <c r="EN62" s="50" t="s">
        <v>945</v>
      </c>
      <c r="EO62" s="164" t="s">
        <v>945</v>
      </c>
      <c r="EP62" s="50"/>
      <c r="EQ62" s="50" t="s">
        <v>945</v>
      </c>
      <c r="ER62" s="50" t="s">
        <v>945</v>
      </c>
      <c r="ES62" s="50" t="s">
        <v>945</v>
      </c>
      <c r="ET62" s="50" t="s">
        <v>945</v>
      </c>
      <c r="EU62" s="164" t="s">
        <v>945</v>
      </c>
      <c r="EV62" s="50"/>
      <c r="EW62" s="50" t="s">
        <v>945</v>
      </c>
      <c r="EX62" s="50" t="s">
        <v>945</v>
      </c>
      <c r="EY62" s="50" t="s">
        <v>945</v>
      </c>
      <c r="EZ62" s="50" t="s">
        <v>945</v>
      </c>
      <c r="FA62" s="164" t="s">
        <v>945</v>
      </c>
      <c r="FB62" s="50"/>
      <c r="FC62" s="50" t="s">
        <v>945</v>
      </c>
      <c r="FD62" s="50" t="s">
        <v>945</v>
      </c>
      <c r="FE62" s="50" t="s">
        <v>945</v>
      </c>
      <c r="FF62" s="50" t="s">
        <v>945</v>
      </c>
      <c r="FG62" s="164" t="s">
        <v>945</v>
      </c>
      <c r="FH62" s="50"/>
      <c r="FI62" s="50" t="s">
        <v>945</v>
      </c>
      <c r="FJ62" s="50" t="s">
        <v>945</v>
      </c>
      <c r="FK62" s="50" t="s">
        <v>945</v>
      </c>
      <c r="FL62" s="50" t="s">
        <v>945</v>
      </c>
      <c r="FM62" s="164" t="s">
        <v>945</v>
      </c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</row>
    <row r="63" spans="1:274" s="24" customFormat="1" x14ac:dyDescent="0.2">
      <c r="A63" s="819" t="s">
        <v>235</v>
      </c>
      <c r="B63" s="359"/>
      <c r="C63" s="50" t="s">
        <v>945</v>
      </c>
      <c r="D63" s="50" t="s">
        <v>945</v>
      </c>
      <c r="E63" s="50" t="s">
        <v>945</v>
      </c>
      <c r="F63" s="50" t="s">
        <v>945</v>
      </c>
      <c r="G63" s="50" t="s">
        <v>945</v>
      </c>
      <c r="H63" s="50" t="s">
        <v>945</v>
      </c>
      <c r="I63" s="50" t="s">
        <v>945</v>
      </c>
      <c r="J63" s="50" t="s">
        <v>945</v>
      </c>
      <c r="K63" s="50" t="s">
        <v>945</v>
      </c>
      <c r="L63" s="50" t="s">
        <v>945</v>
      </c>
      <c r="M63" s="50" t="s">
        <v>945</v>
      </c>
      <c r="N63" s="50"/>
      <c r="O63" s="50" t="s">
        <v>945</v>
      </c>
      <c r="P63" s="50" t="s">
        <v>945</v>
      </c>
      <c r="Q63" s="50" t="s">
        <v>945</v>
      </c>
      <c r="R63" s="50" t="s">
        <v>945</v>
      </c>
      <c r="S63" s="50" t="s">
        <v>945</v>
      </c>
      <c r="T63" s="818"/>
      <c r="U63" s="50" t="s">
        <v>945</v>
      </c>
      <c r="V63" s="50" t="s">
        <v>945</v>
      </c>
      <c r="W63" s="50" t="s">
        <v>945</v>
      </c>
      <c r="X63" s="50" t="s">
        <v>945</v>
      </c>
      <c r="Y63" s="50" t="s">
        <v>945</v>
      </c>
      <c r="Z63" s="50"/>
      <c r="AA63" s="52">
        <v>0.48</v>
      </c>
      <c r="AB63" s="52">
        <v>0.49</v>
      </c>
      <c r="AC63" s="52">
        <v>0.4</v>
      </c>
      <c r="AD63" s="52">
        <v>0.5</v>
      </c>
      <c r="AE63" s="52">
        <v>0.47</v>
      </c>
      <c r="AF63" s="50"/>
      <c r="AG63" s="52">
        <v>0.31</v>
      </c>
      <c r="AH63" s="52">
        <v>0.19</v>
      </c>
      <c r="AI63" s="52">
        <v>0.26</v>
      </c>
      <c r="AJ63" s="52">
        <v>0.19</v>
      </c>
      <c r="AK63" s="52">
        <v>0.23</v>
      </c>
      <c r="AL63" s="50"/>
      <c r="AM63" s="52">
        <v>0.52</v>
      </c>
      <c r="AN63" s="52">
        <v>0.34</v>
      </c>
      <c r="AO63" s="52">
        <v>0.27</v>
      </c>
      <c r="AP63" s="52">
        <v>0.18</v>
      </c>
      <c r="AQ63" s="52">
        <v>0.31</v>
      </c>
      <c r="AR63" s="50"/>
      <c r="AS63" s="52">
        <v>0.08</v>
      </c>
      <c r="AT63" s="52">
        <v>0</v>
      </c>
      <c r="AU63" s="52">
        <v>-0.04</v>
      </c>
      <c r="AV63" s="52">
        <v>-0.06</v>
      </c>
      <c r="AW63" s="52">
        <v>-0.01</v>
      </c>
      <c r="AX63" s="50"/>
      <c r="AY63" s="52">
        <v>-0.06</v>
      </c>
      <c r="AZ63" s="52">
        <v>0.01</v>
      </c>
      <c r="BA63" s="52">
        <v>0.08</v>
      </c>
      <c r="BB63" s="52">
        <v>-0.02</v>
      </c>
      <c r="BC63" s="52">
        <v>0</v>
      </c>
      <c r="BD63" s="50"/>
      <c r="BE63" s="52">
        <v>-0.02</v>
      </c>
      <c r="BF63" s="52">
        <v>-0.11</v>
      </c>
      <c r="BG63" s="52">
        <v>-0.16</v>
      </c>
      <c r="BH63" s="52">
        <v>-0.13</v>
      </c>
      <c r="BI63" s="52">
        <v>-0.11</v>
      </c>
      <c r="BJ63" s="50"/>
      <c r="BK63" s="52">
        <v>-0.19</v>
      </c>
      <c r="BL63" s="52">
        <v>-0.13</v>
      </c>
      <c r="BM63" s="52">
        <v>-0.11</v>
      </c>
      <c r="BN63" s="52">
        <v>-0.14000000000000001</v>
      </c>
      <c r="BO63" s="52">
        <v>-0.14000000000000001</v>
      </c>
      <c r="BP63" s="50"/>
      <c r="BQ63" s="52">
        <v>-0.11</v>
      </c>
      <c r="BR63" s="52">
        <v>-0.18</v>
      </c>
      <c r="BS63" s="52">
        <v>-0.18</v>
      </c>
      <c r="BT63" s="52">
        <v>-0.08</v>
      </c>
      <c r="BU63" s="52">
        <v>-0.14000000000000001</v>
      </c>
      <c r="BV63" s="50"/>
      <c r="BW63" s="52">
        <v>-0.13</v>
      </c>
      <c r="BX63" s="52">
        <v>-0.04</v>
      </c>
      <c r="BY63" s="829">
        <f>22%</f>
        <v>0.22</v>
      </c>
      <c r="BZ63" s="52">
        <f>BZ54-3.4%</f>
        <v>0.36173459715639811</v>
      </c>
      <c r="CA63" s="52">
        <v>0.12</v>
      </c>
      <c r="CB63" s="50"/>
      <c r="CC63" s="52">
        <v>0.34</v>
      </c>
      <c r="CD63" s="52">
        <v>0.31</v>
      </c>
      <c r="CE63" s="50" t="s">
        <v>945</v>
      </c>
      <c r="CF63" s="50" t="s">
        <v>945</v>
      </c>
      <c r="CG63" s="164" t="s">
        <v>945</v>
      </c>
      <c r="CH63" s="50"/>
      <c r="CI63" s="50" t="s">
        <v>945</v>
      </c>
      <c r="CJ63" s="50" t="s">
        <v>945</v>
      </c>
      <c r="CK63" s="50" t="s">
        <v>945</v>
      </c>
      <c r="CL63" s="50" t="s">
        <v>945</v>
      </c>
      <c r="CM63" s="164" t="s">
        <v>945</v>
      </c>
      <c r="CN63" s="50"/>
      <c r="CO63" s="50" t="s">
        <v>945</v>
      </c>
      <c r="CP63" s="50" t="s">
        <v>945</v>
      </c>
      <c r="CQ63" s="50" t="s">
        <v>945</v>
      </c>
      <c r="CR63" s="50" t="s">
        <v>945</v>
      </c>
      <c r="CS63" s="164" t="s">
        <v>945</v>
      </c>
      <c r="CT63" s="50"/>
      <c r="CU63" s="50" t="s">
        <v>945</v>
      </c>
      <c r="CV63" s="50" t="s">
        <v>945</v>
      </c>
      <c r="CW63" s="52">
        <v>0</v>
      </c>
      <c r="CX63" s="50" t="s">
        <v>945</v>
      </c>
      <c r="CY63" s="164" t="s">
        <v>945</v>
      </c>
      <c r="CZ63" s="50"/>
      <c r="DA63" s="50" t="s">
        <v>945</v>
      </c>
      <c r="DB63" s="50" t="s">
        <v>945</v>
      </c>
      <c r="DC63" s="50" t="s">
        <v>945</v>
      </c>
      <c r="DD63" s="50" t="s">
        <v>945</v>
      </c>
      <c r="DE63" s="164" t="s">
        <v>945</v>
      </c>
      <c r="DF63" s="50"/>
      <c r="DG63" s="50" t="s">
        <v>945</v>
      </c>
      <c r="DH63" s="50" t="s">
        <v>945</v>
      </c>
      <c r="DI63" s="50" t="s">
        <v>945</v>
      </c>
      <c r="DJ63" s="50" t="s">
        <v>945</v>
      </c>
      <c r="DK63" s="164" t="s">
        <v>945</v>
      </c>
      <c r="DL63" s="50"/>
      <c r="DM63" s="50" t="s">
        <v>945</v>
      </c>
      <c r="DN63" s="50" t="s">
        <v>945</v>
      </c>
      <c r="DO63" s="50" t="s">
        <v>945</v>
      </c>
      <c r="DP63" s="50" t="s">
        <v>945</v>
      </c>
      <c r="DQ63" s="164" t="s">
        <v>945</v>
      </c>
      <c r="DR63" s="50"/>
      <c r="DS63" s="50" t="s">
        <v>945</v>
      </c>
      <c r="DT63" s="50" t="s">
        <v>945</v>
      </c>
      <c r="DU63" s="50" t="s">
        <v>945</v>
      </c>
      <c r="DV63" s="50" t="s">
        <v>945</v>
      </c>
      <c r="DW63" s="164" t="s">
        <v>945</v>
      </c>
      <c r="DX63" s="50"/>
      <c r="DY63" s="50" t="s">
        <v>945</v>
      </c>
      <c r="DZ63" s="50" t="s">
        <v>945</v>
      </c>
      <c r="EA63" s="50" t="s">
        <v>945</v>
      </c>
      <c r="EB63" s="50" t="s">
        <v>945</v>
      </c>
      <c r="EC63" s="164" t="s">
        <v>945</v>
      </c>
      <c r="ED63" s="50"/>
      <c r="EE63" s="50" t="s">
        <v>945</v>
      </c>
      <c r="EF63" s="50" t="s">
        <v>945</v>
      </c>
      <c r="EG63" s="50" t="s">
        <v>945</v>
      </c>
      <c r="EH63" s="50" t="s">
        <v>945</v>
      </c>
      <c r="EI63" s="164" t="s">
        <v>945</v>
      </c>
      <c r="EJ63" s="50"/>
      <c r="EK63" s="50" t="s">
        <v>945</v>
      </c>
      <c r="EL63" s="50" t="s">
        <v>945</v>
      </c>
      <c r="EM63" s="50" t="s">
        <v>945</v>
      </c>
      <c r="EN63" s="50" t="s">
        <v>945</v>
      </c>
      <c r="EO63" s="164" t="s">
        <v>945</v>
      </c>
      <c r="EP63" s="50"/>
      <c r="EQ63" s="50" t="s">
        <v>945</v>
      </c>
      <c r="ER63" s="50" t="s">
        <v>945</v>
      </c>
      <c r="ES63" s="50" t="s">
        <v>945</v>
      </c>
      <c r="ET63" s="50" t="s">
        <v>945</v>
      </c>
      <c r="EU63" s="164" t="s">
        <v>945</v>
      </c>
      <c r="EV63" s="50"/>
      <c r="EW63" s="50" t="s">
        <v>945</v>
      </c>
      <c r="EX63" s="50" t="s">
        <v>945</v>
      </c>
      <c r="EY63" s="50" t="s">
        <v>945</v>
      </c>
      <c r="EZ63" s="50" t="s">
        <v>945</v>
      </c>
      <c r="FA63" s="164" t="s">
        <v>945</v>
      </c>
      <c r="FB63" s="50"/>
      <c r="FC63" s="50" t="s">
        <v>945</v>
      </c>
      <c r="FD63" s="50" t="s">
        <v>945</v>
      </c>
      <c r="FE63" s="50" t="s">
        <v>945</v>
      </c>
      <c r="FF63" s="50" t="s">
        <v>945</v>
      </c>
      <c r="FG63" s="164" t="s">
        <v>945</v>
      </c>
      <c r="FH63" s="50"/>
      <c r="FI63" s="50" t="s">
        <v>945</v>
      </c>
      <c r="FJ63" s="50" t="s">
        <v>945</v>
      </c>
      <c r="FK63" s="50" t="s">
        <v>945</v>
      </c>
      <c r="FL63" s="50" t="s">
        <v>945</v>
      </c>
      <c r="FM63" s="164" t="s">
        <v>945</v>
      </c>
      <c r="FO63" s="614" t="s">
        <v>205</v>
      </c>
      <c r="FP63" s="614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</row>
    <row r="64" spans="1:274" s="24" customFormat="1" x14ac:dyDescent="0.2">
      <c r="A64" s="819" t="s">
        <v>236</v>
      </c>
      <c r="B64" s="29"/>
      <c r="C64" s="50" t="s">
        <v>945</v>
      </c>
      <c r="D64" s="50" t="s">
        <v>945</v>
      </c>
      <c r="E64" s="50" t="s">
        <v>945</v>
      </c>
      <c r="F64" s="50" t="s">
        <v>945</v>
      </c>
      <c r="G64" s="50" t="s">
        <v>945</v>
      </c>
      <c r="H64" s="50" t="s">
        <v>945</v>
      </c>
      <c r="I64" s="50" t="s">
        <v>945</v>
      </c>
      <c r="J64" s="50" t="s">
        <v>945</v>
      </c>
      <c r="K64" s="50" t="s">
        <v>945</v>
      </c>
      <c r="L64" s="50" t="s">
        <v>945</v>
      </c>
      <c r="M64" s="50" t="s">
        <v>945</v>
      </c>
      <c r="N64" s="50"/>
      <c r="O64" s="50" t="s">
        <v>945</v>
      </c>
      <c r="P64" s="50" t="s">
        <v>945</v>
      </c>
      <c r="Q64" s="50" t="s">
        <v>945</v>
      </c>
      <c r="R64" s="50" t="s">
        <v>945</v>
      </c>
      <c r="S64" s="50" t="s">
        <v>945</v>
      </c>
      <c r="T64" s="818"/>
      <c r="U64" s="50" t="s">
        <v>945</v>
      </c>
      <c r="V64" s="50" t="s">
        <v>945</v>
      </c>
      <c r="W64" s="50" t="s">
        <v>945</v>
      </c>
      <c r="X64" s="50" t="s">
        <v>945</v>
      </c>
      <c r="Y64" s="50" t="s">
        <v>945</v>
      </c>
      <c r="Z64" s="50"/>
      <c r="AA64" s="52" t="s">
        <v>945</v>
      </c>
      <c r="AB64" s="52" t="s">
        <v>945</v>
      </c>
      <c r="AC64" s="52" t="s">
        <v>945</v>
      </c>
      <c r="AD64" s="52" t="s">
        <v>945</v>
      </c>
      <c r="AE64" s="52" t="s">
        <v>945</v>
      </c>
      <c r="AF64" s="50"/>
      <c r="AG64" s="52" t="s">
        <v>945</v>
      </c>
      <c r="AH64" s="52" t="s">
        <v>945</v>
      </c>
      <c r="AI64" s="52" t="s">
        <v>945</v>
      </c>
      <c r="AJ64" s="52" t="s">
        <v>945</v>
      </c>
      <c r="AK64" s="52" t="s">
        <v>945</v>
      </c>
      <c r="AL64" s="50"/>
      <c r="AM64" s="50" t="s">
        <v>945</v>
      </c>
      <c r="AN64" s="50" t="s">
        <v>945</v>
      </c>
      <c r="AO64" s="50" t="s">
        <v>945</v>
      </c>
      <c r="AP64" s="50" t="s">
        <v>945</v>
      </c>
      <c r="AQ64" s="50" t="s">
        <v>945</v>
      </c>
      <c r="AR64" s="50"/>
      <c r="AS64" s="50" t="s">
        <v>945</v>
      </c>
      <c r="AT64" s="50" t="s">
        <v>945</v>
      </c>
      <c r="AU64" s="50" t="s">
        <v>945</v>
      </c>
      <c r="AV64" s="50" t="s">
        <v>945</v>
      </c>
      <c r="AW64" s="50" t="s">
        <v>945</v>
      </c>
      <c r="AX64" s="50"/>
      <c r="AY64" s="52" t="s">
        <v>945</v>
      </c>
      <c r="AZ64" s="52" t="s">
        <v>945</v>
      </c>
      <c r="BA64" s="52" t="s">
        <v>945</v>
      </c>
      <c r="BB64" s="52" t="s">
        <v>945</v>
      </c>
      <c r="BC64" s="52" t="s">
        <v>945</v>
      </c>
      <c r="BD64" s="50"/>
      <c r="BE64" s="52">
        <v>0.3</v>
      </c>
      <c r="BF64" s="52">
        <v>0.28000000000000003</v>
      </c>
      <c r="BG64" s="52">
        <v>0.09</v>
      </c>
      <c r="BH64" s="52">
        <v>-0.03</v>
      </c>
      <c r="BI64" s="52">
        <v>0.14000000000000001</v>
      </c>
      <c r="BJ64" s="50"/>
      <c r="BK64" s="52">
        <v>-0.19</v>
      </c>
      <c r="BL64" s="52">
        <v>-0.25</v>
      </c>
      <c r="BM64" s="52">
        <v>-0.21</v>
      </c>
      <c r="BN64" s="52">
        <v>-0.26</v>
      </c>
      <c r="BO64" s="52">
        <v>-0.23</v>
      </c>
      <c r="BP64" s="50"/>
      <c r="BQ64" s="52">
        <v>-0.1</v>
      </c>
      <c r="BR64" s="52">
        <v>-0.04</v>
      </c>
      <c r="BS64" s="52">
        <v>-0.06</v>
      </c>
      <c r="BT64" s="52">
        <v>0.03</v>
      </c>
      <c r="BU64" s="52">
        <v>-0.04</v>
      </c>
      <c r="BV64" s="50"/>
      <c r="BW64" s="52">
        <v>0.14000000000000001</v>
      </c>
      <c r="BX64" s="52">
        <v>7.0000000000000007E-2</v>
      </c>
      <c r="BY64" s="52">
        <v>0.2</v>
      </c>
      <c r="BZ64" s="52">
        <f>BZ55-3.4%</f>
        <v>9.2760563380281741E-2</v>
      </c>
      <c r="CA64" s="52">
        <v>0.14000000000000001</v>
      </c>
      <c r="CB64" s="50"/>
      <c r="CC64" s="52">
        <v>0.17</v>
      </c>
      <c r="CD64" s="52">
        <v>0.22</v>
      </c>
      <c r="CE64" s="50" t="s">
        <v>945</v>
      </c>
      <c r="CF64" s="50" t="s">
        <v>945</v>
      </c>
      <c r="CG64" s="164" t="s">
        <v>945</v>
      </c>
      <c r="CH64" s="50"/>
      <c r="CI64" s="50" t="s">
        <v>945</v>
      </c>
      <c r="CJ64" s="50" t="s">
        <v>945</v>
      </c>
      <c r="CK64" s="50" t="s">
        <v>945</v>
      </c>
      <c r="CL64" s="50" t="s">
        <v>945</v>
      </c>
      <c r="CM64" s="164" t="s">
        <v>945</v>
      </c>
      <c r="CN64" s="50"/>
      <c r="CO64" s="50" t="s">
        <v>945</v>
      </c>
      <c r="CP64" s="50" t="s">
        <v>945</v>
      </c>
      <c r="CQ64" s="50" t="s">
        <v>945</v>
      </c>
      <c r="CR64" s="50" t="s">
        <v>945</v>
      </c>
      <c r="CS64" s="164" t="s">
        <v>945</v>
      </c>
      <c r="CT64" s="50"/>
      <c r="CU64" s="50" t="s">
        <v>945</v>
      </c>
      <c r="CV64" s="50" t="s">
        <v>945</v>
      </c>
      <c r="CW64" s="52">
        <v>0.19</v>
      </c>
      <c r="CX64" s="50" t="s">
        <v>945</v>
      </c>
      <c r="CY64" s="164" t="s">
        <v>945</v>
      </c>
      <c r="CZ64" s="50"/>
      <c r="DA64" s="50" t="s">
        <v>945</v>
      </c>
      <c r="DB64" s="50" t="s">
        <v>945</v>
      </c>
      <c r="DC64" s="50" t="s">
        <v>945</v>
      </c>
      <c r="DD64" s="50" t="s">
        <v>945</v>
      </c>
      <c r="DE64" s="164" t="s">
        <v>945</v>
      </c>
      <c r="DF64" s="50"/>
      <c r="DG64" s="50" t="s">
        <v>945</v>
      </c>
      <c r="DH64" s="50" t="s">
        <v>945</v>
      </c>
      <c r="DI64" s="50" t="s">
        <v>945</v>
      </c>
      <c r="DJ64" s="50" t="s">
        <v>945</v>
      </c>
      <c r="DK64" s="164" t="s">
        <v>945</v>
      </c>
      <c r="DL64" s="50"/>
      <c r="DM64" s="50" t="s">
        <v>945</v>
      </c>
      <c r="DN64" s="50" t="s">
        <v>945</v>
      </c>
      <c r="DO64" s="50" t="s">
        <v>945</v>
      </c>
      <c r="DP64" s="50" t="s">
        <v>945</v>
      </c>
      <c r="DQ64" s="164" t="s">
        <v>945</v>
      </c>
      <c r="DR64" s="50"/>
      <c r="DS64" s="50" t="s">
        <v>945</v>
      </c>
      <c r="DT64" s="50" t="s">
        <v>945</v>
      </c>
      <c r="DU64" s="50" t="s">
        <v>945</v>
      </c>
      <c r="DV64" s="50" t="s">
        <v>945</v>
      </c>
      <c r="DW64" s="164" t="s">
        <v>945</v>
      </c>
      <c r="DX64" s="50"/>
      <c r="DY64" s="50" t="s">
        <v>945</v>
      </c>
      <c r="DZ64" s="50" t="s">
        <v>945</v>
      </c>
      <c r="EA64" s="50" t="s">
        <v>945</v>
      </c>
      <c r="EB64" s="50" t="s">
        <v>945</v>
      </c>
      <c r="EC64" s="164" t="s">
        <v>945</v>
      </c>
      <c r="ED64" s="50"/>
      <c r="EE64" s="50" t="s">
        <v>945</v>
      </c>
      <c r="EF64" s="50" t="s">
        <v>945</v>
      </c>
      <c r="EG64" s="50" t="s">
        <v>945</v>
      </c>
      <c r="EH64" s="50" t="s">
        <v>945</v>
      </c>
      <c r="EI64" s="164" t="s">
        <v>945</v>
      </c>
      <c r="EJ64" s="50"/>
      <c r="EK64" s="50" t="s">
        <v>945</v>
      </c>
      <c r="EL64" s="50" t="s">
        <v>945</v>
      </c>
      <c r="EM64" s="50" t="s">
        <v>945</v>
      </c>
      <c r="EN64" s="50" t="s">
        <v>945</v>
      </c>
      <c r="EO64" s="164" t="s">
        <v>945</v>
      </c>
      <c r="EP64" s="50"/>
      <c r="EQ64" s="50" t="s">
        <v>945</v>
      </c>
      <c r="ER64" s="50" t="s">
        <v>945</v>
      </c>
      <c r="ES64" s="50" t="s">
        <v>945</v>
      </c>
      <c r="ET64" s="50" t="s">
        <v>945</v>
      </c>
      <c r="EU64" s="164" t="s">
        <v>945</v>
      </c>
      <c r="EV64" s="50"/>
      <c r="EW64" s="50" t="s">
        <v>945</v>
      </c>
      <c r="EX64" s="50" t="s">
        <v>945</v>
      </c>
      <c r="EY64" s="50" t="s">
        <v>945</v>
      </c>
      <c r="EZ64" s="50" t="s">
        <v>945</v>
      </c>
      <c r="FA64" s="164" t="s">
        <v>945</v>
      </c>
      <c r="FB64" s="50"/>
      <c r="FC64" s="50" t="s">
        <v>945</v>
      </c>
      <c r="FD64" s="50" t="s">
        <v>945</v>
      </c>
      <c r="FE64" s="50" t="s">
        <v>945</v>
      </c>
      <c r="FF64" s="50" t="s">
        <v>945</v>
      </c>
      <c r="FG64" s="164" t="s">
        <v>945</v>
      </c>
      <c r="FH64" s="50"/>
      <c r="FI64" s="50" t="s">
        <v>945</v>
      </c>
      <c r="FJ64" s="50" t="s">
        <v>945</v>
      </c>
      <c r="FK64" s="50" t="s">
        <v>945</v>
      </c>
      <c r="FL64" s="50" t="s">
        <v>945</v>
      </c>
      <c r="FM64" s="164" t="s">
        <v>945</v>
      </c>
      <c r="FO64" s="158" t="str">
        <f>FO58</f>
        <v>Americas</v>
      </c>
      <c r="FQ64" s="613">
        <f t="shared" ref="FQ64:FS66" si="169">(FQ45-FP45)/(FQ$48-FP$48)</f>
        <v>0.40794223826714804</v>
      </c>
      <c r="FR64" s="613">
        <f t="shared" si="169"/>
        <v>0.40408958130477118</v>
      </c>
      <c r="FS64" s="613">
        <f t="shared" si="169"/>
        <v>1.8163265306122449</v>
      </c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</row>
    <row r="65" spans="1:274" s="24" customFormat="1" x14ac:dyDescent="0.2">
      <c r="A65" s="819" t="s">
        <v>92</v>
      </c>
      <c r="B65" s="414"/>
      <c r="C65" s="50" t="s">
        <v>945</v>
      </c>
      <c r="D65" s="50" t="s">
        <v>945</v>
      </c>
      <c r="E65" s="50" t="s">
        <v>945</v>
      </c>
      <c r="F65" s="50" t="s">
        <v>945</v>
      </c>
      <c r="G65" s="50" t="s">
        <v>945</v>
      </c>
      <c r="H65" s="50" t="s">
        <v>945</v>
      </c>
      <c r="I65" s="50" t="s">
        <v>945</v>
      </c>
      <c r="J65" s="50" t="s">
        <v>945</v>
      </c>
      <c r="K65" s="50" t="s">
        <v>945</v>
      </c>
      <c r="L65" s="50" t="s">
        <v>945</v>
      </c>
      <c r="M65" s="50" t="s">
        <v>945</v>
      </c>
      <c r="N65" s="50"/>
      <c r="O65" s="50" t="s">
        <v>945</v>
      </c>
      <c r="P65" s="50" t="s">
        <v>945</v>
      </c>
      <c r="Q65" s="50" t="s">
        <v>945</v>
      </c>
      <c r="R65" s="50" t="s">
        <v>945</v>
      </c>
      <c r="S65" s="50" t="s">
        <v>945</v>
      </c>
      <c r="T65" s="818"/>
      <c r="U65" s="50" t="s">
        <v>945</v>
      </c>
      <c r="V65" s="50" t="s">
        <v>945</v>
      </c>
      <c r="W65" s="50" t="s">
        <v>945</v>
      </c>
      <c r="X65" s="50" t="s">
        <v>945</v>
      </c>
      <c r="Y65" s="50" t="s">
        <v>945</v>
      </c>
      <c r="Z65" s="50"/>
      <c r="AA65" s="52" t="s">
        <v>945</v>
      </c>
      <c r="AB65" s="52" t="s">
        <v>945</v>
      </c>
      <c r="AC65" s="52" t="s">
        <v>945</v>
      </c>
      <c r="AD65" s="52" t="s">
        <v>945</v>
      </c>
      <c r="AE65" s="52" t="s">
        <v>945</v>
      </c>
      <c r="AF65" s="50"/>
      <c r="AG65" s="52" t="s">
        <v>945</v>
      </c>
      <c r="AH65" s="52" t="s">
        <v>945</v>
      </c>
      <c r="AI65" s="52" t="s">
        <v>945</v>
      </c>
      <c r="AJ65" s="52" t="s">
        <v>945</v>
      </c>
      <c r="AK65" s="52" t="s">
        <v>945</v>
      </c>
      <c r="AL65" s="50"/>
      <c r="AM65" s="50" t="s">
        <v>945</v>
      </c>
      <c r="AN65" s="50" t="s">
        <v>945</v>
      </c>
      <c r="AO65" s="50" t="s">
        <v>945</v>
      </c>
      <c r="AP65" s="50" t="s">
        <v>945</v>
      </c>
      <c r="AQ65" s="50" t="s">
        <v>945</v>
      </c>
      <c r="AR65" s="50"/>
      <c r="AS65" s="50" t="s">
        <v>945</v>
      </c>
      <c r="AT65" s="50" t="s">
        <v>945</v>
      </c>
      <c r="AU65" s="50" t="s">
        <v>945</v>
      </c>
      <c r="AV65" s="50" t="s">
        <v>945</v>
      </c>
      <c r="AW65" s="50" t="s">
        <v>945</v>
      </c>
      <c r="AX65" s="50"/>
      <c r="AY65" s="52">
        <v>-0.17</v>
      </c>
      <c r="AZ65" s="52">
        <v>-0.01</v>
      </c>
      <c r="BA65" s="52">
        <v>-0.09</v>
      </c>
      <c r="BB65" s="52">
        <v>-0.06</v>
      </c>
      <c r="BC65" s="52">
        <v>-0.08</v>
      </c>
      <c r="BD65" s="50"/>
      <c r="BE65" s="52">
        <v>0.04</v>
      </c>
      <c r="BF65" s="52">
        <v>-0.23</v>
      </c>
      <c r="BG65" s="52">
        <v>-0.31</v>
      </c>
      <c r="BH65" s="52">
        <v>-0.31</v>
      </c>
      <c r="BI65" s="52">
        <v>-0.21</v>
      </c>
      <c r="BJ65" s="50"/>
      <c r="BK65" s="52">
        <v>-0.3</v>
      </c>
      <c r="BL65" s="52">
        <v>-0.19</v>
      </c>
      <c r="BM65" s="52">
        <v>-0.21</v>
      </c>
      <c r="BN65" s="52">
        <v>-0.2</v>
      </c>
      <c r="BO65" s="52">
        <v>-0.22</v>
      </c>
      <c r="BP65" s="50"/>
      <c r="BQ65" s="52">
        <v>-0.15</v>
      </c>
      <c r="BR65" s="52">
        <v>-0.11</v>
      </c>
      <c r="BS65" s="52">
        <v>-0.16</v>
      </c>
      <c r="BT65" s="52">
        <v>-0.1</v>
      </c>
      <c r="BU65" s="52">
        <v>-0.13</v>
      </c>
      <c r="BV65" s="50"/>
      <c r="BW65" s="52">
        <v>-0.14000000000000001</v>
      </c>
      <c r="BX65" s="52">
        <v>-0.08</v>
      </c>
      <c r="BY65" s="52">
        <v>0.33</v>
      </c>
      <c r="BZ65" s="52">
        <f>BZ56-3.4%</f>
        <v>0.28907692307692301</v>
      </c>
      <c r="CA65" s="52">
        <v>0.1</v>
      </c>
      <c r="CB65" s="50"/>
      <c r="CC65" s="52">
        <v>0.42</v>
      </c>
      <c r="CD65" s="52">
        <v>0.28000000000000003</v>
      </c>
      <c r="CE65" s="50" t="s">
        <v>945</v>
      </c>
      <c r="CF65" s="50" t="s">
        <v>945</v>
      </c>
      <c r="CG65" s="164" t="s">
        <v>945</v>
      </c>
      <c r="CH65" s="50"/>
      <c r="CI65" s="50" t="s">
        <v>945</v>
      </c>
      <c r="CJ65" s="50" t="s">
        <v>945</v>
      </c>
      <c r="CK65" s="50" t="s">
        <v>945</v>
      </c>
      <c r="CL65" s="50" t="s">
        <v>945</v>
      </c>
      <c r="CM65" s="164" t="s">
        <v>945</v>
      </c>
      <c r="CN65" s="50"/>
      <c r="CO65" s="50" t="s">
        <v>945</v>
      </c>
      <c r="CP65" s="50" t="s">
        <v>945</v>
      </c>
      <c r="CQ65" s="50" t="s">
        <v>945</v>
      </c>
      <c r="CR65" s="50" t="s">
        <v>945</v>
      </c>
      <c r="CS65" s="164" t="s">
        <v>945</v>
      </c>
      <c r="CT65" s="50"/>
      <c r="CU65" s="50" t="s">
        <v>945</v>
      </c>
      <c r="CV65" s="50" t="s">
        <v>945</v>
      </c>
      <c r="CW65" s="52">
        <v>-0.16</v>
      </c>
      <c r="CX65" s="50" t="s">
        <v>945</v>
      </c>
      <c r="CY65" s="164" t="s">
        <v>945</v>
      </c>
      <c r="CZ65" s="50"/>
      <c r="DA65" s="50" t="s">
        <v>945</v>
      </c>
      <c r="DB65" s="50" t="s">
        <v>945</v>
      </c>
      <c r="DC65" s="50" t="s">
        <v>945</v>
      </c>
      <c r="DD65" s="50" t="s">
        <v>945</v>
      </c>
      <c r="DE65" s="164" t="s">
        <v>945</v>
      </c>
      <c r="DF65" s="50"/>
      <c r="DG65" s="50" t="s">
        <v>945</v>
      </c>
      <c r="DH65" s="50" t="s">
        <v>945</v>
      </c>
      <c r="DI65" s="50" t="s">
        <v>945</v>
      </c>
      <c r="DJ65" s="50" t="s">
        <v>945</v>
      </c>
      <c r="DK65" s="164" t="s">
        <v>945</v>
      </c>
      <c r="DL65" s="50"/>
      <c r="DM65" s="50" t="s">
        <v>945</v>
      </c>
      <c r="DN65" s="50" t="s">
        <v>945</v>
      </c>
      <c r="DO65" s="50" t="s">
        <v>945</v>
      </c>
      <c r="DP65" s="50" t="s">
        <v>945</v>
      </c>
      <c r="DQ65" s="164" t="s">
        <v>945</v>
      </c>
      <c r="DR65" s="50"/>
      <c r="DS65" s="50" t="s">
        <v>945</v>
      </c>
      <c r="DT65" s="50" t="s">
        <v>945</v>
      </c>
      <c r="DU65" s="50" t="s">
        <v>945</v>
      </c>
      <c r="DV65" s="50" t="s">
        <v>945</v>
      </c>
      <c r="DW65" s="164" t="s">
        <v>945</v>
      </c>
      <c r="DX65" s="50"/>
      <c r="DY65" s="50" t="s">
        <v>945</v>
      </c>
      <c r="DZ65" s="50" t="s">
        <v>945</v>
      </c>
      <c r="EA65" s="50" t="s">
        <v>945</v>
      </c>
      <c r="EB65" s="50" t="s">
        <v>945</v>
      </c>
      <c r="EC65" s="164" t="s">
        <v>945</v>
      </c>
      <c r="ED65" s="50"/>
      <c r="EE65" s="50" t="s">
        <v>945</v>
      </c>
      <c r="EF65" s="50" t="s">
        <v>945</v>
      </c>
      <c r="EG65" s="50" t="s">
        <v>945</v>
      </c>
      <c r="EH65" s="50" t="s">
        <v>945</v>
      </c>
      <c r="EI65" s="164" t="s">
        <v>945</v>
      </c>
      <c r="EJ65" s="50"/>
      <c r="EK65" s="50" t="s">
        <v>945</v>
      </c>
      <c r="EL65" s="50" t="s">
        <v>945</v>
      </c>
      <c r="EM65" s="50" t="s">
        <v>945</v>
      </c>
      <c r="EN65" s="50" t="s">
        <v>945</v>
      </c>
      <c r="EO65" s="164" t="s">
        <v>945</v>
      </c>
      <c r="EP65" s="50"/>
      <c r="EQ65" s="50" t="s">
        <v>945</v>
      </c>
      <c r="ER65" s="50" t="s">
        <v>945</v>
      </c>
      <c r="ES65" s="50" t="s">
        <v>945</v>
      </c>
      <c r="ET65" s="50" t="s">
        <v>945</v>
      </c>
      <c r="EU65" s="164" t="s">
        <v>945</v>
      </c>
      <c r="EV65" s="50"/>
      <c r="EW65" s="50" t="s">
        <v>945</v>
      </c>
      <c r="EX65" s="50" t="s">
        <v>945</v>
      </c>
      <c r="EY65" s="50" t="s">
        <v>945</v>
      </c>
      <c r="EZ65" s="50" t="s">
        <v>945</v>
      </c>
      <c r="FA65" s="164" t="s">
        <v>945</v>
      </c>
      <c r="FB65" s="50"/>
      <c r="FC65" s="50" t="s">
        <v>945</v>
      </c>
      <c r="FD65" s="50" t="s">
        <v>945</v>
      </c>
      <c r="FE65" s="50" t="s">
        <v>945</v>
      </c>
      <c r="FF65" s="50" t="s">
        <v>945</v>
      </c>
      <c r="FG65" s="164" t="s">
        <v>945</v>
      </c>
      <c r="FH65" s="50"/>
      <c r="FI65" s="50" t="s">
        <v>945</v>
      </c>
      <c r="FJ65" s="50" t="s">
        <v>945</v>
      </c>
      <c r="FK65" s="50" t="s">
        <v>945</v>
      </c>
      <c r="FL65" s="50" t="s">
        <v>945</v>
      </c>
      <c r="FM65" s="164" t="s">
        <v>945</v>
      </c>
      <c r="FO65" s="158" t="str">
        <f>FO59</f>
        <v>EMEA</v>
      </c>
      <c r="FQ65" s="613">
        <f t="shared" si="169"/>
        <v>0.41516245487364623</v>
      </c>
      <c r="FR65" s="613">
        <f t="shared" si="169"/>
        <v>0.49074975657254138</v>
      </c>
      <c r="FS65" s="613">
        <f t="shared" si="169"/>
        <v>2</v>
      </c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</row>
    <row r="66" spans="1:274" s="24" customFormat="1" x14ac:dyDescent="0.2">
      <c r="A66" s="819" t="s">
        <v>543</v>
      </c>
      <c r="B66" s="359"/>
      <c r="C66" s="50" t="s">
        <v>945</v>
      </c>
      <c r="D66" s="50" t="s">
        <v>945</v>
      </c>
      <c r="E66" s="50" t="s">
        <v>945</v>
      </c>
      <c r="F66" s="50" t="s">
        <v>945</v>
      </c>
      <c r="G66" s="50" t="s">
        <v>945</v>
      </c>
      <c r="H66" s="50" t="s">
        <v>945</v>
      </c>
      <c r="I66" s="50" t="s">
        <v>945</v>
      </c>
      <c r="J66" s="50" t="s">
        <v>945</v>
      </c>
      <c r="K66" s="50" t="s">
        <v>945</v>
      </c>
      <c r="L66" s="50" t="s">
        <v>945</v>
      </c>
      <c r="M66" s="50" t="s">
        <v>945</v>
      </c>
      <c r="N66" s="50"/>
      <c r="O66" s="50" t="s">
        <v>945</v>
      </c>
      <c r="P66" s="50" t="s">
        <v>945</v>
      </c>
      <c r="Q66" s="50" t="s">
        <v>945</v>
      </c>
      <c r="R66" s="50" t="s">
        <v>945</v>
      </c>
      <c r="S66" s="50" t="s">
        <v>945</v>
      </c>
      <c r="T66" s="818"/>
      <c r="U66" s="50" t="s">
        <v>945</v>
      </c>
      <c r="V66" s="50" t="s">
        <v>945</v>
      </c>
      <c r="W66" s="50" t="s">
        <v>945</v>
      </c>
      <c r="X66" s="50" t="s">
        <v>945</v>
      </c>
      <c r="Y66" s="50" t="s">
        <v>945</v>
      </c>
      <c r="Z66" s="50"/>
      <c r="AA66" s="52" t="s">
        <v>945</v>
      </c>
      <c r="AB66" s="52" t="s">
        <v>945</v>
      </c>
      <c r="AC66" s="52" t="s">
        <v>945</v>
      </c>
      <c r="AD66" s="52" t="s">
        <v>945</v>
      </c>
      <c r="AE66" s="52" t="s">
        <v>945</v>
      </c>
      <c r="AF66" s="50"/>
      <c r="AG66" s="52" t="s">
        <v>945</v>
      </c>
      <c r="AH66" s="52" t="s">
        <v>945</v>
      </c>
      <c r="AI66" s="52" t="s">
        <v>945</v>
      </c>
      <c r="AJ66" s="52" t="s">
        <v>945</v>
      </c>
      <c r="AK66" s="52" t="s">
        <v>945</v>
      </c>
      <c r="AL66" s="50"/>
      <c r="AM66" s="50" t="s">
        <v>945</v>
      </c>
      <c r="AN66" s="50" t="s">
        <v>945</v>
      </c>
      <c r="AO66" s="50" t="s">
        <v>945</v>
      </c>
      <c r="AP66" s="50" t="s">
        <v>945</v>
      </c>
      <c r="AQ66" s="50" t="s">
        <v>945</v>
      </c>
      <c r="AR66" s="50"/>
      <c r="AS66" s="50" t="s">
        <v>945</v>
      </c>
      <c r="AT66" s="50" t="s">
        <v>945</v>
      </c>
      <c r="AU66" s="50" t="s">
        <v>945</v>
      </c>
      <c r="AV66" s="50" t="s">
        <v>945</v>
      </c>
      <c r="AW66" s="50" t="s">
        <v>945</v>
      </c>
      <c r="AX66" s="50"/>
      <c r="AY66" s="52">
        <v>0.38</v>
      </c>
      <c r="AZ66" s="52">
        <v>0.16</v>
      </c>
      <c r="BA66" s="52">
        <v>0.12</v>
      </c>
      <c r="BB66" s="52">
        <v>-0.14000000000000001</v>
      </c>
      <c r="BC66" s="52">
        <v>0.09</v>
      </c>
      <c r="BD66" s="50"/>
      <c r="BE66" s="52">
        <v>-0.42</v>
      </c>
      <c r="BF66" s="52">
        <v>-0.35</v>
      </c>
      <c r="BG66" s="52">
        <v>-0.46</v>
      </c>
      <c r="BH66" s="52">
        <v>-0.4</v>
      </c>
      <c r="BI66" s="52">
        <v>-0.41</v>
      </c>
      <c r="BJ66" s="50"/>
      <c r="BK66" s="52">
        <v>-0.3</v>
      </c>
      <c r="BL66" s="52">
        <v>-0.18</v>
      </c>
      <c r="BM66" s="52">
        <v>-7.0000000000000007E-2</v>
      </c>
      <c r="BN66" s="52">
        <v>-0.71</v>
      </c>
      <c r="BO66" s="52">
        <v>-0.36</v>
      </c>
      <c r="BP66" s="50"/>
      <c r="BQ66" s="52" t="s">
        <v>945</v>
      </c>
      <c r="BR66" s="52" t="s">
        <v>945</v>
      </c>
      <c r="BS66" s="52" t="s">
        <v>945</v>
      </c>
      <c r="BT66" s="52" t="s">
        <v>945</v>
      </c>
      <c r="BU66" s="52" t="s">
        <v>945</v>
      </c>
      <c r="BV66" s="50"/>
      <c r="BW66" s="52" t="s">
        <v>945</v>
      </c>
      <c r="BX66" s="52" t="s">
        <v>945</v>
      </c>
      <c r="BY66" s="52" t="s">
        <v>945</v>
      </c>
      <c r="BZ66" s="50" t="s">
        <v>945</v>
      </c>
      <c r="CA66" s="52" t="s">
        <v>945</v>
      </c>
      <c r="CB66" s="50"/>
      <c r="CC66" s="52" t="s">
        <v>945</v>
      </c>
      <c r="CD66" s="50" t="s">
        <v>945</v>
      </c>
      <c r="CE66" s="50" t="s">
        <v>945</v>
      </c>
      <c r="CF66" s="50" t="s">
        <v>945</v>
      </c>
      <c r="CG66" s="164" t="s">
        <v>945</v>
      </c>
      <c r="CH66" s="50"/>
      <c r="CI66" s="50" t="s">
        <v>945</v>
      </c>
      <c r="CJ66" s="50" t="s">
        <v>945</v>
      </c>
      <c r="CK66" s="50" t="s">
        <v>945</v>
      </c>
      <c r="CL66" s="50" t="s">
        <v>945</v>
      </c>
      <c r="CM66" s="164" t="s">
        <v>945</v>
      </c>
      <c r="CN66" s="50"/>
      <c r="CO66" s="50" t="s">
        <v>945</v>
      </c>
      <c r="CP66" s="50" t="s">
        <v>945</v>
      </c>
      <c r="CQ66" s="50" t="s">
        <v>945</v>
      </c>
      <c r="CR66" s="50" t="s">
        <v>945</v>
      </c>
      <c r="CS66" s="164" t="s">
        <v>945</v>
      </c>
      <c r="CT66" s="50"/>
      <c r="CU66" s="50" t="s">
        <v>945</v>
      </c>
      <c r="CV66" s="50" t="s">
        <v>945</v>
      </c>
      <c r="CW66" s="52" t="s">
        <v>945</v>
      </c>
      <c r="CX66" s="50" t="s">
        <v>945</v>
      </c>
      <c r="CY66" s="164" t="s">
        <v>945</v>
      </c>
      <c r="CZ66" s="50"/>
      <c r="DA66" s="50" t="s">
        <v>945</v>
      </c>
      <c r="DB66" s="50" t="s">
        <v>945</v>
      </c>
      <c r="DC66" s="50" t="s">
        <v>945</v>
      </c>
      <c r="DD66" s="50" t="s">
        <v>945</v>
      </c>
      <c r="DE66" s="164" t="s">
        <v>945</v>
      </c>
      <c r="DF66" s="50"/>
      <c r="DG66" s="50" t="s">
        <v>945</v>
      </c>
      <c r="DH66" s="50" t="s">
        <v>945</v>
      </c>
      <c r="DI66" s="50" t="s">
        <v>945</v>
      </c>
      <c r="DJ66" s="50" t="s">
        <v>945</v>
      </c>
      <c r="DK66" s="164" t="s">
        <v>945</v>
      </c>
      <c r="DL66" s="50"/>
      <c r="DM66" s="50" t="s">
        <v>945</v>
      </c>
      <c r="DN66" s="50" t="s">
        <v>945</v>
      </c>
      <c r="DO66" s="50" t="s">
        <v>945</v>
      </c>
      <c r="DP66" s="50" t="s">
        <v>945</v>
      </c>
      <c r="DQ66" s="164" t="s">
        <v>945</v>
      </c>
      <c r="DR66" s="50"/>
      <c r="DS66" s="50" t="s">
        <v>945</v>
      </c>
      <c r="DT66" s="50" t="s">
        <v>945</v>
      </c>
      <c r="DU66" s="50" t="s">
        <v>945</v>
      </c>
      <c r="DV66" s="50" t="s">
        <v>945</v>
      </c>
      <c r="DW66" s="164" t="s">
        <v>945</v>
      </c>
      <c r="DX66" s="50"/>
      <c r="DY66" s="50" t="s">
        <v>945</v>
      </c>
      <c r="DZ66" s="50" t="s">
        <v>945</v>
      </c>
      <c r="EA66" s="50" t="s">
        <v>945</v>
      </c>
      <c r="EB66" s="50" t="s">
        <v>945</v>
      </c>
      <c r="EC66" s="164" t="s">
        <v>945</v>
      </c>
      <c r="ED66" s="50"/>
      <c r="EE66" s="50" t="s">
        <v>945</v>
      </c>
      <c r="EF66" s="50" t="s">
        <v>945</v>
      </c>
      <c r="EG66" s="50" t="s">
        <v>945</v>
      </c>
      <c r="EH66" s="50" t="s">
        <v>945</v>
      </c>
      <c r="EI66" s="164" t="s">
        <v>945</v>
      </c>
      <c r="EJ66" s="50"/>
      <c r="EK66" s="50" t="s">
        <v>945</v>
      </c>
      <c r="EL66" s="50" t="s">
        <v>945</v>
      </c>
      <c r="EM66" s="50" t="s">
        <v>945</v>
      </c>
      <c r="EN66" s="50" t="s">
        <v>945</v>
      </c>
      <c r="EO66" s="164" t="s">
        <v>945</v>
      </c>
      <c r="EP66" s="50"/>
      <c r="EQ66" s="50" t="s">
        <v>945</v>
      </c>
      <c r="ER66" s="50" t="s">
        <v>945</v>
      </c>
      <c r="ES66" s="50" t="s">
        <v>945</v>
      </c>
      <c r="ET66" s="50" t="s">
        <v>945</v>
      </c>
      <c r="EU66" s="164" t="s">
        <v>945</v>
      </c>
      <c r="EV66" s="50"/>
      <c r="EW66" s="50" t="s">
        <v>945</v>
      </c>
      <c r="EX66" s="50" t="s">
        <v>945</v>
      </c>
      <c r="EY66" s="50" t="s">
        <v>945</v>
      </c>
      <c r="EZ66" s="50" t="s">
        <v>945</v>
      </c>
      <c r="FA66" s="164" t="s">
        <v>945</v>
      </c>
      <c r="FB66" s="50"/>
      <c r="FC66" s="50" t="s">
        <v>945</v>
      </c>
      <c r="FD66" s="50" t="s">
        <v>945</v>
      </c>
      <c r="FE66" s="50" t="s">
        <v>945</v>
      </c>
      <c r="FF66" s="50" t="s">
        <v>945</v>
      </c>
      <c r="FG66" s="164" t="s">
        <v>945</v>
      </c>
      <c r="FH66" s="50"/>
      <c r="FI66" s="50" t="s">
        <v>945</v>
      </c>
      <c r="FJ66" s="50" t="s">
        <v>945</v>
      </c>
      <c r="FK66" s="50" t="s">
        <v>945</v>
      </c>
      <c r="FL66" s="50" t="s">
        <v>945</v>
      </c>
      <c r="FM66" s="164" t="s">
        <v>945</v>
      </c>
      <c r="FO66" s="158" t="str">
        <f>FO60</f>
        <v>Asia Pacific</v>
      </c>
      <c r="FQ66" s="613">
        <f t="shared" si="169"/>
        <v>0.17689530685920576</v>
      </c>
      <c r="FR66" s="613">
        <f t="shared" si="169"/>
        <v>0.10516066212268745</v>
      </c>
      <c r="FS66" s="613">
        <f t="shared" si="169"/>
        <v>-2.8163265306122449</v>
      </c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</row>
    <row r="67" spans="1:274" s="24" customFormat="1" x14ac:dyDescent="0.2">
      <c r="A67" s="870" t="s">
        <v>698</v>
      </c>
      <c r="B67" s="873"/>
      <c r="C67" s="169" t="s">
        <v>945</v>
      </c>
      <c r="D67" s="169" t="s">
        <v>945</v>
      </c>
      <c r="E67" s="169" t="s">
        <v>945</v>
      </c>
      <c r="F67" s="169" t="s">
        <v>945</v>
      </c>
      <c r="G67" s="169" t="s">
        <v>945</v>
      </c>
      <c r="H67" s="169" t="s">
        <v>945</v>
      </c>
      <c r="I67" s="169" t="s">
        <v>945</v>
      </c>
      <c r="J67" s="169" t="s">
        <v>945</v>
      </c>
      <c r="K67" s="169" t="s">
        <v>945</v>
      </c>
      <c r="L67" s="169" t="s">
        <v>945</v>
      </c>
      <c r="M67" s="169" t="s">
        <v>945</v>
      </c>
      <c r="N67" s="169"/>
      <c r="O67" s="169" t="s">
        <v>945</v>
      </c>
      <c r="P67" s="169" t="s">
        <v>945</v>
      </c>
      <c r="Q67" s="169" t="s">
        <v>945</v>
      </c>
      <c r="R67" s="169" t="s">
        <v>945</v>
      </c>
      <c r="S67" s="169" t="s">
        <v>945</v>
      </c>
      <c r="T67" s="169"/>
      <c r="U67" s="169" t="s">
        <v>945</v>
      </c>
      <c r="V67" s="169" t="s">
        <v>945</v>
      </c>
      <c r="W67" s="169" t="s">
        <v>945</v>
      </c>
      <c r="X67" s="169" t="s">
        <v>945</v>
      </c>
      <c r="Y67" s="169" t="s">
        <v>945</v>
      </c>
      <c r="Z67" s="169"/>
      <c r="AA67" s="252">
        <v>0.4</v>
      </c>
      <c r="AB67" s="252">
        <v>0.39</v>
      </c>
      <c r="AC67" s="252">
        <v>0.39</v>
      </c>
      <c r="AD67" s="252">
        <v>0.37</v>
      </c>
      <c r="AE67" s="252">
        <v>0.38</v>
      </c>
      <c r="AF67" s="169"/>
      <c r="AG67" s="252">
        <v>0.36</v>
      </c>
      <c r="AH67" s="252">
        <v>0.28999999999999998</v>
      </c>
      <c r="AI67" s="252">
        <v>0.33</v>
      </c>
      <c r="AJ67" s="252">
        <v>0.28000000000000003</v>
      </c>
      <c r="AK67" s="252">
        <v>0.31</v>
      </c>
      <c r="AL67" s="169"/>
      <c r="AM67" s="252">
        <v>0.33</v>
      </c>
      <c r="AN67" s="252">
        <v>0.28000000000000003</v>
      </c>
      <c r="AO67" s="252">
        <v>0.19</v>
      </c>
      <c r="AP67" s="252">
        <v>0.24</v>
      </c>
      <c r="AQ67" s="252">
        <v>0.25</v>
      </c>
      <c r="AR67" s="169"/>
      <c r="AS67" s="252">
        <v>0.14000000000000001</v>
      </c>
      <c r="AT67" s="252">
        <v>0.15</v>
      </c>
      <c r="AU67" s="252">
        <v>0.2</v>
      </c>
      <c r="AV67" s="252">
        <v>0.17</v>
      </c>
      <c r="AW67" s="252">
        <v>0.17</v>
      </c>
      <c r="AX67" s="169"/>
      <c r="AY67" s="252">
        <v>0.17</v>
      </c>
      <c r="AZ67" s="252">
        <v>0.21</v>
      </c>
      <c r="BA67" s="252">
        <v>0.13</v>
      </c>
      <c r="BB67" s="252">
        <v>0</v>
      </c>
      <c r="BC67" s="252">
        <v>0.11</v>
      </c>
      <c r="BD67" s="169"/>
      <c r="BE67" s="252">
        <v>0.02</v>
      </c>
      <c r="BF67" s="252">
        <v>-0.11</v>
      </c>
      <c r="BG67" s="252">
        <v>-0.14000000000000001</v>
      </c>
      <c r="BH67" s="252">
        <v>-0.16</v>
      </c>
      <c r="BI67" s="252">
        <v>-0.1</v>
      </c>
      <c r="BJ67" s="169"/>
      <c r="BK67" s="252">
        <v>-0.12</v>
      </c>
      <c r="BL67" s="252">
        <v>-0.05</v>
      </c>
      <c r="BM67" s="252">
        <v>-0.03</v>
      </c>
      <c r="BN67" s="252">
        <v>-0.04</v>
      </c>
      <c r="BO67" s="252">
        <v>-0.06</v>
      </c>
      <c r="BP67" s="169"/>
      <c r="BQ67" s="252">
        <v>-0.02</v>
      </c>
      <c r="BR67" s="252">
        <v>0.01</v>
      </c>
      <c r="BS67" s="252">
        <v>0.02</v>
      </c>
      <c r="BT67" s="252">
        <v>0.05</v>
      </c>
      <c r="BU67" s="252">
        <v>0.02</v>
      </c>
      <c r="BV67" s="169"/>
      <c r="BW67" s="252">
        <v>0.03</v>
      </c>
      <c r="BX67" s="252">
        <v>0.06</v>
      </c>
      <c r="BY67" s="252">
        <f>BY58-4%</f>
        <v>0.19276205659625359</v>
      </c>
      <c r="BZ67" s="252">
        <v>0.28999999999999998</v>
      </c>
      <c r="CA67" s="252">
        <f>CA33</f>
        <v>0.15727161311818616</v>
      </c>
      <c r="CB67" s="169"/>
      <c r="CC67" s="252">
        <v>0.28999999999999998</v>
      </c>
      <c r="CD67" s="252">
        <v>0.26</v>
      </c>
      <c r="CE67" s="252">
        <f>CE33</f>
        <v>0.20217645044058319</v>
      </c>
      <c r="CF67" s="252">
        <f>CF33</f>
        <v>0.24876520239274935</v>
      </c>
      <c r="CG67" s="871">
        <f>CG33</f>
        <v>0.25303237560195035</v>
      </c>
      <c r="CH67" s="169"/>
      <c r="CI67" s="252">
        <v>0.28000000000000003</v>
      </c>
      <c r="CJ67" s="252">
        <v>0.23</v>
      </c>
      <c r="CK67" s="252">
        <v>0.23</v>
      </c>
      <c r="CL67" s="252">
        <v>0.16</v>
      </c>
      <c r="CM67" s="871">
        <v>0.22</v>
      </c>
      <c r="CN67" s="169"/>
      <c r="CO67" s="252">
        <v>0.22</v>
      </c>
      <c r="CP67" s="252">
        <v>0.21</v>
      </c>
      <c r="CQ67" s="252">
        <v>0.15</v>
      </c>
      <c r="CR67" s="252">
        <f>CR33</f>
        <v>0.17763386027536981</v>
      </c>
      <c r="CS67" s="871">
        <f>CS33</f>
        <v>0.18163875006864744</v>
      </c>
      <c r="CT67" s="169"/>
      <c r="CU67" s="252">
        <f>CU33</f>
        <v>0.1404920531243197</v>
      </c>
      <c r="CV67" s="252">
        <f>CV33</f>
        <v>0.1202162565249813</v>
      </c>
      <c r="CW67" s="252">
        <f>CW33</f>
        <v>0.12918483652800128</v>
      </c>
      <c r="CX67" s="252">
        <f>CX33</f>
        <v>3.506249141601428E-2</v>
      </c>
      <c r="CY67" s="871">
        <f>CY33</f>
        <v>9.9143703834755958E-2</v>
      </c>
      <c r="CZ67" s="169"/>
      <c r="DA67" s="252">
        <f>DA33</f>
        <v>-3.2988251607277919E-2</v>
      </c>
      <c r="DB67" s="252">
        <f>DB33</f>
        <v>-2.0863451744343009E-2</v>
      </c>
      <c r="DC67" s="252">
        <f>DC33</f>
        <v>0.12539970930232563</v>
      </c>
      <c r="DD67" s="252">
        <f>DD33</f>
        <v>0.38853278760450305</v>
      </c>
      <c r="DE67" s="871">
        <f>DE33</f>
        <v>0.12505525718545285</v>
      </c>
      <c r="DF67" s="169"/>
      <c r="DG67" s="252">
        <f>DG33</f>
        <v>0.50871617618013043</v>
      </c>
      <c r="DH67" s="252">
        <f>DH33</f>
        <v>0.50108098131471834</v>
      </c>
      <c r="DI67" s="252">
        <f>DI33</f>
        <v>0.34133180820477937</v>
      </c>
      <c r="DJ67" s="252">
        <f>DJ33</f>
        <v>6.7957934299825995E-2</v>
      </c>
      <c r="DK67" s="871">
        <f>DK33</f>
        <v>0.31966885485788143</v>
      </c>
      <c r="DL67" s="169"/>
      <c r="DM67" s="252">
        <f>DM33</f>
        <v>4.6747496046389003E-2</v>
      </c>
      <c r="DN67" s="252">
        <f>DN33</f>
        <v>2.1724437132666363E-3</v>
      </c>
      <c r="DO67" s="252">
        <f>DO33</f>
        <v>3.8017091483908194E-2</v>
      </c>
      <c r="DP67" s="252">
        <f>DP33</f>
        <v>5.6125369444883555E-2</v>
      </c>
      <c r="DQ67" s="871">
        <f>DQ33</f>
        <v>3.3488952092951108E-2</v>
      </c>
      <c r="DR67" s="169"/>
      <c r="DS67" s="252">
        <f>DS33</f>
        <v>2.5119160393016982E-2</v>
      </c>
      <c r="DT67" s="252">
        <f>DT33</f>
        <v>4.6441750897539658E-2</v>
      </c>
      <c r="DU67" s="252">
        <f>DU33</f>
        <v>6.9346133425949308E-3</v>
      </c>
      <c r="DV67" s="252">
        <f>DV33</f>
        <v>2.4551212973620062E-2</v>
      </c>
      <c r="DW67" s="871">
        <f>DW33</f>
        <v>2.5346586295660334E-2</v>
      </c>
      <c r="DX67" s="169"/>
      <c r="DY67" s="252">
        <f>DY33</f>
        <v>4.1951298131266412E-2</v>
      </c>
      <c r="DZ67" s="252">
        <f>DZ33</f>
        <v>3.7945548163995868E-2</v>
      </c>
      <c r="EA67" s="252">
        <f>EA33</f>
        <v>5.2527567613743775E-2</v>
      </c>
      <c r="EB67" s="252">
        <f>EB33</f>
        <v>3.3299881397682585E-2</v>
      </c>
      <c r="EC67" s="871">
        <f>EC33</f>
        <v>4.0261364775292519E-2</v>
      </c>
      <c r="ED67" s="169"/>
      <c r="EE67" s="252">
        <f>EE33</f>
        <v>1.6011215845364475E-2</v>
      </c>
      <c r="EF67" s="252">
        <f>EF33</f>
        <v>7.5010233760637729E-2</v>
      </c>
      <c r="EG67" s="252">
        <f>EG33</f>
        <v>6.2039720880300686E-2</v>
      </c>
      <c r="EH67" s="252">
        <f>EH33</f>
        <v>2.2522957329553089E-2</v>
      </c>
      <c r="EI67" s="871">
        <f>EI33</f>
        <v>3.8642474872732056E-2</v>
      </c>
      <c r="EJ67" s="169"/>
      <c r="EK67" s="252">
        <f>EK33</f>
        <v>7.2788696360041857E-2</v>
      </c>
      <c r="EL67" s="252">
        <f>EL33</f>
        <v>-9.2791078577249275E-4</v>
      </c>
      <c r="EM67" s="252">
        <f>EM33</f>
        <v>6.7251658480066076E-3</v>
      </c>
      <c r="EN67" s="252">
        <f>EN33</f>
        <v>-2.6970402685528964E-3</v>
      </c>
      <c r="EO67" s="871">
        <f>EO33</f>
        <v>1.6797624305893238E-2</v>
      </c>
      <c r="EP67" s="169"/>
      <c r="EQ67" s="252">
        <f>EQ33</f>
        <v>3.2589020793387692E-2</v>
      </c>
      <c r="ER67" s="252">
        <f>ER33</f>
        <v>1.6020404869657133E-2</v>
      </c>
      <c r="ES67" s="252">
        <f>ES33</f>
        <v>3.1169877647972841E-2</v>
      </c>
      <c r="ET67" s="252">
        <f>ET33</f>
        <v>4.2504945496460667E-2</v>
      </c>
      <c r="EU67" s="871">
        <f>EU33</f>
        <v>3.1050371889758677E-2</v>
      </c>
      <c r="EV67" s="169"/>
      <c r="EW67" s="252">
        <f>EW33</f>
        <v>5.6184680433757961E-2</v>
      </c>
      <c r="EX67" s="252">
        <f>EX33</f>
        <v>4.556353929440006E-2</v>
      </c>
      <c r="EY67" s="252">
        <f>EY33</f>
        <v>9.8345606941380795E-3</v>
      </c>
      <c r="EZ67" s="252">
        <f>EZ33</f>
        <v>-9.7714865096683312E-3</v>
      </c>
      <c r="FA67" s="871">
        <f>FA33</f>
        <v>-2.375488176649429E-2</v>
      </c>
      <c r="FB67" s="169"/>
      <c r="FC67" s="252">
        <f>FC33</f>
        <v>1.3625560043136219E-2</v>
      </c>
      <c r="FD67" s="252">
        <f>FD33</f>
        <v>1.853967103459821E-2</v>
      </c>
      <c r="FE67" s="252">
        <f>FE33</f>
        <v>2.4307231133390735E-2</v>
      </c>
      <c r="FF67" s="252">
        <f>FF33</f>
        <v>1.9107308187735317E-2</v>
      </c>
      <c r="FG67" s="871">
        <f>FG33</f>
        <v>3.0620019339379079E-2</v>
      </c>
      <c r="FH67" s="169"/>
      <c r="FI67" s="252">
        <f>FI33</f>
        <v>4.0861215517648208E-2</v>
      </c>
      <c r="FJ67" s="252">
        <f>FJ33</f>
        <v>3.6163195563325479E-2</v>
      </c>
      <c r="FK67" s="252">
        <f>FK33</f>
        <v>3.4500426358212266E-2</v>
      </c>
      <c r="FL67" s="252">
        <f>FL33</f>
        <v>2.3933269721764683E-2</v>
      </c>
      <c r="FM67" s="871">
        <f>FM33</f>
        <v>3.3448350330823162E-2</v>
      </c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</row>
    <row r="68" spans="1:274" s="24" customFormat="1" x14ac:dyDescent="0.2">
      <c r="A68" s="475"/>
      <c r="B68" s="359"/>
      <c r="C68" s="830"/>
      <c r="D68" s="830"/>
      <c r="E68" s="830"/>
      <c r="F68" s="830"/>
      <c r="G68" s="50"/>
      <c r="H68" s="830"/>
      <c r="I68" s="830"/>
      <c r="J68" s="830"/>
      <c r="K68" s="830"/>
      <c r="L68" s="50"/>
      <c r="M68" s="830"/>
      <c r="N68" s="830"/>
      <c r="O68" s="830"/>
      <c r="P68" s="830"/>
      <c r="Q68" s="830"/>
      <c r="R68" s="830"/>
      <c r="S68" s="50"/>
      <c r="T68" s="830"/>
      <c r="U68" s="830"/>
      <c r="V68" s="830"/>
      <c r="W68" s="830"/>
      <c r="X68" s="830"/>
      <c r="Y68" s="50"/>
      <c r="Z68" s="831"/>
      <c r="AA68" s="830"/>
      <c r="AB68" s="830"/>
      <c r="AC68" s="830"/>
      <c r="AD68" s="830"/>
      <c r="AE68" s="50"/>
      <c r="AF68" s="831"/>
      <c r="AG68" s="830"/>
      <c r="AH68" s="830"/>
      <c r="AI68" s="830"/>
      <c r="AJ68" s="830"/>
      <c r="AK68" s="50"/>
      <c r="AL68" s="831"/>
      <c r="AM68" s="830"/>
      <c r="AN68" s="830"/>
      <c r="AO68" s="830"/>
      <c r="AP68" s="830"/>
      <c r="AQ68" s="50"/>
      <c r="AR68" s="831"/>
      <c r="AS68" s="830"/>
      <c r="AT68" s="830"/>
      <c r="AU68" s="830"/>
      <c r="AV68" s="830"/>
      <c r="AW68" s="50"/>
      <c r="AX68" s="831"/>
      <c r="AY68" s="830"/>
      <c r="AZ68" s="830"/>
      <c r="BA68" s="830"/>
      <c r="BB68" s="830"/>
      <c r="BC68" s="50"/>
      <c r="BD68" s="831"/>
      <c r="BE68" s="830"/>
      <c r="BF68" s="830"/>
      <c r="BG68" s="830"/>
      <c r="BH68" s="830"/>
      <c r="BI68" s="50"/>
      <c r="BJ68" s="831"/>
      <c r="BK68" s="830"/>
      <c r="BL68" s="830"/>
      <c r="BM68" s="830"/>
      <c r="BN68" s="830"/>
      <c r="BO68" s="50"/>
      <c r="BP68" s="831"/>
      <c r="BQ68" s="50"/>
      <c r="BR68" s="50"/>
      <c r="BS68" s="824"/>
      <c r="BT68" s="50"/>
      <c r="BU68" s="50"/>
      <c r="BV68" s="831"/>
      <c r="BW68" s="50"/>
      <c r="BX68" s="50"/>
      <c r="BY68" s="50"/>
      <c r="BZ68" s="50"/>
      <c r="CA68" s="50"/>
      <c r="CB68" s="831"/>
      <c r="CC68" s="50"/>
      <c r="CD68" s="50"/>
      <c r="CE68" s="50"/>
      <c r="CF68" s="50"/>
      <c r="CG68" s="164"/>
      <c r="CH68" s="831"/>
      <c r="CI68" s="50"/>
      <c r="CJ68" s="50"/>
      <c r="CK68" s="50"/>
      <c r="CL68" s="50"/>
      <c r="CM68" s="164"/>
      <c r="CN68" s="831"/>
      <c r="CO68" s="52"/>
      <c r="CP68" s="52"/>
      <c r="CQ68" s="52"/>
      <c r="CR68" s="52"/>
      <c r="CS68" s="164"/>
      <c r="CT68" s="831"/>
      <c r="CU68" s="50"/>
      <c r="CV68" s="50"/>
      <c r="CW68" s="50"/>
      <c r="CX68" s="50"/>
      <c r="CY68" s="164"/>
      <c r="CZ68" s="831"/>
      <c r="DA68" s="50"/>
      <c r="DB68" s="50"/>
      <c r="DC68" s="50"/>
      <c r="DD68" s="50"/>
      <c r="DE68" s="164"/>
      <c r="DF68" s="831"/>
      <c r="DG68" s="50"/>
      <c r="DH68" s="50"/>
      <c r="DI68" s="50"/>
      <c r="DJ68" s="50"/>
      <c r="DK68" s="164"/>
      <c r="DL68" s="831"/>
      <c r="DM68" s="50"/>
      <c r="DN68" s="50"/>
      <c r="DO68" s="50"/>
      <c r="DP68" s="50"/>
      <c r="DQ68" s="164"/>
      <c r="DR68" s="831"/>
      <c r="DS68" s="50"/>
      <c r="DT68" s="50"/>
      <c r="DU68" s="50"/>
      <c r="DV68" s="50"/>
      <c r="DW68" s="164"/>
      <c r="DX68" s="831"/>
      <c r="DY68" s="50"/>
      <c r="DZ68" s="50"/>
      <c r="EA68" s="50"/>
      <c r="EB68" s="50"/>
      <c r="EC68" s="164"/>
      <c r="ED68" s="831"/>
      <c r="EE68" s="50"/>
      <c r="EF68" s="50"/>
      <c r="EG68" s="50"/>
      <c r="EH68" s="50"/>
      <c r="EI68" s="164"/>
      <c r="EJ68" s="831"/>
      <c r="EK68" s="50"/>
      <c r="EL68" s="50"/>
      <c r="EM68" s="50"/>
      <c r="EN68" s="50"/>
      <c r="EO68" s="164"/>
      <c r="EP68" s="831"/>
      <c r="EQ68" s="50"/>
      <c r="ER68" s="50"/>
      <c r="ES68" s="50"/>
      <c r="ET68" s="50"/>
      <c r="EU68" s="164"/>
      <c r="EV68" s="831"/>
      <c r="EW68" s="50"/>
      <c r="EX68" s="50"/>
      <c r="EY68" s="50"/>
      <c r="EZ68" s="50"/>
      <c r="FA68" s="164"/>
      <c r="FB68" s="831"/>
      <c r="FC68" s="50"/>
      <c r="FD68" s="50"/>
      <c r="FE68" s="50"/>
      <c r="FF68" s="50"/>
      <c r="FG68" s="164"/>
      <c r="FH68" s="831"/>
      <c r="FI68" s="50"/>
      <c r="FJ68" s="50"/>
      <c r="FK68" s="50"/>
      <c r="FL68" s="50"/>
      <c r="FM68" s="164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</row>
    <row r="69" spans="1:274" s="24" customFormat="1" x14ac:dyDescent="0.2">
      <c r="A69" s="342"/>
      <c r="B69" s="972"/>
      <c r="C69" s="832" t="str">
        <f>C7</f>
        <v>Full Year History Only</v>
      </c>
      <c r="D69" s="832"/>
      <c r="E69" s="832"/>
      <c r="F69" s="832"/>
      <c r="G69" s="832"/>
      <c r="H69" s="832"/>
      <c r="I69" s="832"/>
      <c r="J69" s="832"/>
      <c r="K69" s="832"/>
      <c r="L69" s="832"/>
      <c r="M69" s="832"/>
      <c r="N69" s="353"/>
      <c r="O69" s="832" t="str">
        <f>O7</f>
        <v>F1995</v>
      </c>
      <c r="P69" s="832"/>
      <c r="Q69" s="832"/>
      <c r="R69" s="832"/>
      <c r="S69" s="832"/>
      <c r="T69" s="342"/>
      <c r="U69" s="832" t="str">
        <f>U7</f>
        <v>F1996</v>
      </c>
      <c r="V69" s="832"/>
      <c r="W69" s="832"/>
      <c r="X69" s="832"/>
      <c r="Y69" s="832"/>
      <c r="Z69" s="833"/>
      <c r="AA69" s="832" t="str">
        <f>AA7</f>
        <v>F1997</v>
      </c>
      <c r="AB69" s="832"/>
      <c r="AC69" s="832"/>
      <c r="AD69" s="832"/>
      <c r="AE69" s="832"/>
      <c r="AF69" s="833"/>
      <c r="AG69" s="832" t="str">
        <f>AG7</f>
        <v>F1998</v>
      </c>
      <c r="AH69" s="832"/>
      <c r="AI69" s="832"/>
      <c r="AJ69" s="832"/>
      <c r="AK69" s="832"/>
      <c r="AL69" s="832"/>
      <c r="AM69" s="832" t="str">
        <f>AM7</f>
        <v>F1999</v>
      </c>
      <c r="AN69" s="832"/>
      <c r="AO69" s="832"/>
      <c r="AP69" s="832"/>
      <c r="AQ69" s="832"/>
      <c r="AR69" s="833"/>
      <c r="AS69" s="832" t="str">
        <f>AS7</f>
        <v>F2000</v>
      </c>
      <c r="AT69" s="832"/>
      <c r="AU69" s="832"/>
      <c r="AV69" s="832"/>
      <c r="AW69" s="832"/>
      <c r="AX69" s="833"/>
      <c r="AY69" s="832" t="str">
        <f>AY7</f>
        <v>F2001</v>
      </c>
      <c r="AZ69" s="832"/>
      <c r="BA69" s="832"/>
      <c r="BB69" s="832"/>
      <c r="BC69" s="832"/>
      <c r="BD69" s="833"/>
      <c r="BE69" s="832" t="str">
        <f>BE7</f>
        <v>F2002</v>
      </c>
      <c r="BF69" s="832"/>
      <c r="BG69" s="832"/>
      <c r="BH69" s="832"/>
      <c r="BI69" s="832"/>
      <c r="BJ69" s="833"/>
      <c r="BK69" s="832" t="str">
        <f>BK7</f>
        <v>F2003</v>
      </c>
      <c r="BL69" s="832"/>
      <c r="BM69" s="832"/>
      <c r="BN69" s="832"/>
      <c r="BO69" s="832"/>
      <c r="BP69" s="833"/>
      <c r="BQ69" s="832" t="str">
        <f>BQ7</f>
        <v>F2004</v>
      </c>
      <c r="BR69" s="832"/>
      <c r="BS69" s="832"/>
      <c r="BT69" s="832"/>
      <c r="BU69" s="832"/>
      <c r="BV69" s="833"/>
      <c r="BW69" s="832" t="str">
        <f>BW7</f>
        <v>F2005</v>
      </c>
      <c r="BX69" s="832"/>
      <c r="BY69" s="832"/>
      <c r="BZ69" s="832"/>
      <c r="CA69" s="832"/>
      <c r="CB69" s="833"/>
      <c r="CC69" s="832" t="str">
        <f>CC7</f>
        <v>F2006</v>
      </c>
      <c r="CD69" s="832"/>
      <c r="CE69" s="832"/>
      <c r="CF69" s="832"/>
      <c r="CG69" s="834"/>
      <c r="CH69" s="833"/>
      <c r="CI69" s="832" t="str">
        <f>CI7</f>
        <v>F2007</v>
      </c>
      <c r="CJ69" s="832"/>
      <c r="CK69" s="832"/>
      <c r="CL69" s="832"/>
      <c r="CM69" s="834"/>
      <c r="CN69" s="833"/>
      <c r="CO69" s="832" t="str">
        <f>CO7</f>
        <v>F2008</v>
      </c>
      <c r="CP69" s="832"/>
      <c r="CQ69" s="832"/>
      <c r="CR69" s="835"/>
      <c r="CS69" s="834"/>
      <c r="CT69" s="833"/>
      <c r="CU69" s="832" t="str">
        <f>CU7</f>
        <v>F2009</v>
      </c>
      <c r="CV69" s="832"/>
      <c r="CW69" s="832"/>
      <c r="CX69" s="832"/>
      <c r="CY69" s="834"/>
      <c r="CZ69" s="833"/>
      <c r="DA69" s="832" t="str">
        <f>DA7</f>
        <v>F2010</v>
      </c>
      <c r="DB69" s="832"/>
      <c r="DC69" s="832"/>
      <c r="DD69" s="832"/>
      <c r="DE69" s="834"/>
      <c r="DF69" s="833"/>
      <c r="DG69" s="832" t="str">
        <f>DG7</f>
        <v>F2011</v>
      </c>
      <c r="DH69" s="832"/>
      <c r="DI69" s="832"/>
      <c r="DJ69" s="832"/>
      <c r="DK69" s="834"/>
      <c r="DL69" s="833"/>
      <c r="DM69" s="832" t="str">
        <f>DM7</f>
        <v>F2012</v>
      </c>
      <c r="DN69" s="832"/>
      <c r="DO69" s="832"/>
      <c r="DP69" s="832"/>
      <c r="DQ69" s="834"/>
      <c r="DR69" s="833"/>
      <c r="DS69" s="832" t="str">
        <f>DS7</f>
        <v>F2013</v>
      </c>
      <c r="DT69" s="832"/>
      <c r="DU69" s="832"/>
      <c r="DV69" s="832"/>
      <c r="DW69" s="834"/>
      <c r="DX69" s="833"/>
      <c r="DY69" s="832" t="str">
        <f>DY7</f>
        <v>F2014</v>
      </c>
      <c r="DZ69" s="832"/>
      <c r="EA69" s="832"/>
      <c r="EB69" s="832"/>
      <c r="EC69" s="834"/>
      <c r="ED69" s="833"/>
      <c r="EE69" s="832" t="str">
        <f>EE7</f>
        <v>F2015</v>
      </c>
      <c r="EF69" s="832"/>
      <c r="EG69" s="832"/>
      <c r="EH69" s="832"/>
      <c r="EI69" s="834"/>
      <c r="EJ69" s="833"/>
      <c r="EK69" s="832" t="str">
        <f>EK7</f>
        <v>F2016</v>
      </c>
      <c r="EL69" s="832"/>
      <c r="EM69" s="832"/>
      <c r="EN69" s="832"/>
      <c r="EO69" s="834"/>
      <c r="EP69" s="833"/>
      <c r="EQ69" s="832" t="str">
        <f>EQ7</f>
        <v>F2017</v>
      </c>
      <c r="ER69" s="832"/>
      <c r="ES69" s="832"/>
      <c r="ET69" s="832"/>
      <c r="EU69" s="834"/>
      <c r="EV69" s="833"/>
      <c r="EW69" s="832" t="str">
        <f>EW7</f>
        <v>F2018E</v>
      </c>
      <c r="EX69" s="832"/>
      <c r="EY69" s="832"/>
      <c r="EZ69" s="832"/>
      <c r="FA69" s="834"/>
      <c r="FB69" s="833"/>
      <c r="FC69" s="832" t="str">
        <f>FC7</f>
        <v>F2019E</v>
      </c>
      <c r="FD69" s="832"/>
      <c r="FE69" s="832"/>
      <c r="FF69" s="832"/>
      <c r="FG69" s="834"/>
      <c r="FH69" s="833"/>
      <c r="FI69" s="832">
        <f>FI7</f>
        <v>0</v>
      </c>
      <c r="FJ69" s="832"/>
      <c r="FK69" s="832"/>
      <c r="FL69" s="832"/>
      <c r="FM69" s="834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</row>
    <row r="70" spans="1:274" s="24" customFormat="1" x14ac:dyDescent="0.2">
      <c r="A70" s="406"/>
      <c r="B70" s="972"/>
      <c r="C70" s="836" t="str">
        <f>C8</f>
        <v>FY84</v>
      </c>
      <c r="D70" s="836" t="str">
        <f t="shared" ref="D70:S70" si="170">D8</f>
        <v>FY85</v>
      </c>
      <c r="E70" s="836" t="str">
        <f t="shared" si="170"/>
        <v>FY86</v>
      </c>
      <c r="F70" s="836" t="str">
        <f t="shared" si="170"/>
        <v>FY87</v>
      </c>
      <c r="G70" s="836" t="str">
        <f t="shared" si="170"/>
        <v>FY88</v>
      </c>
      <c r="H70" s="836" t="str">
        <f t="shared" si="170"/>
        <v>FY89</v>
      </c>
      <c r="I70" s="836" t="str">
        <f t="shared" si="170"/>
        <v>FY90</v>
      </c>
      <c r="J70" s="836" t="str">
        <f t="shared" si="170"/>
        <v>FY91</v>
      </c>
      <c r="K70" s="836" t="str">
        <f t="shared" si="170"/>
        <v>FY92</v>
      </c>
      <c r="L70" s="836" t="str">
        <f t="shared" si="170"/>
        <v>FY93</v>
      </c>
      <c r="M70" s="836" t="str">
        <f t="shared" si="170"/>
        <v>FY94</v>
      </c>
      <c r="N70" s="836"/>
      <c r="O70" s="836" t="str">
        <f t="shared" si="170"/>
        <v xml:space="preserve"> 8/94</v>
      </c>
      <c r="P70" s="836" t="str">
        <f t="shared" si="170"/>
        <v xml:space="preserve"> 11/94</v>
      </c>
      <c r="Q70" s="836" t="str">
        <f t="shared" si="170"/>
        <v xml:space="preserve"> 2/95</v>
      </c>
      <c r="R70" s="836" t="str">
        <f t="shared" si="170"/>
        <v>5/95</v>
      </c>
      <c r="S70" s="836" t="str">
        <f t="shared" si="170"/>
        <v>FY95</v>
      </c>
      <c r="T70" s="836"/>
      <c r="U70" s="836" t="str">
        <f>U8</f>
        <v xml:space="preserve"> 8/95</v>
      </c>
      <c r="V70" s="836" t="str">
        <f>V8</f>
        <v xml:space="preserve"> 11/95</v>
      </c>
      <c r="W70" s="836" t="str">
        <f>W8</f>
        <v xml:space="preserve"> 2/96</v>
      </c>
      <c r="X70" s="836" t="str">
        <f>X8</f>
        <v>5/96</v>
      </c>
      <c r="Y70" s="836" t="str">
        <f>Y8</f>
        <v>FY96</v>
      </c>
      <c r="Z70" s="836"/>
      <c r="AA70" s="836" t="str">
        <f>AA8</f>
        <v xml:space="preserve"> 8/96</v>
      </c>
      <c r="AB70" s="836" t="str">
        <f>AB8</f>
        <v xml:space="preserve"> 11/96</v>
      </c>
      <c r="AC70" s="836" t="str">
        <f>AC8</f>
        <v xml:space="preserve"> 2/97</v>
      </c>
      <c r="AD70" s="836" t="str">
        <f>AD8</f>
        <v>5/97</v>
      </c>
      <c r="AE70" s="836" t="str">
        <f>AE8</f>
        <v>FY97</v>
      </c>
      <c r="AF70" s="836"/>
      <c r="AG70" s="836" t="str">
        <f>AG8</f>
        <v xml:space="preserve"> 8/97</v>
      </c>
      <c r="AH70" s="836" t="str">
        <f>AH8</f>
        <v xml:space="preserve"> 11/97</v>
      </c>
      <c r="AI70" s="836" t="str">
        <f>AI8</f>
        <v xml:space="preserve"> 2/98</v>
      </c>
      <c r="AJ70" s="836" t="str">
        <f>AJ8</f>
        <v>5/98</v>
      </c>
      <c r="AK70" s="836" t="str">
        <f>AK8</f>
        <v>FY98</v>
      </c>
      <c r="AL70" s="836"/>
      <c r="AM70" s="836" t="str">
        <f>AM8</f>
        <v xml:space="preserve"> 8/98</v>
      </c>
      <c r="AN70" s="836" t="str">
        <f>AN8</f>
        <v xml:space="preserve"> 11/98</v>
      </c>
      <c r="AO70" s="836" t="str">
        <f>AO8</f>
        <v xml:space="preserve"> 2/99</v>
      </c>
      <c r="AP70" s="836" t="str">
        <f>AP8</f>
        <v>5/99</v>
      </c>
      <c r="AQ70" s="836" t="str">
        <f>AQ8</f>
        <v>FY99</v>
      </c>
      <c r="AR70" s="836"/>
      <c r="AS70" s="836" t="str">
        <f>AS8</f>
        <v xml:space="preserve"> 8/99</v>
      </c>
      <c r="AT70" s="836" t="str">
        <f>AT8</f>
        <v xml:space="preserve"> 11/99</v>
      </c>
      <c r="AU70" s="836" t="str">
        <f>AU8</f>
        <v xml:space="preserve"> 2/00</v>
      </c>
      <c r="AV70" s="836" t="str">
        <f>AV8</f>
        <v>5/00</v>
      </c>
      <c r="AW70" s="836" t="str">
        <f>AW8</f>
        <v>FY00</v>
      </c>
      <c r="AX70" s="836"/>
      <c r="AY70" s="836" t="str">
        <f>AY8</f>
        <v xml:space="preserve"> 8/00</v>
      </c>
      <c r="AZ70" s="836" t="str">
        <f>AZ8</f>
        <v xml:space="preserve"> 11/00</v>
      </c>
      <c r="BA70" s="836" t="str">
        <f>BA8</f>
        <v xml:space="preserve"> 2/01</v>
      </c>
      <c r="BB70" s="836" t="str">
        <f>BB8</f>
        <v>5/01</v>
      </c>
      <c r="BC70" s="836" t="str">
        <f>BC8</f>
        <v>FY01</v>
      </c>
      <c r="BD70" s="836"/>
      <c r="BE70" s="836" t="str">
        <f>BE8</f>
        <v xml:space="preserve"> 8/01</v>
      </c>
      <c r="BF70" s="836" t="str">
        <f>BF8</f>
        <v xml:space="preserve"> 11/01</v>
      </c>
      <c r="BG70" s="836" t="str">
        <f>BG8</f>
        <v xml:space="preserve"> 2/02</v>
      </c>
      <c r="BH70" s="836" t="str">
        <f>BH8</f>
        <v>5/02</v>
      </c>
      <c r="BI70" s="836" t="str">
        <f>BI8</f>
        <v>FY02</v>
      </c>
      <c r="BJ70" s="836"/>
      <c r="BK70" s="836" t="str">
        <f>BK8</f>
        <v xml:space="preserve"> 8/02</v>
      </c>
      <c r="BL70" s="836" t="str">
        <f>BL8</f>
        <v xml:space="preserve"> 11/02</v>
      </c>
      <c r="BM70" s="836" t="str">
        <f>BM8</f>
        <v xml:space="preserve"> 2/03</v>
      </c>
      <c r="BN70" s="836" t="str">
        <f>BN8</f>
        <v>5/03</v>
      </c>
      <c r="BO70" s="836" t="str">
        <f>BO8</f>
        <v>FY03</v>
      </c>
      <c r="BP70" s="836"/>
      <c r="BQ70" s="836" t="str">
        <f>BQ8</f>
        <v xml:space="preserve"> 8/03</v>
      </c>
      <c r="BR70" s="836" t="str">
        <f>BR8</f>
        <v xml:space="preserve"> 11/03</v>
      </c>
      <c r="BS70" s="836" t="str">
        <f>BS8</f>
        <v xml:space="preserve"> 2/04</v>
      </c>
      <c r="BT70" s="836" t="str">
        <f>BT8</f>
        <v>5/04</v>
      </c>
      <c r="BU70" s="836" t="str">
        <f>BU8</f>
        <v>FY04</v>
      </c>
      <c r="BV70" s="836"/>
      <c r="BW70" s="836" t="str">
        <f>BW8</f>
        <v xml:space="preserve"> 8/04</v>
      </c>
      <c r="BX70" s="836" t="str">
        <f>BX8</f>
        <v xml:space="preserve"> 11/04</v>
      </c>
      <c r="BY70" s="836" t="str">
        <f>BY8</f>
        <v xml:space="preserve"> 2/05</v>
      </c>
      <c r="BZ70" s="836" t="str">
        <f>BZ8</f>
        <v>5/05</v>
      </c>
      <c r="CA70" s="836" t="str">
        <f>CA8</f>
        <v>FY05</v>
      </c>
      <c r="CB70" s="836"/>
      <c r="CC70" s="836" t="str">
        <f>CC8</f>
        <v xml:space="preserve"> 8/05</v>
      </c>
      <c r="CD70" s="836" t="str">
        <f>CD8</f>
        <v xml:space="preserve"> 11/05</v>
      </c>
      <c r="CE70" s="836" t="str">
        <f>CE8</f>
        <v xml:space="preserve"> 2/06</v>
      </c>
      <c r="CF70" s="836" t="str">
        <f>CF8</f>
        <v>5/06</v>
      </c>
      <c r="CG70" s="837" t="str">
        <f>CG8</f>
        <v>FY06</v>
      </c>
      <c r="CH70" s="836"/>
      <c r="CI70" s="836" t="str">
        <f>CI8</f>
        <v xml:space="preserve"> 8/06</v>
      </c>
      <c r="CJ70" s="836" t="str">
        <f>CJ8</f>
        <v xml:space="preserve"> 11/06</v>
      </c>
      <c r="CK70" s="836" t="str">
        <f>CK8</f>
        <v xml:space="preserve"> 2/07</v>
      </c>
      <c r="CL70" s="836" t="str">
        <f>CL8</f>
        <v>5/07</v>
      </c>
      <c r="CM70" s="837" t="str">
        <f>CM8</f>
        <v>FY07</v>
      </c>
      <c r="CN70" s="836"/>
      <c r="CO70" s="836" t="str">
        <f>CO8</f>
        <v xml:space="preserve"> 8/07</v>
      </c>
      <c r="CP70" s="836" t="str">
        <f>CP8</f>
        <v xml:space="preserve"> 11/07</v>
      </c>
      <c r="CQ70" s="836" t="str">
        <f>CQ8</f>
        <v xml:space="preserve"> 2/08</v>
      </c>
      <c r="CR70" s="836" t="str">
        <f>CR8</f>
        <v>5/08</v>
      </c>
      <c r="CS70" s="837" t="str">
        <f>CS8</f>
        <v>FY08</v>
      </c>
      <c r="CT70" s="836"/>
      <c r="CU70" s="836" t="str">
        <f>CU8</f>
        <v xml:space="preserve"> 8/08</v>
      </c>
      <c r="CV70" s="836" t="str">
        <f>CV8</f>
        <v xml:space="preserve"> 11/08</v>
      </c>
      <c r="CW70" s="836" t="str">
        <f>CW8</f>
        <v xml:space="preserve"> 2/09</v>
      </c>
      <c r="CX70" s="836" t="str">
        <f>CX8</f>
        <v>5/09</v>
      </c>
      <c r="CY70" s="837" t="str">
        <f>CY8</f>
        <v>FY09</v>
      </c>
      <c r="CZ70" s="836"/>
      <c r="DA70" s="836" t="str">
        <f>DA8</f>
        <v>8/09</v>
      </c>
      <c r="DB70" s="836" t="str">
        <f>DB8</f>
        <v>11/09</v>
      </c>
      <c r="DC70" s="836" t="str">
        <f>DC8</f>
        <v>2/10</v>
      </c>
      <c r="DD70" s="836" t="str">
        <f>DD8</f>
        <v>5/10</v>
      </c>
      <c r="DE70" s="837" t="str">
        <f>DE8</f>
        <v>FY10</v>
      </c>
      <c r="DF70" s="836"/>
      <c r="DG70" s="836" t="str">
        <f>DG8</f>
        <v>8/10</v>
      </c>
      <c r="DH70" s="836" t="str">
        <f>DH8</f>
        <v>11/10</v>
      </c>
      <c r="DI70" s="836" t="str">
        <f>DI8</f>
        <v>2/11</v>
      </c>
      <c r="DJ70" s="836" t="str">
        <f>DJ8</f>
        <v>5/11</v>
      </c>
      <c r="DK70" s="837" t="str">
        <f>DK8</f>
        <v>FY11</v>
      </c>
      <c r="DL70" s="836"/>
      <c r="DM70" s="836" t="str">
        <f>DM8</f>
        <v>8/11</v>
      </c>
      <c r="DN70" s="836" t="str">
        <f>DN8</f>
        <v>11/11</v>
      </c>
      <c r="DO70" s="836" t="str">
        <f>DO8</f>
        <v xml:space="preserve"> 2/12</v>
      </c>
      <c r="DP70" s="836" t="str">
        <f>DP8</f>
        <v>5/12</v>
      </c>
      <c r="DQ70" s="837" t="str">
        <f>DQ8</f>
        <v>FY12</v>
      </c>
      <c r="DR70" s="836"/>
      <c r="DS70" s="836" t="str">
        <f>DS8</f>
        <v>8/12</v>
      </c>
      <c r="DT70" s="836" t="str">
        <f>DT8</f>
        <v>11/12</v>
      </c>
      <c r="DU70" s="836" t="str">
        <f>DU8</f>
        <v xml:space="preserve"> 2/13</v>
      </c>
      <c r="DV70" s="836" t="str">
        <f>DV8</f>
        <v>5/13</v>
      </c>
      <c r="DW70" s="837" t="str">
        <f>DW8</f>
        <v>FY13</v>
      </c>
      <c r="DX70" s="836"/>
      <c r="DY70" s="836" t="str">
        <f>DY8</f>
        <v>8/13</v>
      </c>
      <c r="DZ70" s="836" t="str">
        <f>DZ8</f>
        <v>11/13</v>
      </c>
      <c r="EA70" s="836" t="str">
        <f>EA8</f>
        <v>2/14</v>
      </c>
      <c r="EB70" s="836" t="str">
        <f>EB8</f>
        <v>5/14</v>
      </c>
      <c r="EC70" s="837" t="str">
        <f>EC8</f>
        <v>FY14</v>
      </c>
      <c r="ED70" s="836"/>
      <c r="EE70" s="836" t="str">
        <f>EE8</f>
        <v>8/14</v>
      </c>
      <c r="EF70" s="836" t="str">
        <f>EF8</f>
        <v>11/14</v>
      </c>
      <c r="EG70" s="836" t="str">
        <f>EG8</f>
        <v>2/15</v>
      </c>
      <c r="EH70" s="836" t="str">
        <f>EH8</f>
        <v>5/15</v>
      </c>
      <c r="EI70" s="837" t="str">
        <f>EI8</f>
        <v>FY15</v>
      </c>
      <c r="EJ70" s="836"/>
      <c r="EK70" s="836" t="str">
        <f>EK8</f>
        <v xml:space="preserve"> 8/15</v>
      </c>
      <c r="EL70" s="836" t="str">
        <f>EL8</f>
        <v xml:space="preserve"> 11/15</v>
      </c>
      <c r="EM70" s="836" t="str">
        <f>EM8</f>
        <v>2/16</v>
      </c>
      <c r="EN70" s="836" t="str">
        <f>EN8</f>
        <v>5/16</v>
      </c>
      <c r="EO70" s="837" t="str">
        <f>EO8</f>
        <v>FY16</v>
      </c>
      <c r="EP70" s="836"/>
      <c r="EQ70" s="836" t="str">
        <f>EQ8</f>
        <v xml:space="preserve"> 8/16</v>
      </c>
      <c r="ER70" s="836" t="str">
        <f>ER8</f>
        <v xml:space="preserve"> 11/16</v>
      </c>
      <c r="ES70" s="836" t="str">
        <f>ES8</f>
        <v xml:space="preserve"> 2/17</v>
      </c>
      <c r="ET70" s="836" t="str">
        <f>ET8</f>
        <v>5/17</v>
      </c>
      <c r="EU70" s="837" t="str">
        <f>EU8</f>
        <v>FY17</v>
      </c>
      <c r="EV70" s="836"/>
      <c r="EW70" s="836" t="str">
        <f>EW8</f>
        <v xml:space="preserve"> 8/17</v>
      </c>
      <c r="EX70" s="836" t="str">
        <f>EX8</f>
        <v xml:space="preserve"> 11/17</v>
      </c>
      <c r="EY70" s="836" t="str">
        <f>EY8</f>
        <v xml:space="preserve"> 2/18</v>
      </c>
      <c r="EZ70" s="836" t="str">
        <f>EZ8</f>
        <v>5/18E</v>
      </c>
      <c r="FA70" s="837" t="str">
        <f>FA8</f>
        <v>FY18E</v>
      </c>
      <c r="FB70" s="836"/>
      <c r="FC70" s="836" t="str">
        <f>FC8</f>
        <v xml:space="preserve"> 8/18E</v>
      </c>
      <c r="FD70" s="836" t="str">
        <f>FD8</f>
        <v xml:space="preserve"> 11/18E</v>
      </c>
      <c r="FE70" s="836" t="str">
        <f>FE8</f>
        <v xml:space="preserve"> 2/19E</v>
      </c>
      <c r="FF70" s="836" t="str">
        <f>FF8</f>
        <v>5/19E</v>
      </c>
      <c r="FG70" s="837" t="str">
        <f>FG8</f>
        <v>FY19E</v>
      </c>
      <c r="FH70" s="836"/>
      <c r="FI70" s="836" t="str">
        <f>FI8</f>
        <v xml:space="preserve"> 8/19E</v>
      </c>
      <c r="FJ70" s="836" t="str">
        <f>FJ8</f>
        <v xml:space="preserve"> 11/19E</v>
      </c>
      <c r="FK70" s="836" t="str">
        <f>FK8</f>
        <v xml:space="preserve"> 2/20E</v>
      </c>
      <c r="FL70" s="836" t="str">
        <f>FL8</f>
        <v>5/20E</v>
      </c>
      <c r="FM70" s="837" t="str">
        <f>FM8</f>
        <v>FY20E</v>
      </c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</row>
    <row r="71" spans="1:274" s="24" customFormat="1" x14ac:dyDescent="0.2">
      <c r="A71" s="1221" t="s">
        <v>585</v>
      </c>
      <c r="B71" s="1375"/>
      <c r="C71" s="1474"/>
      <c r="D71" s="1221"/>
      <c r="E71" s="1221"/>
      <c r="F71" s="1221"/>
      <c r="G71" s="1221"/>
      <c r="H71" s="1221"/>
      <c r="I71" s="1221"/>
      <c r="J71" s="1221"/>
      <c r="K71" s="1221"/>
      <c r="L71" s="1221"/>
      <c r="M71" s="1221"/>
      <c r="N71" s="1221"/>
      <c r="O71" s="1221"/>
      <c r="P71" s="1221"/>
      <c r="Q71" s="1221"/>
      <c r="R71" s="1221"/>
      <c r="S71" s="1221"/>
      <c r="T71" s="1221"/>
      <c r="U71" s="1221"/>
      <c r="V71" s="1221"/>
      <c r="W71" s="1221"/>
      <c r="X71" s="1221"/>
      <c r="Y71" s="1221"/>
      <c r="Z71" s="1221"/>
      <c r="AA71" s="1221"/>
      <c r="AB71" s="1221"/>
      <c r="AC71" s="1221"/>
      <c r="AD71" s="1221"/>
      <c r="AE71" s="1221"/>
      <c r="AF71" s="1221"/>
      <c r="AG71" s="1221"/>
      <c r="AH71" s="1221"/>
      <c r="AI71" s="1221"/>
      <c r="AJ71" s="1221"/>
      <c r="AK71" s="1221"/>
      <c r="AL71" s="1221"/>
      <c r="AM71" s="1221"/>
      <c r="AN71" s="1221"/>
      <c r="AO71" s="1221"/>
      <c r="AP71" s="1221"/>
      <c r="AQ71" s="1221"/>
      <c r="AR71" s="1221"/>
      <c r="AS71" s="1221"/>
      <c r="AT71" s="1221"/>
      <c r="AU71" s="1221"/>
      <c r="AV71" s="1221"/>
      <c r="AW71" s="1221"/>
      <c r="AX71" s="1221"/>
      <c r="AY71" s="1221"/>
      <c r="AZ71" s="1221"/>
      <c r="BA71" s="1221"/>
      <c r="BB71" s="1221"/>
      <c r="BC71" s="1221"/>
      <c r="BD71" s="1221"/>
      <c r="BE71" s="1221"/>
      <c r="BF71" s="1221"/>
      <c r="BG71" s="1221"/>
      <c r="BH71" s="1221"/>
      <c r="BI71" s="1221"/>
      <c r="BJ71" s="1221"/>
      <c r="BK71" s="1221"/>
      <c r="BL71" s="1221"/>
      <c r="BM71" s="1221"/>
      <c r="BN71" s="1221"/>
      <c r="BO71" s="1221"/>
      <c r="BP71" s="1221"/>
      <c r="BQ71" s="1221"/>
      <c r="BR71" s="1221"/>
      <c r="BS71" s="1221"/>
      <c r="BT71" s="1221"/>
      <c r="BU71" s="1221"/>
      <c r="BV71" s="1221"/>
      <c r="BW71" s="1221"/>
      <c r="BX71" s="1221"/>
      <c r="BY71" s="1221"/>
      <c r="BZ71" s="1499"/>
      <c r="CA71" s="1221"/>
      <c r="CB71" s="1221"/>
      <c r="CC71" s="1221"/>
      <c r="CD71" s="1221"/>
      <c r="CE71" s="1221"/>
      <c r="CF71" s="1221"/>
      <c r="CG71" s="1374"/>
      <c r="CH71" s="1221"/>
      <c r="CI71" s="1221"/>
      <c r="CJ71" s="1221"/>
      <c r="CK71" s="1221"/>
      <c r="CL71" s="1221"/>
      <c r="CM71" s="1374"/>
      <c r="CN71" s="1221"/>
      <c r="CO71" s="1221"/>
      <c r="CP71" s="1221"/>
      <c r="CQ71" s="1221"/>
      <c r="CR71" s="1221"/>
      <c r="CS71" s="1374"/>
      <c r="CT71" s="1221"/>
      <c r="CU71" s="1221"/>
      <c r="CV71" s="1221"/>
      <c r="CW71" s="1221"/>
      <c r="CX71" s="1221"/>
      <c r="CY71" s="1374"/>
      <c r="CZ71" s="1221"/>
      <c r="DA71" s="1221"/>
      <c r="DB71" s="1221"/>
      <c r="DC71" s="1221"/>
      <c r="DD71" s="1221"/>
      <c r="DE71" s="1374"/>
      <c r="DF71" s="1221"/>
      <c r="DG71" s="1221"/>
      <c r="DH71" s="1221"/>
      <c r="DI71" s="1221"/>
      <c r="DJ71" s="1221"/>
      <c r="DK71" s="1374"/>
      <c r="DL71" s="1221"/>
      <c r="DM71" s="1221"/>
      <c r="DN71" s="1221"/>
      <c r="DO71" s="1221"/>
      <c r="DP71" s="1221"/>
      <c r="DQ71" s="1374"/>
      <c r="DR71" s="1221"/>
      <c r="DS71" s="1221"/>
      <c r="DT71" s="1221"/>
      <c r="DU71" s="1221"/>
      <c r="DV71" s="1221"/>
      <c r="DW71" s="1374"/>
      <c r="DX71" s="1221"/>
      <c r="DY71" s="1221"/>
      <c r="DZ71" s="1221"/>
      <c r="EA71" s="1221"/>
      <c r="EB71" s="1221"/>
      <c r="EC71" s="1374"/>
      <c r="ED71" s="1221"/>
      <c r="EE71" s="1221"/>
      <c r="EF71" s="1221"/>
      <c r="EG71" s="1221"/>
      <c r="EH71" s="1221"/>
      <c r="EI71" s="1374"/>
      <c r="EJ71" s="1221"/>
      <c r="EK71" s="1221"/>
      <c r="EL71" s="1221"/>
      <c r="EM71" s="1221"/>
      <c r="EN71" s="1221"/>
      <c r="EO71" s="1374"/>
      <c r="EP71" s="1221"/>
      <c r="EQ71" s="1221"/>
      <c r="ER71" s="1221"/>
      <c r="ES71" s="1221"/>
      <c r="ET71" s="1221"/>
      <c r="EU71" s="1374"/>
      <c r="EV71" s="1221"/>
      <c r="EW71" s="1221"/>
      <c r="EX71" s="1221"/>
      <c r="EY71" s="1221"/>
      <c r="EZ71" s="1221"/>
      <c r="FA71" s="1374"/>
      <c r="FB71" s="1221"/>
      <c r="FC71" s="1221"/>
      <c r="FD71" s="1221"/>
      <c r="FE71" s="1221"/>
      <c r="FF71" s="1221"/>
      <c r="FG71" s="1374"/>
      <c r="FH71" s="1221"/>
      <c r="FI71" s="1221"/>
      <c r="FJ71" s="1221"/>
      <c r="FK71" s="1221"/>
      <c r="FL71" s="1221"/>
      <c r="FM71" s="1374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</row>
    <row r="72" spans="1:274" s="24" customFormat="1" x14ac:dyDescent="0.2">
      <c r="A72" s="353" t="s">
        <v>700</v>
      </c>
      <c r="B72" s="359"/>
      <c r="C72" s="342"/>
      <c r="D72" s="342"/>
      <c r="E72" s="342"/>
      <c r="F72" s="342"/>
      <c r="G72" s="342"/>
      <c r="H72" s="342"/>
      <c r="I72" s="342"/>
      <c r="J72" s="342"/>
      <c r="K72" s="342"/>
      <c r="L72" s="342"/>
      <c r="M72" s="342"/>
      <c r="N72" s="342"/>
      <c r="O72" s="342"/>
      <c r="P72" s="342"/>
      <c r="Q72" s="342"/>
      <c r="R72" s="342"/>
      <c r="S72" s="342"/>
      <c r="T72" s="342"/>
      <c r="U72" s="342"/>
      <c r="V72" s="342"/>
      <c r="W72" s="342"/>
      <c r="X72" s="342"/>
      <c r="Y72" s="342"/>
      <c r="Z72" s="53"/>
      <c r="AA72" s="342">
        <v>151.929</v>
      </c>
      <c r="AB72" s="342">
        <v>181.30500000000001</v>
      </c>
      <c r="AC72" s="342">
        <v>199.57</v>
      </c>
      <c r="AD72" s="342">
        <v>421.55500000000001</v>
      </c>
      <c r="AE72" s="342">
        <f>SUM(AA72:AD72)</f>
        <v>954.35900000000015</v>
      </c>
      <c r="AF72" s="53"/>
      <c r="AG72" s="342">
        <v>152.47499999999999</v>
      </c>
      <c r="AH72" s="342">
        <v>207.76599999999999</v>
      </c>
      <c r="AI72" s="342">
        <v>267.16000000000003</v>
      </c>
      <c r="AJ72" s="342">
        <v>521.19200000000001</v>
      </c>
      <c r="AK72" s="342">
        <f>SUM(AG72:AJ72)</f>
        <v>1148.5930000000001</v>
      </c>
      <c r="AL72" s="53"/>
      <c r="AM72" s="342">
        <v>188.203</v>
      </c>
      <c r="AN72" s="342">
        <v>258.31099999999998</v>
      </c>
      <c r="AO72" s="342">
        <v>295.57299999999998</v>
      </c>
      <c r="AP72" s="342">
        <v>643.38599999999997</v>
      </c>
      <c r="AQ72" s="342">
        <f>SUM(AM72:AP72)</f>
        <v>1385.473</v>
      </c>
      <c r="AR72" s="53"/>
      <c r="AS72" s="342">
        <v>198.011</v>
      </c>
      <c r="AT72" s="342">
        <v>293.08300000000003</v>
      </c>
      <c r="AU72" s="342">
        <v>438.37900000000002</v>
      </c>
      <c r="AV72" s="342">
        <v>722.75900000000001</v>
      </c>
      <c r="AW72" s="342">
        <f>SUM(AS72:AV72)</f>
        <v>1652.232</v>
      </c>
      <c r="AX72" s="53"/>
      <c r="AY72" s="342"/>
      <c r="AZ72" s="342"/>
      <c r="BA72" s="342"/>
      <c r="BB72" s="342"/>
      <c r="BC72" s="342"/>
      <c r="BD72" s="53"/>
      <c r="BE72" s="342"/>
      <c r="BF72" s="342"/>
      <c r="BG72" s="342"/>
      <c r="BH72" s="342"/>
      <c r="BI72" s="342"/>
      <c r="BJ72" s="53"/>
      <c r="BK72" s="342"/>
      <c r="BL72" s="342"/>
      <c r="BM72" s="342"/>
      <c r="BN72" s="342"/>
      <c r="BO72" s="342"/>
      <c r="BP72" s="53"/>
      <c r="BQ72" s="342"/>
      <c r="BR72" s="342"/>
      <c r="BS72" s="342"/>
      <c r="BT72" s="342"/>
      <c r="BU72" s="342"/>
      <c r="BV72" s="53"/>
      <c r="BW72" s="342"/>
      <c r="BX72" s="342"/>
      <c r="BY72" s="342"/>
      <c r="BZ72" s="342"/>
      <c r="CA72" s="342"/>
      <c r="CB72" s="53"/>
      <c r="CC72" s="342"/>
      <c r="CD72" s="342"/>
      <c r="CE72" s="342"/>
      <c r="CF72" s="342"/>
      <c r="CG72" s="147"/>
      <c r="CH72" s="53"/>
      <c r="CI72" s="342"/>
      <c r="CJ72" s="342"/>
      <c r="CK72" s="342"/>
      <c r="CL72" s="342"/>
      <c r="CM72" s="147"/>
      <c r="CN72" s="53"/>
      <c r="CO72" s="342"/>
      <c r="CP72" s="342"/>
      <c r="CQ72" s="342"/>
      <c r="CR72" s="342"/>
      <c r="CS72" s="147"/>
      <c r="CT72" s="53"/>
      <c r="CU72" s="342"/>
      <c r="CV72" s="342"/>
      <c r="CW72" s="342"/>
      <c r="CX72" s="342"/>
      <c r="CY72" s="147"/>
      <c r="CZ72" s="53"/>
      <c r="DA72" s="342"/>
      <c r="DB72" s="342"/>
      <c r="DC72" s="342"/>
      <c r="DD72" s="342"/>
      <c r="DE72" s="147"/>
      <c r="DF72" s="53"/>
      <c r="DG72" s="342"/>
      <c r="DH72" s="342"/>
      <c r="DI72" s="342"/>
      <c r="DJ72" s="342"/>
      <c r="DK72" s="147"/>
      <c r="DL72" s="53"/>
      <c r="DM72" s="342"/>
      <c r="DN72" s="342"/>
      <c r="DO72" s="342"/>
      <c r="DP72" s="342"/>
      <c r="DQ72" s="147"/>
      <c r="DR72" s="53"/>
      <c r="DS72" s="342"/>
      <c r="DT72" s="342"/>
      <c r="DU72" s="342"/>
      <c r="DV72" s="342"/>
      <c r="DW72" s="147"/>
      <c r="DX72" s="53"/>
      <c r="DY72" s="342"/>
      <c r="DZ72" s="342"/>
      <c r="EA72" s="342"/>
      <c r="EB72" s="342"/>
      <c r="EC72" s="147"/>
      <c r="ED72" s="53"/>
      <c r="EE72" s="342"/>
      <c r="EF72" s="342"/>
      <c r="EG72" s="342"/>
      <c r="EH72" s="342"/>
      <c r="EI72" s="147"/>
      <c r="EJ72" s="53"/>
      <c r="EK72" s="342"/>
      <c r="EL72" s="342"/>
      <c r="EM72" s="342"/>
      <c r="EN72" s="342"/>
      <c r="EO72" s="147"/>
      <c r="EP72" s="53"/>
      <c r="EQ72" s="342"/>
      <c r="ER72" s="342"/>
      <c r="ES72" s="342"/>
      <c r="ET72" s="342"/>
      <c r="EU72" s="147"/>
      <c r="EV72" s="53"/>
      <c r="EW72" s="342"/>
      <c r="EX72" s="342"/>
      <c r="EY72" s="342"/>
      <c r="EZ72" s="342"/>
      <c r="FA72" s="147"/>
      <c r="FB72" s="53"/>
      <c r="FC72" s="342"/>
      <c r="FD72" s="342"/>
      <c r="FE72" s="342"/>
      <c r="FF72" s="342"/>
      <c r="FG72" s="147"/>
      <c r="FH72" s="53"/>
      <c r="FI72" s="342"/>
      <c r="FJ72" s="342"/>
      <c r="FK72" s="342"/>
      <c r="FL72" s="342"/>
      <c r="FM72" s="147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</row>
    <row r="73" spans="1:274" s="24" customFormat="1" x14ac:dyDescent="0.2">
      <c r="A73" s="58" t="s">
        <v>556</v>
      </c>
      <c r="B73" s="29"/>
      <c r="C73" s="50"/>
      <c r="D73" s="342"/>
      <c r="E73" s="342"/>
      <c r="F73" s="342"/>
      <c r="G73" s="342"/>
      <c r="H73" s="342"/>
      <c r="I73" s="342"/>
      <c r="J73" s="342"/>
      <c r="K73" s="342"/>
      <c r="L73" s="342"/>
      <c r="M73" s="342"/>
      <c r="N73" s="342"/>
      <c r="O73" s="342"/>
      <c r="P73" s="342"/>
      <c r="Q73" s="342"/>
      <c r="R73" s="342"/>
      <c r="S73" s="342"/>
      <c r="T73" s="342"/>
      <c r="U73" s="342"/>
      <c r="V73" s="342"/>
      <c r="W73" s="342"/>
      <c r="X73" s="342"/>
      <c r="Y73" s="342"/>
      <c r="Z73" s="53"/>
      <c r="AA73" s="342">
        <v>32.600999999999999</v>
      </c>
      <c r="AB73" s="342">
        <v>34.17</v>
      </c>
      <c r="AC73" s="342">
        <v>32.823</v>
      </c>
      <c r="AD73" s="342">
        <v>60.186</v>
      </c>
      <c r="AE73" s="342">
        <f>SUM(AA73:AD73)</f>
        <v>159.78</v>
      </c>
      <c r="AF73" s="53"/>
      <c r="AG73" s="342">
        <v>31.193999999999999</v>
      </c>
      <c r="AH73" s="342">
        <v>35.164999999999999</v>
      </c>
      <c r="AI73" s="342">
        <v>41.192</v>
      </c>
      <c r="AJ73" s="342">
        <v>75.876999999999995</v>
      </c>
      <c r="AK73" s="342">
        <f>SUM(AG73:AJ73)</f>
        <v>183.428</v>
      </c>
      <c r="AL73" s="53"/>
      <c r="AM73" s="342">
        <v>22.803000000000001</v>
      </c>
      <c r="AN73" s="342">
        <v>28.033999999999999</v>
      </c>
      <c r="AO73" s="342">
        <v>30.62</v>
      </c>
      <c r="AP73" s="342">
        <v>69.183999999999997</v>
      </c>
      <c r="AQ73" s="342"/>
      <c r="AR73" s="53"/>
      <c r="AS73" s="342">
        <v>24.649000000000001</v>
      </c>
      <c r="AT73" s="342">
        <v>27.364999999999998</v>
      </c>
      <c r="AU73" s="342">
        <v>35.340000000000003</v>
      </c>
      <c r="AV73" s="342"/>
      <c r="AW73" s="342">
        <f>SUM(AS73:AV73)</f>
        <v>87.353999999999999</v>
      </c>
      <c r="AX73" s="53"/>
      <c r="AY73" s="342"/>
      <c r="AZ73" s="342"/>
      <c r="BA73" s="342"/>
      <c r="BB73" s="342"/>
      <c r="BC73" s="342"/>
      <c r="BD73" s="53"/>
      <c r="BE73" s="342"/>
      <c r="BF73" s="342"/>
      <c r="BG73" s="342"/>
      <c r="BH73" s="342"/>
      <c r="BI73" s="342"/>
      <c r="BJ73" s="53"/>
      <c r="BK73" s="342"/>
      <c r="BL73" s="342"/>
      <c r="BM73" s="342"/>
      <c r="BN73" s="342"/>
      <c r="BO73" s="342"/>
      <c r="BP73" s="53"/>
      <c r="BQ73" s="342"/>
      <c r="BR73" s="342"/>
      <c r="BS73" s="34"/>
      <c r="BT73" s="342"/>
      <c r="BU73" s="342"/>
      <c r="BV73" s="53"/>
      <c r="BW73" s="342"/>
      <c r="BX73" s="342"/>
      <c r="BY73" s="342"/>
      <c r="BZ73" s="342"/>
      <c r="CA73" s="342"/>
      <c r="CB73" s="53"/>
      <c r="CC73" s="342"/>
      <c r="CD73" s="342"/>
      <c r="CE73" s="342"/>
      <c r="CF73" s="342"/>
      <c r="CG73" s="147"/>
      <c r="CH73" s="53"/>
      <c r="CI73" s="342"/>
      <c r="CJ73" s="342"/>
      <c r="CK73" s="342"/>
      <c r="CL73" s="342"/>
      <c r="CM73" s="147"/>
      <c r="CN73" s="53"/>
      <c r="CO73" s="342"/>
      <c r="CP73" s="342"/>
      <c r="CQ73" s="342"/>
      <c r="CR73" s="342"/>
      <c r="CS73" s="147"/>
      <c r="CT73" s="53"/>
      <c r="CU73" s="342"/>
      <c r="CV73" s="342"/>
      <c r="CW73" s="342"/>
      <c r="CX73" s="342"/>
      <c r="CY73" s="147"/>
      <c r="CZ73" s="53"/>
      <c r="DA73" s="342"/>
      <c r="DB73" s="342"/>
      <c r="DC73" s="342"/>
      <c r="DD73" s="342"/>
      <c r="DE73" s="147"/>
      <c r="DF73" s="53"/>
      <c r="DG73" s="342"/>
      <c r="DH73" s="342"/>
      <c r="DI73" s="342"/>
      <c r="DJ73" s="342"/>
      <c r="DK73" s="147"/>
      <c r="DL73" s="53"/>
      <c r="DM73" s="342"/>
      <c r="DN73" s="342"/>
      <c r="DO73" s="342"/>
      <c r="DP73" s="342"/>
      <c r="DQ73" s="147"/>
      <c r="DR73" s="53"/>
      <c r="DS73" s="342"/>
      <c r="DT73" s="342"/>
      <c r="DU73" s="342"/>
      <c r="DV73" s="342"/>
      <c r="DW73" s="147"/>
      <c r="DX73" s="53"/>
      <c r="DY73" s="342"/>
      <c r="DZ73" s="342"/>
      <c r="EA73" s="342"/>
      <c r="EB73" s="342"/>
      <c r="EC73" s="147"/>
      <c r="ED73" s="53"/>
      <c r="EE73" s="342"/>
      <c r="EF73" s="342"/>
      <c r="EG73" s="342"/>
      <c r="EH73" s="342"/>
      <c r="EI73" s="147"/>
      <c r="EJ73" s="53"/>
      <c r="EK73" s="342"/>
      <c r="EL73" s="342"/>
      <c r="EM73" s="342"/>
      <c r="EN73" s="342"/>
      <c r="EO73" s="147"/>
      <c r="EP73" s="53"/>
      <c r="EQ73" s="342"/>
      <c r="ER73" s="342"/>
      <c r="ES73" s="342"/>
      <c r="ET73" s="342"/>
      <c r="EU73" s="147"/>
      <c r="EV73" s="53"/>
      <c r="EW73" s="342"/>
      <c r="EX73" s="342"/>
      <c r="EY73" s="342"/>
      <c r="EZ73" s="342"/>
      <c r="FA73" s="147"/>
      <c r="FB73" s="53"/>
      <c r="FC73" s="342"/>
      <c r="FD73" s="342"/>
      <c r="FE73" s="342"/>
      <c r="FF73" s="342"/>
      <c r="FG73" s="147"/>
      <c r="FH73" s="53"/>
      <c r="FI73" s="342"/>
      <c r="FJ73" s="342"/>
      <c r="FK73" s="342"/>
      <c r="FL73" s="342"/>
      <c r="FM73" s="147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</row>
    <row r="74" spans="1:274" s="24" customFormat="1" hidden="1" outlineLevel="1" x14ac:dyDescent="0.2">
      <c r="A74" s="244" t="s">
        <v>109</v>
      </c>
      <c r="B74" s="603"/>
      <c r="C74" s="101" t="s">
        <v>945</v>
      </c>
      <c r="D74" s="101" t="s">
        <v>945</v>
      </c>
      <c r="E74" s="101" t="s">
        <v>945</v>
      </c>
      <c r="F74" s="101" t="s">
        <v>945</v>
      </c>
      <c r="G74" s="101" t="s">
        <v>945</v>
      </c>
      <c r="H74" s="101" t="s">
        <v>945</v>
      </c>
      <c r="I74" s="101" t="s">
        <v>945</v>
      </c>
      <c r="J74" s="101" t="s">
        <v>945</v>
      </c>
      <c r="K74" s="101" t="s">
        <v>945</v>
      </c>
      <c r="L74" s="101" t="s">
        <v>945</v>
      </c>
      <c r="M74" s="101" t="s">
        <v>945</v>
      </c>
      <c r="N74" s="244"/>
      <c r="O74" s="101" t="s">
        <v>945</v>
      </c>
      <c r="P74" s="101" t="s">
        <v>945</v>
      </c>
      <c r="Q74" s="101" t="s">
        <v>945</v>
      </c>
      <c r="R74" s="101" t="s">
        <v>945</v>
      </c>
      <c r="S74" s="101" t="s">
        <v>945</v>
      </c>
      <c r="T74" s="244"/>
      <c r="U74" s="101" t="s">
        <v>945</v>
      </c>
      <c r="V74" s="101" t="s">
        <v>945</v>
      </c>
      <c r="W74" s="101" t="s">
        <v>945</v>
      </c>
      <c r="X74" s="101" t="s">
        <v>945</v>
      </c>
      <c r="Y74" s="101" t="s">
        <v>945</v>
      </c>
      <c r="Z74" s="170"/>
      <c r="AA74" s="244">
        <f>151.929+32.601</f>
        <v>184.53</v>
      </c>
      <c r="AB74" s="244">
        <f>181.305+34.17</f>
        <v>215.47500000000002</v>
      </c>
      <c r="AC74" s="244">
        <f>199.57+32.823</f>
        <v>232.393</v>
      </c>
      <c r="AD74" s="244">
        <f>421.555+60.186</f>
        <v>481.74099999999999</v>
      </c>
      <c r="AE74" s="244">
        <f>SUM(AA74:AD74)</f>
        <v>1114.1390000000001</v>
      </c>
      <c r="AF74" s="170"/>
      <c r="AG74" s="244">
        <f>152.475+21.194</f>
        <v>173.66899999999998</v>
      </c>
      <c r="AH74" s="244">
        <f>207.766+35.165</f>
        <v>242.93099999999998</v>
      </c>
      <c r="AI74" s="244">
        <f>267.16+41.192</f>
        <v>308.35200000000003</v>
      </c>
      <c r="AJ74" s="244">
        <f>521.192+75.877</f>
        <v>597.06899999999996</v>
      </c>
      <c r="AK74" s="244">
        <f>SUM(AG74:AJ74)</f>
        <v>1322.021</v>
      </c>
      <c r="AL74" s="170"/>
      <c r="AM74" s="244">
        <f>188.23+22.802</f>
        <v>211.03199999999998</v>
      </c>
      <c r="AN74" s="244">
        <f>258.311+28.034</f>
        <v>286.34499999999997</v>
      </c>
      <c r="AO74" s="244">
        <f>295.572+30.62</f>
        <v>326.19200000000001</v>
      </c>
      <c r="AP74" s="244">
        <f>643.387+69.184</f>
        <v>712.57099999999991</v>
      </c>
      <c r="AQ74" s="244">
        <f>SUM(AM74:AP74)</f>
        <v>1536.1399999999999</v>
      </c>
      <c r="AR74" s="170"/>
      <c r="AS74" s="244">
        <f>198.011+24.649</f>
        <v>222.66</v>
      </c>
      <c r="AT74" s="244">
        <f>293.083+27.365</f>
        <v>320.44800000000004</v>
      </c>
      <c r="AU74" s="244">
        <f>438.379+35.34</f>
        <v>473.71900000000005</v>
      </c>
      <c r="AV74" s="244">
        <f>722.759+75.062</f>
        <v>797.82100000000003</v>
      </c>
      <c r="AW74" s="244">
        <f>SUM(AS74:AV74)</f>
        <v>1814.6480000000001</v>
      </c>
      <c r="AX74" s="170"/>
      <c r="AY74" s="244">
        <f>288.428+11.891</f>
        <v>300.31900000000002</v>
      </c>
      <c r="AZ74" s="244">
        <f>376.986+18.229</f>
        <v>395.21499999999997</v>
      </c>
      <c r="BA74" s="244">
        <f>390.414+11.309</f>
        <v>401.72300000000001</v>
      </c>
      <c r="BB74" s="244">
        <f>717.317+23.236</f>
        <v>740.553</v>
      </c>
      <c r="BC74" s="244">
        <f>SUM(AY74:BB74)</f>
        <v>1837.81</v>
      </c>
      <c r="BD74" s="170"/>
      <c r="BE74" s="244">
        <v>221.18799999999999</v>
      </c>
      <c r="BF74" s="244">
        <v>269.637</v>
      </c>
      <c r="BG74" s="244">
        <v>290.113</v>
      </c>
      <c r="BH74" s="244">
        <v>421.875</v>
      </c>
      <c r="BI74" s="244">
        <f>SUM(BE74:BH74)</f>
        <v>1202.8130000000001</v>
      </c>
      <c r="BJ74" s="170"/>
      <c r="BK74" s="244">
        <v>190.904</v>
      </c>
      <c r="BL74" s="244">
        <v>256.87200000000001</v>
      </c>
      <c r="BM74" s="244">
        <v>246.89699999999999</v>
      </c>
      <c r="BN74" s="244">
        <v>380.774</v>
      </c>
      <c r="BO74" s="244">
        <f>SUM(BK74:BN74)</f>
        <v>1075.4470000000001</v>
      </c>
      <c r="BP74" s="170"/>
      <c r="BQ74" s="244">
        <v>162</v>
      </c>
      <c r="BR74" s="244">
        <v>299</v>
      </c>
      <c r="BS74" s="244">
        <v>254</v>
      </c>
      <c r="BT74" s="101">
        <v>420</v>
      </c>
      <c r="BU74" s="244">
        <f>SUM(BQ74:BT74)</f>
        <v>1135</v>
      </c>
      <c r="BV74" s="170"/>
      <c r="BW74" s="101">
        <v>197</v>
      </c>
      <c r="BX74" s="101">
        <v>285</v>
      </c>
      <c r="BY74" s="101">
        <v>289</v>
      </c>
      <c r="BZ74" s="101">
        <v>542</v>
      </c>
      <c r="CA74" s="244">
        <f>SUM(BW74:BZ74)</f>
        <v>1313</v>
      </c>
      <c r="CB74" s="170"/>
      <c r="CC74" s="101">
        <v>194</v>
      </c>
      <c r="CD74" s="101">
        <v>327</v>
      </c>
      <c r="CE74" s="101">
        <v>334</v>
      </c>
      <c r="CF74" s="101">
        <v>662</v>
      </c>
      <c r="CG74" s="171">
        <f>SUM(CC74:CF74)</f>
        <v>1517</v>
      </c>
      <c r="CH74" s="170"/>
      <c r="CI74" s="101">
        <v>232</v>
      </c>
      <c r="CJ74" s="101">
        <v>333</v>
      </c>
      <c r="CK74" s="101">
        <v>383</v>
      </c>
      <c r="CL74" s="101">
        <v>795</v>
      </c>
      <c r="CM74" s="171">
        <f>SUM(CI74:CL74)</f>
        <v>1743</v>
      </c>
      <c r="CN74" s="170"/>
      <c r="CO74" s="101">
        <v>300</v>
      </c>
      <c r="CP74" s="101">
        <v>446</v>
      </c>
      <c r="CQ74" s="101">
        <v>484</v>
      </c>
      <c r="CR74" s="101">
        <v>928</v>
      </c>
      <c r="CS74" s="171">
        <f>SUM(CO74:CR74)</f>
        <v>2158</v>
      </c>
      <c r="CT74" s="170"/>
      <c r="CU74" s="101">
        <v>354</v>
      </c>
      <c r="CV74" s="101">
        <v>470.5</v>
      </c>
      <c r="CW74" s="101">
        <v>449</v>
      </c>
      <c r="CX74" s="101">
        <v>840</v>
      </c>
      <c r="CY74" s="171">
        <f>SUM(CU74:CX74)</f>
        <v>2113.5</v>
      </c>
      <c r="CZ74" s="170"/>
      <c r="DA74" s="101">
        <v>310</v>
      </c>
      <c r="DB74" s="101">
        <v>492</v>
      </c>
      <c r="DC74" s="101">
        <v>540</v>
      </c>
      <c r="DD74" s="101">
        <v>1123</v>
      </c>
      <c r="DE74" s="171">
        <f>SUM(DA74:DD74)</f>
        <v>2465</v>
      </c>
      <c r="DF74" s="170"/>
      <c r="DG74" s="101">
        <v>446</v>
      </c>
      <c r="DH74" s="101">
        <v>671</v>
      </c>
      <c r="DI74" s="101">
        <v>755</v>
      </c>
      <c r="DJ74" s="101">
        <v>1284</v>
      </c>
      <c r="DK74" s="171">
        <f>SUM(DG74:DJ74)</f>
        <v>3156</v>
      </c>
      <c r="DL74" s="170"/>
      <c r="DM74" s="101">
        <v>478</v>
      </c>
      <c r="DN74" s="101">
        <v>669</v>
      </c>
      <c r="DO74" s="101">
        <v>808</v>
      </c>
      <c r="DP74" s="101">
        <v>1337</v>
      </c>
      <c r="DQ74" s="171">
        <f>SUM(DM74:DP74)</f>
        <v>3292</v>
      </c>
      <c r="DR74" s="170"/>
      <c r="DS74" s="838">
        <f>DM74*(1+Model!DS40)</f>
        <v>492.34000000000003</v>
      </c>
      <c r="DT74" s="838">
        <f>DN74*(1+Model!DT40)</f>
        <v>742.59</v>
      </c>
      <c r="DU74" s="838">
        <f>DO74*(1+Model!DU40)</f>
        <v>848.40000000000009</v>
      </c>
      <c r="DV74" s="838">
        <f>DP74*(1+Model!DV40)</f>
        <v>1484.0700000000002</v>
      </c>
      <c r="DW74" s="171">
        <f>SUM(DS74:DV74)</f>
        <v>3567.4</v>
      </c>
      <c r="DX74" s="170"/>
      <c r="DY74" s="838">
        <f>DS74*(1+Model!DY40)</f>
        <v>546.49740000000008</v>
      </c>
      <c r="DZ74" s="838">
        <f>DT74*(1+Model!DZ40)</f>
        <v>753.72884999999997</v>
      </c>
      <c r="EA74" s="838">
        <f>DU74*(1+Model!EA40)</f>
        <v>907.78800000000012</v>
      </c>
      <c r="EB74" s="838">
        <f>DV74*(1+Model!EB40)</f>
        <v>1487.0381400000001</v>
      </c>
      <c r="EC74" s="171">
        <f>SUM(DY74:EB74)</f>
        <v>3695.0523900000003</v>
      </c>
      <c r="ED74" s="170"/>
      <c r="EE74" s="838">
        <f>DY74*(1+Model!EE40)</f>
        <v>541.0324260000001</v>
      </c>
      <c r="EF74" s="838">
        <f>DZ74*(1+Model!EF40)</f>
        <v>761.26613850000001</v>
      </c>
      <c r="EG74" s="838">
        <f>EA74*(1+Model!EG40)</f>
        <v>898.71012000000007</v>
      </c>
      <c r="EH74" s="838">
        <f>EB74*(1+Model!EH40)</f>
        <v>1457.2973772</v>
      </c>
      <c r="EI74" s="171">
        <f>SUM(EE74:EH74)</f>
        <v>3658.3060617000001</v>
      </c>
      <c r="EJ74" s="170"/>
      <c r="EK74" s="838">
        <f>EE74*(1+Model!EK40)</f>
        <v>532.9169396100001</v>
      </c>
      <c r="EL74" s="838">
        <f>EF74*(1+Model!EL40)</f>
        <v>749.84714642250003</v>
      </c>
      <c r="EM74" s="838">
        <f>EG74*(1+Model!EM40)</f>
        <v>885.22946820000004</v>
      </c>
      <c r="EN74" s="838">
        <f>EH74*(1+Model!EN40)</f>
        <v>1435.437916542</v>
      </c>
      <c r="EO74" s="171">
        <f>SUM(EK74:EN74)</f>
        <v>3603.4314707745002</v>
      </c>
      <c r="EP74" s="170"/>
      <c r="EQ74" s="838">
        <f>EK74*(1+Model!EQ40)</f>
        <v>524.92318551585004</v>
      </c>
      <c r="ER74" s="838">
        <f>EL74*(1+Model!ER40)</f>
        <v>764.84408935095007</v>
      </c>
      <c r="ES74" s="838">
        <f>EM74*(1+Model!ES40)</f>
        <v>907.36020490499993</v>
      </c>
      <c r="ET74" s="838">
        <f>EN74*(1+Model!ET40)</f>
        <v>1413.9063477938701</v>
      </c>
      <c r="EU74" s="171">
        <f>SUM(EQ74:ET74)</f>
        <v>3611.0338275656704</v>
      </c>
      <c r="EV74" s="170"/>
      <c r="EW74" s="838">
        <f>EQ74*(1+Model!EW40)</f>
        <v>517.04933773311222</v>
      </c>
      <c r="EX74" s="838">
        <f>ER74*(1+Model!EX40)</f>
        <v>810.73473471200714</v>
      </c>
      <c r="EY74" s="838">
        <f>ES74*(1+Model!EY40)</f>
        <v>979.94902129740001</v>
      </c>
      <c r="EZ74" s="838">
        <f>ET74*(1+Model!EZ40)</f>
        <v>1449.2540064887166</v>
      </c>
      <c r="FA74" s="171">
        <f>SUM(EW74:EZ74)</f>
        <v>3756.9871002312361</v>
      </c>
      <c r="FB74" s="170"/>
      <c r="FC74" s="838">
        <f>EW74*(1+Model!FC40)</f>
        <v>529.97557117643998</v>
      </c>
      <c r="FD74" s="838">
        <f>EX74*(1+Model!FD40)</f>
        <v>831.00310307980726</v>
      </c>
      <c r="FE74" s="838">
        <f>EY74*(1+Model!FE40)</f>
        <v>1004.447746829835</v>
      </c>
      <c r="FF74" s="838">
        <f>EZ74*(1+Model!FF40)</f>
        <v>1485.4853566509344</v>
      </c>
      <c r="FG74" s="171">
        <f>SUM(FC74:FF74)</f>
        <v>3850.9117777370166</v>
      </c>
      <c r="FH74" s="170"/>
      <c r="FI74" s="838">
        <f>FC74*(1+Model!FI40)</f>
        <v>543.22496045585092</v>
      </c>
      <c r="FJ74" s="838">
        <f>FD74*(1+Model!FJ40)</f>
        <v>851.77818065680242</v>
      </c>
      <c r="FK74" s="838">
        <f>FE74*(1+Model!FK40)</f>
        <v>1029.5589405005808</v>
      </c>
      <c r="FL74" s="838">
        <f>FF74*(1+Model!FL40)</f>
        <v>1522.6224905672075</v>
      </c>
      <c r="FM74" s="171">
        <f>SUM(FI74:FL74)</f>
        <v>3947.1845721804416</v>
      </c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</row>
    <row r="75" spans="1:274" s="24" customFormat="1" hidden="1" outlineLevel="1" x14ac:dyDescent="0.2">
      <c r="A75" s="244" t="s">
        <v>697</v>
      </c>
      <c r="B75" s="326"/>
      <c r="C75" s="101" t="s">
        <v>945</v>
      </c>
      <c r="D75" s="101" t="s">
        <v>945</v>
      </c>
      <c r="E75" s="101" t="s">
        <v>945</v>
      </c>
      <c r="F75" s="101" t="s">
        <v>945</v>
      </c>
      <c r="G75" s="101" t="s">
        <v>945</v>
      </c>
      <c r="H75" s="101" t="s">
        <v>945</v>
      </c>
      <c r="I75" s="101" t="s">
        <v>945</v>
      </c>
      <c r="J75" s="101" t="s">
        <v>945</v>
      </c>
      <c r="K75" s="101" t="s">
        <v>945</v>
      </c>
      <c r="L75" s="101" t="s">
        <v>945</v>
      </c>
      <c r="M75" s="101" t="s">
        <v>945</v>
      </c>
      <c r="N75" s="244"/>
      <c r="O75" s="101" t="s">
        <v>945</v>
      </c>
      <c r="P75" s="101" t="s">
        <v>945</v>
      </c>
      <c r="Q75" s="101" t="s">
        <v>945</v>
      </c>
      <c r="R75" s="101" t="s">
        <v>945</v>
      </c>
      <c r="S75" s="101" t="s">
        <v>945</v>
      </c>
      <c r="T75" s="244"/>
      <c r="U75" s="101" t="s">
        <v>945</v>
      </c>
      <c r="V75" s="101" t="s">
        <v>945</v>
      </c>
      <c r="W75" s="101" t="s">
        <v>945</v>
      </c>
      <c r="X75" s="101" t="s">
        <v>945</v>
      </c>
      <c r="Y75" s="101" t="s">
        <v>945</v>
      </c>
      <c r="Z75" s="170"/>
      <c r="AA75" s="244">
        <v>32.213999999999999</v>
      </c>
      <c r="AB75" s="244">
        <v>78.257999999999996</v>
      </c>
      <c r="AC75" s="244">
        <v>80.227999999999994</v>
      </c>
      <c r="AD75" s="244">
        <v>159.917</v>
      </c>
      <c r="AE75" s="244">
        <f>SUM(AA75:AD75)</f>
        <v>350.61699999999996</v>
      </c>
      <c r="AF75" s="170"/>
      <c r="AG75" s="244">
        <v>65.197000000000003</v>
      </c>
      <c r="AH75" s="244">
        <v>69.314999999999998</v>
      </c>
      <c r="AI75" s="244">
        <v>107.97499999999999</v>
      </c>
      <c r="AJ75" s="244">
        <v>160.905</v>
      </c>
      <c r="AK75" s="244">
        <f>SUM(AG75:AJ75)</f>
        <v>403.392</v>
      </c>
      <c r="AL75" s="170"/>
      <c r="AM75" s="244">
        <v>70.010000000000005</v>
      </c>
      <c r="AN75" s="244">
        <v>90.591999999999999</v>
      </c>
      <c r="AO75" s="244">
        <v>100.247</v>
      </c>
      <c r="AP75" s="244">
        <v>201.37899999999999</v>
      </c>
      <c r="AQ75" s="244">
        <f>SUM(AM75:AP75)</f>
        <v>462.22799999999995</v>
      </c>
      <c r="AR75" s="170"/>
      <c r="AS75" s="244">
        <v>76.981999999999999</v>
      </c>
      <c r="AT75" s="244">
        <v>112.616</v>
      </c>
      <c r="AU75" s="244">
        <v>146.648</v>
      </c>
      <c r="AV75" s="244">
        <v>345.03800000000001</v>
      </c>
      <c r="AW75" s="244">
        <f>SUM(AS75:AV75)</f>
        <v>681.28399999999999</v>
      </c>
      <c r="AX75" s="170"/>
      <c r="AY75" s="244">
        <v>100.55200000000001</v>
      </c>
      <c r="AZ75" s="244">
        <v>185.28700000000001</v>
      </c>
      <c r="BA75" s="244">
        <v>192.62299999999999</v>
      </c>
      <c r="BB75" s="244">
        <v>206.45500000000001</v>
      </c>
      <c r="BC75" s="244">
        <f>SUM(AY75:BB75)</f>
        <v>684.91700000000003</v>
      </c>
      <c r="BD75" s="170"/>
      <c r="BE75" s="244">
        <v>98.853999999999999</v>
      </c>
      <c r="BF75" s="244">
        <v>102.15</v>
      </c>
      <c r="BG75" s="244">
        <v>97.778000000000006</v>
      </c>
      <c r="BH75" s="244">
        <v>131.07</v>
      </c>
      <c r="BI75" s="244">
        <f>SUM(BE75:BH75)</f>
        <v>429.85200000000003</v>
      </c>
      <c r="BJ75" s="170"/>
      <c r="BK75" s="244">
        <v>60.036999999999999</v>
      </c>
      <c r="BL75" s="244">
        <v>51.529000000000003</v>
      </c>
      <c r="BM75" s="244">
        <v>86.403000000000006</v>
      </c>
      <c r="BN75" s="244">
        <v>127.462</v>
      </c>
      <c r="BO75" s="244">
        <v>325.43099999999998</v>
      </c>
      <c r="BP75" s="170"/>
      <c r="BQ75" s="244">
        <v>41</v>
      </c>
      <c r="BR75" s="244">
        <v>76</v>
      </c>
      <c r="BS75" s="244">
        <v>85</v>
      </c>
      <c r="BT75" s="101">
        <v>134</v>
      </c>
      <c r="BU75" s="244">
        <f>SUM(BQ75:BT75)</f>
        <v>336</v>
      </c>
      <c r="BV75" s="170"/>
      <c r="BW75" s="101">
        <v>30</v>
      </c>
      <c r="BX75" s="101">
        <v>116</v>
      </c>
      <c r="BY75" s="101">
        <v>91.4</v>
      </c>
      <c r="BZ75" s="101">
        <v>229</v>
      </c>
      <c r="CA75" s="244">
        <f>SUM(BW75:BZ75)</f>
        <v>466.4</v>
      </c>
      <c r="CB75" s="170"/>
      <c r="CC75" s="101">
        <v>75</v>
      </c>
      <c r="CD75" s="101">
        <v>163</v>
      </c>
      <c r="CE75" s="101">
        <v>147.5</v>
      </c>
      <c r="CF75" s="101">
        <v>395</v>
      </c>
      <c r="CG75" s="171">
        <f>SUM(CC75:CF75)</f>
        <v>780.5</v>
      </c>
      <c r="CH75" s="170"/>
      <c r="CI75" s="101">
        <v>126</v>
      </c>
      <c r="CJ75" s="101">
        <v>195</v>
      </c>
      <c r="CK75" s="101">
        <v>250</v>
      </c>
      <c r="CL75" s="101">
        <v>415</v>
      </c>
      <c r="CM75" s="171">
        <f>SUM(CI75:CL75)</f>
        <v>986</v>
      </c>
      <c r="CN75" s="170"/>
      <c r="CO75" s="101">
        <v>199</v>
      </c>
      <c r="CP75" s="101">
        <v>306</v>
      </c>
      <c r="CQ75" s="101">
        <v>252</v>
      </c>
      <c r="CR75" s="101">
        <v>552</v>
      </c>
      <c r="CS75" s="171">
        <f>SUM(CO75:CR75)</f>
        <v>1309</v>
      </c>
      <c r="CT75" s="170"/>
      <c r="CU75" s="101">
        <v>182</v>
      </c>
      <c r="CV75" s="101">
        <v>279.5</v>
      </c>
      <c r="CW75" s="101">
        <v>224</v>
      </c>
      <c r="CX75" s="101">
        <v>416</v>
      </c>
      <c r="CY75" s="171">
        <f>SUM(CU75:CX75)</f>
        <v>1101.5</v>
      </c>
      <c r="CZ75" s="170"/>
      <c r="DA75" s="101">
        <v>185</v>
      </c>
      <c r="DB75" s="101">
        <v>286</v>
      </c>
      <c r="DC75" s="101">
        <v>283</v>
      </c>
      <c r="DD75" s="101">
        <v>485</v>
      </c>
      <c r="DE75" s="171">
        <f>SUM(DA75:DD75)</f>
        <v>1239</v>
      </c>
      <c r="DF75" s="170"/>
      <c r="DG75" s="101">
        <v>212</v>
      </c>
      <c r="DH75" s="101">
        <v>359</v>
      </c>
      <c r="DI75" s="101">
        <v>355</v>
      </c>
      <c r="DJ75" s="101">
        <v>580</v>
      </c>
      <c r="DK75" s="171">
        <f>SUM(DG75:DJ75)</f>
        <v>1506</v>
      </c>
      <c r="DL75" s="170"/>
      <c r="DM75" s="101">
        <v>249</v>
      </c>
      <c r="DN75" s="101">
        <v>358</v>
      </c>
      <c r="DO75" s="101">
        <v>420</v>
      </c>
      <c r="DP75" s="101">
        <v>789</v>
      </c>
      <c r="DQ75" s="171">
        <f>SUM(DM75:DP75)</f>
        <v>1816</v>
      </c>
      <c r="DR75" s="170"/>
      <c r="DS75" s="838">
        <f>DM75*(1+Model!DS43)</f>
        <v>354.82499999999987</v>
      </c>
      <c r="DT75" s="838">
        <f>DN75*(1+Model!DT43)</f>
        <v>549.4639367311072</v>
      </c>
      <c r="DU75" s="838">
        <f>DO75*(1+Model!DU43)</f>
        <v>412.46808510638289</v>
      </c>
      <c r="DV75" s="838">
        <f>DP75*(1+Model!DV43)</f>
        <v>691.25848367029528</v>
      </c>
      <c r="DW75" s="171">
        <f>SUM(DS75:DV75)</f>
        <v>2008.0155055077853</v>
      </c>
      <c r="DX75" s="170"/>
      <c r="DY75" s="838">
        <f>DS75*(1+Model!DY43)</f>
        <v>315.12986214953247</v>
      </c>
      <c r="DZ75" s="838">
        <f>DT75*(1+Model!DZ43)</f>
        <v>511.94921739894562</v>
      </c>
      <c r="EA75" s="838">
        <f>DU75*(1+Model!EA43)</f>
        <v>391.32382978723382</v>
      </c>
      <c r="EB75" s="838">
        <f>DV75*(1+Model!EB43)</f>
        <v>734.79421525660928</v>
      </c>
      <c r="EC75" s="171">
        <f>SUM(DY75:EB75)</f>
        <v>1953.1971245923212</v>
      </c>
      <c r="ED75" s="170"/>
      <c r="EE75" s="838">
        <f>DY75*(1+Model!EE43)</f>
        <v>369.95251212616802</v>
      </c>
      <c r="EF75" s="838">
        <f>DZ75*(1+Model!EF43)</f>
        <v>554.31580974868211</v>
      </c>
      <c r="EG75" s="838">
        <f>EA75*(1+Model!EG43)</f>
        <v>385.11910212765935</v>
      </c>
      <c r="EH75" s="838">
        <f>EB75*(1+Model!EH43)</f>
        <v>460.869497358942</v>
      </c>
      <c r="EI75" s="171">
        <f>SUM(EE75:EH75)</f>
        <v>1770.2569213614515</v>
      </c>
      <c r="EJ75" s="170"/>
      <c r="EK75" s="838">
        <f>EE75*(1+Model!EK43)</f>
        <v>331.65216136016335</v>
      </c>
      <c r="EL75" s="838">
        <f>EF75*(1+Model!EL43)</f>
        <v>422.34321671492989</v>
      </c>
      <c r="EM75" s="838">
        <f>EG75*(1+Model!EM43)</f>
        <v>342.75508155319119</v>
      </c>
      <c r="EN75" s="838">
        <f>EH75*(1+Model!EN43)</f>
        <v>432.33257853774916</v>
      </c>
      <c r="EO75" s="171">
        <f>SUM(EK75:EN75)</f>
        <v>1529.0830381660335</v>
      </c>
      <c r="EP75" s="170"/>
      <c r="EQ75" s="838">
        <f>EK75*(1+Model!EQ43)</f>
        <v>489.2516896874244</v>
      </c>
      <c r="ER75" s="838">
        <f>EL75*(1+Model!ER43)</f>
        <v>467.54642551320029</v>
      </c>
      <c r="ES75" s="838">
        <f>EM75*(1+Model!ES43)</f>
        <v>475.52076710265936</v>
      </c>
      <c r="ET75" s="838">
        <f>EN75*(1+Model!ET43)</f>
        <v>710.7649382267125</v>
      </c>
      <c r="EU75" s="171">
        <f>SUM(EQ75:ET75)</f>
        <v>2143.0838205299965</v>
      </c>
      <c r="EV75" s="170"/>
      <c r="EW75" s="838">
        <f>EQ75*(1+Model!EW43)</f>
        <v>756.65067135145887</v>
      </c>
      <c r="EX75" s="838">
        <f>ER75*(1+Model!EX43)</f>
        <v>684.95541491042457</v>
      </c>
      <c r="EY75" s="838">
        <f>ES75*(1+Model!EY43)</f>
        <v>560.31136464108477</v>
      </c>
      <c r="EZ75" s="838">
        <f>ET75*(1+Model!EZ43)</f>
        <v>735.2920982298142</v>
      </c>
      <c r="FA75" s="171">
        <f>SUM(EW75:EZ75)</f>
        <v>2737.2095491327823</v>
      </c>
      <c r="FB75" s="170"/>
      <c r="FC75" s="838">
        <f>EW75*(1+Model!FC43)</f>
        <v>916.93657178010517</v>
      </c>
      <c r="FD75" s="838">
        <f>EX75*(1+Model!FD43)</f>
        <v>847.22659378054925</v>
      </c>
      <c r="FE75" s="838">
        <f>EY75*(1+Model!FE43)</f>
        <v>729.23404237413331</v>
      </c>
      <c r="FF75" s="838">
        <f>EZ75*(1+Model!FF43)</f>
        <v>832.35833064279154</v>
      </c>
      <c r="FG75" s="171">
        <f>SUM(FC75:FF75)</f>
        <v>3325.7555385775795</v>
      </c>
      <c r="FH75" s="170"/>
      <c r="FI75" s="838">
        <f>FC75*(1+Model!FI43)</f>
        <v>1104.0428193690004</v>
      </c>
      <c r="FJ75" s="838">
        <f>FD75*(1+Model!FJ43)</f>
        <v>1031.144621015221</v>
      </c>
      <c r="FK75" s="838">
        <f>FE75*(1+Model!FK43)</f>
        <v>910.93277109306098</v>
      </c>
      <c r="FL75" s="838">
        <f>FF75*(1+Model!FL43)</f>
        <v>955.92808978483311</v>
      </c>
      <c r="FM75" s="171">
        <f>SUM(FI75:FL75)</f>
        <v>4002.0483012621153</v>
      </c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</row>
    <row r="76" spans="1:274" s="24" customFormat="1" collapsed="1" x14ac:dyDescent="0.2">
      <c r="A76" s="839" t="s">
        <v>698</v>
      </c>
      <c r="B76" s="1059"/>
      <c r="C76" s="101" t="s">
        <v>945</v>
      </c>
      <c r="D76" s="101" t="s">
        <v>945</v>
      </c>
      <c r="E76" s="101" t="s">
        <v>945</v>
      </c>
      <c r="F76" s="101" t="s">
        <v>945</v>
      </c>
      <c r="G76" s="101" t="s">
        <v>945</v>
      </c>
      <c r="H76" s="101" t="s">
        <v>945</v>
      </c>
      <c r="I76" s="101" t="s">
        <v>945</v>
      </c>
      <c r="J76" s="101" t="s">
        <v>945</v>
      </c>
      <c r="K76" s="101" t="s">
        <v>945</v>
      </c>
      <c r="L76" s="101" t="s">
        <v>945</v>
      </c>
      <c r="M76" s="101" t="s">
        <v>945</v>
      </c>
      <c r="N76" s="131"/>
      <c r="O76" s="101" t="s">
        <v>945</v>
      </c>
      <c r="P76" s="101" t="s">
        <v>945</v>
      </c>
      <c r="Q76" s="101" t="s">
        <v>945</v>
      </c>
      <c r="R76" s="101" t="s">
        <v>945</v>
      </c>
      <c r="S76" s="101" t="s">
        <v>945</v>
      </c>
      <c r="T76" s="131"/>
      <c r="U76" s="101" t="s">
        <v>945</v>
      </c>
      <c r="V76" s="101" t="s">
        <v>945</v>
      </c>
      <c r="W76" s="101" t="s">
        <v>945</v>
      </c>
      <c r="X76" s="101" t="s">
        <v>945</v>
      </c>
      <c r="Y76" s="101" t="s">
        <v>945</v>
      </c>
      <c r="Z76" s="189"/>
      <c r="AA76" s="131">
        <f>AA74+AA75</f>
        <v>216.744</v>
      </c>
      <c r="AB76" s="131">
        <f>AB74+AB75</f>
        <v>293.733</v>
      </c>
      <c r="AC76" s="131">
        <f>AC74+AC75</f>
        <v>312.62099999999998</v>
      </c>
      <c r="AD76" s="131">
        <f>AD74+AD75</f>
        <v>641.65800000000002</v>
      </c>
      <c r="AE76" s="131">
        <f>AE74+AE75</f>
        <v>1464.7560000000001</v>
      </c>
      <c r="AF76" s="189"/>
      <c r="AG76" s="131">
        <f>SUM(AG74:AG75)</f>
        <v>238.86599999999999</v>
      </c>
      <c r="AH76" s="131">
        <f>SUM(AH74:AH75)</f>
        <v>312.24599999999998</v>
      </c>
      <c r="AI76" s="131">
        <f>SUM(AI74:AI75)</f>
        <v>416.327</v>
      </c>
      <c r="AJ76" s="131">
        <f>SUM(AJ74:AJ75)</f>
        <v>757.97399999999993</v>
      </c>
      <c r="AK76" s="131">
        <f>SUM(AK74:AK75)</f>
        <v>1725.413</v>
      </c>
      <c r="AL76" s="189"/>
      <c r="AM76" s="131">
        <f>SUM(AM74:AM75)</f>
        <v>281.04199999999997</v>
      </c>
      <c r="AN76" s="131">
        <f>SUM(AN74:AN75)</f>
        <v>376.93699999999995</v>
      </c>
      <c r="AO76" s="131">
        <f>SUM(AO74:AO75)</f>
        <v>426.43900000000002</v>
      </c>
      <c r="AP76" s="131">
        <f>SUM(AP74:AP75)</f>
        <v>913.94999999999993</v>
      </c>
      <c r="AQ76" s="131">
        <f>SUM(AQ74:AQ75)</f>
        <v>1998.3679999999999</v>
      </c>
      <c r="AR76" s="189"/>
      <c r="AS76" s="131">
        <f>SUM(AS74:AS75)</f>
        <v>299.642</v>
      </c>
      <c r="AT76" s="131">
        <f>SUM(AT74:AT75)</f>
        <v>433.06400000000002</v>
      </c>
      <c r="AU76" s="131">
        <f>SUM(AU74:AU75)</f>
        <v>620.36700000000008</v>
      </c>
      <c r="AV76" s="131">
        <f>SUM(AV74:AV75)</f>
        <v>1142.8589999999999</v>
      </c>
      <c r="AW76" s="131">
        <f>SUM(AW74:AW75)</f>
        <v>2495.9320000000002</v>
      </c>
      <c r="AX76" s="189"/>
      <c r="AY76" s="131">
        <f>SUM(AY74:AY75)</f>
        <v>400.87100000000004</v>
      </c>
      <c r="AZ76" s="131">
        <f>SUM(AZ74:AZ75)</f>
        <v>580.50199999999995</v>
      </c>
      <c r="BA76" s="131">
        <f>SUM(BA74:BA75)</f>
        <v>594.346</v>
      </c>
      <c r="BB76" s="131">
        <f>SUM(BB74:BB75)</f>
        <v>947.00800000000004</v>
      </c>
      <c r="BC76" s="131">
        <f>SUM(BC74:BC75)</f>
        <v>2522.7269999999999</v>
      </c>
      <c r="BD76" s="189"/>
      <c r="BE76" s="131">
        <f>SUM(BE74:BE75)</f>
        <v>320.04199999999997</v>
      </c>
      <c r="BF76" s="131">
        <f>SUM(BF74:BF75)</f>
        <v>371.78700000000003</v>
      </c>
      <c r="BG76" s="131">
        <f>SUM(BG74:BG75)</f>
        <v>387.89100000000002</v>
      </c>
      <c r="BH76" s="131">
        <f>SUM(BH74:BH75)</f>
        <v>552.94499999999994</v>
      </c>
      <c r="BI76" s="131">
        <f>SUM(BI74:BI75)</f>
        <v>1632.6650000000002</v>
      </c>
      <c r="BJ76" s="189"/>
      <c r="BK76" s="131">
        <f>SUM(BK74:BK75)</f>
        <v>250.941</v>
      </c>
      <c r="BL76" s="131">
        <f>SUM(BL74:BL75)</f>
        <v>308.40100000000001</v>
      </c>
      <c r="BM76" s="131">
        <f>SUM(BM74:BM75)</f>
        <v>333.3</v>
      </c>
      <c r="BN76" s="131">
        <f>SUM(BN74:BN75)</f>
        <v>508.23599999999999</v>
      </c>
      <c r="BO76" s="131">
        <f>SUM(BO74:BO75)</f>
        <v>1400.8780000000002</v>
      </c>
      <c r="BP76" s="189"/>
      <c r="BQ76" s="131">
        <f>SUM(BQ74:BQ75)</f>
        <v>203</v>
      </c>
      <c r="BR76" s="131">
        <f>SUM(BR74:BR75)</f>
        <v>375</v>
      </c>
      <c r="BS76" s="131">
        <f>BS74+BS75</f>
        <v>339</v>
      </c>
      <c r="BT76" s="101">
        <f>BT74+BT75</f>
        <v>554</v>
      </c>
      <c r="BU76" s="131">
        <f>SUM(BU74:BU75)</f>
        <v>1471</v>
      </c>
      <c r="BV76" s="189"/>
      <c r="BW76" s="101">
        <f>BW74+BW75</f>
        <v>227</v>
      </c>
      <c r="BX76" s="101">
        <f>BX74+BX75</f>
        <v>401</v>
      </c>
      <c r="BY76" s="101">
        <f>BY74+BY75</f>
        <v>380.4</v>
      </c>
      <c r="BZ76" s="101">
        <f>BZ74+BZ75</f>
        <v>771</v>
      </c>
      <c r="CA76" s="131">
        <f>SUM(CA74:CA75)</f>
        <v>1779.4</v>
      </c>
      <c r="CB76" s="189"/>
      <c r="CC76" s="101">
        <f>CC74+CC75</f>
        <v>269</v>
      </c>
      <c r="CD76" s="101">
        <f>CD74+CD75</f>
        <v>490</v>
      </c>
      <c r="CE76" s="101">
        <f>CE74+CE75</f>
        <v>481.5</v>
      </c>
      <c r="CF76" s="101">
        <f>CF74+CF75</f>
        <v>1057</v>
      </c>
      <c r="CG76" s="171">
        <f>SUM(CG74:CG75)</f>
        <v>2297.5</v>
      </c>
      <c r="CH76" s="189"/>
      <c r="CI76" s="101">
        <f>CI74+CI75</f>
        <v>358</v>
      </c>
      <c r="CJ76" s="101">
        <f>CJ74+CJ75</f>
        <v>528</v>
      </c>
      <c r="CK76" s="101">
        <f>CK74+CK75</f>
        <v>633</v>
      </c>
      <c r="CL76" s="101">
        <f>CL74+CL75</f>
        <v>1210</v>
      </c>
      <c r="CM76" s="171">
        <f>SUM(CM74:CM75)</f>
        <v>2729</v>
      </c>
      <c r="CN76" s="189"/>
      <c r="CO76" s="101">
        <f>CO74+CO75</f>
        <v>499</v>
      </c>
      <c r="CP76" s="101">
        <f>CP74+CP75</f>
        <v>752</v>
      </c>
      <c r="CQ76" s="101">
        <f>CQ74+CQ75</f>
        <v>736</v>
      </c>
      <c r="CR76" s="101">
        <f>CR74+CR75</f>
        <v>1480</v>
      </c>
      <c r="CS76" s="171">
        <f>SUM(CS74:CS75)</f>
        <v>3467</v>
      </c>
      <c r="CT76" s="189"/>
      <c r="CU76" s="101">
        <f>CU74+CU75</f>
        <v>536</v>
      </c>
      <c r="CV76" s="101">
        <f>CV74+CV75</f>
        <v>750</v>
      </c>
      <c r="CW76" s="101">
        <f>CW74+CW75</f>
        <v>673</v>
      </c>
      <c r="CX76" s="101">
        <f>CX74+CX75</f>
        <v>1256</v>
      </c>
      <c r="CY76" s="171">
        <f>SUM(CY74:CY75)</f>
        <v>3215</v>
      </c>
      <c r="CZ76" s="189"/>
      <c r="DA76" s="101">
        <f>DA74+DA75</f>
        <v>495</v>
      </c>
      <c r="DB76" s="101">
        <f>DB74+DB75</f>
        <v>778</v>
      </c>
      <c r="DC76" s="101">
        <f>DC74+DC75</f>
        <v>823</v>
      </c>
      <c r="DD76" s="101">
        <f>DD74+DD75</f>
        <v>1608</v>
      </c>
      <c r="DE76" s="171">
        <f>SUM(DE74:DE75)</f>
        <v>3704</v>
      </c>
      <c r="DF76" s="189"/>
      <c r="DG76" s="101">
        <f>DG74+DG75</f>
        <v>658</v>
      </c>
      <c r="DH76" s="101">
        <f>DH74+DH75</f>
        <v>1030</v>
      </c>
      <c r="DI76" s="101">
        <f>DI74+DI75</f>
        <v>1110</v>
      </c>
      <c r="DJ76" s="101">
        <f>DJ74+DJ75</f>
        <v>1864</v>
      </c>
      <c r="DK76" s="171">
        <f>SUM(DK74:DK75)</f>
        <v>4662</v>
      </c>
      <c r="DL76" s="189"/>
      <c r="DM76" s="101">
        <f>DM74+DM75</f>
        <v>727</v>
      </c>
      <c r="DN76" s="101">
        <f>DN74+DN75</f>
        <v>1027</v>
      </c>
      <c r="DO76" s="101">
        <f>DO74+DO75</f>
        <v>1228</v>
      </c>
      <c r="DP76" s="101">
        <f>DP74+DP75</f>
        <v>2126</v>
      </c>
      <c r="DQ76" s="171">
        <f>SUM(DQ74:DQ75)</f>
        <v>5108</v>
      </c>
      <c r="DR76" s="189"/>
      <c r="DS76" s="838">
        <v>814</v>
      </c>
      <c r="DT76" s="838">
        <v>1253</v>
      </c>
      <c r="DU76" s="838">
        <v>1205</v>
      </c>
      <c r="DV76" s="838">
        <v>2194</v>
      </c>
      <c r="DW76" s="171">
        <f>SUM(DW74:DW75)</f>
        <v>5575.4155055077854</v>
      </c>
      <c r="DX76" s="189"/>
      <c r="DY76" s="838">
        <v>926</v>
      </c>
      <c r="DZ76" s="838">
        <v>1295</v>
      </c>
      <c r="EA76" s="838">
        <f>EA74+EA75</f>
        <v>1299.111829787234</v>
      </c>
      <c r="EB76" s="838">
        <f>EB74+EB75</f>
        <v>2221.8323552566094</v>
      </c>
      <c r="EC76" s="171">
        <f>SUM(EC74:EC75)</f>
        <v>5648.2495145923212</v>
      </c>
      <c r="ED76" s="189"/>
      <c r="EE76" s="838">
        <f>EE74+EE75</f>
        <v>910.98493812616812</v>
      </c>
      <c r="EF76" s="838">
        <f>EF74+EF75</f>
        <v>1315.5819482486822</v>
      </c>
      <c r="EG76" s="838">
        <f>EG74+EG75</f>
        <v>1283.8292221276595</v>
      </c>
      <c r="EH76" s="838">
        <f>EH74+EH75</f>
        <v>1918.166874558942</v>
      </c>
      <c r="EI76" s="171">
        <f>SUM(EI74:EI75)</f>
        <v>5428.5629830614516</v>
      </c>
      <c r="EJ76" s="189"/>
      <c r="EK76" s="838">
        <f>EK74+EK75</f>
        <v>864.56910097016339</v>
      </c>
      <c r="EL76" s="838">
        <f>EL74+EL75</f>
        <v>1172.1903631374298</v>
      </c>
      <c r="EM76" s="838">
        <f>EM74+EM75</f>
        <v>1227.9845497531912</v>
      </c>
      <c r="EN76" s="838">
        <f>EN74+EN75</f>
        <v>1867.7704950797493</v>
      </c>
      <c r="EO76" s="171">
        <f>SUM(EO74:EO75)</f>
        <v>5132.5145089405341</v>
      </c>
      <c r="EP76" s="189"/>
      <c r="EQ76" s="838">
        <f>EQ74+EQ75</f>
        <v>1014.1748752032745</v>
      </c>
      <c r="ER76" s="838">
        <f>ER74+ER75</f>
        <v>1232.3905148641504</v>
      </c>
      <c r="ES76" s="838">
        <f>ES74+ES75</f>
        <v>1382.8809720076592</v>
      </c>
      <c r="ET76" s="838">
        <f>ET74+ET75</f>
        <v>2124.6712860205826</v>
      </c>
      <c r="EU76" s="171">
        <f>SUM(EU74:EU75)</f>
        <v>5754.1176480956674</v>
      </c>
      <c r="EV76" s="189"/>
      <c r="EW76" s="838">
        <f>EW74+EW75</f>
        <v>1273.7000090845711</v>
      </c>
      <c r="EX76" s="838">
        <f>EX74+EX75</f>
        <v>1495.6901496224318</v>
      </c>
      <c r="EY76" s="838">
        <f>EY74+EY75</f>
        <v>1540.2603859384849</v>
      </c>
      <c r="EZ76" s="838">
        <f>EZ74+EZ75</f>
        <v>2184.5461047185308</v>
      </c>
      <c r="FA76" s="171">
        <f>SUM(FA74:FA75)</f>
        <v>6494.1966493640184</v>
      </c>
      <c r="FB76" s="189"/>
      <c r="FC76" s="838">
        <f>FC74+FC75</f>
        <v>1446.9121429565453</v>
      </c>
      <c r="FD76" s="838">
        <f>FD74+FD75</f>
        <v>1678.2296968603564</v>
      </c>
      <c r="FE76" s="838">
        <f>FE74+FE75</f>
        <v>1733.6817892039683</v>
      </c>
      <c r="FF76" s="838">
        <f>FF74+FF75</f>
        <v>2317.8436872937259</v>
      </c>
      <c r="FG76" s="171">
        <f>SUM(FG74:FG75)</f>
        <v>7176.6673163145961</v>
      </c>
      <c r="FH76" s="189"/>
      <c r="FI76" s="838">
        <f>FI74+FI75</f>
        <v>1647.2677798248515</v>
      </c>
      <c r="FJ76" s="838">
        <f>FJ74+FJ75</f>
        <v>1882.9228016720235</v>
      </c>
      <c r="FK76" s="838">
        <f>FK74+FK75</f>
        <v>1940.4917115936419</v>
      </c>
      <c r="FL76" s="838">
        <f>FL74+FL75</f>
        <v>2478.5505803520405</v>
      </c>
      <c r="FM76" s="171">
        <f>SUM(FM74:FM75)</f>
        <v>7949.2328734425573</v>
      </c>
      <c r="FO76" s="183"/>
      <c r="FP76" s="621"/>
      <c r="FQ76" s="621"/>
      <c r="FR76" s="621"/>
      <c r="FS76" s="621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</row>
    <row r="77" spans="1:274" s="24" customFormat="1" x14ac:dyDescent="0.2">
      <c r="A77" s="840" t="s">
        <v>699</v>
      </c>
      <c r="B77" s="359"/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50"/>
      <c r="N77" s="475"/>
      <c r="O77" s="50"/>
      <c r="P77" s="50"/>
      <c r="Q77" s="50"/>
      <c r="R77" s="50"/>
      <c r="S77" s="50"/>
      <c r="T77" s="475"/>
      <c r="U77" s="50"/>
      <c r="V77" s="50"/>
      <c r="W77" s="50"/>
      <c r="X77" s="50"/>
      <c r="Y77" s="50"/>
      <c r="Z77" s="132"/>
      <c r="AA77" s="475"/>
      <c r="AB77" s="475"/>
      <c r="AC77" s="475"/>
      <c r="AD77" s="475"/>
      <c r="AE77" s="475"/>
      <c r="AF77" s="132"/>
      <c r="AG77" s="475"/>
      <c r="AH77" s="475"/>
      <c r="AI77" s="475"/>
      <c r="AJ77" s="475"/>
      <c r="AK77" s="475"/>
      <c r="AL77" s="132"/>
      <c r="AM77" s="475"/>
      <c r="AN77" s="475"/>
      <c r="AO77" s="475"/>
      <c r="AP77" s="475"/>
      <c r="AQ77" s="475"/>
      <c r="AR77" s="132"/>
      <c r="AS77" s="475"/>
      <c r="AT77" s="475"/>
      <c r="AU77" s="475"/>
      <c r="AV77" s="475"/>
      <c r="AW77" s="475"/>
      <c r="AX77" s="132"/>
      <c r="AY77" s="475"/>
      <c r="AZ77" s="475"/>
      <c r="BA77" s="475"/>
      <c r="BB77" s="475"/>
      <c r="BC77" s="475"/>
      <c r="BD77" s="132"/>
      <c r="BE77" s="475"/>
      <c r="BF77" s="475"/>
      <c r="BG77" s="475"/>
      <c r="BH77" s="475"/>
      <c r="BI77" s="475"/>
      <c r="BJ77" s="132"/>
      <c r="BK77" s="475"/>
      <c r="BL77" s="475"/>
      <c r="BM77" s="475"/>
      <c r="BN77" s="475"/>
      <c r="BO77" s="475"/>
      <c r="BP77" s="132"/>
      <c r="BQ77" s="475"/>
      <c r="BR77" s="475"/>
      <c r="BS77" s="475"/>
      <c r="BT77" s="475"/>
      <c r="BU77" s="475"/>
      <c r="BV77" s="132"/>
      <c r="BW77" s="475"/>
      <c r="BX77" s="475"/>
      <c r="BY77" s="475"/>
      <c r="BZ77" s="475"/>
      <c r="CA77" s="475"/>
      <c r="CB77" s="132"/>
      <c r="CC77" s="475"/>
      <c r="CD77" s="475"/>
      <c r="CE77" s="475"/>
      <c r="CF77" s="475"/>
      <c r="CG77" s="147"/>
      <c r="CH77" s="132"/>
      <c r="CI77" s="475"/>
      <c r="CJ77" s="475"/>
      <c r="CK77" s="475"/>
      <c r="CL77" s="475"/>
      <c r="CM77" s="147"/>
      <c r="CN77" s="132"/>
      <c r="CO77" s="475"/>
      <c r="CP77" s="475"/>
      <c r="CQ77" s="475"/>
      <c r="CR77" s="475"/>
      <c r="CS77" s="147"/>
      <c r="CT77" s="132"/>
      <c r="CU77" s="475"/>
      <c r="CV77" s="475"/>
      <c r="CW77" s="475"/>
      <c r="CX77" s="475"/>
      <c r="CY77" s="147"/>
      <c r="CZ77" s="132"/>
      <c r="DA77" s="475"/>
      <c r="DB77" s="475"/>
      <c r="DC77" s="475"/>
      <c r="DD77" s="475"/>
      <c r="DE77" s="147"/>
      <c r="DF77" s="132"/>
      <c r="DG77" s="475"/>
      <c r="DH77" s="475"/>
      <c r="DI77" s="475"/>
      <c r="DJ77" s="475"/>
      <c r="DK77" s="147"/>
      <c r="DL77" s="132"/>
      <c r="DM77" s="475"/>
      <c r="DN77" s="475"/>
      <c r="DO77" s="475"/>
      <c r="DP77" s="475"/>
      <c r="DQ77" s="147"/>
      <c r="DR77" s="132"/>
      <c r="DS77" s="475"/>
      <c r="DT77" s="475"/>
      <c r="DU77" s="475"/>
      <c r="DV77" s="475"/>
      <c r="DW77" s="147"/>
      <c r="DX77" s="132"/>
      <c r="DY77" s="475"/>
      <c r="DZ77" s="475"/>
      <c r="EA77" s="475"/>
      <c r="EB77" s="475"/>
      <c r="EC77" s="147"/>
      <c r="ED77" s="132"/>
      <c r="EE77" s="475"/>
      <c r="EF77" s="475"/>
      <c r="EG77" s="475"/>
      <c r="EH77" s="475"/>
      <c r="EI77" s="147"/>
      <c r="EJ77" s="132"/>
      <c r="EK77" s="475"/>
      <c r="EL77" s="475"/>
      <c r="EM77" s="475"/>
      <c r="EN77" s="475"/>
      <c r="EO77" s="147"/>
      <c r="EP77" s="132"/>
      <c r="EQ77" s="475"/>
      <c r="ER77" s="475"/>
      <c r="ES77" s="475"/>
      <c r="ET77" s="475"/>
      <c r="EU77" s="147"/>
      <c r="EV77" s="132"/>
      <c r="EW77" s="475"/>
      <c r="EX77" s="475"/>
      <c r="EY77" s="475"/>
      <c r="EZ77" s="475"/>
      <c r="FA77" s="147"/>
      <c r="FB77" s="132"/>
      <c r="FC77" s="475"/>
      <c r="FD77" s="475"/>
      <c r="FE77" s="475"/>
      <c r="FF77" s="475"/>
      <c r="FG77" s="147"/>
      <c r="FH77" s="132"/>
      <c r="FI77" s="475"/>
      <c r="FJ77" s="475"/>
      <c r="FK77" s="475"/>
      <c r="FL77" s="475"/>
      <c r="FM77" s="147"/>
      <c r="FO77" s="802"/>
      <c r="FP77" s="820"/>
      <c r="FQ77" s="820"/>
      <c r="FR77" s="820"/>
      <c r="FS77" s="820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</row>
    <row r="78" spans="1:274" s="24" customFormat="1" hidden="1" outlineLevel="1" x14ac:dyDescent="0.2">
      <c r="A78" s="475" t="s">
        <v>109</v>
      </c>
      <c r="B78" s="414"/>
      <c r="C78" s="50" t="s">
        <v>945</v>
      </c>
      <c r="D78" s="50" t="s">
        <v>945</v>
      </c>
      <c r="E78" s="50" t="s">
        <v>945</v>
      </c>
      <c r="F78" s="50" t="s">
        <v>945</v>
      </c>
      <c r="G78" s="50" t="s">
        <v>945</v>
      </c>
      <c r="H78" s="50" t="s">
        <v>945</v>
      </c>
      <c r="I78" s="50" t="s">
        <v>945</v>
      </c>
      <c r="J78" s="50" t="s">
        <v>945</v>
      </c>
      <c r="K78" s="50" t="s">
        <v>945</v>
      </c>
      <c r="L78" s="50" t="s">
        <v>945</v>
      </c>
      <c r="M78" s="50" t="s">
        <v>945</v>
      </c>
      <c r="N78" s="475"/>
      <c r="O78" s="50" t="s">
        <v>945</v>
      </c>
      <c r="P78" s="50" t="s">
        <v>945</v>
      </c>
      <c r="Q78" s="50" t="s">
        <v>945</v>
      </c>
      <c r="R78" s="50" t="s">
        <v>945</v>
      </c>
      <c r="S78" s="50" t="s">
        <v>945</v>
      </c>
      <c r="T78" s="475"/>
      <c r="U78" s="50" t="s">
        <v>945</v>
      </c>
      <c r="V78" s="50" t="s">
        <v>945</v>
      </c>
      <c r="W78" s="50" t="s">
        <v>945</v>
      </c>
      <c r="X78" s="50" t="s">
        <v>945</v>
      </c>
      <c r="Y78" s="50" t="s">
        <v>945</v>
      </c>
      <c r="Z78" s="132"/>
      <c r="AA78" s="156">
        <f>(AA72/AA74*0.55)+(AA73/AA74*0.2)</f>
        <v>0.48816533896927328</v>
      </c>
      <c r="AB78" s="156">
        <f>(AB72/AB74*0.25)+(AB73/AB74*-0.03)</f>
        <v>0.20559763313609467</v>
      </c>
      <c r="AC78" s="156">
        <f>(AC72/AC74*0.29)+(AC73/AC74*-0.13)</f>
        <v>0.23067953854031745</v>
      </c>
      <c r="AD78" s="156">
        <f>(AD72/AD74*0.34)+(AD73/AD74*-0.06)</f>
        <v>0.29002625892336342</v>
      </c>
      <c r="AE78" s="156">
        <f>(AE72/AE74*0.34)+(AE73/AE74*-0.02)</f>
        <v>0.28837197154035543</v>
      </c>
      <c r="AF78" s="132"/>
      <c r="AG78" s="156">
        <f t="shared" ref="AG78:AK80" si="171">AG74/AA74-1</f>
        <v>-5.8857638324391837E-2</v>
      </c>
      <c r="AH78" s="156">
        <f t="shared" si="171"/>
        <v>0.12742081447963782</v>
      </c>
      <c r="AI78" s="156">
        <f t="shared" si="171"/>
        <v>0.3268558003037958</v>
      </c>
      <c r="AJ78" s="156">
        <f t="shared" si="171"/>
        <v>0.23939834890532463</v>
      </c>
      <c r="AK78" s="156">
        <f t="shared" si="171"/>
        <v>0.18658533630004848</v>
      </c>
      <c r="AL78" s="132"/>
      <c r="AM78" s="156">
        <f t="shared" ref="AM78:AQ80" si="172">AM74/AG74-1</f>
        <v>0.21513914400382328</v>
      </c>
      <c r="AN78" s="156">
        <f t="shared" si="172"/>
        <v>0.17870918079619313</v>
      </c>
      <c r="AO78" s="156">
        <f t="shared" si="172"/>
        <v>5.7855956828559485E-2</v>
      </c>
      <c r="AP78" s="156">
        <f t="shared" si="172"/>
        <v>0.19344832841765358</v>
      </c>
      <c r="AQ78" s="156">
        <f t="shared" si="172"/>
        <v>0.16196338787356623</v>
      </c>
      <c r="AR78" s="132"/>
      <c r="AS78" s="156">
        <f t="shared" ref="AS78:AW80" si="173">AS74/AM74-1</f>
        <v>5.5100648242920602E-2</v>
      </c>
      <c r="AT78" s="156">
        <f t="shared" si="173"/>
        <v>0.11909759206551551</v>
      </c>
      <c r="AU78" s="156">
        <f t="shared" si="173"/>
        <v>0.45227044194830057</v>
      </c>
      <c r="AV78" s="156">
        <f t="shared" si="173"/>
        <v>0.11963720106487652</v>
      </c>
      <c r="AW78" s="156">
        <f t="shared" si="173"/>
        <v>0.18130378741520969</v>
      </c>
      <c r="AX78" s="132"/>
      <c r="AY78" s="156">
        <f t="shared" ref="AY78:BC80" si="174">AY74/AS74-1</f>
        <v>0.34877840653911796</v>
      </c>
      <c r="AZ78" s="156">
        <f t="shared" si="174"/>
        <v>0.23332022668264418</v>
      </c>
      <c r="BA78" s="156">
        <f t="shared" si="174"/>
        <v>-0.15198039343999292</v>
      </c>
      <c r="BB78" s="156">
        <f t="shared" si="174"/>
        <v>-7.1780512170023125E-2</v>
      </c>
      <c r="BC78" s="156">
        <f t="shared" si="174"/>
        <v>1.2763907931455432E-2</v>
      </c>
      <c r="BD78" s="132"/>
      <c r="BE78" s="156">
        <f t="shared" ref="BE78:BI80" si="175">BE74/AY74-1</f>
        <v>-0.26348982248875374</v>
      </c>
      <c r="BF78" s="156">
        <f t="shared" si="175"/>
        <v>-0.31774603696722037</v>
      </c>
      <c r="BG78" s="156">
        <f t="shared" si="175"/>
        <v>-0.27782825479248141</v>
      </c>
      <c r="BH78" s="156">
        <f t="shared" si="175"/>
        <v>-0.43032436571048938</v>
      </c>
      <c r="BI78" s="156">
        <f t="shared" si="175"/>
        <v>-0.34551830711553422</v>
      </c>
      <c r="BJ78" s="132"/>
      <c r="BK78" s="156">
        <f t="shared" ref="BK78:BO80" si="176">BK74/BE74-1</f>
        <v>-0.13691520335642071</v>
      </c>
      <c r="BL78" s="156">
        <f t="shared" si="176"/>
        <v>-4.7341425694544803E-2</v>
      </c>
      <c r="BM78" s="156">
        <f t="shared" si="176"/>
        <v>-0.14896264558982197</v>
      </c>
      <c r="BN78" s="156">
        <f t="shared" si="176"/>
        <v>-9.7424592592592618E-2</v>
      </c>
      <c r="BO78" s="156">
        <f t="shared" si="176"/>
        <v>-0.10589010926885556</v>
      </c>
      <c r="BP78" s="132"/>
      <c r="BQ78" s="156">
        <f t="shared" ref="BQ78:BU80" si="177">BQ74/BK74-1</f>
        <v>-0.15140594225369819</v>
      </c>
      <c r="BR78" s="156">
        <f t="shared" si="177"/>
        <v>0.16400386184558835</v>
      </c>
      <c r="BS78" s="156">
        <f t="shared" si="177"/>
        <v>2.8769081843845745E-2</v>
      </c>
      <c r="BT78" s="156">
        <f t="shared" si="177"/>
        <v>0.10301648747025793</v>
      </c>
      <c r="BU78" s="156">
        <f t="shared" si="177"/>
        <v>5.5375113789893682E-2</v>
      </c>
      <c r="BV78" s="132"/>
      <c r="BW78" s="52">
        <f t="shared" ref="BW78:CA80" si="178">BW74/BQ74-1</f>
        <v>0.21604938271604945</v>
      </c>
      <c r="BX78" s="52">
        <f t="shared" si="178"/>
        <v>-4.6822742474916357E-2</v>
      </c>
      <c r="BY78" s="52">
        <f t="shared" si="178"/>
        <v>0.13779527559055116</v>
      </c>
      <c r="BZ78" s="52">
        <f t="shared" si="178"/>
        <v>0.29047619047619055</v>
      </c>
      <c r="CA78" s="156">
        <f t="shared" si="178"/>
        <v>0.15682819383259905</v>
      </c>
      <c r="CB78" s="132"/>
      <c r="CC78" s="52">
        <f t="shared" ref="CC78:CG80" si="179">CC74/BW74-1</f>
        <v>-1.5228426395939132E-2</v>
      </c>
      <c r="CD78" s="52">
        <f t="shared" si="179"/>
        <v>0.14736842105263159</v>
      </c>
      <c r="CE78" s="52">
        <f t="shared" si="179"/>
        <v>0.15570934256055358</v>
      </c>
      <c r="CF78" s="52">
        <f t="shared" si="179"/>
        <v>0.22140221402214033</v>
      </c>
      <c r="CG78" s="395">
        <f t="shared" si="179"/>
        <v>0.15536938309215542</v>
      </c>
      <c r="CH78" s="132"/>
      <c r="CI78" s="52">
        <f t="shared" ref="CI78:CM80" si="180">CI74/CC74-1</f>
        <v>0.19587628865979378</v>
      </c>
      <c r="CJ78" s="52">
        <f t="shared" si="180"/>
        <v>1.8348623853210899E-2</v>
      </c>
      <c r="CK78" s="52">
        <f t="shared" si="180"/>
        <v>0.1467065868263473</v>
      </c>
      <c r="CL78" s="52">
        <f t="shared" si="180"/>
        <v>0.20090634441087607</v>
      </c>
      <c r="CM78" s="395">
        <f t="shared" si="180"/>
        <v>0.1489782465392222</v>
      </c>
      <c r="CN78" s="132"/>
      <c r="CO78" s="52">
        <v>0.27</v>
      </c>
      <c r="CP78" s="52">
        <v>0.33</v>
      </c>
      <c r="CQ78" s="52">
        <v>0.24</v>
      </c>
      <c r="CR78" s="52">
        <v>0.15</v>
      </c>
      <c r="CS78" s="395">
        <v>0.22</v>
      </c>
      <c r="CT78" s="132"/>
      <c r="CU78" s="52">
        <f t="shared" ref="CU78:CY80" si="181">CU74/CO74-1</f>
        <v>0.17999999999999994</v>
      </c>
      <c r="CV78" s="52">
        <f>CV74/CP74-1</f>
        <v>5.4932735426008961E-2</v>
      </c>
      <c r="CW78" s="52">
        <f t="shared" si="181"/>
        <v>-7.2314049586776896E-2</v>
      </c>
      <c r="CX78" s="52">
        <f t="shared" si="181"/>
        <v>-9.4827586206896575E-2</v>
      </c>
      <c r="CY78" s="395">
        <f t="shared" si="181"/>
        <v>-2.0620945319740458E-2</v>
      </c>
      <c r="CZ78" s="132"/>
      <c r="DA78" s="52">
        <f t="shared" ref="DA78:DE80" si="182">DA74/CU74-1</f>
        <v>-0.12429378531073443</v>
      </c>
      <c r="DB78" s="52">
        <f t="shared" si="182"/>
        <v>4.56960680127525E-2</v>
      </c>
      <c r="DC78" s="52">
        <f t="shared" si="182"/>
        <v>0.20267260579064583</v>
      </c>
      <c r="DD78" s="52">
        <f t="shared" si="182"/>
        <v>0.33690476190476182</v>
      </c>
      <c r="DE78" s="148">
        <f t="shared" si="182"/>
        <v>0.16631180506269216</v>
      </c>
      <c r="DF78" s="841"/>
      <c r="DG78" s="52">
        <f t="shared" ref="DG78:DK80" si="183">DG74/DA74-1</f>
        <v>0.43870967741935485</v>
      </c>
      <c r="DH78" s="52">
        <f t="shared" si="183"/>
        <v>0.36382113821138207</v>
      </c>
      <c r="DI78" s="52">
        <f t="shared" si="183"/>
        <v>0.39814814814814814</v>
      </c>
      <c r="DJ78" s="52">
        <f t="shared" si="183"/>
        <v>0.14336598397150491</v>
      </c>
      <c r="DK78" s="148">
        <f t="shared" si="183"/>
        <v>0.28032454361054771</v>
      </c>
      <c r="DL78" s="841"/>
      <c r="DM78" s="52">
        <f t="shared" ref="DM78:DQ80" si="184">DM74/DG74-1</f>
        <v>7.1748878923766801E-2</v>
      </c>
      <c r="DN78" s="52">
        <f t="shared" si="184"/>
        <v>-2.9806259314456574E-3</v>
      </c>
      <c r="DO78" s="52">
        <f t="shared" si="184"/>
        <v>7.0198675496688789E-2</v>
      </c>
      <c r="DP78" s="52">
        <f t="shared" si="184"/>
        <v>4.1277258566978281E-2</v>
      </c>
      <c r="DQ78" s="842">
        <f t="shared" si="184"/>
        <v>4.3092522179974724E-2</v>
      </c>
      <c r="DR78" s="841"/>
      <c r="DS78" s="55">
        <f t="shared" ref="DS78:DW80" si="185">DS74/DM74-1</f>
        <v>3.0000000000000027E-2</v>
      </c>
      <c r="DT78" s="55">
        <f t="shared" si="185"/>
        <v>0.1100000000000001</v>
      </c>
      <c r="DU78" s="55">
        <f t="shared" si="185"/>
        <v>5.0000000000000044E-2</v>
      </c>
      <c r="DV78" s="55">
        <f t="shared" si="185"/>
        <v>0.1100000000000001</v>
      </c>
      <c r="DW78" s="842">
        <f t="shared" si="185"/>
        <v>8.3657351154313497E-2</v>
      </c>
      <c r="DX78" s="841"/>
      <c r="DY78" s="55">
        <f t="shared" ref="DY78:EC80" si="186">DY74/DS74-1</f>
        <v>0.1100000000000001</v>
      </c>
      <c r="DZ78" s="55">
        <f t="shared" si="186"/>
        <v>1.4999999999999902E-2</v>
      </c>
      <c r="EA78" s="55">
        <f t="shared" si="186"/>
        <v>7.0000000000000062E-2</v>
      </c>
      <c r="EB78" s="55">
        <f t="shared" si="186"/>
        <v>2.0000000000000018E-3</v>
      </c>
      <c r="EC78" s="842">
        <f t="shared" si="186"/>
        <v>3.5783032460615649E-2</v>
      </c>
      <c r="ED78" s="841"/>
      <c r="EE78" s="55">
        <f t="shared" ref="EE78:EK80" si="187">EE74/DY74-1</f>
        <v>-1.0000000000000009E-2</v>
      </c>
      <c r="EF78" s="55">
        <f t="shared" si="187"/>
        <v>1.0000000000000009E-2</v>
      </c>
      <c r="EG78" s="55">
        <f t="shared" si="187"/>
        <v>-1.0000000000000009E-2</v>
      </c>
      <c r="EH78" s="55">
        <f t="shared" si="187"/>
        <v>-2.0000000000000018E-2</v>
      </c>
      <c r="EI78" s="842">
        <f t="shared" si="187"/>
        <v>-9.9447381042411243E-3</v>
      </c>
      <c r="EJ78" s="841"/>
      <c r="EK78" s="55">
        <f t="shared" si="187"/>
        <v>-1.5000000000000013E-2</v>
      </c>
      <c r="EL78" s="55">
        <f t="shared" ref="EL78:EO80" si="188">EL74/EF74-1</f>
        <v>-1.5000000000000013E-2</v>
      </c>
      <c r="EM78" s="55">
        <f t="shared" si="188"/>
        <v>-1.5000000000000013E-2</v>
      </c>
      <c r="EN78" s="55">
        <f t="shared" si="188"/>
        <v>-1.5000000000000013E-2</v>
      </c>
      <c r="EO78" s="842">
        <f t="shared" si="188"/>
        <v>-1.5000000000000013E-2</v>
      </c>
      <c r="EP78" s="841"/>
      <c r="EQ78" s="55">
        <f>EQ74/EK74-1</f>
        <v>-1.5000000000000124E-2</v>
      </c>
      <c r="ER78" s="55">
        <f t="shared" ref="ER78:ET80" si="189">ER74/EL74-1</f>
        <v>2.0000000000000018E-2</v>
      </c>
      <c r="ES78" s="55">
        <f t="shared" si="189"/>
        <v>2.4999999999999911E-2</v>
      </c>
      <c r="ET78" s="55">
        <f t="shared" si="189"/>
        <v>-1.5000000000000013E-2</v>
      </c>
      <c r="EU78" s="842">
        <f t="shared" ref="EU78:EU80" si="190">EU74/EO74-1</f>
        <v>2.1097547859114663E-3</v>
      </c>
      <c r="EV78" s="841"/>
      <c r="EW78" s="55">
        <f t="shared" ref="EW78:FA80" si="191">EW74/EQ74-1</f>
        <v>-1.5000000000000124E-2</v>
      </c>
      <c r="EX78" s="55">
        <f t="shared" si="191"/>
        <v>6.0000000000000053E-2</v>
      </c>
      <c r="EY78" s="55">
        <f t="shared" si="191"/>
        <v>8.0000000000000071E-2</v>
      </c>
      <c r="EZ78" s="55">
        <f t="shared" si="191"/>
        <v>2.4999999999999911E-2</v>
      </c>
      <c r="FA78" s="842">
        <f t="shared" si="191"/>
        <v>4.0418694378157705E-2</v>
      </c>
      <c r="FB78" s="841"/>
      <c r="FC78" s="55">
        <f t="shared" ref="FC78:FG80" si="192">FC74/EW74-1</f>
        <v>2.4999999999999911E-2</v>
      </c>
      <c r="FD78" s="55">
        <f t="shared" si="192"/>
        <v>2.4999999999999911E-2</v>
      </c>
      <c r="FE78" s="55">
        <f t="shared" si="192"/>
        <v>2.4999999999999911E-2</v>
      </c>
      <c r="FF78" s="55">
        <f t="shared" si="192"/>
        <v>2.4999999999999911E-2</v>
      </c>
      <c r="FG78" s="842">
        <f t="shared" si="192"/>
        <v>2.4999999999999911E-2</v>
      </c>
      <c r="FH78" s="841"/>
      <c r="FI78" s="55">
        <f t="shared" ref="FI78:FI80" si="193">FI74/FC74-1</f>
        <v>2.4999999999999911E-2</v>
      </c>
      <c r="FJ78" s="55">
        <f t="shared" ref="FJ78:FJ80" si="194">FJ74/FD74-1</f>
        <v>2.4999999999999911E-2</v>
      </c>
      <c r="FK78" s="55">
        <f t="shared" ref="FK78:FK80" si="195">FK74/FE74-1</f>
        <v>2.4999999999999911E-2</v>
      </c>
      <c r="FL78" s="55">
        <f t="shared" ref="FL78:FL80" si="196">FL74/FF74-1</f>
        <v>2.4999999999999911E-2</v>
      </c>
      <c r="FM78" s="842">
        <f t="shared" ref="FM78:FM80" si="197">FM74/FG74-1</f>
        <v>2.4999999999999911E-2</v>
      </c>
      <c r="FO78" s="802"/>
      <c r="FP78" s="820"/>
      <c r="FQ78" s="820"/>
      <c r="FR78" s="820"/>
      <c r="FS78" s="820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</row>
    <row r="79" spans="1:274" s="24" customFormat="1" hidden="1" outlineLevel="1" x14ac:dyDescent="0.2">
      <c r="A79" s="475" t="s">
        <v>697</v>
      </c>
      <c r="B79" s="1060"/>
      <c r="C79" s="50" t="s">
        <v>945</v>
      </c>
      <c r="D79" s="50" t="s">
        <v>945</v>
      </c>
      <c r="E79" s="50" t="s">
        <v>945</v>
      </c>
      <c r="F79" s="50" t="s">
        <v>945</v>
      </c>
      <c r="G79" s="50" t="s">
        <v>945</v>
      </c>
      <c r="H79" s="50" t="s">
        <v>945</v>
      </c>
      <c r="I79" s="50" t="s">
        <v>945</v>
      </c>
      <c r="J79" s="50" t="s">
        <v>945</v>
      </c>
      <c r="K79" s="50" t="s">
        <v>945</v>
      </c>
      <c r="L79" s="50" t="s">
        <v>945</v>
      </c>
      <c r="M79" s="50" t="s">
        <v>945</v>
      </c>
      <c r="N79" s="475"/>
      <c r="O79" s="50" t="s">
        <v>945</v>
      </c>
      <c r="P79" s="50" t="s">
        <v>945</v>
      </c>
      <c r="Q79" s="50" t="s">
        <v>945</v>
      </c>
      <c r="R79" s="50" t="s">
        <v>945</v>
      </c>
      <c r="S79" s="50" t="s">
        <v>945</v>
      </c>
      <c r="T79" s="475"/>
      <c r="U79" s="50" t="s">
        <v>945</v>
      </c>
      <c r="V79" s="50" t="s">
        <v>945</v>
      </c>
      <c r="W79" s="50" t="s">
        <v>945</v>
      </c>
      <c r="X79" s="50" t="s">
        <v>945</v>
      </c>
      <c r="Y79" s="50" t="s">
        <v>945</v>
      </c>
      <c r="Z79" s="132"/>
      <c r="AA79" s="156">
        <v>-0.13</v>
      </c>
      <c r="AB79" s="156">
        <v>1.19</v>
      </c>
      <c r="AC79" s="156">
        <v>0.76</v>
      </c>
      <c r="AD79" s="156">
        <v>0.78</v>
      </c>
      <c r="AE79" s="156">
        <v>0.69</v>
      </c>
      <c r="AF79" s="132"/>
      <c r="AG79" s="156">
        <f t="shared" si="171"/>
        <v>1.0238716086173714</v>
      </c>
      <c r="AH79" s="156">
        <f t="shared" si="171"/>
        <v>-0.11427585678141527</v>
      </c>
      <c r="AI79" s="156">
        <f t="shared" si="171"/>
        <v>0.34585182230642664</v>
      </c>
      <c r="AJ79" s="156">
        <f t="shared" si="171"/>
        <v>6.1782049438146025E-3</v>
      </c>
      <c r="AK79" s="156">
        <f t="shared" si="171"/>
        <v>0.1505203683791716</v>
      </c>
      <c r="AL79" s="132"/>
      <c r="AM79" s="156">
        <f t="shared" si="172"/>
        <v>7.382241514180099E-2</v>
      </c>
      <c r="AN79" s="156">
        <f t="shared" si="172"/>
        <v>0.3069609752578808</v>
      </c>
      <c r="AO79" s="156">
        <f t="shared" si="172"/>
        <v>-7.1572123176661173E-2</v>
      </c>
      <c r="AP79" s="156">
        <f t="shared" si="172"/>
        <v>0.25153972841117422</v>
      </c>
      <c r="AQ79" s="156">
        <f t="shared" si="172"/>
        <v>0.14585316515944768</v>
      </c>
      <c r="AR79" s="132"/>
      <c r="AS79" s="156">
        <f t="shared" si="173"/>
        <v>9.9585773460934002E-2</v>
      </c>
      <c r="AT79" s="156">
        <f t="shared" si="173"/>
        <v>0.24311197456729072</v>
      </c>
      <c r="AU79" s="156">
        <f t="shared" si="173"/>
        <v>0.46286671920356715</v>
      </c>
      <c r="AV79" s="156">
        <f t="shared" si="173"/>
        <v>0.71337627061411579</v>
      </c>
      <c r="AW79" s="156">
        <f t="shared" si="173"/>
        <v>0.47391330685289534</v>
      </c>
      <c r="AX79" s="132"/>
      <c r="AY79" s="156">
        <f t="shared" si="174"/>
        <v>0.30617546959029385</v>
      </c>
      <c r="AZ79" s="156">
        <f t="shared" si="174"/>
        <v>0.6452990694039924</v>
      </c>
      <c r="BA79" s="156">
        <f t="shared" si="174"/>
        <v>0.31350580983034204</v>
      </c>
      <c r="BB79" s="156">
        <f t="shared" si="174"/>
        <v>-0.40164561584521119</v>
      </c>
      <c r="BC79" s="156">
        <f t="shared" si="174"/>
        <v>5.3325778970296778E-3</v>
      </c>
      <c r="BD79" s="132"/>
      <c r="BE79" s="156">
        <f t="shared" si="175"/>
        <v>-1.688678494709217E-2</v>
      </c>
      <c r="BF79" s="156">
        <f t="shared" si="175"/>
        <v>-0.44869310852893074</v>
      </c>
      <c r="BG79" s="156">
        <f t="shared" si="175"/>
        <v>-0.4923866827948894</v>
      </c>
      <c r="BH79" s="156">
        <f t="shared" si="175"/>
        <v>-0.36514010317018242</v>
      </c>
      <c r="BI79" s="156">
        <f t="shared" si="175"/>
        <v>-0.37240278749103906</v>
      </c>
      <c r="BJ79" s="132"/>
      <c r="BK79" s="156">
        <f t="shared" si="176"/>
        <v>-0.39266999817913284</v>
      </c>
      <c r="BL79" s="156">
        <f t="shared" si="176"/>
        <v>-0.49555555555555553</v>
      </c>
      <c r="BM79" s="156">
        <f t="shared" si="176"/>
        <v>-0.11633496287508438</v>
      </c>
      <c r="BN79" s="156">
        <f t="shared" si="176"/>
        <v>-2.7527275501640247E-2</v>
      </c>
      <c r="BO79" s="156">
        <f t="shared" si="176"/>
        <v>-0.24292314564082529</v>
      </c>
      <c r="BP79" s="132"/>
      <c r="BQ79" s="156">
        <f t="shared" si="177"/>
        <v>-0.31708779585922009</v>
      </c>
      <c r="BR79" s="156">
        <f t="shared" si="177"/>
        <v>0.47489763046051725</v>
      </c>
      <c r="BS79" s="156">
        <f t="shared" si="177"/>
        <v>-1.6237862111269319E-2</v>
      </c>
      <c r="BT79" s="156">
        <f t="shared" si="177"/>
        <v>5.1293718912303277E-2</v>
      </c>
      <c r="BU79" s="156">
        <f t="shared" si="177"/>
        <v>3.2476930593582143E-2</v>
      </c>
      <c r="BV79" s="132"/>
      <c r="BW79" s="52">
        <f t="shared" si="178"/>
        <v>-0.26829268292682928</v>
      </c>
      <c r="BX79" s="52">
        <f t="shared" si="178"/>
        <v>0.52631578947368429</v>
      </c>
      <c r="BY79" s="52">
        <f t="shared" si="178"/>
        <v>7.5294117647058956E-2</v>
      </c>
      <c r="BZ79" s="52">
        <f t="shared" si="178"/>
        <v>0.70895522388059695</v>
      </c>
      <c r="CA79" s="156">
        <f t="shared" si="178"/>
        <v>0.38809523809523805</v>
      </c>
      <c r="CB79" s="132"/>
      <c r="CC79" s="52">
        <f t="shared" si="179"/>
        <v>1.5</v>
      </c>
      <c r="CD79" s="52">
        <f t="shared" si="179"/>
        <v>0.40517241379310343</v>
      </c>
      <c r="CE79" s="52">
        <f t="shared" si="179"/>
        <v>0.61378555798687073</v>
      </c>
      <c r="CF79" s="52">
        <f t="shared" si="179"/>
        <v>0.72489082969432306</v>
      </c>
      <c r="CG79" s="395">
        <f t="shared" si="179"/>
        <v>0.67345626072041176</v>
      </c>
      <c r="CH79" s="132"/>
      <c r="CI79" s="52">
        <f t="shared" si="180"/>
        <v>0.67999999999999994</v>
      </c>
      <c r="CJ79" s="52">
        <f t="shared" si="180"/>
        <v>0.19631901840490795</v>
      </c>
      <c r="CK79" s="52">
        <f t="shared" si="180"/>
        <v>0.69491525423728806</v>
      </c>
      <c r="CL79" s="52">
        <f t="shared" si="180"/>
        <v>5.0632911392405111E-2</v>
      </c>
      <c r="CM79" s="395">
        <f t="shared" si="180"/>
        <v>0.26329276105060861</v>
      </c>
      <c r="CN79" s="132"/>
      <c r="CO79" s="52">
        <f>CO75/CI75-1</f>
        <v>0.57936507936507931</v>
      </c>
      <c r="CP79" s="52">
        <f>CP75/CJ75-1</f>
        <v>0.56923076923076921</v>
      </c>
      <c r="CQ79" s="52">
        <f>CQ75/CK75-1</f>
        <v>8.0000000000000071E-3</v>
      </c>
      <c r="CR79" s="52">
        <f>CR75/CL75-1</f>
        <v>0.33012048192771082</v>
      </c>
      <c r="CS79" s="395">
        <f>CS75/CM75-1</f>
        <v>0.32758620689655182</v>
      </c>
      <c r="CT79" s="132"/>
      <c r="CU79" s="52">
        <f t="shared" si="181"/>
        <v>-8.5427135678391997E-2</v>
      </c>
      <c r="CV79" s="52">
        <f t="shared" si="181"/>
        <v>-8.6601307189542509E-2</v>
      </c>
      <c r="CW79" s="52">
        <f t="shared" si="181"/>
        <v>-0.11111111111111116</v>
      </c>
      <c r="CX79" s="52">
        <f t="shared" si="181"/>
        <v>-0.24637681159420288</v>
      </c>
      <c r="CY79" s="395">
        <f t="shared" si="181"/>
        <v>-0.15851795263559965</v>
      </c>
      <c r="CZ79" s="132"/>
      <c r="DA79" s="52">
        <f t="shared" si="182"/>
        <v>1.6483516483516425E-2</v>
      </c>
      <c r="DB79" s="52">
        <f t="shared" si="182"/>
        <v>2.3255813953488413E-2</v>
      </c>
      <c r="DC79" s="52">
        <f t="shared" si="182"/>
        <v>0.26339285714285721</v>
      </c>
      <c r="DD79" s="52">
        <f t="shared" si="182"/>
        <v>0.16586538461538458</v>
      </c>
      <c r="DE79" s="148">
        <f t="shared" si="182"/>
        <v>0.12482977757603275</v>
      </c>
      <c r="DF79" s="841"/>
      <c r="DG79" s="52">
        <f t="shared" si="183"/>
        <v>0.14594594594594601</v>
      </c>
      <c r="DH79" s="52">
        <f t="shared" si="183"/>
        <v>0.25524475524475521</v>
      </c>
      <c r="DI79" s="52">
        <f t="shared" si="183"/>
        <v>0.25441696113074208</v>
      </c>
      <c r="DJ79" s="52">
        <f t="shared" si="183"/>
        <v>0.19587628865979378</v>
      </c>
      <c r="DK79" s="148">
        <f t="shared" si="183"/>
        <v>0.21549636803874095</v>
      </c>
      <c r="DL79" s="841"/>
      <c r="DM79" s="52">
        <f t="shared" si="184"/>
        <v>0.17452830188679247</v>
      </c>
      <c r="DN79" s="52">
        <f t="shared" si="184"/>
        <v>-2.7855153203342198E-3</v>
      </c>
      <c r="DO79" s="52">
        <f t="shared" si="184"/>
        <v>0.18309859154929575</v>
      </c>
      <c r="DP79" s="52">
        <f t="shared" si="184"/>
        <v>0.3603448275862069</v>
      </c>
      <c r="DQ79" s="842">
        <f t="shared" si="184"/>
        <v>0.20584329349269592</v>
      </c>
      <c r="DR79" s="841"/>
      <c r="DS79" s="55">
        <f t="shared" si="185"/>
        <v>0.4249999999999996</v>
      </c>
      <c r="DT79" s="55">
        <f t="shared" si="185"/>
        <v>0.53481546572934979</v>
      </c>
      <c r="DU79" s="55">
        <f t="shared" si="185"/>
        <v>-1.7933130699088418E-2</v>
      </c>
      <c r="DV79" s="55">
        <f t="shared" si="185"/>
        <v>-0.12388024883359283</v>
      </c>
      <c r="DW79" s="842">
        <f t="shared" si="185"/>
        <v>0.10573541052190816</v>
      </c>
      <c r="DX79" s="841"/>
      <c r="DY79" s="55">
        <f t="shared" si="186"/>
        <v>-0.11187243810460767</v>
      </c>
      <c r="DZ79" s="55">
        <f t="shared" si="186"/>
        <v>-6.8275125671296344E-2</v>
      </c>
      <c r="EA79" s="55">
        <f t="shared" si="186"/>
        <v>-5.1262766945218474E-2</v>
      </c>
      <c r="EB79" s="55">
        <f t="shared" si="186"/>
        <v>6.2980393897167586E-2</v>
      </c>
      <c r="EC79" s="842">
        <f t="shared" si="186"/>
        <v>-2.7299779690496795E-2</v>
      </c>
      <c r="ED79" s="841"/>
      <c r="EE79" s="55">
        <f t="shared" si="187"/>
        <v>0.17396843828980457</v>
      </c>
      <c r="EF79" s="55">
        <f t="shared" si="187"/>
        <v>8.275545876403112E-2</v>
      </c>
      <c r="EG79" s="55">
        <f t="shared" si="187"/>
        <v>-1.5855736827854461E-2</v>
      </c>
      <c r="EH79" s="55">
        <f t="shared" si="187"/>
        <v>-0.37279106477723922</v>
      </c>
      <c r="EI79" s="842">
        <f t="shared" si="187"/>
        <v>-9.3661925326177009E-2</v>
      </c>
      <c r="EJ79" s="841"/>
      <c r="EK79" s="55">
        <f t="shared" si="187"/>
        <v>-0.10352774886129923</v>
      </c>
      <c r="EL79" s="55">
        <f t="shared" si="188"/>
        <v>-0.23808195745596084</v>
      </c>
      <c r="EM79" s="55">
        <f t="shared" si="188"/>
        <v>-0.11000238715872712</v>
      </c>
      <c r="EN79" s="55">
        <f t="shared" si="188"/>
        <v>-6.1919738634746868E-2</v>
      </c>
      <c r="EO79" s="842">
        <f t="shared" si="188"/>
        <v>-0.13623665598208112</v>
      </c>
      <c r="EP79" s="841"/>
      <c r="EQ79" s="55">
        <f>EQ75/EK75-1</f>
        <v>0.4751952397382786</v>
      </c>
      <c r="ER79" s="55">
        <f t="shared" si="189"/>
        <v>0.10702956034163402</v>
      </c>
      <c r="ES79" s="55">
        <f t="shared" si="189"/>
        <v>0.38734855497354492</v>
      </c>
      <c r="ET79" s="55">
        <f t="shared" si="189"/>
        <v>0.64402354463012546</v>
      </c>
      <c r="EU79" s="842">
        <f t="shared" si="190"/>
        <v>0.4015483574393639</v>
      </c>
      <c r="EV79" s="841"/>
      <c r="EW79" s="55">
        <f t="shared" si="191"/>
        <v>0.54654687413521597</v>
      </c>
      <c r="EX79" s="55">
        <f t="shared" si="191"/>
        <v>0.46499978939756881</v>
      </c>
      <c r="EY79" s="55">
        <f t="shared" si="191"/>
        <v>0.17831102951623579</v>
      </c>
      <c r="EZ79" s="55">
        <f t="shared" si="191"/>
        <v>3.4508117499850943E-2</v>
      </c>
      <c r="FA79" s="842">
        <f t="shared" si="191"/>
        <v>0.27722934721977199</v>
      </c>
      <c r="FB79" s="841"/>
      <c r="FC79" s="55">
        <f t="shared" si="192"/>
        <v>0.21183606451093029</v>
      </c>
      <c r="FD79" s="55">
        <f t="shared" si="192"/>
        <v>0.23690765170656514</v>
      </c>
      <c r="FE79" s="55">
        <f t="shared" si="192"/>
        <v>0.30148001342299091</v>
      </c>
      <c r="FF79" s="55">
        <f t="shared" si="192"/>
        <v>0.13201043863610162</v>
      </c>
      <c r="FG79" s="842">
        <f t="shared" si="192"/>
        <v>0.21501678219384535</v>
      </c>
      <c r="FH79" s="841"/>
      <c r="FI79" s="55">
        <f t="shared" si="193"/>
        <v>0.20405582386757071</v>
      </c>
      <c r="FJ79" s="55">
        <f t="shared" si="194"/>
        <v>0.21708245301175078</v>
      </c>
      <c r="FK79" s="55">
        <f t="shared" si="195"/>
        <v>0.24916380498005775</v>
      </c>
      <c r="FL79" s="55">
        <f t="shared" si="196"/>
        <v>0.1484574066155071</v>
      </c>
      <c r="FM79" s="842">
        <f t="shared" si="197"/>
        <v>0.20335011243002699</v>
      </c>
      <c r="FO79" s="802"/>
      <c r="FP79" s="820"/>
      <c r="FQ79" s="820"/>
      <c r="FR79" s="820"/>
      <c r="FS79" s="820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</row>
    <row r="80" spans="1:274" s="24" customFormat="1" collapsed="1" x14ac:dyDescent="0.2">
      <c r="A80" s="154" t="s">
        <v>698</v>
      </c>
      <c r="B80" s="359"/>
      <c r="C80" s="50" t="s">
        <v>945</v>
      </c>
      <c r="D80" s="50" t="s">
        <v>945</v>
      </c>
      <c r="E80" s="50" t="s">
        <v>945</v>
      </c>
      <c r="F80" s="50" t="s">
        <v>945</v>
      </c>
      <c r="G80" s="50" t="s">
        <v>945</v>
      </c>
      <c r="H80" s="50" t="s">
        <v>945</v>
      </c>
      <c r="I80" s="50" t="s">
        <v>945</v>
      </c>
      <c r="J80" s="50" t="s">
        <v>945</v>
      </c>
      <c r="K80" s="50" t="s">
        <v>945</v>
      </c>
      <c r="L80" s="50" t="s">
        <v>945</v>
      </c>
      <c r="M80" s="50" t="s">
        <v>945</v>
      </c>
      <c r="N80" s="475"/>
      <c r="O80" s="50" t="s">
        <v>945</v>
      </c>
      <c r="P80" s="50" t="s">
        <v>945</v>
      </c>
      <c r="Q80" s="50" t="s">
        <v>945</v>
      </c>
      <c r="R80" s="50" t="s">
        <v>945</v>
      </c>
      <c r="S80" s="50" t="s">
        <v>945</v>
      </c>
      <c r="T80" s="475"/>
      <c r="U80" s="50" t="s">
        <v>945</v>
      </c>
      <c r="V80" s="50" t="s">
        <v>945</v>
      </c>
      <c r="W80" s="50" t="s">
        <v>945</v>
      </c>
      <c r="X80" s="50" t="s">
        <v>945</v>
      </c>
      <c r="Y80" s="50" t="s">
        <v>945</v>
      </c>
      <c r="Z80" s="132"/>
      <c r="AA80" s="156">
        <v>0.34</v>
      </c>
      <c r="AB80" s="156">
        <v>0.36</v>
      </c>
      <c r="AC80" s="156">
        <v>0.31</v>
      </c>
      <c r="AD80" s="156">
        <v>0.37</v>
      </c>
      <c r="AE80" s="156">
        <v>0.35</v>
      </c>
      <c r="AF80" s="132"/>
      <c r="AG80" s="156">
        <f t="shared" si="171"/>
        <v>0.10206510906876298</v>
      </c>
      <c r="AH80" s="156">
        <f t="shared" si="171"/>
        <v>6.3026626221772686E-2</v>
      </c>
      <c r="AI80" s="156">
        <f t="shared" si="171"/>
        <v>0.3317307538521086</v>
      </c>
      <c r="AJ80" s="156">
        <f t="shared" si="171"/>
        <v>0.18127413668963821</v>
      </c>
      <c r="AK80" s="156">
        <f t="shared" si="171"/>
        <v>0.17795250540021668</v>
      </c>
      <c r="AL80" s="132"/>
      <c r="AM80" s="156">
        <f t="shared" si="172"/>
        <v>0.17656761531569987</v>
      </c>
      <c r="AN80" s="156">
        <f t="shared" si="172"/>
        <v>0.20717959557528354</v>
      </c>
      <c r="AO80" s="156">
        <f t="shared" si="172"/>
        <v>2.4288600066774579E-2</v>
      </c>
      <c r="AP80" s="156">
        <f t="shared" si="172"/>
        <v>0.20578014549311718</v>
      </c>
      <c r="AQ80" s="156">
        <f t="shared" si="172"/>
        <v>0.15819690705935319</v>
      </c>
      <c r="AR80" s="132"/>
      <c r="AS80" s="156">
        <f t="shared" si="173"/>
        <v>6.6182278805303252E-2</v>
      </c>
      <c r="AT80" s="156">
        <f t="shared" si="173"/>
        <v>0.14890286705736</v>
      </c>
      <c r="AU80" s="156">
        <f t="shared" si="173"/>
        <v>0.45476140784496732</v>
      </c>
      <c r="AV80" s="156">
        <f t="shared" si="173"/>
        <v>0.25046118496635494</v>
      </c>
      <c r="AW80" s="156">
        <f t="shared" si="173"/>
        <v>0.2489851719002707</v>
      </c>
      <c r="AX80" s="132"/>
      <c r="AY80" s="156">
        <f t="shared" si="174"/>
        <v>0.33783314755608385</v>
      </c>
      <c r="AZ80" s="156">
        <f t="shared" si="174"/>
        <v>0.34045314318437914</v>
      </c>
      <c r="BA80" s="156">
        <f t="shared" si="174"/>
        <v>-4.1944526385188197E-2</v>
      </c>
      <c r="BB80" s="156">
        <f t="shared" si="174"/>
        <v>-0.17136934652481184</v>
      </c>
      <c r="BC80" s="156">
        <f t="shared" si="174"/>
        <v>1.0735468754757616E-2</v>
      </c>
      <c r="BD80" s="132"/>
      <c r="BE80" s="156">
        <f t="shared" si="175"/>
        <v>-0.20163344317748122</v>
      </c>
      <c r="BF80" s="156">
        <f t="shared" si="175"/>
        <v>-0.3595422582523401</v>
      </c>
      <c r="BG80" s="156">
        <f t="shared" si="175"/>
        <v>-0.34736500287711192</v>
      </c>
      <c r="BH80" s="156">
        <f t="shared" si="175"/>
        <v>-0.41611369703318246</v>
      </c>
      <c r="BI80" s="156">
        <f t="shared" si="175"/>
        <v>-0.35281740751179169</v>
      </c>
      <c r="BJ80" s="132"/>
      <c r="BK80" s="156">
        <f t="shared" si="176"/>
        <v>-0.21591228651239514</v>
      </c>
      <c r="BL80" s="156">
        <f t="shared" si="176"/>
        <v>-0.17049009244540558</v>
      </c>
      <c r="BM80" s="156">
        <f t="shared" si="176"/>
        <v>-0.14073799082732008</v>
      </c>
      <c r="BN80" s="156">
        <f t="shared" si="176"/>
        <v>-8.0856143016032278E-2</v>
      </c>
      <c r="BO80" s="156">
        <f t="shared" si="176"/>
        <v>-0.1419684993553485</v>
      </c>
      <c r="BP80" s="132"/>
      <c r="BQ80" s="156">
        <f t="shared" si="177"/>
        <v>-0.1910449069701643</v>
      </c>
      <c r="BR80" s="156">
        <f t="shared" si="177"/>
        <v>0.2159493646259254</v>
      </c>
      <c r="BS80" s="156">
        <f t="shared" si="177"/>
        <v>1.7101710171017137E-2</v>
      </c>
      <c r="BT80" s="156">
        <f t="shared" si="177"/>
        <v>9.004478234520974E-2</v>
      </c>
      <c r="BU80" s="156">
        <f t="shared" si="177"/>
        <v>5.0055750750600536E-2</v>
      </c>
      <c r="BV80" s="132"/>
      <c r="BW80" s="52">
        <f t="shared" si="178"/>
        <v>0.11822660098522175</v>
      </c>
      <c r="BX80" s="52">
        <f t="shared" si="178"/>
        <v>6.9333333333333247E-2</v>
      </c>
      <c r="BY80" s="52">
        <f t="shared" si="178"/>
        <v>0.12212389380530975</v>
      </c>
      <c r="BZ80" s="52">
        <f t="shared" si="178"/>
        <v>0.39169675090252709</v>
      </c>
      <c r="CA80" s="156">
        <f t="shared" si="178"/>
        <v>0.20965329707681857</v>
      </c>
      <c r="CB80" s="132"/>
      <c r="CC80" s="52">
        <f t="shared" si="179"/>
        <v>0.18502202643171817</v>
      </c>
      <c r="CD80" s="52">
        <f t="shared" si="179"/>
        <v>0.22194513715710729</v>
      </c>
      <c r="CE80" s="52">
        <f t="shared" si="179"/>
        <v>0.26577287066246069</v>
      </c>
      <c r="CF80" s="52">
        <f t="shared" si="179"/>
        <v>0.37094682230869003</v>
      </c>
      <c r="CG80" s="395">
        <f t="shared" si="179"/>
        <v>0.29116556142519934</v>
      </c>
      <c r="CH80" s="132"/>
      <c r="CI80" s="52">
        <f t="shared" si="180"/>
        <v>0.33085501858736066</v>
      </c>
      <c r="CJ80" s="52">
        <f t="shared" si="180"/>
        <v>7.7551020408163307E-2</v>
      </c>
      <c r="CK80" s="52">
        <f t="shared" si="180"/>
        <v>0.31464174454828653</v>
      </c>
      <c r="CL80" s="52">
        <f t="shared" si="180"/>
        <v>0.14474929044465479</v>
      </c>
      <c r="CM80" s="395">
        <f t="shared" si="180"/>
        <v>0.1878128400435255</v>
      </c>
      <c r="CN80" s="132"/>
      <c r="CO80" s="52">
        <v>0.38</v>
      </c>
      <c r="CP80" s="52">
        <v>0.42</v>
      </c>
      <c r="CQ80" s="52">
        <v>0.15</v>
      </c>
      <c r="CR80" s="52">
        <v>0.21</v>
      </c>
      <c r="CS80" s="395">
        <v>0.26</v>
      </c>
      <c r="CT80" s="132"/>
      <c r="CU80" s="52">
        <f t="shared" si="181"/>
        <v>7.4148296593186336E-2</v>
      </c>
      <c r="CV80" s="52">
        <f t="shared" si="181"/>
        <v>-2.6595744680850686E-3</v>
      </c>
      <c r="CW80" s="52">
        <f t="shared" si="181"/>
        <v>-8.5597826086956541E-2</v>
      </c>
      <c r="CX80" s="52">
        <f t="shared" si="181"/>
        <v>-0.15135135135135136</v>
      </c>
      <c r="CY80" s="395">
        <f t="shared" si="181"/>
        <v>-7.2685318719353909E-2</v>
      </c>
      <c r="CZ80" s="132"/>
      <c r="DA80" s="52">
        <f t="shared" si="182"/>
        <v>-7.6492537313432862E-2</v>
      </c>
      <c r="DB80" s="52">
        <f t="shared" si="182"/>
        <v>3.7333333333333441E-2</v>
      </c>
      <c r="DC80" s="52">
        <f t="shared" si="182"/>
        <v>0.22288261515601793</v>
      </c>
      <c r="DD80" s="52">
        <f t="shared" si="182"/>
        <v>0.28025477707006363</v>
      </c>
      <c r="DE80" s="148">
        <f t="shared" si="182"/>
        <v>0.1520995334370141</v>
      </c>
      <c r="DF80" s="841"/>
      <c r="DG80" s="52">
        <f t="shared" si="183"/>
        <v>0.32929292929292919</v>
      </c>
      <c r="DH80" s="52">
        <f t="shared" si="183"/>
        <v>0.32390745501285356</v>
      </c>
      <c r="DI80" s="52">
        <f t="shared" si="183"/>
        <v>0.34872417982989057</v>
      </c>
      <c r="DJ80" s="52">
        <f t="shared" si="183"/>
        <v>0.15920398009950243</v>
      </c>
      <c r="DK80" s="148">
        <f t="shared" si="183"/>
        <v>0.25863930885529163</v>
      </c>
      <c r="DL80" s="841"/>
      <c r="DM80" s="52">
        <f t="shared" si="184"/>
        <v>0.10486322188449848</v>
      </c>
      <c r="DN80" s="52">
        <f t="shared" si="184"/>
        <v>-2.9126213592233219E-3</v>
      </c>
      <c r="DO80" s="52">
        <f t="shared" si="184"/>
        <v>0.10630630630630633</v>
      </c>
      <c r="DP80" s="52">
        <f t="shared" si="184"/>
        <v>0.14055793991416299</v>
      </c>
      <c r="DQ80" s="842">
        <f t="shared" si="184"/>
        <v>9.5667095667095747E-2</v>
      </c>
      <c r="DR80" s="841"/>
      <c r="DS80" s="55">
        <f t="shared" si="185"/>
        <v>0.11966987620357639</v>
      </c>
      <c r="DT80" s="55">
        <f t="shared" si="185"/>
        <v>0.22005842259006814</v>
      </c>
      <c r="DU80" s="55">
        <f t="shared" si="185"/>
        <v>-1.8729641693811083E-2</v>
      </c>
      <c r="DV80" s="55">
        <f t="shared" si="185"/>
        <v>3.1984948259642598E-2</v>
      </c>
      <c r="DW80" s="842">
        <f t="shared" si="185"/>
        <v>9.1506559418125466E-2</v>
      </c>
      <c r="DX80" s="841"/>
      <c r="DY80" s="55">
        <f t="shared" si="186"/>
        <v>0.13759213759213762</v>
      </c>
      <c r="DZ80" s="55">
        <f t="shared" si="186"/>
        <v>3.3519553072625774E-2</v>
      </c>
      <c r="EA80" s="55">
        <f t="shared" si="186"/>
        <v>7.8101103557870477E-2</v>
      </c>
      <c r="EB80" s="55">
        <f t="shared" si="186"/>
        <v>1.2685667847132764E-2</v>
      </c>
      <c r="EC80" s="842">
        <f t="shared" si="186"/>
        <v>1.3063422629683075E-2</v>
      </c>
      <c r="ED80" s="841"/>
      <c r="EE80" s="55">
        <f t="shared" si="187"/>
        <v>-1.6214969626168307E-2</v>
      </c>
      <c r="EF80" s="55">
        <f t="shared" si="187"/>
        <v>1.589339633102882E-2</v>
      </c>
      <c r="EG80" s="55">
        <f t="shared" si="187"/>
        <v>-1.1763889227363489E-2</v>
      </c>
      <c r="EH80" s="55">
        <f t="shared" si="187"/>
        <v>-0.13667344432140816</v>
      </c>
      <c r="EI80" s="842">
        <f t="shared" si="187"/>
        <v>-3.8894622300821968E-2</v>
      </c>
      <c r="EJ80" s="841"/>
      <c r="EK80" s="55">
        <f t="shared" si="187"/>
        <v>-5.0951267373836928E-2</v>
      </c>
      <c r="EL80" s="55">
        <f t="shared" si="188"/>
        <v>-0.10899479527074463</v>
      </c>
      <c r="EM80" s="55">
        <f t="shared" si="188"/>
        <v>-4.3498520996365975E-2</v>
      </c>
      <c r="EN80" s="55">
        <f t="shared" si="188"/>
        <v>-2.6273198723015589E-2</v>
      </c>
      <c r="EO80" s="842">
        <f t="shared" si="188"/>
        <v>-5.4535330076240562E-2</v>
      </c>
      <c r="EP80" s="841"/>
      <c r="EQ80" s="55">
        <f>EQ76/EK76-1</f>
        <v>0.17304085244919487</v>
      </c>
      <c r="ER80" s="55">
        <f t="shared" si="189"/>
        <v>5.1356975470768784E-2</v>
      </c>
      <c r="ES80" s="55">
        <f t="shared" si="189"/>
        <v>0.12613873870448944</v>
      </c>
      <c r="ET80" s="55">
        <f t="shared" si="189"/>
        <v>0.13754408885758962</v>
      </c>
      <c r="EU80" s="842">
        <f t="shared" si="190"/>
        <v>0.12111083915541543</v>
      </c>
      <c r="EV80" s="841"/>
      <c r="EW80" s="55">
        <f t="shared" si="191"/>
        <v>0.25589781429882019</v>
      </c>
      <c r="EX80" s="55">
        <f t="shared" si="191"/>
        <v>0.21364951416175537</v>
      </c>
      <c r="EY80" s="55">
        <f t="shared" si="191"/>
        <v>0.11380546635358146</v>
      </c>
      <c r="EZ80" s="55">
        <f t="shared" si="191"/>
        <v>2.8180744518880863E-2</v>
      </c>
      <c r="FA80" s="842">
        <f t="shared" si="191"/>
        <v>0.12861728705065345</v>
      </c>
      <c r="FB80" s="841"/>
      <c r="FC80" s="55">
        <f t="shared" si="192"/>
        <v>0.13599131085542226</v>
      </c>
      <c r="FD80" s="55">
        <f t="shared" si="192"/>
        <v>0.12204369152528316</v>
      </c>
      <c r="FE80" s="55">
        <f t="shared" si="192"/>
        <v>0.12557708101259202</v>
      </c>
      <c r="FF80" s="55">
        <f t="shared" si="192"/>
        <v>6.1018434121064224E-2</v>
      </c>
      <c r="FG80" s="842">
        <f t="shared" si="192"/>
        <v>0.10508931339758742</v>
      </c>
      <c r="FH80" s="841"/>
      <c r="FI80" s="55">
        <f t="shared" si="193"/>
        <v>0.13847118350870269</v>
      </c>
      <c r="FJ80" s="55">
        <f t="shared" si="194"/>
        <v>0.12196965957318495</v>
      </c>
      <c r="FK80" s="55">
        <f t="shared" si="195"/>
        <v>0.11928943574162587</v>
      </c>
      <c r="FL80" s="55">
        <f t="shared" si="196"/>
        <v>6.9334655282968338E-2</v>
      </c>
      <c r="FM80" s="842">
        <f t="shared" si="197"/>
        <v>0.10764962664100386</v>
      </c>
      <c r="FO80" s="621"/>
      <c r="FP80" s="820"/>
      <c r="FQ80" s="820"/>
      <c r="FR80" s="820"/>
      <c r="FS80" s="82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</row>
    <row r="81" spans="1:274" s="24" customFormat="1" x14ac:dyDescent="0.2">
      <c r="A81" s="58" t="s">
        <v>701</v>
      </c>
      <c r="B81" s="1040"/>
      <c r="C81" s="50"/>
      <c r="D81" s="50"/>
      <c r="E81" s="50"/>
      <c r="F81" s="50"/>
      <c r="G81" s="50"/>
      <c r="H81" s="50"/>
      <c r="I81" s="50"/>
      <c r="J81" s="50"/>
      <c r="K81" s="50"/>
      <c r="L81" s="50"/>
      <c r="M81" s="50"/>
      <c r="N81" s="342"/>
      <c r="O81" s="50"/>
      <c r="P81" s="50"/>
      <c r="Q81" s="50"/>
      <c r="R81" s="50"/>
      <c r="S81" s="50"/>
      <c r="T81" s="342"/>
      <c r="U81" s="50"/>
      <c r="V81" s="50"/>
      <c r="W81" s="50"/>
      <c r="X81" s="50"/>
      <c r="Y81" s="50"/>
      <c r="Z81" s="53"/>
      <c r="AA81" s="342"/>
      <c r="AB81" s="342"/>
      <c r="AC81" s="342"/>
      <c r="AD81" s="342"/>
      <c r="AE81" s="342"/>
      <c r="AF81" s="53"/>
      <c r="AG81" s="342"/>
      <c r="AH81" s="342"/>
      <c r="AI81" s="342"/>
      <c r="AJ81" s="342"/>
      <c r="AK81" s="342"/>
      <c r="AL81" s="53"/>
      <c r="AM81" s="342"/>
      <c r="AN81" s="342"/>
      <c r="AO81" s="342"/>
      <c r="AP81" s="342"/>
      <c r="AQ81" s="342"/>
      <c r="AR81" s="53"/>
      <c r="AS81" s="342"/>
      <c r="AT81" s="342"/>
      <c r="AU81" s="342"/>
      <c r="AV81" s="342"/>
      <c r="AW81" s="342"/>
      <c r="AX81" s="53"/>
      <c r="AY81" s="342"/>
      <c r="AZ81" s="342"/>
      <c r="BA81" s="342"/>
      <c r="BB81" s="342"/>
      <c r="BC81" s="342"/>
      <c r="BD81" s="53"/>
      <c r="BE81" s="342"/>
      <c r="BF81" s="342"/>
      <c r="BG81" s="342"/>
      <c r="BH81" s="342"/>
      <c r="BI81" s="342"/>
      <c r="BJ81" s="53"/>
      <c r="BK81" s="342"/>
      <c r="BL81" s="342"/>
      <c r="BM81" s="342"/>
      <c r="BN81" s="342"/>
      <c r="BO81" s="342"/>
      <c r="BP81" s="53"/>
      <c r="BQ81" s="342"/>
      <c r="BR81" s="342"/>
      <c r="BS81" s="342"/>
      <c r="BT81" s="342"/>
      <c r="BU81" s="342"/>
      <c r="BV81" s="53"/>
      <c r="BW81" s="342"/>
      <c r="BX81" s="342"/>
      <c r="BY81" s="342"/>
      <c r="BZ81" s="342"/>
      <c r="CA81" s="342"/>
      <c r="CB81" s="53"/>
      <c r="CC81" s="342"/>
      <c r="CD81" s="342"/>
      <c r="CE81" s="342"/>
      <c r="CF81" s="342"/>
      <c r="CG81" s="147"/>
      <c r="CH81" s="53"/>
      <c r="CI81" s="342"/>
      <c r="CJ81" s="342"/>
      <c r="CK81" s="342"/>
      <c r="CL81" s="342"/>
      <c r="CM81" s="147"/>
      <c r="CN81" s="53"/>
      <c r="CO81" s="342"/>
      <c r="CP81" s="342"/>
      <c r="CQ81" s="342"/>
      <c r="CR81" s="342"/>
      <c r="CS81" s="147"/>
      <c r="CT81" s="53"/>
      <c r="CU81" s="342"/>
      <c r="CV81" s="342"/>
      <c r="CW81" s="342"/>
      <c r="CX81" s="342"/>
      <c r="CY81" s="147"/>
      <c r="CZ81" s="53"/>
      <c r="DA81" s="342"/>
      <c r="DB81" s="342"/>
      <c r="DC81" s="342"/>
      <c r="DD81" s="342"/>
      <c r="DE81" s="147"/>
      <c r="DF81" s="53"/>
      <c r="DG81" s="342"/>
      <c r="DH81" s="342"/>
      <c r="DI81" s="342"/>
      <c r="DJ81" s="342"/>
      <c r="DK81" s="147"/>
      <c r="DL81" s="53"/>
      <c r="DM81" s="342"/>
      <c r="DN81" s="342"/>
      <c r="DO81" s="342"/>
      <c r="DP81" s="342"/>
      <c r="DQ81" s="147"/>
      <c r="DR81" s="53"/>
      <c r="DS81" s="342"/>
      <c r="DT81" s="342"/>
      <c r="DU81" s="342"/>
      <c r="DV81" s="342"/>
      <c r="DW81" s="147"/>
      <c r="DX81" s="53"/>
      <c r="DY81" s="342"/>
      <c r="DZ81" s="342"/>
      <c r="EA81" s="342"/>
      <c r="EB81" s="342"/>
      <c r="EC81" s="147"/>
      <c r="ED81" s="53"/>
      <c r="EE81" s="342"/>
      <c r="EF81" s="342"/>
      <c r="EG81" s="342"/>
      <c r="EH81" s="342"/>
      <c r="EI81" s="147"/>
      <c r="EJ81" s="53"/>
      <c r="EK81" s="342"/>
      <c r="EL81" s="342"/>
      <c r="EM81" s="342"/>
      <c r="EN81" s="342"/>
      <c r="EO81" s="147"/>
      <c r="EP81" s="53"/>
      <c r="EQ81" s="342"/>
      <c r="ER81" s="342"/>
      <c r="ES81" s="342"/>
      <c r="ET81" s="342"/>
      <c r="EU81" s="147"/>
      <c r="EV81" s="53"/>
      <c r="EW81" s="342"/>
      <c r="EX81" s="342"/>
      <c r="EY81" s="342"/>
      <c r="EZ81" s="342"/>
      <c r="FA81" s="147"/>
      <c r="FB81" s="53"/>
      <c r="FC81" s="342"/>
      <c r="FD81" s="342"/>
      <c r="FE81" s="342"/>
      <c r="FF81" s="342"/>
      <c r="FG81" s="147"/>
      <c r="FH81" s="53"/>
      <c r="FI81" s="342"/>
      <c r="FJ81" s="342"/>
      <c r="FK81" s="342"/>
      <c r="FL81" s="342"/>
      <c r="FM81" s="147"/>
      <c r="FO81" s="621"/>
      <c r="FP81" s="621"/>
      <c r="FQ81" s="621"/>
      <c r="FR81" s="621"/>
      <c r="FS81" s="62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</row>
    <row r="82" spans="1:274" s="24" customFormat="1" hidden="1" outlineLevel="1" x14ac:dyDescent="0.2">
      <c r="A82" s="342" t="s">
        <v>109</v>
      </c>
      <c r="B82" s="29"/>
      <c r="C82" s="50" t="s">
        <v>945</v>
      </c>
      <c r="D82" s="50" t="s">
        <v>945</v>
      </c>
      <c r="E82" s="50" t="s">
        <v>945</v>
      </c>
      <c r="F82" s="50" t="s">
        <v>945</v>
      </c>
      <c r="G82" s="50" t="s">
        <v>945</v>
      </c>
      <c r="H82" s="50" t="s">
        <v>945</v>
      </c>
      <c r="I82" s="50" t="s">
        <v>945</v>
      </c>
      <c r="J82" s="50" t="s">
        <v>945</v>
      </c>
      <c r="K82" s="50" t="s">
        <v>945</v>
      </c>
      <c r="L82" s="50" t="s">
        <v>945</v>
      </c>
      <c r="M82" s="50" t="s">
        <v>945</v>
      </c>
      <c r="N82" s="342"/>
      <c r="O82" s="50" t="s">
        <v>945</v>
      </c>
      <c r="P82" s="50" t="s">
        <v>945</v>
      </c>
      <c r="Q82" s="50" t="s">
        <v>945</v>
      </c>
      <c r="R82" s="50" t="s">
        <v>945</v>
      </c>
      <c r="S82" s="50" t="s">
        <v>945</v>
      </c>
      <c r="T82" s="342"/>
      <c r="U82" s="50" t="s">
        <v>945</v>
      </c>
      <c r="V82" s="50" t="s">
        <v>945</v>
      </c>
      <c r="W82" s="50" t="s">
        <v>945</v>
      </c>
      <c r="X82" s="50" t="s">
        <v>945</v>
      </c>
      <c r="Y82" s="50" t="s">
        <v>945</v>
      </c>
      <c r="Z82" s="53"/>
      <c r="AA82" s="43">
        <f>(AA72/AA74*0.55)+(AA73/AA74*0.21)</f>
        <v>0.48993204357015119</v>
      </c>
      <c r="AB82" s="43">
        <f>(AB72/AB74*0.25)+(AB73/AB74*-0.02)</f>
        <v>0.2071834319526627</v>
      </c>
      <c r="AC82" s="43">
        <f>(AC72/AC74*0.29)+(AC73/AC74*-0.13)</f>
        <v>0.23067953854031745</v>
      </c>
      <c r="AD82" s="43">
        <f>(AD72/AD74*0.34)+(AD73/AD74*-0.06)</f>
        <v>0.29002625892336342</v>
      </c>
      <c r="AE82" s="43">
        <f>(AE72/AE74*0.55)+(AE73/AE74*0.21)</f>
        <v>0.50124019534366904</v>
      </c>
      <c r="AF82" s="53"/>
      <c r="AG82" s="43">
        <f>(AG72/AG74*0.01)+(AG73/AG74*-0.35)</f>
        <v>-5.4086509394307564E-2</v>
      </c>
      <c r="AH82" s="43">
        <f>(AH72/AH74*0.15)+(AH73/AH74*0.04)</f>
        <v>0.13407716594423932</v>
      </c>
      <c r="AI82" s="43">
        <f>(AI72/AI74*0.35)+(AI73/AI74*0.27)</f>
        <v>0.33931299294312989</v>
      </c>
      <c r="AJ82" s="43">
        <f>(AJ72/AJ74*0.24)+(AJ73/AJ74*0.27)</f>
        <v>0.24381247393517333</v>
      </c>
      <c r="AK82" s="43">
        <f>(AK72/AK74*0.21)+(AK73/AK74*0.09)</f>
        <v>0.19493869613266357</v>
      </c>
      <c r="AL82" s="53"/>
      <c r="AM82" s="43">
        <f>(AM72/AM74*0.25)+(AM73/AM74*0.09)</f>
        <v>0.23268044656734527</v>
      </c>
      <c r="AN82" s="43">
        <f>(AN72/AN74*0.26)+(AN73/AN74*-0.19)</f>
        <v>0.21594370427281775</v>
      </c>
      <c r="AO82" s="43">
        <f>(AO72/AO74*0.13)+(AO73/AO74*-0.24)</f>
        <v>9.5268093638102708E-2</v>
      </c>
      <c r="AP82" s="43">
        <f>(AP72/AP74*0.25)+(AP73/AP74*-0.07)</f>
        <v>0.21893063287728523</v>
      </c>
      <c r="AQ82" s="43">
        <f>(AQ72/AQ74*0.23)+(AQ73/AQ74*-0.12)</f>
        <v>0.20744124233468306</v>
      </c>
      <c r="AR82" s="53"/>
      <c r="AS82" s="43">
        <f>(AS72/AS74*0.07)+(AS73/AS74*0.11)</f>
        <v>7.4428096649600289E-2</v>
      </c>
      <c r="AT82" s="43">
        <f>(AT72/AT74*0.15)+(AT73/AT74*0)</f>
        <v>0.13719058942480528</v>
      </c>
      <c r="AU82" s="43">
        <f>(AU72/AU74*0.49)+(AU73/AU74*0.16)</f>
        <v>0.46538160808411733</v>
      </c>
      <c r="AV82" s="43">
        <f>(AV72/AV74*0.13)+(AV73/AV74*0.09)</f>
        <v>0.1177691111164033</v>
      </c>
      <c r="AW82" s="43">
        <f>(AW72/AW74*0.2)+(AW73/AW74*0.09)</f>
        <v>0.18643189202534044</v>
      </c>
      <c r="AX82" s="53"/>
      <c r="AY82" s="43">
        <v>0.35</v>
      </c>
      <c r="AZ82" s="43">
        <v>0.24</v>
      </c>
      <c r="BA82" s="43">
        <v>-0.15</v>
      </c>
      <c r="BB82" s="43">
        <v>-0.06</v>
      </c>
      <c r="BC82" s="43">
        <v>0.02</v>
      </c>
      <c r="BD82" s="53"/>
      <c r="BE82" s="43">
        <v>-0.25</v>
      </c>
      <c r="BF82" s="43">
        <v>-0.31</v>
      </c>
      <c r="BG82" s="43">
        <v>-0.26</v>
      </c>
      <c r="BH82" s="43">
        <v>-0.42</v>
      </c>
      <c r="BI82" s="43">
        <v>-0.34</v>
      </c>
      <c r="BJ82" s="53"/>
      <c r="BK82" s="43">
        <v>-0.12</v>
      </c>
      <c r="BL82" s="43">
        <v>0</v>
      </c>
      <c r="BM82" s="43">
        <v>-0.13</v>
      </c>
      <c r="BN82" s="43">
        <v>-0.09</v>
      </c>
      <c r="BO82" s="43">
        <v>-0.08</v>
      </c>
      <c r="BP82" s="53"/>
      <c r="BQ82" s="43">
        <v>-0.15</v>
      </c>
      <c r="BR82" s="43">
        <v>0.14000000000000001</v>
      </c>
      <c r="BS82" s="43">
        <v>0.01</v>
      </c>
      <c r="BT82" s="43">
        <v>0.1</v>
      </c>
      <c r="BU82" s="43">
        <v>-0.08</v>
      </c>
      <c r="BV82" s="53"/>
      <c r="BW82" s="43">
        <v>0.21</v>
      </c>
      <c r="BX82" s="43">
        <v>-0.05</v>
      </c>
      <c r="BY82" s="43">
        <v>0.12</v>
      </c>
      <c r="BZ82" s="43">
        <v>0.27</v>
      </c>
      <c r="CA82" s="43">
        <v>0.15</v>
      </c>
      <c r="CB82" s="53"/>
      <c r="CC82" s="43">
        <v>-0.04</v>
      </c>
      <c r="CD82" s="43">
        <v>0.13</v>
      </c>
      <c r="CE82" s="43">
        <v>0.14000000000000001</v>
      </c>
      <c r="CF82" s="43">
        <v>0.21</v>
      </c>
      <c r="CG82" s="148">
        <v>0.14000000000000001</v>
      </c>
      <c r="CH82" s="53"/>
      <c r="CI82" s="43">
        <v>0.18</v>
      </c>
      <c r="CJ82" s="43">
        <f>CJ78</f>
        <v>1.8348623853210899E-2</v>
      </c>
      <c r="CK82" s="43">
        <f>CK78</f>
        <v>0.1467065868263473</v>
      </c>
      <c r="CL82" s="43">
        <v>0.19</v>
      </c>
      <c r="CM82" s="148">
        <v>0.14000000000000001</v>
      </c>
      <c r="CN82" s="53"/>
      <c r="CO82" s="43">
        <v>0.26</v>
      </c>
      <c r="CP82" s="43">
        <v>0.31</v>
      </c>
      <c r="CQ82" s="43">
        <v>0.21</v>
      </c>
      <c r="CR82" s="43">
        <v>0.13</v>
      </c>
      <c r="CS82" s="148">
        <v>0.2</v>
      </c>
      <c r="CT82" s="53"/>
      <c r="CU82" s="43">
        <v>0.17</v>
      </c>
      <c r="CV82" s="43">
        <v>0.1</v>
      </c>
      <c r="CW82" s="43">
        <v>-0.01</v>
      </c>
      <c r="CX82" s="43">
        <f>CX78-CX18</f>
        <v>-5.787778098425389E-2</v>
      </c>
      <c r="CY82" s="148">
        <f>CY78-CY18</f>
        <v>1.0627836879935182E-2</v>
      </c>
      <c r="CZ82" s="53"/>
      <c r="DA82" s="43">
        <v>-0.11</v>
      </c>
      <c r="DB82" s="43">
        <f>DB78-DB18</f>
        <v>3.2894188742726871E-2</v>
      </c>
      <c r="DC82" s="43">
        <f>DC78-DC18</f>
        <v>0.17280093761773396</v>
      </c>
      <c r="DD82" s="43">
        <f>DD78-DD18</f>
        <v>0.31325408056529214</v>
      </c>
      <c r="DE82" s="148">
        <f>DE78-DE18</f>
        <v>0.15128554162790664</v>
      </c>
      <c r="DF82" s="53"/>
      <c r="DG82" s="43">
        <f>DG78-DG18</f>
        <v>0.42604951094144528</v>
      </c>
      <c r="DH82" s="43">
        <f>DH78-DH18</f>
        <v>0.35324763461123876</v>
      </c>
      <c r="DI82" s="43">
        <f>DI78-DI18</f>
        <v>0.3866106183293696</v>
      </c>
      <c r="DJ82" s="43">
        <f>DJ78-DJ18</f>
        <v>0.13432385817585479</v>
      </c>
      <c r="DK82" s="148">
        <f>DK78-DK18</f>
        <v>0.27179248359625152</v>
      </c>
      <c r="DL82" s="53"/>
      <c r="DM82" s="43">
        <f>DM78-DM18</f>
        <v>6.1748878923766799E-2</v>
      </c>
      <c r="DN82" s="43">
        <f>DN78-DN18</f>
        <v>2.292330922470831E-3</v>
      </c>
      <c r="DO82" s="43">
        <f>DO78-DO18</f>
        <v>7.7968880826678966E-2</v>
      </c>
      <c r="DP82" s="43">
        <f>DP78-DP18</f>
        <v>5.8592741396770176E-2</v>
      </c>
      <c r="DQ82" s="148">
        <f>DQ78-DQ18</f>
        <v>4.7552070659320878E-2</v>
      </c>
      <c r="DR82" s="53"/>
      <c r="DS82" s="43">
        <f>DS78-DS18</f>
        <v>5.0000000000000031E-2</v>
      </c>
      <c r="DT82" s="43">
        <f>DT78-DT18</f>
        <v>0.1100000000000001</v>
      </c>
      <c r="DU82" s="43">
        <f>DU78-DU18</f>
        <v>6.0000000000000046E-2</v>
      </c>
      <c r="DV82" s="43">
        <f>DV78-DV18</f>
        <v>0.12000000000000009</v>
      </c>
      <c r="DW82" s="148">
        <f>DW78-DW18</f>
        <v>9.3657351154313492E-2</v>
      </c>
      <c r="DX82" s="53"/>
      <c r="DY82" s="43">
        <f>DY78-DY18</f>
        <v>0.11733348075371097</v>
      </c>
      <c r="DZ82" s="43">
        <f>DZ78-DZ18</f>
        <v>2.3836178954847131E-2</v>
      </c>
      <c r="EA82" s="43">
        <f>EA78-EA18</f>
        <v>8.0974107601707646E-2</v>
      </c>
      <c r="EB82" s="43">
        <f>EB78-EB18</f>
        <v>1.2233696186191967E-2</v>
      </c>
      <c r="EC82" s="148">
        <f>EC78-EC18</f>
        <v>4.5334282291781935E-2</v>
      </c>
      <c r="ED82" s="53"/>
      <c r="EE82" s="43">
        <f>EE78-EE18</f>
        <v>0</v>
      </c>
      <c r="EF82" s="43">
        <f>EF78-EF18</f>
        <v>2.0000000000000004E-2</v>
      </c>
      <c r="EG82" s="43">
        <f>EG78-EG18</f>
        <v>9.9999999999999881E-3</v>
      </c>
      <c r="EH82" s="43">
        <f>EH78-EH18</f>
        <v>-1.8511949215850587E-5</v>
      </c>
      <c r="EI82" s="148">
        <f>EI78-EI18</f>
        <v>1.0055261895758873E-2</v>
      </c>
      <c r="EJ82" s="53"/>
      <c r="EK82" s="43">
        <f>EK78-EK18</f>
        <v>2.4999999999999981E-2</v>
      </c>
      <c r="EL82" s="43">
        <f>EL78-EL18</f>
        <v>1.4999999999999989E-2</v>
      </c>
      <c r="EM82" s="43">
        <f>EM78-EM18</f>
        <v>4.9999999999999836E-3</v>
      </c>
      <c r="EN82" s="43">
        <f>EN78-EN18</f>
        <v>-3.0000000000000131E-3</v>
      </c>
      <c r="EO82" s="148">
        <f>EO78-EO18</f>
        <v>9.7468360615685125E-3</v>
      </c>
      <c r="EP82" s="53"/>
      <c r="EQ82" s="43">
        <f>EQ78-EQ18</f>
        <v>-5.0000000000001241E-3</v>
      </c>
      <c r="ER82" s="43">
        <f>ER78-ER18</f>
        <v>2.0000000000000018E-2</v>
      </c>
      <c r="ES82" s="43">
        <f>ES78-ES18</f>
        <v>1.4999999999999911E-2</v>
      </c>
      <c r="ET82" s="43">
        <f>ET78-ET18</f>
        <v>-1.5000000000000013E-2</v>
      </c>
      <c r="EU82" s="148">
        <f>EU78-EU18</f>
        <v>1.9194038128841769E-3</v>
      </c>
      <c r="EV82" s="53"/>
      <c r="EW82" s="43">
        <f>EW78-EW18</f>
        <v>-2.3977009069816618E-2</v>
      </c>
      <c r="EX82" s="43">
        <f>EX78-EX18</f>
        <v>5.9015522875817045E-2</v>
      </c>
      <c r="EY82" s="43">
        <f>EY78-EY18</f>
        <v>7.0952765442067092E-2</v>
      </c>
      <c r="EZ82" s="43">
        <f>EZ78-EZ18</f>
        <v>2.4999999999999911E-2</v>
      </c>
      <c r="FA82" s="148">
        <f>FA78-FA18</f>
        <v>3.5882206576661614E-2</v>
      </c>
      <c r="FB82" s="53"/>
      <c r="FC82" s="43">
        <f>FC78-FC18</f>
        <v>2.5999999999999912E-2</v>
      </c>
      <c r="FD82" s="43">
        <f>FD78-FD18</f>
        <v>2.5999999999999912E-2</v>
      </c>
      <c r="FE82" s="43">
        <f>FE78-FE18</f>
        <v>2.5999999999999912E-2</v>
      </c>
      <c r="FF82" s="43">
        <f>FF78-FF18</f>
        <v>2.4999999999999911E-2</v>
      </c>
      <c r="FG82" s="148">
        <f>FG78-FG18</f>
        <v>2.4999999999999911E-2</v>
      </c>
      <c r="FH82" s="53"/>
      <c r="FI82" s="43">
        <f>FI78-FI18</f>
        <v>2.4999999999999911E-2</v>
      </c>
      <c r="FJ82" s="43">
        <f>FJ78-FJ18</f>
        <v>2.4999999999999911E-2</v>
      </c>
      <c r="FK82" s="43">
        <f>FK78-FK18</f>
        <v>2.4999999999999911E-2</v>
      </c>
      <c r="FL82" s="43">
        <f>FL78-FL18</f>
        <v>2.4999999999999911E-2</v>
      </c>
      <c r="FM82" s="148">
        <f>FM78-FM18</f>
        <v>2.4999999999999911E-2</v>
      </c>
      <c r="FO82" s="183"/>
      <c r="FP82" s="183"/>
      <c r="FQ82" s="621"/>
      <c r="FR82" s="621"/>
      <c r="FS82" s="621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</row>
    <row r="83" spans="1:274" s="24" customFormat="1" hidden="1" outlineLevel="1" x14ac:dyDescent="0.2">
      <c r="A83" s="342" t="s">
        <v>697</v>
      </c>
      <c r="B83" s="695"/>
      <c r="C83" s="50" t="s">
        <v>945</v>
      </c>
      <c r="D83" s="50" t="s">
        <v>945</v>
      </c>
      <c r="E83" s="50" t="s">
        <v>945</v>
      </c>
      <c r="F83" s="50" t="s">
        <v>945</v>
      </c>
      <c r="G83" s="50" t="s">
        <v>945</v>
      </c>
      <c r="H83" s="50" t="s">
        <v>945</v>
      </c>
      <c r="I83" s="50" t="s">
        <v>945</v>
      </c>
      <c r="J83" s="50" t="s">
        <v>945</v>
      </c>
      <c r="K83" s="50" t="s">
        <v>945</v>
      </c>
      <c r="L83" s="50" t="s">
        <v>945</v>
      </c>
      <c r="M83" s="50" t="s">
        <v>945</v>
      </c>
      <c r="N83" s="342"/>
      <c r="O83" s="50" t="s">
        <v>945</v>
      </c>
      <c r="P83" s="50" t="s">
        <v>945</v>
      </c>
      <c r="Q83" s="50" t="s">
        <v>945</v>
      </c>
      <c r="R83" s="50" t="s">
        <v>945</v>
      </c>
      <c r="S83" s="50" t="s">
        <v>945</v>
      </c>
      <c r="T83" s="342"/>
      <c r="U83" s="50" t="s">
        <v>945</v>
      </c>
      <c r="V83" s="50" t="s">
        <v>945</v>
      </c>
      <c r="W83" s="50" t="s">
        <v>945</v>
      </c>
      <c r="X83" s="50" t="s">
        <v>945</v>
      </c>
      <c r="Y83" s="50" t="s">
        <v>945</v>
      </c>
      <c r="Z83" s="53"/>
      <c r="AA83" s="43">
        <v>-0.12</v>
      </c>
      <c r="AB83" s="43">
        <v>1.19</v>
      </c>
      <c r="AC83" s="43">
        <v>0.76</v>
      </c>
      <c r="AD83" s="43">
        <v>0.78</v>
      </c>
      <c r="AE83" s="43">
        <v>0.69</v>
      </c>
      <c r="AF83" s="53"/>
      <c r="AG83" s="43">
        <v>1.03</v>
      </c>
      <c r="AH83" s="43">
        <v>-0.11</v>
      </c>
      <c r="AI83" s="43">
        <v>0.35</v>
      </c>
      <c r="AJ83" s="43">
        <v>0.01</v>
      </c>
      <c r="AK83" s="43">
        <v>0.15</v>
      </c>
      <c r="AL83" s="53"/>
      <c r="AM83" s="43">
        <v>0.08</v>
      </c>
      <c r="AN83" s="43">
        <v>0.31</v>
      </c>
      <c r="AO83" s="43">
        <v>-7.0000000000000007E-2</v>
      </c>
      <c r="AP83" s="43">
        <v>0.25</v>
      </c>
      <c r="AQ83" s="43">
        <v>0.15</v>
      </c>
      <c r="AR83" s="53"/>
      <c r="AS83" s="43">
        <v>0.11</v>
      </c>
      <c r="AT83" s="43">
        <v>0.25</v>
      </c>
      <c r="AU83" s="43">
        <v>0.46</v>
      </c>
      <c r="AV83" s="43">
        <v>0.25</v>
      </c>
      <c r="AW83" s="43">
        <v>0.26</v>
      </c>
      <c r="AX83" s="53"/>
      <c r="AY83" s="43">
        <v>0.31</v>
      </c>
      <c r="AZ83" s="43">
        <v>0.65</v>
      </c>
      <c r="BA83" s="43">
        <v>0.32</v>
      </c>
      <c r="BB83" s="43">
        <v>-0.4</v>
      </c>
      <c r="BC83" s="43">
        <v>0.01</v>
      </c>
      <c r="BD83" s="53"/>
      <c r="BE83" s="43">
        <v>-0.01</v>
      </c>
      <c r="BF83" s="43">
        <v>-0.45</v>
      </c>
      <c r="BG83" s="43">
        <v>-0.49</v>
      </c>
      <c r="BH83" s="43">
        <v>-0.36</v>
      </c>
      <c r="BI83" s="43">
        <v>-0.37</v>
      </c>
      <c r="BJ83" s="53"/>
      <c r="BK83" s="43">
        <v>-0.38</v>
      </c>
      <c r="BL83" s="43">
        <v>-0.49</v>
      </c>
      <c r="BM83" s="43">
        <v>-0.09</v>
      </c>
      <c r="BN83" s="43">
        <v>-0.03</v>
      </c>
      <c r="BO83" s="43">
        <v>-0.23</v>
      </c>
      <c r="BP83" s="53"/>
      <c r="BQ83" s="43">
        <v>-0.32</v>
      </c>
      <c r="BR83" s="43">
        <v>0.46</v>
      </c>
      <c r="BS83" s="43">
        <v>-0.02</v>
      </c>
      <c r="BT83" s="43">
        <v>0.05</v>
      </c>
      <c r="BU83" s="43">
        <f>BU79</f>
        <v>3.2476930593582143E-2</v>
      </c>
      <c r="BV83" s="53"/>
      <c r="BW83" s="43">
        <v>-0.27</v>
      </c>
      <c r="BX83" s="43">
        <v>0.51</v>
      </c>
      <c r="BY83" s="43">
        <v>7.0000000000000007E-2</v>
      </c>
      <c r="BZ83" s="43">
        <v>0.69</v>
      </c>
      <c r="CA83" s="43">
        <v>0.38</v>
      </c>
      <c r="CB83" s="53"/>
      <c r="CC83" s="43">
        <v>1.48</v>
      </c>
      <c r="CD83" s="43">
        <v>0.4</v>
      </c>
      <c r="CE83" s="43">
        <v>0.6</v>
      </c>
      <c r="CF83" s="43">
        <v>0.72</v>
      </c>
      <c r="CG83" s="395">
        <v>0.66</v>
      </c>
      <c r="CH83" s="53"/>
      <c r="CI83" s="43">
        <v>0.69</v>
      </c>
      <c r="CJ83" s="43">
        <v>0.19</v>
      </c>
      <c r="CK83" s="43">
        <f>CK79</f>
        <v>0.69491525423728806</v>
      </c>
      <c r="CL83" s="43">
        <v>0.04</v>
      </c>
      <c r="CM83" s="395">
        <v>0.26</v>
      </c>
      <c r="CN83" s="53"/>
      <c r="CO83" s="43">
        <v>0.56999999999999995</v>
      </c>
      <c r="CP83" s="43">
        <v>0.54</v>
      </c>
      <c r="CQ83" s="43">
        <v>-0.01</v>
      </c>
      <c r="CR83" s="43">
        <v>0.32</v>
      </c>
      <c r="CS83" s="395">
        <v>0.31</v>
      </c>
      <c r="CT83" s="53"/>
      <c r="CU83" s="43">
        <v>-0.1</v>
      </c>
      <c r="CV83" s="43">
        <v>-0.06</v>
      </c>
      <c r="CW83" s="43">
        <v>-0.08</v>
      </c>
      <c r="CX83" s="43">
        <f>CX79-CX18</f>
        <v>-0.2094270063715602</v>
      </c>
      <c r="CY83" s="395">
        <f>CY79-CY18</f>
        <v>-0.12726917043592401</v>
      </c>
      <c r="CZ83" s="53"/>
      <c r="DA83" s="43">
        <v>0.06</v>
      </c>
      <c r="DB83" s="43">
        <f>DB79-DB18</f>
        <v>1.0453934683462784E-2</v>
      </c>
      <c r="DC83" s="43">
        <f>DC79-DC18</f>
        <v>0.23352118896994534</v>
      </c>
      <c r="DD83" s="43">
        <f>DD79-DD18</f>
        <v>0.1422147032759149</v>
      </c>
      <c r="DE83" s="395">
        <f>DE79-DE18</f>
        <v>0.10980351414124723</v>
      </c>
      <c r="DF83" s="53"/>
      <c r="DG83" s="43">
        <f>DG79-DG18</f>
        <v>0.13328577946803644</v>
      </c>
      <c r="DH83" s="43">
        <f>DH79-DH18</f>
        <v>0.2446712516446119</v>
      </c>
      <c r="DI83" s="43">
        <f>DI79-DI18</f>
        <v>0.24287943131196355</v>
      </c>
      <c r="DJ83" s="43">
        <f>DJ79-DJ18</f>
        <v>0.18683416286414367</v>
      </c>
      <c r="DK83" s="395">
        <f>DK79-DK18</f>
        <v>0.20696430802444477</v>
      </c>
      <c r="DL83" s="53"/>
      <c r="DM83" s="43">
        <f>DM79-DM18</f>
        <v>0.16452830188679246</v>
      </c>
      <c r="DN83" s="43">
        <f>DN79-DN18</f>
        <v>2.4874415335822686E-3</v>
      </c>
      <c r="DO83" s="43">
        <f>DO79-DO18</f>
        <v>0.19086879687928593</v>
      </c>
      <c r="DP83" s="43">
        <f>DP79-DP18</f>
        <v>0.37766031041599879</v>
      </c>
      <c r="DQ83" s="395">
        <f>DQ79-DQ18</f>
        <v>0.21030284197204208</v>
      </c>
      <c r="DR83" s="53"/>
      <c r="DS83" s="43">
        <f>DS79-DS18</f>
        <v>0.44499999999999962</v>
      </c>
      <c r="DT83" s="43">
        <f>DT79-DT18</f>
        <v>0.53481546572934979</v>
      </c>
      <c r="DU83" s="43">
        <f>DU79-DU18</f>
        <v>-7.9331306990884174E-3</v>
      </c>
      <c r="DV83" s="43">
        <f>DV79-DV18</f>
        <v>-0.11388024883359284</v>
      </c>
      <c r="DW83" s="395">
        <f>DW79-DW18</f>
        <v>0.11573541052190815</v>
      </c>
      <c r="DX83" s="53"/>
      <c r="DY83" s="43">
        <f>DY79-DY18</f>
        <v>-0.1045389573508968</v>
      </c>
      <c r="DZ83" s="43">
        <f>DZ79-DZ18</f>
        <v>-5.9438946716449115E-2</v>
      </c>
      <c r="EA83" s="43">
        <f>EA79-EA18</f>
        <v>-4.0288659343510891E-2</v>
      </c>
      <c r="EB83" s="43">
        <f>EB79-EB18</f>
        <v>7.3214090083359551E-2</v>
      </c>
      <c r="EC83" s="395">
        <f>EC79-EC18</f>
        <v>-1.7748529859330509E-2</v>
      </c>
      <c r="ED83" s="53"/>
      <c r="EE83" s="43">
        <f>EE79-EE18</f>
        <v>0.18396843828980458</v>
      </c>
      <c r="EF83" s="43">
        <f>EF79-EF18</f>
        <v>9.2755458764031115E-2</v>
      </c>
      <c r="EG83" s="43">
        <f>EG79-EG18</f>
        <v>4.1442631721455361E-3</v>
      </c>
      <c r="EH83" s="43">
        <f>EH79-EH18</f>
        <v>-0.35280957672645508</v>
      </c>
      <c r="EI83" s="395">
        <f>EI79-EI18</f>
        <v>-7.3661925326177019E-2</v>
      </c>
      <c r="EJ83" s="53"/>
      <c r="EK83" s="43">
        <f>EK79-EK18</f>
        <v>-6.3527748861299235E-2</v>
      </c>
      <c r="EL83" s="43">
        <f>EL79-EL18</f>
        <v>-0.20808195745596084</v>
      </c>
      <c r="EM83" s="43">
        <f>EM79-EM18</f>
        <v>-9.0002387158727132E-2</v>
      </c>
      <c r="EN83" s="43">
        <f>EN79-EN18</f>
        <v>-4.9919738634746871E-2</v>
      </c>
      <c r="EO83" s="395">
        <f>EO79-EO18</f>
        <v>-0.1114898199205126</v>
      </c>
      <c r="EP83" s="53"/>
      <c r="EQ83" s="43">
        <f>EQ79-EQ18</f>
        <v>0.48519523973827861</v>
      </c>
      <c r="ER83" s="43">
        <f>ER79-ER18</f>
        <v>0.10702956034163402</v>
      </c>
      <c r="ES83" s="43">
        <f>ES79-ES18</f>
        <v>0.37734855497354491</v>
      </c>
      <c r="ET83" s="43">
        <f>ET79-ET18</f>
        <v>0.64402354463012546</v>
      </c>
      <c r="EU83" s="395">
        <f>EU79-EU18</f>
        <v>0.40135800646633663</v>
      </c>
      <c r="EV83" s="53"/>
      <c r="EW83" s="43">
        <f>EW79-EW18</f>
        <v>0.5375698650653995</v>
      </c>
      <c r="EX83" s="43">
        <f>EX79-EX18</f>
        <v>0.46401531227338583</v>
      </c>
      <c r="EY83" s="43">
        <f>EY79-EY18</f>
        <v>0.16926379495830279</v>
      </c>
      <c r="EZ83" s="43">
        <f>EZ79-EZ18</f>
        <v>3.4508117499850943E-2</v>
      </c>
      <c r="FA83" s="395">
        <f>FA79-FA18</f>
        <v>0.27269285941827592</v>
      </c>
      <c r="FB83" s="53"/>
      <c r="FC83" s="43">
        <f>FC79-FC18</f>
        <v>0.21283606451093029</v>
      </c>
      <c r="FD83" s="43">
        <f>FD79-FD18</f>
        <v>0.23790765170656514</v>
      </c>
      <c r="FE83" s="43">
        <f>FE79-FE18</f>
        <v>0.30248001342299091</v>
      </c>
      <c r="FF83" s="43">
        <f>FF79-FF18</f>
        <v>0.13201043863610162</v>
      </c>
      <c r="FG83" s="395">
        <f>FG79-FG18</f>
        <v>0.21501678219384535</v>
      </c>
      <c r="FH83" s="53"/>
      <c r="FI83" s="43">
        <f>FI79-FI18</f>
        <v>0.20405582386757071</v>
      </c>
      <c r="FJ83" s="43">
        <f>FJ79-FJ18</f>
        <v>0.21708245301175078</v>
      </c>
      <c r="FK83" s="43">
        <f>FK79-FK18</f>
        <v>0.24916380498005775</v>
      </c>
      <c r="FL83" s="43">
        <f>FL79-FL18</f>
        <v>0.1484574066155071</v>
      </c>
      <c r="FM83" s="395">
        <f>FM79-FM18</f>
        <v>0.20335011243002699</v>
      </c>
      <c r="FO83" s="621"/>
      <c r="FP83" s="621"/>
      <c r="FQ83" s="820"/>
      <c r="FR83" s="820"/>
      <c r="FS83" s="820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</row>
    <row r="84" spans="1:274" s="24" customFormat="1" collapsed="1" x14ac:dyDescent="0.2">
      <c r="A84" s="140" t="s">
        <v>698</v>
      </c>
      <c r="B84" s="873"/>
      <c r="C84" s="169" t="s">
        <v>945</v>
      </c>
      <c r="D84" s="169" t="s">
        <v>945</v>
      </c>
      <c r="E84" s="169" t="s">
        <v>945</v>
      </c>
      <c r="F84" s="169" t="s">
        <v>945</v>
      </c>
      <c r="G84" s="169" t="s">
        <v>945</v>
      </c>
      <c r="H84" s="169" t="s">
        <v>945</v>
      </c>
      <c r="I84" s="169" t="s">
        <v>945</v>
      </c>
      <c r="J84" s="169" t="s">
        <v>945</v>
      </c>
      <c r="K84" s="169" t="s">
        <v>945</v>
      </c>
      <c r="L84" s="169" t="s">
        <v>945</v>
      </c>
      <c r="M84" s="169" t="s">
        <v>945</v>
      </c>
      <c r="N84" s="874"/>
      <c r="O84" s="169" t="s">
        <v>945</v>
      </c>
      <c r="P84" s="169" t="s">
        <v>945</v>
      </c>
      <c r="Q84" s="169" t="s">
        <v>945</v>
      </c>
      <c r="R84" s="169" t="s">
        <v>945</v>
      </c>
      <c r="S84" s="169" t="s">
        <v>945</v>
      </c>
      <c r="T84" s="874"/>
      <c r="U84" s="169" t="s">
        <v>945</v>
      </c>
      <c r="V84" s="169" t="s">
        <v>945</v>
      </c>
      <c r="W84" s="169" t="s">
        <v>945</v>
      </c>
      <c r="X84" s="169" t="s">
        <v>945</v>
      </c>
      <c r="Y84" s="169" t="s">
        <v>945</v>
      </c>
      <c r="Z84" s="172"/>
      <c r="AA84" s="253">
        <v>0.34</v>
      </c>
      <c r="AB84" s="253">
        <v>0.36</v>
      </c>
      <c r="AC84" s="253">
        <v>0.31</v>
      </c>
      <c r="AD84" s="253">
        <v>0.37</v>
      </c>
      <c r="AE84" s="253">
        <v>0.35</v>
      </c>
      <c r="AF84" s="172"/>
      <c r="AG84" s="253">
        <v>0.1</v>
      </c>
      <c r="AH84" s="253">
        <v>7.0000000000000007E-2</v>
      </c>
      <c r="AI84" s="253">
        <v>0.34</v>
      </c>
      <c r="AJ84" s="253">
        <v>0.19</v>
      </c>
      <c r="AK84" s="253">
        <v>0.18</v>
      </c>
      <c r="AL84" s="172"/>
      <c r="AM84" s="253">
        <v>0.19</v>
      </c>
      <c r="AN84" s="253">
        <v>0.22</v>
      </c>
      <c r="AO84" s="253">
        <v>0.04</v>
      </c>
      <c r="AP84" s="253">
        <v>0.22</v>
      </c>
      <c r="AQ84" s="253">
        <v>0.17</v>
      </c>
      <c r="AR84" s="172"/>
      <c r="AS84" s="253">
        <v>0.08</v>
      </c>
      <c r="AT84" s="253">
        <v>0.17</v>
      </c>
      <c r="AU84" s="253">
        <v>0.46</v>
      </c>
      <c r="AV84" s="253">
        <v>0.25</v>
      </c>
      <c r="AW84" s="253">
        <v>0.26</v>
      </c>
      <c r="AX84" s="172"/>
      <c r="AY84" s="253">
        <v>0.34</v>
      </c>
      <c r="AZ84" s="253">
        <v>0.35</v>
      </c>
      <c r="BA84" s="253">
        <v>-0.03</v>
      </c>
      <c r="BB84" s="253">
        <v>-0.16</v>
      </c>
      <c r="BC84" s="253">
        <v>0.02</v>
      </c>
      <c r="BD84" s="172"/>
      <c r="BE84" s="253">
        <v>-0.19</v>
      </c>
      <c r="BF84" s="253">
        <v>-0.35</v>
      </c>
      <c r="BG84" s="253">
        <v>-0.34</v>
      </c>
      <c r="BH84" s="253">
        <v>-0.41</v>
      </c>
      <c r="BI84" s="253">
        <v>-0.34</v>
      </c>
      <c r="BJ84" s="172"/>
      <c r="BK84" s="253">
        <v>-0.2</v>
      </c>
      <c r="BL84" s="253">
        <v>-0.14000000000000001</v>
      </c>
      <c r="BM84" s="253">
        <v>-0.12</v>
      </c>
      <c r="BN84" s="151">
        <v>-7.0000000000000007E-2</v>
      </c>
      <c r="BO84" s="151">
        <v>-0.12</v>
      </c>
      <c r="BP84" s="172"/>
      <c r="BQ84" s="253">
        <v>-0.19</v>
      </c>
      <c r="BR84" s="253">
        <v>0.19</v>
      </c>
      <c r="BS84" s="253">
        <v>0</v>
      </c>
      <c r="BT84" s="253">
        <v>0.09</v>
      </c>
      <c r="BU84" s="253">
        <f>BU80</f>
        <v>5.0055750750600536E-2</v>
      </c>
      <c r="BV84" s="172"/>
      <c r="BW84" s="253">
        <v>0.11</v>
      </c>
      <c r="BX84" s="253">
        <v>7.0000000000000007E-2</v>
      </c>
      <c r="BY84" s="253">
        <v>0.11</v>
      </c>
      <c r="BZ84" s="253">
        <v>0.37</v>
      </c>
      <c r="CA84" s="253">
        <v>0.2</v>
      </c>
      <c r="CB84" s="172"/>
      <c r="CC84" s="253">
        <v>0.17</v>
      </c>
      <c r="CD84" s="253">
        <v>0.21</v>
      </c>
      <c r="CE84" s="253">
        <v>0.25</v>
      </c>
      <c r="CF84" s="253">
        <v>0.36</v>
      </c>
      <c r="CG84" s="875">
        <v>0.28000000000000003</v>
      </c>
      <c r="CH84" s="172"/>
      <c r="CI84" s="253">
        <v>0.32</v>
      </c>
      <c r="CJ84" s="253">
        <v>7.0000000000000007E-2</v>
      </c>
      <c r="CK84" s="253">
        <f>CK80</f>
        <v>0.31464174454828653</v>
      </c>
      <c r="CL84" s="253">
        <v>0.13</v>
      </c>
      <c r="CM84" s="875">
        <v>0.18</v>
      </c>
      <c r="CN84" s="172"/>
      <c r="CO84" s="253">
        <v>0.37</v>
      </c>
      <c r="CP84" s="253">
        <v>0.39</v>
      </c>
      <c r="CQ84" s="253">
        <v>0.13</v>
      </c>
      <c r="CR84" s="253">
        <v>0.19</v>
      </c>
      <c r="CS84" s="875">
        <v>0.24</v>
      </c>
      <c r="CT84" s="172"/>
      <c r="CU84" s="253">
        <v>0.06</v>
      </c>
      <c r="CV84" s="253">
        <v>0.03</v>
      </c>
      <c r="CW84" s="253">
        <v>-0.04</v>
      </c>
      <c r="CX84" s="253">
        <f>CX80-CX18</f>
        <v>-0.11440154612870868</v>
      </c>
      <c r="CY84" s="875">
        <f>CY80-CY18</f>
        <v>-4.1436536519678269E-2</v>
      </c>
      <c r="CZ84" s="172"/>
      <c r="DA84" s="253">
        <f>DA80-DA18</f>
        <v>-5.4784310062771846E-2</v>
      </c>
      <c r="DB84" s="253">
        <f>DB80-DB18</f>
        <v>2.4531454063307812E-2</v>
      </c>
      <c r="DC84" s="253">
        <f>DC80-DC18</f>
        <v>0.19301094698310606</v>
      </c>
      <c r="DD84" s="253">
        <f>DD80-DD18</f>
        <v>0.25660409573059395</v>
      </c>
      <c r="DE84" s="875">
        <f>DE80-DE18</f>
        <v>0.13707327000222858</v>
      </c>
      <c r="DF84" s="172"/>
      <c r="DG84" s="253">
        <f>DG80-DG18</f>
        <v>0.31663276281501962</v>
      </c>
      <c r="DH84" s="253">
        <f>DH80-DH18</f>
        <v>0.31333395141271025</v>
      </c>
      <c r="DI84" s="253">
        <f>DI80-DI18</f>
        <v>0.33718665001111203</v>
      </c>
      <c r="DJ84" s="253">
        <f>DJ80-DJ18</f>
        <v>0.15016185430385232</v>
      </c>
      <c r="DK84" s="875">
        <f>DK80-DK18</f>
        <v>0.25010724884099544</v>
      </c>
      <c r="DL84" s="172"/>
      <c r="DM84" s="253">
        <f>DM80-DM18</f>
        <v>9.4863221884498486E-2</v>
      </c>
      <c r="DN84" s="253">
        <f>DN80-DN18</f>
        <v>2.3603354946931665E-3</v>
      </c>
      <c r="DO84" s="253">
        <f>DO80-DO18</f>
        <v>0.11407651163629651</v>
      </c>
      <c r="DP84" s="253">
        <f>DP80-DP18</f>
        <v>0.15787342274395488</v>
      </c>
      <c r="DQ84" s="875">
        <f>DQ80-DQ18</f>
        <v>0.1001266441464419</v>
      </c>
      <c r="DR84" s="172"/>
      <c r="DS84" s="253">
        <f>DS80-DS18</f>
        <v>0.13966987620357638</v>
      </c>
      <c r="DT84" s="253">
        <f>DT80-DT18</f>
        <v>0.22005842259006814</v>
      </c>
      <c r="DU84" s="253">
        <f>DU80-DU18</f>
        <v>-8.729641693811083E-3</v>
      </c>
      <c r="DV84" s="253">
        <f>DV80-DV18</f>
        <v>4.19849482596426E-2</v>
      </c>
      <c r="DW84" s="875">
        <f>DW80-DW18</f>
        <v>0.10150655941812546</v>
      </c>
      <c r="DX84" s="172"/>
      <c r="DY84" s="253">
        <f>DY80-DY18</f>
        <v>0.14492561834584849</v>
      </c>
      <c r="DZ84" s="253">
        <f>DZ80-DZ18</f>
        <v>4.2355732027473003E-2</v>
      </c>
      <c r="EA84" s="253">
        <f>EA80-EA18</f>
        <v>8.907521115957806E-2</v>
      </c>
      <c r="EB84" s="253">
        <f>EB80-EB18</f>
        <v>2.2919364033324729E-2</v>
      </c>
      <c r="EC84" s="875">
        <f>EC80-EC18</f>
        <v>2.2614672460849361E-2</v>
      </c>
      <c r="ED84" s="172"/>
      <c r="EE84" s="253">
        <f>EE80-EE18</f>
        <v>-6.2149696261683072E-3</v>
      </c>
      <c r="EF84" s="253">
        <f>EF80-EF18</f>
        <v>2.5893396331028815E-2</v>
      </c>
      <c r="EG84" s="253">
        <f>EG80-EG18</f>
        <v>8.2361107726365082E-3</v>
      </c>
      <c r="EH84" s="253">
        <f>EH80-EH18</f>
        <v>-0.11669195627062398</v>
      </c>
      <c r="EI84" s="875">
        <f>EI80-EI18</f>
        <v>-1.8894622300821971E-2</v>
      </c>
      <c r="EJ84" s="172"/>
      <c r="EK84" s="253">
        <f>EK80-EK18</f>
        <v>-1.0951267373836934E-2</v>
      </c>
      <c r="EL84" s="253">
        <f>EL80-EL18</f>
        <v>-7.8994795270744628E-2</v>
      </c>
      <c r="EM84" s="253">
        <f>EM80-EM18</f>
        <v>-2.3498520996365978E-2</v>
      </c>
      <c r="EN84" s="253">
        <f>EN80-EN18</f>
        <v>-1.4273198723015589E-2</v>
      </c>
      <c r="EO84" s="875">
        <f>EO80-EO18</f>
        <v>-2.9788494014672037E-2</v>
      </c>
      <c r="EP84" s="172"/>
      <c r="EQ84" s="253">
        <f>EQ80-EQ18</f>
        <v>0.18304085244919488</v>
      </c>
      <c r="ER84" s="253">
        <f>ER80-ER18</f>
        <v>5.1356975470768784E-2</v>
      </c>
      <c r="ES84" s="253">
        <f>ES80-ES18</f>
        <v>0.11613873870448944</v>
      </c>
      <c r="ET84" s="253">
        <f>ET80-ET18</f>
        <v>0.13754408885758962</v>
      </c>
      <c r="EU84" s="875">
        <f>EU80-EU18</f>
        <v>0.12092048818238814</v>
      </c>
      <c r="EV84" s="172"/>
      <c r="EW84" s="253">
        <f>EW80-EW18</f>
        <v>0.2469208052290037</v>
      </c>
      <c r="EX84" s="253">
        <f>EX80-EX18</f>
        <v>0.21266503703757236</v>
      </c>
      <c r="EY84" s="253">
        <f>EY80-EY18</f>
        <v>0.10475823179564848</v>
      </c>
      <c r="EZ84" s="253">
        <f>EZ80-EZ18</f>
        <v>2.8180744518880863E-2</v>
      </c>
      <c r="FA84" s="875">
        <f>FA80-FA18</f>
        <v>0.12408079924915737</v>
      </c>
      <c r="FB84" s="172"/>
      <c r="FC84" s="253">
        <f>FC80-FC18</f>
        <v>0.13699131085542227</v>
      </c>
      <c r="FD84" s="253">
        <f>FD80-FD18</f>
        <v>0.12304369152528316</v>
      </c>
      <c r="FE84" s="253">
        <f>FE80-FE18</f>
        <v>0.12657708101259202</v>
      </c>
      <c r="FF84" s="253">
        <f>FF80-FF18</f>
        <v>6.1018434121064224E-2</v>
      </c>
      <c r="FG84" s="875">
        <f>FG80-FG18</f>
        <v>0.10508931339758742</v>
      </c>
      <c r="FH84" s="172"/>
      <c r="FI84" s="253">
        <f>FI80-FI18</f>
        <v>0.13847118350870269</v>
      </c>
      <c r="FJ84" s="253">
        <f>FJ80-FJ18</f>
        <v>0.12196965957318495</v>
      </c>
      <c r="FK84" s="253">
        <f>FK80-FK18</f>
        <v>0.11928943574162587</v>
      </c>
      <c r="FL84" s="253">
        <f>FL80-FL18</f>
        <v>6.9334655282968338E-2</v>
      </c>
      <c r="FM84" s="875">
        <f>FM80-FM18</f>
        <v>0.10764962664100386</v>
      </c>
      <c r="FO84" s="621"/>
      <c r="FP84" s="621"/>
      <c r="FQ84" s="820"/>
      <c r="FR84" s="820"/>
      <c r="FS84" s="820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</row>
    <row r="85" spans="1:274" s="24" customFormat="1" ht="15" customHeight="1" collapsed="1" x14ac:dyDescent="0.2">
      <c r="A85" s="19" t="s">
        <v>564</v>
      </c>
      <c r="B85" s="29"/>
      <c r="C85" s="50" t="s">
        <v>945</v>
      </c>
      <c r="D85" s="50" t="s">
        <v>945</v>
      </c>
      <c r="E85" s="50" t="s">
        <v>945</v>
      </c>
      <c r="F85" s="50" t="s">
        <v>945</v>
      </c>
      <c r="G85" s="50" t="s">
        <v>945</v>
      </c>
      <c r="H85" s="50" t="s">
        <v>945</v>
      </c>
      <c r="I85" s="50" t="s">
        <v>945</v>
      </c>
      <c r="J85" s="50" t="s">
        <v>945</v>
      </c>
      <c r="K85" s="50" t="s">
        <v>945</v>
      </c>
      <c r="L85" s="50" t="s">
        <v>945</v>
      </c>
      <c r="M85" s="50" t="s">
        <v>945</v>
      </c>
      <c r="N85" s="342"/>
      <c r="O85" s="50" t="s">
        <v>945</v>
      </c>
      <c r="P85" s="50" t="s">
        <v>945</v>
      </c>
      <c r="Q85" s="50" t="s">
        <v>945</v>
      </c>
      <c r="R85" s="50" t="s">
        <v>945</v>
      </c>
      <c r="S85" s="50" t="s">
        <v>945</v>
      </c>
      <c r="T85" s="342"/>
      <c r="U85" s="50" t="s">
        <v>945</v>
      </c>
      <c r="V85" s="50" t="s">
        <v>945</v>
      </c>
      <c r="W85" s="50" t="s">
        <v>945</v>
      </c>
      <c r="X85" s="50" t="s">
        <v>945</v>
      </c>
      <c r="Y85" s="50" t="s">
        <v>945</v>
      </c>
      <c r="Z85" s="53"/>
      <c r="AA85" s="342"/>
      <c r="AB85" s="342"/>
      <c r="AC85" s="342"/>
      <c r="AD85" s="342"/>
      <c r="AE85" s="342"/>
      <c r="AF85" s="53"/>
      <c r="AG85" s="342"/>
      <c r="AH85" s="342"/>
      <c r="AI85" s="342"/>
      <c r="AJ85" s="342"/>
      <c r="AK85" s="342"/>
      <c r="AL85" s="53"/>
      <c r="AM85" s="342"/>
      <c r="AN85" s="342"/>
      <c r="AO85" s="342"/>
      <c r="AP85" s="342"/>
      <c r="AQ85" s="342"/>
      <c r="AR85" s="53"/>
      <c r="AS85" s="342"/>
      <c r="AT85" s="342"/>
      <c r="AU85" s="342"/>
      <c r="AV85" s="342"/>
      <c r="AW85" s="342"/>
      <c r="AX85" s="53"/>
      <c r="AY85" s="342"/>
      <c r="AZ85" s="342"/>
      <c r="BA85" s="342"/>
      <c r="BB85" s="342"/>
      <c r="BC85" s="342"/>
      <c r="BD85" s="53"/>
      <c r="BE85" s="342"/>
      <c r="BF85" s="342"/>
      <c r="BG85" s="342"/>
      <c r="BH85" s="342"/>
      <c r="BI85" s="342"/>
      <c r="BJ85" s="53"/>
      <c r="BK85" s="342"/>
      <c r="BL85" s="342"/>
      <c r="BM85" s="342"/>
      <c r="BN85" s="342"/>
      <c r="BO85" s="342"/>
      <c r="BP85" s="53"/>
      <c r="BQ85" s="342"/>
      <c r="BR85" s="342"/>
      <c r="BS85" s="342"/>
      <c r="BT85" s="342"/>
      <c r="BU85" s="342"/>
      <c r="BV85" s="53"/>
      <c r="BW85" s="342"/>
      <c r="BX85" s="342"/>
      <c r="BY85" s="342"/>
      <c r="BZ85" s="342"/>
      <c r="CA85" s="342"/>
      <c r="CB85" s="53"/>
      <c r="CC85" s="43">
        <f>CC80-CC84</f>
        <v>1.5022026431718155E-2</v>
      </c>
      <c r="CD85" s="43">
        <f>CD80-CD84</f>
        <v>1.1945137157107294E-2</v>
      </c>
      <c r="CE85" s="43">
        <f>CE80-CE84</f>
        <v>1.5772870662460692E-2</v>
      </c>
      <c r="CF85" s="43">
        <f>CF80-CF84</f>
        <v>1.0946822308690041E-2</v>
      </c>
      <c r="CG85" s="395">
        <f>CG80-CG84</f>
        <v>1.1165561425199311E-2</v>
      </c>
      <c r="CH85" s="53"/>
      <c r="CI85" s="43">
        <f>CI80-CI84</f>
        <v>1.0855018587360654E-2</v>
      </c>
      <c r="CJ85" s="43">
        <f>CJ80-CJ84</f>
        <v>7.5510204081633003E-3</v>
      </c>
      <c r="CK85" s="43">
        <f>CK80-CK84</f>
        <v>0</v>
      </c>
      <c r="CL85" s="43">
        <f>CL80-CL84</f>
        <v>1.4749290444654783E-2</v>
      </c>
      <c r="CM85" s="395">
        <f>CM80-CM84</f>
        <v>7.8128400435255041E-3</v>
      </c>
      <c r="CN85" s="53"/>
      <c r="CO85" s="43">
        <f>CO80-CO84</f>
        <v>1.0000000000000009E-2</v>
      </c>
      <c r="CP85" s="43">
        <f>CP80-CP84</f>
        <v>2.9999999999999971E-2</v>
      </c>
      <c r="CQ85" s="43">
        <f>CQ80-CQ84</f>
        <v>1.999999999999999E-2</v>
      </c>
      <c r="CR85" s="43">
        <f>CR80-CR84</f>
        <v>1.999999999999999E-2</v>
      </c>
      <c r="CS85" s="395">
        <f>CS80-CS84</f>
        <v>2.0000000000000018E-2</v>
      </c>
      <c r="CT85" s="53"/>
      <c r="CU85" s="43">
        <f>CU80-CU84</f>
        <v>1.4148296593186338E-2</v>
      </c>
      <c r="CV85" s="43">
        <f>CV80-CV84</f>
        <v>-3.2659574468085067E-2</v>
      </c>
      <c r="CW85" s="43">
        <f>CW80-CW84</f>
        <v>-4.559782608695654E-2</v>
      </c>
      <c r="CX85" s="342"/>
      <c r="CY85" s="147"/>
      <c r="CZ85" s="53"/>
      <c r="DA85" s="342"/>
      <c r="DB85" s="342"/>
      <c r="DC85" s="342"/>
      <c r="DD85" s="342"/>
      <c r="DE85" s="147"/>
      <c r="DF85" s="53"/>
      <c r="DG85" s="342"/>
      <c r="DH85" s="342"/>
      <c r="DI85" s="342"/>
      <c r="DJ85" s="342"/>
      <c r="DK85" s="147"/>
      <c r="DL85" s="53"/>
      <c r="DM85" s="342"/>
      <c r="DN85" s="342"/>
      <c r="DO85" s="342"/>
      <c r="DP85" s="342"/>
      <c r="DQ85" s="147"/>
      <c r="DR85" s="53"/>
      <c r="DS85" s="342"/>
      <c r="DT85" s="342"/>
      <c r="DU85" s="342"/>
      <c r="DV85" s="342"/>
      <c r="DW85" s="147"/>
      <c r="DX85" s="53"/>
      <c r="DY85" s="342"/>
      <c r="DZ85" s="342"/>
      <c r="EA85" s="342"/>
      <c r="EB85" s="342"/>
      <c r="EC85" s="147"/>
      <c r="ED85" s="53"/>
      <c r="EE85" s="342"/>
      <c r="EF85" s="342"/>
      <c r="EG85" s="342"/>
      <c r="EH85" s="342"/>
      <c r="EI85" s="147"/>
      <c r="EJ85" s="53"/>
      <c r="EK85" s="342"/>
      <c r="EL85" s="342"/>
      <c r="EM85" s="342"/>
      <c r="EN85" s="342"/>
      <c r="EO85" s="147"/>
      <c r="EP85" s="53"/>
      <c r="EQ85" s="342"/>
      <c r="ER85" s="342"/>
      <c r="ES85" s="342"/>
      <c r="ET85" s="342"/>
      <c r="EU85" s="147"/>
      <c r="EV85" s="53"/>
      <c r="EW85" s="342"/>
      <c r="EX85" s="342"/>
      <c r="EY85" s="342"/>
      <c r="EZ85" s="342"/>
      <c r="FA85" s="147"/>
      <c r="FB85" s="53"/>
      <c r="FC85" s="342"/>
      <c r="FD85" s="342"/>
      <c r="FE85" s="342"/>
      <c r="FF85" s="342"/>
      <c r="FG85" s="147"/>
      <c r="FH85" s="53"/>
      <c r="FI85" s="342"/>
      <c r="FJ85" s="342"/>
      <c r="FK85" s="342"/>
      <c r="FL85" s="342"/>
      <c r="FM85" s="147"/>
      <c r="FO85" s="621"/>
      <c r="FP85" s="621"/>
      <c r="FQ85" s="820"/>
      <c r="FR85" s="820"/>
      <c r="FS85" s="820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</row>
    <row r="86" spans="1:274" s="24" customFormat="1" ht="9.75" customHeight="1" x14ac:dyDescent="0.2">
      <c r="A86" s="342"/>
      <c r="B86" s="29"/>
      <c r="C86" s="50"/>
      <c r="D86" s="50"/>
      <c r="E86" s="50"/>
      <c r="F86" s="50"/>
      <c r="G86" s="50"/>
      <c r="H86" s="50"/>
      <c r="I86" s="50"/>
      <c r="J86" s="50"/>
      <c r="K86" s="50"/>
      <c r="L86" s="50"/>
      <c r="M86" s="50"/>
      <c r="N86" s="342"/>
      <c r="O86" s="50"/>
      <c r="P86" s="50"/>
      <c r="Q86" s="50"/>
      <c r="R86" s="50"/>
      <c r="S86" s="50"/>
      <c r="T86" s="342"/>
      <c r="U86" s="50"/>
      <c r="V86" s="50"/>
      <c r="W86" s="50"/>
      <c r="X86" s="50"/>
      <c r="Y86" s="50"/>
      <c r="Z86" s="53"/>
      <c r="AA86" s="342"/>
      <c r="AB86" s="342"/>
      <c r="AC86" s="342"/>
      <c r="AD86" s="342"/>
      <c r="AE86" s="342"/>
      <c r="AF86" s="53"/>
      <c r="AG86" s="342"/>
      <c r="AH86" s="342"/>
      <c r="AI86" s="342"/>
      <c r="AJ86" s="342"/>
      <c r="AK86" s="342"/>
      <c r="AL86" s="53"/>
      <c r="AM86" s="342"/>
      <c r="AN86" s="342"/>
      <c r="AO86" s="342"/>
      <c r="AP86" s="342"/>
      <c r="AQ86" s="342"/>
      <c r="AR86" s="53"/>
      <c r="AS86" s="342"/>
      <c r="AT86" s="342"/>
      <c r="AU86" s="342"/>
      <c r="AV86" s="342"/>
      <c r="AW86" s="342"/>
      <c r="AX86" s="53"/>
      <c r="AY86" s="342"/>
      <c r="AZ86" s="342"/>
      <c r="BA86" s="342"/>
      <c r="BB86" s="342"/>
      <c r="BC86" s="342"/>
      <c r="BD86" s="53"/>
      <c r="BE86" s="342"/>
      <c r="BF86" s="342"/>
      <c r="BG86" s="342"/>
      <c r="BH86" s="342"/>
      <c r="BI86" s="342"/>
      <c r="BJ86" s="53"/>
      <c r="BK86" s="342"/>
      <c r="BL86" s="342"/>
      <c r="BM86" s="342"/>
      <c r="BN86" s="342"/>
      <c r="BO86" s="342"/>
      <c r="BP86" s="53"/>
      <c r="BQ86" s="342"/>
      <c r="BR86" s="342"/>
      <c r="BS86" s="342"/>
      <c r="BT86" s="342"/>
      <c r="BU86" s="342"/>
      <c r="BV86" s="53"/>
      <c r="BW86" s="342"/>
      <c r="BX86" s="342"/>
      <c r="BY86" s="342"/>
      <c r="BZ86" s="342"/>
      <c r="CA86" s="342"/>
      <c r="CB86" s="53"/>
      <c r="CC86" s="342"/>
      <c r="CD86" s="342"/>
      <c r="CE86" s="342"/>
      <c r="CF86" s="342"/>
      <c r="CG86" s="147"/>
      <c r="CH86" s="53"/>
      <c r="CI86" s="342"/>
      <c r="CJ86" s="342"/>
      <c r="CK86" s="342"/>
      <c r="CL86" s="342"/>
      <c r="CM86" s="147"/>
      <c r="CN86" s="53"/>
      <c r="CO86" s="342"/>
      <c r="CP86" s="342"/>
      <c r="CQ86" s="342"/>
      <c r="CR86" s="342"/>
      <c r="CS86" s="147"/>
      <c r="CT86" s="53"/>
      <c r="CU86" s="342"/>
      <c r="CV86" s="342"/>
      <c r="CW86" s="342"/>
      <c r="CX86" s="342"/>
      <c r="CY86" s="147"/>
      <c r="CZ86" s="53"/>
      <c r="DA86" s="342"/>
      <c r="DB86" s="342"/>
      <c r="DC86" s="342"/>
      <c r="DD86" s="342"/>
      <c r="DE86" s="147"/>
      <c r="DF86" s="53"/>
      <c r="DG86" s="342"/>
      <c r="DH86" s="342"/>
      <c r="DI86" s="342"/>
      <c r="DJ86" s="342"/>
      <c r="DK86" s="147"/>
      <c r="DL86" s="53"/>
      <c r="DM86" s="342"/>
      <c r="DN86" s="342"/>
      <c r="DO86" s="342"/>
      <c r="DP86" s="342"/>
      <c r="DQ86" s="147"/>
      <c r="DR86" s="53"/>
      <c r="DS86" s="342"/>
      <c r="DT86" s="342"/>
      <c r="DU86" s="342"/>
      <c r="DV86" s="342"/>
      <c r="DW86" s="147"/>
      <c r="DX86" s="53"/>
      <c r="DY86" s="342"/>
      <c r="DZ86" s="342"/>
      <c r="EA86" s="342"/>
      <c r="EB86" s="342"/>
      <c r="EC86" s="147"/>
      <c r="ED86" s="53"/>
      <c r="EE86" s="342"/>
      <c r="EF86" s="342"/>
      <c r="EG86" s="342"/>
      <c r="EH86" s="342"/>
      <c r="EI86" s="147"/>
      <c r="EJ86" s="53"/>
      <c r="EK86" s="342"/>
      <c r="EL86" s="342"/>
      <c r="EM86" s="342"/>
      <c r="EN86" s="342"/>
      <c r="EO86" s="147"/>
      <c r="EP86" s="53"/>
      <c r="EQ86" s="342"/>
      <c r="ER86" s="342"/>
      <c r="ES86" s="342"/>
      <c r="ET86" s="342"/>
      <c r="EU86" s="147"/>
      <c r="EV86" s="53"/>
      <c r="EW86" s="342"/>
      <c r="EX86" s="342"/>
      <c r="EY86" s="342"/>
      <c r="EZ86" s="342"/>
      <c r="FA86" s="147"/>
      <c r="FB86" s="53"/>
      <c r="FC86" s="342"/>
      <c r="FD86" s="342"/>
      <c r="FE86" s="342"/>
      <c r="FF86" s="342"/>
      <c r="FG86" s="147"/>
      <c r="FH86" s="53"/>
      <c r="FI86" s="342"/>
      <c r="FJ86" s="342"/>
      <c r="FK86" s="342"/>
      <c r="FL86" s="342"/>
      <c r="FM86" s="147"/>
      <c r="FO86" s="621"/>
      <c r="FP86" s="621"/>
      <c r="FQ86" s="820"/>
      <c r="FR86" s="820"/>
      <c r="FS86" s="820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</row>
    <row r="87" spans="1:274" s="24" customFormat="1" x14ac:dyDescent="0.2">
      <c r="A87" s="353" t="s">
        <v>702</v>
      </c>
      <c r="B87" s="29"/>
      <c r="C87" s="50"/>
      <c r="D87" s="50"/>
      <c r="E87" s="50"/>
      <c r="F87" s="50"/>
      <c r="G87" s="50"/>
      <c r="H87" s="50"/>
      <c r="I87" s="50"/>
      <c r="J87" s="50"/>
      <c r="K87" s="50"/>
      <c r="L87" s="50"/>
      <c r="M87" s="50"/>
      <c r="N87" s="342"/>
      <c r="O87" s="50"/>
      <c r="P87" s="50"/>
      <c r="Q87" s="50"/>
      <c r="R87" s="50"/>
      <c r="S87" s="50"/>
      <c r="T87" s="342"/>
      <c r="U87" s="50"/>
      <c r="V87" s="50"/>
      <c r="W87" s="50"/>
      <c r="X87" s="50"/>
      <c r="Y87" s="50"/>
      <c r="Z87" s="53"/>
      <c r="AA87" s="342">
        <f>102.287</f>
        <v>102.28700000000001</v>
      </c>
      <c r="AB87" s="342">
        <v>135.84700000000001</v>
      </c>
      <c r="AC87" s="342">
        <v>176.065</v>
      </c>
      <c r="AD87" s="342">
        <v>231.226</v>
      </c>
      <c r="AE87" s="342">
        <v>645.42499999999995</v>
      </c>
      <c r="AF87" s="53"/>
      <c r="AG87" s="342">
        <v>111.804</v>
      </c>
      <c r="AH87" s="342">
        <v>136.916</v>
      </c>
      <c r="AI87" s="342">
        <v>194.315</v>
      </c>
      <c r="AJ87" s="342">
        <v>264.86599999999999</v>
      </c>
      <c r="AK87" s="342">
        <f>SUM(AG87:AJ87)</f>
        <v>707.90099999999995</v>
      </c>
      <c r="AL87" s="53"/>
      <c r="AM87" s="34">
        <v>145.184</v>
      </c>
      <c r="AN87" s="34">
        <v>193.47499999999999</v>
      </c>
      <c r="AO87" s="34">
        <v>193.102</v>
      </c>
      <c r="AP87" s="34">
        <v>317.654</v>
      </c>
      <c r="AQ87" s="34">
        <f>SUM(AM87:AP87)</f>
        <v>849.41499999999996</v>
      </c>
      <c r="AR87" s="53"/>
      <c r="AS87" s="342">
        <v>146.88399999999999</v>
      </c>
      <c r="AT87" s="342">
        <v>223.72399999999999</v>
      </c>
      <c r="AU87" s="342">
        <v>208.04599999999999</v>
      </c>
      <c r="AV87" s="342">
        <v>322.46600000000001</v>
      </c>
      <c r="AW87" s="342">
        <f>SUM(AS87:AV87)</f>
        <v>901.12</v>
      </c>
      <c r="AX87" s="53"/>
      <c r="AY87" s="342"/>
      <c r="AZ87" s="342"/>
      <c r="BA87" s="342"/>
      <c r="BB87" s="342"/>
      <c r="BC87" s="342"/>
      <c r="BD87" s="53"/>
      <c r="BE87" s="342"/>
      <c r="BF87" s="342"/>
      <c r="BG87" s="342"/>
      <c r="BH87" s="342"/>
      <c r="BI87" s="342"/>
      <c r="BJ87" s="53"/>
      <c r="BK87" s="342"/>
      <c r="BL87" s="342"/>
      <c r="BM87" s="342"/>
      <c r="BN87" s="342"/>
      <c r="BO87" s="342"/>
      <c r="BP87" s="53"/>
      <c r="BQ87" s="342"/>
      <c r="BR87" s="342"/>
      <c r="BS87" s="342"/>
      <c r="BT87" s="342"/>
      <c r="BU87" s="342"/>
      <c r="BV87" s="53"/>
      <c r="BW87" s="342"/>
      <c r="BX87" s="342"/>
      <c r="BY87" s="342"/>
      <c r="BZ87" s="342"/>
      <c r="CA87" s="342"/>
      <c r="CB87" s="53"/>
      <c r="CC87" s="342"/>
      <c r="CD87" s="342"/>
      <c r="CE87" s="342"/>
      <c r="CF87" s="342"/>
      <c r="CG87" s="147"/>
      <c r="CH87" s="53"/>
      <c r="CI87" s="342"/>
      <c r="CJ87" s="342"/>
      <c r="CK87" s="342"/>
      <c r="CL87" s="342"/>
      <c r="CM87" s="147"/>
      <c r="CN87" s="53"/>
      <c r="CO87" s="342"/>
      <c r="CP87" s="342"/>
      <c r="CQ87" s="342"/>
      <c r="CR87" s="342"/>
      <c r="CS87" s="147"/>
      <c r="CT87" s="53"/>
      <c r="CU87" s="342"/>
      <c r="CV87" s="342"/>
      <c r="CW87" s="342"/>
      <c r="CX87" s="342"/>
      <c r="CY87" s="147"/>
      <c r="CZ87" s="53"/>
      <c r="DA87" s="342"/>
      <c r="DB87" s="342"/>
      <c r="DC87" s="342"/>
      <c r="DD87" s="342"/>
      <c r="DE87" s="147"/>
      <c r="DF87" s="53"/>
      <c r="DG87" s="342"/>
      <c r="DH87" s="342"/>
      <c r="DI87" s="342"/>
      <c r="DJ87" s="342"/>
      <c r="DK87" s="147"/>
      <c r="DL87" s="53"/>
      <c r="DM87" s="342"/>
      <c r="DN87" s="342"/>
      <c r="DO87" s="342"/>
      <c r="DP87" s="342"/>
      <c r="DQ87" s="147"/>
      <c r="DR87" s="53"/>
      <c r="DS87" s="342"/>
      <c r="DT87" s="342"/>
      <c r="DU87" s="342"/>
      <c r="DV87" s="342"/>
      <c r="DW87" s="147"/>
      <c r="DX87" s="53"/>
      <c r="DY87" s="342"/>
      <c r="DZ87" s="342"/>
      <c r="EA87" s="342"/>
      <c r="EB87" s="342"/>
      <c r="EC87" s="147"/>
      <c r="ED87" s="53"/>
      <c r="EE87" s="342"/>
      <c r="EF87" s="342"/>
      <c r="EG87" s="342"/>
      <c r="EH87" s="342"/>
      <c r="EI87" s="147"/>
      <c r="EJ87" s="53"/>
      <c r="EK87" s="342"/>
      <c r="EL87" s="342"/>
      <c r="EM87" s="342"/>
      <c r="EN87" s="342"/>
      <c r="EO87" s="147"/>
      <c r="EP87" s="53"/>
      <c r="EQ87" s="342"/>
      <c r="ER87" s="342"/>
      <c r="ES87" s="342"/>
      <c r="ET87" s="342"/>
      <c r="EU87" s="147"/>
      <c r="EV87" s="53"/>
      <c r="EW87" s="342"/>
      <c r="EX87" s="342"/>
      <c r="EY87" s="342"/>
      <c r="EZ87" s="342"/>
      <c r="FA87" s="147"/>
      <c r="FB87" s="53"/>
      <c r="FC87" s="342"/>
      <c r="FD87" s="342"/>
      <c r="FE87" s="342"/>
      <c r="FF87" s="342"/>
      <c r="FG87" s="147"/>
      <c r="FH87" s="53"/>
      <c r="FI87" s="342"/>
      <c r="FJ87" s="342"/>
      <c r="FK87" s="342"/>
      <c r="FL87" s="342"/>
      <c r="FM87" s="147"/>
      <c r="FO87" s="802"/>
      <c r="FP87" s="820"/>
      <c r="FQ87" s="820"/>
      <c r="FR87" s="820"/>
      <c r="FS87" s="820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</row>
    <row r="88" spans="1:274" s="24" customFormat="1" x14ac:dyDescent="0.2">
      <c r="A88" s="58" t="s">
        <v>556</v>
      </c>
      <c r="B88" s="1040"/>
      <c r="C88" s="50"/>
      <c r="D88" s="50"/>
      <c r="E88" s="50"/>
      <c r="F88" s="50"/>
      <c r="G88" s="50"/>
      <c r="H88" s="50"/>
      <c r="I88" s="50"/>
      <c r="J88" s="50"/>
      <c r="K88" s="50"/>
      <c r="L88" s="50"/>
      <c r="M88" s="50"/>
      <c r="N88" s="342"/>
      <c r="O88" s="50"/>
      <c r="P88" s="50"/>
      <c r="Q88" s="50"/>
      <c r="R88" s="50"/>
      <c r="S88" s="50"/>
      <c r="T88" s="342"/>
      <c r="U88" s="50"/>
      <c r="V88" s="50"/>
      <c r="W88" s="50"/>
      <c r="X88" s="50"/>
      <c r="Y88" s="50"/>
      <c r="Z88" s="53"/>
      <c r="AA88" s="342">
        <v>17.850000000000001</v>
      </c>
      <c r="AB88" s="342">
        <v>24.81</v>
      </c>
      <c r="AC88" s="342">
        <v>30.689</v>
      </c>
      <c r="AD88" s="342">
        <v>38.893999999999998</v>
      </c>
      <c r="AE88" s="342">
        <v>112.24299999999999</v>
      </c>
      <c r="AF88" s="53"/>
      <c r="AG88" s="342">
        <v>23.463999999999999</v>
      </c>
      <c r="AH88" s="342">
        <v>24.744</v>
      </c>
      <c r="AI88" s="342">
        <v>25.006</v>
      </c>
      <c r="AJ88" s="342">
        <v>34.848999999999997</v>
      </c>
      <c r="AK88" s="342">
        <f>SUM(AG88:AJ88)</f>
        <v>108.06299999999999</v>
      </c>
      <c r="AL88" s="53"/>
      <c r="AM88" s="34">
        <v>19.559000000000001</v>
      </c>
      <c r="AN88" s="34">
        <v>24.43</v>
      </c>
      <c r="AO88" s="34">
        <v>28.018999999999998</v>
      </c>
      <c r="AP88" s="34">
        <v>32.786000000000001</v>
      </c>
      <c r="AQ88" s="34">
        <f>SUM(AM88:AP88)</f>
        <v>104.79400000000001</v>
      </c>
      <c r="AR88" s="53"/>
      <c r="AS88" s="342">
        <v>17.231999999999999</v>
      </c>
      <c r="AT88" s="342">
        <v>20.91</v>
      </c>
      <c r="AU88" s="342">
        <v>20.596</v>
      </c>
      <c r="AV88" s="342">
        <v>27.238</v>
      </c>
      <c r="AW88" s="342">
        <v>85.975999999999999</v>
      </c>
      <c r="AX88" s="53"/>
      <c r="AY88" s="342"/>
      <c r="AZ88" s="342"/>
      <c r="BA88" s="342"/>
      <c r="BB88" s="342"/>
      <c r="BC88" s="342"/>
      <c r="BD88" s="53"/>
      <c r="BE88" s="342"/>
      <c r="BF88" s="342"/>
      <c r="BG88" s="342"/>
      <c r="BH88" s="342"/>
      <c r="BI88" s="342"/>
      <c r="BJ88" s="53"/>
      <c r="BK88" s="342"/>
      <c r="BL88" s="342"/>
      <c r="BM88" s="342"/>
      <c r="BN88" s="342"/>
      <c r="BO88" s="342"/>
      <c r="BP88" s="53"/>
      <c r="BQ88" s="342"/>
      <c r="BR88" s="342"/>
      <c r="BS88" s="342"/>
      <c r="BT88" s="342"/>
      <c r="BU88" s="342"/>
      <c r="BV88" s="53"/>
      <c r="BW88" s="342"/>
      <c r="BX88" s="342"/>
      <c r="BY88" s="342"/>
      <c r="BZ88" s="342"/>
      <c r="CA88" s="342"/>
      <c r="CB88" s="53"/>
      <c r="CC88" s="342"/>
      <c r="CD88" s="342"/>
      <c r="CE88" s="342"/>
      <c r="CF88" s="342"/>
      <c r="CG88" s="147"/>
      <c r="CH88" s="53"/>
      <c r="CI88" s="342"/>
      <c r="CJ88" s="342"/>
      <c r="CK88" s="342"/>
      <c r="CL88" s="342"/>
      <c r="CM88" s="147"/>
      <c r="CN88" s="53"/>
      <c r="CO88" s="342"/>
      <c r="CP88" s="342"/>
      <c r="CQ88" s="342"/>
      <c r="CR88" s="342"/>
      <c r="CS88" s="147"/>
      <c r="CT88" s="53"/>
      <c r="CU88" s="342"/>
      <c r="CV88" s="342"/>
      <c r="CW88" s="342"/>
      <c r="CX88" s="342"/>
      <c r="CY88" s="147"/>
      <c r="CZ88" s="53"/>
      <c r="DA88" s="342"/>
      <c r="DB88" s="342"/>
      <c r="DC88" s="342"/>
      <c r="DD88" s="342"/>
      <c r="DE88" s="147"/>
      <c r="DF88" s="53"/>
      <c r="DG88" s="342"/>
      <c r="DH88" s="342"/>
      <c r="DI88" s="342"/>
      <c r="DJ88" s="342"/>
      <c r="DK88" s="147"/>
      <c r="DL88" s="53"/>
      <c r="DM88" s="342"/>
      <c r="DN88" s="342"/>
      <c r="DO88" s="342"/>
      <c r="DP88" s="342"/>
      <c r="DQ88" s="147"/>
      <c r="DR88" s="53"/>
      <c r="DS88" s="342"/>
      <c r="DT88" s="342"/>
      <c r="DU88" s="342"/>
      <c r="DV88" s="342"/>
      <c r="DW88" s="147"/>
      <c r="DX88" s="53"/>
      <c r="DY88" s="342"/>
      <c r="DZ88" s="342"/>
      <c r="EA88" s="342"/>
      <c r="EB88" s="342"/>
      <c r="EC88" s="147"/>
      <c r="ED88" s="53"/>
      <c r="EE88" s="342"/>
      <c r="EF88" s="342"/>
      <c r="EG88" s="342"/>
      <c r="EH88" s="342"/>
      <c r="EI88" s="147"/>
      <c r="EJ88" s="53"/>
      <c r="EK88" s="342"/>
      <c r="EL88" s="342"/>
      <c r="EM88" s="342"/>
      <c r="EN88" s="342"/>
      <c r="EO88" s="147"/>
      <c r="EP88" s="53"/>
      <c r="EQ88" s="342"/>
      <c r="ER88" s="342"/>
      <c r="ES88" s="342"/>
      <c r="ET88" s="342"/>
      <c r="EU88" s="147"/>
      <c r="EV88" s="53"/>
      <c r="EW88" s="342"/>
      <c r="EX88" s="342"/>
      <c r="EY88" s="342"/>
      <c r="EZ88" s="342"/>
      <c r="FA88" s="147"/>
      <c r="FB88" s="53"/>
      <c r="FC88" s="342"/>
      <c r="FD88" s="342"/>
      <c r="FE88" s="342"/>
      <c r="FF88" s="342"/>
      <c r="FG88" s="147"/>
      <c r="FH88" s="53"/>
      <c r="FI88" s="342"/>
      <c r="FJ88" s="342"/>
      <c r="FK88" s="342"/>
      <c r="FL88" s="342"/>
      <c r="FM88" s="147"/>
      <c r="FO88" s="802"/>
      <c r="FP88" s="820"/>
      <c r="FQ88" s="820"/>
      <c r="FR88" s="820"/>
      <c r="FS88" s="820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</row>
    <row r="89" spans="1:274" s="24" customFormat="1" hidden="1" outlineLevel="1" x14ac:dyDescent="0.2">
      <c r="A89" s="244" t="s">
        <v>109</v>
      </c>
      <c r="B89" s="440"/>
      <c r="C89" s="101" t="s">
        <v>945</v>
      </c>
      <c r="D89" s="101" t="s">
        <v>945</v>
      </c>
      <c r="E89" s="101" t="s">
        <v>945</v>
      </c>
      <c r="F89" s="101" t="s">
        <v>945</v>
      </c>
      <c r="G89" s="101" t="s">
        <v>945</v>
      </c>
      <c r="H89" s="101" t="s">
        <v>945</v>
      </c>
      <c r="I89" s="101" t="s">
        <v>945</v>
      </c>
      <c r="J89" s="101" t="s">
        <v>945</v>
      </c>
      <c r="K89" s="101" t="s">
        <v>945</v>
      </c>
      <c r="L89" s="101" t="s">
        <v>945</v>
      </c>
      <c r="M89" s="101" t="s">
        <v>945</v>
      </c>
      <c r="N89" s="244"/>
      <c r="O89" s="101" t="s">
        <v>945</v>
      </c>
      <c r="P89" s="101" t="s">
        <v>945</v>
      </c>
      <c r="Q89" s="101" t="s">
        <v>945</v>
      </c>
      <c r="R89" s="101" t="s">
        <v>945</v>
      </c>
      <c r="S89" s="101" t="s">
        <v>945</v>
      </c>
      <c r="T89" s="244"/>
      <c r="U89" s="101" t="s">
        <v>945</v>
      </c>
      <c r="V89" s="101" t="s">
        <v>945</v>
      </c>
      <c r="W89" s="101" t="s">
        <v>945</v>
      </c>
      <c r="X89" s="101" t="s">
        <v>945</v>
      </c>
      <c r="Y89" s="101" t="s">
        <v>945</v>
      </c>
      <c r="Z89" s="170"/>
      <c r="AA89" s="244">
        <f>SUM(AA87:AA88)</f>
        <v>120.137</v>
      </c>
      <c r="AB89" s="244">
        <f>SUM(AB87:AB88)</f>
        <v>160.65700000000001</v>
      </c>
      <c r="AC89" s="244">
        <f>SUM(AC87:AC88)</f>
        <v>206.75399999999999</v>
      </c>
      <c r="AD89" s="244">
        <f>SUM(AD87:AD88)</f>
        <v>270.12</v>
      </c>
      <c r="AE89" s="244">
        <f>SUM(AE87:AE88)</f>
        <v>757.66799999999989</v>
      </c>
      <c r="AF89" s="170"/>
      <c r="AG89" s="244">
        <f>111.804+23.464</f>
        <v>135.268</v>
      </c>
      <c r="AH89" s="244">
        <f>136.916+24.744</f>
        <v>161.66</v>
      </c>
      <c r="AI89" s="244">
        <f>194.315+25.006</f>
        <v>219.321</v>
      </c>
      <c r="AJ89" s="244">
        <f>264.866+34.849</f>
        <v>299.71499999999997</v>
      </c>
      <c r="AK89" s="244">
        <f>SUM(AG89:AJ89)</f>
        <v>815.96399999999994</v>
      </c>
      <c r="AL89" s="170"/>
      <c r="AM89" s="244">
        <f>145.184+19.559</f>
        <v>164.74299999999999</v>
      </c>
      <c r="AN89" s="244">
        <f>193.475+24.43</f>
        <v>217.905</v>
      </c>
      <c r="AO89" s="244">
        <f>193.102+28.019</f>
        <v>221.12100000000001</v>
      </c>
      <c r="AP89" s="244">
        <f>317.654+32.786</f>
        <v>350.44</v>
      </c>
      <c r="AQ89" s="244">
        <f>SUM(AM89:AP89)</f>
        <v>954.20900000000006</v>
      </c>
      <c r="AR89" s="170"/>
      <c r="AS89" s="244">
        <f>146.884+17.232</f>
        <v>164.11599999999999</v>
      </c>
      <c r="AT89" s="244">
        <f>223.724+20.91</f>
        <v>244.63399999999999</v>
      </c>
      <c r="AU89" s="244">
        <f>208.046+20.596</f>
        <v>228.642</v>
      </c>
      <c r="AV89" s="244">
        <f>322.466+27.238</f>
        <v>349.70400000000001</v>
      </c>
      <c r="AW89" s="244">
        <f>SUM(AS89:AV89)</f>
        <v>987.096</v>
      </c>
      <c r="AX89" s="170"/>
      <c r="AY89" s="244">
        <v>167.542</v>
      </c>
      <c r="AZ89" s="244">
        <v>228.27699999999999</v>
      </c>
      <c r="BA89" s="244">
        <v>280.44900000000001</v>
      </c>
      <c r="BB89" s="244">
        <v>330.95499999999998</v>
      </c>
      <c r="BC89" s="244">
        <f>SUM(AY89:BB89)</f>
        <v>1007.223</v>
      </c>
      <c r="BD89" s="170"/>
      <c r="BE89" s="244">
        <v>176.14400000000001</v>
      </c>
      <c r="BF89" s="244">
        <v>214.89</v>
      </c>
      <c r="BG89" s="244">
        <v>227.76300000000001</v>
      </c>
      <c r="BH89" s="244">
        <v>331.52699999999999</v>
      </c>
      <c r="BI89" s="244">
        <f>SUM(BE89:BH89)</f>
        <v>950.32400000000007</v>
      </c>
      <c r="BJ89" s="170"/>
      <c r="BK89" s="244">
        <v>152.155</v>
      </c>
      <c r="BL89" s="244">
        <v>257.42099999999999</v>
      </c>
      <c r="BM89" s="244">
        <v>234.57900000000001</v>
      </c>
      <c r="BN89" s="244">
        <v>380.71499999999997</v>
      </c>
      <c r="BO89" s="244">
        <f>SUM(BK89:BN89)</f>
        <v>1024.8699999999999</v>
      </c>
      <c r="BP89" s="170"/>
      <c r="BQ89" s="244">
        <v>143</v>
      </c>
      <c r="BR89" s="244">
        <v>263</v>
      </c>
      <c r="BS89" s="244">
        <v>290</v>
      </c>
      <c r="BT89" s="101">
        <v>452</v>
      </c>
      <c r="BU89" s="244">
        <f>SUM(BQ89:BT89)</f>
        <v>1148</v>
      </c>
      <c r="BV89" s="170"/>
      <c r="BW89" s="101">
        <v>158</v>
      </c>
      <c r="BX89" s="101">
        <v>304</v>
      </c>
      <c r="BY89" s="101">
        <v>325</v>
      </c>
      <c r="BZ89" s="101">
        <v>483</v>
      </c>
      <c r="CA89" s="244">
        <f>SUM(BW89:BZ89)</f>
        <v>1270</v>
      </c>
      <c r="CB89" s="170"/>
      <c r="CC89" s="101">
        <v>164</v>
      </c>
      <c r="CD89" s="101">
        <v>282</v>
      </c>
      <c r="CE89" s="101">
        <v>316</v>
      </c>
      <c r="CF89" s="101">
        <v>515</v>
      </c>
      <c r="CG89" s="171">
        <f>SUM(CC89:CF89)</f>
        <v>1277</v>
      </c>
      <c r="CH89" s="170"/>
      <c r="CI89" s="101">
        <v>184</v>
      </c>
      <c r="CJ89" s="101">
        <v>341</v>
      </c>
      <c r="CK89" s="101">
        <v>363</v>
      </c>
      <c r="CL89" s="101">
        <v>619</v>
      </c>
      <c r="CM89" s="171">
        <f>SUM(CI89:CL89)</f>
        <v>1507</v>
      </c>
      <c r="CN89" s="170"/>
      <c r="CO89" s="101">
        <v>255</v>
      </c>
      <c r="CP89" s="101">
        <v>424</v>
      </c>
      <c r="CQ89" s="101">
        <v>448</v>
      </c>
      <c r="CR89" s="101">
        <v>884</v>
      </c>
      <c r="CS89" s="171">
        <f>SUM(CO89:CR89)</f>
        <v>2011</v>
      </c>
      <c r="CT89" s="170"/>
      <c r="CU89" s="101">
        <v>326</v>
      </c>
      <c r="CV89" s="101">
        <v>431</v>
      </c>
      <c r="CW89" s="101">
        <v>446</v>
      </c>
      <c r="CX89" s="101">
        <v>759</v>
      </c>
      <c r="CY89" s="171">
        <f>SUM(CU89:CX89)</f>
        <v>1962</v>
      </c>
      <c r="CZ89" s="170"/>
      <c r="DA89" s="101">
        <v>224</v>
      </c>
      <c r="DB89" s="101">
        <v>429</v>
      </c>
      <c r="DC89" s="101">
        <v>456</v>
      </c>
      <c r="DD89" s="101">
        <v>751</v>
      </c>
      <c r="DE89" s="171">
        <f>SUM(DA89:DD89)</f>
        <v>1860</v>
      </c>
      <c r="DF89" s="170"/>
      <c r="DG89" s="101">
        <v>279</v>
      </c>
      <c r="DH89" s="101">
        <v>426</v>
      </c>
      <c r="DI89" s="101">
        <v>505</v>
      </c>
      <c r="DJ89" s="101">
        <v>925</v>
      </c>
      <c r="DK89" s="171">
        <f>SUM(DG89:DJ89)</f>
        <v>2135</v>
      </c>
      <c r="DL89" s="170"/>
      <c r="DM89" s="101">
        <v>322</v>
      </c>
      <c r="DN89" s="101">
        <v>443</v>
      </c>
      <c r="DO89" s="101">
        <v>535</v>
      </c>
      <c r="DP89" s="101">
        <v>849</v>
      </c>
      <c r="DQ89" s="171">
        <f>SUM(DM89:DP89)</f>
        <v>2149</v>
      </c>
      <c r="DR89" s="170"/>
      <c r="DS89" s="838">
        <f>DM89*(1+Model!DS40)</f>
        <v>331.66</v>
      </c>
      <c r="DT89" s="838">
        <f>DN89*(1+Model!DT40)</f>
        <v>491.73</v>
      </c>
      <c r="DU89" s="838">
        <f>DO89*(1+Model!DU40)</f>
        <v>561.75</v>
      </c>
      <c r="DV89" s="838">
        <f>DP89*(1+Model!DV40)</f>
        <v>942.3900000000001</v>
      </c>
      <c r="DW89" s="171">
        <f>SUM(DS89:DV89)</f>
        <v>2327.5300000000002</v>
      </c>
      <c r="DX89" s="170"/>
      <c r="DY89" s="838">
        <f>DS89*(1+Model!DY40)</f>
        <v>368.14260000000007</v>
      </c>
      <c r="DZ89" s="838">
        <f>DT89*(1+Model!DZ40)</f>
        <v>499.10594999999995</v>
      </c>
      <c r="EA89" s="838">
        <f>DU89*(1+Model!EA40)</f>
        <v>601.07249999999999</v>
      </c>
      <c r="EB89" s="838">
        <f>DV89*(1+Model!EB40)</f>
        <v>944.27478000000008</v>
      </c>
      <c r="EC89" s="171">
        <f>SUM(DY89:EB89)</f>
        <v>2412.5958300000002</v>
      </c>
      <c r="ED89" s="170"/>
      <c r="EE89" s="838">
        <f>DY89*(1+Model!EE40)</f>
        <v>364.46117400000009</v>
      </c>
      <c r="EF89" s="838">
        <f>DZ89*(1+Model!EF40)</f>
        <v>504.09700949999996</v>
      </c>
      <c r="EG89" s="838">
        <f>EA89*(1+Model!EG40)</f>
        <v>595.06177500000001</v>
      </c>
      <c r="EH89" s="838">
        <f>EB89*(1+Model!EH40)</f>
        <v>925.38928440000007</v>
      </c>
      <c r="EI89" s="171">
        <f>SUM(EE89:EH89)</f>
        <v>2389.0092429000001</v>
      </c>
      <c r="EJ89" s="170"/>
      <c r="EK89" s="838">
        <f>EE89*(1+Model!EK40)</f>
        <v>358.99425639000009</v>
      </c>
      <c r="EL89" s="838">
        <f>EF89*(1+Model!EL40)</f>
        <v>496.53555435749996</v>
      </c>
      <c r="EM89" s="838">
        <f>EG89*(1+Model!EM40)</f>
        <v>586.13584837500002</v>
      </c>
      <c r="EN89" s="838">
        <f>EH89*(1+Model!EN40)</f>
        <v>911.508445134</v>
      </c>
      <c r="EO89" s="171">
        <f>SUM(EK89:EN89)</f>
        <v>2353.1741042565</v>
      </c>
      <c r="EP89" s="170"/>
      <c r="EQ89" s="838">
        <f>EK89*(1+Model!EQ40)</f>
        <v>353.60934254415008</v>
      </c>
      <c r="ER89" s="838">
        <f>EL89*(1+Model!ER40)</f>
        <v>506.46626544464999</v>
      </c>
      <c r="ES89" s="838">
        <f>EM89*(1+Model!ES40)</f>
        <v>600.78924458437496</v>
      </c>
      <c r="ET89" s="838">
        <f>EN89*(1+Model!ET40)</f>
        <v>897.83581845698995</v>
      </c>
      <c r="EU89" s="171">
        <f>SUM(EQ89:ET89)</f>
        <v>2358.7006710301648</v>
      </c>
      <c r="EV89" s="170"/>
      <c r="EW89" s="838">
        <f>EQ89*(1+Model!EW40)</f>
        <v>348.30520240598781</v>
      </c>
      <c r="EX89" s="838">
        <f>ER89*(1+Model!EX40)</f>
        <v>536.85424137132907</v>
      </c>
      <c r="EY89" s="838">
        <f>ES89*(1+Model!EY40)</f>
        <v>648.85238415112497</v>
      </c>
      <c r="EZ89" s="838">
        <f>ET89*(1+Model!EZ40)</f>
        <v>920.28171391841465</v>
      </c>
      <c r="FA89" s="171">
        <f>SUM(EW89:EZ89)</f>
        <v>2454.2935418468569</v>
      </c>
      <c r="FB89" s="170"/>
      <c r="FC89" s="838">
        <f>EW89*(1+Model!FC40)</f>
        <v>357.01283246613747</v>
      </c>
      <c r="FD89" s="838">
        <f>EX89*(1+Model!FD40)</f>
        <v>550.2755974056123</v>
      </c>
      <c r="FE89" s="838">
        <f>EY89*(1+Model!FE40)</f>
        <v>665.07369375490305</v>
      </c>
      <c r="FF89" s="838">
        <f>EZ89*(1+Model!FF40)</f>
        <v>943.28875676637495</v>
      </c>
      <c r="FG89" s="171">
        <f>SUM(FC89:FF89)</f>
        <v>2515.6508803930274</v>
      </c>
      <c r="FH89" s="170"/>
      <c r="FI89" s="838">
        <f>FC89*(1+Model!FI40)</f>
        <v>365.93815327779089</v>
      </c>
      <c r="FJ89" s="838">
        <f>FD89*(1+Model!FJ40)</f>
        <v>564.0324873407526</v>
      </c>
      <c r="FK89" s="838">
        <f>FE89*(1+Model!FK40)</f>
        <v>681.70053609877561</v>
      </c>
      <c r="FL89" s="838">
        <f>FF89*(1+Model!FL40)</f>
        <v>966.87097568553429</v>
      </c>
      <c r="FM89" s="171">
        <f>SUM(FI89:FL89)</f>
        <v>2578.5421524028534</v>
      </c>
      <c r="FO89" s="621"/>
      <c r="FP89" s="820"/>
      <c r="FQ89" s="820"/>
      <c r="FR89" s="820"/>
      <c r="FS89" s="820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</row>
    <row r="90" spans="1:274" s="24" customFormat="1" hidden="1" outlineLevel="1" x14ac:dyDescent="0.2">
      <c r="A90" s="244" t="s">
        <v>697</v>
      </c>
      <c r="B90" s="440"/>
      <c r="C90" s="101" t="s">
        <v>945</v>
      </c>
      <c r="D90" s="101" t="s">
        <v>945</v>
      </c>
      <c r="E90" s="101" t="s">
        <v>945</v>
      </c>
      <c r="F90" s="101" t="s">
        <v>945</v>
      </c>
      <c r="G90" s="101" t="s">
        <v>945</v>
      </c>
      <c r="H90" s="101" t="s">
        <v>945</v>
      </c>
      <c r="I90" s="101" t="s">
        <v>945</v>
      </c>
      <c r="J90" s="101" t="s">
        <v>945</v>
      </c>
      <c r="K90" s="101" t="s">
        <v>945</v>
      </c>
      <c r="L90" s="101" t="s">
        <v>945</v>
      </c>
      <c r="M90" s="101" t="s">
        <v>945</v>
      </c>
      <c r="N90" s="244"/>
      <c r="O90" s="101" t="s">
        <v>945</v>
      </c>
      <c r="P90" s="101" t="s">
        <v>945</v>
      </c>
      <c r="Q90" s="101" t="s">
        <v>945</v>
      </c>
      <c r="R90" s="101" t="s">
        <v>945</v>
      </c>
      <c r="S90" s="101" t="s">
        <v>945</v>
      </c>
      <c r="T90" s="244"/>
      <c r="U90" s="101" t="s">
        <v>945</v>
      </c>
      <c r="V90" s="101" t="s">
        <v>945</v>
      </c>
      <c r="W90" s="101" t="s">
        <v>945</v>
      </c>
      <c r="X90" s="101" t="s">
        <v>945</v>
      </c>
      <c r="Y90" s="101" t="s">
        <v>945</v>
      </c>
      <c r="Z90" s="170"/>
      <c r="AA90" s="244">
        <v>13.215999999999999</v>
      </c>
      <c r="AB90" s="244">
        <v>16.690999999999999</v>
      </c>
      <c r="AC90" s="244">
        <v>21.706</v>
      </c>
      <c r="AD90" s="244">
        <v>46.363</v>
      </c>
      <c r="AE90" s="244">
        <f>SUM(AA90:AD90)</f>
        <v>97.975999999999999</v>
      </c>
      <c r="AF90" s="170"/>
      <c r="AG90" s="244">
        <v>16.568000000000001</v>
      </c>
      <c r="AH90" s="244">
        <v>32.688000000000002</v>
      </c>
      <c r="AI90" s="244">
        <v>25.251999999999999</v>
      </c>
      <c r="AJ90" s="244">
        <v>47.804000000000002</v>
      </c>
      <c r="AK90" s="244">
        <f>SUM(AG90:AJ90)</f>
        <v>122.312</v>
      </c>
      <c r="AL90" s="170"/>
      <c r="AM90" s="244">
        <v>20.97</v>
      </c>
      <c r="AN90" s="244">
        <v>29.652999999999999</v>
      </c>
      <c r="AO90" s="244">
        <v>40.173000000000002</v>
      </c>
      <c r="AP90" s="244">
        <v>60.241999999999997</v>
      </c>
      <c r="AQ90" s="244">
        <f>SUM(AM90:AP90)</f>
        <v>151.03799999999998</v>
      </c>
      <c r="AR90" s="170"/>
      <c r="AS90" s="244">
        <v>21.992999999999999</v>
      </c>
      <c r="AT90" s="244">
        <v>39.243000000000002</v>
      </c>
      <c r="AU90" s="244">
        <v>40.36</v>
      </c>
      <c r="AV90" s="244">
        <v>74.796000000000006</v>
      </c>
      <c r="AW90" s="244">
        <f>SUM(AS90:AV90)</f>
        <v>176.392</v>
      </c>
      <c r="AX90" s="170"/>
      <c r="AY90" s="244">
        <v>41.476999999999997</v>
      </c>
      <c r="AZ90" s="244">
        <v>65.11</v>
      </c>
      <c r="BA90" s="244">
        <v>38.545000000000002</v>
      </c>
      <c r="BB90" s="244">
        <v>92.465000000000003</v>
      </c>
      <c r="BC90" s="244">
        <f>SUM(AY90:BB90)</f>
        <v>237.59700000000001</v>
      </c>
      <c r="BD90" s="170"/>
      <c r="BE90" s="244">
        <v>35.997999999999998</v>
      </c>
      <c r="BF90" s="244">
        <v>38.667000000000002</v>
      </c>
      <c r="BG90" s="244">
        <v>36.484999999999999</v>
      </c>
      <c r="BH90" s="244">
        <v>85.147999999999996</v>
      </c>
      <c r="BI90" s="244">
        <f>SUM(BE90:BH90)</f>
        <v>196.298</v>
      </c>
      <c r="BJ90" s="170"/>
      <c r="BK90" s="244">
        <v>29.986000000000001</v>
      </c>
      <c r="BL90" s="244">
        <v>41.27</v>
      </c>
      <c r="BM90" s="244">
        <v>35.125</v>
      </c>
      <c r="BN90" s="244">
        <v>81.516999999999996</v>
      </c>
      <c r="BO90" s="244">
        <f>SUM(BK90:BN90)</f>
        <v>187.898</v>
      </c>
      <c r="BP90" s="170"/>
      <c r="BQ90" s="244">
        <v>55</v>
      </c>
      <c r="BR90" s="244">
        <v>48</v>
      </c>
      <c r="BS90" s="244">
        <v>41</v>
      </c>
      <c r="BT90" s="101">
        <v>72</v>
      </c>
      <c r="BU90" s="244">
        <f>SUM(BQ90:BT90)</f>
        <v>216</v>
      </c>
      <c r="BV90" s="170"/>
      <c r="BW90" s="101">
        <v>28</v>
      </c>
      <c r="BX90" s="101">
        <v>80</v>
      </c>
      <c r="BY90" s="101">
        <v>44</v>
      </c>
      <c r="BZ90" s="101">
        <v>76</v>
      </c>
      <c r="CA90" s="244">
        <f>SUM(BW90:BZ90)</f>
        <v>228</v>
      </c>
      <c r="CB90" s="170"/>
      <c r="CC90" s="101">
        <v>38</v>
      </c>
      <c r="CD90" s="101">
        <v>75</v>
      </c>
      <c r="CE90" s="101">
        <v>96.2</v>
      </c>
      <c r="CF90" s="101">
        <v>158</v>
      </c>
      <c r="CG90" s="171">
        <f>SUM(CC90:CF90)</f>
        <v>367.2</v>
      </c>
      <c r="CH90" s="170"/>
      <c r="CI90" s="101">
        <v>69</v>
      </c>
      <c r="CJ90" s="101">
        <v>101</v>
      </c>
      <c r="CK90" s="101">
        <v>124</v>
      </c>
      <c r="CL90" s="101">
        <v>224</v>
      </c>
      <c r="CM90" s="171">
        <f>SUM(CI90:CL90)</f>
        <v>518</v>
      </c>
      <c r="CN90" s="170"/>
      <c r="CO90" s="101">
        <v>123</v>
      </c>
      <c r="CP90" s="101">
        <v>174</v>
      </c>
      <c r="CQ90" s="101">
        <v>141</v>
      </c>
      <c r="CR90" s="101">
        <v>317</v>
      </c>
      <c r="CS90" s="171">
        <f>SUM(CO90:CR90)</f>
        <v>755</v>
      </c>
      <c r="CT90" s="170"/>
      <c r="CU90" s="101">
        <v>94</v>
      </c>
      <c r="CV90" s="101">
        <v>126</v>
      </c>
      <c r="CW90" s="101">
        <v>125</v>
      </c>
      <c r="CX90" s="101">
        <v>282</v>
      </c>
      <c r="CY90" s="171">
        <f>SUM(CU90:CX90)</f>
        <v>627</v>
      </c>
      <c r="CZ90" s="170"/>
      <c r="DA90" s="101">
        <v>90</v>
      </c>
      <c r="DB90" s="101">
        <v>119</v>
      </c>
      <c r="DC90" s="101">
        <v>134</v>
      </c>
      <c r="DD90" s="101">
        <v>261</v>
      </c>
      <c r="DE90" s="171">
        <f>SUM(DA90:DD90)</f>
        <v>604</v>
      </c>
      <c r="DF90" s="170"/>
      <c r="DG90" s="101">
        <v>73</v>
      </c>
      <c r="DH90" s="101">
        <v>148</v>
      </c>
      <c r="DI90" s="101">
        <v>197</v>
      </c>
      <c r="DJ90" s="101">
        <v>308</v>
      </c>
      <c r="DK90" s="171">
        <f>SUM(DG90:DJ90)</f>
        <v>726</v>
      </c>
      <c r="DL90" s="170"/>
      <c r="DM90" s="101">
        <v>118</v>
      </c>
      <c r="DN90" s="101">
        <v>141</v>
      </c>
      <c r="DO90" s="101">
        <v>158</v>
      </c>
      <c r="DP90" s="101">
        <v>317</v>
      </c>
      <c r="DQ90" s="171">
        <f>SUM(DM90:DP90)</f>
        <v>734</v>
      </c>
      <c r="DR90" s="170"/>
      <c r="DS90" s="838">
        <f>DM90*(1+Model!DS43+Metrics!DS16)</f>
        <v>162.53030678022077</v>
      </c>
      <c r="DT90" s="838">
        <f>DN90*(1+Model!DT43+Metrics!DT16)</f>
        <v>214.69351639938873</v>
      </c>
      <c r="DU90" s="838">
        <f>DO90*(1+Model!DU43+Metrics!DU16)</f>
        <v>152.46098168563</v>
      </c>
      <c r="DV90" s="838">
        <f>DP90*(1+Model!DV43+Metrics!DV16)</f>
        <v>270.26104624026459</v>
      </c>
      <c r="DW90" s="171">
        <f>SUM(DS90:DV90)</f>
        <v>799.94585110550406</v>
      </c>
      <c r="DX90" s="170"/>
      <c r="DY90" s="838">
        <f>DS90*(1+Model!DY43+Metrics!DY16)</f>
        <v>140.93472235614516</v>
      </c>
      <c r="DZ90" s="838">
        <f>DT90*(1+Model!DZ43+Metrics!DZ16)</f>
        <v>197.0295803568165</v>
      </c>
      <c r="EA90" s="838">
        <f>DU90*(1+Model!EA43+Metrics!EA16)</f>
        <v>142.50088930027644</v>
      </c>
      <c r="EB90" s="838">
        <f>DV90*(1+Model!EB43+Metrics!EB16)</f>
        <v>287.28219338753706</v>
      </c>
      <c r="EC90" s="171">
        <f>SUM(DY90:EB90)</f>
        <v>767.7473854007751</v>
      </c>
      <c r="ED90" s="170"/>
      <c r="EE90" s="838">
        <f>DY90*(1+Model!EE43+Metrics!EE16)</f>
        <v>166.8622631288124</v>
      </c>
      <c r="EF90" s="838">
        <f>DZ90*(1+Model!EF43+Metrics!EF16)</f>
        <v>205.45367045505671</v>
      </c>
      <c r="EG90" s="838">
        <f>EA90*(1+Model!EG43+Metrics!EG16)</f>
        <v>131.69137934377946</v>
      </c>
      <c r="EH90" s="838">
        <f>EB90*(1+Model!EH43+Metrics!EH16)</f>
        <v>158.14150143699237</v>
      </c>
      <c r="EI90" s="171">
        <f>SUM(EE90:EH90)</f>
        <v>662.14881436464088</v>
      </c>
      <c r="EJ90" s="170"/>
      <c r="EK90" s="838">
        <f>EE90*(1+Model!EK43+Metrics!EK16)</f>
        <v>134.56978497559157</v>
      </c>
      <c r="EL90" s="838">
        <f>EF90*(1+Model!EL43+Metrics!EL16)</f>
        <v>143.6427352500979</v>
      </c>
      <c r="EM90" s="838">
        <f>EG90*(1+Model!EM43+Metrics!EM16)</f>
        <v>111.8045563612918</v>
      </c>
      <c r="EN90" s="838">
        <f>EH90*(1+Model!EN43+Metrics!EN16)</f>
        <v>147.06342434038083</v>
      </c>
      <c r="EO90" s="171">
        <f>SUM(EK90:EN90)</f>
        <v>537.0805009273621</v>
      </c>
      <c r="EP90" s="170"/>
      <c r="EQ90" s="838">
        <f>EK90*(1+Model!EQ43+Metrics!EQ16)</f>
        <v>196.71082117941003</v>
      </c>
      <c r="ER90" s="838">
        <f>EL90*(1+Model!ER43+Metrics!ER16)</f>
        <v>157.89361408667176</v>
      </c>
      <c r="ES90" s="838">
        <f>EM90*(1+Model!ES43+Metrics!ES16)</f>
        <v>154.85184827094611</v>
      </c>
      <c r="ET90" s="838">
        <f>EN90*(1+Model!ET43+Metrics!ET16)</f>
        <v>240.31311448605192</v>
      </c>
      <c r="EU90" s="171">
        <f>SUM(EQ90:ET90)</f>
        <v>749.76939802307982</v>
      </c>
      <c r="EV90" s="170"/>
      <c r="EW90" s="838">
        <f>EQ90*(1+Model!EW43+Metrics!EW16)</f>
        <v>306.8508286448299</v>
      </c>
      <c r="EX90" s="838">
        <f>ER90*(1+Model!EX43+Metrics!EX16)</f>
        <v>233.87265445421568</v>
      </c>
      <c r="EY90" s="838">
        <f>ES90*(1+Model!EY43+Metrics!EY16)</f>
        <v>189.32284435530059</v>
      </c>
      <c r="EZ90" s="838">
        <f>ET90*(1+Model!EZ43+Metrics!EZ16)</f>
        <v>256.41604389828842</v>
      </c>
      <c r="FA90" s="171">
        <f>SUM(EW90:EZ90)</f>
        <v>986.46237135263459</v>
      </c>
      <c r="FB90" s="170"/>
      <c r="FC90" s="838">
        <f>EW90*(1+Model!FC43+Metrics!FC16)</f>
        <v>378.91046963569954</v>
      </c>
      <c r="FD90" s="838">
        <f>EX90*(1+Model!FD43+Metrics!FD16)</f>
        <v>293.48858359952072</v>
      </c>
      <c r="FE90" s="838">
        <f>EY90*(1+Model!FE43+Metrics!FE16)</f>
        <v>247.91448076765784</v>
      </c>
      <c r="FF90" s="838">
        <f>EZ90*(1+Model!FF43+Metrics!FF16)</f>
        <v>290.26563832663538</v>
      </c>
      <c r="FG90" s="171">
        <f>SUM(FC90:FF90)</f>
        <v>1210.5791723295133</v>
      </c>
      <c r="FH90" s="170"/>
      <c r="FI90" s="838">
        <f>FC90*(1+Model!FI43+Metrics!FI16)</f>
        <v>456.22935768926033</v>
      </c>
      <c r="FJ90" s="838">
        <f>FD90*(1+Model!FJ43+Metrics!FJ16)</f>
        <v>357.19980525824894</v>
      </c>
      <c r="FK90" s="838">
        <f>FE90*(1+Model!FK43+Metrics!FK16)</f>
        <v>309.68579610538279</v>
      </c>
      <c r="FL90" s="838">
        <f>FF90*(1+Model!FL43+Metrics!FL16)</f>
        <v>333.35772222220243</v>
      </c>
      <c r="FM90" s="171">
        <f>SUM(FI90:FL90)</f>
        <v>1456.4726812750946</v>
      </c>
      <c r="FO90" s="621"/>
      <c r="FP90" s="621"/>
      <c r="FQ90" s="621"/>
      <c r="FR90" s="621"/>
      <c r="FS90" s="621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</row>
    <row r="91" spans="1:274" s="24" customFormat="1" collapsed="1" x14ac:dyDescent="0.2">
      <c r="A91" s="839" t="s">
        <v>698</v>
      </c>
      <c r="B91" s="1059"/>
      <c r="C91" s="101" t="s">
        <v>945</v>
      </c>
      <c r="D91" s="101" t="s">
        <v>945</v>
      </c>
      <c r="E91" s="101" t="s">
        <v>945</v>
      </c>
      <c r="F91" s="101" t="s">
        <v>945</v>
      </c>
      <c r="G91" s="101" t="s">
        <v>945</v>
      </c>
      <c r="H91" s="101" t="s">
        <v>945</v>
      </c>
      <c r="I91" s="101" t="s">
        <v>945</v>
      </c>
      <c r="J91" s="101" t="s">
        <v>945</v>
      </c>
      <c r="K91" s="101" t="s">
        <v>945</v>
      </c>
      <c r="L91" s="101" t="s">
        <v>945</v>
      </c>
      <c r="M91" s="101" t="s">
        <v>945</v>
      </c>
      <c r="N91" s="131"/>
      <c r="O91" s="101" t="s">
        <v>945</v>
      </c>
      <c r="P91" s="101" t="s">
        <v>945</v>
      </c>
      <c r="Q91" s="101" t="s">
        <v>945</v>
      </c>
      <c r="R91" s="101" t="s">
        <v>945</v>
      </c>
      <c r="S91" s="101" t="s">
        <v>945</v>
      </c>
      <c r="T91" s="131"/>
      <c r="U91" s="101" t="s">
        <v>945</v>
      </c>
      <c r="V91" s="101" t="s">
        <v>945</v>
      </c>
      <c r="W91" s="101" t="s">
        <v>945</v>
      </c>
      <c r="X91" s="101" t="s">
        <v>945</v>
      </c>
      <c r="Y91" s="101" t="s">
        <v>945</v>
      </c>
      <c r="Z91" s="189"/>
      <c r="AA91" s="131">
        <f>SUM(AA89:AA90)</f>
        <v>133.35300000000001</v>
      </c>
      <c r="AB91" s="131">
        <f>SUM(AB89:AB90)</f>
        <v>177.34800000000001</v>
      </c>
      <c r="AC91" s="131">
        <f>SUM(AC89:AC90)</f>
        <v>228.45999999999998</v>
      </c>
      <c r="AD91" s="131">
        <f>SUM(AD89:AD90)</f>
        <v>316.483</v>
      </c>
      <c r="AE91" s="131">
        <f>SUM(AE89:AE90)</f>
        <v>855.64399999999989</v>
      </c>
      <c r="AF91" s="189"/>
      <c r="AG91" s="131">
        <f>SUM(AG89:AG90)</f>
        <v>151.83600000000001</v>
      </c>
      <c r="AH91" s="131">
        <f>SUM(AH89:AH90)</f>
        <v>194.34800000000001</v>
      </c>
      <c r="AI91" s="131">
        <f>SUM(AI89:AI90)</f>
        <v>244.57300000000001</v>
      </c>
      <c r="AJ91" s="131">
        <f>SUM(AJ89:AJ90)</f>
        <v>347.51900000000001</v>
      </c>
      <c r="AK91" s="131">
        <f>SUM(AK89:AK90)</f>
        <v>938.27599999999995</v>
      </c>
      <c r="AL91" s="189"/>
      <c r="AM91" s="131">
        <f>SUM(AM89:AM90)</f>
        <v>185.71299999999999</v>
      </c>
      <c r="AN91" s="131">
        <f>SUM(AN89:AN90)</f>
        <v>247.55799999999999</v>
      </c>
      <c r="AO91" s="131">
        <f>SUM(AO89:AO90)</f>
        <v>261.29399999999998</v>
      </c>
      <c r="AP91" s="131">
        <f>SUM(AP89:AP90)</f>
        <v>410.68200000000002</v>
      </c>
      <c r="AQ91" s="131">
        <f>SUM(AQ89:AQ90)</f>
        <v>1105.2470000000001</v>
      </c>
      <c r="AR91" s="189"/>
      <c r="AS91" s="131">
        <f>SUM(AS89:AS90)</f>
        <v>186.10899999999998</v>
      </c>
      <c r="AT91" s="131">
        <f>SUM(AT89:AT90)</f>
        <v>283.87700000000001</v>
      </c>
      <c r="AU91" s="131">
        <f>SUM(AU89:AU90)</f>
        <v>269.00200000000001</v>
      </c>
      <c r="AV91" s="131">
        <f>SUM(AV89:AV90)</f>
        <v>424.5</v>
      </c>
      <c r="AW91" s="131">
        <f>SUM(AW89:AW90)</f>
        <v>1163.4880000000001</v>
      </c>
      <c r="AX91" s="189"/>
      <c r="AY91" s="131">
        <f>SUM(AY89:AY90)</f>
        <v>209.01900000000001</v>
      </c>
      <c r="AZ91" s="131">
        <f>SUM(AZ89:AZ90)</f>
        <v>293.387</v>
      </c>
      <c r="BA91" s="131">
        <f>SUM(BA89:BA90)</f>
        <v>318.99400000000003</v>
      </c>
      <c r="BB91" s="131">
        <f>SUM(BB89:BB90)</f>
        <v>423.41999999999996</v>
      </c>
      <c r="BC91" s="131">
        <f>SUM(BC89:BC90)</f>
        <v>1244.82</v>
      </c>
      <c r="BD91" s="189"/>
      <c r="BE91" s="131">
        <f>SUM(BE89:BE90)</f>
        <v>212.142</v>
      </c>
      <c r="BF91" s="131">
        <f>SUM(BF89:BF90)</f>
        <v>253.55699999999999</v>
      </c>
      <c r="BG91" s="131">
        <f>SUM(BG89:BG90)</f>
        <v>264.24799999999999</v>
      </c>
      <c r="BH91" s="131">
        <f>SUM(BH89:BH90)</f>
        <v>416.67499999999995</v>
      </c>
      <c r="BI91" s="131">
        <f>SUM(BI89:BI90)</f>
        <v>1146.6220000000001</v>
      </c>
      <c r="BJ91" s="189"/>
      <c r="BK91" s="131">
        <f>SUM(BK89:BK90)</f>
        <v>182.14099999999999</v>
      </c>
      <c r="BL91" s="131">
        <f>SUM(BL89:BL90)</f>
        <v>298.69099999999997</v>
      </c>
      <c r="BM91" s="131">
        <f>SUM(BM89:BM90)</f>
        <v>269.70400000000001</v>
      </c>
      <c r="BN91" s="131">
        <f>SUM(BN89:BN90)</f>
        <v>462.23199999999997</v>
      </c>
      <c r="BO91" s="131">
        <f>SUM(BO89:BO90)</f>
        <v>1212.7679999999998</v>
      </c>
      <c r="BP91" s="189"/>
      <c r="BQ91" s="131">
        <f>SUM(BQ89:BQ90)</f>
        <v>198</v>
      </c>
      <c r="BR91" s="131">
        <f>SUM(BR89:BR90)</f>
        <v>311</v>
      </c>
      <c r="BS91" s="131">
        <f>SUM(BS89:BS90)</f>
        <v>331</v>
      </c>
      <c r="BT91" s="101">
        <f>BT89+BT90</f>
        <v>524</v>
      </c>
      <c r="BU91" s="131">
        <f>SUM(BU89:BU90)</f>
        <v>1364</v>
      </c>
      <c r="BV91" s="189"/>
      <c r="BW91" s="101">
        <f>BW89+BW90</f>
        <v>186</v>
      </c>
      <c r="BX91" s="101">
        <f>BX90+BX89</f>
        <v>384</v>
      </c>
      <c r="BY91" s="101">
        <f>BY90+BY89</f>
        <v>369</v>
      </c>
      <c r="BZ91" s="101">
        <f>BZ90+BZ89</f>
        <v>559</v>
      </c>
      <c r="CA91" s="131">
        <f>SUM(CA89:CA90)</f>
        <v>1498</v>
      </c>
      <c r="CB91" s="189"/>
      <c r="CC91" s="101">
        <f>CC89+CC90</f>
        <v>202</v>
      </c>
      <c r="CD91" s="101">
        <f>CD89+CD90</f>
        <v>357</v>
      </c>
      <c r="CE91" s="101">
        <f>CE89+CE90</f>
        <v>412.2</v>
      </c>
      <c r="CF91" s="101">
        <f>CF89+CF90</f>
        <v>673</v>
      </c>
      <c r="CG91" s="171">
        <f>SUM(CG89:CG90)</f>
        <v>1644.2</v>
      </c>
      <c r="CH91" s="189"/>
      <c r="CI91" s="101">
        <f>CI89+CI90</f>
        <v>253</v>
      </c>
      <c r="CJ91" s="101">
        <f>CJ89+CJ90</f>
        <v>442</v>
      </c>
      <c r="CK91" s="101">
        <f>CK89+CK90</f>
        <v>487</v>
      </c>
      <c r="CL91" s="101">
        <f>CL89+CL90</f>
        <v>843</v>
      </c>
      <c r="CM91" s="171">
        <f>SUM(CM89:CM90)</f>
        <v>2025</v>
      </c>
      <c r="CN91" s="189"/>
      <c r="CO91" s="101">
        <f>CO89+CO90</f>
        <v>378</v>
      </c>
      <c r="CP91" s="101">
        <f>CP89+CP90</f>
        <v>598</v>
      </c>
      <c r="CQ91" s="101">
        <f>CQ89+CQ90</f>
        <v>589</v>
      </c>
      <c r="CR91" s="101">
        <f>CR89+CR90</f>
        <v>1201</v>
      </c>
      <c r="CS91" s="171">
        <f>SUM(CS89:CS90)</f>
        <v>2766</v>
      </c>
      <c r="CT91" s="189"/>
      <c r="CU91" s="101">
        <f>CU89+CU90</f>
        <v>420</v>
      </c>
      <c r="CV91" s="101">
        <f>CV89+CV90</f>
        <v>557</v>
      </c>
      <c r="CW91" s="101">
        <v>571</v>
      </c>
      <c r="CX91" s="101">
        <f>CX89+CX90</f>
        <v>1041</v>
      </c>
      <c r="CY91" s="171">
        <f>SUM(CY89:CY90)</f>
        <v>2589</v>
      </c>
      <c r="CZ91" s="189"/>
      <c r="DA91" s="101">
        <f>DA89+DA90</f>
        <v>314</v>
      </c>
      <c r="DB91" s="101">
        <f>DB89+DB90</f>
        <v>548</v>
      </c>
      <c r="DC91" s="101">
        <f>DC89+DC90</f>
        <v>590</v>
      </c>
      <c r="DD91" s="101">
        <f>DD89+DD90</f>
        <v>1012</v>
      </c>
      <c r="DE91" s="171">
        <f>SUM(DE89:DE90)</f>
        <v>2464</v>
      </c>
      <c r="DF91" s="189"/>
      <c r="DG91" s="101">
        <f>DG89+DG90</f>
        <v>352</v>
      </c>
      <c r="DH91" s="101">
        <f>DH89+DH90</f>
        <v>574</v>
      </c>
      <c r="DI91" s="101">
        <f>DI89+DI90</f>
        <v>702</v>
      </c>
      <c r="DJ91" s="101">
        <f>DJ89+DJ90</f>
        <v>1233</v>
      </c>
      <c r="DK91" s="171">
        <f>SUM(DK89:DK90)</f>
        <v>2861</v>
      </c>
      <c r="DL91" s="189"/>
      <c r="DM91" s="101">
        <f>DM89+DM90</f>
        <v>440</v>
      </c>
      <c r="DN91" s="101">
        <f>DN89+DN90</f>
        <v>584</v>
      </c>
      <c r="DO91" s="101">
        <f>DO89+DO90</f>
        <v>693</v>
      </c>
      <c r="DP91" s="101">
        <f>DP89+DP90</f>
        <v>1166</v>
      </c>
      <c r="DQ91" s="171">
        <f>SUM(DQ89:DQ90)</f>
        <v>2883</v>
      </c>
      <c r="DR91" s="189"/>
      <c r="DS91" s="838">
        <v>403</v>
      </c>
      <c r="DT91" s="838">
        <v>641</v>
      </c>
      <c r="DU91" s="838">
        <v>690</v>
      </c>
      <c r="DV91" s="838">
        <v>1224</v>
      </c>
      <c r="DW91" s="171">
        <f>SUM(DW89:DW90)</f>
        <v>3127.4758511055043</v>
      </c>
      <c r="DX91" s="189"/>
      <c r="DY91" s="838">
        <v>388</v>
      </c>
      <c r="DZ91" s="838">
        <v>675</v>
      </c>
      <c r="EA91" s="838">
        <f>EA89+EA90</f>
        <v>743.5733893002764</v>
      </c>
      <c r="EB91" s="838">
        <f>EB89+EB90</f>
        <v>1231.5569733875373</v>
      </c>
      <c r="EC91" s="171">
        <f>SUM(EC89:EC90)</f>
        <v>3180.3432154007751</v>
      </c>
      <c r="ED91" s="189"/>
      <c r="EE91" s="838">
        <f>EE89+EE90</f>
        <v>531.32343712881243</v>
      </c>
      <c r="EF91" s="838">
        <f>EF89+EF90</f>
        <v>709.55067995505669</v>
      </c>
      <c r="EG91" s="838">
        <f>EG89+EG90</f>
        <v>726.75315434377944</v>
      </c>
      <c r="EH91" s="838">
        <f>EH89+EH90</f>
        <v>1083.5307858369924</v>
      </c>
      <c r="EI91" s="171">
        <f>SUM(EI89:EI90)</f>
        <v>3051.1580572646408</v>
      </c>
      <c r="EJ91" s="189"/>
      <c r="EK91" s="838">
        <f>EK89+EK90</f>
        <v>493.56404136559166</v>
      </c>
      <c r="EL91" s="838">
        <f>EL89+EL90</f>
        <v>640.17828960759789</v>
      </c>
      <c r="EM91" s="838">
        <f>EM89+EM90</f>
        <v>697.94040473629184</v>
      </c>
      <c r="EN91" s="838">
        <f>EN89+EN90</f>
        <v>1058.5718694743809</v>
      </c>
      <c r="EO91" s="171">
        <f>SUM(EO89:EO90)</f>
        <v>2890.2546051838622</v>
      </c>
      <c r="EP91" s="189"/>
      <c r="EQ91" s="838">
        <f>EQ89+EQ90</f>
        <v>550.32016372356009</v>
      </c>
      <c r="ER91" s="838">
        <f>ER89+ER90</f>
        <v>664.35987953132178</v>
      </c>
      <c r="ES91" s="838">
        <f>ES89+ES90</f>
        <v>755.64109285532106</v>
      </c>
      <c r="ET91" s="838">
        <f>ET89+ET90</f>
        <v>1138.1489329430419</v>
      </c>
      <c r="EU91" s="171">
        <f>SUM(EU89:EU90)</f>
        <v>3108.4700690532445</v>
      </c>
      <c r="EV91" s="189"/>
      <c r="EW91" s="838">
        <f>EW89+EW90</f>
        <v>655.15603105081777</v>
      </c>
      <c r="EX91" s="838">
        <f>EX89+EX90</f>
        <v>770.72689582554472</v>
      </c>
      <c r="EY91" s="838">
        <f>EY89+EY90</f>
        <v>838.17522850642558</v>
      </c>
      <c r="EZ91" s="838">
        <f>EZ89+EZ90</f>
        <v>1176.697757816703</v>
      </c>
      <c r="FA91" s="171">
        <f>SUM(FA89:FA90)</f>
        <v>3440.7559131994913</v>
      </c>
      <c r="FB91" s="189"/>
      <c r="FC91" s="838">
        <f>FC89+FC90</f>
        <v>735.92330210183695</v>
      </c>
      <c r="FD91" s="838">
        <f>FD89+FD90</f>
        <v>843.76418100513297</v>
      </c>
      <c r="FE91" s="838">
        <f>FE89+FE90</f>
        <v>912.98817452256094</v>
      </c>
      <c r="FF91" s="838">
        <f>FF89+FF90</f>
        <v>1233.5543950930103</v>
      </c>
      <c r="FG91" s="171">
        <f>SUM(FG89:FG90)</f>
        <v>3726.2300527225407</v>
      </c>
      <c r="FH91" s="189"/>
      <c r="FI91" s="838">
        <f>FI89+FI90</f>
        <v>822.16751096705116</v>
      </c>
      <c r="FJ91" s="838">
        <f>FJ89+FJ90</f>
        <v>921.23229259900154</v>
      </c>
      <c r="FK91" s="838">
        <f>FK89+FK90</f>
        <v>991.38633220415841</v>
      </c>
      <c r="FL91" s="838">
        <f>FL89+FL90</f>
        <v>1300.2286979077367</v>
      </c>
      <c r="FM91" s="171">
        <f>SUM(FM89:FM90)</f>
        <v>4035.014833677948</v>
      </c>
      <c r="FO91" s="183"/>
      <c r="FP91" s="183"/>
      <c r="FQ91" s="621"/>
      <c r="FR91" s="621"/>
      <c r="FS91" s="62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</row>
    <row r="92" spans="1:274" s="24" customFormat="1" x14ac:dyDescent="0.2">
      <c r="A92" s="58" t="s">
        <v>699</v>
      </c>
      <c r="B92" s="359"/>
      <c r="C92" s="50"/>
      <c r="D92" s="50"/>
      <c r="E92" s="50"/>
      <c r="F92" s="50"/>
      <c r="G92" s="50"/>
      <c r="H92" s="50"/>
      <c r="I92" s="50"/>
      <c r="J92" s="50"/>
      <c r="K92" s="50"/>
      <c r="L92" s="50"/>
      <c r="M92" s="50"/>
      <c r="N92" s="342"/>
      <c r="O92" s="50"/>
      <c r="P92" s="50"/>
      <c r="Q92" s="50"/>
      <c r="R92" s="50"/>
      <c r="S92" s="50"/>
      <c r="T92" s="342"/>
      <c r="U92" s="50"/>
      <c r="V92" s="50"/>
      <c r="W92" s="50"/>
      <c r="X92" s="50"/>
      <c r="Y92" s="50"/>
      <c r="Z92" s="53"/>
      <c r="AA92" s="342"/>
      <c r="AB92" s="342"/>
      <c r="AC92" s="342"/>
      <c r="AD92" s="342"/>
      <c r="AE92" s="342"/>
      <c r="AF92" s="53"/>
      <c r="AG92" s="342"/>
      <c r="AH92" s="342"/>
      <c r="AI92" s="342"/>
      <c r="AJ92" s="342"/>
      <c r="AK92" s="342"/>
      <c r="AL92" s="53"/>
      <c r="AM92" s="342"/>
      <c r="AN92" s="342"/>
      <c r="AO92" s="342"/>
      <c r="AP92" s="342"/>
      <c r="AQ92" s="342"/>
      <c r="AR92" s="53"/>
      <c r="AS92" s="342"/>
      <c r="AT92" s="342"/>
      <c r="AU92" s="342"/>
      <c r="AV92" s="342"/>
      <c r="AW92" s="342"/>
      <c r="AX92" s="53"/>
      <c r="AY92" s="342"/>
      <c r="AZ92" s="342"/>
      <c r="BA92" s="342"/>
      <c r="BB92" s="342"/>
      <c r="BC92" s="342"/>
      <c r="BD92" s="53"/>
      <c r="BE92" s="342"/>
      <c r="BF92" s="342"/>
      <c r="BG92" s="342"/>
      <c r="BH92" s="342"/>
      <c r="BI92" s="342"/>
      <c r="BJ92" s="53"/>
      <c r="BK92" s="342"/>
      <c r="BL92" s="342"/>
      <c r="BM92" s="342"/>
      <c r="BN92" s="342"/>
      <c r="BO92" s="342"/>
      <c r="BP92" s="53"/>
      <c r="BQ92" s="342"/>
      <c r="BR92" s="342"/>
      <c r="BS92" s="342"/>
      <c r="BT92" s="342"/>
      <c r="BU92" s="342"/>
      <c r="BV92" s="53"/>
      <c r="BW92" s="342"/>
      <c r="BX92" s="342"/>
      <c r="BY92" s="342"/>
      <c r="BZ92" s="342"/>
      <c r="CA92" s="342"/>
      <c r="CB92" s="53"/>
      <c r="CC92" s="342"/>
      <c r="CD92" s="342"/>
      <c r="CE92" s="342"/>
      <c r="CF92" s="342"/>
      <c r="CG92" s="147"/>
      <c r="CH92" s="53"/>
      <c r="CI92" s="342"/>
      <c r="CJ92" s="342"/>
      <c r="CK92" s="342"/>
      <c r="CL92" s="342"/>
      <c r="CM92" s="147"/>
      <c r="CN92" s="53"/>
      <c r="CO92" s="342"/>
      <c r="CP92" s="342"/>
      <c r="CQ92" s="342"/>
      <c r="CR92" s="342"/>
      <c r="CS92" s="147"/>
      <c r="CT92" s="53"/>
      <c r="CU92" s="342"/>
      <c r="CV92" s="342"/>
      <c r="CW92" s="342"/>
      <c r="CX92" s="342"/>
      <c r="CY92" s="147"/>
      <c r="CZ92" s="53"/>
      <c r="DA92" s="342"/>
      <c r="DB92" s="342"/>
      <c r="DC92" s="342"/>
      <c r="DD92" s="342"/>
      <c r="DE92" s="147"/>
      <c r="DF92" s="53"/>
      <c r="DG92" s="342"/>
      <c r="DH92" s="342"/>
      <c r="DI92" s="342"/>
      <c r="DJ92" s="342"/>
      <c r="DK92" s="147"/>
      <c r="DL92" s="53"/>
      <c r="DM92" s="342"/>
      <c r="DN92" s="342"/>
      <c r="DO92" s="342"/>
      <c r="DP92" s="342"/>
      <c r="DQ92" s="147"/>
      <c r="DR92" s="53"/>
      <c r="DS92" s="342"/>
      <c r="DT92" s="342"/>
      <c r="DU92" s="342"/>
      <c r="DV92" s="342"/>
      <c r="DW92" s="147"/>
      <c r="DX92" s="53"/>
      <c r="DY92" s="342"/>
      <c r="DZ92" s="342"/>
      <c r="EA92" s="342"/>
      <c r="EB92" s="342"/>
      <c r="EC92" s="147"/>
      <c r="ED92" s="53"/>
      <c r="EE92" s="342"/>
      <c r="EF92" s="342"/>
      <c r="EG92" s="342"/>
      <c r="EH92" s="342"/>
      <c r="EI92" s="147"/>
      <c r="EJ92" s="53"/>
      <c r="EK92" s="342"/>
      <c r="EL92" s="342"/>
      <c r="EM92" s="342"/>
      <c r="EN92" s="342"/>
      <c r="EO92" s="147"/>
      <c r="EP92" s="53"/>
      <c r="EQ92" s="342"/>
      <c r="ER92" s="342"/>
      <c r="ES92" s="342"/>
      <c r="ET92" s="342"/>
      <c r="EU92" s="147"/>
      <c r="EV92" s="53"/>
      <c r="EW92" s="342"/>
      <c r="EX92" s="342"/>
      <c r="EY92" s="342"/>
      <c r="EZ92" s="342"/>
      <c r="FA92" s="147"/>
      <c r="FB92" s="53"/>
      <c r="FC92" s="342"/>
      <c r="FD92" s="342"/>
      <c r="FE92" s="342"/>
      <c r="FF92" s="342"/>
      <c r="FG92" s="147"/>
      <c r="FH92" s="53"/>
      <c r="FI92" s="342"/>
      <c r="FJ92" s="342"/>
      <c r="FK92" s="342"/>
      <c r="FL92" s="342"/>
      <c r="FM92" s="147"/>
      <c r="FO92" s="621"/>
      <c r="FP92" s="621"/>
      <c r="FQ92" s="820"/>
      <c r="FR92" s="820"/>
      <c r="FS92" s="820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</row>
    <row r="93" spans="1:274" s="24" customFormat="1" hidden="1" outlineLevel="1" x14ac:dyDescent="0.2">
      <c r="A93" s="342" t="s">
        <v>109</v>
      </c>
      <c r="B93" s="29"/>
      <c r="C93" s="50" t="s">
        <v>945</v>
      </c>
      <c r="D93" s="50" t="s">
        <v>945</v>
      </c>
      <c r="E93" s="50" t="s">
        <v>945</v>
      </c>
      <c r="F93" s="50" t="s">
        <v>945</v>
      </c>
      <c r="G93" s="50" t="s">
        <v>945</v>
      </c>
      <c r="H93" s="50" t="s">
        <v>945</v>
      </c>
      <c r="I93" s="50" t="s">
        <v>945</v>
      </c>
      <c r="J93" s="50" t="s">
        <v>945</v>
      </c>
      <c r="K93" s="50" t="s">
        <v>945</v>
      </c>
      <c r="L93" s="50" t="s">
        <v>945</v>
      </c>
      <c r="M93" s="50" t="s">
        <v>945</v>
      </c>
      <c r="N93" s="342"/>
      <c r="O93" s="50" t="s">
        <v>945</v>
      </c>
      <c r="P93" s="50" t="s">
        <v>945</v>
      </c>
      <c r="Q93" s="50" t="s">
        <v>945</v>
      </c>
      <c r="R93" s="50" t="s">
        <v>945</v>
      </c>
      <c r="S93" s="50" t="s">
        <v>945</v>
      </c>
      <c r="T93" s="342"/>
      <c r="U93" s="50" t="s">
        <v>945</v>
      </c>
      <c r="V93" s="50" t="s">
        <v>945</v>
      </c>
      <c r="W93" s="50" t="s">
        <v>945</v>
      </c>
      <c r="X93" s="50" t="s">
        <v>945</v>
      </c>
      <c r="Y93" s="50" t="s">
        <v>945</v>
      </c>
      <c r="Z93" s="53"/>
      <c r="AA93" s="43">
        <f>(AA87/AA89*0.27)+(AA88/AA89*-0.25)</f>
        <v>0.19273820721343138</v>
      </c>
      <c r="AB93" s="43">
        <f>(AB87/AB89*0.11)+(AB88/AB89*-0.22)</f>
        <v>5.9038635104601736E-2</v>
      </c>
      <c r="AC93" s="43">
        <f>(AC87/AC89*0.41)+(AC88/AC89*0.03)</f>
        <v>0.35359567408611192</v>
      </c>
      <c r="AD93" s="43">
        <f>(AD87/AD89*0.05)+(AD88/AD89*0.02)</f>
        <v>4.5680364282541096E-2</v>
      </c>
      <c r="AE93" s="43">
        <f>(AE87/AE89*0.18)+(AE88/AE89*-0.09)</f>
        <v>0.14000146502161895</v>
      </c>
      <c r="AF93" s="53"/>
      <c r="AG93" s="43">
        <f t="shared" ref="AG93:AK95" si="198">AG89/AA89-1</f>
        <v>0.1259478761747006</v>
      </c>
      <c r="AH93" s="43">
        <f t="shared" si="198"/>
        <v>6.2431142122658656E-3</v>
      </c>
      <c r="AI93" s="43">
        <f t="shared" si="198"/>
        <v>6.0782379059171721E-2</v>
      </c>
      <c r="AJ93" s="43">
        <f t="shared" si="198"/>
        <v>0.10956241670368705</v>
      </c>
      <c r="AK93" s="43">
        <f t="shared" si="198"/>
        <v>7.6941351621026666E-2</v>
      </c>
      <c r="AL93" s="53"/>
      <c r="AM93" s="43">
        <f t="shared" ref="AM93:AQ95" si="199">AM89/AG89-1</f>
        <v>0.21790075997279468</v>
      </c>
      <c r="AN93" s="43">
        <f t="shared" si="199"/>
        <v>0.34792156377582595</v>
      </c>
      <c r="AO93" s="43">
        <f t="shared" si="199"/>
        <v>8.2071484262793426E-3</v>
      </c>
      <c r="AP93" s="43">
        <f t="shared" si="199"/>
        <v>0.16924411524281413</v>
      </c>
      <c r="AQ93" s="43">
        <f t="shared" si="199"/>
        <v>0.16942536680539844</v>
      </c>
      <c r="AR93" s="53"/>
      <c r="AS93" s="43">
        <f t="shared" ref="AS93:AW95" si="200">AS89/AM89-1</f>
        <v>-3.8059280212210389E-3</v>
      </c>
      <c r="AT93" s="43">
        <f t="shared" si="200"/>
        <v>0.12266354604070573</v>
      </c>
      <c r="AU93" s="43">
        <f t="shared" si="200"/>
        <v>3.401305167758828E-2</v>
      </c>
      <c r="AV93" s="43">
        <f t="shared" si="200"/>
        <v>-2.1002168702202173E-3</v>
      </c>
      <c r="AW93" s="43">
        <f t="shared" si="200"/>
        <v>3.446519577995999E-2</v>
      </c>
      <c r="AX93" s="53"/>
      <c r="AY93" s="43">
        <f t="shared" ref="AY93:BC95" si="201">AY89/AS89-1</f>
        <v>2.0875478320212526E-2</v>
      </c>
      <c r="AZ93" s="43">
        <f t="shared" si="201"/>
        <v>-6.6863150665892768E-2</v>
      </c>
      <c r="BA93" s="43">
        <f t="shared" si="201"/>
        <v>0.22658566667541402</v>
      </c>
      <c r="BB93" s="43">
        <f t="shared" si="201"/>
        <v>-5.3613913481115549E-2</v>
      </c>
      <c r="BC93" s="43">
        <f t="shared" si="201"/>
        <v>2.0390114031461959E-2</v>
      </c>
      <c r="BD93" s="53"/>
      <c r="BE93" s="43">
        <f t="shared" ref="BE93:BI95" si="202">BE89/AY89-1</f>
        <v>5.134234997791598E-2</v>
      </c>
      <c r="BF93" s="43">
        <f t="shared" si="202"/>
        <v>-5.8643665371456599E-2</v>
      </c>
      <c r="BG93" s="43">
        <f t="shared" si="202"/>
        <v>-0.18786303392060588</v>
      </c>
      <c r="BH93" s="43">
        <f t="shared" si="202"/>
        <v>1.7283316462963771E-3</v>
      </c>
      <c r="BI93" s="43">
        <f t="shared" si="202"/>
        <v>-5.6490965754356193E-2</v>
      </c>
      <c r="BJ93" s="53"/>
      <c r="BK93" s="43">
        <f t="shared" ref="BK93:BO95" si="203">BK89/BE89-1</f>
        <v>-0.13618970842038336</v>
      </c>
      <c r="BL93" s="43">
        <f t="shared" si="203"/>
        <v>0.1979198659779422</v>
      </c>
      <c r="BM93" s="43">
        <f t="shared" si="203"/>
        <v>2.9925843969389243E-2</v>
      </c>
      <c r="BN93" s="43">
        <f t="shared" si="203"/>
        <v>0.14836800622573731</v>
      </c>
      <c r="BO93" s="43">
        <f t="shared" si="203"/>
        <v>7.8442720587925674E-2</v>
      </c>
      <c r="BP93" s="53"/>
      <c r="BQ93" s="43">
        <f t="shared" ref="BQ93:BU95" si="204">BQ89/BK89-1</f>
        <v>-6.0168906706976499E-2</v>
      </c>
      <c r="BR93" s="43">
        <f t="shared" si="204"/>
        <v>2.1672668508008419E-2</v>
      </c>
      <c r="BS93" s="43">
        <f t="shared" si="204"/>
        <v>0.23625729498377934</v>
      </c>
      <c r="BT93" s="43">
        <f t="shared" si="204"/>
        <v>0.18723979879962704</v>
      </c>
      <c r="BU93" s="43">
        <f t="shared" si="204"/>
        <v>0.12014206679871609</v>
      </c>
      <c r="BV93" s="53"/>
      <c r="BW93" s="52">
        <f t="shared" ref="BW93:CA95" si="205">BW89/BQ89-1</f>
        <v>0.10489510489510478</v>
      </c>
      <c r="BX93" s="52">
        <f t="shared" si="205"/>
        <v>0.15589353612167289</v>
      </c>
      <c r="BY93" s="52">
        <f t="shared" si="205"/>
        <v>0.1206896551724137</v>
      </c>
      <c r="BZ93" s="52">
        <f t="shared" si="205"/>
        <v>6.8584070796460228E-2</v>
      </c>
      <c r="CA93" s="43">
        <f t="shared" si="205"/>
        <v>0.10627177700348422</v>
      </c>
      <c r="CB93" s="53"/>
      <c r="CC93" s="52">
        <f t="shared" ref="CC93:CG95" si="206">CC89/BW89-1</f>
        <v>3.7974683544303778E-2</v>
      </c>
      <c r="CD93" s="52">
        <f t="shared" si="206"/>
        <v>-7.2368421052631526E-2</v>
      </c>
      <c r="CE93" s="52">
        <f t="shared" si="206"/>
        <v>-2.7692307692307683E-2</v>
      </c>
      <c r="CF93" s="52">
        <f t="shared" si="206"/>
        <v>6.6252587991718404E-2</v>
      </c>
      <c r="CG93" s="395">
        <f t="shared" si="206"/>
        <v>5.5118110236220819E-3</v>
      </c>
      <c r="CH93" s="53"/>
      <c r="CI93" s="52">
        <f t="shared" ref="CI93:CM95" si="207">CI89/CC89-1</f>
        <v>0.12195121951219523</v>
      </c>
      <c r="CJ93" s="52">
        <f t="shared" si="207"/>
        <v>0.20921985815602828</v>
      </c>
      <c r="CK93" s="52">
        <f t="shared" si="207"/>
        <v>0.14873417721518978</v>
      </c>
      <c r="CL93" s="52">
        <f t="shared" si="207"/>
        <v>0.20194174757281558</v>
      </c>
      <c r="CM93" s="395">
        <f t="shared" si="207"/>
        <v>0.1801096319498825</v>
      </c>
      <c r="CN93" s="53"/>
      <c r="CO93" s="52">
        <v>0.34</v>
      </c>
      <c r="CP93" s="52">
        <v>0.23</v>
      </c>
      <c r="CQ93" s="52">
        <f>CQ89/CK89-1</f>
        <v>0.2341597796143251</v>
      </c>
      <c r="CR93" s="52">
        <v>0.41</v>
      </c>
      <c r="CS93" s="395">
        <v>0.32</v>
      </c>
      <c r="CT93" s="53"/>
      <c r="CU93" s="52">
        <f t="shared" ref="CU93:CY95" si="208">CU89/CO89-1</f>
        <v>0.27843137254901951</v>
      </c>
      <c r="CV93" s="52">
        <f t="shared" si="208"/>
        <v>1.6509433962264231E-2</v>
      </c>
      <c r="CW93" s="52">
        <f t="shared" si="208"/>
        <v>-4.4642857142856984E-3</v>
      </c>
      <c r="CX93" s="52">
        <f t="shared" si="208"/>
        <v>-0.14140271493212675</v>
      </c>
      <c r="CY93" s="395">
        <f t="shared" si="208"/>
        <v>-2.436598707110893E-2</v>
      </c>
      <c r="CZ93" s="53"/>
      <c r="DA93" s="52">
        <f t="shared" ref="DA93:DE95" si="209">DA89/CU89-1</f>
        <v>-0.31288343558282206</v>
      </c>
      <c r="DB93" s="52">
        <f t="shared" si="209"/>
        <v>-4.6403712296984034E-3</v>
      </c>
      <c r="DC93" s="52">
        <f t="shared" si="209"/>
        <v>2.2421524663677195E-2</v>
      </c>
      <c r="DD93" s="52">
        <f t="shared" si="209"/>
        <v>-1.0540184453227908E-2</v>
      </c>
      <c r="DE93" s="395">
        <f t="shared" si="209"/>
        <v>-5.1987767584097844E-2</v>
      </c>
      <c r="DF93" s="53"/>
      <c r="DG93" s="52">
        <f t="shared" ref="DG93:DK95" si="210">DG89/DA89-1</f>
        <v>0.24553571428571419</v>
      </c>
      <c r="DH93" s="52">
        <f t="shared" si="210"/>
        <v>-6.9930069930069783E-3</v>
      </c>
      <c r="DI93" s="52">
        <f t="shared" si="210"/>
        <v>0.10745614035087714</v>
      </c>
      <c r="DJ93" s="52">
        <f t="shared" si="210"/>
        <v>0.23169107856191751</v>
      </c>
      <c r="DK93" s="395">
        <f t="shared" si="210"/>
        <v>0.14784946236559149</v>
      </c>
      <c r="DL93" s="53"/>
      <c r="DM93" s="52">
        <f t="shared" ref="DM93:DQ95" si="211">DM89/DG89-1</f>
        <v>0.15412186379928317</v>
      </c>
      <c r="DN93" s="52">
        <f t="shared" si="211"/>
        <v>3.9906103286384997E-2</v>
      </c>
      <c r="DO93" s="52">
        <f t="shared" si="211"/>
        <v>5.9405940594059459E-2</v>
      </c>
      <c r="DP93" s="52">
        <f t="shared" si="211"/>
        <v>-8.2162162162162211E-2</v>
      </c>
      <c r="DQ93" s="395">
        <f t="shared" si="211"/>
        <v>6.5573770491802463E-3</v>
      </c>
      <c r="DR93" s="53"/>
      <c r="DS93" s="52">
        <f t="shared" ref="DS93:DW95" si="212">DS89/DM89-1</f>
        <v>3.0000000000000027E-2</v>
      </c>
      <c r="DT93" s="52">
        <f t="shared" si="212"/>
        <v>0.1100000000000001</v>
      </c>
      <c r="DU93" s="52">
        <f t="shared" si="212"/>
        <v>5.0000000000000044E-2</v>
      </c>
      <c r="DV93" s="52">
        <f t="shared" si="212"/>
        <v>0.1100000000000001</v>
      </c>
      <c r="DW93" s="395">
        <f t="shared" si="212"/>
        <v>8.3075849232201016E-2</v>
      </c>
      <c r="DX93" s="53"/>
      <c r="DY93" s="52">
        <f t="shared" ref="DY93:EC95" si="213">DY89/DS89-1</f>
        <v>0.1100000000000001</v>
      </c>
      <c r="DZ93" s="52">
        <f t="shared" si="213"/>
        <v>1.4999999999999902E-2</v>
      </c>
      <c r="EA93" s="52">
        <f t="shared" si="213"/>
        <v>7.0000000000000062E-2</v>
      </c>
      <c r="EB93" s="52">
        <f t="shared" si="213"/>
        <v>2.0000000000000018E-3</v>
      </c>
      <c r="EC93" s="395">
        <f t="shared" si="213"/>
        <v>3.6547683595915093E-2</v>
      </c>
      <c r="ED93" s="53"/>
      <c r="EE93" s="52">
        <f t="shared" ref="EE93:EK95" si="214">EE89/DY89-1</f>
        <v>-1.0000000000000009E-2</v>
      </c>
      <c r="EF93" s="52">
        <f t="shared" si="214"/>
        <v>1.0000000000000009E-2</v>
      </c>
      <c r="EG93" s="52">
        <f t="shared" si="214"/>
        <v>-1.0000000000000009E-2</v>
      </c>
      <c r="EH93" s="52">
        <f t="shared" si="214"/>
        <v>-2.0000000000000018E-2</v>
      </c>
      <c r="EI93" s="395">
        <f t="shared" si="214"/>
        <v>-9.7764353260944015E-3</v>
      </c>
      <c r="EJ93" s="53"/>
      <c r="EK93" s="52">
        <f t="shared" si="214"/>
        <v>-1.5000000000000013E-2</v>
      </c>
      <c r="EL93" s="52">
        <f t="shared" ref="EL93:EO95" si="215">EL89/EF89-1</f>
        <v>-1.5000000000000013E-2</v>
      </c>
      <c r="EM93" s="52">
        <f t="shared" si="215"/>
        <v>-1.5000000000000013E-2</v>
      </c>
      <c r="EN93" s="52">
        <f t="shared" si="215"/>
        <v>-1.5000000000000124E-2</v>
      </c>
      <c r="EO93" s="395">
        <f t="shared" si="215"/>
        <v>-1.5000000000000013E-2</v>
      </c>
      <c r="EP93" s="53"/>
      <c r="EQ93" s="52">
        <f>EQ89/EK89-1</f>
        <v>-1.5000000000000013E-2</v>
      </c>
      <c r="ER93" s="52">
        <f t="shared" ref="ER93:ET95" si="216">ER89/EL89-1</f>
        <v>2.0000000000000018E-2</v>
      </c>
      <c r="ES93" s="52">
        <f t="shared" si="216"/>
        <v>2.4999999999999911E-2</v>
      </c>
      <c r="ET93" s="52">
        <f t="shared" si="216"/>
        <v>-1.5000000000000013E-2</v>
      </c>
      <c r="EU93" s="395">
        <f t="shared" ref="EU93:EU95" si="217">EU89/EO89-1</f>
        <v>2.3485583848930069E-3</v>
      </c>
      <c r="EV93" s="53"/>
      <c r="EW93" s="52">
        <f t="shared" ref="EW93:FA95" si="218">EW89/EQ89-1</f>
        <v>-1.5000000000000013E-2</v>
      </c>
      <c r="EX93" s="52">
        <f t="shared" si="218"/>
        <v>6.0000000000000053E-2</v>
      </c>
      <c r="EY93" s="52">
        <f t="shared" si="218"/>
        <v>8.0000000000000071E-2</v>
      </c>
      <c r="EZ93" s="52">
        <f t="shared" si="218"/>
        <v>2.4999999999999911E-2</v>
      </c>
      <c r="FA93" s="395">
        <f t="shared" si="218"/>
        <v>4.0527766829752787E-2</v>
      </c>
      <c r="FB93" s="53"/>
      <c r="FC93" s="52">
        <f t="shared" ref="FC93:FG95" si="219">FC89/EW89-1</f>
        <v>2.4999999999999911E-2</v>
      </c>
      <c r="FD93" s="52">
        <f t="shared" si="219"/>
        <v>2.4999999999999911E-2</v>
      </c>
      <c r="FE93" s="52">
        <f t="shared" si="219"/>
        <v>2.4999999999999911E-2</v>
      </c>
      <c r="FF93" s="52">
        <f t="shared" si="219"/>
        <v>2.4999999999999911E-2</v>
      </c>
      <c r="FG93" s="395">
        <f t="shared" si="219"/>
        <v>2.4999999999999689E-2</v>
      </c>
      <c r="FH93" s="53"/>
      <c r="FI93" s="52">
        <f t="shared" ref="FI93:FI95" si="220">FI89/FC89-1</f>
        <v>2.4999999999999911E-2</v>
      </c>
      <c r="FJ93" s="52">
        <f t="shared" ref="FJ93:FJ95" si="221">FJ89/FD89-1</f>
        <v>2.4999999999999911E-2</v>
      </c>
      <c r="FK93" s="52">
        <f t="shared" ref="FK93:FK95" si="222">FK89/FE89-1</f>
        <v>2.4999999999999911E-2</v>
      </c>
      <c r="FL93" s="52">
        <f t="shared" ref="FL93:FL95" si="223">FL89/FF89-1</f>
        <v>2.4999999999999911E-2</v>
      </c>
      <c r="FM93" s="395">
        <f t="shared" ref="FM93:FM95" si="224">FM89/FG89-1</f>
        <v>2.5000000000000133E-2</v>
      </c>
      <c r="FO93" s="621"/>
      <c r="FP93" s="621"/>
      <c r="FQ93" s="820"/>
      <c r="FR93" s="820"/>
      <c r="FS93" s="820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</row>
    <row r="94" spans="1:274" s="24" customFormat="1" hidden="1" outlineLevel="1" x14ac:dyDescent="0.2">
      <c r="A94" s="342" t="s">
        <v>697</v>
      </c>
      <c r="B94" s="359"/>
      <c r="C94" s="50" t="s">
        <v>945</v>
      </c>
      <c r="D94" s="50" t="s">
        <v>945</v>
      </c>
      <c r="E94" s="50" t="s">
        <v>945</v>
      </c>
      <c r="F94" s="50" t="s">
        <v>945</v>
      </c>
      <c r="G94" s="50" t="s">
        <v>945</v>
      </c>
      <c r="H94" s="50" t="s">
        <v>945</v>
      </c>
      <c r="I94" s="50" t="s">
        <v>945</v>
      </c>
      <c r="J94" s="50" t="s">
        <v>945</v>
      </c>
      <c r="K94" s="50" t="s">
        <v>945</v>
      </c>
      <c r="L94" s="50" t="s">
        <v>945</v>
      </c>
      <c r="M94" s="50" t="s">
        <v>945</v>
      </c>
      <c r="N94" s="342"/>
      <c r="O94" s="50" t="s">
        <v>945</v>
      </c>
      <c r="P94" s="50" t="s">
        <v>945</v>
      </c>
      <c r="Q94" s="50" t="s">
        <v>945</v>
      </c>
      <c r="R94" s="50" t="s">
        <v>945</v>
      </c>
      <c r="S94" s="50" t="s">
        <v>945</v>
      </c>
      <c r="T94" s="342"/>
      <c r="U94" s="50" t="s">
        <v>945</v>
      </c>
      <c r="V94" s="50" t="s">
        <v>945</v>
      </c>
      <c r="W94" s="50" t="s">
        <v>945</v>
      </c>
      <c r="X94" s="50" t="s">
        <v>945</v>
      </c>
      <c r="Y94" s="50" t="s">
        <v>945</v>
      </c>
      <c r="Z94" s="53"/>
      <c r="AA94" s="43">
        <v>0.73</v>
      </c>
      <c r="AB94" s="43">
        <v>0.06</v>
      </c>
      <c r="AC94" s="43">
        <v>0.23</v>
      </c>
      <c r="AD94" s="43">
        <v>1.01</v>
      </c>
      <c r="AE94" s="43">
        <v>0.53</v>
      </c>
      <c r="AF94" s="53"/>
      <c r="AG94" s="43">
        <f t="shared" si="198"/>
        <v>0.25363196125908005</v>
      </c>
      <c r="AH94" s="43">
        <f t="shared" si="198"/>
        <v>0.95842070576957661</v>
      </c>
      <c r="AI94" s="43">
        <f t="shared" si="198"/>
        <v>0.16336496821155433</v>
      </c>
      <c r="AJ94" s="43">
        <f t="shared" si="198"/>
        <v>3.1080818756335837E-2</v>
      </c>
      <c r="AK94" s="43">
        <f t="shared" si="198"/>
        <v>0.24838736016983742</v>
      </c>
      <c r="AL94" s="53"/>
      <c r="AM94" s="43">
        <f t="shared" si="199"/>
        <v>0.26569290197971984</v>
      </c>
      <c r="AN94" s="43">
        <f t="shared" si="199"/>
        <v>-9.2847528144885061E-2</v>
      </c>
      <c r="AO94" s="43">
        <f t="shared" si="199"/>
        <v>0.59088389038492006</v>
      </c>
      <c r="AP94" s="43">
        <f t="shared" si="199"/>
        <v>0.26018743201405736</v>
      </c>
      <c r="AQ94" s="43">
        <f t="shared" si="199"/>
        <v>0.23485839492445537</v>
      </c>
      <c r="AR94" s="53"/>
      <c r="AS94" s="43">
        <f t="shared" si="200"/>
        <v>4.8783977110157251E-2</v>
      </c>
      <c r="AT94" s="43">
        <f t="shared" si="200"/>
        <v>0.32340741240346693</v>
      </c>
      <c r="AU94" s="43">
        <f t="shared" si="200"/>
        <v>4.6548676972095748E-3</v>
      </c>
      <c r="AV94" s="43">
        <f t="shared" si="200"/>
        <v>0.2415922446133929</v>
      </c>
      <c r="AW94" s="43">
        <f t="shared" si="200"/>
        <v>0.16786504058581286</v>
      </c>
      <c r="AX94" s="53"/>
      <c r="AY94" s="43">
        <f t="shared" si="201"/>
        <v>0.88591824671486386</v>
      </c>
      <c r="AZ94" s="43">
        <f t="shared" si="201"/>
        <v>0.65914940244119968</v>
      </c>
      <c r="BA94" s="43">
        <f t="shared" si="201"/>
        <v>-4.4970267591674884E-2</v>
      </c>
      <c r="BB94" s="43">
        <f t="shared" si="201"/>
        <v>0.23622921011818798</v>
      </c>
      <c r="BC94" s="43">
        <f t="shared" si="201"/>
        <v>0.34698285636536808</v>
      </c>
      <c r="BD94" s="53"/>
      <c r="BE94" s="43">
        <f t="shared" si="202"/>
        <v>-0.13209730694119637</v>
      </c>
      <c r="BF94" s="43">
        <f t="shared" si="202"/>
        <v>-0.40612809092305324</v>
      </c>
      <c r="BG94" s="43">
        <f t="shared" si="202"/>
        <v>-5.3444026462576288E-2</v>
      </c>
      <c r="BH94" s="43">
        <f t="shared" si="202"/>
        <v>-7.9132644784513095E-2</v>
      </c>
      <c r="BI94" s="43">
        <f t="shared" si="202"/>
        <v>-0.17381953475843548</v>
      </c>
      <c r="BJ94" s="53"/>
      <c r="BK94" s="43">
        <f t="shared" si="203"/>
        <v>-0.16700927829323842</v>
      </c>
      <c r="BL94" s="43">
        <f t="shared" si="203"/>
        <v>6.7318385186334595E-2</v>
      </c>
      <c r="BM94" s="43">
        <f t="shared" si="203"/>
        <v>-3.7275592709332561E-2</v>
      </c>
      <c r="BN94" s="43">
        <f t="shared" si="203"/>
        <v>-4.2643397378681835E-2</v>
      </c>
      <c r="BO94" s="43">
        <f t="shared" si="203"/>
        <v>-4.2792081427217799E-2</v>
      </c>
      <c r="BP94" s="53"/>
      <c r="BQ94" s="43">
        <f t="shared" si="204"/>
        <v>0.83418928833455608</v>
      </c>
      <c r="BR94" s="43">
        <f t="shared" si="204"/>
        <v>0.16307244972134716</v>
      </c>
      <c r="BS94" s="43">
        <f t="shared" si="204"/>
        <v>0.16725978647686834</v>
      </c>
      <c r="BT94" s="43">
        <f t="shared" si="204"/>
        <v>-0.11674865365506581</v>
      </c>
      <c r="BU94" s="43">
        <f t="shared" si="204"/>
        <v>0.14955986758773387</v>
      </c>
      <c r="BV94" s="53"/>
      <c r="BW94" s="52">
        <f t="shared" si="205"/>
        <v>-0.49090909090909096</v>
      </c>
      <c r="BX94" s="52">
        <f t="shared" si="205"/>
        <v>0.66666666666666674</v>
      </c>
      <c r="BY94" s="52">
        <f t="shared" si="205"/>
        <v>7.3170731707317138E-2</v>
      </c>
      <c r="BZ94" s="52">
        <f t="shared" si="205"/>
        <v>5.555555555555558E-2</v>
      </c>
      <c r="CA94" s="43">
        <f t="shared" si="205"/>
        <v>5.555555555555558E-2</v>
      </c>
      <c r="CB94" s="53"/>
      <c r="CC94" s="52">
        <f t="shared" si="206"/>
        <v>0.35714285714285721</v>
      </c>
      <c r="CD94" s="52">
        <f t="shared" si="206"/>
        <v>-6.25E-2</v>
      </c>
      <c r="CE94" s="52">
        <f t="shared" si="206"/>
        <v>1.1863636363636365</v>
      </c>
      <c r="CF94" s="52">
        <f t="shared" si="206"/>
        <v>1.0789473684210527</v>
      </c>
      <c r="CG94" s="395">
        <f t="shared" si="206"/>
        <v>0.61052631578947358</v>
      </c>
      <c r="CH94" s="53"/>
      <c r="CI94" s="52">
        <f t="shared" si="207"/>
        <v>0.81578947368421062</v>
      </c>
      <c r="CJ94" s="52">
        <f t="shared" si="207"/>
        <v>0.34666666666666668</v>
      </c>
      <c r="CK94" s="52">
        <f t="shared" si="207"/>
        <v>0.28898128898128905</v>
      </c>
      <c r="CL94" s="52">
        <f t="shared" si="207"/>
        <v>0.41772151898734178</v>
      </c>
      <c r="CM94" s="395">
        <f t="shared" si="207"/>
        <v>0.41067538126361658</v>
      </c>
      <c r="CN94" s="53"/>
      <c r="CO94" s="52">
        <v>0.77</v>
      </c>
      <c r="CP94" s="52">
        <f>CP90/CJ90-1</f>
        <v>0.72277227722772275</v>
      </c>
      <c r="CQ94" s="52">
        <f>CQ90/CK90-1</f>
        <v>0.13709677419354849</v>
      </c>
      <c r="CR94" s="52">
        <v>0.41</v>
      </c>
      <c r="CS94" s="395">
        <f>CS90/CM90-1</f>
        <v>0.45752895752895761</v>
      </c>
      <c r="CT94" s="53"/>
      <c r="CU94" s="52">
        <v>-0.23</v>
      </c>
      <c r="CV94" s="52">
        <f t="shared" si="208"/>
        <v>-0.27586206896551724</v>
      </c>
      <c r="CW94" s="52">
        <f t="shared" si="208"/>
        <v>-0.11347517730496459</v>
      </c>
      <c r="CX94" s="52">
        <f t="shared" si="208"/>
        <v>-0.11041009463722395</v>
      </c>
      <c r="CY94" s="395">
        <f t="shared" si="208"/>
        <v>-0.1695364238410596</v>
      </c>
      <c r="CZ94" s="53"/>
      <c r="DA94" s="52">
        <f t="shared" si="209"/>
        <v>-4.2553191489361653E-2</v>
      </c>
      <c r="DB94" s="52">
        <f t="shared" si="209"/>
        <v>-5.555555555555558E-2</v>
      </c>
      <c r="DC94" s="52">
        <f t="shared" si="209"/>
        <v>7.2000000000000064E-2</v>
      </c>
      <c r="DD94" s="52">
        <f t="shared" si="209"/>
        <v>-7.4468085106383031E-2</v>
      </c>
      <c r="DE94" s="395">
        <f t="shared" si="209"/>
        <v>-3.6682615629984094E-2</v>
      </c>
      <c r="DF94" s="53"/>
      <c r="DG94" s="52">
        <f t="shared" si="210"/>
        <v>-0.18888888888888888</v>
      </c>
      <c r="DH94" s="52">
        <f t="shared" si="210"/>
        <v>0.24369747899159666</v>
      </c>
      <c r="DI94" s="52">
        <f t="shared" si="210"/>
        <v>0.4701492537313432</v>
      </c>
      <c r="DJ94" s="52">
        <f t="shared" si="210"/>
        <v>0.18007662835249039</v>
      </c>
      <c r="DK94" s="395">
        <f t="shared" si="210"/>
        <v>0.20198675496688745</v>
      </c>
      <c r="DL94" s="53"/>
      <c r="DM94" s="52">
        <f t="shared" si="211"/>
        <v>0.61643835616438358</v>
      </c>
      <c r="DN94" s="52">
        <f t="shared" si="211"/>
        <v>-4.7297297297297258E-2</v>
      </c>
      <c r="DO94" s="52">
        <f t="shared" si="211"/>
        <v>-0.19796954314720816</v>
      </c>
      <c r="DP94" s="52">
        <f t="shared" si="211"/>
        <v>2.9220779220779258E-2</v>
      </c>
      <c r="DQ94" s="395">
        <f t="shared" si="211"/>
        <v>1.1019283746556363E-2</v>
      </c>
      <c r="DR94" s="53"/>
      <c r="DS94" s="52">
        <f t="shared" si="212"/>
        <v>0.37737548118831166</v>
      </c>
      <c r="DT94" s="52">
        <f t="shared" si="212"/>
        <v>0.52264905247793414</v>
      </c>
      <c r="DU94" s="52">
        <f t="shared" si="212"/>
        <v>-3.5057077939050663E-2</v>
      </c>
      <c r="DV94" s="52">
        <f t="shared" si="212"/>
        <v>-0.14744149451020638</v>
      </c>
      <c r="DW94" s="395">
        <f t="shared" si="212"/>
        <v>8.9844483794964569E-2</v>
      </c>
      <c r="DX94" s="53"/>
      <c r="DY94" s="52">
        <f t="shared" si="213"/>
        <v>-0.13287112325012662</v>
      </c>
      <c r="DZ94" s="52">
        <f t="shared" si="213"/>
        <v>-8.2275125671296356E-2</v>
      </c>
      <c r="EA94" s="52">
        <f t="shared" si="213"/>
        <v>-6.5328796097423592E-2</v>
      </c>
      <c r="EB94" s="52">
        <f t="shared" si="213"/>
        <v>6.2980393897167586E-2</v>
      </c>
      <c r="EC94" s="395">
        <f t="shared" si="213"/>
        <v>-4.0250806551757834E-2</v>
      </c>
      <c r="ED94" s="53"/>
      <c r="EE94" s="52">
        <f t="shared" si="214"/>
        <v>0.18396843828980458</v>
      </c>
      <c r="EF94" s="52">
        <f t="shared" si="214"/>
        <v>4.2755458764031085E-2</v>
      </c>
      <c r="EG94" s="52">
        <f t="shared" si="214"/>
        <v>-7.5855736827854403E-2</v>
      </c>
      <c r="EH94" s="52">
        <f t="shared" si="214"/>
        <v>-0.44952557075591826</v>
      </c>
      <c r="EI94" s="395">
        <f t="shared" si="214"/>
        <v>-0.13754338086219631</v>
      </c>
      <c r="EJ94" s="53"/>
      <c r="EK94" s="52">
        <f t="shared" si="214"/>
        <v>-0.1935277488612992</v>
      </c>
      <c r="EL94" s="52">
        <f t="shared" si="215"/>
        <v>-0.30085096590416005</v>
      </c>
      <c r="EM94" s="52">
        <f t="shared" si="215"/>
        <v>-0.15101081848777087</v>
      </c>
      <c r="EN94" s="52">
        <f t="shared" si="215"/>
        <v>-7.0051675214588327E-2</v>
      </c>
      <c r="EO94" s="395">
        <f t="shared" si="215"/>
        <v>-0.18888248490981141</v>
      </c>
      <c r="EP94" s="53"/>
      <c r="EQ94" s="52">
        <f>EQ90/EK90-1</f>
        <v>0.46177554801837339</v>
      </c>
      <c r="ER94" s="52">
        <f t="shared" si="216"/>
        <v>9.9210578326578869E-2</v>
      </c>
      <c r="ES94" s="52">
        <f t="shared" si="216"/>
        <v>0.38502269773826359</v>
      </c>
      <c r="ET94" s="52">
        <f t="shared" si="216"/>
        <v>0.63407805553230601</v>
      </c>
      <c r="EU94" s="395">
        <f t="shared" si="217"/>
        <v>0.39600934446228009</v>
      </c>
      <c r="EV94" s="53"/>
      <c r="EW94" s="52">
        <f t="shared" si="218"/>
        <v>0.55990822876473434</v>
      </c>
      <c r="EX94" s="52">
        <f t="shared" si="218"/>
        <v>0.48120401073242336</v>
      </c>
      <c r="EY94" s="52">
        <f t="shared" si="218"/>
        <v>0.22260629414019117</v>
      </c>
      <c r="EZ94" s="52">
        <f t="shared" si="218"/>
        <v>6.7008117499850917E-2</v>
      </c>
      <c r="FA94" s="395">
        <f t="shared" si="218"/>
        <v>0.3156876953815988</v>
      </c>
      <c r="FB94" s="53"/>
      <c r="FC94" s="52">
        <f t="shared" si="219"/>
        <v>0.2348360645109302</v>
      </c>
      <c r="FD94" s="52">
        <f t="shared" si="219"/>
        <v>0.25490765170656493</v>
      </c>
      <c r="FE94" s="52">
        <f t="shared" si="219"/>
        <v>0.30948001342299092</v>
      </c>
      <c r="FF94" s="52">
        <f t="shared" si="219"/>
        <v>0.13201043863610162</v>
      </c>
      <c r="FG94" s="395">
        <f t="shared" si="219"/>
        <v>0.22719244796896843</v>
      </c>
      <c r="FH94" s="53"/>
      <c r="FI94" s="52">
        <f t="shared" si="220"/>
        <v>0.20405582386757071</v>
      </c>
      <c r="FJ94" s="52">
        <f t="shared" si="221"/>
        <v>0.21708245301175078</v>
      </c>
      <c r="FK94" s="52">
        <f t="shared" si="222"/>
        <v>0.24916380498005775</v>
      </c>
      <c r="FL94" s="52">
        <f t="shared" si="223"/>
        <v>0.1484574066155071</v>
      </c>
      <c r="FM94" s="395">
        <f t="shared" si="224"/>
        <v>0.20312055135758644</v>
      </c>
      <c r="FO94" s="621"/>
      <c r="FP94" s="621"/>
      <c r="FQ94" s="820"/>
      <c r="FR94" s="820"/>
      <c r="FS94" s="820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</row>
    <row r="95" spans="1:274" s="24" customFormat="1" collapsed="1" x14ac:dyDescent="0.2">
      <c r="A95" s="342" t="s">
        <v>698</v>
      </c>
      <c r="B95" s="359"/>
      <c r="C95" s="50" t="s">
        <v>945</v>
      </c>
      <c r="D95" s="50" t="s">
        <v>945</v>
      </c>
      <c r="E95" s="50" t="s">
        <v>945</v>
      </c>
      <c r="F95" s="50" t="s">
        <v>945</v>
      </c>
      <c r="G95" s="50" t="s">
        <v>945</v>
      </c>
      <c r="H95" s="50" t="s">
        <v>945</v>
      </c>
      <c r="I95" s="50" t="s">
        <v>945</v>
      </c>
      <c r="J95" s="50" t="s">
        <v>945</v>
      </c>
      <c r="K95" s="50" t="s">
        <v>945</v>
      </c>
      <c r="L95" s="50" t="s">
        <v>945</v>
      </c>
      <c r="M95" s="50" t="s">
        <v>945</v>
      </c>
      <c r="N95" s="342"/>
      <c r="O95" s="50" t="s">
        <v>945</v>
      </c>
      <c r="P95" s="50" t="s">
        <v>945</v>
      </c>
      <c r="Q95" s="50" t="s">
        <v>945</v>
      </c>
      <c r="R95" s="50" t="s">
        <v>945</v>
      </c>
      <c r="S95" s="50" t="s">
        <v>945</v>
      </c>
      <c r="T95" s="342"/>
      <c r="U95" s="50" t="s">
        <v>945</v>
      </c>
      <c r="V95" s="50" t="s">
        <v>945</v>
      </c>
      <c r="W95" s="50" t="s">
        <v>945</v>
      </c>
      <c r="X95" s="50" t="s">
        <v>945</v>
      </c>
      <c r="Y95" s="50" t="s">
        <v>945</v>
      </c>
      <c r="Z95" s="53"/>
      <c r="AA95" s="43">
        <v>0.19</v>
      </c>
      <c r="AB95" s="43">
        <v>0.04</v>
      </c>
      <c r="AC95" s="43">
        <v>0.33</v>
      </c>
      <c r="AD95" s="43">
        <v>0.13</v>
      </c>
      <c r="AE95" s="43">
        <v>0.16</v>
      </c>
      <c r="AF95" s="53"/>
      <c r="AG95" s="43">
        <f t="shared" si="198"/>
        <v>0.13860205619671095</v>
      </c>
      <c r="AH95" s="43">
        <f t="shared" si="198"/>
        <v>9.5856733653607584E-2</v>
      </c>
      <c r="AI95" s="43">
        <f t="shared" si="198"/>
        <v>7.0528757769412698E-2</v>
      </c>
      <c r="AJ95" s="43">
        <f t="shared" si="198"/>
        <v>9.8065298926008682E-2</v>
      </c>
      <c r="AK95" s="43">
        <f t="shared" si="198"/>
        <v>9.6572873765257583E-2</v>
      </c>
      <c r="AL95" s="53"/>
      <c r="AM95" s="43">
        <f t="shared" si="199"/>
        <v>0.22311573012987673</v>
      </c>
      <c r="AN95" s="43">
        <f t="shared" si="199"/>
        <v>0.27378722703603842</v>
      </c>
      <c r="AO95" s="43">
        <f t="shared" si="199"/>
        <v>6.836813548511067E-2</v>
      </c>
      <c r="AP95" s="43">
        <f t="shared" si="199"/>
        <v>0.18175409114321806</v>
      </c>
      <c r="AQ95" s="43">
        <f t="shared" si="199"/>
        <v>0.17795510063137088</v>
      </c>
      <c r="AR95" s="53"/>
      <c r="AS95" s="43">
        <f t="shared" si="200"/>
        <v>2.132322454539981E-3</v>
      </c>
      <c r="AT95" s="43">
        <f t="shared" si="200"/>
        <v>0.14670905403986145</v>
      </c>
      <c r="AU95" s="43">
        <f t="shared" si="200"/>
        <v>2.9499337910553036E-2</v>
      </c>
      <c r="AV95" s="43">
        <f t="shared" si="200"/>
        <v>3.3646470992154454E-2</v>
      </c>
      <c r="AW95" s="43">
        <f t="shared" si="200"/>
        <v>5.2695008446075775E-2</v>
      </c>
      <c r="AX95" s="53"/>
      <c r="AY95" s="43">
        <f t="shared" si="201"/>
        <v>0.12309990381980462</v>
      </c>
      <c r="AZ95" s="43">
        <f t="shared" si="201"/>
        <v>3.3500424479616209E-2</v>
      </c>
      <c r="BA95" s="43">
        <f t="shared" si="201"/>
        <v>0.18584248444249485</v>
      </c>
      <c r="BB95" s="43">
        <f t="shared" si="201"/>
        <v>-2.5441696113075452E-3</v>
      </c>
      <c r="BC95" s="43">
        <f t="shared" si="201"/>
        <v>6.9903600209026528E-2</v>
      </c>
      <c r="BD95" s="53"/>
      <c r="BE95" s="43">
        <f t="shared" si="202"/>
        <v>1.4941225438835692E-2</v>
      </c>
      <c r="BF95" s="43">
        <f t="shared" si="202"/>
        <v>-0.13575925313664206</v>
      </c>
      <c r="BG95" s="43">
        <f t="shared" si="202"/>
        <v>-0.17162078283604087</v>
      </c>
      <c r="BH95" s="43">
        <f t="shared" si="202"/>
        <v>-1.5929809645269466E-2</v>
      </c>
      <c r="BI95" s="43">
        <f t="shared" si="202"/>
        <v>-7.8885300686042825E-2</v>
      </c>
      <c r="BJ95" s="53"/>
      <c r="BK95" s="43">
        <f t="shared" si="203"/>
        <v>-0.14141942661047791</v>
      </c>
      <c r="BL95" s="43">
        <f t="shared" si="203"/>
        <v>0.17800336807897232</v>
      </c>
      <c r="BM95" s="43">
        <f t="shared" si="203"/>
        <v>2.0647270745663304E-2</v>
      </c>
      <c r="BN95" s="43">
        <f t="shared" si="203"/>
        <v>0.10933461330773397</v>
      </c>
      <c r="BO95" s="43">
        <f t="shared" si="203"/>
        <v>5.7687712253907231E-2</v>
      </c>
      <c r="BP95" s="53"/>
      <c r="BQ95" s="43">
        <f t="shared" si="204"/>
        <v>8.7069907379447864E-2</v>
      </c>
      <c r="BR95" s="43">
        <f t="shared" si="204"/>
        <v>4.1209812147001479E-2</v>
      </c>
      <c r="BS95" s="43">
        <f t="shared" si="204"/>
        <v>0.22727137899326655</v>
      </c>
      <c r="BT95" s="43">
        <f t="shared" si="204"/>
        <v>0.13362986552207556</v>
      </c>
      <c r="BU95" s="43">
        <f t="shared" si="204"/>
        <v>0.12469986015462164</v>
      </c>
      <c r="BV95" s="53"/>
      <c r="BW95" s="52">
        <f t="shared" si="205"/>
        <v>-6.0606060606060552E-2</v>
      </c>
      <c r="BX95" s="52">
        <f t="shared" si="205"/>
        <v>0.23472668810289399</v>
      </c>
      <c r="BY95" s="52">
        <f t="shared" si="205"/>
        <v>0.11480362537764344</v>
      </c>
      <c r="BZ95" s="52">
        <f t="shared" si="205"/>
        <v>6.6793893129770909E-2</v>
      </c>
      <c r="CA95" s="43">
        <f t="shared" si="205"/>
        <v>9.8240469208211056E-2</v>
      </c>
      <c r="CB95" s="53"/>
      <c r="CC95" s="52">
        <f t="shared" si="206"/>
        <v>8.602150537634401E-2</v>
      </c>
      <c r="CD95" s="52">
        <f t="shared" si="206"/>
        <v>-7.03125E-2</v>
      </c>
      <c r="CE95" s="52">
        <f t="shared" si="206"/>
        <v>0.1170731707317072</v>
      </c>
      <c r="CF95" s="52">
        <f t="shared" si="206"/>
        <v>0.2039355992844365</v>
      </c>
      <c r="CG95" s="395">
        <f t="shared" si="206"/>
        <v>9.7596795727636909E-2</v>
      </c>
      <c r="CH95" s="53"/>
      <c r="CI95" s="52">
        <f t="shared" si="207"/>
        <v>0.25247524752475248</v>
      </c>
      <c r="CJ95" s="52">
        <f t="shared" si="207"/>
        <v>0.23809523809523814</v>
      </c>
      <c r="CK95" s="52">
        <f t="shared" si="207"/>
        <v>0.18146530810286277</v>
      </c>
      <c r="CL95" s="52">
        <f t="shared" si="207"/>
        <v>0.2526002971768202</v>
      </c>
      <c r="CM95" s="395">
        <f t="shared" si="207"/>
        <v>0.23160199489113253</v>
      </c>
      <c r="CN95" s="53"/>
      <c r="CO95" s="52">
        <v>0.45</v>
      </c>
      <c r="CP95" s="52">
        <v>0.34</v>
      </c>
      <c r="CQ95" s="52">
        <f>CQ91/CK91-1</f>
        <v>0.20944558521560586</v>
      </c>
      <c r="CR95" s="52">
        <v>0.41</v>
      </c>
      <c r="CS95" s="395">
        <v>0.35</v>
      </c>
      <c r="CT95" s="53"/>
      <c r="CU95" s="52">
        <f t="shared" si="208"/>
        <v>0.11111111111111116</v>
      </c>
      <c r="CV95" s="52">
        <f t="shared" si="208"/>
        <v>-6.8561872909698951E-2</v>
      </c>
      <c r="CW95" s="52">
        <f t="shared" si="208"/>
        <v>-3.0560271646859039E-2</v>
      </c>
      <c r="CX95" s="52">
        <f t="shared" si="208"/>
        <v>-0.13322231473771862</v>
      </c>
      <c r="CY95" s="395">
        <f t="shared" si="208"/>
        <v>-6.3991323210412121E-2</v>
      </c>
      <c r="CZ95" s="53"/>
      <c r="DA95" s="52">
        <f t="shared" si="209"/>
        <v>-0.25238095238095237</v>
      </c>
      <c r="DB95" s="52">
        <f t="shared" si="209"/>
        <v>-1.6157989228007152E-2</v>
      </c>
      <c r="DC95" s="52">
        <f t="shared" si="209"/>
        <v>3.327495621716281E-2</v>
      </c>
      <c r="DD95" s="52">
        <f t="shared" si="209"/>
        <v>-2.785782901056677E-2</v>
      </c>
      <c r="DE95" s="395">
        <f t="shared" si="209"/>
        <v>-4.8281189648512912E-2</v>
      </c>
      <c r="DF95" s="53"/>
      <c r="DG95" s="52">
        <f t="shared" si="210"/>
        <v>0.12101910828025475</v>
      </c>
      <c r="DH95" s="52">
        <f t="shared" si="210"/>
        <v>4.7445255474452663E-2</v>
      </c>
      <c r="DI95" s="52">
        <f t="shared" si="210"/>
        <v>0.18983050847457617</v>
      </c>
      <c r="DJ95" s="52">
        <f t="shared" si="210"/>
        <v>0.21837944664031617</v>
      </c>
      <c r="DK95" s="395">
        <f t="shared" si="210"/>
        <v>0.16112012987012991</v>
      </c>
      <c r="DL95" s="53"/>
      <c r="DM95" s="52">
        <f t="shared" si="211"/>
        <v>0.25</v>
      </c>
      <c r="DN95" s="52">
        <f t="shared" si="211"/>
        <v>1.7421602787456525E-2</v>
      </c>
      <c r="DO95" s="52">
        <f t="shared" si="211"/>
        <v>-1.2820512820512775E-2</v>
      </c>
      <c r="DP95" s="52">
        <f t="shared" si="211"/>
        <v>-5.4339010543390076E-2</v>
      </c>
      <c r="DQ95" s="395">
        <f t="shared" si="211"/>
        <v>7.6896190143307397E-3</v>
      </c>
      <c r="DR95" s="53"/>
      <c r="DS95" s="52">
        <f t="shared" si="212"/>
        <v>-8.4090909090909105E-2</v>
      </c>
      <c r="DT95" s="52">
        <f t="shared" si="212"/>
        <v>9.7602739726027288E-2</v>
      </c>
      <c r="DU95" s="52">
        <f t="shared" si="212"/>
        <v>-4.3290043290042934E-3</v>
      </c>
      <c r="DV95" s="52">
        <f t="shared" si="212"/>
        <v>4.9742710120068701E-2</v>
      </c>
      <c r="DW95" s="395">
        <f t="shared" si="212"/>
        <v>8.4799115888138932E-2</v>
      </c>
      <c r="DX95" s="53"/>
      <c r="DY95" s="52">
        <f t="shared" si="213"/>
        <v>-3.7220843672456594E-2</v>
      </c>
      <c r="DZ95" s="52">
        <f t="shared" si="213"/>
        <v>5.3042121684867327E-2</v>
      </c>
      <c r="EA95" s="52">
        <f t="shared" si="213"/>
        <v>7.7642593188806286E-2</v>
      </c>
      <c r="EB95" s="52">
        <f t="shared" si="213"/>
        <v>6.1739978656349948E-3</v>
      </c>
      <c r="EC95" s="395">
        <f t="shared" si="213"/>
        <v>1.6904163872786704E-2</v>
      </c>
      <c r="ED95" s="53"/>
      <c r="EE95" s="52">
        <f t="shared" si="214"/>
        <v>0.36939030187838262</v>
      </c>
      <c r="EF95" s="52">
        <f t="shared" si="214"/>
        <v>5.1186192526009977E-2</v>
      </c>
      <c r="EG95" s="52">
        <f t="shared" si="214"/>
        <v>-2.2620813491355918E-2</v>
      </c>
      <c r="EH95" s="52">
        <f t="shared" si="214"/>
        <v>-0.12019434808881146</v>
      </c>
      <c r="EI95" s="395">
        <f t="shared" si="214"/>
        <v>-4.0619879486766264E-2</v>
      </c>
      <c r="EJ95" s="53"/>
      <c r="EK95" s="52">
        <f t="shared" si="214"/>
        <v>-7.1066685797386508E-2</v>
      </c>
      <c r="EL95" s="52">
        <f t="shared" si="215"/>
        <v>-9.7769464968806563E-2</v>
      </c>
      <c r="EM95" s="52">
        <f t="shared" si="215"/>
        <v>-3.9645854215113796E-2</v>
      </c>
      <c r="EN95" s="52">
        <f t="shared" si="215"/>
        <v>-2.3034801307774133E-2</v>
      </c>
      <c r="EO95" s="395">
        <f t="shared" si="215"/>
        <v>-5.2735207111829663E-2</v>
      </c>
      <c r="EP95" s="53"/>
      <c r="EQ95" s="52">
        <f>EQ91/EK91-1</f>
        <v>0.11499241760184908</v>
      </c>
      <c r="ER95" s="52">
        <f t="shared" si="216"/>
        <v>3.7773211488546732E-2</v>
      </c>
      <c r="ES95" s="52">
        <f t="shared" si="216"/>
        <v>8.2672800897421572E-2</v>
      </c>
      <c r="ET95" s="52">
        <f t="shared" si="216"/>
        <v>7.517398276243048E-2</v>
      </c>
      <c r="EU95" s="395">
        <f t="shared" si="217"/>
        <v>7.550042943552393E-2</v>
      </c>
      <c r="EV95" s="53"/>
      <c r="EW95" s="52">
        <f t="shared" si="218"/>
        <v>0.19049977492723569</v>
      </c>
      <c r="EX95" s="52">
        <f t="shared" si="218"/>
        <v>0.16010451499458456</v>
      </c>
      <c r="EY95" s="52">
        <f t="shared" si="218"/>
        <v>0.10922399063718857</v>
      </c>
      <c r="EZ95" s="52">
        <f t="shared" si="218"/>
        <v>3.3869754438885957E-2</v>
      </c>
      <c r="FA95" s="395">
        <f t="shared" si="218"/>
        <v>0.10689690965802101</v>
      </c>
      <c r="FB95" s="53"/>
      <c r="FC95" s="52">
        <f t="shared" si="219"/>
        <v>0.12327944370972954</v>
      </c>
      <c r="FD95" s="52">
        <f t="shared" si="219"/>
        <v>9.4764157803726601E-2</v>
      </c>
      <c r="FE95" s="52">
        <f t="shared" si="219"/>
        <v>8.9256927992786395E-2</v>
      </c>
      <c r="FF95" s="52">
        <f t="shared" si="219"/>
        <v>4.8318811605285727E-2</v>
      </c>
      <c r="FG95" s="395">
        <f t="shared" si="219"/>
        <v>8.2968436798410483E-2</v>
      </c>
      <c r="FH95" s="53"/>
      <c r="FI95" s="52">
        <f t="shared" si="220"/>
        <v>0.11719184406703254</v>
      </c>
      <c r="FJ95" s="52">
        <f t="shared" si="221"/>
        <v>9.1812515081624912E-2</v>
      </c>
      <c r="FK95" s="52">
        <f t="shared" si="222"/>
        <v>8.5869850091536026E-2</v>
      </c>
      <c r="FL95" s="52">
        <f t="shared" si="223"/>
        <v>5.4050557543268374E-2</v>
      </c>
      <c r="FM95" s="395">
        <f t="shared" si="224"/>
        <v>8.2867878951756069E-2</v>
      </c>
      <c r="FO95" s="621"/>
      <c r="FP95" s="621"/>
      <c r="FQ95" s="621"/>
      <c r="FR95" s="621"/>
      <c r="FS95" s="621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</row>
    <row r="96" spans="1:274" s="24" customFormat="1" x14ac:dyDescent="0.2">
      <c r="A96" s="58" t="s">
        <v>701</v>
      </c>
      <c r="B96" s="1061"/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50"/>
      <c r="N96" s="342"/>
      <c r="O96" s="50"/>
      <c r="P96" s="50"/>
      <c r="Q96" s="50"/>
      <c r="R96" s="50"/>
      <c r="S96" s="50"/>
      <c r="T96" s="342"/>
      <c r="U96" s="50"/>
      <c r="V96" s="50"/>
      <c r="W96" s="50"/>
      <c r="X96" s="50"/>
      <c r="Y96" s="50"/>
      <c r="Z96" s="53"/>
      <c r="AA96" s="342"/>
      <c r="AB96" s="342"/>
      <c r="AC96" s="342"/>
      <c r="AD96" s="342"/>
      <c r="AE96" s="342"/>
      <c r="AF96" s="53"/>
      <c r="AG96" s="342"/>
      <c r="AH96" s="342"/>
      <c r="AI96" s="342"/>
      <c r="AJ96" s="342"/>
      <c r="AK96" s="342"/>
      <c r="AL96" s="53"/>
      <c r="AM96" s="342"/>
      <c r="AN96" s="342"/>
      <c r="AO96" s="342"/>
      <c r="AP96" s="342"/>
      <c r="AQ96" s="342"/>
      <c r="AR96" s="53"/>
      <c r="AS96" s="342"/>
      <c r="AT96" s="342"/>
      <c r="AU96" s="342"/>
      <c r="AV96" s="342"/>
      <c r="AW96" s="342"/>
      <c r="AX96" s="53"/>
      <c r="AY96" s="342"/>
      <c r="AZ96" s="342"/>
      <c r="BA96" s="342"/>
      <c r="BB96" s="342"/>
      <c r="BC96" s="342"/>
      <c r="BD96" s="53"/>
      <c r="BE96" s="342"/>
      <c r="BF96" s="342"/>
      <c r="BG96" s="342"/>
      <c r="BH96" s="342"/>
      <c r="BI96" s="342"/>
      <c r="BJ96" s="53"/>
      <c r="BK96" s="342"/>
      <c r="BL96" s="342"/>
      <c r="BM96" s="342"/>
      <c r="BN96" s="342"/>
      <c r="BO96" s="342"/>
      <c r="BP96" s="53"/>
      <c r="BQ96" s="342"/>
      <c r="BR96" s="342"/>
      <c r="BS96" s="342"/>
      <c r="BT96" s="342"/>
      <c r="BU96" s="342"/>
      <c r="BV96" s="53"/>
      <c r="BW96" s="342"/>
      <c r="BX96" s="342"/>
      <c r="BY96" s="342"/>
      <c r="BZ96" s="342"/>
      <c r="CA96" s="342"/>
      <c r="CB96" s="53"/>
      <c r="CC96" s="342"/>
      <c r="CD96" s="342"/>
      <c r="CE96" s="342"/>
      <c r="CF96" s="342"/>
      <c r="CG96" s="147"/>
      <c r="CH96" s="53"/>
      <c r="CI96" s="342"/>
      <c r="CJ96" s="342"/>
      <c r="CK96" s="342"/>
      <c r="CL96" s="342"/>
      <c r="CM96" s="147"/>
      <c r="CN96" s="53"/>
      <c r="CO96" s="342"/>
      <c r="CP96" s="342"/>
      <c r="CQ96" s="342"/>
      <c r="CR96" s="342"/>
      <c r="CS96" s="147"/>
      <c r="CT96" s="53"/>
      <c r="CU96" s="342"/>
      <c r="CV96" s="342"/>
      <c r="CW96" s="342"/>
      <c r="CX96" s="342"/>
      <c r="CY96" s="147"/>
      <c r="CZ96" s="53"/>
      <c r="DA96" s="342"/>
      <c r="DB96" s="342"/>
      <c r="DC96" s="342"/>
      <c r="DD96" s="342"/>
      <c r="DE96" s="147"/>
      <c r="DF96" s="53"/>
      <c r="DG96" s="342"/>
      <c r="DH96" s="342"/>
      <c r="DI96" s="342"/>
      <c r="DJ96" s="342"/>
      <c r="DK96" s="147"/>
      <c r="DL96" s="53"/>
      <c r="DM96" s="342"/>
      <c r="DN96" s="342"/>
      <c r="DO96" s="342"/>
      <c r="DP96" s="342"/>
      <c r="DQ96" s="147"/>
      <c r="DR96" s="53"/>
      <c r="DS96" s="342"/>
      <c r="DT96" s="342"/>
      <c r="DU96" s="342"/>
      <c r="DV96" s="342"/>
      <c r="DW96" s="147"/>
      <c r="DX96" s="53"/>
      <c r="DY96" s="342"/>
      <c r="DZ96" s="342"/>
      <c r="EA96" s="342"/>
      <c r="EB96" s="342"/>
      <c r="EC96" s="147"/>
      <c r="ED96" s="53"/>
      <c r="EE96" s="342"/>
      <c r="EF96" s="342"/>
      <c r="EG96" s="342"/>
      <c r="EH96" s="342"/>
      <c r="EI96" s="147"/>
      <c r="EJ96" s="53"/>
      <c r="EK96" s="342"/>
      <c r="EL96" s="342"/>
      <c r="EM96" s="342"/>
      <c r="EN96" s="342"/>
      <c r="EO96" s="147"/>
      <c r="EP96" s="53"/>
      <c r="EQ96" s="342"/>
      <c r="ER96" s="342"/>
      <c r="ES96" s="342"/>
      <c r="ET96" s="342"/>
      <c r="EU96" s="147"/>
      <c r="EV96" s="53"/>
      <c r="EW96" s="342"/>
      <c r="EX96" s="342"/>
      <c r="EY96" s="342"/>
      <c r="EZ96" s="342"/>
      <c r="FA96" s="147"/>
      <c r="FB96" s="53"/>
      <c r="FC96" s="342"/>
      <c r="FD96" s="342"/>
      <c r="FE96" s="342"/>
      <c r="FF96" s="342"/>
      <c r="FG96" s="147"/>
      <c r="FH96" s="53"/>
      <c r="FI96" s="342"/>
      <c r="FJ96" s="342"/>
      <c r="FK96" s="342"/>
      <c r="FL96" s="342"/>
      <c r="FM96" s="147"/>
      <c r="FO96" s="621"/>
      <c r="FP96" s="621"/>
      <c r="FQ96" s="621"/>
      <c r="FR96" s="621"/>
      <c r="FS96" s="621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</row>
    <row r="97" spans="1:274" s="24" customFormat="1" hidden="1" outlineLevel="1" x14ac:dyDescent="0.2">
      <c r="A97" s="342" t="s">
        <v>109</v>
      </c>
      <c r="B97" s="414"/>
      <c r="C97" s="50" t="s">
        <v>945</v>
      </c>
      <c r="D97" s="50" t="s">
        <v>945</v>
      </c>
      <c r="E97" s="50" t="s">
        <v>945</v>
      </c>
      <c r="F97" s="50" t="s">
        <v>945</v>
      </c>
      <c r="G97" s="50" t="s">
        <v>945</v>
      </c>
      <c r="H97" s="50" t="s">
        <v>945</v>
      </c>
      <c r="I97" s="50" t="s">
        <v>945</v>
      </c>
      <c r="J97" s="50" t="s">
        <v>945</v>
      </c>
      <c r="K97" s="50" t="s">
        <v>945</v>
      </c>
      <c r="L97" s="50" t="s">
        <v>945</v>
      </c>
      <c r="M97" s="50" t="s">
        <v>945</v>
      </c>
      <c r="N97" s="342"/>
      <c r="O97" s="50" t="s">
        <v>945</v>
      </c>
      <c r="P97" s="50" t="s">
        <v>945</v>
      </c>
      <c r="Q97" s="50" t="s">
        <v>945</v>
      </c>
      <c r="R97" s="50" t="s">
        <v>945</v>
      </c>
      <c r="S97" s="50" t="s">
        <v>945</v>
      </c>
      <c r="T97" s="342"/>
      <c r="U97" s="50" t="s">
        <v>945</v>
      </c>
      <c r="V97" s="50" t="s">
        <v>945</v>
      </c>
      <c r="W97" s="50" t="s">
        <v>945</v>
      </c>
      <c r="X97" s="50" t="s">
        <v>945</v>
      </c>
      <c r="Y97" s="50" t="s">
        <v>945</v>
      </c>
      <c r="Z97" s="53"/>
      <c r="AA97" s="49">
        <f>(AA87/AA89*0.31)+(AA88/AA89*-0.22)</f>
        <v>0.23125240350599735</v>
      </c>
      <c r="AB97" s="49">
        <f>(AB87/AB89*0.16)+(AB88/AB89*-0.2)</f>
        <v>0.10440578375047463</v>
      </c>
      <c r="AC97" s="49">
        <f>(AC87/AC89*0.5)+(AC88/AC89*0.11)</f>
        <v>0.44211134971995703</v>
      </c>
      <c r="AD97" s="49">
        <f>(AD87/AD89*0.12)+(AD88/AD89*0.08)</f>
        <v>0.11424048571005478</v>
      </c>
      <c r="AE97" s="49">
        <f>(AE87/AE89*0.24)+(AE88/AE89*-0.04)</f>
        <v>0.19852003780019745</v>
      </c>
      <c r="AF97" s="53"/>
      <c r="AG97" s="49">
        <f>(AG87/AG89*0.23)+(AG88/AG89*0.45)</f>
        <v>0.2681618712481888</v>
      </c>
      <c r="AH97" s="49">
        <f>(AH87/AH89*0.1)+(AH88/AH89*0.08)</f>
        <v>9.6938760361252013E-2</v>
      </c>
      <c r="AI97" s="49">
        <f>(AI87/AI89*0.17)+(AI88/AI89*-0.14)</f>
        <v>0.13465518577792368</v>
      </c>
      <c r="AJ97" s="49">
        <f>(AJ87/AJ89*0.18)+(AJ88/AJ89*-0.07)</f>
        <v>0.15093155164072536</v>
      </c>
      <c r="AK97" s="49">
        <f>(AK87/AK89*0.17)+(AK88/AK89*0.02)</f>
        <v>0.15013460152653793</v>
      </c>
      <c r="AL97" s="53"/>
      <c r="AM97" s="43">
        <f>(AM87/AM89*0.32)+(AM88/AM89*-0.16)</f>
        <v>0.26301232829315963</v>
      </c>
      <c r="AN97" s="43">
        <f>(AN87/AN89*0.39)+(AN88/AN89*-0.02)</f>
        <v>0.34403363851219571</v>
      </c>
      <c r="AO97" s="43">
        <f>(AO87/AO89*-0.01)+(AO88/AO89*0.12)</f>
        <v>6.4727456912730998E-3</v>
      </c>
      <c r="AP97" s="43">
        <f>(AP87/AP89*0.25)+(AP88/AP89*-0.02)</f>
        <v>0.22473969866453603</v>
      </c>
      <c r="AQ97" s="43">
        <f>(AQ87/AQ89*0.21)+(AQ88/AQ89*-0.02)</f>
        <v>0.18474073290023463</v>
      </c>
      <c r="AR97" s="53"/>
      <c r="AS97" s="43">
        <f>(AS87/AS89*0.04)+(AS88/AS89*-0.09)</f>
        <v>2.6350142582076089E-2</v>
      </c>
      <c r="AT97" s="43">
        <f>(AT87/AT89*0.26)+(AT88/AT89*-0.08)</f>
        <v>0.23093862668312665</v>
      </c>
      <c r="AU97" s="43">
        <f>(AU87/AU89*0.18)+(AU88/AU89*-0.2)</f>
        <v>0.14576971859938245</v>
      </c>
      <c r="AV97" s="43">
        <f>(AV87/AV89*0.11)+(AV88/AV89*-0.09)</f>
        <v>9.4422254249307988E-2</v>
      </c>
      <c r="AW97" s="43">
        <f>(AW87/AW89*0.15)+(AW88/AW89*-0.12)</f>
        <v>0.12648301684942498</v>
      </c>
      <c r="AX97" s="53"/>
      <c r="AY97" s="43">
        <v>0.13</v>
      </c>
      <c r="AZ97" s="43">
        <v>0.09</v>
      </c>
      <c r="BA97" s="43">
        <v>0.32</v>
      </c>
      <c r="BB97" s="43">
        <v>0.01</v>
      </c>
      <c r="BC97" s="43">
        <v>0.12</v>
      </c>
      <c r="BD97" s="53"/>
      <c r="BE97" s="43">
        <v>0.09</v>
      </c>
      <c r="BF97" s="43">
        <v>-0.09</v>
      </c>
      <c r="BG97" s="43">
        <v>-0.14000000000000001</v>
      </c>
      <c r="BH97" s="43">
        <v>-0.02</v>
      </c>
      <c r="BI97" s="43">
        <v>-0.05</v>
      </c>
      <c r="BJ97" s="53"/>
      <c r="BK97" s="43">
        <v>-0.2</v>
      </c>
      <c r="BL97" s="43">
        <v>0.1</v>
      </c>
      <c r="BM97" s="43">
        <v>-0.13</v>
      </c>
      <c r="BN97" s="43">
        <v>-0.04</v>
      </c>
      <c r="BO97" s="43">
        <v>-0.06</v>
      </c>
      <c r="BP97" s="53"/>
      <c r="BQ97" s="43">
        <v>-0.15</v>
      </c>
      <c r="BR97" s="43">
        <v>-0.11</v>
      </c>
      <c r="BS97" s="43">
        <v>0.08</v>
      </c>
      <c r="BT97" s="52">
        <v>0.12</v>
      </c>
      <c r="BU97" s="52">
        <v>0.01</v>
      </c>
      <c r="BV97" s="53"/>
      <c r="BW97" s="52">
        <v>0.03</v>
      </c>
      <c r="BX97" s="52">
        <v>0.05</v>
      </c>
      <c r="BY97" s="52">
        <v>0.06</v>
      </c>
      <c r="BZ97" s="52">
        <v>0.03</v>
      </c>
      <c r="CA97" s="52">
        <v>0.04</v>
      </c>
      <c r="CB97" s="53"/>
      <c r="CC97" s="52">
        <v>0.03</v>
      </c>
      <c r="CD97" s="52">
        <v>0</v>
      </c>
      <c r="CE97" s="52">
        <v>0.06</v>
      </c>
      <c r="CF97" s="52">
        <v>7.0000000000000007E-2</v>
      </c>
      <c r="CG97" s="149">
        <v>0.05</v>
      </c>
      <c r="CH97" s="53"/>
      <c r="CI97" s="52">
        <v>0.08</v>
      </c>
      <c r="CJ97" s="52">
        <v>0.11</v>
      </c>
      <c r="CK97" s="52">
        <v>0.06</v>
      </c>
      <c r="CL97" s="52">
        <v>0.12</v>
      </c>
      <c r="CM97" s="149">
        <v>0.1</v>
      </c>
      <c r="CN97" s="53"/>
      <c r="CO97" s="52">
        <v>0.26</v>
      </c>
      <c r="CP97" s="52">
        <v>0.11</v>
      </c>
      <c r="CQ97" s="52">
        <v>0.11</v>
      </c>
      <c r="CR97" s="52">
        <v>0.26</v>
      </c>
      <c r="CS97" s="149">
        <v>0.19</v>
      </c>
      <c r="CT97" s="53"/>
      <c r="CU97" s="52">
        <v>0.2</v>
      </c>
      <c r="CV97" s="52">
        <v>0.16</v>
      </c>
      <c r="CW97" s="52">
        <v>0.15</v>
      </c>
      <c r="CX97" s="52">
        <f>CX93-CX19</f>
        <v>7.1497717564321661E-3</v>
      </c>
      <c r="CY97" s="149">
        <f>CY93-CY19</f>
        <v>8.7976443906767954E-2</v>
      </c>
      <c r="CZ97" s="53"/>
      <c r="DA97" s="52">
        <v>-0.26</v>
      </c>
      <c r="DB97" s="52">
        <f>DB93-DB19</f>
        <v>-9.6432992879645241E-2</v>
      </c>
      <c r="DC97" s="52">
        <f>DC93-DC19</f>
        <v>-4.7578475336322812E-2</v>
      </c>
      <c r="DD97" s="52">
        <f>DD93-DD19</f>
        <v>2.7731523176132922E-2</v>
      </c>
      <c r="DE97" s="149">
        <f>DE93-DE19</f>
        <v>-5.8648442132263279E-2</v>
      </c>
      <c r="DF97" s="1068"/>
      <c r="DG97" s="52">
        <f>DG93-DG19</f>
        <v>0.38799025887399852</v>
      </c>
      <c r="DH97" s="52">
        <f>DH93-DH19</f>
        <v>0.10170740977352832</v>
      </c>
      <c r="DI97" s="52">
        <f>DI93-DI19</f>
        <v>0.14017496775842986</v>
      </c>
      <c r="DJ97" s="52">
        <f>DJ93-DJ19</f>
        <v>0.13756382425829439</v>
      </c>
      <c r="DK97" s="149">
        <f>DK93-DK19</f>
        <v>0.18091469273906324</v>
      </c>
      <c r="DL97" s="1068"/>
      <c r="DM97" s="52">
        <f>DM93-DM19</f>
        <v>5.412186379928316E-2</v>
      </c>
      <c r="DN97" s="52">
        <f>DN93-DN19</f>
        <v>2.5389289626135403E-2</v>
      </c>
      <c r="DO97" s="52">
        <v>0.08</v>
      </c>
      <c r="DP97" s="52">
        <f>DP93-DP19</f>
        <v>-2.1621621621622095E-3</v>
      </c>
      <c r="DQ97" s="166">
        <f>DQ93-DQ19</f>
        <v>1.2477434426334311E-2</v>
      </c>
      <c r="DR97" s="1068"/>
      <c r="DS97" s="55">
        <f>DS93-DS19</f>
        <v>0.12000000000000002</v>
      </c>
      <c r="DT97" s="55">
        <f>DT93-DT19</f>
        <v>0.13000000000000009</v>
      </c>
      <c r="DU97" s="55">
        <f>DU93-DU19</f>
        <v>6.0000000000000046E-2</v>
      </c>
      <c r="DV97" s="55">
        <f>DV93-DV19</f>
        <v>0.1100000000000001</v>
      </c>
      <c r="DW97" s="166">
        <f>DW93-DW19</f>
        <v>0.10307584923220102</v>
      </c>
      <c r="DX97" s="1068"/>
      <c r="DY97" s="55">
        <f>DY93-DY19</f>
        <v>7.6656415436538117E-2</v>
      </c>
      <c r="DZ97" s="55">
        <f>DZ93-DZ19</f>
        <v>-2.0213090104193809E-2</v>
      </c>
      <c r="EA97" s="55">
        <f>EA93-EA19</f>
        <v>4.1258101097139788E-2</v>
      </c>
      <c r="EB97" s="55">
        <f>EB93-EB19</f>
        <v>-4.8489817097604249E-2</v>
      </c>
      <c r="EC97" s="166">
        <f>EC93-EC19</f>
        <v>-3.229396224085912E-4</v>
      </c>
      <c r="ED97" s="1068"/>
      <c r="EE97" s="55">
        <f>EE93-EE19</f>
        <v>-3.0000000000000009E-2</v>
      </c>
      <c r="EF97" s="55">
        <f>EF93-EF19</f>
        <v>7.0000000000000007E-2</v>
      </c>
      <c r="EG97" s="55">
        <f>EG93-EG19</f>
        <v>0.12</v>
      </c>
      <c r="EH97" s="55">
        <f>EH93-EH19</f>
        <v>2.3655851764135642E-2</v>
      </c>
      <c r="EI97" s="166">
        <f>EI93-EI19</f>
        <v>8.0223564673905595E-2</v>
      </c>
      <c r="EJ97" s="1068"/>
      <c r="EK97" s="55">
        <f>EK93-EK19</f>
        <v>0.11499999999999999</v>
      </c>
      <c r="EL97" s="55">
        <f>EL93-EL19</f>
        <v>9.4999999999999987E-2</v>
      </c>
      <c r="EM97" s="55">
        <f>EM93-EM19</f>
        <v>5.4999999999999993E-2</v>
      </c>
      <c r="EN97" s="55">
        <f>EN93-EN19</f>
        <v>-1.3000000000000124E-2</v>
      </c>
      <c r="EO97" s="166">
        <f>EO93-EO19</f>
        <v>5.8767689762911218E-2</v>
      </c>
      <c r="EP97" s="1068"/>
      <c r="EQ97" s="55">
        <f>EQ93-EQ19</f>
        <v>3.3737373737373726E-2</v>
      </c>
      <c r="ER97" s="55">
        <f>ER93-ER19</f>
        <v>7.0000000000000021E-2</v>
      </c>
      <c r="ES97" s="55">
        <f>ES93-ES19</f>
        <v>6.4999999999999919E-2</v>
      </c>
      <c r="ET97" s="55">
        <f>ET93-ET19</f>
        <v>1.999999999999999E-2</v>
      </c>
      <c r="EU97" s="166">
        <f>EU93-EU19</f>
        <v>4.5273788756541235E-2</v>
      </c>
      <c r="EV97" s="1068"/>
      <c r="EW97" s="55">
        <f>EW93-EW19</f>
        <v>-4.5000000000000012E-2</v>
      </c>
      <c r="EX97" s="55">
        <f>EX93-EX19</f>
        <v>1.1074674041880735E-2</v>
      </c>
      <c r="EY97" s="55">
        <f>EY93-EY19</f>
        <v>-2.7541729893778386E-2</v>
      </c>
      <c r="EZ97" s="55">
        <f>EZ93-EZ19</f>
        <v>-5.0000000000000877E-3</v>
      </c>
      <c r="FA97" s="166">
        <f>FA93-FA19</f>
        <v>-1.3692947482554459E-2</v>
      </c>
      <c r="FB97" s="1068"/>
      <c r="FC97" s="55">
        <f>FC93-FC19</f>
        <v>4.9999999999999108E-3</v>
      </c>
      <c r="FD97" s="55">
        <f>FD93-FD19</f>
        <v>9.9999999999999117E-3</v>
      </c>
      <c r="FE97" s="55">
        <f>FE93-FE19</f>
        <v>1.7999999999999912E-2</v>
      </c>
      <c r="FF97" s="55">
        <f>FF93-FF19</f>
        <v>2.4999999999999911E-2</v>
      </c>
      <c r="FG97" s="166">
        <f>FG93-FG19</f>
        <v>2.4999999999999689E-2</v>
      </c>
      <c r="FH97" s="1068"/>
      <c r="FI97" s="55">
        <f>FI93-FI19</f>
        <v>2.4999999999999911E-2</v>
      </c>
      <c r="FJ97" s="55">
        <f>FJ93-FJ19</f>
        <v>2.4999999999999911E-2</v>
      </c>
      <c r="FK97" s="55">
        <f>FK93-FK19</f>
        <v>2.4999999999999911E-2</v>
      </c>
      <c r="FL97" s="55">
        <f>FL93-FL19</f>
        <v>2.4999999999999911E-2</v>
      </c>
      <c r="FM97" s="166">
        <f>FM93-FM19</f>
        <v>2.5000000000000133E-2</v>
      </c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</row>
    <row r="98" spans="1:274" s="24" customFormat="1" hidden="1" outlineLevel="1" x14ac:dyDescent="0.2">
      <c r="A98" s="342" t="s">
        <v>697</v>
      </c>
      <c r="B98" s="1061"/>
      <c r="C98" s="50" t="s">
        <v>945</v>
      </c>
      <c r="D98" s="50" t="s">
        <v>945</v>
      </c>
      <c r="E98" s="50" t="s">
        <v>945</v>
      </c>
      <c r="F98" s="50" t="s">
        <v>945</v>
      </c>
      <c r="G98" s="50" t="s">
        <v>945</v>
      </c>
      <c r="H98" s="50" t="s">
        <v>945</v>
      </c>
      <c r="I98" s="50" t="s">
        <v>945</v>
      </c>
      <c r="J98" s="50" t="s">
        <v>945</v>
      </c>
      <c r="K98" s="50" t="s">
        <v>945</v>
      </c>
      <c r="L98" s="50" t="s">
        <v>945</v>
      </c>
      <c r="M98" s="50" t="s">
        <v>945</v>
      </c>
      <c r="N98" s="342"/>
      <c r="O98" s="50" t="s">
        <v>945</v>
      </c>
      <c r="P98" s="50" t="s">
        <v>945</v>
      </c>
      <c r="Q98" s="50" t="s">
        <v>945</v>
      </c>
      <c r="R98" s="50" t="s">
        <v>945</v>
      </c>
      <c r="S98" s="50" t="s">
        <v>945</v>
      </c>
      <c r="T98" s="342"/>
      <c r="U98" s="50" t="s">
        <v>945</v>
      </c>
      <c r="V98" s="50" t="s">
        <v>945</v>
      </c>
      <c r="W98" s="50" t="s">
        <v>945</v>
      </c>
      <c r="X98" s="50" t="s">
        <v>945</v>
      </c>
      <c r="Y98" s="50" t="s">
        <v>945</v>
      </c>
      <c r="Z98" s="53"/>
      <c r="AA98" s="49">
        <v>0.81</v>
      </c>
      <c r="AB98" s="49">
        <v>0.03</v>
      </c>
      <c r="AC98" s="49">
        <v>0.31</v>
      </c>
      <c r="AD98" s="49">
        <v>1.04</v>
      </c>
      <c r="AE98" s="49">
        <v>0.56999999999999995</v>
      </c>
      <c r="AF98" s="53"/>
      <c r="AG98" s="49">
        <v>0.35</v>
      </c>
      <c r="AH98" s="49">
        <v>1.1000000000000001</v>
      </c>
      <c r="AI98" s="49">
        <v>0.25</v>
      </c>
      <c r="AJ98" s="49">
        <v>0.06</v>
      </c>
      <c r="AK98" s="49">
        <v>0.31</v>
      </c>
      <c r="AL98" s="53"/>
      <c r="AM98" s="43">
        <v>0.27</v>
      </c>
      <c r="AN98" s="43">
        <v>-0.1</v>
      </c>
      <c r="AO98" s="43">
        <v>0.56999999999999995</v>
      </c>
      <c r="AP98" s="43">
        <v>0.31</v>
      </c>
      <c r="AQ98" s="43">
        <v>0.25</v>
      </c>
      <c r="AR98" s="53"/>
      <c r="AS98" s="43">
        <v>0.08</v>
      </c>
      <c r="AT98" s="43">
        <v>0.41</v>
      </c>
      <c r="AU98" s="43">
        <v>7.0000000000000007E-2</v>
      </c>
      <c r="AV98" s="43">
        <v>0.33</v>
      </c>
      <c r="AW98" s="43">
        <v>0.24</v>
      </c>
      <c r="AX98" s="53"/>
      <c r="AY98" s="43">
        <v>1.04</v>
      </c>
      <c r="AZ98" s="43">
        <v>0.92</v>
      </c>
      <c r="BA98" s="43">
        <v>0.03</v>
      </c>
      <c r="BB98" s="43">
        <v>0.31</v>
      </c>
      <c r="BC98" s="43">
        <v>0.46</v>
      </c>
      <c r="BD98" s="53"/>
      <c r="BE98" s="43">
        <v>-0.11</v>
      </c>
      <c r="BF98" s="43">
        <v>-0.42</v>
      </c>
      <c r="BG98" s="43">
        <v>-0.01</v>
      </c>
      <c r="BH98" s="43">
        <v>-0.11</v>
      </c>
      <c r="BI98" s="43">
        <v>-0.18</v>
      </c>
      <c r="BJ98" s="53"/>
      <c r="BK98" s="43">
        <v>-0.22</v>
      </c>
      <c r="BL98" s="43">
        <v>-0.02</v>
      </c>
      <c r="BM98" s="43">
        <v>-0.17</v>
      </c>
      <c r="BN98" s="43">
        <v>-0.15</v>
      </c>
      <c r="BO98" s="43">
        <v>-0.14000000000000001</v>
      </c>
      <c r="BP98" s="53"/>
      <c r="BQ98" s="43">
        <v>0.65</v>
      </c>
      <c r="BR98" s="43">
        <v>0.02</v>
      </c>
      <c r="BS98" s="43">
        <v>0.03</v>
      </c>
      <c r="BT98" s="52">
        <v>-0.17</v>
      </c>
      <c r="BU98" s="52">
        <v>0.05</v>
      </c>
      <c r="BV98" s="53"/>
      <c r="BW98" s="52">
        <v>-0.53</v>
      </c>
      <c r="BX98" s="52">
        <v>0.54</v>
      </c>
      <c r="BY98" s="52">
        <v>0.02</v>
      </c>
      <c r="BZ98" s="52">
        <v>0.03</v>
      </c>
      <c r="CA98" s="52">
        <v>0</v>
      </c>
      <c r="CB98" s="53"/>
      <c r="CC98" s="52">
        <v>0.36</v>
      </c>
      <c r="CD98" s="52">
        <v>0.01</v>
      </c>
      <c r="CE98" s="52">
        <v>1.38</v>
      </c>
      <c r="CF98" s="52">
        <v>1.08</v>
      </c>
      <c r="CG98" s="149">
        <v>0.67</v>
      </c>
      <c r="CH98" s="53"/>
      <c r="CI98" s="52">
        <v>0.78</v>
      </c>
      <c r="CJ98" s="52">
        <v>0.25</v>
      </c>
      <c r="CK98" s="52">
        <v>0.19</v>
      </c>
      <c r="CL98" s="52">
        <v>0.34</v>
      </c>
      <c r="CM98" s="149">
        <v>0.33</v>
      </c>
      <c r="CN98" s="53"/>
      <c r="CO98" s="52">
        <v>0.69</v>
      </c>
      <c r="CP98" s="52">
        <v>0.57999999999999996</v>
      </c>
      <c r="CQ98" s="52">
        <v>0.06</v>
      </c>
      <c r="CR98" s="52">
        <v>0.31</v>
      </c>
      <c r="CS98" s="149">
        <v>0.35</v>
      </c>
      <c r="CT98" s="53"/>
      <c r="CU98" s="52">
        <v>-0.26</v>
      </c>
      <c r="CV98" s="52">
        <v>-0.16</v>
      </c>
      <c r="CW98" s="52">
        <v>0.02</v>
      </c>
      <c r="CX98" s="52">
        <f>CX94-CX19</f>
        <v>3.8142392051334961E-2</v>
      </c>
      <c r="CY98" s="149">
        <f>CY94-CY19</f>
        <v>-5.7193992863182719E-2</v>
      </c>
      <c r="CZ98" s="53"/>
      <c r="DA98" s="52">
        <v>0.03</v>
      </c>
      <c r="DB98" s="52">
        <f>DB94-DB19</f>
        <v>-0.14734817720550242</v>
      </c>
      <c r="DC98" s="52">
        <f>DC94-DC19</f>
        <v>2.0000000000000573E-3</v>
      </c>
      <c r="DD98" s="52">
        <f>DD94-DD19</f>
        <v>-3.6196377477022201E-2</v>
      </c>
      <c r="DE98" s="149">
        <f>DE94-DE19</f>
        <v>-4.3343290178149529E-2</v>
      </c>
      <c r="DF98" s="1068"/>
      <c r="DG98" s="52">
        <f>DG94-DG19</f>
        <v>-4.6434344300604558E-2</v>
      </c>
      <c r="DH98" s="52">
        <f>DH94-DH19</f>
        <v>0.35239789575813196</v>
      </c>
      <c r="DI98" s="52">
        <f>DI94-DI19</f>
        <v>0.50286808113889592</v>
      </c>
      <c r="DJ98" s="52">
        <f>DJ94-DJ19</f>
        <v>8.5949374048867266E-2</v>
      </c>
      <c r="DK98" s="149">
        <f>DK94-DK19</f>
        <v>0.2350519853403592</v>
      </c>
      <c r="DL98" s="1068"/>
      <c r="DM98" s="52">
        <f>DM94-DM19</f>
        <v>0.51643835616438361</v>
      </c>
      <c r="DN98" s="52">
        <f>DN94-DN19</f>
        <v>-6.1814110957546853E-2</v>
      </c>
      <c r="DO98" s="52">
        <v>-0.18</v>
      </c>
      <c r="DP98" s="52">
        <f>DP94-DP19</f>
        <v>0.10922077922077926</v>
      </c>
      <c r="DQ98" s="166">
        <f>DQ94-DQ19</f>
        <v>1.6939341123710427E-2</v>
      </c>
      <c r="DR98" s="1068"/>
      <c r="DS98" s="55">
        <f>DS94-DS19</f>
        <v>0.46737548118831163</v>
      </c>
      <c r="DT98" s="55">
        <f>DT94-DT19</f>
        <v>0.54264905247793416</v>
      </c>
      <c r="DU98" s="55">
        <f>DU94-DU19</f>
        <v>-2.5057077939050661E-2</v>
      </c>
      <c r="DV98" s="55">
        <f>DV94-DV19</f>
        <v>-0.14744149451020638</v>
      </c>
      <c r="DW98" s="166">
        <f>DW94-DW19</f>
        <v>0.10984448379496457</v>
      </c>
      <c r="DX98" s="1068"/>
      <c r="DY98" s="55">
        <f>DY94-DY19</f>
        <v>-0.1662147078135886</v>
      </c>
      <c r="DZ98" s="55">
        <f>DZ94-DZ19</f>
        <v>-0.11748821577549007</v>
      </c>
      <c r="EA98" s="55">
        <f>EA94-EA19</f>
        <v>-9.4070695000283866E-2</v>
      </c>
      <c r="EB98" s="55">
        <f>EB94-EB19</f>
        <v>1.2490576799563335E-2</v>
      </c>
      <c r="EC98" s="166">
        <f>EC94-EC19</f>
        <v>-7.7121429770081518E-2</v>
      </c>
      <c r="ED98" s="1068"/>
      <c r="EE98" s="55">
        <f>EE94-EE19</f>
        <v>0.16396843828980459</v>
      </c>
      <c r="EF98" s="55">
        <f>EF94-EF19</f>
        <v>0.10275545876403108</v>
      </c>
      <c r="EG98" s="55">
        <f>EG94-EG19</f>
        <v>5.4144263172145601E-2</v>
      </c>
      <c r="EH98" s="55">
        <f>EH94-EH19</f>
        <v>-0.40586971899178259</v>
      </c>
      <c r="EI98" s="166">
        <f>EI94-EI19</f>
        <v>-4.7543380862196311E-2</v>
      </c>
      <c r="EJ98" s="1068"/>
      <c r="EK98" s="55">
        <f>EK94-EK19</f>
        <v>-6.3527748861299194E-2</v>
      </c>
      <c r="EL98" s="55">
        <f>EL94-EL19</f>
        <v>-0.19085096590416006</v>
      </c>
      <c r="EM98" s="55">
        <f>EM94-EM19</f>
        <v>-8.1010818487770864E-2</v>
      </c>
      <c r="EN98" s="55">
        <f>EN94-EN19</f>
        <v>-6.8051675214588325E-2</v>
      </c>
      <c r="EO98" s="166">
        <f>EO94-EO19</f>
        <v>-0.11511479514690018</v>
      </c>
      <c r="EP98" s="1068"/>
      <c r="EQ98" s="55">
        <f>EQ94-EQ19</f>
        <v>0.51051292175574714</v>
      </c>
      <c r="ER98" s="55">
        <f>ER94-ER19</f>
        <v>0.14921057832657886</v>
      </c>
      <c r="ES98" s="55">
        <f>ES94-ES19</f>
        <v>0.42502269773826357</v>
      </c>
      <c r="ET98" s="55">
        <f>ET94-ET19</f>
        <v>0.66907805553230604</v>
      </c>
      <c r="EU98" s="166">
        <f>EU94-EU19</f>
        <v>0.43893457483392834</v>
      </c>
      <c r="EV98" s="1068"/>
      <c r="EW98" s="55">
        <f>EW94-EW19</f>
        <v>0.52990822876473431</v>
      </c>
      <c r="EX98" s="55">
        <f>EX94-EX19</f>
        <v>0.43227868477430403</v>
      </c>
      <c r="EY98" s="55">
        <f>EY94-EY19</f>
        <v>0.11506456424641272</v>
      </c>
      <c r="EZ98" s="55">
        <f>EZ94-EZ19</f>
        <v>3.7008117499850918E-2</v>
      </c>
      <c r="FA98" s="166">
        <f>FA94-FA19</f>
        <v>0.26146698106929156</v>
      </c>
      <c r="FB98" s="1068"/>
      <c r="FC98" s="55">
        <f>FC94-FC19</f>
        <v>0.21483606451093021</v>
      </c>
      <c r="FD98" s="55">
        <f>FD94-FD19</f>
        <v>0.23990765170656492</v>
      </c>
      <c r="FE98" s="55">
        <f>FE94-FE19</f>
        <v>0.30248001342299091</v>
      </c>
      <c r="FF98" s="55">
        <f>FF94-FF19</f>
        <v>0.13201043863610162</v>
      </c>
      <c r="FG98" s="166">
        <f>FG94-FG19</f>
        <v>0.22719244796896843</v>
      </c>
      <c r="FH98" s="1068"/>
      <c r="FI98" s="55">
        <f>FI94-FI19</f>
        <v>0.20405582386757071</v>
      </c>
      <c r="FJ98" s="55">
        <f>FJ94-FJ19</f>
        <v>0.21708245301175078</v>
      </c>
      <c r="FK98" s="55">
        <f>FK94-FK19</f>
        <v>0.24916380498005775</v>
      </c>
      <c r="FL98" s="55">
        <f>FL94-FL19</f>
        <v>0.1484574066155071</v>
      </c>
      <c r="FM98" s="166">
        <f>FM94-FM19</f>
        <v>0.20312055135758644</v>
      </c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</row>
    <row r="99" spans="1:274" s="24" customFormat="1" collapsed="1" x14ac:dyDescent="0.2">
      <c r="A99" s="140" t="s">
        <v>698</v>
      </c>
      <c r="B99" s="1062"/>
      <c r="C99" s="169" t="s">
        <v>945</v>
      </c>
      <c r="D99" s="169" t="s">
        <v>945</v>
      </c>
      <c r="E99" s="169" t="s">
        <v>945</v>
      </c>
      <c r="F99" s="169" t="s">
        <v>945</v>
      </c>
      <c r="G99" s="169" t="s">
        <v>945</v>
      </c>
      <c r="H99" s="169" t="s">
        <v>945</v>
      </c>
      <c r="I99" s="169" t="s">
        <v>945</v>
      </c>
      <c r="J99" s="169" t="s">
        <v>945</v>
      </c>
      <c r="K99" s="169" t="s">
        <v>945</v>
      </c>
      <c r="L99" s="169" t="s">
        <v>945</v>
      </c>
      <c r="M99" s="169" t="s">
        <v>945</v>
      </c>
      <c r="N99" s="874"/>
      <c r="O99" s="169" t="s">
        <v>945</v>
      </c>
      <c r="P99" s="169" t="s">
        <v>945</v>
      </c>
      <c r="Q99" s="169" t="s">
        <v>945</v>
      </c>
      <c r="R99" s="169" t="s">
        <v>945</v>
      </c>
      <c r="S99" s="169" t="s">
        <v>945</v>
      </c>
      <c r="T99" s="874"/>
      <c r="U99" s="169" t="s">
        <v>945</v>
      </c>
      <c r="V99" s="169" t="s">
        <v>945</v>
      </c>
      <c r="W99" s="169" t="s">
        <v>945</v>
      </c>
      <c r="X99" s="169" t="s">
        <v>945</v>
      </c>
      <c r="Y99" s="169" t="s">
        <v>945</v>
      </c>
      <c r="Z99" s="172"/>
      <c r="AA99" s="151">
        <v>0.24</v>
      </c>
      <c r="AB99" s="151">
        <v>0.08</v>
      </c>
      <c r="AC99" s="151">
        <v>0.41</v>
      </c>
      <c r="AD99" s="151">
        <v>0.2</v>
      </c>
      <c r="AE99" s="151">
        <v>0.23</v>
      </c>
      <c r="AF99" s="172"/>
      <c r="AG99" s="151">
        <v>0.27</v>
      </c>
      <c r="AH99" s="151">
        <v>0.19</v>
      </c>
      <c r="AI99" s="151">
        <v>0.14000000000000001</v>
      </c>
      <c r="AJ99" s="151">
        <v>0.13</v>
      </c>
      <c r="AK99" s="151">
        <v>0.17</v>
      </c>
      <c r="AL99" s="172"/>
      <c r="AM99" s="253">
        <v>0.24</v>
      </c>
      <c r="AN99" s="253">
        <v>0.25</v>
      </c>
      <c r="AO99" s="253">
        <v>0.06</v>
      </c>
      <c r="AP99" s="253">
        <v>0.23</v>
      </c>
      <c r="AQ99" s="253">
        <v>0.19</v>
      </c>
      <c r="AR99" s="172"/>
      <c r="AS99" s="253">
        <v>0.03</v>
      </c>
      <c r="AT99" s="253">
        <v>0.24</v>
      </c>
      <c r="AU99" s="253">
        <v>0.12</v>
      </c>
      <c r="AV99" s="253">
        <v>0.13</v>
      </c>
      <c r="AW99" s="253">
        <v>0.14000000000000001</v>
      </c>
      <c r="AX99" s="172"/>
      <c r="AY99" s="253">
        <v>0.24</v>
      </c>
      <c r="AZ99" s="253">
        <v>0.2</v>
      </c>
      <c r="BA99" s="253">
        <v>0.28000000000000003</v>
      </c>
      <c r="BB99" s="253">
        <v>0.06</v>
      </c>
      <c r="BC99" s="253">
        <v>0.17</v>
      </c>
      <c r="BD99" s="172"/>
      <c r="BE99" s="253">
        <v>0.05</v>
      </c>
      <c r="BF99" s="253">
        <v>-0.16</v>
      </c>
      <c r="BG99" s="253">
        <v>-0.13</v>
      </c>
      <c r="BH99" s="253">
        <v>-0.04</v>
      </c>
      <c r="BI99" s="253">
        <v>-0.08</v>
      </c>
      <c r="BJ99" s="172"/>
      <c r="BK99" s="253">
        <v>-0.2</v>
      </c>
      <c r="BL99" s="253">
        <v>0.08</v>
      </c>
      <c r="BM99" s="253">
        <v>-0.14000000000000001</v>
      </c>
      <c r="BN99" s="253">
        <v>-7.0000000000000007E-2</v>
      </c>
      <c r="BO99" s="253">
        <v>-0.08</v>
      </c>
      <c r="BP99" s="172"/>
      <c r="BQ99" s="253">
        <v>-0.02</v>
      </c>
      <c r="BR99" s="253">
        <v>-0.09</v>
      </c>
      <c r="BS99" s="253">
        <v>0.08</v>
      </c>
      <c r="BT99" s="252">
        <v>7.0000000000000007E-2</v>
      </c>
      <c r="BU99" s="252">
        <v>0.01</v>
      </c>
      <c r="BV99" s="172"/>
      <c r="BW99" s="252">
        <v>-0.12</v>
      </c>
      <c r="BX99" s="252">
        <v>0.13</v>
      </c>
      <c r="BY99" s="252">
        <v>0.06</v>
      </c>
      <c r="BZ99" s="252">
        <v>0.03</v>
      </c>
      <c r="CA99" s="252">
        <v>0.04</v>
      </c>
      <c r="CB99" s="172"/>
      <c r="CC99" s="252">
        <v>0.08</v>
      </c>
      <c r="CD99" s="252">
        <v>0</v>
      </c>
      <c r="CE99" s="252">
        <v>0.22</v>
      </c>
      <c r="CF99" s="252">
        <v>0.21</v>
      </c>
      <c r="CG99" s="871">
        <v>0.14000000000000001</v>
      </c>
      <c r="CH99" s="172"/>
      <c r="CI99" s="252">
        <v>0.21</v>
      </c>
      <c r="CJ99" s="252">
        <v>0.14000000000000001</v>
      </c>
      <c r="CK99" s="252">
        <v>0.09</v>
      </c>
      <c r="CL99" s="252">
        <v>0.18</v>
      </c>
      <c r="CM99" s="871">
        <v>0.15</v>
      </c>
      <c r="CN99" s="172"/>
      <c r="CO99" s="252">
        <v>0.37</v>
      </c>
      <c r="CP99" s="252">
        <v>0.21</v>
      </c>
      <c r="CQ99" s="252">
        <v>0.1</v>
      </c>
      <c r="CR99" s="252">
        <v>0.27</v>
      </c>
      <c r="CS99" s="871">
        <v>0.23</v>
      </c>
      <c r="CT99" s="172"/>
      <c r="CU99" s="252">
        <v>0.05</v>
      </c>
      <c r="CV99" s="252">
        <v>7.0000000000000007E-2</v>
      </c>
      <c r="CW99" s="252">
        <v>0.12</v>
      </c>
      <c r="CX99" s="252">
        <f>CX95-CX19</f>
        <v>1.5330171950840299E-2</v>
      </c>
      <c r="CY99" s="871">
        <f>CY95-CY19</f>
        <v>4.8351107767464763E-2</v>
      </c>
      <c r="CZ99" s="172"/>
      <c r="DA99" s="173">
        <v>-0.2</v>
      </c>
      <c r="DB99" s="173">
        <f>DB95-DB19</f>
        <v>-0.10795061087795399</v>
      </c>
      <c r="DC99" s="173">
        <f>DC95-DC19</f>
        <v>-3.6725043782837197E-2</v>
      </c>
      <c r="DD99" s="173">
        <f>DD95-DD19</f>
        <v>1.0413878618794059E-2</v>
      </c>
      <c r="DE99" s="871">
        <f>DE95-DE19</f>
        <v>-5.4941864196678347E-2</v>
      </c>
      <c r="DF99" s="1069"/>
      <c r="DG99" s="173">
        <f>DG95-DG19</f>
        <v>0.26347365286853908</v>
      </c>
      <c r="DH99" s="173">
        <f>DH95-DH19</f>
        <v>0.15614567224098796</v>
      </c>
      <c r="DI99" s="173">
        <f>DI95-DI19</f>
        <v>0.22254933588212888</v>
      </c>
      <c r="DJ99" s="173">
        <f>DJ95-DJ19</f>
        <v>0.12425219233669305</v>
      </c>
      <c r="DK99" s="871">
        <f>DK95-DK19</f>
        <v>0.19418536024360167</v>
      </c>
      <c r="DL99" s="1069"/>
      <c r="DM99" s="173">
        <f>DM95-DM19</f>
        <v>0.15</v>
      </c>
      <c r="DN99" s="173">
        <f>DN95-DN19</f>
        <v>2.9047891272069304E-3</v>
      </c>
      <c r="DO99" s="173">
        <v>0.01</v>
      </c>
      <c r="DP99" s="173">
        <f>DP95-DP19</f>
        <v>2.5660989456609926E-2</v>
      </c>
      <c r="DQ99" s="858">
        <f>DQ95-DQ19</f>
        <v>1.3609676391484804E-2</v>
      </c>
      <c r="DR99" s="1069"/>
      <c r="DS99" s="857">
        <f>DS95-DS19</f>
        <v>5.9090909090908916E-3</v>
      </c>
      <c r="DT99" s="857">
        <f>DT95-DT19</f>
        <v>0.11760273972602729</v>
      </c>
      <c r="DU99" s="857">
        <f>DU95-DU19</f>
        <v>5.6709956709957068E-3</v>
      </c>
      <c r="DV99" s="857">
        <f>DV95-DV19</f>
        <v>4.9742710120068701E-2</v>
      </c>
      <c r="DW99" s="858">
        <f>DW95-DW19</f>
        <v>0.10479911588813894</v>
      </c>
      <c r="DX99" s="1069"/>
      <c r="DY99" s="857">
        <f>DY95-DY19</f>
        <v>-7.0564428235918575E-2</v>
      </c>
      <c r="DZ99" s="857">
        <f>DZ95-DZ19</f>
        <v>1.7829031580673615E-2</v>
      </c>
      <c r="EA99" s="857">
        <f>EA95-EA19</f>
        <v>4.8900694285946011E-2</v>
      </c>
      <c r="EB99" s="857">
        <f>EB95-EB19</f>
        <v>-4.4315819231969256E-2</v>
      </c>
      <c r="EC99" s="858">
        <f>EC95-EC19</f>
        <v>-1.996645934553698E-2</v>
      </c>
      <c r="ED99" s="1069"/>
      <c r="EE99" s="857">
        <f>EE95-EE19</f>
        <v>0.3493903018783826</v>
      </c>
      <c r="EF99" s="857">
        <f>EF95-EF19</f>
        <v>0.11118619252600997</v>
      </c>
      <c r="EG99" s="857">
        <f>EG95-EG19</f>
        <v>0.10737918650864409</v>
      </c>
      <c r="EH99" s="857">
        <f>EH95-EH19</f>
        <v>-7.6538496324675798E-2</v>
      </c>
      <c r="EI99" s="858">
        <f>EI95-EI19</f>
        <v>4.9380120513233733E-2</v>
      </c>
      <c r="EJ99" s="1069"/>
      <c r="EK99" s="857">
        <f>EK95-EK19</f>
        <v>5.8933314202613496E-2</v>
      </c>
      <c r="EL99" s="857">
        <f>EL95-EL19</f>
        <v>1.2230535031193437E-2</v>
      </c>
      <c r="EM99" s="857">
        <f>EM95-EM19</f>
        <v>3.0354145784886211E-2</v>
      </c>
      <c r="EN99" s="857">
        <f>EN95-EN19</f>
        <v>-2.1034801307774131E-2</v>
      </c>
      <c r="EO99" s="858">
        <f>EO95-EO19</f>
        <v>2.1032482651081569E-2</v>
      </c>
      <c r="EP99" s="1069"/>
      <c r="EQ99" s="857">
        <f>EQ95-EQ19</f>
        <v>0.16372979133922283</v>
      </c>
      <c r="ER99" s="857">
        <f>ER95-ER19</f>
        <v>8.7773211488546735E-2</v>
      </c>
      <c r="ES99" s="857">
        <f>ES95-ES19</f>
        <v>0.12267280089742158</v>
      </c>
      <c r="ET99" s="857">
        <f>ET95-ET19</f>
        <v>0.11017398276243048</v>
      </c>
      <c r="EU99" s="858">
        <f>EU95-EU19</f>
        <v>0.11842565980717215</v>
      </c>
      <c r="EV99" s="1069"/>
      <c r="EW99" s="857">
        <f>EW95-EW19</f>
        <v>0.16049977492723569</v>
      </c>
      <c r="EX99" s="857">
        <f>EX95-EX19</f>
        <v>0.11117918903646523</v>
      </c>
      <c r="EY99" s="857">
        <f>EY95-EY19</f>
        <v>1.6822607434101161E-3</v>
      </c>
      <c r="EZ99" s="857">
        <f>EZ95-EZ19</f>
        <v>3.8697544388859584E-3</v>
      </c>
      <c r="FA99" s="858">
        <f>FA95-FA19</f>
        <v>5.2676195345713765E-2</v>
      </c>
      <c r="FB99" s="1069"/>
      <c r="FC99" s="857">
        <f>FC95-FC19</f>
        <v>0.10327944370972954</v>
      </c>
      <c r="FD99" s="857">
        <f>FD95-FD19</f>
        <v>7.9764157803726601E-2</v>
      </c>
      <c r="FE99" s="857">
        <f>FE95-FE19</f>
        <v>8.2256927992786388E-2</v>
      </c>
      <c r="FF99" s="857">
        <f>FF95-FF19</f>
        <v>4.8318811605285727E-2</v>
      </c>
      <c r="FG99" s="858">
        <f>FG95-FG19</f>
        <v>8.2968436798410483E-2</v>
      </c>
      <c r="FH99" s="1069"/>
      <c r="FI99" s="857">
        <f>FI95-FI19</f>
        <v>0.11719184406703254</v>
      </c>
      <c r="FJ99" s="857">
        <f>FJ95-FJ19</f>
        <v>9.1812515081624912E-2</v>
      </c>
      <c r="FK99" s="857">
        <f>FK95-FK19</f>
        <v>8.5869850091536026E-2</v>
      </c>
      <c r="FL99" s="857">
        <f>FL95-FL19</f>
        <v>5.4050557543268374E-2</v>
      </c>
      <c r="FM99" s="858">
        <f>FM95-FM19</f>
        <v>8.2867878951756069E-2</v>
      </c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</row>
    <row r="100" spans="1:274" s="24" customFormat="1" ht="15" customHeight="1" x14ac:dyDescent="0.2">
      <c r="A100" s="19" t="s">
        <v>564</v>
      </c>
      <c r="B100" s="29"/>
      <c r="C100" s="50" t="s">
        <v>945</v>
      </c>
      <c r="D100" s="50" t="s">
        <v>945</v>
      </c>
      <c r="E100" s="50" t="s">
        <v>945</v>
      </c>
      <c r="F100" s="50" t="s">
        <v>945</v>
      </c>
      <c r="G100" s="50" t="s">
        <v>945</v>
      </c>
      <c r="H100" s="50" t="s">
        <v>945</v>
      </c>
      <c r="I100" s="50" t="s">
        <v>945</v>
      </c>
      <c r="J100" s="50" t="s">
        <v>945</v>
      </c>
      <c r="K100" s="50" t="s">
        <v>945</v>
      </c>
      <c r="L100" s="50" t="s">
        <v>945</v>
      </c>
      <c r="M100" s="50" t="s">
        <v>945</v>
      </c>
      <c r="N100" s="342"/>
      <c r="O100" s="50" t="s">
        <v>945</v>
      </c>
      <c r="P100" s="50" t="s">
        <v>945</v>
      </c>
      <c r="Q100" s="50" t="s">
        <v>945</v>
      </c>
      <c r="R100" s="50" t="s">
        <v>945</v>
      </c>
      <c r="S100" s="50" t="s">
        <v>945</v>
      </c>
      <c r="T100" s="342"/>
      <c r="U100" s="50" t="s">
        <v>945</v>
      </c>
      <c r="V100" s="50" t="s">
        <v>945</v>
      </c>
      <c r="W100" s="50" t="s">
        <v>945</v>
      </c>
      <c r="X100" s="50" t="s">
        <v>945</v>
      </c>
      <c r="Y100" s="50" t="s">
        <v>945</v>
      </c>
      <c r="Z100" s="53"/>
      <c r="AA100" s="342"/>
      <c r="AB100" s="342"/>
      <c r="AC100" s="342"/>
      <c r="AD100" s="342"/>
      <c r="AE100" s="342"/>
      <c r="AF100" s="53"/>
      <c r="AG100" s="342"/>
      <c r="AH100" s="342"/>
      <c r="AI100" s="342"/>
      <c r="AJ100" s="342"/>
      <c r="AK100" s="342"/>
      <c r="AL100" s="53"/>
      <c r="AM100" s="342"/>
      <c r="AN100" s="342"/>
      <c r="AO100" s="342"/>
      <c r="AP100" s="342"/>
      <c r="AQ100" s="342"/>
      <c r="AR100" s="53"/>
      <c r="AS100" s="342"/>
      <c r="AT100" s="342"/>
      <c r="AU100" s="342"/>
      <c r="AV100" s="342"/>
      <c r="AW100" s="342"/>
      <c r="AX100" s="53"/>
      <c r="AY100" s="342"/>
      <c r="AZ100" s="342"/>
      <c r="BA100" s="342"/>
      <c r="BB100" s="342"/>
      <c r="BC100" s="342"/>
      <c r="BD100" s="53"/>
      <c r="BE100" s="342"/>
      <c r="BF100" s="342"/>
      <c r="BG100" s="342"/>
      <c r="BH100" s="342"/>
      <c r="BI100" s="342"/>
      <c r="BJ100" s="53"/>
      <c r="BK100" s="342"/>
      <c r="BL100" s="342"/>
      <c r="BM100" s="342"/>
      <c r="BN100" s="342"/>
      <c r="BO100" s="342"/>
      <c r="BP100" s="53"/>
      <c r="BQ100" s="342"/>
      <c r="BR100" s="342"/>
      <c r="BS100" s="342"/>
      <c r="BT100" s="342"/>
      <c r="BU100" s="342"/>
      <c r="BV100" s="53"/>
      <c r="BW100" s="342"/>
      <c r="BX100" s="342"/>
      <c r="BY100" s="342"/>
      <c r="BZ100" s="342"/>
      <c r="CA100" s="342"/>
      <c r="CB100" s="53"/>
      <c r="CC100" s="43">
        <f>CC95-CC99</f>
        <v>6.021505376344008E-3</v>
      </c>
      <c r="CD100" s="43">
        <f>CD95-CD99</f>
        <v>-7.03125E-2</v>
      </c>
      <c r="CE100" s="43">
        <f>CE95-CE99</f>
        <v>-0.1029268292682928</v>
      </c>
      <c r="CF100" s="43">
        <f>CF95-CF99</f>
        <v>-6.0644007155634949E-3</v>
      </c>
      <c r="CG100" s="395">
        <f>CG95-CG99</f>
        <v>-4.2403204272363104E-2</v>
      </c>
      <c r="CH100" s="53"/>
      <c r="CI100" s="43">
        <f>CI95-CI99</f>
        <v>4.2475247524752485E-2</v>
      </c>
      <c r="CJ100" s="43">
        <f>CJ95-CJ99</f>
        <v>9.8095238095238124E-2</v>
      </c>
      <c r="CK100" s="43">
        <f>CK95-CK99</f>
        <v>9.1465308102862769E-2</v>
      </c>
      <c r="CL100" s="43">
        <f>CL95-CL99</f>
        <v>7.2600297176820205E-2</v>
      </c>
      <c r="CM100" s="395">
        <f>CM95-CM99</f>
        <v>8.160199489113254E-2</v>
      </c>
      <c r="CN100" s="53"/>
      <c r="CO100" s="43">
        <f>CO95-CO99</f>
        <v>8.0000000000000016E-2</v>
      </c>
      <c r="CP100" s="43">
        <f>CP95-CP99</f>
        <v>0.13000000000000003</v>
      </c>
      <c r="CQ100" s="43">
        <f>CQ95-CQ99</f>
        <v>0.10944558521560585</v>
      </c>
      <c r="CR100" s="43">
        <f>CR95-CR99</f>
        <v>0.13999999999999996</v>
      </c>
      <c r="CS100" s="395">
        <f>CS95-CS99</f>
        <v>0.11999999999999997</v>
      </c>
      <c r="CT100" s="53"/>
      <c r="CU100" s="43">
        <f>CU95-CU99</f>
        <v>6.1111111111111158E-2</v>
      </c>
      <c r="CV100" s="43">
        <f>CV95-CV99</f>
        <v>-0.13856187290969896</v>
      </c>
      <c r="CW100" s="43">
        <f>CW95-CW99</f>
        <v>-0.15056027164685903</v>
      </c>
      <c r="CX100" s="342"/>
      <c r="CY100" s="147"/>
      <c r="CZ100" s="53"/>
      <c r="DA100" s="342"/>
      <c r="DB100" s="342"/>
      <c r="DC100" s="342"/>
      <c r="DD100" s="342"/>
      <c r="DE100" s="147"/>
      <c r="DF100" s="53"/>
      <c r="DG100" s="342"/>
      <c r="DH100" s="342"/>
      <c r="DI100" s="342"/>
      <c r="DJ100" s="342"/>
      <c r="DK100" s="147"/>
      <c r="DL100" s="53"/>
      <c r="DM100" s="342"/>
      <c r="DN100" s="342"/>
      <c r="DO100" s="342"/>
      <c r="DP100" s="342"/>
      <c r="DQ100" s="147"/>
      <c r="DR100" s="53"/>
      <c r="DS100" s="342"/>
      <c r="DT100" s="342"/>
      <c r="DU100" s="342"/>
      <c r="DV100" s="342"/>
      <c r="DW100" s="147"/>
      <c r="DX100" s="53"/>
      <c r="DY100" s="342"/>
      <c r="DZ100" s="342"/>
      <c r="EA100" s="342"/>
      <c r="EB100" s="342"/>
      <c r="EC100" s="147"/>
      <c r="ED100" s="53"/>
      <c r="EE100" s="342"/>
      <c r="EF100" s="342"/>
      <c r="EG100" s="342"/>
      <c r="EH100" s="342"/>
      <c r="EI100" s="147"/>
      <c r="EJ100" s="53"/>
      <c r="EK100" s="342"/>
      <c r="EL100" s="342"/>
      <c r="EM100" s="342"/>
      <c r="EN100" s="342"/>
      <c r="EO100" s="147"/>
      <c r="EP100" s="53"/>
      <c r="EQ100" s="342"/>
      <c r="ER100" s="342"/>
      <c r="ES100" s="342"/>
      <c r="ET100" s="342"/>
      <c r="EU100" s="147"/>
      <c r="EV100" s="53"/>
      <c r="EW100" s="342"/>
      <c r="EX100" s="342"/>
      <c r="EY100" s="342"/>
      <c r="EZ100" s="342"/>
      <c r="FA100" s="147"/>
      <c r="FB100" s="53"/>
      <c r="FC100" s="342"/>
      <c r="FD100" s="342"/>
      <c r="FE100" s="342"/>
      <c r="FF100" s="342"/>
      <c r="FG100" s="147"/>
      <c r="FH100" s="53"/>
      <c r="FI100" s="342"/>
      <c r="FJ100" s="342"/>
      <c r="FK100" s="342"/>
      <c r="FL100" s="342"/>
      <c r="FM100" s="147"/>
      <c r="FO100" s="621"/>
      <c r="FP100" s="621"/>
      <c r="FQ100" s="820"/>
      <c r="FR100" s="820"/>
      <c r="FS100" s="82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</row>
    <row r="101" spans="1:274" s="24" customFormat="1" ht="4.5" customHeight="1" x14ac:dyDescent="0.2">
      <c r="A101" s="342"/>
      <c r="B101" s="1040"/>
      <c r="C101" s="342"/>
      <c r="D101" s="342"/>
      <c r="E101" s="342"/>
      <c r="F101" s="342"/>
      <c r="G101" s="342"/>
      <c r="H101" s="342"/>
      <c r="I101" s="342"/>
      <c r="J101" s="342"/>
      <c r="K101" s="342"/>
      <c r="L101" s="342"/>
      <c r="M101" s="342"/>
      <c r="N101" s="342"/>
      <c r="O101" s="342"/>
      <c r="P101" s="342"/>
      <c r="Q101" s="342"/>
      <c r="R101" s="342"/>
      <c r="S101" s="342"/>
      <c r="T101" s="342"/>
      <c r="U101" s="342"/>
      <c r="V101" s="342"/>
      <c r="W101" s="342"/>
      <c r="X101" s="342"/>
      <c r="Y101" s="342"/>
      <c r="Z101" s="53"/>
      <c r="AA101" s="342"/>
      <c r="AB101" s="342"/>
      <c r="AC101" s="342"/>
      <c r="AD101" s="342"/>
      <c r="AE101" s="342"/>
      <c r="AF101" s="53"/>
      <c r="AG101" s="27"/>
      <c r="AH101" s="27"/>
      <c r="AI101" s="27"/>
      <c r="AJ101" s="27"/>
      <c r="AK101" s="27"/>
      <c r="AL101" s="53"/>
      <c r="AM101" s="342"/>
      <c r="AN101" s="342"/>
      <c r="AO101" s="342"/>
      <c r="AP101" s="342"/>
      <c r="AQ101" s="342"/>
      <c r="AR101" s="53"/>
      <c r="AS101" s="342"/>
      <c r="AT101" s="342"/>
      <c r="AU101" s="342"/>
      <c r="AV101" s="342"/>
      <c r="AW101" s="342"/>
      <c r="AX101" s="53"/>
      <c r="AY101" s="342"/>
      <c r="AZ101" s="342"/>
      <c r="BA101" s="342"/>
      <c r="BB101" s="342"/>
      <c r="BC101" s="342"/>
      <c r="BD101" s="53"/>
      <c r="BE101" s="342"/>
      <c r="BF101" s="342"/>
      <c r="BG101" s="342"/>
      <c r="BH101" s="342"/>
      <c r="BI101" s="342"/>
      <c r="BJ101" s="53"/>
      <c r="BK101" s="342"/>
      <c r="BL101" s="342"/>
      <c r="BM101" s="342"/>
      <c r="BN101" s="342"/>
      <c r="BO101" s="342"/>
      <c r="BP101" s="53"/>
      <c r="BQ101" s="342"/>
      <c r="BR101" s="342"/>
      <c r="BS101" s="342"/>
      <c r="BT101" s="342"/>
      <c r="BU101" s="342"/>
      <c r="BV101" s="53"/>
      <c r="BW101" s="342"/>
      <c r="BX101" s="342"/>
      <c r="BY101" s="342"/>
      <c r="BZ101" s="342"/>
      <c r="CA101" s="342"/>
      <c r="CB101" s="53"/>
      <c r="CC101" s="342"/>
      <c r="CD101" s="342"/>
      <c r="CE101" s="342"/>
      <c r="CF101" s="342"/>
      <c r="CG101" s="147"/>
      <c r="CH101" s="53"/>
      <c r="CI101" s="342"/>
      <c r="CJ101" s="342"/>
      <c r="CK101" s="342"/>
      <c r="CL101" s="342"/>
      <c r="CM101" s="147"/>
      <c r="CN101" s="53"/>
      <c r="CO101" s="342"/>
      <c r="CP101" s="342"/>
      <c r="CQ101" s="342"/>
      <c r="CR101" s="342"/>
      <c r="CS101" s="147"/>
      <c r="CT101" s="53"/>
      <c r="CU101" s="342"/>
      <c r="CV101" s="342"/>
      <c r="CW101" s="342"/>
      <c r="CX101" s="342"/>
      <c r="CY101" s="147"/>
      <c r="CZ101" s="53"/>
      <c r="DA101" s="342"/>
      <c r="DB101" s="342"/>
      <c r="DC101" s="342"/>
      <c r="DD101" s="342"/>
      <c r="DE101" s="147"/>
      <c r="DF101" s="53"/>
      <c r="DG101" s="342"/>
      <c r="DH101" s="342"/>
      <c r="DI101" s="342"/>
      <c r="DJ101" s="342"/>
      <c r="DK101" s="147"/>
      <c r="DL101" s="53"/>
      <c r="DM101" s="342"/>
      <c r="DN101" s="342"/>
      <c r="DO101" s="342"/>
      <c r="DP101" s="342"/>
      <c r="DQ101" s="147"/>
      <c r="DR101" s="53"/>
      <c r="DS101" s="342"/>
      <c r="DT101" s="342"/>
      <c r="DU101" s="342"/>
      <c r="DV101" s="342"/>
      <c r="DW101" s="147"/>
      <c r="DX101" s="53"/>
      <c r="DY101" s="342"/>
      <c r="DZ101" s="342"/>
      <c r="EA101" s="342"/>
      <c r="EB101" s="342"/>
      <c r="EC101" s="147"/>
      <c r="ED101" s="53"/>
      <c r="EE101" s="342"/>
      <c r="EF101" s="342"/>
      <c r="EG101" s="342"/>
      <c r="EH101" s="342"/>
      <c r="EI101" s="147"/>
      <c r="EJ101" s="53"/>
      <c r="EK101" s="342"/>
      <c r="EL101" s="342"/>
      <c r="EM101" s="342"/>
      <c r="EN101" s="342"/>
      <c r="EO101" s="147"/>
      <c r="EP101" s="53"/>
      <c r="EQ101" s="342"/>
      <c r="ER101" s="342"/>
      <c r="ES101" s="342"/>
      <c r="ET101" s="342"/>
      <c r="EU101" s="147"/>
      <c r="EV101" s="53"/>
      <c r="EW101" s="342"/>
      <c r="EX101" s="342"/>
      <c r="EY101" s="342"/>
      <c r="EZ101" s="342"/>
      <c r="FA101" s="147"/>
      <c r="FB101" s="53"/>
      <c r="FC101" s="342"/>
      <c r="FD101" s="342"/>
      <c r="FE101" s="342"/>
      <c r="FF101" s="342"/>
      <c r="FG101" s="147"/>
      <c r="FH101" s="53"/>
      <c r="FI101" s="342"/>
      <c r="FJ101" s="342"/>
      <c r="FK101" s="342"/>
      <c r="FL101" s="342"/>
      <c r="FM101" s="147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</row>
    <row r="102" spans="1:274" s="24" customFormat="1" x14ac:dyDescent="0.2">
      <c r="A102" s="353" t="s">
        <v>703</v>
      </c>
      <c r="B102" s="359"/>
      <c r="C102" s="342"/>
      <c r="D102" s="342"/>
      <c r="E102" s="342"/>
      <c r="F102" s="342"/>
      <c r="G102" s="342"/>
      <c r="H102" s="342"/>
      <c r="I102" s="342"/>
      <c r="J102" s="342"/>
      <c r="K102" s="342"/>
      <c r="L102" s="342"/>
      <c r="M102" s="342"/>
      <c r="N102" s="342"/>
      <c r="O102" s="342"/>
      <c r="P102" s="342"/>
      <c r="Q102" s="342"/>
      <c r="R102" s="342"/>
      <c r="S102" s="342"/>
      <c r="T102" s="342"/>
      <c r="U102" s="342"/>
      <c r="V102" s="342"/>
      <c r="W102" s="342"/>
      <c r="X102" s="342"/>
      <c r="Y102" s="342"/>
      <c r="Z102" s="53"/>
      <c r="AA102" s="34">
        <v>76.504999999999995</v>
      </c>
      <c r="AB102" s="34">
        <v>110.736</v>
      </c>
      <c r="AC102" s="34">
        <v>100.11</v>
      </c>
      <c r="AD102" s="34">
        <v>122.678</v>
      </c>
      <c r="AE102" s="34">
        <f>SUM(AA102:AD102)</f>
        <v>410.029</v>
      </c>
      <c r="AF102" s="53"/>
      <c r="AG102" s="34">
        <v>85.703000000000003</v>
      </c>
      <c r="AH102" s="34">
        <v>97.094999999999999</v>
      </c>
      <c r="AI102" s="34">
        <v>75.471000000000004</v>
      </c>
      <c r="AJ102" s="34">
        <v>87.150999999999996</v>
      </c>
      <c r="AK102" s="34">
        <f>SUM(AG102:AJ102)</f>
        <v>345.42</v>
      </c>
      <c r="AL102" s="53"/>
      <c r="AM102" s="34">
        <v>76.224999999999994</v>
      </c>
      <c r="AN102" s="34">
        <v>103.48399999999999</v>
      </c>
      <c r="AO102" s="34">
        <v>101.215</v>
      </c>
      <c r="AP102" s="34">
        <v>130.971</v>
      </c>
      <c r="AQ102" s="34">
        <f>SUM(AM102:AP102)</f>
        <v>411.89499999999998</v>
      </c>
      <c r="AR102" s="53"/>
      <c r="AS102" s="34">
        <v>98.36</v>
      </c>
      <c r="AT102" s="34">
        <v>133.863</v>
      </c>
      <c r="AU102" s="34">
        <v>131.62</v>
      </c>
      <c r="AV102" s="34">
        <v>183.102</v>
      </c>
      <c r="AW102" s="342">
        <f>SUM(AS102:AV102)</f>
        <v>546.94500000000005</v>
      </c>
      <c r="AX102" s="53"/>
      <c r="AY102" s="342"/>
      <c r="AZ102" s="342"/>
      <c r="BA102" s="342"/>
      <c r="BB102" s="342"/>
      <c r="BC102" s="342"/>
      <c r="BD102" s="53"/>
      <c r="BE102" s="342"/>
      <c r="BF102" s="342"/>
      <c r="BG102" s="342"/>
      <c r="BH102" s="342"/>
      <c r="BI102" s="342"/>
      <c r="BJ102" s="53"/>
      <c r="BK102" s="342"/>
      <c r="BL102" s="342"/>
      <c r="BM102" s="342"/>
      <c r="BN102" s="342"/>
      <c r="BO102" s="342"/>
      <c r="BP102" s="53"/>
      <c r="BQ102" s="342"/>
      <c r="BR102" s="342"/>
      <c r="BS102" s="342"/>
      <c r="BT102" s="342"/>
      <c r="BU102" s="342"/>
      <c r="BV102" s="53"/>
      <c r="BW102" s="342"/>
      <c r="BX102" s="82"/>
      <c r="BY102" s="82"/>
      <c r="BZ102" s="43"/>
      <c r="CA102" s="342"/>
      <c r="CB102" s="53"/>
      <c r="CC102" s="342"/>
      <c r="CD102" s="342"/>
      <c r="CE102" s="342"/>
      <c r="CF102" s="342"/>
      <c r="CG102" s="147"/>
      <c r="CH102" s="53"/>
      <c r="CI102" s="342"/>
      <c r="CJ102" s="342"/>
      <c r="CK102" s="342"/>
      <c r="CL102" s="342"/>
      <c r="CM102" s="147"/>
      <c r="CN102" s="53"/>
      <c r="CO102" s="342"/>
      <c r="CP102" s="342"/>
      <c r="CQ102" s="342"/>
      <c r="CR102" s="342"/>
      <c r="CS102" s="147"/>
      <c r="CT102" s="53"/>
      <c r="CU102" s="342"/>
      <c r="CV102" s="342"/>
      <c r="CW102" s="342"/>
      <c r="CX102" s="342"/>
      <c r="CY102" s="147"/>
      <c r="CZ102" s="53"/>
      <c r="DA102" s="342"/>
      <c r="DB102" s="342"/>
      <c r="DC102" s="342"/>
      <c r="DD102" s="342"/>
      <c r="DE102" s="147"/>
      <c r="DF102" s="53"/>
      <c r="DG102" s="342"/>
      <c r="DH102" s="342"/>
      <c r="DI102" s="342"/>
      <c r="DJ102" s="342"/>
      <c r="DK102" s="147"/>
      <c r="DL102" s="53"/>
      <c r="DM102" s="342"/>
      <c r="DN102" s="342"/>
      <c r="DO102" s="342"/>
      <c r="DP102" s="342"/>
      <c r="DQ102" s="147"/>
      <c r="DR102" s="53"/>
      <c r="DS102" s="342"/>
      <c r="DT102" s="342"/>
      <c r="DU102" s="342"/>
      <c r="DV102" s="342"/>
      <c r="DW102" s="147"/>
      <c r="DX102" s="53"/>
      <c r="DY102" s="342"/>
      <c r="DZ102" s="342"/>
      <c r="EA102" s="342"/>
      <c r="EB102" s="342"/>
      <c r="EC102" s="147"/>
      <c r="ED102" s="53"/>
      <c r="EE102" s="342"/>
      <c r="EF102" s="342"/>
      <c r="EG102" s="342"/>
      <c r="EH102" s="342"/>
      <c r="EI102" s="147"/>
      <c r="EJ102" s="53"/>
      <c r="EK102" s="342"/>
      <c r="EL102" s="342"/>
      <c r="EM102" s="342"/>
      <c r="EN102" s="342"/>
      <c r="EO102" s="147"/>
      <c r="EP102" s="53"/>
      <c r="EQ102" s="342"/>
      <c r="ER102" s="342"/>
      <c r="ES102" s="342"/>
      <c r="ET102" s="342"/>
      <c r="EU102" s="147"/>
      <c r="EV102" s="53"/>
      <c r="EW102" s="342"/>
      <c r="EX102" s="342"/>
      <c r="EY102" s="342"/>
      <c r="EZ102" s="342"/>
      <c r="FA102" s="147"/>
      <c r="FB102" s="53"/>
      <c r="FC102" s="342"/>
      <c r="FD102" s="342"/>
      <c r="FE102" s="342"/>
      <c r="FF102" s="342"/>
      <c r="FG102" s="147"/>
      <c r="FH102" s="53"/>
      <c r="FI102" s="342"/>
      <c r="FJ102" s="342"/>
      <c r="FK102" s="342"/>
      <c r="FL102" s="342"/>
      <c r="FM102" s="147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</row>
    <row r="103" spans="1:274" s="24" customFormat="1" x14ac:dyDescent="0.2">
      <c r="A103" s="58" t="s">
        <v>556</v>
      </c>
      <c r="B103" s="1063"/>
      <c r="C103" s="342"/>
      <c r="D103" s="342"/>
      <c r="E103" s="342"/>
      <c r="F103" s="342"/>
      <c r="G103" s="342"/>
      <c r="H103" s="342"/>
      <c r="I103" s="342"/>
      <c r="J103" s="342"/>
      <c r="K103" s="342"/>
      <c r="L103" s="342"/>
      <c r="M103" s="342"/>
      <c r="N103" s="342"/>
      <c r="O103" s="342"/>
      <c r="P103" s="342"/>
      <c r="Q103" s="342"/>
      <c r="R103" s="342"/>
      <c r="S103" s="342"/>
      <c r="T103" s="342"/>
      <c r="U103" s="342"/>
      <c r="V103" s="342"/>
      <c r="W103" s="342"/>
      <c r="X103" s="342"/>
      <c r="Y103" s="342"/>
      <c r="Z103" s="53"/>
      <c r="AA103" s="34">
        <v>12.728999999999999</v>
      </c>
      <c r="AB103" s="34">
        <v>18.161000000000001</v>
      </c>
      <c r="AC103" s="34">
        <v>17.178999999999998</v>
      </c>
      <c r="AD103" s="34">
        <v>14.284000000000001</v>
      </c>
      <c r="AE103" s="34">
        <f>SUM(AA103:AD103)</f>
        <v>62.353000000000002</v>
      </c>
      <c r="AF103" s="53"/>
      <c r="AG103" s="34">
        <v>12.307</v>
      </c>
      <c r="AH103" s="34">
        <v>11.141999999999999</v>
      </c>
      <c r="AI103" s="34">
        <v>10.349</v>
      </c>
      <c r="AJ103" s="34">
        <v>9.577</v>
      </c>
      <c r="AK103" s="34">
        <f>SUM(AG103:AJ103)</f>
        <v>43.375</v>
      </c>
      <c r="AL103" s="53"/>
      <c r="AM103" s="34">
        <v>7.5490000000000004</v>
      </c>
      <c r="AN103" s="34">
        <v>9.0619999999999994</v>
      </c>
      <c r="AO103" s="34">
        <v>8.7270000000000003</v>
      </c>
      <c r="AP103" s="34">
        <v>12.27</v>
      </c>
      <c r="AQ103" s="34">
        <f>SUM(AM103:AP103)</f>
        <v>37.608000000000004</v>
      </c>
      <c r="AR103" s="53"/>
      <c r="AS103" s="34">
        <v>8.3670000000000009</v>
      </c>
      <c r="AT103" s="34">
        <v>10.407999999999999</v>
      </c>
      <c r="AU103" s="34">
        <v>10.395</v>
      </c>
      <c r="AV103" s="34">
        <v>13.965999999999999</v>
      </c>
      <c r="AW103" s="342">
        <f>SUM(AS103:AV103)</f>
        <v>43.135999999999996</v>
      </c>
      <c r="AX103" s="53"/>
      <c r="AY103" s="342"/>
      <c r="AZ103" s="342"/>
      <c r="BA103" s="342"/>
      <c r="BB103" s="342"/>
      <c r="BC103" s="342"/>
      <c r="BD103" s="53"/>
      <c r="BE103" s="342"/>
      <c r="BF103" s="342"/>
      <c r="BG103" s="342"/>
      <c r="BH103" s="342"/>
      <c r="BI103" s="342"/>
      <c r="BJ103" s="53"/>
      <c r="BK103" s="342"/>
      <c r="BL103" s="342"/>
      <c r="BM103" s="342"/>
      <c r="BN103" s="342"/>
      <c r="BO103" s="342"/>
      <c r="BP103" s="53"/>
      <c r="BQ103" s="342"/>
      <c r="BR103" s="342"/>
      <c r="BS103" s="342"/>
      <c r="BT103" s="342"/>
      <c r="BU103" s="342"/>
      <c r="BV103" s="53"/>
      <c r="BW103" s="342"/>
      <c r="BX103" s="342"/>
      <c r="BY103" s="342"/>
      <c r="BZ103" s="342"/>
      <c r="CA103" s="342"/>
      <c r="CB103" s="53"/>
      <c r="CC103" s="342"/>
      <c r="CD103" s="342"/>
      <c r="CE103" s="342"/>
      <c r="CF103" s="342"/>
      <c r="CG103" s="147"/>
      <c r="CH103" s="53"/>
      <c r="CI103" s="342"/>
      <c r="CJ103" s="342"/>
      <c r="CK103" s="342"/>
      <c r="CL103" s="342"/>
      <c r="CM103" s="147"/>
      <c r="CN103" s="53"/>
      <c r="CO103" s="342"/>
      <c r="CP103" s="342"/>
      <c r="CQ103" s="342"/>
      <c r="CR103" s="342"/>
      <c r="CS103" s="147"/>
      <c r="CT103" s="53"/>
      <c r="CU103" s="342"/>
      <c r="CV103" s="342"/>
      <c r="CW103" s="342"/>
      <c r="CX103" s="342"/>
      <c r="CY103" s="147"/>
      <c r="CZ103" s="53"/>
      <c r="DA103" s="342"/>
      <c r="DB103" s="342"/>
      <c r="DC103" s="342"/>
      <c r="DD103" s="342"/>
      <c r="DE103" s="147"/>
      <c r="DF103" s="53"/>
      <c r="DG103" s="342"/>
      <c r="DH103" s="342"/>
      <c r="DI103" s="342"/>
      <c r="DJ103" s="342"/>
      <c r="DK103" s="147"/>
      <c r="DL103" s="53"/>
      <c r="DM103" s="342"/>
      <c r="DN103" s="342"/>
      <c r="DO103" s="342"/>
      <c r="DP103" s="342"/>
      <c r="DQ103" s="147"/>
      <c r="DR103" s="53"/>
      <c r="DS103" s="342"/>
      <c r="DT103" s="342"/>
      <c r="DU103" s="342"/>
      <c r="DV103" s="342"/>
      <c r="DW103" s="147"/>
      <c r="DX103" s="53"/>
      <c r="DY103" s="342"/>
      <c r="DZ103" s="342"/>
      <c r="EA103" s="342"/>
      <c r="EB103" s="342"/>
      <c r="EC103" s="147"/>
      <c r="ED103" s="53"/>
      <c r="EE103" s="342"/>
      <c r="EF103" s="342"/>
      <c r="EG103" s="342"/>
      <c r="EH103" s="342"/>
      <c r="EI103" s="147"/>
      <c r="EJ103" s="53"/>
      <c r="EK103" s="342"/>
      <c r="EL103" s="342"/>
      <c r="EM103" s="342"/>
      <c r="EN103" s="342"/>
      <c r="EO103" s="147"/>
      <c r="EP103" s="53"/>
      <c r="EQ103" s="342"/>
      <c r="ER103" s="342"/>
      <c r="ES103" s="342"/>
      <c r="ET103" s="342"/>
      <c r="EU103" s="147"/>
      <c r="EV103" s="53"/>
      <c r="EW103" s="342"/>
      <c r="EX103" s="342"/>
      <c r="EY103" s="342"/>
      <c r="EZ103" s="342"/>
      <c r="FA103" s="147"/>
      <c r="FB103" s="53"/>
      <c r="FC103" s="342"/>
      <c r="FD103" s="342"/>
      <c r="FE103" s="342"/>
      <c r="FF103" s="342"/>
      <c r="FG103" s="147"/>
      <c r="FH103" s="53"/>
      <c r="FI103" s="342"/>
      <c r="FJ103" s="342"/>
      <c r="FK103" s="342"/>
      <c r="FL103" s="342"/>
      <c r="FM103" s="147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</row>
    <row r="104" spans="1:274" s="24" customFormat="1" hidden="1" outlineLevel="1" x14ac:dyDescent="0.2">
      <c r="A104" s="244" t="s">
        <v>109</v>
      </c>
      <c r="B104" s="1064"/>
      <c r="C104" s="101" t="s">
        <v>945</v>
      </c>
      <c r="D104" s="101" t="s">
        <v>945</v>
      </c>
      <c r="E104" s="101" t="s">
        <v>945</v>
      </c>
      <c r="F104" s="101" t="s">
        <v>945</v>
      </c>
      <c r="G104" s="101" t="s">
        <v>945</v>
      </c>
      <c r="H104" s="101" t="s">
        <v>945</v>
      </c>
      <c r="I104" s="101" t="s">
        <v>945</v>
      </c>
      <c r="J104" s="101" t="s">
        <v>945</v>
      </c>
      <c r="K104" s="101" t="s">
        <v>945</v>
      </c>
      <c r="L104" s="101" t="s">
        <v>945</v>
      </c>
      <c r="M104" s="101" t="s">
        <v>945</v>
      </c>
      <c r="N104" s="244"/>
      <c r="O104" s="101" t="s">
        <v>945</v>
      </c>
      <c r="P104" s="101" t="s">
        <v>945</v>
      </c>
      <c r="Q104" s="101" t="s">
        <v>945</v>
      </c>
      <c r="R104" s="101" t="s">
        <v>945</v>
      </c>
      <c r="S104" s="101" t="s">
        <v>945</v>
      </c>
      <c r="T104" s="244"/>
      <c r="U104" s="101" t="s">
        <v>945</v>
      </c>
      <c r="V104" s="101" t="s">
        <v>945</v>
      </c>
      <c r="W104" s="101" t="s">
        <v>945</v>
      </c>
      <c r="X104" s="101" t="s">
        <v>945</v>
      </c>
      <c r="Y104" s="101" t="s">
        <v>945</v>
      </c>
      <c r="Z104" s="170"/>
      <c r="AA104" s="244">
        <f>SUM(AA102:AA103)</f>
        <v>89.233999999999995</v>
      </c>
      <c r="AB104" s="244">
        <f>SUM(AB102:AB103)</f>
        <v>128.89699999999999</v>
      </c>
      <c r="AC104" s="244">
        <f>SUM(AC102:AC103)</f>
        <v>117.289</v>
      </c>
      <c r="AD104" s="244">
        <f>SUM(AD102:AD103)</f>
        <v>136.96199999999999</v>
      </c>
      <c r="AE104" s="244">
        <f>SUM(AE102:AE103)</f>
        <v>472.38200000000001</v>
      </c>
      <c r="AF104" s="170"/>
      <c r="AG104" s="244">
        <f>85.703+12.307</f>
        <v>98.01</v>
      </c>
      <c r="AH104" s="244">
        <f>97.095+11.142</f>
        <v>108.23699999999999</v>
      </c>
      <c r="AI104" s="244">
        <f>75.471+10.349</f>
        <v>85.820000000000007</v>
      </c>
      <c r="AJ104" s="244">
        <f>87.151+9.577</f>
        <v>96.727999999999994</v>
      </c>
      <c r="AK104" s="244">
        <f>SUM(AG104:AJ104)</f>
        <v>388.79500000000002</v>
      </c>
      <c r="AL104" s="170"/>
      <c r="AM104" s="244">
        <f>76.225+7.549</f>
        <v>83.774000000000001</v>
      </c>
      <c r="AN104" s="244">
        <f>103.484+9.062</f>
        <v>112.54599999999999</v>
      </c>
      <c r="AO104" s="244">
        <f>101.215+8.727</f>
        <v>109.94200000000001</v>
      </c>
      <c r="AP104" s="244">
        <f>130.971+12.27</f>
        <v>143.24100000000001</v>
      </c>
      <c r="AQ104" s="244">
        <f>SUM(AM104:AP104)</f>
        <v>449.50300000000004</v>
      </c>
      <c r="AR104" s="170"/>
      <c r="AS104" s="244">
        <f>98.36+8.367</f>
        <v>106.727</v>
      </c>
      <c r="AT104" s="244">
        <f>133.863+10.408</f>
        <v>144.27099999999999</v>
      </c>
      <c r="AU104" s="244">
        <f>131.62+10.395</f>
        <v>142.01500000000001</v>
      </c>
      <c r="AV104" s="244">
        <f>183.102+13.966</f>
        <v>197.06800000000001</v>
      </c>
      <c r="AW104" s="244">
        <f>SUM(AS104:AV104)</f>
        <v>590.08100000000002</v>
      </c>
      <c r="AX104" s="170"/>
      <c r="AY104" s="244">
        <v>147.858</v>
      </c>
      <c r="AZ104" s="244">
        <v>190.43</v>
      </c>
      <c r="BA104" s="244">
        <v>169.369</v>
      </c>
      <c r="BB104" s="244">
        <v>208.97300000000001</v>
      </c>
      <c r="BC104" s="244">
        <f>SUM(AY104:BB104)</f>
        <v>716.63000000000011</v>
      </c>
      <c r="BD104" s="170"/>
      <c r="BE104" s="244">
        <v>167.845</v>
      </c>
      <c r="BF104" s="244">
        <v>155.73099999999999</v>
      </c>
      <c r="BG104" s="244">
        <v>111.20399999999999</v>
      </c>
      <c r="BH104" s="244">
        <v>150.86799999999999</v>
      </c>
      <c r="BI104" s="244">
        <f>SUM(BE104:BH104)</f>
        <v>585.64800000000002</v>
      </c>
      <c r="BJ104" s="170"/>
      <c r="BK104" s="244">
        <v>94.674999999999997</v>
      </c>
      <c r="BL104" s="244">
        <v>129.124</v>
      </c>
      <c r="BM104" s="244">
        <v>121.444</v>
      </c>
      <c r="BN104" s="244">
        <v>172.00700000000001</v>
      </c>
      <c r="BO104" s="244">
        <f>SUM(BK104:BN104)</f>
        <v>517.25</v>
      </c>
      <c r="BP104" s="170"/>
      <c r="BQ104" s="244">
        <v>103</v>
      </c>
      <c r="BR104" s="244">
        <v>150</v>
      </c>
      <c r="BS104" s="244">
        <v>156</v>
      </c>
      <c r="BT104" s="244">
        <v>201</v>
      </c>
      <c r="BU104" s="244">
        <f>SUM(BQ104:BT104)</f>
        <v>610</v>
      </c>
      <c r="BV104" s="170"/>
      <c r="BW104" s="101">
        <f t="shared" ref="BW104:BZ105" si="225">BW119-BW74-BW89</f>
        <v>139</v>
      </c>
      <c r="BX104" s="101">
        <f t="shared" si="225"/>
        <v>167</v>
      </c>
      <c r="BY104" s="101">
        <f t="shared" si="225"/>
        <v>181</v>
      </c>
      <c r="BZ104" s="101">
        <f t="shared" si="225"/>
        <v>234</v>
      </c>
      <c r="CA104" s="244">
        <f>SUM(BW104:BZ104)</f>
        <v>721</v>
      </c>
      <c r="CB104" s="170"/>
      <c r="CC104" s="101">
        <v>134</v>
      </c>
      <c r="CD104" s="101">
        <v>175.5</v>
      </c>
      <c r="CE104" s="101">
        <v>169.5</v>
      </c>
      <c r="CF104" s="101">
        <v>292</v>
      </c>
      <c r="CG104" s="171">
        <f>SUM(CC104:CF104)</f>
        <v>771</v>
      </c>
      <c r="CH104" s="170"/>
      <c r="CI104" s="101">
        <v>149</v>
      </c>
      <c r="CJ104" s="101">
        <v>185</v>
      </c>
      <c r="CK104" s="101">
        <v>213</v>
      </c>
      <c r="CL104" s="101">
        <v>322</v>
      </c>
      <c r="CM104" s="171">
        <f>SUM(CI104:CL104)</f>
        <v>869</v>
      </c>
      <c r="CN104" s="170"/>
      <c r="CO104" s="101">
        <v>156</v>
      </c>
      <c r="CP104" s="101">
        <v>245</v>
      </c>
      <c r="CQ104" s="101">
        <v>233</v>
      </c>
      <c r="CR104" s="101">
        <v>343</v>
      </c>
      <c r="CS104" s="171">
        <f>SUM(CO104:CR104)</f>
        <v>977</v>
      </c>
      <c r="CT104" s="170"/>
      <c r="CU104" s="101">
        <v>226</v>
      </c>
      <c r="CV104" s="101">
        <v>255</v>
      </c>
      <c r="CW104" s="101">
        <f>CW119-CW74-CW89</f>
        <v>225</v>
      </c>
      <c r="CX104" s="101">
        <v>340</v>
      </c>
      <c r="CY104" s="171">
        <f>SUM(CU104:CX104)</f>
        <v>1046</v>
      </c>
      <c r="CZ104" s="170"/>
      <c r="DA104" s="101">
        <v>177</v>
      </c>
      <c r="DB104" s="101">
        <v>254</v>
      </c>
      <c r="DC104" s="101">
        <v>245</v>
      </c>
      <c r="DD104" s="101">
        <f>DD119-DD74-DD89</f>
        <v>406</v>
      </c>
      <c r="DE104" s="171">
        <f>SUM(DA104:DD104)</f>
        <v>1082</v>
      </c>
      <c r="DF104" s="170"/>
      <c r="DG104" s="101">
        <f t="shared" ref="DG104:DI105" si="226">DG119-DG74-DG89</f>
        <v>212</v>
      </c>
      <c r="DH104" s="101">
        <f t="shared" si="226"/>
        <v>323</v>
      </c>
      <c r="DI104" s="101">
        <f t="shared" si="226"/>
        <v>315</v>
      </c>
      <c r="DJ104" s="101">
        <f>DJ119-DJ74-DJ89</f>
        <v>485</v>
      </c>
      <c r="DK104" s="171">
        <f>SUM(DG104:DJ104)</f>
        <v>1335</v>
      </c>
      <c r="DL104" s="170"/>
      <c r="DM104" s="101">
        <v>270</v>
      </c>
      <c r="DN104" s="101">
        <v>367</v>
      </c>
      <c r="DO104" s="101">
        <f>DO119-DO74-DO89</f>
        <v>373</v>
      </c>
      <c r="DP104" s="101">
        <f>DP119-DP74-DP89</f>
        <v>535</v>
      </c>
      <c r="DQ104" s="171">
        <f>SUM(DM104:DP104)</f>
        <v>1545</v>
      </c>
      <c r="DR104" s="170"/>
      <c r="DS104" s="838">
        <f t="shared" ref="DS104:DV105" si="227">DS119-DS74-DS89</f>
        <v>278.10000000000008</v>
      </c>
      <c r="DT104" s="838">
        <f t="shared" si="227"/>
        <v>407.37</v>
      </c>
      <c r="DU104" s="838">
        <f t="shared" si="227"/>
        <v>391.65000000000009</v>
      </c>
      <c r="DV104" s="838">
        <f t="shared" si="227"/>
        <v>593.85000000000014</v>
      </c>
      <c r="DW104" s="171">
        <f>SUM(DS104:DV104)</f>
        <v>1670.9700000000003</v>
      </c>
      <c r="DX104" s="170"/>
      <c r="DY104" s="838">
        <f t="shared" ref="DY104:EB105" si="228">DY119-DY74-DY89</f>
        <v>308.6910000000002</v>
      </c>
      <c r="DZ104" s="838">
        <f t="shared" si="228"/>
        <v>413.48054999999994</v>
      </c>
      <c r="EA104" s="838">
        <f t="shared" si="228"/>
        <v>419.06550000000027</v>
      </c>
      <c r="EB104" s="838">
        <f t="shared" si="228"/>
        <v>595.03770000000043</v>
      </c>
      <c r="EC104" s="171">
        <f>SUM(DY104:EB104)</f>
        <v>1736.2747500000009</v>
      </c>
      <c r="ED104" s="170"/>
      <c r="EE104" s="838">
        <f t="shared" ref="EE104:EH105" si="229">EE119-EE74-EE89</f>
        <v>305.6040900000001</v>
      </c>
      <c r="EF104" s="838">
        <f t="shared" si="229"/>
        <v>417.61535549999979</v>
      </c>
      <c r="EG104" s="838">
        <f t="shared" si="229"/>
        <v>414.87484500000028</v>
      </c>
      <c r="EH104" s="838">
        <f t="shared" si="229"/>
        <v>583.13694600000065</v>
      </c>
      <c r="EI104" s="171">
        <f>SUM(EE104:EH104)</f>
        <v>1721.2312365000007</v>
      </c>
      <c r="EJ104" s="170"/>
      <c r="EK104" s="838">
        <f>EK119-EK74-EK89</f>
        <v>301.02002865000014</v>
      </c>
      <c r="EL104" s="838">
        <f t="shared" ref="EL104:EN105" si="230">EL119-EL74-EL89</f>
        <v>411.35112516749979</v>
      </c>
      <c r="EM104" s="838">
        <f t="shared" si="230"/>
        <v>408.65172232500038</v>
      </c>
      <c r="EN104" s="838">
        <f t="shared" si="230"/>
        <v>574.38989181000068</v>
      </c>
      <c r="EO104" s="171">
        <f>SUM(EK104:EN104)</f>
        <v>1695.4127679525009</v>
      </c>
      <c r="EP104" s="170"/>
      <c r="EQ104" s="838">
        <f>EQ119-EQ74-EQ89</f>
        <v>296.50472822025029</v>
      </c>
      <c r="ER104" s="838">
        <f t="shared" ref="ER104:ET104" si="231">ER119-ER74-ER89</f>
        <v>419.57814767084977</v>
      </c>
      <c r="ES104" s="838">
        <f t="shared" si="231"/>
        <v>418.86801538312545</v>
      </c>
      <c r="ET104" s="838">
        <f t="shared" si="231"/>
        <v>565.7740434328507</v>
      </c>
      <c r="EU104" s="171">
        <f>SUM(EQ104:ET104)</f>
        <v>1700.724934707076</v>
      </c>
      <c r="EV104" s="170"/>
      <c r="EW104" s="838">
        <f t="shared" ref="EW104:EZ105" si="232">EW119-EW74-EW89</f>
        <v>292.05715729694651</v>
      </c>
      <c r="EX104" s="838">
        <f t="shared" si="232"/>
        <v>444.7528365311008</v>
      </c>
      <c r="EY104" s="838">
        <f t="shared" ref="EY104" si="233">EY119-EY74-EY89</f>
        <v>452.37745661377551</v>
      </c>
      <c r="EZ104" s="838">
        <f t="shared" si="232"/>
        <v>579.91839451867213</v>
      </c>
      <c r="FA104" s="171">
        <f>SUM(EW104:EZ104)</f>
        <v>1769.105844960495</v>
      </c>
      <c r="FB104" s="170"/>
      <c r="FC104" s="838">
        <f t="shared" ref="FC104:FF105" si="234">FC119-FC74-FC89</f>
        <v>299.35858622937025</v>
      </c>
      <c r="FD104" s="838">
        <f t="shared" si="234"/>
        <v>455.87165744437823</v>
      </c>
      <c r="FE104" s="838">
        <f t="shared" si="234"/>
        <v>463.68689302911991</v>
      </c>
      <c r="FF104" s="838">
        <f t="shared" si="234"/>
        <v>594.41635438163894</v>
      </c>
      <c r="FG104" s="171">
        <f>SUM(FC104:FF104)</f>
        <v>1813.3334910845074</v>
      </c>
      <c r="FH104" s="170"/>
      <c r="FI104" s="838">
        <f t="shared" ref="FI104:FL104" si="235">FI119-FI74-FI89</f>
        <v>306.84255088510452</v>
      </c>
      <c r="FJ104" s="838">
        <f t="shared" si="235"/>
        <v>467.26844888048754</v>
      </c>
      <c r="FK104" s="838">
        <f t="shared" si="235"/>
        <v>475.27906535484806</v>
      </c>
      <c r="FL104" s="838">
        <f t="shared" si="235"/>
        <v>609.27676324117999</v>
      </c>
      <c r="FM104" s="171">
        <f>SUM(FI104:FL104)</f>
        <v>1858.66682836162</v>
      </c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</row>
    <row r="105" spans="1:274" s="24" customFormat="1" hidden="1" outlineLevel="1" x14ac:dyDescent="0.2">
      <c r="A105" s="244" t="s">
        <v>697</v>
      </c>
      <c r="B105" s="1065"/>
      <c r="C105" s="101" t="s">
        <v>945</v>
      </c>
      <c r="D105" s="101" t="s">
        <v>945</v>
      </c>
      <c r="E105" s="101" t="s">
        <v>945</v>
      </c>
      <c r="F105" s="101" t="s">
        <v>945</v>
      </c>
      <c r="G105" s="101" t="s">
        <v>945</v>
      </c>
      <c r="H105" s="101" t="s">
        <v>945</v>
      </c>
      <c r="I105" s="101" t="s">
        <v>945</v>
      </c>
      <c r="J105" s="101" t="s">
        <v>945</v>
      </c>
      <c r="K105" s="101" t="s">
        <v>945</v>
      </c>
      <c r="L105" s="101" t="s">
        <v>945</v>
      </c>
      <c r="M105" s="101" t="s">
        <v>945</v>
      </c>
      <c r="N105" s="244"/>
      <c r="O105" s="101" t="s">
        <v>945</v>
      </c>
      <c r="P105" s="101" t="s">
        <v>945</v>
      </c>
      <c r="Q105" s="101" t="s">
        <v>945</v>
      </c>
      <c r="R105" s="101" t="s">
        <v>945</v>
      </c>
      <c r="S105" s="101" t="s">
        <v>945</v>
      </c>
      <c r="T105" s="244"/>
      <c r="U105" s="101" t="s">
        <v>945</v>
      </c>
      <c r="V105" s="101" t="s">
        <v>945</v>
      </c>
      <c r="W105" s="101" t="s">
        <v>945</v>
      </c>
      <c r="X105" s="101" t="s">
        <v>945</v>
      </c>
      <c r="Y105" s="101" t="s">
        <v>945</v>
      </c>
      <c r="Z105" s="170"/>
      <c r="AA105" s="244">
        <v>4.9859999999999998</v>
      </c>
      <c r="AB105" s="244">
        <v>6.4690000000000003</v>
      </c>
      <c r="AC105" s="244">
        <v>5.8869999999999996</v>
      </c>
      <c r="AD105" s="244">
        <v>12.326000000000001</v>
      </c>
      <c r="AE105" s="244">
        <f>SUM(AA105:AD105)</f>
        <v>29.667999999999999</v>
      </c>
      <c r="AF105" s="170"/>
      <c r="AG105" s="244">
        <f>16.664</f>
        <v>16.664000000000001</v>
      </c>
      <c r="AH105" s="244">
        <v>6.3369999999999997</v>
      </c>
      <c r="AI105" s="244">
        <v>6.4729999999999999</v>
      </c>
      <c r="AJ105" s="244">
        <v>7.1020000000000003</v>
      </c>
      <c r="AK105" s="244">
        <f>SUM(AG105:AJ105)</f>
        <v>36.576000000000001</v>
      </c>
      <c r="AL105" s="170"/>
      <c r="AM105" s="244">
        <v>7.11</v>
      </c>
      <c r="AN105" s="244">
        <v>8.2059999999999995</v>
      </c>
      <c r="AO105" s="244">
        <v>6.931</v>
      </c>
      <c r="AP105" s="244">
        <v>15.529</v>
      </c>
      <c r="AQ105" s="244">
        <f>SUM(AM105:AP105)</f>
        <v>37.775999999999996</v>
      </c>
      <c r="AR105" s="170"/>
      <c r="AS105" s="244">
        <v>10.167999999999999</v>
      </c>
      <c r="AT105" s="244">
        <v>15.959</v>
      </c>
      <c r="AU105" s="244">
        <v>11.821999999999999</v>
      </c>
      <c r="AV105" s="244">
        <v>27.579000000000001</v>
      </c>
      <c r="AW105" s="244">
        <f>SUM(AS105:AV105)</f>
        <v>65.527999999999992</v>
      </c>
      <c r="AX105" s="170"/>
      <c r="AY105" s="244">
        <v>13.497</v>
      </c>
      <c r="AZ105" s="244">
        <v>28.873999999999999</v>
      </c>
      <c r="BA105" s="244">
        <v>18.256</v>
      </c>
      <c r="BB105" s="244">
        <v>39.079000000000001</v>
      </c>
      <c r="BC105" s="244">
        <f>SUM(AY105:BB105)</f>
        <v>99.705999999999989</v>
      </c>
      <c r="BD105" s="170"/>
      <c r="BE105" s="244">
        <v>11.079000000000001</v>
      </c>
      <c r="BF105" s="244">
        <v>22.315999999999999</v>
      </c>
      <c r="BG105" s="244">
        <v>13.61</v>
      </c>
      <c r="BH105" s="244">
        <v>29.49</v>
      </c>
      <c r="BI105" s="244">
        <f>SUM(BE105:BH105)</f>
        <v>76.49499999999999</v>
      </c>
      <c r="BJ105" s="170"/>
      <c r="BK105" s="244">
        <v>20.795000000000002</v>
      </c>
      <c r="BL105" s="244">
        <v>15.32</v>
      </c>
      <c r="BM105" s="244">
        <v>18.510000000000002</v>
      </c>
      <c r="BN105" s="244">
        <v>37.222000000000001</v>
      </c>
      <c r="BO105" s="244">
        <f>SUM(BK105:BN105)</f>
        <v>91.847000000000008</v>
      </c>
      <c r="BP105" s="170"/>
      <c r="BQ105" s="244">
        <v>11</v>
      </c>
      <c r="BR105" s="244">
        <v>13</v>
      </c>
      <c r="BS105" s="244">
        <v>14</v>
      </c>
      <c r="BT105" s="244">
        <v>25</v>
      </c>
      <c r="BU105" s="244">
        <f>SUM(BQ105:BT105)</f>
        <v>63</v>
      </c>
      <c r="BV105" s="170"/>
      <c r="BW105" s="101">
        <f t="shared" si="225"/>
        <v>11</v>
      </c>
      <c r="BX105" s="101">
        <f t="shared" si="225"/>
        <v>19</v>
      </c>
      <c r="BY105" s="101">
        <f t="shared" si="225"/>
        <v>16.599999999999994</v>
      </c>
      <c r="BZ105" s="101">
        <f t="shared" si="225"/>
        <v>45</v>
      </c>
      <c r="CA105" s="244">
        <f>SUM(BW105:BZ105)</f>
        <v>91.6</v>
      </c>
      <c r="CB105" s="170"/>
      <c r="CC105" s="101">
        <v>14</v>
      </c>
      <c r="CD105" s="101">
        <v>27.5</v>
      </c>
      <c r="CE105" s="101">
        <v>25.2</v>
      </c>
      <c r="CF105" s="101">
        <v>88</v>
      </c>
      <c r="CG105" s="171">
        <f>SUM(CC105:CF105)</f>
        <v>154.69999999999999</v>
      </c>
      <c r="CH105" s="170"/>
      <c r="CI105" s="101">
        <v>33</v>
      </c>
      <c r="CJ105" s="101">
        <v>44</v>
      </c>
      <c r="CK105" s="101">
        <v>49</v>
      </c>
      <c r="CL105" s="101">
        <v>87</v>
      </c>
      <c r="CM105" s="171">
        <f>SUM(CI105:CL105)</f>
        <v>213</v>
      </c>
      <c r="CN105" s="170"/>
      <c r="CO105" s="101">
        <v>54</v>
      </c>
      <c r="CP105" s="101">
        <v>73</v>
      </c>
      <c r="CQ105" s="101">
        <f>CQ120-CQ75-CQ90</f>
        <v>58</v>
      </c>
      <c r="CR105" s="101">
        <v>120</v>
      </c>
      <c r="CS105" s="171">
        <f>SUM(CO105:CR105)</f>
        <v>305</v>
      </c>
      <c r="CT105" s="170"/>
      <c r="CU105" s="101">
        <v>55</v>
      </c>
      <c r="CV105" s="101">
        <v>63.4</v>
      </c>
      <c r="CW105" s="101">
        <f>CW120-CW75-CW90</f>
        <v>47</v>
      </c>
      <c r="CX105" s="101">
        <v>107</v>
      </c>
      <c r="CY105" s="171">
        <f>SUM(CU105:CX105)</f>
        <v>272.39999999999998</v>
      </c>
      <c r="CZ105" s="170"/>
      <c r="DA105" s="101">
        <v>42</v>
      </c>
      <c r="DB105" s="101">
        <v>73</v>
      </c>
      <c r="DC105" s="101">
        <v>60</v>
      </c>
      <c r="DD105" s="101">
        <f>DD120-DD75-DD90</f>
        <v>109</v>
      </c>
      <c r="DE105" s="171">
        <f>SUM(DA105:DD105)</f>
        <v>284</v>
      </c>
      <c r="DF105" s="170"/>
      <c r="DG105" s="101">
        <f t="shared" si="226"/>
        <v>64</v>
      </c>
      <c r="DH105" s="101">
        <f t="shared" si="226"/>
        <v>72</v>
      </c>
      <c r="DI105" s="101">
        <f t="shared" si="226"/>
        <v>87</v>
      </c>
      <c r="DJ105" s="101">
        <f>DJ120-DJ75-DJ90</f>
        <v>154</v>
      </c>
      <c r="DK105" s="171">
        <f>SUM(DG105:DJ105)</f>
        <v>377</v>
      </c>
      <c r="DL105" s="170"/>
      <c r="DM105" s="101">
        <v>61</v>
      </c>
      <c r="DN105" s="101">
        <v>70</v>
      </c>
      <c r="DO105" s="101">
        <f>DO120-DO75-DO90</f>
        <v>80</v>
      </c>
      <c r="DP105" s="101">
        <f>DP120-DP75-DP90</f>
        <v>180</v>
      </c>
      <c r="DQ105" s="171">
        <f>SUM(DM105:DP105)</f>
        <v>391</v>
      </c>
      <c r="DR105" s="170"/>
      <c r="DS105" s="838">
        <f t="shared" si="227"/>
        <v>92.544693219779219</v>
      </c>
      <c r="DT105" s="838">
        <f t="shared" si="227"/>
        <v>109.15254686950402</v>
      </c>
      <c r="DU105" s="838">
        <f t="shared" si="227"/>
        <v>81.270933207986928</v>
      </c>
      <c r="DV105" s="838">
        <f t="shared" si="227"/>
        <v>165.17047008943973</v>
      </c>
      <c r="DW105" s="171">
        <f>SUM(DS105:DV105)</f>
        <v>448.13864338670987</v>
      </c>
      <c r="DX105" s="170"/>
      <c r="DY105" s="838">
        <f t="shared" si="228"/>
        <v>85.604415494322012</v>
      </c>
      <c r="DZ105" s="838">
        <f t="shared" si="228"/>
        <v>104.70585224423803</v>
      </c>
      <c r="EA105" s="838">
        <f t="shared" si="228"/>
        <v>79.249280912489354</v>
      </c>
      <c r="EB105" s="838">
        <f t="shared" si="228"/>
        <v>175.57297135585304</v>
      </c>
      <c r="EC105" s="171">
        <f>SUM(DY105:EB105)</f>
        <v>445.13252000690244</v>
      </c>
      <c r="ED105" s="170"/>
      <c r="EE105" s="838">
        <f t="shared" si="229"/>
        <v>99.087534745019298</v>
      </c>
      <c r="EF105" s="838">
        <f t="shared" si="229"/>
        <v>121.25201629626142</v>
      </c>
      <c r="EG105" s="838">
        <f t="shared" si="229"/>
        <v>86.542778528560831</v>
      </c>
      <c r="EH105" s="838">
        <f t="shared" si="229"/>
        <v>132.16539360406489</v>
      </c>
      <c r="EI105" s="171">
        <f>SUM(EE105:EH105)</f>
        <v>439.04772317390643</v>
      </c>
      <c r="EJ105" s="170"/>
      <c r="EK105" s="838">
        <f>EK120-EK75-EK90</f>
        <v>103.84682901424475</v>
      </c>
      <c r="EL105" s="838">
        <f t="shared" si="230"/>
        <v>105.28022208747242</v>
      </c>
      <c r="EM105" s="838">
        <f t="shared" si="230"/>
        <v>82.423323185516566</v>
      </c>
      <c r="EN105" s="838">
        <f t="shared" si="230"/>
        <v>125.26774363586929</v>
      </c>
      <c r="EO105" s="171">
        <f>SUM(EK105:EN105)</f>
        <v>416.81811792310305</v>
      </c>
      <c r="EP105" s="170"/>
      <c r="EQ105" s="838">
        <f>EQ120-EQ75-EQ90</f>
        <v>155.00023285291516</v>
      </c>
      <c r="ER105" s="838">
        <f t="shared" ref="ER105:ET105" si="236">ER120-ER75-ER90</f>
        <v>117.67145793367811</v>
      </c>
      <c r="ES105" s="838">
        <f t="shared" si="236"/>
        <v>114.60991975389419</v>
      </c>
      <c r="ET105" s="838">
        <f t="shared" si="236"/>
        <v>207.40573760352487</v>
      </c>
      <c r="EU105" s="171">
        <f>SUM(EQ105:ET105)</f>
        <v>594.68734814401228</v>
      </c>
      <c r="EV105" s="170"/>
      <c r="EW105" s="838">
        <f t="shared" si="232"/>
        <v>237.08680256766468</v>
      </c>
      <c r="EX105" s="838">
        <f t="shared" si="232"/>
        <v>169.83011802092275</v>
      </c>
      <c r="EY105" s="838">
        <f t="shared" ref="EY105" si="237">EY120-EY75-EY90</f>
        <v>128.18692894131405</v>
      </c>
      <c r="EZ105" s="838">
        <f t="shared" si="232"/>
        <v>206.75274294609392</v>
      </c>
      <c r="FA105" s="171">
        <f>SUM(EW105:EZ105)</f>
        <v>741.8565924759954</v>
      </c>
      <c r="FB105" s="170"/>
      <c r="FC105" s="838">
        <f t="shared" si="234"/>
        <v>280.25276871224776</v>
      </c>
      <c r="FD105" s="838">
        <f t="shared" si="234"/>
        <v>205.85446469013249</v>
      </c>
      <c r="FE105" s="838">
        <f t="shared" si="234"/>
        <v>165.31814324435101</v>
      </c>
      <c r="FF105" s="838">
        <f t="shared" si="234"/>
        <v>234.04626323162501</v>
      </c>
      <c r="FG105" s="171">
        <f>SUM(FC105:FF105)</f>
        <v>885.4716398783562</v>
      </c>
      <c r="FH105" s="170"/>
      <c r="FI105" s="838">
        <f t="shared" ref="FI105:FL105" si="238">FI120-FI75-FI90</f>
        <v>337.43997832299323</v>
      </c>
      <c r="FJ105" s="838">
        <f t="shared" si="238"/>
        <v>250.54185684848744</v>
      </c>
      <c r="FK105" s="838">
        <f t="shared" si="238"/>
        <v>206.5094408473517</v>
      </c>
      <c r="FL105" s="838">
        <f t="shared" si="238"/>
        <v>268.79216449904237</v>
      </c>
      <c r="FM105" s="171">
        <f>SUM(FI105:FL105)</f>
        <v>1063.2834405178749</v>
      </c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</row>
    <row r="106" spans="1:274" s="24" customFormat="1" collapsed="1" x14ac:dyDescent="0.2">
      <c r="A106" s="244" t="s">
        <v>698</v>
      </c>
      <c r="B106" s="441"/>
      <c r="C106" s="101" t="s">
        <v>945</v>
      </c>
      <c r="D106" s="101" t="s">
        <v>945</v>
      </c>
      <c r="E106" s="101" t="s">
        <v>945</v>
      </c>
      <c r="F106" s="101" t="s">
        <v>945</v>
      </c>
      <c r="G106" s="101" t="s">
        <v>945</v>
      </c>
      <c r="H106" s="101" t="s">
        <v>945</v>
      </c>
      <c r="I106" s="101" t="s">
        <v>945</v>
      </c>
      <c r="J106" s="101" t="s">
        <v>945</v>
      </c>
      <c r="K106" s="101" t="s">
        <v>945</v>
      </c>
      <c r="L106" s="101" t="s">
        <v>945</v>
      </c>
      <c r="M106" s="101" t="s">
        <v>945</v>
      </c>
      <c r="N106" s="244"/>
      <c r="O106" s="101" t="s">
        <v>945</v>
      </c>
      <c r="P106" s="101" t="s">
        <v>945</v>
      </c>
      <c r="Q106" s="101" t="s">
        <v>945</v>
      </c>
      <c r="R106" s="101" t="s">
        <v>945</v>
      </c>
      <c r="S106" s="101" t="s">
        <v>945</v>
      </c>
      <c r="T106" s="244"/>
      <c r="U106" s="101" t="s">
        <v>945</v>
      </c>
      <c r="V106" s="101" t="s">
        <v>945</v>
      </c>
      <c r="W106" s="101" t="s">
        <v>945</v>
      </c>
      <c r="X106" s="101" t="s">
        <v>945</v>
      </c>
      <c r="Y106" s="101" t="s">
        <v>945</v>
      </c>
      <c r="Z106" s="170"/>
      <c r="AA106" s="244">
        <f>SUM(AA104:AA105)</f>
        <v>94.22</v>
      </c>
      <c r="AB106" s="244">
        <f>SUM(AB104:AB105)</f>
        <v>135.36599999999999</v>
      </c>
      <c r="AC106" s="244">
        <f>SUM(AC104:AC105)</f>
        <v>123.176</v>
      </c>
      <c r="AD106" s="244">
        <f>SUM(AD104:AD105)</f>
        <v>149.28799999999998</v>
      </c>
      <c r="AE106" s="244">
        <f>SUM(AE104:AE105)</f>
        <v>502.05</v>
      </c>
      <c r="AF106" s="170"/>
      <c r="AG106" s="244">
        <f>SUM(AG104:AG105)</f>
        <v>114.67400000000001</v>
      </c>
      <c r="AH106" s="244">
        <f>SUM(AH104:AH105)</f>
        <v>114.574</v>
      </c>
      <c r="AI106" s="244">
        <f>SUM(AI104:AI105)</f>
        <v>92.293000000000006</v>
      </c>
      <c r="AJ106" s="244">
        <f>SUM(AJ104:AJ105)</f>
        <v>103.83</v>
      </c>
      <c r="AK106" s="244">
        <f>SUM(AK104:AK105)</f>
        <v>425.37100000000004</v>
      </c>
      <c r="AL106" s="170"/>
      <c r="AM106" s="244">
        <f>SUM(AM104:AM105)</f>
        <v>90.884</v>
      </c>
      <c r="AN106" s="244">
        <f>SUM(AN104:AN105)</f>
        <v>120.752</v>
      </c>
      <c r="AO106" s="244">
        <f>SUM(AO104:AO105)</f>
        <v>116.873</v>
      </c>
      <c r="AP106" s="244">
        <f>SUM(AP104:AP105)</f>
        <v>158.77000000000001</v>
      </c>
      <c r="AQ106" s="244">
        <f>SUM(AQ104:AQ105)</f>
        <v>487.27900000000005</v>
      </c>
      <c r="AR106" s="170"/>
      <c r="AS106" s="244">
        <f>SUM(AS104:AS105)</f>
        <v>116.89500000000001</v>
      </c>
      <c r="AT106" s="244">
        <f>SUM(AT104:AT105)</f>
        <v>160.22999999999999</v>
      </c>
      <c r="AU106" s="244">
        <f>SUM(AU104:AU105)</f>
        <v>153.83700000000002</v>
      </c>
      <c r="AV106" s="244">
        <f>SUM(AV104:AV105)</f>
        <v>224.64700000000002</v>
      </c>
      <c r="AW106" s="244">
        <f>SUM(AW104:AW105)</f>
        <v>655.60900000000004</v>
      </c>
      <c r="AX106" s="170"/>
      <c r="AY106" s="244">
        <f>SUM(AY104:AY105)</f>
        <v>161.35500000000002</v>
      </c>
      <c r="AZ106" s="244">
        <f>SUM(AZ104:AZ105)</f>
        <v>219.304</v>
      </c>
      <c r="BA106" s="244">
        <f>SUM(BA104:BA105)</f>
        <v>187.625</v>
      </c>
      <c r="BB106" s="244">
        <f>SUM(BB104:BB105)</f>
        <v>248.05200000000002</v>
      </c>
      <c r="BC106" s="244">
        <f>SUM(BC104:BC105)</f>
        <v>816.33600000000013</v>
      </c>
      <c r="BD106" s="170"/>
      <c r="BE106" s="244">
        <f>SUM(BE104:BE105)</f>
        <v>178.92400000000001</v>
      </c>
      <c r="BF106" s="244">
        <f>SUM(BF104:BF105)</f>
        <v>178.047</v>
      </c>
      <c r="BG106" s="244">
        <f>SUM(BG104:BG105)</f>
        <v>124.81399999999999</v>
      </c>
      <c r="BH106" s="244">
        <f>SUM(BH104:BH105)</f>
        <v>180.358</v>
      </c>
      <c r="BI106" s="244">
        <f>SUM(BI104:BI105)</f>
        <v>662.14300000000003</v>
      </c>
      <c r="BJ106" s="170"/>
      <c r="BK106" s="244">
        <f>SUM(BK104:BK105)</f>
        <v>115.47</v>
      </c>
      <c r="BL106" s="244">
        <f>SUM(BL104:BL105)</f>
        <v>144.44399999999999</v>
      </c>
      <c r="BM106" s="244">
        <f>SUM(BM104:BM105)</f>
        <v>139.95400000000001</v>
      </c>
      <c r="BN106" s="244">
        <f>SUM(BN104:BN105)</f>
        <v>209.22900000000001</v>
      </c>
      <c r="BO106" s="244">
        <f>SUM(BO104:BO105)</f>
        <v>609.09699999999998</v>
      </c>
      <c r="BP106" s="170"/>
      <c r="BQ106" s="244">
        <f>SUM(BQ104:BQ105)</f>
        <v>114</v>
      </c>
      <c r="BR106" s="244">
        <f>SUM(BR104:BR105)</f>
        <v>163</v>
      </c>
      <c r="BS106" s="244">
        <f>SUM(BS104:BS105)</f>
        <v>170</v>
      </c>
      <c r="BT106" s="244">
        <f>SUM(BT104:BT105)</f>
        <v>226</v>
      </c>
      <c r="BU106" s="244">
        <f>SUM(BU104:BU105)</f>
        <v>673</v>
      </c>
      <c r="BV106" s="170"/>
      <c r="BW106" s="101">
        <f>BW104+BW105</f>
        <v>150</v>
      </c>
      <c r="BX106" s="101">
        <f>BX104+BX105</f>
        <v>186</v>
      </c>
      <c r="BY106" s="101">
        <f>BY105+BY104</f>
        <v>197.6</v>
      </c>
      <c r="BZ106" s="101">
        <f>BZ105+BZ104</f>
        <v>279</v>
      </c>
      <c r="CA106" s="244">
        <f>SUM(CA104:CA105)</f>
        <v>812.6</v>
      </c>
      <c r="CB106" s="170"/>
      <c r="CC106" s="101">
        <f>CC105+CC104</f>
        <v>148</v>
      </c>
      <c r="CD106" s="101">
        <f>CD105+CD104</f>
        <v>203</v>
      </c>
      <c r="CE106" s="101">
        <f>CE105+CE104</f>
        <v>194.7</v>
      </c>
      <c r="CF106" s="101">
        <f>CF105+CF104</f>
        <v>380</v>
      </c>
      <c r="CG106" s="171">
        <f>SUM(CG104:CG105)</f>
        <v>925.7</v>
      </c>
      <c r="CH106" s="170"/>
      <c r="CI106" s="101">
        <f>CI105+CI104</f>
        <v>182</v>
      </c>
      <c r="CJ106" s="101">
        <f>CJ105+CJ104</f>
        <v>229</v>
      </c>
      <c r="CK106" s="101">
        <f>CK105+CK104</f>
        <v>262</v>
      </c>
      <c r="CL106" s="101">
        <f>CL105+CL104</f>
        <v>409</v>
      </c>
      <c r="CM106" s="171">
        <f>SUM(CM104:CM105)</f>
        <v>1082</v>
      </c>
      <c r="CN106" s="170"/>
      <c r="CO106" s="101">
        <f>CO105+CO104</f>
        <v>210</v>
      </c>
      <c r="CP106" s="101">
        <f>CP105+CP104</f>
        <v>318</v>
      </c>
      <c r="CQ106" s="101">
        <f>CQ105+CQ104</f>
        <v>291</v>
      </c>
      <c r="CR106" s="101">
        <f>CR105+CR104</f>
        <v>463</v>
      </c>
      <c r="CS106" s="171">
        <f>SUM(CS104:CS105)</f>
        <v>1282</v>
      </c>
      <c r="CT106" s="170"/>
      <c r="CU106" s="101">
        <f>CU105+CU104</f>
        <v>281</v>
      </c>
      <c r="CV106" s="101">
        <f>CV105+CV104</f>
        <v>318.39999999999998</v>
      </c>
      <c r="CW106" s="101">
        <f>CW105+CW104</f>
        <v>272</v>
      </c>
      <c r="CX106" s="101">
        <f>CX105+CX104</f>
        <v>447</v>
      </c>
      <c r="CY106" s="171">
        <f>SUM(CY104:CY105)</f>
        <v>1318.4</v>
      </c>
      <c r="CZ106" s="170"/>
      <c r="DA106" s="101">
        <v>219</v>
      </c>
      <c r="DB106" s="101">
        <f>DB105+DB104</f>
        <v>327</v>
      </c>
      <c r="DC106" s="101">
        <f>DC105+DC104</f>
        <v>305</v>
      </c>
      <c r="DD106" s="101">
        <f>DD105+DD104</f>
        <v>515</v>
      </c>
      <c r="DE106" s="171">
        <f>SUM(DE104:DE105)</f>
        <v>1366</v>
      </c>
      <c r="DF106" s="170"/>
      <c r="DG106" s="101">
        <f>DG105+DG104</f>
        <v>276</v>
      </c>
      <c r="DH106" s="101">
        <f>DH105+DH104</f>
        <v>395</v>
      </c>
      <c r="DI106" s="101">
        <f>DI105+DI104</f>
        <v>402</v>
      </c>
      <c r="DJ106" s="101">
        <f>DJ105+DJ104</f>
        <v>639</v>
      </c>
      <c r="DK106" s="171">
        <f>SUM(DK104:DK105)</f>
        <v>1712</v>
      </c>
      <c r="DL106" s="170"/>
      <c r="DM106" s="101">
        <f>DM105+DM104</f>
        <v>331</v>
      </c>
      <c r="DN106" s="101">
        <f>DN105+DN104</f>
        <v>437</v>
      </c>
      <c r="DO106" s="101">
        <f>DO105+DO104</f>
        <v>453</v>
      </c>
      <c r="DP106" s="101">
        <v>693</v>
      </c>
      <c r="DQ106" s="171">
        <f>SUM(DQ104:DQ105)</f>
        <v>1936</v>
      </c>
      <c r="DR106" s="170"/>
      <c r="DS106" s="838">
        <v>357</v>
      </c>
      <c r="DT106" s="838">
        <v>495</v>
      </c>
      <c r="DU106" s="838">
        <v>437</v>
      </c>
      <c r="DV106" s="838">
        <v>608</v>
      </c>
      <c r="DW106" s="171">
        <f>SUM(DW104:DW105)</f>
        <v>2119.1086433867104</v>
      </c>
      <c r="DX106" s="170"/>
      <c r="DY106" s="838">
        <v>339</v>
      </c>
      <c r="DZ106" s="838">
        <v>410</v>
      </c>
      <c r="EA106" s="838">
        <f>EA105+EA104</f>
        <v>498.3147809124896</v>
      </c>
      <c r="EB106" s="838">
        <f>EB105+EB104</f>
        <v>770.61067135585347</v>
      </c>
      <c r="EC106" s="171">
        <f>SUM(EC104:EC105)</f>
        <v>2181.4072700069032</v>
      </c>
      <c r="ED106" s="170"/>
      <c r="EE106" s="838">
        <f>EE105+EE104</f>
        <v>404.6916247450194</v>
      </c>
      <c r="EF106" s="838">
        <f>EF105+EF104</f>
        <v>538.86737179626118</v>
      </c>
      <c r="EG106" s="838">
        <f>EG105+EG104</f>
        <v>501.41762352856108</v>
      </c>
      <c r="EH106" s="838">
        <f>EH105+EH104</f>
        <v>715.30233960406554</v>
      </c>
      <c r="EI106" s="171">
        <f>SUM(EI104:EI105)</f>
        <v>2160.2789596739071</v>
      </c>
      <c r="EJ106" s="170"/>
      <c r="EK106" s="838">
        <f>EK105+EK104</f>
        <v>404.86685766424489</v>
      </c>
      <c r="EL106" s="838">
        <f>EL105+EL104</f>
        <v>516.63134725497218</v>
      </c>
      <c r="EM106" s="838">
        <f>EM105+EM104</f>
        <v>491.07504551051693</v>
      </c>
      <c r="EN106" s="838">
        <f>EN105+EN104</f>
        <v>699.65763544587003</v>
      </c>
      <c r="EO106" s="171">
        <f>SUM(EO104:EO105)</f>
        <v>2112.2308858756041</v>
      </c>
      <c r="EP106" s="170"/>
      <c r="EQ106" s="838">
        <f>EQ105+EQ104</f>
        <v>451.50496107316542</v>
      </c>
      <c r="ER106" s="838">
        <f>ER105+ER104</f>
        <v>537.24960560452791</v>
      </c>
      <c r="ES106" s="838">
        <f>ES105+ES104</f>
        <v>533.47793513701959</v>
      </c>
      <c r="ET106" s="838">
        <f>ET105+ET104</f>
        <v>773.17978103637552</v>
      </c>
      <c r="EU106" s="171">
        <f>SUM(EU104:EU105)</f>
        <v>2295.4122828510881</v>
      </c>
      <c r="EV106" s="170"/>
      <c r="EW106" s="838">
        <f>EW105+EW104</f>
        <v>529.14395986461113</v>
      </c>
      <c r="EX106" s="838">
        <f>EX105+EX104</f>
        <v>614.58295455202358</v>
      </c>
      <c r="EY106" s="838">
        <f>EY105+EY104</f>
        <v>580.56438555508953</v>
      </c>
      <c r="EZ106" s="838">
        <f>EZ105+EZ104</f>
        <v>786.67113746476605</v>
      </c>
      <c r="FA106" s="171">
        <f>SUM(FA104:FA105)</f>
        <v>2510.9624374364903</v>
      </c>
      <c r="FB106" s="170"/>
      <c r="FC106" s="838">
        <f>FC105+FC104</f>
        <v>579.61135494161795</v>
      </c>
      <c r="FD106" s="838">
        <f>FD105+FD104</f>
        <v>661.72612213451066</v>
      </c>
      <c r="FE106" s="838">
        <f>FE105+FE104</f>
        <v>629.00503627347098</v>
      </c>
      <c r="FF106" s="838">
        <f>FF105+FF104</f>
        <v>828.462617613264</v>
      </c>
      <c r="FG106" s="171">
        <f>SUM(FG104:FG105)</f>
        <v>2698.8051309628636</v>
      </c>
      <c r="FH106" s="170"/>
      <c r="FI106" s="838">
        <f>FI105+FI104</f>
        <v>644.28252920809769</v>
      </c>
      <c r="FJ106" s="838">
        <f>FJ105+FJ104</f>
        <v>717.81030572897498</v>
      </c>
      <c r="FK106" s="838">
        <f>FK105+FK104</f>
        <v>681.78850620219976</v>
      </c>
      <c r="FL106" s="838">
        <f>FL105+FL104</f>
        <v>878.06892774022231</v>
      </c>
      <c r="FM106" s="171">
        <f>SUM(FM104:FM105)</f>
        <v>2921.9502688794946</v>
      </c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</row>
    <row r="107" spans="1:274" s="24" customFormat="1" x14ac:dyDescent="0.2">
      <c r="A107" s="58" t="s">
        <v>699</v>
      </c>
      <c r="B107" s="414"/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  <c r="N107" s="342"/>
      <c r="O107" s="50"/>
      <c r="P107" s="50"/>
      <c r="Q107" s="50"/>
      <c r="R107" s="50"/>
      <c r="S107" s="50"/>
      <c r="T107" s="342"/>
      <c r="U107" s="50"/>
      <c r="V107" s="50"/>
      <c r="W107" s="50"/>
      <c r="X107" s="50"/>
      <c r="Y107" s="50"/>
      <c r="Z107" s="53"/>
      <c r="AA107" s="342"/>
      <c r="AB107" s="342"/>
      <c r="AC107" s="342"/>
      <c r="AD107" s="342"/>
      <c r="AE107" s="342"/>
      <c r="AF107" s="53"/>
      <c r="AG107" s="342"/>
      <c r="AH107" s="342"/>
      <c r="AI107" s="342"/>
      <c r="AJ107" s="342"/>
      <c r="AK107" s="342"/>
      <c r="AL107" s="53"/>
      <c r="AM107" s="342"/>
      <c r="AN107" s="342"/>
      <c r="AO107" s="342"/>
      <c r="AP107" s="342"/>
      <c r="AQ107" s="342"/>
      <c r="AR107" s="53"/>
      <c r="AS107" s="342"/>
      <c r="AT107" s="342"/>
      <c r="AU107" s="342"/>
      <c r="AV107" s="342"/>
      <c r="AW107" s="342"/>
      <c r="AX107" s="53"/>
      <c r="AY107" s="342"/>
      <c r="AZ107" s="342"/>
      <c r="BA107" s="342"/>
      <c r="BB107" s="342"/>
      <c r="BC107" s="342"/>
      <c r="BD107" s="53"/>
      <c r="BE107" s="342"/>
      <c r="BF107" s="342"/>
      <c r="BG107" s="342"/>
      <c r="BH107" s="342"/>
      <c r="BI107" s="342"/>
      <c r="BJ107" s="53"/>
      <c r="BK107" s="342"/>
      <c r="BL107" s="342"/>
      <c r="BM107" s="342"/>
      <c r="BN107" s="342"/>
      <c r="BO107" s="342"/>
      <c r="BP107" s="53"/>
      <c r="BQ107" s="342"/>
      <c r="BR107" s="342"/>
      <c r="BS107" s="342"/>
      <c r="BT107" s="342"/>
      <c r="BU107" s="342"/>
      <c r="BV107" s="53"/>
      <c r="BW107" s="342"/>
      <c r="BX107" s="342"/>
      <c r="BY107" s="342"/>
      <c r="BZ107" s="342"/>
      <c r="CA107" s="342"/>
      <c r="CB107" s="53"/>
      <c r="CC107" s="342"/>
      <c r="CD107" s="342"/>
      <c r="CE107" s="342"/>
      <c r="CF107" s="342"/>
      <c r="CG107" s="147"/>
      <c r="CH107" s="53"/>
      <c r="CI107" s="342"/>
      <c r="CJ107" s="342"/>
      <c r="CK107" s="342"/>
      <c r="CL107" s="342"/>
      <c r="CM107" s="147"/>
      <c r="CN107" s="53"/>
      <c r="CO107" s="342"/>
      <c r="CP107" s="342"/>
      <c r="CQ107" s="342"/>
      <c r="CR107" s="342"/>
      <c r="CS107" s="147"/>
      <c r="CT107" s="53"/>
      <c r="CU107" s="342"/>
      <c r="CV107" s="342"/>
      <c r="CW107" s="342"/>
      <c r="CX107" s="342"/>
      <c r="CY107" s="147"/>
      <c r="CZ107" s="53"/>
      <c r="DA107" s="342"/>
      <c r="DB107" s="342"/>
      <c r="DC107" s="342"/>
      <c r="DD107" s="342"/>
      <c r="DE107" s="147"/>
      <c r="DF107" s="53"/>
      <c r="DG107" s="342"/>
      <c r="DH107" s="342"/>
      <c r="DI107" s="342"/>
      <c r="DJ107" s="342"/>
      <c r="DK107" s="147"/>
      <c r="DL107" s="53"/>
      <c r="DM107" s="342"/>
      <c r="DN107" s="342"/>
      <c r="DO107" s="342"/>
      <c r="DP107" s="342"/>
      <c r="DQ107" s="147"/>
      <c r="DR107" s="53"/>
      <c r="DS107" s="342"/>
      <c r="DT107" s="342"/>
      <c r="DU107" s="342"/>
      <c r="DV107" s="342"/>
      <c r="DW107" s="147"/>
      <c r="DX107" s="53"/>
      <c r="DY107" s="342"/>
      <c r="DZ107" s="342"/>
      <c r="EA107" s="342"/>
      <c r="EB107" s="342"/>
      <c r="EC107" s="147"/>
      <c r="ED107" s="53"/>
      <c r="EE107" s="342"/>
      <c r="EF107" s="342"/>
      <c r="EG107" s="342"/>
      <c r="EH107" s="342"/>
      <c r="EI107" s="147"/>
      <c r="EJ107" s="53"/>
      <c r="EK107" s="342"/>
      <c r="EL107" s="342"/>
      <c r="EM107" s="342"/>
      <c r="EN107" s="342"/>
      <c r="EO107" s="147"/>
      <c r="EP107" s="53"/>
      <c r="EQ107" s="342"/>
      <c r="ER107" s="342"/>
      <c r="ES107" s="342"/>
      <c r="ET107" s="342"/>
      <c r="EU107" s="147"/>
      <c r="EV107" s="53"/>
      <c r="EW107" s="342"/>
      <c r="EX107" s="342"/>
      <c r="EY107" s="342"/>
      <c r="EZ107" s="342"/>
      <c r="FA107" s="147"/>
      <c r="FB107" s="53"/>
      <c r="FC107" s="342"/>
      <c r="FD107" s="342"/>
      <c r="FE107" s="342"/>
      <c r="FF107" s="342"/>
      <c r="FG107" s="147"/>
      <c r="FH107" s="53"/>
      <c r="FI107" s="342"/>
      <c r="FJ107" s="342"/>
      <c r="FK107" s="342"/>
      <c r="FL107" s="342"/>
      <c r="FM107" s="14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</row>
    <row r="108" spans="1:274" s="24" customFormat="1" hidden="1" outlineLevel="1" x14ac:dyDescent="0.2">
      <c r="A108" s="342" t="s">
        <v>109</v>
      </c>
      <c r="B108" s="1040"/>
      <c r="C108" s="50" t="s">
        <v>945</v>
      </c>
      <c r="D108" s="50" t="s">
        <v>945</v>
      </c>
      <c r="E108" s="50" t="s">
        <v>945</v>
      </c>
      <c r="F108" s="50" t="s">
        <v>945</v>
      </c>
      <c r="G108" s="50" t="s">
        <v>945</v>
      </c>
      <c r="H108" s="50" t="s">
        <v>945</v>
      </c>
      <c r="I108" s="50" t="s">
        <v>945</v>
      </c>
      <c r="J108" s="50" t="s">
        <v>945</v>
      </c>
      <c r="K108" s="50" t="s">
        <v>945</v>
      </c>
      <c r="L108" s="50" t="s">
        <v>945</v>
      </c>
      <c r="M108" s="50" t="s">
        <v>945</v>
      </c>
      <c r="N108" s="342"/>
      <c r="O108" s="50" t="s">
        <v>945</v>
      </c>
      <c r="P108" s="50" t="s">
        <v>945</v>
      </c>
      <c r="Q108" s="50" t="s">
        <v>945</v>
      </c>
      <c r="R108" s="50" t="s">
        <v>945</v>
      </c>
      <c r="S108" s="50" t="s">
        <v>945</v>
      </c>
      <c r="T108" s="342"/>
      <c r="U108" s="50" t="s">
        <v>945</v>
      </c>
      <c r="V108" s="50" t="s">
        <v>945</v>
      </c>
      <c r="W108" s="50" t="s">
        <v>945</v>
      </c>
      <c r="X108" s="50" t="s">
        <v>945</v>
      </c>
      <c r="Y108" s="50" t="s">
        <v>945</v>
      </c>
      <c r="Z108" s="53"/>
      <c r="AA108" s="49">
        <f>(AA102/AA104*0.36)+(AA103/AA104*-0.21)</f>
        <v>0.27869096980971381</v>
      </c>
      <c r="AB108" s="49">
        <f>(AB102/AB104*0.45)+(AB103/AB104*0.07)</f>
        <v>0.3964597314134542</v>
      </c>
      <c r="AC108" s="49">
        <f>(AC102/AC104*0.25)+(AC103/AC104*-0.16)</f>
        <v>0.18994841801021409</v>
      </c>
      <c r="AD108" s="49">
        <f>(AD102/AD104*0.18)+(AD103/AD104*-0.29)</f>
        <v>0.13098290036652502</v>
      </c>
      <c r="AE108" s="49">
        <f>(AE102/AE104*0.3)+(AE103/AE104*-0.16)</f>
        <v>0.23928138667434407</v>
      </c>
      <c r="AF108" s="53"/>
      <c r="AG108" s="49">
        <f>(AG102/AG104*0.12)+(AG103/AG104*-0.03)</f>
        <v>0.10116467707376797</v>
      </c>
      <c r="AH108" s="49">
        <f>(AH102/AH104*-0.12)+(AH103/AH104*-0.39)</f>
        <v>-0.14779400759444553</v>
      </c>
      <c r="AI108" s="49">
        <f>(AI102/AI104*-0.25)+(AI103/AI104*-0.4)</f>
        <v>-0.26808844092286177</v>
      </c>
      <c r="AJ108" s="49">
        <f>(AJ102/AJ104*-0.29)+(AJ103/AJ104*-0.33)</f>
        <v>-0.29396038375651312</v>
      </c>
      <c r="AK108" s="49">
        <f>(AK102/AK104*-0.16)+(AK103/AK104*-0.3)</f>
        <v>-0.17561877081752594</v>
      </c>
      <c r="AL108" s="53"/>
      <c r="AM108" s="43">
        <f t="shared" ref="AM108:AQ110" si="239">AM104/AG104-1</f>
        <v>-0.14525048464442403</v>
      </c>
      <c r="AN108" s="43">
        <f t="shared" si="239"/>
        <v>3.9810785590879361E-2</v>
      </c>
      <c r="AO108" s="43">
        <f t="shared" si="239"/>
        <v>0.28107667210440446</v>
      </c>
      <c r="AP108" s="43">
        <f t="shared" si="239"/>
        <v>0.48086386568522066</v>
      </c>
      <c r="AQ108" s="43">
        <f t="shared" si="239"/>
        <v>0.15614398333311907</v>
      </c>
      <c r="AR108" s="53"/>
      <c r="AS108" s="43">
        <f t="shared" ref="AS108:AW110" si="240">AS104/AM104-1</f>
        <v>0.27398715591949774</v>
      </c>
      <c r="AT108" s="43">
        <f t="shared" si="240"/>
        <v>0.28188474046167777</v>
      </c>
      <c r="AU108" s="43">
        <f t="shared" si="240"/>
        <v>0.2917265467246366</v>
      </c>
      <c r="AV108" s="43">
        <f t="shared" si="240"/>
        <v>0.37577928107176017</v>
      </c>
      <c r="AW108" s="43">
        <f t="shared" si="240"/>
        <v>0.31274096057200951</v>
      </c>
      <c r="AX108" s="53"/>
      <c r="AY108" s="43">
        <f t="shared" ref="AY108:BC110" si="241">AY104/AS104-1</f>
        <v>0.38538514152932257</v>
      </c>
      <c r="AZ108" s="43">
        <f t="shared" si="241"/>
        <v>0.31994648959250327</v>
      </c>
      <c r="BA108" s="43">
        <f t="shared" si="241"/>
        <v>0.1926134563250359</v>
      </c>
      <c r="BB108" s="43">
        <f t="shared" si="241"/>
        <v>6.041061968457595E-2</v>
      </c>
      <c r="BC108" s="43">
        <f t="shared" si="241"/>
        <v>0.21446038764169684</v>
      </c>
      <c r="BD108" s="53"/>
      <c r="BE108" s="43">
        <f t="shared" ref="BE108:BI110" si="242">BE104/AY104-1</f>
        <v>0.13517699414302919</v>
      </c>
      <c r="BF108" s="43">
        <f t="shared" si="242"/>
        <v>-0.18221393687969334</v>
      </c>
      <c r="BG108" s="43">
        <f t="shared" si="242"/>
        <v>-0.34342175959000765</v>
      </c>
      <c r="BH108" s="43">
        <f t="shared" si="242"/>
        <v>-0.27805027443736763</v>
      </c>
      <c r="BI108" s="43">
        <f t="shared" si="242"/>
        <v>-0.182774932670974</v>
      </c>
      <c r="BJ108" s="53"/>
      <c r="BK108" s="43">
        <f t="shared" ref="BK108:BO110" si="243">BK104/BE104-1</f>
        <v>-0.43593791891328315</v>
      </c>
      <c r="BL108" s="43">
        <f t="shared" si="243"/>
        <v>-0.17085230300967691</v>
      </c>
      <c r="BM108" s="43">
        <f t="shared" si="243"/>
        <v>9.2083018596453403E-2</v>
      </c>
      <c r="BN108" s="43">
        <f t="shared" si="243"/>
        <v>0.1401158628735053</v>
      </c>
      <c r="BO108" s="43">
        <f t="shared" si="243"/>
        <v>-0.11679029041335409</v>
      </c>
      <c r="BP108" s="53"/>
      <c r="BQ108" s="43">
        <f t="shared" ref="BQ108:BU110" si="244">BQ104/BK104-1</f>
        <v>8.7932400316873549E-2</v>
      </c>
      <c r="BR108" s="43">
        <f t="shared" si="244"/>
        <v>0.16167404975062727</v>
      </c>
      <c r="BS108" s="43">
        <f t="shared" si="244"/>
        <v>0.28454266987253374</v>
      </c>
      <c r="BT108" s="43">
        <f t="shared" si="244"/>
        <v>0.16855709360665561</v>
      </c>
      <c r="BU108" s="43">
        <f t="shared" si="244"/>
        <v>0.1793136781053648</v>
      </c>
      <c r="BV108" s="53"/>
      <c r="BW108" s="43">
        <f t="shared" ref="BW108:CA110" si="245">BW104/BQ104-1</f>
        <v>0.34951456310679618</v>
      </c>
      <c r="BX108" s="43">
        <f t="shared" si="245"/>
        <v>0.11333333333333329</v>
      </c>
      <c r="BY108" s="43">
        <f t="shared" si="245"/>
        <v>0.16025641025641035</v>
      </c>
      <c r="BZ108" s="43">
        <f t="shared" si="245"/>
        <v>0.16417910447761197</v>
      </c>
      <c r="CA108" s="43">
        <f t="shared" si="245"/>
        <v>0.18196721311475406</v>
      </c>
      <c r="CB108" s="53"/>
      <c r="CC108" s="43">
        <f t="shared" ref="CC108:CG110" si="246">CC104/BW104-1</f>
        <v>-3.5971223021582732E-2</v>
      </c>
      <c r="CD108" s="43">
        <f t="shared" si="246"/>
        <v>5.0898203592814273E-2</v>
      </c>
      <c r="CE108" s="43">
        <f t="shared" si="246"/>
        <v>-6.3535911602209949E-2</v>
      </c>
      <c r="CF108" s="43">
        <f t="shared" si="246"/>
        <v>0.24786324786324787</v>
      </c>
      <c r="CG108" s="395">
        <f t="shared" si="246"/>
        <v>6.9348127600554754E-2</v>
      </c>
      <c r="CH108" s="53"/>
      <c r="CI108" s="43">
        <f t="shared" ref="CI108:CM110" si="247">CI104/CC104-1</f>
        <v>0.11194029850746268</v>
      </c>
      <c r="CJ108" s="43">
        <f t="shared" si="247"/>
        <v>5.4131054131054235E-2</v>
      </c>
      <c r="CK108" s="43">
        <f t="shared" si="247"/>
        <v>0.25663716814159288</v>
      </c>
      <c r="CL108" s="43">
        <f t="shared" si="247"/>
        <v>0.10273972602739723</v>
      </c>
      <c r="CM108" s="395">
        <f t="shared" si="247"/>
        <v>0.12710765239948119</v>
      </c>
      <c r="CN108" s="53"/>
      <c r="CO108" s="43">
        <v>0.04</v>
      </c>
      <c r="CP108" s="43">
        <f t="shared" ref="CO108:CS110" si="248">CP104/CJ104-1</f>
        <v>0.32432432432432434</v>
      </c>
      <c r="CQ108" s="43">
        <f t="shared" si="248"/>
        <v>9.3896713615023497E-2</v>
      </c>
      <c r="CR108" s="43">
        <v>0.06</v>
      </c>
      <c r="CS108" s="395">
        <f t="shared" si="248"/>
        <v>0.12428078250863051</v>
      </c>
      <c r="CT108" s="53"/>
      <c r="CU108" s="43">
        <f t="shared" ref="CU108:CY110" si="249">CU104/CO104-1</f>
        <v>0.44871794871794868</v>
      </c>
      <c r="CV108" s="43">
        <f t="shared" si="249"/>
        <v>4.081632653061229E-2</v>
      </c>
      <c r="CW108" s="43">
        <f t="shared" si="249"/>
        <v>-3.4334763948497882E-2</v>
      </c>
      <c r="CX108" s="43">
        <f t="shared" si="249"/>
        <v>-8.7463556851311575E-3</v>
      </c>
      <c r="CY108" s="395">
        <f t="shared" si="249"/>
        <v>7.0624360286591692E-2</v>
      </c>
      <c r="CZ108" s="53"/>
      <c r="DA108" s="43">
        <f t="shared" ref="DA108:DE110" si="250">DA104/CU104-1</f>
        <v>-0.2168141592920354</v>
      </c>
      <c r="DB108" s="43">
        <f t="shared" si="250"/>
        <v>-3.9215686274509665E-3</v>
      </c>
      <c r="DC108" s="43">
        <f t="shared" si="250"/>
        <v>8.8888888888888795E-2</v>
      </c>
      <c r="DD108" s="43">
        <f t="shared" si="250"/>
        <v>0.19411764705882351</v>
      </c>
      <c r="DE108" s="395">
        <f t="shared" si="250"/>
        <v>3.4416826003824008E-2</v>
      </c>
      <c r="DF108" s="53"/>
      <c r="DG108" s="43">
        <f t="shared" ref="DG108:DK110" si="251">DG104/DA104-1</f>
        <v>0.19774011299435035</v>
      </c>
      <c r="DH108" s="43">
        <f t="shared" si="251"/>
        <v>0.27165354330708658</v>
      </c>
      <c r="DI108" s="43">
        <f t="shared" si="251"/>
        <v>0.28571428571428581</v>
      </c>
      <c r="DJ108" s="43">
        <f t="shared" si="251"/>
        <v>0.19458128078817727</v>
      </c>
      <c r="DK108" s="395">
        <f t="shared" si="251"/>
        <v>0.23382624768946392</v>
      </c>
      <c r="DL108" s="53"/>
      <c r="DM108" s="43">
        <f t="shared" ref="DM108:DQ110" si="252">DM104/DG104-1</f>
        <v>0.27358490566037741</v>
      </c>
      <c r="DN108" s="43">
        <f t="shared" si="252"/>
        <v>0.13622291021671828</v>
      </c>
      <c r="DO108" s="43">
        <f t="shared" si="252"/>
        <v>0.18412698412698414</v>
      </c>
      <c r="DP108" s="43">
        <f t="shared" si="252"/>
        <v>0.10309278350515472</v>
      </c>
      <c r="DQ108" s="395">
        <f t="shared" si="252"/>
        <v>0.15730337078651679</v>
      </c>
      <c r="DR108" s="53"/>
      <c r="DS108" s="43">
        <f t="shared" ref="DS108:DW110" si="253">DS104/DM104-1</f>
        <v>3.0000000000000249E-2</v>
      </c>
      <c r="DT108" s="43">
        <f t="shared" si="253"/>
        <v>0.1100000000000001</v>
      </c>
      <c r="DU108" s="43">
        <f t="shared" si="253"/>
        <v>5.0000000000000266E-2</v>
      </c>
      <c r="DV108" s="43">
        <f t="shared" si="253"/>
        <v>0.11000000000000032</v>
      </c>
      <c r="DW108" s="395">
        <f t="shared" si="253"/>
        <v>8.1533980582524368E-2</v>
      </c>
      <c r="DX108" s="53"/>
      <c r="DY108" s="43">
        <f t="shared" ref="DY108:EC110" si="254">DY104/DS104-1</f>
        <v>0.11000000000000032</v>
      </c>
      <c r="DZ108" s="43">
        <f t="shared" si="254"/>
        <v>1.4999999999999902E-2</v>
      </c>
      <c r="EA108" s="43">
        <f t="shared" si="254"/>
        <v>7.0000000000000506E-2</v>
      </c>
      <c r="EB108" s="43">
        <f t="shared" si="254"/>
        <v>2.0000000000004459E-3</v>
      </c>
      <c r="EC108" s="395">
        <f t="shared" si="254"/>
        <v>3.9081940429810613E-2</v>
      </c>
      <c r="ED108" s="53"/>
      <c r="EE108" s="43">
        <f t="shared" ref="EE108:EK110" si="255">EE104/DY104-1</f>
        <v>-1.0000000000000342E-2</v>
      </c>
      <c r="EF108" s="43">
        <f t="shared" si="255"/>
        <v>9.9999999999995648E-3</v>
      </c>
      <c r="EG108" s="43">
        <f t="shared" si="255"/>
        <v>-1.0000000000000009E-2</v>
      </c>
      <c r="EH108" s="43">
        <f t="shared" si="255"/>
        <v>-1.9999999999999574E-2</v>
      </c>
      <c r="EI108" s="395">
        <f t="shared" si="255"/>
        <v>-8.6642471187237113E-3</v>
      </c>
      <c r="EJ108" s="53"/>
      <c r="EK108" s="43">
        <f t="shared" si="255"/>
        <v>-1.4999999999999902E-2</v>
      </c>
      <c r="EL108" s="43">
        <f t="shared" ref="EL108:EO110" si="256">EL104/EF104-1</f>
        <v>-1.5000000000000013E-2</v>
      </c>
      <c r="EM108" s="43">
        <f t="shared" si="256"/>
        <v>-1.4999999999999791E-2</v>
      </c>
      <c r="EN108" s="43">
        <f t="shared" si="256"/>
        <v>-1.4999999999999902E-2</v>
      </c>
      <c r="EO108" s="395">
        <f t="shared" si="256"/>
        <v>-1.4999999999999902E-2</v>
      </c>
      <c r="EP108" s="53"/>
      <c r="EQ108" s="43">
        <f>EQ104/EK104-1</f>
        <v>-1.4999999999999569E-2</v>
      </c>
      <c r="ER108" s="43">
        <f t="shared" ref="ER108:ET110" si="257">ER104/EL104-1</f>
        <v>2.0000000000000018E-2</v>
      </c>
      <c r="ES108" s="43">
        <f t="shared" si="257"/>
        <v>2.5000000000000133E-2</v>
      </c>
      <c r="ET108" s="43">
        <f t="shared" si="257"/>
        <v>-1.4999999999999902E-2</v>
      </c>
      <c r="EU108" s="395">
        <f t="shared" ref="EU108:EU110" si="258">EU104/EO104-1</f>
        <v>3.1332586700940634E-3</v>
      </c>
      <c r="EV108" s="53"/>
      <c r="EW108" s="43">
        <f t="shared" ref="EW108:FA110" si="259">EW104/EQ104-1</f>
        <v>-1.5000000000000013E-2</v>
      </c>
      <c r="EX108" s="43">
        <f t="shared" si="259"/>
        <v>6.0000000000000053E-2</v>
      </c>
      <c r="EY108" s="43">
        <f t="shared" si="259"/>
        <v>8.0000000000000071E-2</v>
      </c>
      <c r="EZ108" s="43">
        <f t="shared" si="259"/>
        <v>2.5000000000000355E-2</v>
      </c>
      <c r="FA108" s="395">
        <f t="shared" si="259"/>
        <v>4.0206919330665558E-2</v>
      </c>
      <c r="FB108" s="53"/>
      <c r="FC108" s="43">
        <f t="shared" ref="FC108:FG110" si="260">FC104/EW104-1</f>
        <v>2.5000000000000133E-2</v>
      </c>
      <c r="FD108" s="43">
        <f t="shared" si="260"/>
        <v>2.4999999999999911E-2</v>
      </c>
      <c r="FE108" s="43">
        <f t="shared" si="260"/>
        <v>2.5000000000000133E-2</v>
      </c>
      <c r="FF108" s="43">
        <f t="shared" si="260"/>
        <v>2.4999999999999911E-2</v>
      </c>
      <c r="FG108" s="395">
        <f t="shared" si="260"/>
        <v>2.4999999999999911E-2</v>
      </c>
      <c r="FH108" s="53"/>
      <c r="FI108" s="43">
        <f t="shared" ref="FI108:FI110" si="261">FI104/FC104-1</f>
        <v>2.5000000000000133E-2</v>
      </c>
      <c r="FJ108" s="43">
        <f t="shared" ref="FJ108:FJ110" si="262">FJ104/FD104-1</f>
        <v>2.4999999999999689E-2</v>
      </c>
      <c r="FK108" s="43">
        <f t="shared" ref="FK108:FK110" si="263">FK104/FE104-1</f>
        <v>2.5000000000000355E-2</v>
      </c>
      <c r="FL108" s="43">
        <f t="shared" ref="FL108:FL110" si="264">FL104/FF104-1</f>
        <v>2.5000000000000133E-2</v>
      </c>
      <c r="FM108" s="395">
        <f t="shared" ref="FM108:FM110" si="265">FM104/FG104-1</f>
        <v>2.4999999999999911E-2</v>
      </c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</row>
    <row r="109" spans="1:274" s="24" customFormat="1" hidden="1" outlineLevel="1" x14ac:dyDescent="0.2">
      <c r="A109" s="342" t="s">
        <v>697</v>
      </c>
      <c r="B109" s="1040"/>
      <c r="C109" s="50" t="s">
        <v>945</v>
      </c>
      <c r="D109" s="50" t="s">
        <v>945</v>
      </c>
      <c r="E109" s="50" t="s">
        <v>945</v>
      </c>
      <c r="F109" s="50" t="s">
        <v>945</v>
      </c>
      <c r="G109" s="50" t="s">
        <v>945</v>
      </c>
      <c r="H109" s="50" t="s">
        <v>945</v>
      </c>
      <c r="I109" s="50" t="s">
        <v>945</v>
      </c>
      <c r="J109" s="50" t="s">
        <v>945</v>
      </c>
      <c r="K109" s="50" t="s">
        <v>945</v>
      </c>
      <c r="L109" s="50" t="s">
        <v>945</v>
      </c>
      <c r="M109" s="50" t="s">
        <v>945</v>
      </c>
      <c r="N109" s="342"/>
      <c r="O109" s="50" t="s">
        <v>945</v>
      </c>
      <c r="P109" s="50" t="s">
        <v>945</v>
      </c>
      <c r="Q109" s="50" t="s">
        <v>945</v>
      </c>
      <c r="R109" s="50" t="s">
        <v>945</v>
      </c>
      <c r="S109" s="50" t="s">
        <v>945</v>
      </c>
      <c r="T109" s="342"/>
      <c r="U109" s="50" t="s">
        <v>945</v>
      </c>
      <c r="V109" s="50" t="s">
        <v>945</v>
      </c>
      <c r="W109" s="50" t="s">
        <v>945</v>
      </c>
      <c r="X109" s="50" t="s">
        <v>945</v>
      </c>
      <c r="Y109" s="50" t="s">
        <v>945</v>
      </c>
      <c r="Z109" s="53"/>
      <c r="AA109" s="49">
        <v>0.43</v>
      </c>
      <c r="AB109" s="49">
        <v>0.2</v>
      </c>
      <c r="AC109" s="49">
        <v>0.51</v>
      </c>
      <c r="AD109" s="49">
        <v>0.21</v>
      </c>
      <c r="AE109" s="49">
        <v>0.28999999999999998</v>
      </c>
      <c r="AF109" s="53"/>
      <c r="AG109" s="49">
        <v>2.34</v>
      </c>
      <c r="AH109" s="49">
        <v>-0.02</v>
      </c>
      <c r="AI109" s="49">
        <v>0.1</v>
      </c>
      <c r="AJ109" s="49">
        <v>-0.42</v>
      </c>
      <c r="AK109" s="49">
        <v>0.23</v>
      </c>
      <c r="AL109" s="53"/>
      <c r="AM109" s="43">
        <f t="shared" si="239"/>
        <v>-0.57333173307729246</v>
      </c>
      <c r="AN109" s="43">
        <f t="shared" si="239"/>
        <v>0.29493451159854822</v>
      </c>
      <c r="AO109" s="43">
        <f t="shared" si="239"/>
        <v>7.0755445697512798E-2</v>
      </c>
      <c r="AP109" s="43">
        <f t="shared" si="239"/>
        <v>1.1865671641791042</v>
      </c>
      <c r="AQ109" s="43">
        <f t="shared" si="239"/>
        <v>3.2808398950131101E-2</v>
      </c>
      <c r="AR109" s="53"/>
      <c r="AS109" s="43">
        <f t="shared" si="240"/>
        <v>0.43009845288326276</v>
      </c>
      <c r="AT109" s="43">
        <f t="shared" si="240"/>
        <v>0.94479649037289803</v>
      </c>
      <c r="AU109" s="43">
        <f t="shared" si="240"/>
        <v>0.70567017746356941</v>
      </c>
      <c r="AV109" s="43">
        <f t="shared" si="240"/>
        <v>0.77596754459398554</v>
      </c>
      <c r="AW109" s="43">
        <f t="shared" si="240"/>
        <v>0.73464633629817877</v>
      </c>
      <c r="AX109" s="53"/>
      <c r="AY109" s="43">
        <f t="shared" si="241"/>
        <v>0.32739968528717545</v>
      </c>
      <c r="AZ109" s="43">
        <f t="shared" si="241"/>
        <v>0.80926123190676114</v>
      </c>
      <c r="BA109" s="43">
        <f t="shared" si="241"/>
        <v>0.54423955337506347</v>
      </c>
      <c r="BB109" s="43">
        <f t="shared" si="241"/>
        <v>0.4169839370535553</v>
      </c>
      <c r="BC109" s="43">
        <f t="shared" si="241"/>
        <v>0.52157856183616169</v>
      </c>
      <c r="BD109" s="53"/>
      <c r="BE109" s="43">
        <f t="shared" si="242"/>
        <v>-0.17915092242720598</v>
      </c>
      <c r="BF109" s="43">
        <f t="shared" si="242"/>
        <v>-0.2271247489090531</v>
      </c>
      <c r="BG109" s="43">
        <f t="shared" si="242"/>
        <v>-0.25449167397020167</v>
      </c>
      <c r="BH109" s="43">
        <f t="shared" si="242"/>
        <v>-0.2453747537040355</v>
      </c>
      <c r="BI109" s="43">
        <f t="shared" si="242"/>
        <v>-0.23279441558181058</v>
      </c>
      <c r="BJ109" s="53"/>
      <c r="BK109" s="43">
        <f t="shared" si="243"/>
        <v>0.87697445617835545</v>
      </c>
      <c r="BL109" s="43">
        <f t="shared" si="243"/>
        <v>-0.31349704248073129</v>
      </c>
      <c r="BM109" s="43">
        <f t="shared" si="243"/>
        <v>0.36002939015429858</v>
      </c>
      <c r="BN109" s="43">
        <f t="shared" si="243"/>
        <v>0.26219057307561888</v>
      </c>
      <c r="BO109" s="43">
        <f t="shared" si="243"/>
        <v>0.20069285574220563</v>
      </c>
      <c r="BP109" s="53"/>
      <c r="BQ109" s="43">
        <f t="shared" si="244"/>
        <v>-0.47102668910795864</v>
      </c>
      <c r="BR109" s="43">
        <f t="shared" si="244"/>
        <v>-0.15143603133159267</v>
      </c>
      <c r="BS109" s="43">
        <f t="shared" si="244"/>
        <v>-0.24365207995678018</v>
      </c>
      <c r="BT109" s="43">
        <f t="shared" si="244"/>
        <v>-0.32835419912954711</v>
      </c>
      <c r="BU109" s="43">
        <f t="shared" si="244"/>
        <v>-0.31407667098544323</v>
      </c>
      <c r="BV109" s="53"/>
      <c r="BW109" s="43">
        <f t="shared" si="245"/>
        <v>0</v>
      </c>
      <c r="BX109" s="43">
        <f t="shared" si="245"/>
        <v>0.46153846153846145</v>
      </c>
      <c r="BY109" s="43">
        <f t="shared" si="245"/>
        <v>0.18571428571428528</v>
      </c>
      <c r="BZ109" s="43">
        <f t="shared" si="245"/>
        <v>0.8</v>
      </c>
      <c r="CA109" s="43">
        <f t="shared" si="245"/>
        <v>0.45396825396825391</v>
      </c>
      <c r="CB109" s="53"/>
      <c r="CC109" s="43">
        <f t="shared" si="246"/>
        <v>0.27272727272727271</v>
      </c>
      <c r="CD109" s="43">
        <f t="shared" si="246"/>
        <v>0.44736842105263164</v>
      </c>
      <c r="CE109" s="43">
        <f t="shared" si="246"/>
        <v>0.51807228915662695</v>
      </c>
      <c r="CF109" s="43">
        <f t="shared" si="246"/>
        <v>0.95555555555555549</v>
      </c>
      <c r="CG109" s="395">
        <f t="shared" si="246"/>
        <v>0.68886462882096078</v>
      </c>
      <c r="CH109" s="53"/>
      <c r="CI109" s="43">
        <f t="shared" si="247"/>
        <v>1.3571428571428572</v>
      </c>
      <c r="CJ109" s="43">
        <f t="shared" si="247"/>
        <v>0.60000000000000009</v>
      </c>
      <c r="CK109" s="43">
        <f t="shared" si="247"/>
        <v>0.94444444444444442</v>
      </c>
      <c r="CL109" s="43">
        <f t="shared" si="247"/>
        <v>-1.1363636363636354E-2</v>
      </c>
      <c r="CM109" s="395">
        <f t="shared" si="247"/>
        <v>0.37685843568196509</v>
      </c>
      <c r="CN109" s="53"/>
      <c r="CO109" s="43">
        <v>0.67</v>
      </c>
      <c r="CP109" s="43">
        <f t="shared" si="248"/>
        <v>0.65909090909090917</v>
      </c>
      <c r="CQ109" s="43">
        <f t="shared" si="248"/>
        <v>0.18367346938775508</v>
      </c>
      <c r="CR109" s="43">
        <v>0.37</v>
      </c>
      <c r="CS109" s="395">
        <f t="shared" si="248"/>
        <v>0.431924882629108</v>
      </c>
      <c r="CT109" s="53"/>
      <c r="CU109" s="43">
        <f t="shared" si="249"/>
        <v>1.8518518518518601E-2</v>
      </c>
      <c r="CV109" s="43">
        <f t="shared" si="249"/>
        <v>-0.13150684931506851</v>
      </c>
      <c r="CW109" s="43">
        <f t="shared" si="249"/>
        <v>-0.18965517241379315</v>
      </c>
      <c r="CX109" s="43">
        <f t="shared" si="249"/>
        <v>-0.10833333333333328</v>
      </c>
      <c r="CY109" s="395">
        <f t="shared" si="249"/>
        <v>-0.10688524590163939</v>
      </c>
      <c r="CZ109" s="53"/>
      <c r="DA109" s="43">
        <f t="shared" si="250"/>
        <v>-0.23636363636363633</v>
      </c>
      <c r="DB109" s="43">
        <f t="shared" si="250"/>
        <v>0.1514195583596214</v>
      </c>
      <c r="DC109" s="43">
        <f t="shared" si="250"/>
        <v>0.27659574468085113</v>
      </c>
      <c r="DD109" s="43">
        <f t="shared" si="250"/>
        <v>1.8691588785046731E-2</v>
      </c>
      <c r="DE109" s="395">
        <f t="shared" si="250"/>
        <v>4.2584434654919345E-2</v>
      </c>
      <c r="DF109" s="53"/>
      <c r="DG109" s="43">
        <f t="shared" si="251"/>
        <v>0.52380952380952372</v>
      </c>
      <c r="DH109" s="43">
        <f t="shared" si="251"/>
        <v>-1.3698630136986356E-2</v>
      </c>
      <c r="DI109" s="43">
        <f t="shared" si="251"/>
        <v>0.44999999999999996</v>
      </c>
      <c r="DJ109" s="43">
        <f t="shared" si="251"/>
        <v>0.41284403669724767</v>
      </c>
      <c r="DK109" s="395">
        <f t="shared" si="251"/>
        <v>0.32746478873239426</v>
      </c>
      <c r="DL109" s="53"/>
      <c r="DM109" s="43">
        <f t="shared" si="252"/>
        <v>-4.6875E-2</v>
      </c>
      <c r="DN109" s="43">
        <f t="shared" si="252"/>
        <v>-2.777777777777779E-2</v>
      </c>
      <c r="DO109" s="43">
        <f t="shared" si="252"/>
        <v>-8.0459770114942541E-2</v>
      </c>
      <c r="DP109" s="43">
        <f t="shared" si="252"/>
        <v>0.16883116883116878</v>
      </c>
      <c r="DQ109" s="395">
        <f t="shared" si="252"/>
        <v>3.7135278514588865E-2</v>
      </c>
      <c r="DR109" s="53"/>
      <c r="DS109" s="43">
        <f t="shared" si="253"/>
        <v>0.51712611835703637</v>
      </c>
      <c r="DT109" s="43">
        <f t="shared" si="253"/>
        <v>0.55932209813577183</v>
      </c>
      <c r="DU109" s="43">
        <f t="shared" si="253"/>
        <v>1.5886665099836605E-2</v>
      </c>
      <c r="DV109" s="43">
        <f t="shared" si="253"/>
        <v>-8.238627728089043E-2</v>
      </c>
      <c r="DW109" s="395">
        <f t="shared" si="253"/>
        <v>0.14613463781767222</v>
      </c>
      <c r="DX109" s="53"/>
      <c r="DY109" s="43">
        <f t="shared" si="254"/>
        <v>-7.4993794716841644E-2</v>
      </c>
      <c r="DZ109" s="43">
        <f t="shared" si="254"/>
        <v>-4.0738349702294951E-2</v>
      </c>
      <c r="EA109" s="43">
        <f t="shared" si="254"/>
        <v>-2.4875465504054284E-2</v>
      </c>
      <c r="EB109" s="43">
        <f t="shared" si="254"/>
        <v>6.298039389716803E-2</v>
      </c>
      <c r="EC109" s="395">
        <f t="shared" si="254"/>
        <v>-6.7080208863250501E-3</v>
      </c>
      <c r="ED109" s="53"/>
      <c r="EE109" s="43">
        <f t="shared" si="255"/>
        <v>0.1575049508000157</v>
      </c>
      <c r="EF109" s="43">
        <f t="shared" si="255"/>
        <v>0.15802520773554862</v>
      </c>
      <c r="EG109" s="43">
        <f t="shared" si="255"/>
        <v>9.2032350730415935E-2</v>
      </c>
      <c r="EH109" s="43">
        <f t="shared" si="255"/>
        <v>-0.24723382771605118</v>
      </c>
      <c r="EI109" s="395">
        <f t="shared" si="255"/>
        <v>-1.3669629963008911E-2</v>
      </c>
      <c r="EJ109" s="53"/>
      <c r="EK109" s="43">
        <f t="shared" si="255"/>
        <v>4.8031210802372604E-2</v>
      </c>
      <c r="EL109" s="43">
        <f t="shared" si="256"/>
        <v>-0.13172394733432113</v>
      </c>
      <c r="EM109" s="43">
        <f t="shared" si="256"/>
        <v>-4.7600220527756254E-2</v>
      </c>
      <c r="EN109" s="43">
        <f t="shared" si="256"/>
        <v>-5.2189531465848482E-2</v>
      </c>
      <c r="EO109" s="395">
        <f t="shared" si="256"/>
        <v>-5.0631409929891014E-2</v>
      </c>
      <c r="EP109" s="53"/>
      <c r="EQ109" s="43">
        <f>EQ105/EK105-1</f>
        <v>0.49258513066059684</v>
      </c>
      <c r="ER109" s="43">
        <f t="shared" si="257"/>
        <v>0.11769766059108799</v>
      </c>
      <c r="ES109" s="43">
        <f t="shared" si="257"/>
        <v>0.39050350464434391</v>
      </c>
      <c r="ET109" s="43">
        <f t="shared" si="257"/>
        <v>0.6556994768454989</v>
      </c>
      <c r="EU109" s="395">
        <f t="shared" si="258"/>
        <v>0.42673104304387155</v>
      </c>
      <c r="EV109" s="53"/>
      <c r="EW109" s="43">
        <f t="shared" si="259"/>
        <v>0.52958997676244901</v>
      </c>
      <c r="EX109" s="43">
        <f t="shared" si="259"/>
        <v>0.44325668265827267</v>
      </c>
      <c r="EY109" s="43">
        <f t="shared" si="259"/>
        <v>0.11846277544364603</v>
      </c>
      <c r="EZ109" s="43">
        <f t="shared" si="259"/>
        <v>-3.1483924455321111E-3</v>
      </c>
      <c r="FA109" s="395">
        <f t="shared" si="259"/>
        <v>0.24747330642108079</v>
      </c>
      <c r="FB109" s="53"/>
      <c r="FC109" s="43">
        <f t="shared" si="260"/>
        <v>0.18206819475859892</v>
      </c>
      <c r="FD109" s="43">
        <f t="shared" si="260"/>
        <v>0.21211989421553379</v>
      </c>
      <c r="FE109" s="43">
        <f t="shared" si="260"/>
        <v>0.28966459068565564</v>
      </c>
      <c r="FF109" s="43">
        <f t="shared" si="260"/>
        <v>0.13201043863610185</v>
      </c>
      <c r="FG109" s="395">
        <f t="shared" si="260"/>
        <v>0.19358869201800322</v>
      </c>
      <c r="FH109" s="53"/>
      <c r="FI109" s="43">
        <f t="shared" si="261"/>
        <v>0.20405582386757071</v>
      </c>
      <c r="FJ109" s="43">
        <f t="shared" si="262"/>
        <v>0.21708245301175144</v>
      </c>
      <c r="FK109" s="43">
        <f t="shared" si="263"/>
        <v>0.24916380498005752</v>
      </c>
      <c r="FL109" s="43">
        <f t="shared" si="264"/>
        <v>0.1484574066155071</v>
      </c>
      <c r="FM109" s="395">
        <f t="shared" si="265"/>
        <v>0.20081027175974375</v>
      </c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</row>
    <row r="110" spans="1:274" s="24" customFormat="1" collapsed="1" x14ac:dyDescent="0.2">
      <c r="A110" s="342" t="s">
        <v>698</v>
      </c>
      <c r="B110" s="1040"/>
      <c r="C110" s="50" t="s">
        <v>945</v>
      </c>
      <c r="D110" s="50" t="s">
        <v>945</v>
      </c>
      <c r="E110" s="50" t="s">
        <v>945</v>
      </c>
      <c r="F110" s="50" t="s">
        <v>945</v>
      </c>
      <c r="G110" s="50" t="s">
        <v>945</v>
      </c>
      <c r="H110" s="50" t="s">
        <v>945</v>
      </c>
      <c r="I110" s="50" t="s">
        <v>945</v>
      </c>
      <c r="J110" s="50" t="s">
        <v>945</v>
      </c>
      <c r="K110" s="50" t="s">
        <v>945</v>
      </c>
      <c r="L110" s="50" t="s">
        <v>945</v>
      </c>
      <c r="M110" s="50" t="s">
        <v>945</v>
      </c>
      <c r="N110" s="342"/>
      <c r="O110" s="50" t="s">
        <v>945</v>
      </c>
      <c r="P110" s="50" t="s">
        <v>945</v>
      </c>
      <c r="Q110" s="50" t="s">
        <v>945</v>
      </c>
      <c r="R110" s="50" t="s">
        <v>945</v>
      </c>
      <c r="S110" s="50" t="s">
        <v>945</v>
      </c>
      <c r="T110" s="342"/>
      <c r="U110" s="50" t="s">
        <v>945</v>
      </c>
      <c r="V110" s="50" t="s">
        <v>945</v>
      </c>
      <c r="W110" s="50" t="s">
        <v>945</v>
      </c>
      <c r="X110" s="50" t="s">
        <v>945</v>
      </c>
      <c r="Y110" s="50" t="s">
        <v>945</v>
      </c>
      <c r="Z110" s="53"/>
      <c r="AA110" s="49">
        <v>0.24</v>
      </c>
      <c r="AB110" s="49">
        <v>0.37</v>
      </c>
      <c r="AC110" s="49">
        <v>0.18</v>
      </c>
      <c r="AD110" s="49">
        <v>0.11</v>
      </c>
      <c r="AE110" s="49">
        <v>0.21</v>
      </c>
      <c r="AF110" s="53"/>
      <c r="AG110" s="49">
        <v>0.22</v>
      </c>
      <c r="AH110" s="49">
        <v>-0.15</v>
      </c>
      <c r="AI110" s="49">
        <v>-0.25</v>
      </c>
      <c r="AJ110" s="49">
        <v>-0.3</v>
      </c>
      <c r="AK110" s="49">
        <v>-0.15</v>
      </c>
      <c r="AL110" s="53"/>
      <c r="AM110" s="43">
        <f t="shared" si="239"/>
        <v>-0.2074576625913459</v>
      </c>
      <c r="AN110" s="43">
        <f t="shared" si="239"/>
        <v>5.3921483058983588E-2</v>
      </c>
      <c r="AO110" s="43">
        <f t="shared" si="239"/>
        <v>0.26632572351099215</v>
      </c>
      <c r="AP110" s="43">
        <f t="shared" si="239"/>
        <v>0.52913416161032467</v>
      </c>
      <c r="AQ110" s="43">
        <f t="shared" si="239"/>
        <v>0.14553883551064839</v>
      </c>
      <c r="AR110" s="53"/>
      <c r="AS110" s="43">
        <f t="shared" si="240"/>
        <v>0.28619999119757056</v>
      </c>
      <c r="AT110" s="43">
        <f t="shared" si="240"/>
        <v>0.32693454352722928</v>
      </c>
      <c r="AU110" s="43">
        <f t="shared" si="240"/>
        <v>0.3162749309079087</v>
      </c>
      <c r="AV110" s="43">
        <f t="shared" si="240"/>
        <v>0.4149209548403352</v>
      </c>
      <c r="AW110" s="43">
        <f t="shared" si="240"/>
        <v>0.34544891119871779</v>
      </c>
      <c r="AX110" s="53"/>
      <c r="AY110" s="43">
        <f t="shared" si="241"/>
        <v>0.38034133196458364</v>
      </c>
      <c r="AZ110" s="43">
        <f t="shared" si="241"/>
        <v>0.36868251887911141</v>
      </c>
      <c r="BA110" s="43">
        <f t="shared" si="241"/>
        <v>0.21963506828656287</v>
      </c>
      <c r="BB110" s="43">
        <f t="shared" si="241"/>
        <v>0.10418567797477829</v>
      </c>
      <c r="BC110" s="43">
        <f t="shared" si="241"/>
        <v>0.2451567931495755</v>
      </c>
      <c r="BD110" s="53"/>
      <c r="BE110" s="43">
        <f t="shared" si="242"/>
        <v>0.10888413746087799</v>
      </c>
      <c r="BF110" s="43">
        <f t="shared" si="242"/>
        <v>-0.18812698354795176</v>
      </c>
      <c r="BG110" s="43">
        <f t="shared" si="242"/>
        <v>-0.33476882078614256</v>
      </c>
      <c r="BH110" s="43">
        <f t="shared" si="242"/>
        <v>-0.27290245593665852</v>
      </c>
      <c r="BI110" s="43">
        <f t="shared" si="242"/>
        <v>-0.18888423394288634</v>
      </c>
      <c r="BJ110" s="53"/>
      <c r="BK110" s="43">
        <f t="shared" si="243"/>
        <v>-0.35464219445127543</v>
      </c>
      <c r="BL110" s="43">
        <f t="shared" si="243"/>
        <v>-0.18873106539284579</v>
      </c>
      <c r="BM110" s="43">
        <f t="shared" si="243"/>
        <v>0.12130049513676355</v>
      </c>
      <c r="BN110" s="43">
        <f t="shared" si="243"/>
        <v>0.1600760709256035</v>
      </c>
      <c r="BO110" s="43">
        <f t="shared" si="243"/>
        <v>-8.0112604074950688E-2</v>
      </c>
      <c r="BP110" s="53"/>
      <c r="BQ110" s="43">
        <f t="shared" si="244"/>
        <v>-1.2730579371265205E-2</v>
      </c>
      <c r="BR110" s="43">
        <f t="shared" si="244"/>
        <v>0.12846501066157145</v>
      </c>
      <c r="BS110" s="43">
        <f t="shared" si="244"/>
        <v>0.21468482501393304</v>
      </c>
      <c r="BT110" s="43">
        <f t="shared" si="244"/>
        <v>8.0156192497215839E-2</v>
      </c>
      <c r="BU110" s="43">
        <f t="shared" si="244"/>
        <v>0.10491432399108858</v>
      </c>
      <c r="BV110" s="53"/>
      <c r="BW110" s="43">
        <f t="shared" si="245"/>
        <v>0.31578947368421062</v>
      </c>
      <c r="BX110" s="43">
        <f t="shared" si="245"/>
        <v>0.14110429447852768</v>
      </c>
      <c r="BY110" s="43">
        <f t="shared" si="245"/>
        <v>0.16235294117647059</v>
      </c>
      <c r="BZ110" s="43">
        <f t="shared" si="245"/>
        <v>0.23451327433628322</v>
      </c>
      <c r="CA110" s="43">
        <f t="shared" si="245"/>
        <v>0.20742942050520052</v>
      </c>
      <c r="CB110" s="53"/>
      <c r="CC110" s="43">
        <f t="shared" si="246"/>
        <v>-1.3333333333333308E-2</v>
      </c>
      <c r="CD110" s="43">
        <f t="shared" si="246"/>
        <v>9.139784946236551E-2</v>
      </c>
      <c r="CE110" s="43">
        <f t="shared" si="246"/>
        <v>-1.4676113360323928E-2</v>
      </c>
      <c r="CF110" s="43">
        <f t="shared" si="246"/>
        <v>0.36200716845878134</v>
      </c>
      <c r="CG110" s="395">
        <f t="shared" si="246"/>
        <v>0.13918286980063987</v>
      </c>
      <c r="CH110" s="53"/>
      <c r="CI110" s="43">
        <f t="shared" si="247"/>
        <v>0.22972972972972983</v>
      </c>
      <c r="CJ110" s="43">
        <f t="shared" si="247"/>
        <v>0.12807881773399021</v>
      </c>
      <c r="CK110" s="43">
        <f t="shared" si="247"/>
        <v>0.34565998972778633</v>
      </c>
      <c r="CL110" s="43">
        <f t="shared" si="247"/>
        <v>7.6315789473684115E-2</v>
      </c>
      <c r="CM110" s="395">
        <f t="shared" si="247"/>
        <v>0.16884519822836763</v>
      </c>
      <c r="CN110" s="53"/>
      <c r="CO110" s="43">
        <f t="shared" si="248"/>
        <v>0.15384615384615374</v>
      </c>
      <c r="CP110" s="43">
        <v>0.38</v>
      </c>
      <c r="CQ110" s="43">
        <v>0.1</v>
      </c>
      <c r="CR110" s="43">
        <v>0.12</v>
      </c>
      <c r="CS110" s="395">
        <f t="shared" si="248"/>
        <v>0.18484288354898326</v>
      </c>
      <c r="CT110" s="53"/>
      <c r="CU110" s="43">
        <f t="shared" si="249"/>
        <v>0.338095238095238</v>
      </c>
      <c r="CV110" s="43">
        <f t="shared" si="249"/>
        <v>1.2578616352201255E-3</v>
      </c>
      <c r="CW110" s="43">
        <f t="shared" si="249"/>
        <v>-6.5292096219931262E-2</v>
      </c>
      <c r="CX110" s="43">
        <f t="shared" si="249"/>
        <v>-3.4557235421166288E-2</v>
      </c>
      <c r="CY110" s="395">
        <f t="shared" si="249"/>
        <v>2.8393135725429008E-2</v>
      </c>
      <c r="CZ110" s="53"/>
      <c r="DA110" s="43">
        <f t="shared" si="250"/>
        <v>-0.22064056939501775</v>
      </c>
      <c r="DB110" s="43">
        <f t="shared" si="250"/>
        <v>2.7010050251256246E-2</v>
      </c>
      <c r="DC110" s="43">
        <f t="shared" si="250"/>
        <v>0.12132352941176472</v>
      </c>
      <c r="DD110" s="43">
        <f t="shared" si="250"/>
        <v>0.15212527964205824</v>
      </c>
      <c r="DE110" s="395">
        <f t="shared" si="250"/>
        <v>3.6104368932038833E-2</v>
      </c>
      <c r="DF110" s="53"/>
      <c r="DG110" s="43">
        <f t="shared" si="251"/>
        <v>0.26027397260273966</v>
      </c>
      <c r="DH110" s="43">
        <f t="shared" si="251"/>
        <v>0.20795107033639137</v>
      </c>
      <c r="DI110" s="43">
        <f t="shared" si="251"/>
        <v>0.31803278688524594</v>
      </c>
      <c r="DJ110" s="43">
        <f t="shared" si="251"/>
        <v>0.24077669902912624</v>
      </c>
      <c r="DK110" s="395">
        <f t="shared" si="251"/>
        <v>0.25329428989751102</v>
      </c>
      <c r="DL110" s="53"/>
      <c r="DM110" s="43">
        <f t="shared" si="252"/>
        <v>0.19927536231884058</v>
      </c>
      <c r="DN110" s="43">
        <f t="shared" si="252"/>
        <v>0.10632911392405053</v>
      </c>
      <c r="DO110" s="43">
        <f t="shared" si="252"/>
        <v>0.12686567164179108</v>
      </c>
      <c r="DP110" s="43">
        <f t="shared" si="252"/>
        <v>8.4507042253521236E-2</v>
      </c>
      <c r="DQ110" s="395">
        <f t="shared" si="252"/>
        <v>0.13084112149532712</v>
      </c>
      <c r="DR110" s="53"/>
      <c r="DS110" s="43">
        <f t="shared" si="253"/>
        <v>7.8549848942598199E-2</v>
      </c>
      <c r="DT110" s="43">
        <f t="shared" si="253"/>
        <v>0.13272311212814647</v>
      </c>
      <c r="DU110" s="43">
        <f t="shared" si="253"/>
        <v>-3.5320088300220709E-2</v>
      </c>
      <c r="DV110" s="43">
        <f t="shared" si="253"/>
        <v>-0.12265512265512268</v>
      </c>
      <c r="DW110" s="395">
        <f t="shared" si="253"/>
        <v>9.4580910840242893E-2</v>
      </c>
      <c r="DX110" s="53"/>
      <c r="DY110" s="43">
        <f t="shared" si="254"/>
        <v>-5.0420168067226934E-2</v>
      </c>
      <c r="DZ110" s="43">
        <f t="shared" si="254"/>
        <v>-0.17171717171717171</v>
      </c>
      <c r="EA110" s="43">
        <f t="shared" si="254"/>
        <v>0.14030842314070835</v>
      </c>
      <c r="EB110" s="43">
        <f t="shared" si="254"/>
        <v>0.26745176209844312</v>
      </c>
      <c r="EC110" s="395">
        <f t="shared" si="254"/>
        <v>2.9398505269946362E-2</v>
      </c>
      <c r="ED110" s="53"/>
      <c r="EE110" s="43">
        <f t="shared" si="255"/>
        <v>0.19378060396760888</v>
      </c>
      <c r="EF110" s="43">
        <f t="shared" si="255"/>
        <v>0.31431066291771015</v>
      </c>
      <c r="EG110" s="43">
        <f t="shared" si="255"/>
        <v>6.2266718446315483E-3</v>
      </c>
      <c r="EH110" s="43">
        <f t="shared" si="255"/>
        <v>-7.1772081295572443E-2</v>
      </c>
      <c r="EI110" s="395">
        <f t="shared" si="255"/>
        <v>-9.6856330422558923E-3</v>
      </c>
      <c r="EJ110" s="53"/>
      <c r="EK110" s="43">
        <f t="shared" si="255"/>
        <v>4.3300357237652243E-4</v>
      </c>
      <c r="EL110" s="43">
        <f t="shared" si="256"/>
        <v>-4.1264373582626468E-2</v>
      </c>
      <c r="EM110" s="43">
        <f t="shared" si="256"/>
        <v>-2.0626674318428795E-2</v>
      </c>
      <c r="EN110" s="43">
        <f t="shared" si="256"/>
        <v>-2.18714567141709E-2</v>
      </c>
      <c r="EO110" s="395">
        <f t="shared" si="256"/>
        <v>-2.2241606151436999E-2</v>
      </c>
      <c r="EP110" s="53"/>
      <c r="EQ110" s="43">
        <f>EQ106/EK106-1</f>
        <v>0.1151936804064051</v>
      </c>
      <c r="ER110" s="43">
        <f t="shared" si="257"/>
        <v>3.9909034670674082E-2</v>
      </c>
      <c r="ES110" s="43">
        <f t="shared" si="257"/>
        <v>8.6347066531187844E-2</v>
      </c>
      <c r="ET110" s="43">
        <f t="shared" si="257"/>
        <v>0.10508303185121703</v>
      </c>
      <c r="EU110" s="395">
        <f t="shared" si="258"/>
        <v>8.6724135226129873E-2</v>
      </c>
      <c r="EV110" s="53"/>
      <c r="EW110" s="43">
        <f t="shared" si="259"/>
        <v>0.17195602592473946</v>
      </c>
      <c r="EX110" s="43">
        <f t="shared" si="259"/>
        <v>0.14394305391900297</v>
      </c>
      <c r="EY110" s="43">
        <f t="shared" si="259"/>
        <v>8.8263163885074603E-2</v>
      </c>
      <c r="EZ110" s="43">
        <f t="shared" si="259"/>
        <v>1.7449184212120272E-2</v>
      </c>
      <c r="FA110" s="395">
        <f t="shared" si="259"/>
        <v>9.3904766562315167E-2</v>
      </c>
      <c r="FB110" s="53"/>
      <c r="FC110" s="43">
        <f t="shared" si="260"/>
        <v>9.5375547875325983E-2</v>
      </c>
      <c r="FD110" s="43">
        <f t="shared" si="260"/>
        <v>7.6707574190452821E-2</v>
      </c>
      <c r="FE110" s="43">
        <f t="shared" si="260"/>
        <v>8.3437172385395941E-2</v>
      </c>
      <c r="FF110" s="43">
        <f t="shared" si="260"/>
        <v>5.3124460982744148E-2</v>
      </c>
      <c r="FG110" s="395">
        <f t="shared" si="260"/>
        <v>7.4809041635105933E-2</v>
      </c>
      <c r="FH110" s="53"/>
      <c r="FI110" s="43">
        <f t="shared" si="261"/>
        <v>0.11157678971453877</v>
      </c>
      <c r="FJ110" s="43">
        <f t="shared" si="262"/>
        <v>8.4754374534218524E-2</v>
      </c>
      <c r="FK110" s="43">
        <f t="shared" si="263"/>
        <v>8.3915814476531958E-2</v>
      </c>
      <c r="FL110" s="43">
        <f t="shared" si="264"/>
        <v>5.9877547969358291E-2</v>
      </c>
      <c r="FM110" s="395">
        <f t="shared" si="265"/>
        <v>8.2682938222004454E-2</v>
      </c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</row>
    <row r="111" spans="1:274" s="24" customFormat="1" x14ac:dyDescent="0.2">
      <c r="A111" s="58" t="s">
        <v>701</v>
      </c>
      <c r="B111" s="1040"/>
      <c r="C111" s="50"/>
      <c r="D111" s="50"/>
      <c r="E111" s="50"/>
      <c r="F111" s="50"/>
      <c r="G111" s="50"/>
      <c r="H111" s="50"/>
      <c r="I111" s="50"/>
      <c r="J111" s="50"/>
      <c r="K111" s="50"/>
      <c r="L111" s="50"/>
      <c r="M111" s="50"/>
      <c r="N111" s="342"/>
      <c r="O111" s="50"/>
      <c r="P111" s="50"/>
      <c r="Q111" s="50"/>
      <c r="R111" s="50"/>
      <c r="S111" s="50"/>
      <c r="T111" s="342"/>
      <c r="U111" s="50"/>
      <c r="V111" s="50"/>
      <c r="W111" s="50"/>
      <c r="X111" s="50"/>
      <c r="Y111" s="50"/>
      <c r="Z111" s="53"/>
      <c r="AA111" s="342"/>
      <c r="AB111" s="342"/>
      <c r="AC111" s="342"/>
      <c r="AD111" s="342"/>
      <c r="AE111" s="342"/>
      <c r="AF111" s="53"/>
      <c r="AG111" s="342"/>
      <c r="AH111" s="342"/>
      <c r="AI111" s="342"/>
      <c r="AJ111" s="342"/>
      <c r="AK111" s="342"/>
      <c r="AL111" s="53"/>
      <c r="AM111" s="342"/>
      <c r="AN111" s="342"/>
      <c r="AO111" s="342"/>
      <c r="AP111" s="342"/>
      <c r="AQ111" s="342"/>
      <c r="AR111" s="53"/>
      <c r="AS111" s="342"/>
      <c r="AT111" s="342"/>
      <c r="AU111" s="342"/>
      <c r="AV111" s="342"/>
      <c r="AW111" s="342"/>
      <c r="AX111" s="53"/>
      <c r="AY111" s="342"/>
      <c r="AZ111" s="342"/>
      <c r="BA111" s="342"/>
      <c r="BB111" s="342"/>
      <c r="BC111" s="342"/>
      <c r="BD111" s="53"/>
      <c r="BE111" s="342"/>
      <c r="BF111" s="342"/>
      <c r="BG111" s="342"/>
      <c r="BH111" s="342"/>
      <c r="BI111" s="342"/>
      <c r="BJ111" s="53"/>
      <c r="BK111" s="342"/>
      <c r="BL111" s="342"/>
      <c r="BM111" s="342"/>
      <c r="BN111" s="342"/>
      <c r="BO111" s="342"/>
      <c r="BP111" s="53"/>
      <c r="BQ111" s="342"/>
      <c r="BR111" s="342"/>
      <c r="BS111" s="342"/>
      <c r="BT111" s="342"/>
      <c r="BU111" s="342"/>
      <c r="BV111" s="53"/>
      <c r="BW111" s="342"/>
      <c r="BX111" s="342"/>
      <c r="BY111" s="342"/>
      <c r="BZ111" s="342"/>
      <c r="CA111" s="342"/>
      <c r="CB111" s="53"/>
      <c r="CC111" s="342"/>
      <c r="CD111" s="342"/>
      <c r="CE111" s="342"/>
      <c r="CF111" s="342"/>
      <c r="CG111" s="147"/>
      <c r="CH111" s="53"/>
      <c r="CI111" s="342"/>
      <c r="CJ111" s="342"/>
      <c r="CK111" s="342"/>
      <c r="CL111" s="342"/>
      <c r="CM111" s="147"/>
      <c r="CN111" s="53"/>
      <c r="CO111" s="342"/>
      <c r="CP111" s="342"/>
      <c r="CQ111" s="342"/>
      <c r="CR111" s="342"/>
      <c r="CS111" s="147"/>
      <c r="CT111" s="53"/>
      <c r="CU111" s="342"/>
      <c r="CV111" s="342"/>
      <c r="CW111" s="342"/>
      <c r="CX111" s="342"/>
      <c r="CY111" s="147"/>
      <c r="CZ111" s="53"/>
      <c r="DA111" s="342"/>
      <c r="DB111" s="342"/>
      <c r="DC111" s="342"/>
      <c r="DD111" s="342"/>
      <c r="DE111" s="147"/>
      <c r="DF111" s="53"/>
      <c r="DG111" s="342"/>
      <c r="DH111" s="342"/>
      <c r="DI111" s="342"/>
      <c r="DJ111" s="342"/>
      <c r="DK111" s="147"/>
      <c r="DL111" s="53"/>
      <c r="DM111" s="342"/>
      <c r="DN111" s="342"/>
      <c r="DO111" s="342"/>
      <c r="DP111" s="342"/>
      <c r="DQ111" s="147"/>
      <c r="DR111" s="53"/>
      <c r="DS111" s="342"/>
      <c r="DT111" s="342"/>
      <c r="DU111" s="342"/>
      <c r="DV111" s="342"/>
      <c r="DW111" s="147"/>
      <c r="DX111" s="53"/>
      <c r="DY111" s="342"/>
      <c r="DZ111" s="342"/>
      <c r="EA111" s="342"/>
      <c r="EB111" s="342"/>
      <c r="EC111" s="147"/>
      <c r="ED111" s="53"/>
      <c r="EE111" s="342"/>
      <c r="EF111" s="342"/>
      <c r="EG111" s="342"/>
      <c r="EH111" s="342"/>
      <c r="EI111" s="147"/>
      <c r="EJ111" s="53"/>
      <c r="EK111" s="342"/>
      <c r="EL111" s="342"/>
      <c r="EM111" s="342"/>
      <c r="EN111" s="342"/>
      <c r="EO111" s="147"/>
      <c r="EP111" s="53"/>
      <c r="EQ111" s="342"/>
      <c r="ER111" s="342"/>
      <c r="ES111" s="342"/>
      <c r="ET111" s="342"/>
      <c r="EU111" s="147"/>
      <c r="EV111" s="53"/>
      <c r="EW111" s="342"/>
      <c r="EX111" s="342"/>
      <c r="EY111" s="342"/>
      <c r="EZ111" s="342"/>
      <c r="FA111" s="147"/>
      <c r="FB111" s="53"/>
      <c r="FC111" s="342"/>
      <c r="FD111" s="342"/>
      <c r="FE111" s="342"/>
      <c r="FF111" s="342"/>
      <c r="FG111" s="147"/>
      <c r="FH111" s="53"/>
      <c r="FI111" s="342"/>
      <c r="FJ111" s="342"/>
      <c r="FK111" s="342"/>
      <c r="FL111" s="342"/>
      <c r="FM111" s="147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</row>
    <row r="112" spans="1:274" s="24" customFormat="1" hidden="1" outlineLevel="1" x14ac:dyDescent="0.2">
      <c r="A112" s="342" t="s">
        <v>109</v>
      </c>
      <c r="B112" s="414"/>
      <c r="C112" s="50" t="s">
        <v>945</v>
      </c>
      <c r="D112" s="50" t="s">
        <v>945</v>
      </c>
      <c r="E112" s="50" t="s">
        <v>945</v>
      </c>
      <c r="F112" s="50" t="s">
        <v>945</v>
      </c>
      <c r="G112" s="50" t="s">
        <v>945</v>
      </c>
      <c r="H112" s="50" t="s">
        <v>945</v>
      </c>
      <c r="I112" s="50" t="s">
        <v>945</v>
      </c>
      <c r="J112" s="50" t="s">
        <v>945</v>
      </c>
      <c r="K112" s="50" t="s">
        <v>945</v>
      </c>
      <c r="L112" s="50" t="s">
        <v>945</v>
      </c>
      <c r="M112" s="50" t="s">
        <v>945</v>
      </c>
      <c r="N112" s="342"/>
      <c r="O112" s="50" t="s">
        <v>945</v>
      </c>
      <c r="P112" s="50" t="s">
        <v>945</v>
      </c>
      <c r="Q112" s="50" t="s">
        <v>945</v>
      </c>
      <c r="R112" s="50" t="s">
        <v>945</v>
      </c>
      <c r="S112" s="50" t="s">
        <v>945</v>
      </c>
      <c r="T112" s="342"/>
      <c r="U112" s="50" t="s">
        <v>945</v>
      </c>
      <c r="V112" s="50" t="s">
        <v>945</v>
      </c>
      <c r="W112" s="50" t="s">
        <v>945</v>
      </c>
      <c r="X112" s="50" t="s">
        <v>945</v>
      </c>
      <c r="Y112" s="50" t="s">
        <v>945</v>
      </c>
      <c r="Z112" s="53"/>
      <c r="AA112" s="49">
        <f>(AA102/AA104*0.49)+(AA103/AA104*-0.15)</f>
        <v>0.39870565031266109</v>
      </c>
      <c r="AB112" s="49">
        <f>(AB102/AB104*0.55)+(AB103/AB104*0.12)</f>
        <v>0.48941495923101397</v>
      </c>
      <c r="AC112" s="49">
        <f>(AC102/AC104*0.38)+(AC103/AC104*-0.1)</f>
        <v>0.30969570889000675</v>
      </c>
      <c r="AD112" s="49">
        <f>(AD102/AD104*0.26)+(AD103/AD104*-0.24)</f>
        <v>0.20785414932609045</v>
      </c>
      <c r="AE112" s="49">
        <f>(AE102/AE104*0.4)+(AE103/AE104*-0.1)</f>
        <v>0.33400150725472183</v>
      </c>
      <c r="AF112" s="53"/>
      <c r="AG112" s="49">
        <f>(AG102/AG104*0.22)+(AG103/AG104*0.04)</f>
        <v>0.19739761248852158</v>
      </c>
      <c r="AH112" s="49">
        <f>(AH102/AH104*-0.01)+(AH103/AH104*-0.3)</f>
        <v>-3.9852822971811856E-2</v>
      </c>
      <c r="AI112" s="49">
        <f>(AI102/AI104*-0.14)+(AI103/AI104*-0.28)</f>
        <v>-0.15688254486133768</v>
      </c>
      <c r="AJ112" s="49">
        <f>(AJ102/AJ104*-0.16)+(AJ103/AJ104*-0.2)</f>
        <v>-0.16396038375651312</v>
      </c>
      <c r="AK112" s="49">
        <f>(AK102/AK104*-0.05)+(AK103/AK104*-0.2)</f>
        <v>-6.6734397304492085E-2</v>
      </c>
      <c r="AL112" s="53"/>
      <c r="AM112" s="49">
        <f>(AM102/AM104*0.11)+(AM103/AM104*-0.22)</f>
        <v>8.0263208155274907E-2</v>
      </c>
      <c r="AN112" s="49">
        <f>(AN102/AN104*0.11)+(AN103/AN104*-0.12)</f>
        <v>9.1480816732713743E-2</v>
      </c>
      <c r="AO112" s="49">
        <f>(AO102/AO104*0.02)+(AO103/AO104*2.27)</f>
        <v>0.19860098961270489</v>
      </c>
      <c r="AP112" s="49">
        <f>(AP102/AP104*1.03)+(AP103/AP104*2.4)</f>
        <v>1.1473539698829245</v>
      </c>
      <c r="AQ112" s="49">
        <f>(AQ102/AQ104*0.09)+(AQ103/AQ104*1.02)</f>
        <v>0.16780913586783625</v>
      </c>
      <c r="AR112" s="53"/>
      <c r="AS112" s="49">
        <f>(AS102/AS104*0.1)+(AS103/AS104*-0.01)</f>
        <v>9.1376408968677089E-2</v>
      </c>
      <c r="AT112" s="49">
        <f>(AT102/AT104*0.15)+(AT103/AT104*0.06)</f>
        <v>0.14350721905303215</v>
      </c>
      <c r="AU112" s="49">
        <f>(AU102/AU104*0.22)+(AU103/AU104*1.14)</f>
        <v>0.28734077386191598</v>
      </c>
      <c r="AV112" s="49">
        <f>(AV102/AV104*0.31)+(AV103/AV104*0.09)</f>
        <v>0.2944088334990968</v>
      </c>
      <c r="AW112" s="43">
        <f>(AW102/AW104*0.21)+(AW103/AW104*0.07)</f>
        <v>0.19976574402497285</v>
      </c>
      <c r="AX112" s="53"/>
      <c r="AY112" s="43">
        <v>0.33</v>
      </c>
      <c r="AZ112" s="43">
        <v>0.38</v>
      </c>
      <c r="BA112" s="43">
        <v>0.28999999999999998</v>
      </c>
      <c r="BB112" s="43">
        <v>0.19</v>
      </c>
      <c r="BC112" s="43">
        <v>0.28000000000000003</v>
      </c>
      <c r="BD112" s="53"/>
      <c r="BE112" s="43">
        <v>0.27</v>
      </c>
      <c r="BF112" s="43">
        <v>-0.11</v>
      </c>
      <c r="BG112" s="43">
        <v>-0.28000000000000003</v>
      </c>
      <c r="BH112" s="43">
        <v>-0.27</v>
      </c>
      <c r="BI112" s="43">
        <v>-0.12</v>
      </c>
      <c r="BJ112" s="53"/>
      <c r="BK112" s="43">
        <v>-0.45</v>
      </c>
      <c r="BL112" s="43">
        <v>-0.17</v>
      </c>
      <c r="BM112" s="43">
        <v>-0.01</v>
      </c>
      <c r="BN112" s="43">
        <v>0.08</v>
      </c>
      <c r="BO112" s="43">
        <v>-0.15</v>
      </c>
      <c r="BP112" s="53"/>
      <c r="BQ112" s="43">
        <v>7.0000000000000007E-2</v>
      </c>
      <c r="BR112" s="43">
        <v>0.08</v>
      </c>
      <c r="BS112" s="43">
        <v>0.2</v>
      </c>
      <c r="BT112" s="43">
        <v>0.1</v>
      </c>
      <c r="BU112" s="43">
        <v>0.11</v>
      </c>
      <c r="BV112" s="53"/>
      <c r="BW112" s="52">
        <v>0.21</v>
      </c>
      <c r="BX112" s="52">
        <v>0.03</v>
      </c>
      <c r="BY112" s="52">
        <v>0.03</v>
      </c>
      <c r="BZ112" s="52">
        <v>7.0000000000000007E-2</v>
      </c>
      <c r="CA112" s="52">
        <v>0.08</v>
      </c>
      <c r="CB112" s="53"/>
      <c r="CC112" s="52">
        <v>0</v>
      </c>
      <c r="CD112" s="52">
        <v>0.14000000000000001</v>
      </c>
      <c r="CE112" s="52">
        <v>0.06</v>
      </c>
      <c r="CF112" s="52">
        <v>0.34</v>
      </c>
      <c r="CG112" s="149">
        <v>0.16</v>
      </c>
      <c r="CH112" s="53"/>
      <c r="CI112" s="52">
        <v>0.13</v>
      </c>
      <c r="CJ112" s="52">
        <v>0.02</v>
      </c>
      <c r="CK112" s="52">
        <v>0.24</v>
      </c>
      <c r="CL112" s="52">
        <v>7.0000000000000007E-2</v>
      </c>
      <c r="CM112" s="149">
        <v>0.11</v>
      </c>
      <c r="CN112" s="53"/>
      <c r="CO112" s="52">
        <v>0.01</v>
      </c>
      <c r="CP112" s="52">
        <v>0.25</v>
      </c>
      <c r="CQ112" s="52">
        <v>-0.01</v>
      </c>
      <c r="CR112" s="52">
        <v>-0.03</v>
      </c>
      <c r="CS112" s="149">
        <v>0.04</v>
      </c>
      <c r="CT112" s="53"/>
      <c r="CU112" s="52">
        <v>0.38</v>
      </c>
      <c r="CV112" s="52">
        <v>0.08</v>
      </c>
      <c r="CW112" s="52">
        <v>0.01</v>
      </c>
      <c r="CX112" s="52">
        <f>CX108-CX20</f>
        <v>4.0470300416282634E-2</v>
      </c>
      <c r="CY112" s="149">
        <f>CY108-CY20</f>
        <v>0.12062436028659169</v>
      </c>
      <c r="CZ112" s="53"/>
      <c r="DA112" s="52">
        <v>-0.22</v>
      </c>
      <c r="DB112" s="52">
        <f>DB108-DB20</f>
        <v>-0.10530245872404698</v>
      </c>
      <c r="DC112" s="52">
        <f>DC108-DC20</f>
        <v>-6.4164507529611559E-3</v>
      </c>
      <c r="DD112" s="52">
        <f>DD108-DD20</f>
        <v>0.11156164096052512</v>
      </c>
      <c r="DE112" s="149">
        <f>DE108-DE20</f>
        <v>-7.1056111887115803E-2</v>
      </c>
      <c r="DF112" s="1068"/>
      <c r="DG112" s="52">
        <f>DG108-DG20</f>
        <v>9.2900455628160516E-2</v>
      </c>
      <c r="DH112" s="52">
        <f>DH108-DH20</f>
        <v>0.2286250903975271</v>
      </c>
      <c r="DI112" s="52">
        <f>DI108-DI20</f>
        <v>0.18062883105210403</v>
      </c>
      <c r="DJ112" s="52">
        <f>DJ108-DJ20</f>
        <v>7.2071758751574233E-2</v>
      </c>
      <c r="DK112" s="149">
        <f>DK108-DK20</f>
        <v>0.1428169390497267</v>
      </c>
      <c r="DL112" s="1068"/>
      <c r="DM112" s="52">
        <f>DM108-DM20</f>
        <v>0.16358490566037742</v>
      </c>
      <c r="DN112" s="52">
        <f>DN108-DN20</f>
        <v>7.9448592439957721E-2</v>
      </c>
      <c r="DO112" s="52">
        <v>0.16</v>
      </c>
      <c r="DP112" s="52">
        <f>DP108-DP20</f>
        <v>0.1480927835051547</v>
      </c>
      <c r="DQ112" s="166">
        <f>DQ108-DQ20</f>
        <v>0.11016972724036145</v>
      </c>
      <c r="DR112" s="1068"/>
      <c r="DS112" s="55">
        <f>DS108-DS20</f>
        <v>7.0000000000000256E-2</v>
      </c>
      <c r="DT112" s="55">
        <f>DT108-DT20</f>
        <v>0.1100000000000001</v>
      </c>
      <c r="DU112" s="55">
        <f>DU108-DU20</f>
        <v>9.0000000000000274E-2</v>
      </c>
      <c r="DV112" s="55">
        <f>DV108-DV20</f>
        <v>0.16000000000000031</v>
      </c>
      <c r="DW112" s="166">
        <f>DW108-DW20</f>
        <v>0.12153398058252438</v>
      </c>
      <c r="DX112" s="1068"/>
      <c r="DY112" s="55">
        <f>DY108-DY20</f>
        <v>0.28549099892295859</v>
      </c>
      <c r="DZ112" s="55">
        <f>DZ108-DZ20</f>
        <v>0.17804911072169349</v>
      </c>
      <c r="EA112" s="55">
        <f>EA108-EA20</f>
        <v>0.17753491568540092</v>
      </c>
      <c r="EB112" s="55">
        <f>EB108-EB20</f>
        <v>4.3221525461235588E-2</v>
      </c>
      <c r="EC112" s="166">
        <f>EC108-EC20</f>
        <v>0.14359221658806276</v>
      </c>
      <c r="ED112" s="1068"/>
      <c r="EE112" s="55">
        <f>EE108-EE20</f>
        <v>-2.0000000000000344E-2</v>
      </c>
      <c r="EF112" s="55">
        <f>EF108-EF20</f>
        <v>5.9999999999999568E-2</v>
      </c>
      <c r="EG112" s="55">
        <f>EG108-EG20</f>
        <v>0.06</v>
      </c>
      <c r="EH112" s="55">
        <f>EH108-EH20</f>
        <v>-6.9028338362403952E-3</v>
      </c>
      <c r="EI112" s="166">
        <f>EI108-EI20</f>
        <v>4.1335752881276291E-2</v>
      </c>
      <c r="EJ112" s="1068"/>
      <c r="EK112" s="55">
        <f>EK108-EK20</f>
        <v>0.1150000000000001</v>
      </c>
      <c r="EL112" s="55">
        <f>EL108-EL20</f>
        <v>7.4999999999999983E-2</v>
      </c>
      <c r="EM112" s="55">
        <f>EM108-EM20</f>
        <v>4.5000000000000213E-2</v>
      </c>
      <c r="EN112" s="55">
        <f>EN108-EN20</f>
        <v>-8.9999999999999022E-3</v>
      </c>
      <c r="EO112" s="166">
        <f>EO108-EO20</f>
        <v>5.2561754385965012E-2</v>
      </c>
      <c r="EP112" s="1068"/>
      <c r="EQ112" s="55">
        <f>EQ108-EQ20</f>
        <v>-5.1768848384423763E-2</v>
      </c>
      <c r="ER112" s="55">
        <f>ER108-ER20</f>
        <v>-1.6954314720812165E-2</v>
      </c>
      <c r="ES112" s="55">
        <f>ES108-ES20</f>
        <v>5.0000000000001328E-3</v>
      </c>
      <c r="ET112" s="55">
        <f>ET108-ET20</f>
        <v>-1.4999999999999902E-2</v>
      </c>
      <c r="EU112" s="166">
        <f>EU108-EU20</f>
        <v>-1.9416915283238568E-2</v>
      </c>
      <c r="EV112" s="1068"/>
      <c r="EW112" s="55">
        <f>EW108-EW20</f>
        <v>-1.5000000000000013E-2</v>
      </c>
      <c r="EX112" s="55">
        <f>EX108-EX20</f>
        <v>5.0000000000000051E-2</v>
      </c>
      <c r="EY112" s="55">
        <f>EY108-EY20</f>
        <v>3.0000000000000068E-2</v>
      </c>
      <c r="EZ112" s="55">
        <f>EZ108-EZ20</f>
        <v>2.2500000000000357E-2</v>
      </c>
      <c r="FA112" s="166">
        <f>FA108-FA20</f>
        <v>2.4813341393227599E-2</v>
      </c>
      <c r="FB112" s="1068"/>
      <c r="FC112" s="55">
        <f>FC108-FC20</f>
        <v>2.1000000000000133E-2</v>
      </c>
      <c r="FD112" s="55">
        <f>FD108-FD20</f>
        <v>2.0999999999999911E-2</v>
      </c>
      <c r="FE112" s="55">
        <f>FE108-FE20</f>
        <v>2.3000000000000131E-2</v>
      </c>
      <c r="FF112" s="55">
        <f>FF108-FF20</f>
        <v>2.4999999999999911E-2</v>
      </c>
      <c r="FG112" s="166">
        <f>FG108-FG20</f>
        <v>2.4999999999999911E-2</v>
      </c>
      <c r="FH112" s="1068"/>
      <c r="FI112" s="55">
        <f>FI108-FI20</f>
        <v>2.5000000000000133E-2</v>
      </c>
      <c r="FJ112" s="55">
        <f>FJ108-FJ20</f>
        <v>2.4999999999999689E-2</v>
      </c>
      <c r="FK112" s="55">
        <f>FK108-FK20</f>
        <v>2.5000000000000355E-2</v>
      </c>
      <c r="FL112" s="55">
        <f>FL108-FL20</f>
        <v>2.5000000000000133E-2</v>
      </c>
      <c r="FM112" s="166">
        <f>FM108-FM20</f>
        <v>2.4999999999999911E-2</v>
      </c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</row>
    <row r="113" spans="1:274" s="24" customFormat="1" hidden="1" outlineLevel="1" x14ac:dyDescent="0.2">
      <c r="A113" s="342" t="s">
        <v>697</v>
      </c>
      <c r="B113" s="1040"/>
      <c r="C113" s="50" t="s">
        <v>945</v>
      </c>
      <c r="D113" s="50" t="s">
        <v>945</v>
      </c>
      <c r="E113" s="50" t="s">
        <v>945</v>
      </c>
      <c r="F113" s="50" t="s">
        <v>945</v>
      </c>
      <c r="G113" s="50" t="s">
        <v>945</v>
      </c>
      <c r="H113" s="50" t="s">
        <v>945</v>
      </c>
      <c r="I113" s="50" t="s">
        <v>945</v>
      </c>
      <c r="J113" s="50" t="s">
        <v>945</v>
      </c>
      <c r="K113" s="50" t="s">
        <v>945</v>
      </c>
      <c r="L113" s="50" t="s">
        <v>945</v>
      </c>
      <c r="M113" s="50" t="s">
        <v>945</v>
      </c>
      <c r="N113" s="342"/>
      <c r="O113" s="50" t="s">
        <v>945</v>
      </c>
      <c r="P113" s="50" t="s">
        <v>945</v>
      </c>
      <c r="Q113" s="50" t="s">
        <v>945</v>
      </c>
      <c r="R113" s="50" t="s">
        <v>945</v>
      </c>
      <c r="S113" s="50" t="s">
        <v>945</v>
      </c>
      <c r="T113" s="342"/>
      <c r="U113" s="50" t="s">
        <v>945</v>
      </c>
      <c r="V113" s="50" t="s">
        <v>945</v>
      </c>
      <c r="W113" s="50" t="s">
        <v>945</v>
      </c>
      <c r="X113" s="50" t="s">
        <v>945</v>
      </c>
      <c r="Y113" s="50" t="s">
        <v>945</v>
      </c>
      <c r="Z113" s="53"/>
      <c r="AA113" s="49">
        <v>0.34</v>
      </c>
      <c r="AB113" s="49">
        <v>0.2</v>
      </c>
      <c r="AC113" s="49">
        <v>0.52</v>
      </c>
      <c r="AD113" s="49">
        <v>0.22</v>
      </c>
      <c r="AE113" s="49">
        <v>0.28999999999999998</v>
      </c>
      <c r="AF113" s="53"/>
      <c r="AG113" s="49">
        <v>2.76</v>
      </c>
      <c r="AH113" s="49">
        <v>0.14000000000000001</v>
      </c>
      <c r="AI113" s="49">
        <v>0.28000000000000003</v>
      </c>
      <c r="AJ113" s="49">
        <v>-0.31</v>
      </c>
      <c r="AK113" s="49">
        <v>0.41</v>
      </c>
      <c r="AL113" s="53"/>
      <c r="AM113" s="49">
        <v>-0.47</v>
      </c>
      <c r="AN113" s="49">
        <v>0.34</v>
      </c>
      <c r="AO113" s="49">
        <v>0.06</v>
      </c>
      <c r="AP113" s="49">
        <v>1.1100000000000001</v>
      </c>
      <c r="AQ113" s="49">
        <v>0.11</v>
      </c>
      <c r="AR113" s="53"/>
      <c r="AS113" s="49">
        <v>0.3</v>
      </c>
      <c r="AT113" s="49">
        <v>0.78</v>
      </c>
      <c r="AU113" s="49">
        <v>0.63</v>
      </c>
      <c r="AV113" s="49">
        <v>0.73</v>
      </c>
      <c r="AW113" s="43">
        <v>0.64</v>
      </c>
      <c r="AX113" s="53"/>
      <c r="AY113" s="43">
        <v>0.33</v>
      </c>
      <c r="AZ113" s="43">
        <v>0.91</v>
      </c>
      <c r="BA113" s="43">
        <v>0.64</v>
      </c>
      <c r="BB113" s="43">
        <v>0.56000000000000005</v>
      </c>
      <c r="BC113" s="43">
        <v>0.62</v>
      </c>
      <c r="BD113" s="53"/>
      <c r="BE113" s="43">
        <v>-0.12</v>
      </c>
      <c r="BF113" s="43">
        <v>-0.18</v>
      </c>
      <c r="BG113" s="43">
        <v>-0.21</v>
      </c>
      <c r="BH113" s="43">
        <v>-0.25</v>
      </c>
      <c r="BI113" s="43">
        <v>-0.2</v>
      </c>
      <c r="BJ113" s="53"/>
      <c r="BK113" s="43">
        <v>0.8</v>
      </c>
      <c r="BL113" s="43">
        <v>-0.32</v>
      </c>
      <c r="BM113" s="43">
        <v>0.26</v>
      </c>
      <c r="BN113" s="43">
        <v>0.19</v>
      </c>
      <c r="BO113" s="43">
        <v>0.14000000000000001</v>
      </c>
      <c r="BP113" s="53"/>
      <c r="BQ113" s="43">
        <v>-0.48</v>
      </c>
      <c r="BR113" s="43">
        <v>-0.25</v>
      </c>
      <c r="BS113" s="43">
        <v>-0.32</v>
      </c>
      <c r="BT113" s="43">
        <v>-0.35</v>
      </c>
      <c r="BU113" s="43">
        <v>-0.35</v>
      </c>
      <c r="BV113" s="53"/>
      <c r="BW113" s="52">
        <v>0</v>
      </c>
      <c r="BX113" s="52">
        <v>0.38</v>
      </c>
      <c r="BY113" s="52">
        <v>0.23</v>
      </c>
      <c r="BZ113" s="52">
        <v>0.72</v>
      </c>
      <c r="CA113" s="52">
        <v>0.42</v>
      </c>
      <c r="CB113" s="53"/>
      <c r="CC113" s="52">
        <v>0.23</v>
      </c>
      <c r="CD113" s="52">
        <v>0.5</v>
      </c>
      <c r="CE113" s="52">
        <v>0.6</v>
      </c>
      <c r="CF113" s="52">
        <v>0.96</v>
      </c>
      <c r="CG113" s="149">
        <v>0.71</v>
      </c>
      <c r="CH113" s="53"/>
      <c r="CI113" s="52">
        <v>1.25</v>
      </c>
      <c r="CJ113" s="52">
        <v>0.53</v>
      </c>
      <c r="CK113" s="52">
        <v>0.83</v>
      </c>
      <c r="CL113" s="52">
        <v>-0.04</v>
      </c>
      <c r="CM113" s="149">
        <v>0.33</v>
      </c>
      <c r="CN113" s="53"/>
      <c r="CO113" s="52">
        <v>0.6</v>
      </c>
      <c r="CP113" s="52">
        <v>0.56999999999999995</v>
      </c>
      <c r="CQ113" s="52">
        <v>0.05</v>
      </c>
      <c r="CR113" s="52">
        <v>0.27</v>
      </c>
      <c r="CS113" s="149">
        <v>0.33</v>
      </c>
      <c r="CT113" s="53"/>
      <c r="CU113" s="52">
        <v>-0.01</v>
      </c>
      <c r="CV113" s="52">
        <v>-0.02</v>
      </c>
      <c r="CW113" s="52">
        <v>-0.02</v>
      </c>
      <c r="CX113" s="52">
        <f>CX109-CX20</f>
        <v>-5.911667723191949E-2</v>
      </c>
      <c r="CY113" s="149">
        <f>CY109-CY20</f>
        <v>-5.6885245901639389E-2</v>
      </c>
      <c r="CZ113" s="53"/>
      <c r="DA113" s="52">
        <v>-0.23</v>
      </c>
      <c r="DB113" s="52">
        <f>DB109-DB20</f>
        <v>5.0038668263025388E-2</v>
      </c>
      <c r="DC113" s="52">
        <f>DC109-DC20</f>
        <v>0.18129040503900118</v>
      </c>
      <c r="DD113" s="52">
        <f>DD109-DD20</f>
        <v>-6.3864417313251653E-2</v>
      </c>
      <c r="DE113" s="149">
        <f>DE109-DE20</f>
        <v>-6.2888503236020465E-2</v>
      </c>
      <c r="DF113" s="1068"/>
      <c r="DG113" s="52">
        <f>DG109-DG20</f>
        <v>0.41896986644333389</v>
      </c>
      <c r="DH113" s="52">
        <f>DH109-DH20</f>
        <v>-5.6727083046545834E-2</v>
      </c>
      <c r="DI113" s="52">
        <f>DI109-DI20</f>
        <v>0.34491454533781818</v>
      </c>
      <c r="DJ113" s="52">
        <f>DJ109-DJ20</f>
        <v>0.29033451466064464</v>
      </c>
      <c r="DK113" s="149">
        <f>DK109-DK20</f>
        <v>0.23645548009265704</v>
      </c>
      <c r="DL113" s="1068"/>
      <c r="DM113" s="52">
        <f>DM109-DM20</f>
        <v>-0.15687499999999999</v>
      </c>
      <c r="DN113" s="52">
        <f>DN109-DN20</f>
        <v>-8.4552095554538353E-2</v>
      </c>
      <c r="DO113" s="52">
        <v>-0.09</v>
      </c>
      <c r="DP113" s="52">
        <f>DP109-DP20</f>
        <v>0.21383116883116876</v>
      </c>
      <c r="DQ113" s="166">
        <f>DQ109-DQ20</f>
        <v>-9.9983650315664807E-3</v>
      </c>
      <c r="DR113" s="1068"/>
      <c r="DS113" s="55">
        <f>DS109-DS20</f>
        <v>0.5571261183570364</v>
      </c>
      <c r="DT113" s="55">
        <f>DT109-DT20</f>
        <v>0.55932209813577183</v>
      </c>
      <c r="DU113" s="55">
        <f>DU109-DU20</f>
        <v>5.5886665099836606E-2</v>
      </c>
      <c r="DV113" s="55">
        <f>DV109-DV20</f>
        <v>-3.2386277280890427E-2</v>
      </c>
      <c r="DW113" s="166">
        <f>DW109-DW20</f>
        <v>0.18613463781767223</v>
      </c>
      <c r="DX113" s="1068"/>
      <c r="DY113" s="55">
        <f>DY109-DY20</f>
        <v>0.10049720420611663</v>
      </c>
      <c r="DZ113" s="55">
        <f>DZ109-DZ20</f>
        <v>0.12231076101939864</v>
      </c>
      <c r="EA113" s="55">
        <f>EA109-EA20</f>
        <v>8.2659450181346128E-2</v>
      </c>
      <c r="EB113" s="55">
        <f>EB109-EB20</f>
        <v>0.10420191935840317</v>
      </c>
      <c r="EC113" s="166">
        <f>EC109-EC20</f>
        <v>9.7802255271927097E-2</v>
      </c>
      <c r="ED113" s="1068"/>
      <c r="EE113" s="55">
        <f>EE109-EE20</f>
        <v>0.14750495080001569</v>
      </c>
      <c r="EF113" s="55">
        <f>EF109-EF20</f>
        <v>0.20802520773554861</v>
      </c>
      <c r="EG113" s="55">
        <f>EG109-EG20</f>
        <v>0.16203235073041594</v>
      </c>
      <c r="EH113" s="55">
        <f>EH109-EH20</f>
        <v>-0.23413666155229201</v>
      </c>
      <c r="EI113" s="166">
        <f>EI109-EI20</f>
        <v>3.6330370036991091E-2</v>
      </c>
      <c r="EJ113" s="1068"/>
      <c r="EK113" s="55">
        <f>EK109-EK20</f>
        <v>0.17803121080237261</v>
      </c>
      <c r="EL113" s="55">
        <f>EL109-EL20</f>
        <v>-4.1723947334321138E-2</v>
      </c>
      <c r="EM113" s="55">
        <f>EM109-EM20</f>
        <v>1.2399779472243751E-2</v>
      </c>
      <c r="EN113" s="55">
        <f>EN109-EN20</f>
        <v>-4.6189531465848484E-2</v>
      </c>
      <c r="EO113" s="166">
        <f>EO109-EO20</f>
        <v>1.6930344456073901E-2</v>
      </c>
      <c r="EP113" s="1068"/>
      <c r="EQ113" s="55">
        <f>EQ109-EQ20</f>
        <v>0.45581628227617266</v>
      </c>
      <c r="ER113" s="55">
        <f>ER109-ER20</f>
        <v>8.0743345870275818E-2</v>
      </c>
      <c r="ES113" s="55">
        <f>ES109-ES20</f>
        <v>0.3705035046443439</v>
      </c>
      <c r="ET113" s="55">
        <f>ET109-ET20</f>
        <v>0.6556994768454989</v>
      </c>
      <c r="EU113" s="166">
        <f>EU109-EU20</f>
        <v>0.40418086909053891</v>
      </c>
      <c r="EV113" s="1068"/>
      <c r="EW113" s="55">
        <f>EW109-EW20</f>
        <v>0.52958997676244901</v>
      </c>
      <c r="EX113" s="55">
        <f>EX109-EX20</f>
        <v>0.43325668265827266</v>
      </c>
      <c r="EY113" s="55">
        <f>EY109-EY20</f>
        <v>6.8462775443646026E-2</v>
      </c>
      <c r="EZ113" s="55">
        <f>EZ109-EZ20</f>
        <v>-5.6483924455321115E-3</v>
      </c>
      <c r="FA113" s="166">
        <f>FA109-FA20</f>
        <v>0.23207972848364283</v>
      </c>
      <c r="FB113" s="1068"/>
      <c r="FC113" s="55">
        <f>FC109-FC20</f>
        <v>0.17806819475859892</v>
      </c>
      <c r="FD113" s="55">
        <f>FD109-FD20</f>
        <v>0.20811989421553378</v>
      </c>
      <c r="FE113" s="55">
        <f>FE109-FE20</f>
        <v>0.28766459068565564</v>
      </c>
      <c r="FF113" s="55">
        <f>FF109-FF20</f>
        <v>0.13201043863610185</v>
      </c>
      <c r="FG113" s="166">
        <f>FG109-FG20</f>
        <v>0.19358869201800322</v>
      </c>
      <c r="FH113" s="1068"/>
      <c r="FI113" s="55">
        <f>FI109-FI20</f>
        <v>0.20405582386757071</v>
      </c>
      <c r="FJ113" s="55">
        <f>FJ109-FJ20</f>
        <v>0.21708245301175144</v>
      </c>
      <c r="FK113" s="55">
        <f>FK109-FK20</f>
        <v>0.24916380498005752</v>
      </c>
      <c r="FL113" s="55">
        <f>FL109-FL20</f>
        <v>0.1484574066155071</v>
      </c>
      <c r="FM113" s="166">
        <f>FM109-FM20</f>
        <v>0.20081027175974375</v>
      </c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</row>
    <row r="114" spans="1:274" s="24" customFormat="1" collapsed="1" x14ac:dyDescent="0.2">
      <c r="A114" s="140" t="s">
        <v>698</v>
      </c>
      <c r="B114" s="1030"/>
      <c r="C114" s="169" t="s">
        <v>945</v>
      </c>
      <c r="D114" s="169" t="s">
        <v>945</v>
      </c>
      <c r="E114" s="169" t="s">
        <v>945</v>
      </c>
      <c r="F114" s="169" t="s">
        <v>945</v>
      </c>
      <c r="G114" s="169" t="s">
        <v>945</v>
      </c>
      <c r="H114" s="169" t="s">
        <v>945</v>
      </c>
      <c r="I114" s="169" t="s">
        <v>945</v>
      </c>
      <c r="J114" s="169" t="s">
        <v>945</v>
      </c>
      <c r="K114" s="169" t="s">
        <v>945</v>
      </c>
      <c r="L114" s="169" t="s">
        <v>945</v>
      </c>
      <c r="M114" s="169" t="s">
        <v>945</v>
      </c>
      <c r="N114" s="874"/>
      <c r="O114" s="169" t="s">
        <v>945</v>
      </c>
      <c r="P114" s="169" t="s">
        <v>945</v>
      </c>
      <c r="Q114" s="169" t="s">
        <v>945</v>
      </c>
      <c r="R114" s="169" t="s">
        <v>945</v>
      </c>
      <c r="S114" s="169" t="s">
        <v>945</v>
      </c>
      <c r="T114" s="874"/>
      <c r="U114" s="169" t="s">
        <v>945</v>
      </c>
      <c r="V114" s="169" t="s">
        <v>945</v>
      </c>
      <c r="W114" s="169" t="s">
        <v>945</v>
      </c>
      <c r="X114" s="169" t="s">
        <v>945</v>
      </c>
      <c r="Y114" s="169" t="s">
        <v>945</v>
      </c>
      <c r="Z114" s="172"/>
      <c r="AA114" s="151">
        <v>0.34</v>
      </c>
      <c r="AB114" s="151">
        <v>0.46</v>
      </c>
      <c r="AC114" s="151">
        <v>0.28999999999999998</v>
      </c>
      <c r="AD114" s="151">
        <v>0.18</v>
      </c>
      <c r="AE114" s="151">
        <v>0.3</v>
      </c>
      <c r="AF114" s="172"/>
      <c r="AG114" s="151">
        <v>0.33</v>
      </c>
      <c r="AH114" s="151">
        <v>-0.04</v>
      </c>
      <c r="AI114" s="151">
        <v>-0.14000000000000001</v>
      </c>
      <c r="AJ114" s="151">
        <v>-0.18</v>
      </c>
      <c r="AK114" s="151">
        <v>-0.04</v>
      </c>
      <c r="AL114" s="172"/>
      <c r="AM114" s="151">
        <v>-0.01</v>
      </c>
      <c r="AN114" s="151">
        <v>0.1</v>
      </c>
      <c r="AO114" s="151">
        <v>0.2</v>
      </c>
      <c r="AP114" s="151">
        <v>0.42</v>
      </c>
      <c r="AQ114" s="151">
        <v>0.18</v>
      </c>
      <c r="AR114" s="172"/>
      <c r="AS114" s="151">
        <v>0.11</v>
      </c>
      <c r="AT114" s="151">
        <v>0.18</v>
      </c>
      <c r="AU114" s="151">
        <v>0.24</v>
      </c>
      <c r="AV114" s="151">
        <v>0.33</v>
      </c>
      <c r="AW114" s="253">
        <v>0.23</v>
      </c>
      <c r="AX114" s="172"/>
      <c r="AY114" s="253">
        <v>0.33</v>
      </c>
      <c r="AZ114" s="253">
        <v>0.43</v>
      </c>
      <c r="BA114" s="253">
        <v>0.32</v>
      </c>
      <c r="BB114" s="253">
        <v>0.23</v>
      </c>
      <c r="BC114" s="253">
        <v>0.32</v>
      </c>
      <c r="BD114" s="172"/>
      <c r="BE114" s="253">
        <v>0.24</v>
      </c>
      <c r="BF114" s="253">
        <v>-0.12</v>
      </c>
      <c r="BG114" s="253">
        <v>-0.27</v>
      </c>
      <c r="BH114" s="253">
        <v>-0.26</v>
      </c>
      <c r="BI114" s="253">
        <v>-0.13</v>
      </c>
      <c r="BJ114" s="172"/>
      <c r="BK114" s="253">
        <v>-0.37</v>
      </c>
      <c r="BL114" s="253">
        <v>-0.19</v>
      </c>
      <c r="BM114" s="253">
        <v>0.02</v>
      </c>
      <c r="BN114" s="253">
        <v>0.1</v>
      </c>
      <c r="BO114" s="253">
        <v>-0.12</v>
      </c>
      <c r="BP114" s="172"/>
      <c r="BQ114" s="253">
        <v>-0.02</v>
      </c>
      <c r="BR114" s="253">
        <v>0.04</v>
      </c>
      <c r="BS114" s="253">
        <v>0.13</v>
      </c>
      <c r="BT114" s="253">
        <v>0.02</v>
      </c>
      <c r="BU114" s="253">
        <v>0.04</v>
      </c>
      <c r="BV114" s="172"/>
      <c r="BW114" s="252">
        <v>0.19</v>
      </c>
      <c r="BX114" s="252">
        <v>0.06</v>
      </c>
      <c r="BY114" s="252">
        <v>0.05</v>
      </c>
      <c r="BZ114" s="252">
        <v>0.14000000000000001</v>
      </c>
      <c r="CA114" s="252">
        <v>0.11</v>
      </c>
      <c r="CB114" s="172"/>
      <c r="CC114" s="252">
        <v>0.02</v>
      </c>
      <c r="CD114" s="252">
        <v>0.18</v>
      </c>
      <c r="CE114" s="252">
        <v>0.11</v>
      </c>
      <c r="CF114" s="252">
        <v>0.45</v>
      </c>
      <c r="CG114" s="871">
        <v>0.23</v>
      </c>
      <c r="CH114" s="172"/>
      <c r="CI114" s="252">
        <v>0.24</v>
      </c>
      <c r="CJ114" s="252">
        <v>0.09</v>
      </c>
      <c r="CK114" s="252">
        <v>0.32</v>
      </c>
      <c r="CL114" s="252">
        <v>0.05</v>
      </c>
      <c r="CM114" s="871">
        <v>0.15</v>
      </c>
      <c r="CN114" s="172"/>
      <c r="CO114" s="252">
        <v>0.11</v>
      </c>
      <c r="CP114" s="252">
        <v>0.31</v>
      </c>
      <c r="CQ114" s="252">
        <v>0</v>
      </c>
      <c r="CR114" s="252">
        <v>0.03</v>
      </c>
      <c r="CS114" s="871">
        <v>0.1</v>
      </c>
      <c r="CT114" s="172"/>
      <c r="CU114" s="252">
        <v>0.28000000000000003</v>
      </c>
      <c r="CV114" s="252">
        <v>0.05</v>
      </c>
      <c r="CW114" s="252">
        <v>0.01</v>
      </c>
      <c r="CX114" s="252">
        <f>CX110-CX20</f>
        <v>1.4659420680247504E-2</v>
      </c>
      <c r="CY114" s="871">
        <f>CY110-CY20</f>
        <v>7.8393135725429011E-2</v>
      </c>
      <c r="CZ114" s="172"/>
      <c r="DA114" s="173">
        <v>-0.22</v>
      </c>
      <c r="DB114" s="173">
        <f>DB110-DB20</f>
        <v>-7.4370839845339765E-2</v>
      </c>
      <c r="DC114" s="173">
        <f>DC110-DC20</f>
        <v>2.6018189769914768E-2</v>
      </c>
      <c r="DD114" s="173">
        <f>DD110-DD20</f>
        <v>6.9569273543759858E-2</v>
      </c>
      <c r="DE114" s="871">
        <f>DE110-DE20</f>
        <v>-6.9368568958900978E-2</v>
      </c>
      <c r="DF114" s="1069"/>
      <c r="DG114" s="173">
        <f>DG110-DG20</f>
        <v>0.15543431523654982</v>
      </c>
      <c r="DH114" s="173">
        <f>DH110-DH20</f>
        <v>0.1649226174268319</v>
      </c>
      <c r="DI114" s="173">
        <f>DI110-DI20</f>
        <v>0.21294733222306417</v>
      </c>
      <c r="DJ114" s="173">
        <f>DJ110-DJ20</f>
        <v>0.1182671769925232</v>
      </c>
      <c r="DK114" s="871">
        <f>DK110-DK20</f>
        <v>0.1622849812577738</v>
      </c>
      <c r="DL114" s="1069"/>
      <c r="DM114" s="173">
        <f>DM110-DM20</f>
        <v>8.9275362318840576E-2</v>
      </c>
      <c r="DN114" s="173">
        <f>DN110-DN20</f>
        <v>4.955479614728997E-2</v>
      </c>
      <c r="DO114" s="173">
        <v>0.11</v>
      </c>
      <c r="DP114" s="173">
        <f>DP110-DP20</f>
        <v>0.12950704225352122</v>
      </c>
      <c r="DQ114" s="858">
        <f>DQ110-DQ20</f>
        <v>8.3707477949171771E-2</v>
      </c>
      <c r="DR114" s="1069"/>
      <c r="DS114" s="857">
        <f>DS110-DS20</f>
        <v>0.11854984894259821</v>
      </c>
      <c r="DT114" s="857">
        <f>DT110-DT20</f>
        <v>0.13272311212814647</v>
      </c>
      <c r="DU114" s="857">
        <f>DU110-DU20</f>
        <v>4.6799116997792919E-3</v>
      </c>
      <c r="DV114" s="857">
        <f>DV110-DV20</f>
        <v>-7.2655122655122681E-2</v>
      </c>
      <c r="DW114" s="858">
        <f>DW110-DW20</f>
        <v>0.1345809108402429</v>
      </c>
      <c r="DX114" s="1069"/>
      <c r="DY114" s="857">
        <f>DY110-DY20</f>
        <v>0.12507083085573134</v>
      </c>
      <c r="DZ114" s="857">
        <f>DZ110-DZ20</f>
        <v>-8.6680609954781218E-3</v>
      </c>
      <c r="EA114" s="857">
        <f>EA110-EA20</f>
        <v>0.24784333882610876</v>
      </c>
      <c r="EB114" s="857">
        <f>EB110-EB20</f>
        <v>0.30867328755967827</v>
      </c>
      <c r="EC114" s="858">
        <f>EC110-EC20</f>
        <v>0.13390878142819851</v>
      </c>
      <c r="ED114" s="1069"/>
      <c r="EE114" s="857">
        <f>EE110-EE20</f>
        <v>0.18378060396760887</v>
      </c>
      <c r="EF114" s="857">
        <f>EF110-EF20</f>
        <v>0.36431066291771014</v>
      </c>
      <c r="EG114" s="857">
        <f>EG110-EG20</f>
        <v>7.6226671844631555E-2</v>
      </c>
      <c r="EH114" s="857">
        <f>EH110-EH20</f>
        <v>-5.8674915131813263E-2</v>
      </c>
      <c r="EI114" s="858">
        <f>EI110-EI20</f>
        <v>4.031436695774411E-2</v>
      </c>
      <c r="EJ114" s="1069"/>
      <c r="EK114" s="857">
        <f>EK110-EK20</f>
        <v>0.13043300357237653</v>
      </c>
      <c r="EL114" s="857">
        <f>EL110-EL20</f>
        <v>4.8735626417373529E-2</v>
      </c>
      <c r="EM114" s="857">
        <f>EM110-EM20</f>
        <v>3.937332568157121E-2</v>
      </c>
      <c r="EN114" s="857">
        <f>EN110-EN20</f>
        <v>-1.5871456714170902E-2</v>
      </c>
      <c r="EO114" s="858">
        <f>EO110-EO20</f>
        <v>4.5320148234527916E-2</v>
      </c>
      <c r="EP114" s="1069"/>
      <c r="EQ114" s="857">
        <f>EQ110-EQ20</f>
        <v>7.8424832021980903E-2</v>
      </c>
      <c r="ER114" s="857">
        <f>ER110-ER20</f>
        <v>2.954719949861899E-3</v>
      </c>
      <c r="ES114" s="857">
        <f>ES110-ES20</f>
        <v>6.634706653118784E-2</v>
      </c>
      <c r="ET114" s="857">
        <f>ET110-ET20</f>
        <v>0.10508303185121703</v>
      </c>
      <c r="EU114" s="858">
        <f>EU110-EU20</f>
        <v>6.4173961272797245E-2</v>
      </c>
      <c r="EV114" s="1069"/>
      <c r="EW114" s="857">
        <f>EW110-EW20</f>
        <v>0.17195602592473946</v>
      </c>
      <c r="EX114" s="857">
        <f>EX110-EX20</f>
        <v>0.13394305391900296</v>
      </c>
      <c r="EY114" s="857">
        <f>EY110-EY20</f>
        <v>3.82631638850746E-2</v>
      </c>
      <c r="EZ114" s="857">
        <f>EZ110-EZ20</f>
        <v>1.4949184212120272E-2</v>
      </c>
      <c r="FA114" s="858">
        <f>FA110-FA20</f>
        <v>7.8511188624877215E-2</v>
      </c>
      <c r="FB114" s="1069"/>
      <c r="FC114" s="857">
        <f>FC110-FC20</f>
        <v>9.137554787532598E-2</v>
      </c>
      <c r="FD114" s="857">
        <f>FD110-FD20</f>
        <v>7.2707574190452817E-2</v>
      </c>
      <c r="FE114" s="857">
        <f>FE110-FE20</f>
        <v>8.143717238539594E-2</v>
      </c>
      <c r="FF114" s="857">
        <f>FF110-FF20</f>
        <v>5.3124460982744148E-2</v>
      </c>
      <c r="FG114" s="858">
        <f>FG110-FG20</f>
        <v>7.4809041635105933E-2</v>
      </c>
      <c r="FH114" s="1069"/>
      <c r="FI114" s="857">
        <f>FI110-FI20</f>
        <v>0.11157678971453877</v>
      </c>
      <c r="FJ114" s="857">
        <f>FJ110-FJ20</f>
        <v>8.4754374534218524E-2</v>
      </c>
      <c r="FK114" s="857">
        <f>FK110-FK20</f>
        <v>8.3915814476531958E-2</v>
      </c>
      <c r="FL114" s="857">
        <f>FL110-FL20</f>
        <v>5.9877547969358291E-2</v>
      </c>
      <c r="FM114" s="858">
        <f>FM110-FM20</f>
        <v>8.2682938222004454E-2</v>
      </c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</row>
    <row r="115" spans="1:274" s="24" customFormat="1" ht="15" customHeight="1" x14ac:dyDescent="0.2">
      <c r="A115" s="19" t="s">
        <v>564</v>
      </c>
      <c r="B115" s="29"/>
      <c r="C115" s="50" t="s">
        <v>945</v>
      </c>
      <c r="D115" s="50" t="s">
        <v>945</v>
      </c>
      <c r="E115" s="50" t="s">
        <v>945</v>
      </c>
      <c r="F115" s="50" t="s">
        <v>945</v>
      </c>
      <c r="G115" s="50" t="s">
        <v>945</v>
      </c>
      <c r="H115" s="50" t="s">
        <v>945</v>
      </c>
      <c r="I115" s="50" t="s">
        <v>945</v>
      </c>
      <c r="J115" s="50" t="s">
        <v>945</v>
      </c>
      <c r="K115" s="50" t="s">
        <v>945</v>
      </c>
      <c r="L115" s="50" t="s">
        <v>945</v>
      </c>
      <c r="M115" s="50" t="s">
        <v>945</v>
      </c>
      <c r="N115" s="342"/>
      <c r="O115" s="50" t="s">
        <v>945</v>
      </c>
      <c r="P115" s="50" t="s">
        <v>945</v>
      </c>
      <c r="Q115" s="50" t="s">
        <v>945</v>
      </c>
      <c r="R115" s="50" t="s">
        <v>945</v>
      </c>
      <c r="S115" s="50" t="s">
        <v>945</v>
      </c>
      <c r="T115" s="342"/>
      <c r="U115" s="50" t="s">
        <v>945</v>
      </c>
      <c r="V115" s="50" t="s">
        <v>945</v>
      </c>
      <c r="W115" s="50" t="s">
        <v>945</v>
      </c>
      <c r="X115" s="50" t="s">
        <v>945</v>
      </c>
      <c r="Y115" s="50" t="s">
        <v>945</v>
      </c>
      <c r="Z115" s="53"/>
      <c r="AA115" s="342"/>
      <c r="AB115" s="342"/>
      <c r="AC115" s="342"/>
      <c r="AD115" s="342"/>
      <c r="AE115" s="342"/>
      <c r="AF115" s="53"/>
      <c r="AG115" s="342"/>
      <c r="AH115" s="342"/>
      <c r="AI115" s="342"/>
      <c r="AJ115" s="342"/>
      <c r="AK115" s="342"/>
      <c r="AL115" s="53"/>
      <c r="AM115" s="342"/>
      <c r="AN115" s="342"/>
      <c r="AO115" s="342"/>
      <c r="AP115" s="342"/>
      <c r="AQ115" s="342"/>
      <c r="AR115" s="53"/>
      <c r="AS115" s="342"/>
      <c r="AT115" s="342"/>
      <c r="AU115" s="342"/>
      <c r="AV115" s="342"/>
      <c r="AW115" s="342"/>
      <c r="AX115" s="53"/>
      <c r="AY115" s="342"/>
      <c r="AZ115" s="342"/>
      <c r="BA115" s="342"/>
      <c r="BB115" s="342"/>
      <c r="BC115" s="342"/>
      <c r="BD115" s="53"/>
      <c r="BE115" s="342"/>
      <c r="BF115" s="342"/>
      <c r="BG115" s="342"/>
      <c r="BH115" s="342"/>
      <c r="BI115" s="342"/>
      <c r="BJ115" s="53"/>
      <c r="BK115" s="342"/>
      <c r="BL115" s="342"/>
      <c r="BM115" s="342"/>
      <c r="BN115" s="342"/>
      <c r="BO115" s="342"/>
      <c r="BP115" s="53"/>
      <c r="BQ115" s="342"/>
      <c r="BR115" s="342"/>
      <c r="BS115" s="342"/>
      <c r="BT115" s="342"/>
      <c r="BU115" s="342"/>
      <c r="BV115" s="53"/>
      <c r="BW115" s="342"/>
      <c r="BX115" s="342"/>
      <c r="BY115" s="342"/>
      <c r="BZ115" s="342"/>
      <c r="CA115" s="342"/>
      <c r="CB115" s="53"/>
      <c r="CC115" s="43">
        <f>CC110-CC114</f>
        <v>-3.3333333333333312E-2</v>
      </c>
      <c r="CD115" s="43">
        <f>CD110-CD114</f>
        <v>-8.8602150537634483E-2</v>
      </c>
      <c r="CE115" s="43">
        <f>CE110-CE114</f>
        <v>-0.12467611336032393</v>
      </c>
      <c r="CF115" s="43">
        <f>CF110-CF114</f>
        <v>-8.7992831541218675E-2</v>
      </c>
      <c r="CG115" s="395">
        <f>CG110-CG114</f>
        <v>-9.0817130199360135E-2</v>
      </c>
      <c r="CH115" s="53"/>
      <c r="CI115" s="43">
        <f>CI110-CI114</f>
        <v>-1.0270270270270165E-2</v>
      </c>
      <c r="CJ115" s="43">
        <f>CJ110-CJ114</f>
        <v>3.8078817733990217E-2</v>
      </c>
      <c r="CK115" s="43">
        <f>CK110-CK114</f>
        <v>2.5659989727786325E-2</v>
      </c>
      <c r="CL115" s="43">
        <f>CL110-CL114</f>
        <v>2.6315789473684112E-2</v>
      </c>
      <c r="CM115" s="395">
        <f>CM110-CM114</f>
        <v>1.8845198228367638E-2</v>
      </c>
      <c r="CN115" s="53"/>
      <c r="CO115" s="43">
        <f>CO110-CO114</f>
        <v>4.3846153846153743E-2</v>
      </c>
      <c r="CP115" s="43">
        <f>CP110-CP114</f>
        <v>7.0000000000000007E-2</v>
      </c>
      <c r="CQ115" s="43">
        <f>CQ110-CQ114</f>
        <v>0.1</v>
      </c>
      <c r="CR115" s="43">
        <f>CR110-CR114</f>
        <v>0.09</v>
      </c>
      <c r="CS115" s="395">
        <f>CS110-CS114</f>
        <v>8.4842883548983256E-2</v>
      </c>
      <c r="CT115" s="53"/>
      <c r="CU115" s="43">
        <f>CU110-CU114</f>
        <v>5.8095238095237978E-2</v>
      </c>
      <c r="CV115" s="43">
        <f>CV110-CV114</f>
        <v>-4.8742138364779877E-2</v>
      </c>
      <c r="CW115" s="43">
        <f>CW110-CW114</f>
        <v>-7.5292096219931257E-2</v>
      </c>
      <c r="CX115" s="342"/>
      <c r="CY115" s="147"/>
      <c r="CZ115" s="53"/>
      <c r="DA115" s="342"/>
      <c r="DB115" s="342"/>
      <c r="DC115" s="342"/>
      <c r="DD115" s="342"/>
      <c r="DE115" s="147"/>
      <c r="DF115" s="53"/>
      <c r="DG115" s="342"/>
      <c r="DH115" s="342"/>
      <c r="DI115" s="342"/>
      <c r="DJ115" s="342"/>
      <c r="DK115" s="147"/>
      <c r="DL115" s="53"/>
      <c r="DM115" s="342"/>
      <c r="DN115" s="342"/>
      <c r="DO115" s="342"/>
      <c r="DP115" s="342"/>
      <c r="DQ115" s="147"/>
      <c r="DR115" s="53"/>
      <c r="DS115" s="342"/>
      <c r="DT115" s="342"/>
      <c r="DU115" s="342"/>
      <c r="DV115" s="342"/>
      <c r="DW115" s="147"/>
      <c r="DX115" s="53"/>
      <c r="DY115" s="342"/>
      <c r="DZ115" s="342"/>
      <c r="EA115" s="342"/>
      <c r="EB115" s="342"/>
      <c r="EC115" s="147"/>
      <c r="ED115" s="53"/>
      <c r="EE115" s="342"/>
      <c r="EF115" s="342"/>
      <c r="EG115" s="342"/>
      <c r="EH115" s="342"/>
      <c r="EI115" s="147"/>
      <c r="EJ115" s="53"/>
      <c r="EK115" s="342"/>
      <c r="EL115" s="342"/>
      <c r="EM115" s="342"/>
      <c r="EN115" s="342"/>
      <c r="EO115" s="147"/>
      <c r="EP115" s="53"/>
      <c r="EQ115" s="342"/>
      <c r="ER115" s="342"/>
      <c r="ES115" s="342"/>
      <c r="ET115" s="342"/>
      <c r="EU115" s="147"/>
      <c r="EV115" s="53"/>
      <c r="EW115" s="342"/>
      <c r="EX115" s="342"/>
      <c r="EY115" s="342"/>
      <c r="EZ115" s="342"/>
      <c r="FA115" s="147"/>
      <c r="FB115" s="53"/>
      <c r="FC115" s="342"/>
      <c r="FD115" s="342"/>
      <c r="FE115" s="342"/>
      <c r="FF115" s="342"/>
      <c r="FG115" s="147"/>
      <c r="FH115" s="53"/>
      <c r="FI115" s="342"/>
      <c r="FJ115" s="342"/>
      <c r="FK115" s="342"/>
      <c r="FL115" s="342"/>
      <c r="FM115" s="147"/>
      <c r="FO115" s="621"/>
      <c r="FP115" s="621"/>
      <c r="FQ115" s="820"/>
      <c r="FR115" s="820"/>
      <c r="FS115" s="820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</row>
    <row r="116" spans="1:274" s="24" customFormat="1" ht="4.5" customHeight="1" x14ac:dyDescent="0.2">
      <c r="A116" s="342"/>
      <c r="B116" s="1040"/>
      <c r="C116" s="342"/>
      <c r="D116" s="342"/>
      <c r="E116" s="342"/>
      <c r="F116" s="342"/>
      <c r="G116" s="342"/>
      <c r="H116" s="342"/>
      <c r="I116" s="342"/>
      <c r="J116" s="342"/>
      <c r="K116" s="342"/>
      <c r="L116" s="342"/>
      <c r="M116" s="342"/>
      <c r="N116" s="342"/>
      <c r="O116" s="342"/>
      <c r="P116" s="342"/>
      <c r="Q116" s="342"/>
      <c r="R116" s="342"/>
      <c r="S116" s="342"/>
      <c r="T116" s="342"/>
      <c r="U116" s="342"/>
      <c r="V116" s="342"/>
      <c r="W116" s="342"/>
      <c r="X116" s="342"/>
      <c r="Y116" s="342"/>
      <c r="Z116" s="53"/>
      <c r="AA116" s="342"/>
      <c r="AB116" s="342"/>
      <c r="AC116" s="342"/>
      <c r="AD116" s="342"/>
      <c r="AE116" s="342"/>
      <c r="AF116" s="53"/>
      <c r="AG116" s="342"/>
      <c r="AH116" s="342"/>
      <c r="AI116" s="342"/>
      <c r="AJ116" s="342"/>
      <c r="AK116" s="342"/>
      <c r="AL116" s="53"/>
      <c r="AM116" s="342"/>
      <c r="AN116" s="342"/>
      <c r="AO116" s="342"/>
      <c r="AP116" s="342"/>
      <c r="AQ116" s="342"/>
      <c r="AR116" s="53"/>
      <c r="AS116" s="342"/>
      <c r="AT116" s="342"/>
      <c r="AU116" s="342"/>
      <c r="AV116" s="342"/>
      <c r="AW116" s="342"/>
      <c r="AX116" s="53"/>
      <c r="AY116" s="342"/>
      <c r="AZ116" s="342"/>
      <c r="BA116" s="342"/>
      <c r="BB116" s="342"/>
      <c r="BC116" s="342"/>
      <c r="BD116" s="53"/>
      <c r="BE116" s="342"/>
      <c r="BF116" s="342"/>
      <c r="BG116" s="342"/>
      <c r="BH116" s="342"/>
      <c r="BI116" s="342"/>
      <c r="BJ116" s="53"/>
      <c r="BK116" s="342"/>
      <c r="BL116" s="342"/>
      <c r="BM116" s="342"/>
      <c r="BN116" s="342"/>
      <c r="BO116" s="342"/>
      <c r="BP116" s="53"/>
      <c r="BQ116" s="342"/>
      <c r="BR116" s="342"/>
      <c r="BS116" s="342"/>
      <c r="BT116" s="342"/>
      <c r="BU116" s="342"/>
      <c r="BV116" s="53"/>
      <c r="BW116" s="342"/>
      <c r="BX116" s="342"/>
      <c r="BY116" s="342"/>
      <c r="BZ116" s="342"/>
      <c r="CA116" s="342"/>
      <c r="CB116" s="53"/>
      <c r="CC116" s="342"/>
      <c r="CD116" s="342"/>
      <c r="CE116" s="342"/>
      <c r="CF116" s="342"/>
      <c r="CG116" s="147"/>
      <c r="CH116" s="53"/>
      <c r="CI116" s="342"/>
      <c r="CJ116" s="342"/>
      <c r="CK116" s="342"/>
      <c r="CL116" s="342"/>
      <c r="CM116" s="147"/>
      <c r="CN116" s="53"/>
      <c r="CO116" s="342"/>
      <c r="CP116" s="342"/>
      <c r="CQ116" s="342"/>
      <c r="CR116" s="342"/>
      <c r="CS116" s="147"/>
      <c r="CT116" s="53"/>
      <c r="CU116" s="342"/>
      <c r="CV116" s="342"/>
      <c r="CW116" s="342"/>
      <c r="CX116" s="342"/>
      <c r="CY116" s="147"/>
      <c r="CZ116" s="53"/>
      <c r="DA116" s="342"/>
      <c r="DB116" s="342"/>
      <c r="DC116" s="342"/>
      <c r="DD116" s="342"/>
      <c r="DE116" s="147"/>
      <c r="DF116" s="53"/>
      <c r="DG116" s="342"/>
      <c r="DH116" s="342"/>
      <c r="DI116" s="342"/>
      <c r="DJ116" s="342"/>
      <c r="DK116" s="147"/>
      <c r="DL116" s="53"/>
      <c r="DM116" s="342"/>
      <c r="DN116" s="342"/>
      <c r="DO116" s="342"/>
      <c r="DP116" s="342"/>
      <c r="DQ116" s="147"/>
      <c r="DR116" s="53"/>
      <c r="DS116" s="342"/>
      <c r="DT116" s="342"/>
      <c r="DU116" s="342"/>
      <c r="DV116" s="342"/>
      <c r="DW116" s="147"/>
      <c r="DX116" s="53"/>
      <c r="DY116" s="342"/>
      <c r="DZ116" s="342"/>
      <c r="EA116" s="342"/>
      <c r="EB116" s="342"/>
      <c r="EC116" s="147"/>
      <c r="ED116" s="53"/>
      <c r="EE116" s="342"/>
      <c r="EF116" s="342"/>
      <c r="EG116" s="342"/>
      <c r="EH116" s="342"/>
      <c r="EI116" s="147"/>
      <c r="EJ116" s="53"/>
      <c r="EK116" s="342"/>
      <c r="EL116" s="342"/>
      <c r="EM116" s="342"/>
      <c r="EN116" s="342"/>
      <c r="EO116" s="147"/>
      <c r="EP116" s="53"/>
      <c r="EQ116" s="342"/>
      <c r="ER116" s="342"/>
      <c r="ES116" s="342"/>
      <c r="ET116" s="342"/>
      <c r="EU116" s="147"/>
      <c r="EV116" s="53"/>
      <c r="EW116" s="342"/>
      <c r="EX116" s="342"/>
      <c r="EY116" s="342"/>
      <c r="EZ116" s="342"/>
      <c r="FA116" s="147"/>
      <c r="FB116" s="53"/>
      <c r="FC116" s="342"/>
      <c r="FD116" s="342"/>
      <c r="FE116" s="342"/>
      <c r="FF116" s="342"/>
      <c r="FG116" s="147"/>
      <c r="FH116" s="53"/>
      <c r="FI116" s="342"/>
      <c r="FJ116" s="342"/>
      <c r="FK116" s="342"/>
      <c r="FL116" s="342"/>
      <c r="FM116" s="147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</row>
    <row r="117" spans="1:274" s="24" customFormat="1" x14ac:dyDescent="0.2">
      <c r="A117" s="353" t="s">
        <v>704</v>
      </c>
      <c r="B117" s="1040"/>
      <c r="C117" s="353"/>
      <c r="D117" s="353"/>
      <c r="E117" s="353"/>
      <c r="F117" s="353"/>
      <c r="G117" s="353"/>
      <c r="H117" s="353"/>
      <c r="I117" s="353"/>
      <c r="J117" s="353"/>
      <c r="K117" s="353"/>
      <c r="L117" s="353"/>
      <c r="M117" s="353"/>
      <c r="N117" s="353"/>
      <c r="O117" s="353"/>
      <c r="P117" s="353"/>
      <c r="Q117" s="353"/>
      <c r="R117" s="353"/>
      <c r="S117" s="353"/>
      <c r="T117" s="353"/>
      <c r="U117" s="353"/>
      <c r="V117" s="353"/>
      <c r="W117" s="353"/>
      <c r="X117" s="353"/>
      <c r="Y117" s="353"/>
      <c r="Z117" s="833"/>
      <c r="AA117" s="34">
        <v>330.721</v>
      </c>
      <c r="AB117" s="34">
        <v>427.88799999999998</v>
      </c>
      <c r="AC117" s="34">
        <v>475.745</v>
      </c>
      <c r="AD117" s="34">
        <v>775.45899999999995</v>
      </c>
      <c r="AE117" s="34">
        <f>SUM(AA117:AD117)</f>
        <v>2009.8129999999996</v>
      </c>
      <c r="AF117" s="833"/>
      <c r="AG117" s="30">
        <v>349.983</v>
      </c>
      <c r="AH117" s="30">
        <v>441.77699999999999</v>
      </c>
      <c r="AI117" s="30">
        <v>536.94600000000003</v>
      </c>
      <c r="AJ117" s="30">
        <v>873.20899999999995</v>
      </c>
      <c r="AK117" s="30">
        <f>SUM(AG117:AJ117)</f>
        <v>2201.915</v>
      </c>
      <c r="AL117" s="833"/>
      <c r="AM117" s="30">
        <v>409.61200000000002</v>
      </c>
      <c r="AN117" s="30">
        <v>555.27</v>
      </c>
      <c r="AO117" s="30">
        <v>589.89</v>
      </c>
      <c r="AP117" s="30">
        <v>1092.011</v>
      </c>
      <c r="AQ117" s="30">
        <f>SUM(AM117:AP117)</f>
        <v>2646.7829999999999</v>
      </c>
      <c r="AR117" s="833"/>
      <c r="AS117" s="30">
        <v>443.255</v>
      </c>
      <c r="AT117" s="30">
        <v>650.66999999999996</v>
      </c>
      <c r="AU117" s="30">
        <v>778.04499999999996</v>
      </c>
      <c r="AV117" s="30">
        <v>1228.327</v>
      </c>
      <c r="AW117" s="353">
        <f>SUM(AS117:AV117)</f>
        <v>3100.2969999999996</v>
      </c>
      <c r="AX117" s="833"/>
      <c r="AY117" s="32"/>
      <c r="AZ117" s="32"/>
      <c r="BA117" s="32"/>
      <c r="BB117" s="32"/>
      <c r="BC117" s="353"/>
      <c r="BD117" s="833"/>
      <c r="BE117" s="353"/>
      <c r="BF117" s="353"/>
      <c r="BG117" s="353"/>
      <c r="BH117" s="353"/>
      <c r="BI117" s="353"/>
      <c r="BJ117" s="833"/>
      <c r="BK117" s="353"/>
      <c r="BL117" s="353"/>
      <c r="BM117" s="353"/>
      <c r="BN117" s="353"/>
      <c r="BO117" s="353"/>
      <c r="BP117" s="833"/>
      <c r="BQ117" s="353"/>
      <c r="BR117" s="353"/>
      <c r="BS117" s="353"/>
      <c r="BT117" s="843"/>
      <c r="BU117" s="353"/>
      <c r="BV117" s="833"/>
      <c r="BW117" s="35"/>
      <c r="BX117" s="35"/>
      <c r="BY117" s="35"/>
      <c r="BZ117" s="35"/>
      <c r="CA117" s="353"/>
      <c r="CB117" s="833"/>
      <c r="CC117" s="353"/>
      <c r="CD117" s="353"/>
      <c r="CE117" s="353"/>
      <c r="CF117" s="353"/>
      <c r="CG117" s="165"/>
      <c r="CH117" s="84"/>
      <c r="CI117" s="353"/>
      <c r="CJ117" s="353"/>
      <c r="CK117" s="353"/>
      <c r="CL117" s="353"/>
      <c r="CM117" s="165"/>
      <c r="CN117" s="84"/>
      <c r="CO117" s="353"/>
      <c r="CP117" s="353"/>
      <c r="CQ117" s="353"/>
      <c r="CR117" s="353"/>
      <c r="CS117" s="165"/>
      <c r="CT117" s="84"/>
      <c r="CU117" s="353"/>
      <c r="CV117" s="353"/>
      <c r="CW117" s="353"/>
      <c r="CX117" s="353"/>
      <c r="CY117" s="165"/>
      <c r="CZ117" s="84"/>
      <c r="DA117" s="353"/>
      <c r="DB117" s="353"/>
      <c r="DC117" s="353"/>
      <c r="DD117" s="353"/>
      <c r="DE117" s="165"/>
      <c r="DF117" s="84"/>
      <c r="DG117" s="353"/>
      <c r="DH117" s="353"/>
      <c r="DI117" s="353"/>
      <c r="DJ117" s="353"/>
      <c r="DK117" s="165"/>
      <c r="DL117" s="84"/>
      <c r="DM117" s="353"/>
      <c r="DN117" s="353"/>
      <c r="DO117" s="353"/>
      <c r="DP117" s="353"/>
      <c r="DQ117" s="165"/>
      <c r="DR117" s="84"/>
      <c r="DS117" s="353"/>
      <c r="DT117" s="353"/>
      <c r="DU117" s="353"/>
      <c r="DV117" s="353"/>
      <c r="DW117" s="165"/>
      <c r="DX117" s="84"/>
      <c r="DY117" s="353"/>
      <c r="DZ117" s="353"/>
      <c r="EA117" s="353"/>
      <c r="EB117" s="353"/>
      <c r="EC117" s="165"/>
      <c r="ED117" s="84"/>
      <c r="EE117" s="353"/>
      <c r="EF117" s="353"/>
      <c r="EG117" s="353"/>
      <c r="EH117" s="353"/>
      <c r="EI117" s="165"/>
      <c r="EJ117" s="84"/>
      <c r="EK117" s="353"/>
      <c r="EL117" s="353"/>
      <c r="EM117" s="353"/>
      <c r="EN117" s="353"/>
      <c r="EO117" s="165"/>
      <c r="EP117" s="84"/>
      <c r="EQ117" s="353"/>
      <c r="ER117" s="353"/>
      <c r="ES117" s="353"/>
      <c r="ET117" s="353"/>
      <c r="EU117" s="165"/>
      <c r="EV117" s="84"/>
      <c r="EW117" s="353"/>
      <c r="EX117" s="353"/>
      <c r="EY117" s="353"/>
      <c r="EZ117" s="353"/>
      <c r="FA117" s="165"/>
      <c r="FB117" s="84"/>
      <c r="FC117" s="353"/>
      <c r="FD117" s="353"/>
      <c r="FE117" s="353"/>
      <c r="FF117" s="353"/>
      <c r="FG117" s="165"/>
      <c r="FH117" s="84"/>
      <c r="FI117" s="353"/>
      <c r="FJ117" s="353"/>
      <c r="FK117" s="353"/>
      <c r="FL117" s="353"/>
      <c r="FM117" s="165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</row>
    <row r="118" spans="1:274" s="24" customFormat="1" x14ac:dyDescent="0.2">
      <c r="A118" s="58" t="s">
        <v>556</v>
      </c>
      <c r="B118" s="1040"/>
      <c r="C118" s="353"/>
      <c r="D118" s="353"/>
      <c r="E118" s="353"/>
      <c r="F118" s="353"/>
      <c r="G118" s="353"/>
      <c r="H118" s="353"/>
      <c r="I118" s="353"/>
      <c r="J118" s="353"/>
      <c r="K118" s="353"/>
      <c r="L118" s="353"/>
      <c r="M118" s="353"/>
      <c r="N118" s="353"/>
      <c r="O118" s="353"/>
      <c r="P118" s="353"/>
      <c r="Q118" s="353"/>
      <c r="R118" s="353"/>
      <c r="S118" s="353"/>
      <c r="T118" s="353"/>
      <c r="U118" s="353"/>
      <c r="V118" s="353"/>
      <c r="W118" s="353"/>
      <c r="X118" s="353"/>
      <c r="Y118" s="353"/>
      <c r="Z118" s="84"/>
      <c r="AA118" s="34">
        <v>63.18</v>
      </c>
      <c r="AB118" s="34">
        <v>77.141000000000005</v>
      </c>
      <c r="AC118" s="34">
        <v>80.960999999999999</v>
      </c>
      <c r="AD118" s="34">
        <v>113.364</v>
      </c>
      <c r="AE118" s="34">
        <f>SUM(AA118:AD118)</f>
        <v>334.64599999999996</v>
      </c>
      <c r="AF118" s="84"/>
      <c r="AG118" s="30">
        <v>56.965000000000003</v>
      </c>
      <c r="AH118" s="30">
        <v>71.051000000000002</v>
      </c>
      <c r="AI118" s="30">
        <v>76.546999999999997</v>
      </c>
      <c r="AJ118" s="30">
        <v>120.303</v>
      </c>
      <c r="AK118" s="30">
        <f>SUM(AG118:AJ118)</f>
        <v>324.86599999999999</v>
      </c>
      <c r="AL118" s="84"/>
      <c r="AM118" s="30">
        <v>49.911000000000001</v>
      </c>
      <c r="AN118" s="30">
        <v>61.526000000000003</v>
      </c>
      <c r="AO118" s="30">
        <v>67.366</v>
      </c>
      <c r="AP118" s="30">
        <v>114.24</v>
      </c>
      <c r="AQ118" s="30">
        <f>SUM(AM118:AP118)</f>
        <v>293.04300000000001</v>
      </c>
      <c r="AR118" s="84"/>
      <c r="AS118" s="30">
        <v>50.247999999999998</v>
      </c>
      <c r="AT118" s="30">
        <v>58.683</v>
      </c>
      <c r="AU118" s="30">
        <v>66.331000000000003</v>
      </c>
      <c r="AV118" s="30">
        <v>116.26600000000001</v>
      </c>
      <c r="AW118" s="353">
        <f>SUM(AS118:AV118)</f>
        <v>291.52800000000002</v>
      </c>
      <c r="AX118" s="84"/>
      <c r="AY118" s="32"/>
      <c r="AZ118" s="32"/>
      <c r="BA118" s="32"/>
      <c r="BB118" s="32"/>
      <c r="BC118" s="353"/>
      <c r="BD118" s="84"/>
      <c r="BE118" s="353"/>
      <c r="BF118" s="353"/>
      <c r="BG118" s="353"/>
      <c r="BH118" s="353"/>
      <c r="BI118" s="353"/>
      <c r="BJ118" s="84"/>
      <c r="BK118" s="353"/>
      <c r="BL118" s="353"/>
      <c r="BM118" s="353"/>
      <c r="BN118" s="353"/>
      <c r="BO118" s="353"/>
      <c r="BP118" s="84"/>
      <c r="BQ118" s="353"/>
      <c r="BR118" s="353"/>
      <c r="BS118" s="353"/>
      <c r="BT118" s="353"/>
      <c r="BU118" s="353"/>
      <c r="BV118" s="84"/>
      <c r="BW118" s="35"/>
      <c r="BX118" s="35"/>
      <c r="BY118" s="35"/>
      <c r="BZ118" s="35"/>
      <c r="CA118" s="353"/>
      <c r="CB118" s="84"/>
      <c r="CC118" s="35"/>
      <c r="CD118" s="35"/>
      <c r="CE118" s="35"/>
      <c r="CF118" s="35"/>
      <c r="CG118" s="165"/>
      <c r="CH118" s="84"/>
      <c r="CI118" s="35"/>
      <c r="CJ118" s="35"/>
      <c r="CK118" s="35"/>
      <c r="CL118" s="35"/>
      <c r="CM118" s="165"/>
      <c r="CN118" s="84"/>
      <c r="CO118" s="35"/>
      <c r="CP118" s="35"/>
      <c r="CQ118" s="35"/>
      <c r="CR118" s="35"/>
      <c r="CS118" s="165"/>
      <c r="CT118" s="84"/>
      <c r="CU118" s="35"/>
      <c r="CV118" s="35"/>
      <c r="CW118" s="35"/>
      <c r="CX118" s="35"/>
      <c r="CY118" s="165"/>
      <c r="CZ118" s="84"/>
      <c r="DA118" s="35"/>
      <c r="DB118" s="35"/>
      <c r="DC118" s="35"/>
      <c r="DD118" s="35"/>
      <c r="DE118" s="165"/>
      <c r="DF118" s="84"/>
      <c r="DG118" s="35"/>
      <c r="DH118" s="35"/>
      <c r="DI118" s="35"/>
      <c r="DJ118" s="35"/>
      <c r="DK118" s="165"/>
      <c r="DL118" s="84"/>
      <c r="DM118" s="35"/>
      <c r="DN118" s="35"/>
      <c r="DO118" s="35"/>
      <c r="DP118" s="35"/>
      <c r="DQ118" s="165"/>
      <c r="DR118" s="84"/>
      <c r="DS118" s="35"/>
      <c r="DT118" s="35"/>
      <c r="DU118" s="35"/>
      <c r="DV118" s="35"/>
      <c r="DW118" s="165"/>
      <c r="DX118" s="84"/>
      <c r="DY118" s="35"/>
      <c r="DZ118" s="35"/>
      <c r="EA118" s="35"/>
      <c r="EB118" s="35"/>
      <c r="EC118" s="165"/>
      <c r="ED118" s="84"/>
      <c r="EE118" s="35"/>
      <c r="EF118" s="35"/>
      <c r="EG118" s="35"/>
      <c r="EH118" s="35"/>
      <c r="EI118" s="165"/>
      <c r="EJ118" s="84"/>
      <c r="EK118" s="35"/>
      <c r="EL118" s="35"/>
      <c r="EM118" s="35"/>
      <c r="EN118" s="35"/>
      <c r="EO118" s="165"/>
      <c r="EP118" s="84"/>
      <c r="EQ118" s="35"/>
      <c r="ER118" s="35"/>
      <c r="ES118" s="35"/>
      <c r="ET118" s="35"/>
      <c r="EU118" s="165"/>
      <c r="EV118" s="84"/>
      <c r="EW118" s="35"/>
      <c r="EX118" s="35"/>
      <c r="EY118" s="35"/>
      <c r="EZ118" s="35"/>
      <c r="FA118" s="165"/>
      <c r="FB118" s="84"/>
      <c r="FC118" s="35"/>
      <c r="FD118" s="35"/>
      <c r="FE118" s="35"/>
      <c r="FF118" s="35"/>
      <c r="FG118" s="165"/>
      <c r="FH118" s="84"/>
      <c r="FI118" s="35"/>
      <c r="FJ118" s="35"/>
      <c r="FK118" s="35"/>
      <c r="FL118" s="35"/>
      <c r="FM118" s="165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</row>
    <row r="119" spans="1:274" s="24" customFormat="1" x14ac:dyDescent="0.2">
      <c r="A119" s="244" t="s">
        <v>109</v>
      </c>
      <c r="B119" s="440"/>
      <c r="C119" s="101" t="s">
        <v>945</v>
      </c>
      <c r="D119" s="101" t="s">
        <v>945</v>
      </c>
      <c r="E119" s="101" t="s">
        <v>945</v>
      </c>
      <c r="F119" s="101" t="s">
        <v>945</v>
      </c>
      <c r="G119" s="101" t="s">
        <v>945</v>
      </c>
      <c r="H119" s="101" t="s">
        <v>945</v>
      </c>
      <c r="I119" s="101" t="s">
        <v>945</v>
      </c>
      <c r="J119" s="101" t="s">
        <v>945</v>
      </c>
      <c r="K119" s="101" t="s">
        <v>945</v>
      </c>
      <c r="L119" s="101" t="s">
        <v>945</v>
      </c>
      <c r="M119" s="101" t="s">
        <v>945</v>
      </c>
      <c r="N119" s="244"/>
      <c r="O119" s="101" t="s">
        <v>945</v>
      </c>
      <c r="P119" s="101" t="s">
        <v>945</v>
      </c>
      <c r="Q119" s="101" t="s">
        <v>945</v>
      </c>
      <c r="R119" s="101" t="s">
        <v>945</v>
      </c>
      <c r="S119" s="101" t="s">
        <v>945</v>
      </c>
      <c r="T119" s="244"/>
      <c r="U119" s="101" t="s">
        <v>945</v>
      </c>
      <c r="V119" s="101" t="s">
        <v>945</v>
      </c>
      <c r="W119" s="101" t="s">
        <v>945</v>
      </c>
      <c r="X119" s="101" t="s">
        <v>945</v>
      </c>
      <c r="Y119" s="101" t="s">
        <v>945</v>
      </c>
      <c r="Z119" s="170"/>
      <c r="AA119" s="244">
        <f t="shared" ref="AA119:AE121" si="266">AA104+AA89+AA74</f>
        <v>393.90099999999995</v>
      </c>
      <c r="AB119" s="244">
        <f t="shared" si="266"/>
        <v>505.029</v>
      </c>
      <c r="AC119" s="244">
        <f t="shared" si="266"/>
        <v>556.43600000000004</v>
      </c>
      <c r="AD119" s="244">
        <f t="shared" si="266"/>
        <v>888.82299999999998</v>
      </c>
      <c r="AE119" s="244">
        <f t="shared" si="266"/>
        <v>2344.1890000000003</v>
      </c>
      <c r="AF119" s="170"/>
      <c r="AG119" s="244">
        <f t="shared" ref="AG119:AK121" si="267">AG104+AG89+AG74</f>
        <v>406.947</v>
      </c>
      <c r="AH119" s="244">
        <f t="shared" si="267"/>
        <v>512.82799999999997</v>
      </c>
      <c r="AI119" s="244">
        <f t="shared" si="267"/>
        <v>613.49300000000005</v>
      </c>
      <c r="AJ119" s="244">
        <f t="shared" si="267"/>
        <v>993.51199999999994</v>
      </c>
      <c r="AK119" s="244">
        <f t="shared" si="267"/>
        <v>2526.7799999999997</v>
      </c>
      <c r="AL119" s="170"/>
      <c r="AM119" s="244">
        <f t="shared" ref="AM119:AQ121" si="268">AM104+AM89+AM74</f>
        <v>459.54899999999998</v>
      </c>
      <c r="AN119" s="244">
        <f t="shared" si="268"/>
        <v>616.79600000000005</v>
      </c>
      <c r="AO119" s="244">
        <f t="shared" si="268"/>
        <v>657.255</v>
      </c>
      <c r="AP119" s="244">
        <f t="shared" si="268"/>
        <v>1206.252</v>
      </c>
      <c r="AQ119" s="244">
        <f t="shared" si="268"/>
        <v>2939.8519999999999</v>
      </c>
      <c r="AR119" s="170"/>
      <c r="AS119" s="244">
        <f t="shared" ref="AS119:AW121" si="269">AS104+AS89+AS74</f>
        <v>493.50299999999993</v>
      </c>
      <c r="AT119" s="244">
        <f t="shared" si="269"/>
        <v>709.35300000000007</v>
      </c>
      <c r="AU119" s="244">
        <f t="shared" si="269"/>
        <v>844.37600000000009</v>
      </c>
      <c r="AV119" s="244">
        <f t="shared" si="269"/>
        <v>1344.5930000000001</v>
      </c>
      <c r="AW119" s="244">
        <f t="shared" si="269"/>
        <v>3391.8250000000003</v>
      </c>
      <c r="AX119" s="170"/>
      <c r="AY119" s="244">
        <v>615.71900000000005</v>
      </c>
      <c r="AZ119" s="244">
        <v>813.92200000000003</v>
      </c>
      <c r="BA119" s="244">
        <v>851.54100000000005</v>
      </c>
      <c r="BB119" s="244">
        <v>1280.481</v>
      </c>
      <c r="BC119" s="244">
        <f>SUM(AY119:BB119)</f>
        <v>3561.6630000000005</v>
      </c>
      <c r="BD119" s="170"/>
      <c r="BE119" s="244">
        <f t="shared" ref="BE119:BI121" si="270">BE104+BE89+BE74</f>
        <v>565.17700000000002</v>
      </c>
      <c r="BF119" s="244">
        <f t="shared" si="270"/>
        <v>640.25800000000004</v>
      </c>
      <c r="BG119" s="244">
        <f t="shared" si="270"/>
        <v>629.07999999999993</v>
      </c>
      <c r="BH119" s="244">
        <f t="shared" si="270"/>
        <v>904.27</v>
      </c>
      <c r="BI119" s="244">
        <f t="shared" si="270"/>
        <v>2738.7850000000003</v>
      </c>
      <c r="BJ119" s="170"/>
      <c r="BK119" s="244">
        <f t="shared" ref="BK119:BO121" si="271">BK104+BK89+BK74</f>
        <v>437.73399999999998</v>
      </c>
      <c r="BL119" s="244">
        <f t="shared" si="271"/>
        <v>643.41699999999992</v>
      </c>
      <c r="BM119" s="244">
        <f t="shared" si="271"/>
        <v>602.92000000000007</v>
      </c>
      <c r="BN119" s="244">
        <f t="shared" si="271"/>
        <v>933.49599999999998</v>
      </c>
      <c r="BO119" s="244">
        <f t="shared" si="271"/>
        <v>2617.567</v>
      </c>
      <c r="BP119" s="170"/>
      <c r="BQ119" s="244">
        <f t="shared" ref="BQ119:BU121" si="272">BQ104+BQ89+BQ74</f>
        <v>408</v>
      </c>
      <c r="BR119" s="244">
        <f t="shared" si="272"/>
        <v>712</v>
      </c>
      <c r="BS119" s="244">
        <f t="shared" si="272"/>
        <v>700</v>
      </c>
      <c r="BT119" s="244">
        <f t="shared" si="272"/>
        <v>1073</v>
      </c>
      <c r="BU119" s="244">
        <f t="shared" si="272"/>
        <v>2893</v>
      </c>
      <c r="BV119" s="170"/>
      <c r="BW119" s="244">
        <f>dlrev _3c04</f>
        <v>494</v>
      </c>
      <c r="BX119" s="244">
        <f>dlrev _4c04</f>
        <v>756</v>
      </c>
      <c r="BY119" s="244">
        <f>dlrev _1c05</f>
        <v>795</v>
      </c>
      <c r="BZ119" s="244">
        <f>dlrev _2c05</f>
        <v>1259</v>
      </c>
      <c r="CA119" s="244">
        <f>CA104+CA89+CA74</f>
        <v>3304</v>
      </c>
      <c r="CB119" s="170"/>
      <c r="CC119" s="244">
        <f>dlrev _3c05</f>
        <v>502</v>
      </c>
      <c r="CD119" s="244">
        <f>dlrev _4c05</f>
        <v>792</v>
      </c>
      <c r="CE119" s="244">
        <f>dlrev _1c06</f>
        <v>827.4</v>
      </c>
      <c r="CF119" s="244">
        <f>dlrev _2c06</f>
        <v>1480</v>
      </c>
      <c r="CG119" s="171">
        <f>CG104+CG89+CG74</f>
        <v>3565</v>
      </c>
      <c r="CH119" s="170"/>
      <c r="CI119" s="244">
        <f>dlrev _3c06</f>
        <v>576</v>
      </c>
      <c r="CJ119" s="244">
        <f>dlrev _4c06</f>
        <v>867</v>
      </c>
      <c r="CK119" s="244">
        <f>dlrev _1c07</f>
        <v>967</v>
      </c>
      <c r="CL119" s="244">
        <v>1736</v>
      </c>
      <c r="CM119" s="171">
        <f>CM104+CM89+CM74</f>
        <v>4119</v>
      </c>
      <c r="CN119" s="170"/>
      <c r="CO119" s="244">
        <v>711</v>
      </c>
      <c r="CP119" s="244">
        <v>1115</v>
      </c>
      <c r="CQ119" s="244">
        <v>1165</v>
      </c>
      <c r="CR119" s="244">
        <v>2155</v>
      </c>
      <c r="CS119" s="171">
        <f>CS104+CS89+CS74</f>
        <v>5146</v>
      </c>
      <c r="CT119" s="170"/>
      <c r="CU119" s="244">
        <v>906</v>
      </c>
      <c r="CV119" s="244">
        <v>1157</v>
      </c>
      <c r="CW119" s="244">
        <f>dlrev _1c09</f>
        <v>1120</v>
      </c>
      <c r="CX119" s="244">
        <f>dlrev _2c09</f>
        <v>1939</v>
      </c>
      <c r="CY119" s="171">
        <f>CY104+CY89+CY74</f>
        <v>5121.5</v>
      </c>
      <c r="CZ119" s="170"/>
      <c r="DA119" s="244">
        <f>dlrev _3c09</f>
        <v>711</v>
      </c>
      <c r="DB119" s="244">
        <f>dlrev _4c09</f>
        <v>1175</v>
      </c>
      <c r="DC119" s="244">
        <f>dlrev _1c10</f>
        <v>1241</v>
      </c>
      <c r="DD119" s="244">
        <f>dlrev _2c10</f>
        <v>2280</v>
      </c>
      <c r="DE119" s="171">
        <f>DE104+DE89+DE74</f>
        <v>5407</v>
      </c>
      <c r="DF119" s="170"/>
      <c r="DG119" s="244">
        <f>dlrev _3c10</f>
        <v>937</v>
      </c>
      <c r="DH119" s="244">
        <f>dlrev _4c10</f>
        <v>1420</v>
      </c>
      <c r="DI119" s="244">
        <f>dlrev _1c11</f>
        <v>1575</v>
      </c>
      <c r="DJ119" s="244">
        <f>dlrev _2c11</f>
        <v>2694</v>
      </c>
      <c r="DK119" s="171">
        <f>DK104+DK89+DK74</f>
        <v>6626</v>
      </c>
      <c r="DL119" s="170"/>
      <c r="DM119" s="244">
        <f>dlrev _3c11</f>
        <v>1070</v>
      </c>
      <c r="DN119" s="244">
        <f>dlrev _4c11</f>
        <v>1479</v>
      </c>
      <c r="DO119" s="244">
        <f>dlrev _1c12</f>
        <v>1716</v>
      </c>
      <c r="DP119" s="244">
        <f>dlrev _2c12</f>
        <v>2721</v>
      </c>
      <c r="DQ119" s="171">
        <f>DQ104+DQ89+DQ74</f>
        <v>6986</v>
      </c>
      <c r="DR119" s="170"/>
      <c r="DS119" s="244">
        <f>dlrev _3c12</f>
        <v>1102.1000000000001</v>
      </c>
      <c r="DT119" s="244">
        <f>dlrev _4c12</f>
        <v>1641.69</v>
      </c>
      <c r="DU119" s="244">
        <f>dlrev _1c13</f>
        <v>1801.8000000000002</v>
      </c>
      <c r="DV119" s="244">
        <f>dlrev _2c13</f>
        <v>3020.3100000000004</v>
      </c>
      <c r="DW119" s="171">
        <f>DW104+DW89+DW74</f>
        <v>7565.9000000000005</v>
      </c>
      <c r="DX119" s="170"/>
      <c r="DY119" s="244">
        <f>dlrev _3c13</f>
        <v>1223.3310000000004</v>
      </c>
      <c r="DZ119" s="244">
        <f>dlrev _4c13</f>
        <v>1666.3153499999999</v>
      </c>
      <c r="EA119" s="244">
        <f>dlrev _1c14</f>
        <v>1927.9260000000004</v>
      </c>
      <c r="EB119" s="244">
        <f>dlrev _2c14</f>
        <v>3026.3506200000006</v>
      </c>
      <c r="EC119" s="171">
        <f>EC104+EC89+EC74</f>
        <v>7843.9229700000014</v>
      </c>
      <c r="ED119" s="170"/>
      <c r="EE119" s="244">
        <f>dlrev _3c14</f>
        <v>1211.0976900000003</v>
      </c>
      <c r="EF119" s="244">
        <f>dlrev _4c14</f>
        <v>1682.9785034999998</v>
      </c>
      <c r="EG119" s="244">
        <f>dlrev _1c15</f>
        <v>1908.6467400000004</v>
      </c>
      <c r="EH119" s="244">
        <f>Model!EH39</f>
        <v>2965.8236076000007</v>
      </c>
      <c r="EI119" s="171">
        <f>EI104+EI89+EI74</f>
        <v>7768.5465411000014</v>
      </c>
      <c r="EJ119" s="170"/>
      <c r="EK119" s="244">
        <f>Model!EK39</f>
        <v>1192.9312246500003</v>
      </c>
      <c r="EL119" s="244">
        <f>Model!EL39</f>
        <v>1657.7338259474998</v>
      </c>
      <c r="EM119" s="244">
        <f>Model!EM39</f>
        <v>1880.0170389000004</v>
      </c>
      <c r="EN119" s="244">
        <f>Model!EN39</f>
        <v>2921.3362534860007</v>
      </c>
      <c r="EO119" s="171">
        <f>EO104+EO89+EO74</f>
        <v>7652.0183429835015</v>
      </c>
      <c r="EP119" s="170"/>
      <c r="EQ119" s="244">
        <f>Model!EQ39</f>
        <v>1175.0372562802504</v>
      </c>
      <c r="ER119" s="244">
        <f>Model!ER39</f>
        <v>1690.8885024664498</v>
      </c>
      <c r="ES119" s="244">
        <f>Model!ES39</f>
        <v>1927.0174648725003</v>
      </c>
      <c r="ET119" s="244">
        <f>Model!ET39</f>
        <v>2877.5162096837107</v>
      </c>
      <c r="EU119" s="171">
        <f>EU104+EU89+EU74</f>
        <v>7670.4594333029108</v>
      </c>
      <c r="EV119" s="170"/>
      <c r="EW119" s="244">
        <f>Model!EW39</f>
        <v>1157.4116974360466</v>
      </c>
      <c r="EX119" s="244">
        <f>Model!EX39</f>
        <v>1792.341812614437</v>
      </c>
      <c r="EY119" s="244">
        <f>Model!EY39</f>
        <v>2081.1788620623006</v>
      </c>
      <c r="EZ119" s="244">
        <f>Model!EZ39</f>
        <v>2949.4541149258034</v>
      </c>
      <c r="FA119" s="171">
        <f>FA104+FA89+FA74</f>
        <v>7980.3864870385878</v>
      </c>
      <c r="FB119" s="170"/>
      <c r="FC119" s="244">
        <f>Model!FC39</f>
        <v>1186.3469898719477</v>
      </c>
      <c r="FD119" s="244">
        <f>Model!FD39</f>
        <v>1837.1503579297978</v>
      </c>
      <c r="FE119" s="244">
        <f>Model!FE39</f>
        <v>2133.208333613858</v>
      </c>
      <c r="FF119" s="244">
        <f>Model!FF39</f>
        <v>3023.1904677989482</v>
      </c>
      <c r="FG119" s="171">
        <f>FG104+FG89+FG74</f>
        <v>8179.8961492145509</v>
      </c>
      <c r="FH119" s="170"/>
      <c r="FI119" s="244">
        <f>Model!FI39</f>
        <v>1216.0056646187463</v>
      </c>
      <c r="FJ119" s="244">
        <f>Model!FJ39</f>
        <v>1883.0791168780427</v>
      </c>
      <c r="FK119" s="244">
        <f>Model!FK39</f>
        <v>2186.5385419542044</v>
      </c>
      <c r="FL119" s="244">
        <f>Model!FL39</f>
        <v>3098.7702294939218</v>
      </c>
      <c r="FM119" s="171">
        <f>FM104+FM89+FM74</f>
        <v>8384.3935529449154</v>
      </c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</row>
    <row r="120" spans="1:274" s="24" customFormat="1" x14ac:dyDescent="0.2">
      <c r="A120" s="244" t="s">
        <v>697</v>
      </c>
      <c r="B120" s="440"/>
      <c r="C120" s="101" t="s">
        <v>945</v>
      </c>
      <c r="D120" s="101" t="s">
        <v>945</v>
      </c>
      <c r="E120" s="101" t="s">
        <v>945</v>
      </c>
      <c r="F120" s="101" t="s">
        <v>945</v>
      </c>
      <c r="G120" s="101" t="s">
        <v>945</v>
      </c>
      <c r="H120" s="101" t="s">
        <v>945</v>
      </c>
      <c r="I120" s="101" t="s">
        <v>945</v>
      </c>
      <c r="J120" s="101" t="s">
        <v>945</v>
      </c>
      <c r="K120" s="101" t="s">
        <v>945</v>
      </c>
      <c r="L120" s="101" t="s">
        <v>945</v>
      </c>
      <c r="M120" s="101" t="s">
        <v>945</v>
      </c>
      <c r="N120" s="244"/>
      <c r="O120" s="101" t="s">
        <v>945</v>
      </c>
      <c r="P120" s="101" t="s">
        <v>945</v>
      </c>
      <c r="Q120" s="101" t="s">
        <v>945</v>
      </c>
      <c r="R120" s="101" t="s">
        <v>945</v>
      </c>
      <c r="S120" s="101" t="s">
        <v>945</v>
      </c>
      <c r="T120" s="244"/>
      <c r="U120" s="101" t="s">
        <v>945</v>
      </c>
      <c r="V120" s="101" t="s">
        <v>945</v>
      </c>
      <c r="W120" s="101" t="s">
        <v>945</v>
      </c>
      <c r="X120" s="101" t="s">
        <v>945</v>
      </c>
      <c r="Y120" s="101" t="s">
        <v>945</v>
      </c>
      <c r="Z120" s="170"/>
      <c r="AA120" s="244">
        <f t="shared" si="266"/>
        <v>50.415999999999997</v>
      </c>
      <c r="AB120" s="244">
        <f t="shared" si="266"/>
        <v>101.41799999999999</v>
      </c>
      <c r="AC120" s="244">
        <f t="shared" si="266"/>
        <v>107.821</v>
      </c>
      <c r="AD120" s="244">
        <f t="shared" si="266"/>
        <v>218.60599999999999</v>
      </c>
      <c r="AE120" s="244">
        <f t="shared" si="266"/>
        <v>478.26099999999997</v>
      </c>
      <c r="AF120" s="170"/>
      <c r="AG120" s="244">
        <f t="shared" si="267"/>
        <v>98.429000000000002</v>
      </c>
      <c r="AH120" s="244">
        <f t="shared" si="267"/>
        <v>108.34</v>
      </c>
      <c r="AI120" s="244">
        <f t="shared" si="267"/>
        <v>139.69999999999999</v>
      </c>
      <c r="AJ120" s="244">
        <f t="shared" si="267"/>
        <v>215.81100000000001</v>
      </c>
      <c r="AK120" s="244">
        <f t="shared" si="267"/>
        <v>562.28</v>
      </c>
      <c r="AL120" s="170"/>
      <c r="AM120" s="244">
        <f t="shared" si="268"/>
        <v>98.09</v>
      </c>
      <c r="AN120" s="244">
        <f t="shared" si="268"/>
        <v>128.45099999999999</v>
      </c>
      <c r="AO120" s="244">
        <f t="shared" si="268"/>
        <v>147.351</v>
      </c>
      <c r="AP120" s="244">
        <f t="shared" si="268"/>
        <v>277.14999999999998</v>
      </c>
      <c r="AQ120" s="244">
        <f t="shared" si="268"/>
        <v>651.04199999999992</v>
      </c>
      <c r="AR120" s="170"/>
      <c r="AS120" s="244">
        <f t="shared" si="269"/>
        <v>109.143</v>
      </c>
      <c r="AT120" s="244">
        <f t="shared" si="269"/>
        <v>167.81799999999998</v>
      </c>
      <c r="AU120" s="244">
        <f t="shared" si="269"/>
        <v>198.82999999999998</v>
      </c>
      <c r="AV120" s="244">
        <f t="shared" si="269"/>
        <v>447.41300000000001</v>
      </c>
      <c r="AW120" s="244">
        <f t="shared" si="269"/>
        <v>923.20399999999995</v>
      </c>
      <c r="AX120" s="170"/>
      <c r="AY120" s="244">
        <v>155.52600000000001</v>
      </c>
      <c r="AZ120" s="244">
        <v>279.27100000000002</v>
      </c>
      <c r="BA120" s="244">
        <v>249.42400000000001</v>
      </c>
      <c r="BB120" s="244">
        <v>337.99900000000002</v>
      </c>
      <c r="BC120" s="244">
        <f>SUM(AY120:BB120)</f>
        <v>1022.22</v>
      </c>
      <c r="BD120" s="170"/>
      <c r="BE120" s="244">
        <f t="shared" si="270"/>
        <v>145.93099999999998</v>
      </c>
      <c r="BF120" s="244">
        <f t="shared" si="270"/>
        <v>163.13300000000001</v>
      </c>
      <c r="BG120" s="244">
        <f t="shared" si="270"/>
        <v>147.87299999999999</v>
      </c>
      <c r="BH120" s="244">
        <f t="shared" si="270"/>
        <v>245.70799999999997</v>
      </c>
      <c r="BI120" s="244">
        <f t="shared" si="270"/>
        <v>702.64499999999998</v>
      </c>
      <c r="BJ120" s="170"/>
      <c r="BK120" s="244">
        <f t="shared" si="271"/>
        <v>110.81800000000001</v>
      </c>
      <c r="BL120" s="244">
        <f t="shared" si="271"/>
        <v>108.119</v>
      </c>
      <c r="BM120" s="244">
        <f t="shared" si="271"/>
        <v>140.03800000000001</v>
      </c>
      <c r="BN120" s="244">
        <f t="shared" si="271"/>
        <v>246.20100000000002</v>
      </c>
      <c r="BO120" s="244">
        <f t="shared" si="271"/>
        <v>605.17599999999993</v>
      </c>
      <c r="BP120" s="170"/>
      <c r="BQ120" s="244">
        <f t="shared" si="272"/>
        <v>107</v>
      </c>
      <c r="BR120" s="244">
        <f t="shared" si="272"/>
        <v>137</v>
      </c>
      <c r="BS120" s="244">
        <f t="shared" si="272"/>
        <v>140</v>
      </c>
      <c r="BT120" s="244">
        <f t="shared" si="272"/>
        <v>231</v>
      </c>
      <c r="BU120" s="244">
        <f t="shared" si="272"/>
        <v>615</v>
      </c>
      <c r="BV120" s="170"/>
      <c r="BW120" s="244">
        <f>alrev _3c04</f>
        <v>69</v>
      </c>
      <c r="BX120" s="244">
        <f>alrev _4c04</f>
        <v>215</v>
      </c>
      <c r="BY120" s="244">
        <f>alrev _1c05</f>
        <v>152</v>
      </c>
      <c r="BZ120" s="244">
        <f>alrev _2c05</f>
        <v>350</v>
      </c>
      <c r="CA120" s="244">
        <f>CA105+CA90+CA75</f>
        <v>786</v>
      </c>
      <c r="CB120" s="170"/>
      <c r="CC120" s="244">
        <f>alrev _3c05</f>
        <v>127</v>
      </c>
      <c r="CD120" s="244">
        <f>alrev _4c05</f>
        <v>266</v>
      </c>
      <c r="CE120" s="244">
        <f>alrev _1c06</f>
        <v>269</v>
      </c>
      <c r="CF120" s="244">
        <f>alrev _2c06</f>
        <v>641</v>
      </c>
      <c r="CG120" s="171">
        <f>CG105+CG90+CG75</f>
        <v>1302.4000000000001</v>
      </c>
      <c r="CH120" s="170"/>
      <c r="CI120" s="244">
        <f>alrev _3c06</f>
        <v>228</v>
      </c>
      <c r="CJ120" s="244">
        <f>alrev _4c06</f>
        <v>340</v>
      </c>
      <c r="CK120" s="244">
        <f>alrev _1c07</f>
        <v>423</v>
      </c>
      <c r="CL120" s="244">
        <f>alrev _2c07</f>
        <v>726</v>
      </c>
      <c r="CM120" s="171">
        <f>CM105+CM90+CM75</f>
        <v>1717</v>
      </c>
      <c r="CN120" s="170"/>
      <c r="CO120" s="244">
        <f>alrev _3c07</f>
        <v>376</v>
      </c>
      <c r="CP120" s="244">
        <f>alrev _4c07</f>
        <v>553</v>
      </c>
      <c r="CQ120" s="244">
        <v>451</v>
      </c>
      <c r="CR120" s="244">
        <f>alrev _2c08</f>
        <v>989</v>
      </c>
      <c r="CS120" s="171">
        <f>CS105+CS90+CS75</f>
        <v>2369</v>
      </c>
      <c r="CT120" s="170"/>
      <c r="CU120" s="244">
        <f>alrev _3c08</f>
        <v>331</v>
      </c>
      <c r="CV120" s="244">
        <f>alrev _4c08</f>
        <v>469</v>
      </c>
      <c r="CW120" s="244">
        <f>alrev _1c09</f>
        <v>396</v>
      </c>
      <c r="CX120" s="244">
        <f>alrev _2c09</f>
        <v>805</v>
      </c>
      <c r="CY120" s="171">
        <f>CY105+CY90+CY75</f>
        <v>2000.9</v>
      </c>
      <c r="CZ120" s="170"/>
      <c r="DA120" s="244">
        <f>alrev _3c09</f>
        <v>317</v>
      </c>
      <c r="DB120" s="244">
        <f>alrev _4c09</f>
        <v>478</v>
      </c>
      <c r="DC120" s="244">
        <f>alrev _1c10</f>
        <v>477.4</v>
      </c>
      <c r="DD120" s="244">
        <f>alrev _2c10</f>
        <v>855</v>
      </c>
      <c r="DE120" s="171">
        <f>DE105+DE90+DE75</f>
        <v>2127</v>
      </c>
      <c r="DF120" s="170"/>
      <c r="DG120" s="244">
        <f>alrev _3c10</f>
        <v>349</v>
      </c>
      <c r="DH120" s="244">
        <f>alrev _4c10</f>
        <v>579</v>
      </c>
      <c r="DI120" s="244">
        <f>alrev _1c11</f>
        <v>639</v>
      </c>
      <c r="DJ120" s="244">
        <f>alrev _2c11</f>
        <v>1042</v>
      </c>
      <c r="DK120" s="171">
        <f>DK105+DK90+DK75</f>
        <v>2609</v>
      </c>
      <c r="DL120" s="170"/>
      <c r="DM120" s="244">
        <f>alrev _3c11</f>
        <v>428</v>
      </c>
      <c r="DN120" s="244">
        <f>alrev _4c11</f>
        <v>569</v>
      </c>
      <c r="DO120" s="244">
        <f>alrev _1c12</f>
        <v>658</v>
      </c>
      <c r="DP120" s="244">
        <f>alrev _2c12</f>
        <v>1286</v>
      </c>
      <c r="DQ120" s="171">
        <f>DQ105+DQ90+DQ75</f>
        <v>2941</v>
      </c>
      <c r="DR120" s="170"/>
      <c r="DS120" s="244">
        <f>alrev _3c12</f>
        <v>609.89999999999986</v>
      </c>
      <c r="DT120" s="244">
        <f>alrev _4c12</f>
        <v>873.31</v>
      </c>
      <c r="DU120" s="244">
        <f>alrev _1c13</f>
        <v>646.19999999999982</v>
      </c>
      <c r="DV120" s="244">
        <f>alrev _2c13</f>
        <v>1126.6899999999996</v>
      </c>
      <c r="DW120" s="171">
        <f>DW105+DW90+DW75</f>
        <v>3256.0999999999995</v>
      </c>
      <c r="DX120" s="170"/>
      <c r="DY120" s="244">
        <f>alrev _3c13</f>
        <v>541.66899999999964</v>
      </c>
      <c r="DZ120" s="244">
        <f>alrev _4c13</f>
        <v>813.68465000000015</v>
      </c>
      <c r="EA120" s="244">
        <f>alrev _1c14</f>
        <v>613.07399999999961</v>
      </c>
      <c r="EB120" s="244">
        <f>alrev _2c14</f>
        <v>1197.6493799999994</v>
      </c>
      <c r="EC120" s="171">
        <f>EC105+EC90+EC75</f>
        <v>3166.0770299999986</v>
      </c>
      <c r="ED120" s="170"/>
      <c r="EE120" s="244">
        <f>alrev _3c14</f>
        <v>635.90230999999972</v>
      </c>
      <c r="EF120" s="244">
        <f>alrev _4c14</f>
        <v>881.02149650000024</v>
      </c>
      <c r="EG120" s="244">
        <f>alrev _1c15</f>
        <v>603.35325999999964</v>
      </c>
      <c r="EH120" s="244">
        <f>Model!EH42</f>
        <v>751.17639239999926</v>
      </c>
      <c r="EI120" s="171">
        <f>EI105+EI90+EI75</f>
        <v>2871.4534588999986</v>
      </c>
      <c r="EJ120" s="170"/>
      <c r="EK120" s="244">
        <f>Model!EK42</f>
        <v>570.06877534999967</v>
      </c>
      <c r="EL120" s="244">
        <f>Model!EL42</f>
        <v>671.26617405250022</v>
      </c>
      <c r="EM120" s="244">
        <f>Model!EM42</f>
        <v>536.98296109999956</v>
      </c>
      <c r="EN120" s="244">
        <f>Model!EN42</f>
        <v>704.66374651399929</v>
      </c>
      <c r="EO120" s="171">
        <f>EO105+EO90+EO75</f>
        <v>2482.9816570164985</v>
      </c>
      <c r="EP120" s="170"/>
      <c r="EQ120" s="244">
        <f>Model!EQ42</f>
        <v>840.9627437197496</v>
      </c>
      <c r="ER120" s="244">
        <f>Model!ER42</f>
        <v>743.11149753355016</v>
      </c>
      <c r="ES120" s="244">
        <f>Model!ES42</f>
        <v>744.98253512749966</v>
      </c>
      <c r="ET120" s="244">
        <f>Model!ET42</f>
        <v>1158.4837903162893</v>
      </c>
      <c r="EU120" s="171">
        <f>EU105+EU90+EU75</f>
        <v>3487.5405666970887</v>
      </c>
      <c r="EV120" s="170"/>
      <c r="EW120" s="244">
        <f>Model!EW42</f>
        <v>1300.5883025639534</v>
      </c>
      <c r="EX120" s="244">
        <f>Model!EX42</f>
        <v>1088.658187385563</v>
      </c>
      <c r="EY120" s="244">
        <f>Model!EY42</f>
        <v>877.8211379376994</v>
      </c>
      <c r="EZ120" s="244">
        <f>Model!EZ42</f>
        <v>1198.4608850741965</v>
      </c>
      <c r="FA120" s="171">
        <f>FA105+FA90+FA75</f>
        <v>4465.5285129614122</v>
      </c>
      <c r="FB120" s="170"/>
      <c r="FC120" s="244">
        <f>Model!FC42</f>
        <v>1576.0998101280525</v>
      </c>
      <c r="FD120" s="244">
        <f>Model!FD42</f>
        <v>1346.5696420702025</v>
      </c>
      <c r="FE120" s="244">
        <f>Model!FE42</f>
        <v>1142.4666663861422</v>
      </c>
      <c r="FF120" s="244">
        <f>Model!FF42</f>
        <v>1356.6702322010519</v>
      </c>
      <c r="FG120" s="171">
        <f>FG105+FG90+FG75</f>
        <v>5421.8063507854495</v>
      </c>
      <c r="FH120" s="170"/>
      <c r="FI120" s="244">
        <f>Model!FI42</f>
        <v>1897.712155381254</v>
      </c>
      <c r="FJ120" s="244">
        <f>Model!FJ42</f>
        <v>1638.8862831219574</v>
      </c>
      <c r="FK120" s="244">
        <f>Model!FK42</f>
        <v>1427.1280080457955</v>
      </c>
      <c r="FL120" s="244">
        <f>Model!FL42</f>
        <v>1558.0779765060779</v>
      </c>
      <c r="FM120" s="171">
        <f>FM105+FM90+FM75</f>
        <v>6521.804423055085</v>
      </c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</row>
    <row r="121" spans="1:274" s="24" customFormat="1" x14ac:dyDescent="0.2">
      <c r="A121" s="244" t="s">
        <v>698</v>
      </c>
      <c r="B121" s="326"/>
      <c r="C121" s="101" t="s">
        <v>945</v>
      </c>
      <c r="D121" s="101" t="s">
        <v>945</v>
      </c>
      <c r="E121" s="101" t="s">
        <v>945</v>
      </c>
      <c r="F121" s="101" t="s">
        <v>945</v>
      </c>
      <c r="G121" s="101" t="s">
        <v>945</v>
      </c>
      <c r="H121" s="101" t="s">
        <v>945</v>
      </c>
      <c r="I121" s="101" t="s">
        <v>945</v>
      </c>
      <c r="J121" s="101" t="s">
        <v>945</v>
      </c>
      <c r="K121" s="101" t="s">
        <v>945</v>
      </c>
      <c r="L121" s="101" t="s">
        <v>945</v>
      </c>
      <c r="M121" s="101" t="s">
        <v>945</v>
      </c>
      <c r="N121" s="244"/>
      <c r="O121" s="101" t="s">
        <v>945</v>
      </c>
      <c r="P121" s="101" t="s">
        <v>945</v>
      </c>
      <c r="Q121" s="101" t="s">
        <v>945</v>
      </c>
      <c r="R121" s="101" t="s">
        <v>945</v>
      </c>
      <c r="S121" s="101" t="s">
        <v>945</v>
      </c>
      <c r="T121" s="244"/>
      <c r="U121" s="101" t="s">
        <v>945</v>
      </c>
      <c r="V121" s="101" t="s">
        <v>945</v>
      </c>
      <c r="W121" s="101" t="s">
        <v>945</v>
      </c>
      <c r="X121" s="101" t="s">
        <v>945</v>
      </c>
      <c r="Y121" s="101" t="s">
        <v>945</v>
      </c>
      <c r="Z121" s="170"/>
      <c r="AA121" s="244">
        <f t="shared" si="266"/>
        <v>444.31700000000001</v>
      </c>
      <c r="AB121" s="244">
        <f t="shared" si="266"/>
        <v>606.447</v>
      </c>
      <c r="AC121" s="244">
        <f t="shared" si="266"/>
        <v>664.25699999999995</v>
      </c>
      <c r="AD121" s="244">
        <f t="shared" si="266"/>
        <v>1107.4290000000001</v>
      </c>
      <c r="AE121" s="244">
        <f t="shared" si="266"/>
        <v>2822.45</v>
      </c>
      <c r="AF121" s="170"/>
      <c r="AG121" s="244">
        <f t="shared" si="267"/>
        <v>505.37599999999998</v>
      </c>
      <c r="AH121" s="244">
        <f t="shared" si="267"/>
        <v>621.16800000000001</v>
      </c>
      <c r="AI121" s="244">
        <f t="shared" si="267"/>
        <v>753.19299999999998</v>
      </c>
      <c r="AJ121" s="244">
        <f t="shared" si="267"/>
        <v>1209.3229999999999</v>
      </c>
      <c r="AK121" s="244">
        <f t="shared" si="267"/>
        <v>3089.06</v>
      </c>
      <c r="AL121" s="170"/>
      <c r="AM121" s="244">
        <f t="shared" si="268"/>
        <v>557.6389999999999</v>
      </c>
      <c r="AN121" s="244">
        <f t="shared" si="268"/>
        <v>745.24699999999996</v>
      </c>
      <c r="AO121" s="244">
        <f t="shared" si="268"/>
        <v>804.60599999999999</v>
      </c>
      <c r="AP121" s="244">
        <f t="shared" si="268"/>
        <v>1483.402</v>
      </c>
      <c r="AQ121" s="244">
        <f t="shared" si="268"/>
        <v>3590.8940000000002</v>
      </c>
      <c r="AR121" s="170"/>
      <c r="AS121" s="244">
        <f t="shared" si="269"/>
        <v>602.64599999999996</v>
      </c>
      <c r="AT121" s="244">
        <f t="shared" si="269"/>
        <v>877.17100000000005</v>
      </c>
      <c r="AU121" s="244">
        <f t="shared" si="269"/>
        <v>1043.2060000000001</v>
      </c>
      <c r="AV121" s="244">
        <f t="shared" si="269"/>
        <v>1792.0059999999999</v>
      </c>
      <c r="AW121" s="244">
        <f t="shared" si="269"/>
        <v>4315.0290000000005</v>
      </c>
      <c r="AX121" s="170"/>
      <c r="AY121" s="244">
        <f>SUM(AY119:AY120)</f>
        <v>771.24500000000012</v>
      </c>
      <c r="AZ121" s="244">
        <f>SUM(AZ119:AZ120)</f>
        <v>1093.193</v>
      </c>
      <c r="BA121" s="244">
        <f>SUM(BA119:BA120)</f>
        <v>1100.9650000000001</v>
      </c>
      <c r="BB121" s="244">
        <f>SUM(BB119:BB120)</f>
        <v>1618.48</v>
      </c>
      <c r="BC121" s="244">
        <f>SUM(BC119:BC120)</f>
        <v>4583.8830000000007</v>
      </c>
      <c r="BD121" s="170"/>
      <c r="BE121" s="244">
        <f t="shared" si="270"/>
        <v>711.10799999999995</v>
      </c>
      <c r="BF121" s="244">
        <f t="shared" si="270"/>
        <v>803.39100000000008</v>
      </c>
      <c r="BG121" s="244">
        <f t="shared" si="270"/>
        <v>776.95299999999997</v>
      </c>
      <c r="BH121" s="244">
        <f t="shared" si="270"/>
        <v>1149.9779999999998</v>
      </c>
      <c r="BI121" s="244">
        <f t="shared" si="270"/>
        <v>3441.4300000000003</v>
      </c>
      <c r="BJ121" s="170"/>
      <c r="BK121" s="244">
        <f t="shared" si="271"/>
        <v>548.55200000000002</v>
      </c>
      <c r="BL121" s="244">
        <f t="shared" si="271"/>
        <v>751.53600000000006</v>
      </c>
      <c r="BM121" s="244">
        <f t="shared" si="271"/>
        <v>742.95800000000008</v>
      </c>
      <c r="BN121" s="244">
        <f t="shared" si="271"/>
        <v>1179.6970000000001</v>
      </c>
      <c r="BO121" s="244">
        <f t="shared" si="271"/>
        <v>3222.7429999999999</v>
      </c>
      <c r="BP121" s="170"/>
      <c r="BQ121" s="244">
        <f t="shared" si="272"/>
        <v>515</v>
      </c>
      <c r="BR121" s="244">
        <f t="shared" si="272"/>
        <v>849</v>
      </c>
      <c r="BS121" s="244">
        <f t="shared" si="272"/>
        <v>840</v>
      </c>
      <c r="BT121" s="244">
        <f t="shared" si="272"/>
        <v>1304</v>
      </c>
      <c r="BU121" s="244">
        <f t="shared" si="272"/>
        <v>3508</v>
      </c>
      <c r="BV121" s="170"/>
      <c r="BW121" s="244">
        <f>BW106+BW91+BW76</f>
        <v>563</v>
      </c>
      <c r="BX121" s="244">
        <f>BX106+BX91+BX76</f>
        <v>971</v>
      </c>
      <c r="BY121" s="244">
        <f>BY106+BY91+BY76</f>
        <v>947</v>
      </c>
      <c r="BZ121" s="244">
        <f>BZ106+BZ91+BZ76</f>
        <v>1609</v>
      </c>
      <c r="CA121" s="244">
        <f>CA106+CA91+CA76</f>
        <v>4090</v>
      </c>
      <c r="CB121" s="170"/>
      <c r="CC121" s="244">
        <f>CC106+CC91+CC76</f>
        <v>619</v>
      </c>
      <c r="CD121" s="244">
        <f>CD106+CD91+CD76</f>
        <v>1050</v>
      </c>
      <c r="CE121" s="244">
        <f>CE106+CE91+CE76</f>
        <v>1088.4000000000001</v>
      </c>
      <c r="CF121" s="244">
        <f>CF106+CF91+CF76</f>
        <v>2110</v>
      </c>
      <c r="CG121" s="171">
        <f>CG106+CG91+CG76</f>
        <v>4867.3999999999996</v>
      </c>
      <c r="CH121" s="170"/>
      <c r="CI121" s="244">
        <f>CI106+CI91+CI76</f>
        <v>793</v>
      </c>
      <c r="CJ121" s="244">
        <f>CJ106+CJ91+CJ76</f>
        <v>1199</v>
      </c>
      <c r="CK121" s="244">
        <f>CK106+CK91+CK76</f>
        <v>1382</v>
      </c>
      <c r="CL121" s="244">
        <f>CL106+CL91+CL76</f>
        <v>2462</v>
      </c>
      <c r="CM121" s="171">
        <f>CM106+CM91+CM76</f>
        <v>5836</v>
      </c>
      <c r="CN121" s="170"/>
      <c r="CO121" s="244">
        <f>CO106+CO91+CO76</f>
        <v>1087</v>
      </c>
      <c r="CP121" s="244">
        <f>CP106+CP91+CP76</f>
        <v>1668</v>
      </c>
      <c r="CQ121" s="244">
        <f>CQ106+CQ91+CQ76</f>
        <v>1616</v>
      </c>
      <c r="CR121" s="244">
        <f>CR106+CR91+CR76</f>
        <v>3144</v>
      </c>
      <c r="CS121" s="171">
        <f>CS106+CS91+CS76</f>
        <v>7515</v>
      </c>
      <c r="CT121" s="170"/>
      <c r="CU121" s="244">
        <f>CU106+CU91+CU76</f>
        <v>1237</v>
      </c>
      <c r="CV121" s="244">
        <f>CV106+CV91+CV76</f>
        <v>1625.4</v>
      </c>
      <c r="CW121" s="244">
        <f>CW106+CW91+CW76</f>
        <v>1516</v>
      </c>
      <c r="CX121" s="244">
        <f>CX106+CX91+CX76</f>
        <v>2744</v>
      </c>
      <c r="CY121" s="171">
        <f>CY106+CY91+CY76</f>
        <v>7122.4</v>
      </c>
      <c r="CZ121" s="170"/>
      <c r="DA121" s="244">
        <f>DA106+DA91+DA76</f>
        <v>1028</v>
      </c>
      <c r="DB121" s="244">
        <f>DB106+DB91+DB76</f>
        <v>1653</v>
      </c>
      <c r="DC121" s="244">
        <f>DC106+DC91+DC76</f>
        <v>1718</v>
      </c>
      <c r="DD121" s="244">
        <f>DD106+DD91+DD76</f>
        <v>3135</v>
      </c>
      <c r="DE121" s="171">
        <f>DE106+DE91+DE76</f>
        <v>7534</v>
      </c>
      <c r="DF121" s="170"/>
      <c r="DG121" s="244">
        <f>DG106+DG91+DG76</f>
        <v>1286</v>
      </c>
      <c r="DH121" s="244">
        <f>DH106+DH91+DH76</f>
        <v>1999</v>
      </c>
      <c r="DI121" s="244">
        <f>DI106+DI91+DI76</f>
        <v>2214</v>
      </c>
      <c r="DJ121" s="244">
        <f>DJ106+DJ91+DJ76</f>
        <v>3736</v>
      </c>
      <c r="DK121" s="171">
        <f>DK106+DK91+DK76</f>
        <v>9235</v>
      </c>
      <c r="DL121" s="170"/>
      <c r="DM121" s="244">
        <f>DM106+DM91+DM76</f>
        <v>1498</v>
      </c>
      <c r="DN121" s="244">
        <f>DN106+DN91+DN76</f>
        <v>2048</v>
      </c>
      <c r="DO121" s="244">
        <f>DO106+DO91+DO76</f>
        <v>2374</v>
      </c>
      <c r="DP121" s="244">
        <f>DP106+DP91+DP76</f>
        <v>3985</v>
      </c>
      <c r="DQ121" s="171">
        <f>DQ106+DQ91+DQ76</f>
        <v>9927</v>
      </c>
      <c r="DR121" s="170"/>
      <c r="DS121" s="244">
        <f>DS106+DS91+DS76</f>
        <v>1574</v>
      </c>
      <c r="DT121" s="244">
        <f>DT106+DT91+DT76</f>
        <v>2389</v>
      </c>
      <c r="DU121" s="244">
        <f>DU106+DU91+DU76</f>
        <v>2332</v>
      </c>
      <c r="DV121" s="244">
        <f>DV106+DV91+DV76</f>
        <v>4026</v>
      </c>
      <c r="DW121" s="171">
        <f>DW106+DW91+DW76</f>
        <v>10822</v>
      </c>
      <c r="DX121" s="170"/>
      <c r="DY121" s="244">
        <f>DY106+DY91+DY76</f>
        <v>1653</v>
      </c>
      <c r="DZ121" s="244">
        <f>DZ106+DZ91+DZ76</f>
        <v>2380</v>
      </c>
      <c r="EA121" s="244">
        <f>EA106+EA91+EA76</f>
        <v>2541</v>
      </c>
      <c r="EB121" s="244">
        <f>EB106+EB91+EB76</f>
        <v>4224</v>
      </c>
      <c r="EC121" s="171">
        <f>EC106+EC91+EC76</f>
        <v>11010</v>
      </c>
      <c r="ED121" s="170"/>
      <c r="EE121" s="244">
        <f>EE106+EE91+EE76</f>
        <v>1847</v>
      </c>
      <c r="EF121" s="244">
        <f>EF106+EF91+EF76</f>
        <v>2564</v>
      </c>
      <c r="EG121" s="244">
        <f>EG106+EG91+EG76</f>
        <v>2512</v>
      </c>
      <c r="EH121" s="244">
        <f>EH106+EH91+EH76</f>
        <v>3717</v>
      </c>
      <c r="EI121" s="171">
        <f>EI106+EI91+EI76</f>
        <v>10640</v>
      </c>
      <c r="EJ121" s="170"/>
      <c r="EK121" s="244">
        <f>EK106+EK91+EK76</f>
        <v>1763</v>
      </c>
      <c r="EL121" s="244">
        <f>EL106+EL91+EL76</f>
        <v>2329</v>
      </c>
      <c r="EM121" s="244">
        <f>EM106+EM91+EM76</f>
        <v>2417</v>
      </c>
      <c r="EN121" s="244">
        <f>EN106+EN91+EN76</f>
        <v>3626</v>
      </c>
      <c r="EO121" s="171">
        <f>EO106+EO91+EO76</f>
        <v>10135</v>
      </c>
      <c r="EP121" s="170"/>
      <c r="EQ121" s="244">
        <f>EQ106+EQ91+EQ76</f>
        <v>2016</v>
      </c>
      <c r="ER121" s="244">
        <f>ER106+ER91+ER76</f>
        <v>2434</v>
      </c>
      <c r="ES121" s="244">
        <f>ES106+ES91+ES76</f>
        <v>2672</v>
      </c>
      <c r="ET121" s="244">
        <f>ET106+ET91+ET76</f>
        <v>4036</v>
      </c>
      <c r="EU121" s="171">
        <f>EU106+EU91+EU76</f>
        <v>11158</v>
      </c>
      <c r="EV121" s="170"/>
      <c r="EW121" s="244">
        <f>EW106+EW91+EW76</f>
        <v>2458</v>
      </c>
      <c r="EX121" s="244">
        <f>EX106+EX91+EX76</f>
        <v>2881</v>
      </c>
      <c r="EY121" s="244">
        <f>EY106+EY91+EY76</f>
        <v>2959</v>
      </c>
      <c r="EZ121" s="244">
        <f>EZ106+EZ91+EZ76</f>
        <v>4147.915</v>
      </c>
      <c r="FA121" s="171">
        <f>FA106+FA91+FA76</f>
        <v>12445.915000000001</v>
      </c>
      <c r="FB121" s="170"/>
      <c r="FC121" s="244">
        <f>FC106+FC91+FC76</f>
        <v>2762.4468000000002</v>
      </c>
      <c r="FD121" s="244">
        <f>FD106+FD91+FD76</f>
        <v>3183.7200000000003</v>
      </c>
      <c r="FE121" s="244">
        <f>FE106+FE91+FE76</f>
        <v>3275.6750000000002</v>
      </c>
      <c r="FF121" s="244">
        <f>FF106+FF91+FF76</f>
        <v>4379.8607000000002</v>
      </c>
      <c r="FG121" s="171">
        <f>FG106+FG91+FG76</f>
        <v>13601.702499999999</v>
      </c>
      <c r="FH121" s="170"/>
      <c r="FI121" s="244">
        <f>FI106+FI91+FI76</f>
        <v>3113.7178200000003</v>
      </c>
      <c r="FJ121" s="244">
        <f>FJ106+FJ91+FJ76</f>
        <v>3521.9654</v>
      </c>
      <c r="FK121" s="244">
        <f>FK106+FK91+FK76</f>
        <v>3613.6665499999999</v>
      </c>
      <c r="FL121" s="244">
        <f>FL106+FL91+FL76</f>
        <v>4656.8482059999988</v>
      </c>
      <c r="FM121" s="171">
        <f>FM106+FM91+FM76</f>
        <v>14906.197975999999</v>
      </c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</row>
    <row r="122" spans="1:274" s="24" customFormat="1" x14ac:dyDescent="0.2">
      <c r="A122" s="58" t="s">
        <v>699</v>
      </c>
      <c r="B122" s="1040"/>
      <c r="C122" s="50"/>
      <c r="D122" s="50"/>
      <c r="E122" s="50"/>
      <c r="F122" s="50"/>
      <c r="G122" s="50"/>
      <c r="H122" s="50"/>
      <c r="I122" s="50"/>
      <c r="J122" s="50"/>
      <c r="K122" s="50"/>
      <c r="L122" s="50"/>
      <c r="M122" s="50"/>
      <c r="N122" s="342"/>
      <c r="O122" s="50"/>
      <c r="P122" s="50"/>
      <c r="Q122" s="50"/>
      <c r="R122" s="50"/>
      <c r="S122" s="50"/>
      <c r="T122" s="342"/>
      <c r="U122" s="50"/>
      <c r="V122" s="50"/>
      <c r="W122" s="50"/>
      <c r="X122" s="50"/>
      <c r="Y122" s="50"/>
      <c r="Z122" s="53"/>
      <c r="AA122" s="342"/>
      <c r="AB122" s="342"/>
      <c r="AC122" s="342"/>
      <c r="AD122" s="342"/>
      <c r="AE122" s="342"/>
      <c r="AF122" s="53"/>
      <c r="AG122" s="342"/>
      <c r="AH122" s="342"/>
      <c r="AI122" s="342"/>
      <c r="AJ122" s="342"/>
      <c r="AK122" s="342"/>
      <c r="AL122" s="53"/>
      <c r="AM122" s="342"/>
      <c r="AN122" s="342"/>
      <c r="AO122" s="342"/>
      <c r="AP122" s="342"/>
      <c r="AQ122" s="342"/>
      <c r="AR122" s="53"/>
      <c r="AS122" s="342"/>
      <c r="AT122" s="342"/>
      <c r="AU122" s="342"/>
      <c r="AV122" s="342"/>
      <c r="AW122" s="342"/>
      <c r="AX122" s="53"/>
      <c r="AY122" s="342"/>
      <c r="AZ122" s="342"/>
      <c r="BA122" s="342"/>
      <c r="BB122" s="342"/>
      <c r="BC122" s="342"/>
      <c r="BD122" s="53"/>
      <c r="BE122" s="342"/>
      <c r="BF122" s="342"/>
      <c r="BG122" s="342"/>
      <c r="BH122" s="342"/>
      <c r="BI122" s="342"/>
      <c r="BJ122" s="53"/>
      <c r="BK122" s="342"/>
      <c r="BL122" s="342"/>
      <c r="BM122" s="342"/>
      <c r="BN122" s="342"/>
      <c r="BO122" s="342"/>
      <c r="BP122" s="53"/>
      <c r="BQ122" s="342"/>
      <c r="BR122" s="342"/>
      <c r="BS122" s="342"/>
      <c r="BT122" s="342"/>
      <c r="BU122" s="342"/>
      <c r="BV122" s="53"/>
      <c r="BW122" s="342"/>
      <c r="BX122" s="342"/>
      <c r="BY122" s="342"/>
      <c r="BZ122" s="342"/>
      <c r="CA122" s="342"/>
      <c r="CB122" s="53"/>
      <c r="CC122" s="342"/>
      <c r="CD122" s="342"/>
      <c r="CE122" s="342"/>
      <c r="CF122" s="342"/>
      <c r="CG122" s="147"/>
      <c r="CH122" s="53"/>
      <c r="CI122" s="342"/>
      <c r="CJ122" s="342"/>
      <c r="CK122" s="342"/>
      <c r="CL122" s="342"/>
      <c r="CM122" s="147"/>
      <c r="CN122" s="53"/>
      <c r="CO122" s="342"/>
      <c r="CP122" s="342"/>
      <c r="CQ122" s="342"/>
      <c r="CR122" s="342"/>
      <c r="CS122" s="147"/>
      <c r="CT122" s="53"/>
      <c r="CU122" s="342"/>
      <c r="CV122" s="342"/>
      <c r="CW122" s="342"/>
      <c r="CX122" s="342"/>
      <c r="CY122" s="147"/>
      <c r="CZ122" s="53"/>
      <c r="DA122" s="342"/>
      <c r="DB122" s="342"/>
      <c r="DC122" s="342"/>
      <c r="DD122" s="342"/>
      <c r="DE122" s="147"/>
      <c r="DF122" s="53"/>
      <c r="DG122" s="342"/>
      <c r="DH122" s="342"/>
      <c r="DI122" s="342"/>
      <c r="DJ122" s="342"/>
      <c r="DK122" s="147"/>
      <c r="DL122" s="53"/>
      <c r="DM122" s="342"/>
      <c r="DN122" s="342"/>
      <c r="DO122" s="342"/>
      <c r="DP122" s="342"/>
      <c r="DQ122" s="147"/>
      <c r="DR122" s="53"/>
      <c r="DS122" s="342"/>
      <c r="DT122" s="342"/>
      <c r="DU122" s="342"/>
      <c r="DV122" s="342"/>
      <c r="DW122" s="147"/>
      <c r="DX122" s="53"/>
      <c r="DY122" s="342"/>
      <c r="DZ122" s="342"/>
      <c r="EA122" s="342"/>
      <c r="EB122" s="342"/>
      <c r="EC122" s="147"/>
      <c r="ED122" s="53"/>
      <c r="EE122" s="342"/>
      <c r="EF122" s="342"/>
      <c r="EG122" s="342"/>
      <c r="EH122" s="342"/>
      <c r="EI122" s="147"/>
      <c r="EJ122" s="53"/>
      <c r="EK122" s="342"/>
      <c r="EL122" s="342"/>
      <c r="EM122" s="342"/>
      <c r="EN122" s="342"/>
      <c r="EO122" s="147"/>
      <c r="EP122" s="53"/>
      <c r="EQ122" s="342"/>
      <c r="ER122" s="342"/>
      <c r="ES122" s="342"/>
      <c r="ET122" s="342"/>
      <c r="EU122" s="147"/>
      <c r="EV122" s="53"/>
      <c r="EW122" s="342"/>
      <c r="EX122" s="342"/>
      <c r="EY122" s="342"/>
      <c r="EZ122" s="342"/>
      <c r="FA122" s="147"/>
      <c r="FB122" s="53"/>
      <c r="FC122" s="342"/>
      <c r="FD122" s="342"/>
      <c r="FE122" s="342"/>
      <c r="FF122" s="342"/>
      <c r="FG122" s="147"/>
      <c r="FH122" s="53"/>
      <c r="FI122" s="342"/>
      <c r="FJ122" s="342"/>
      <c r="FK122" s="342"/>
      <c r="FL122" s="342"/>
      <c r="FM122" s="147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</row>
    <row r="123" spans="1:274" s="24" customFormat="1" x14ac:dyDescent="0.2">
      <c r="A123" s="342" t="s">
        <v>109</v>
      </c>
      <c r="B123" s="1040"/>
      <c r="C123" s="50" t="s">
        <v>945</v>
      </c>
      <c r="D123" s="50" t="s">
        <v>945</v>
      </c>
      <c r="E123" s="50" t="s">
        <v>945</v>
      </c>
      <c r="F123" s="50" t="s">
        <v>945</v>
      </c>
      <c r="G123" s="50" t="s">
        <v>945</v>
      </c>
      <c r="H123" s="50" t="s">
        <v>945</v>
      </c>
      <c r="I123" s="50" t="s">
        <v>945</v>
      </c>
      <c r="J123" s="50" t="s">
        <v>945</v>
      </c>
      <c r="K123" s="50" t="s">
        <v>945</v>
      </c>
      <c r="L123" s="50" t="s">
        <v>945</v>
      </c>
      <c r="M123" s="50" t="s">
        <v>945</v>
      </c>
      <c r="N123" s="342"/>
      <c r="O123" s="50" t="s">
        <v>945</v>
      </c>
      <c r="P123" s="50" t="s">
        <v>945</v>
      </c>
      <c r="Q123" s="50" t="s">
        <v>945</v>
      </c>
      <c r="R123" s="50" t="s">
        <v>945</v>
      </c>
      <c r="S123" s="50" t="s">
        <v>945</v>
      </c>
      <c r="T123" s="342"/>
      <c r="U123" s="50" t="s">
        <v>945</v>
      </c>
      <c r="V123" s="50" t="s">
        <v>945</v>
      </c>
      <c r="W123" s="50" t="s">
        <v>945</v>
      </c>
      <c r="X123" s="50" t="s">
        <v>945</v>
      </c>
      <c r="Y123" s="50" t="s">
        <v>945</v>
      </c>
      <c r="Z123" s="53"/>
      <c r="AA123" s="43">
        <f>(AA117/AA119*0.41)+(AA118/AA119*-0.06)</f>
        <v>0.33461405276960454</v>
      </c>
      <c r="AB123" s="43">
        <f>(AB117/AB119*0.24)+(AB118/AB119*-0.08)</f>
        <v>0.19112138114840926</v>
      </c>
      <c r="AC123" s="43">
        <f>(AC117/AC119*0.32)+(AC118/AC119*-0.08)</f>
        <v>0.26195558878289682</v>
      </c>
      <c r="AD123" s="43">
        <f>(AD117/AD119*0.22)+(AD118/AD119*-0.07)</f>
        <v>0.18301225328327461</v>
      </c>
      <c r="AE123" s="43">
        <f>(AE117/AE119*0.27)+(AE118/AE119*-0.07)</f>
        <v>0.22149420972455713</v>
      </c>
      <c r="AF123" s="53"/>
      <c r="AG123" s="43">
        <f t="shared" ref="AG123:AK125" si="273">AG119/AA119-1</f>
        <v>3.3119997156646042E-2</v>
      </c>
      <c r="AH123" s="43">
        <f t="shared" si="273"/>
        <v>1.5442677549210027E-2</v>
      </c>
      <c r="AI123" s="43">
        <f t="shared" si="273"/>
        <v>0.10254009445830259</v>
      </c>
      <c r="AJ123" s="43">
        <f t="shared" si="273"/>
        <v>0.11778385572830574</v>
      </c>
      <c r="AK123" s="43">
        <f t="shared" si="273"/>
        <v>7.7890903847769755E-2</v>
      </c>
      <c r="AL123" s="53"/>
      <c r="AM123" s="43">
        <f t="shared" ref="AM123:AQ125" si="274">AM119/AG119-1</f>
        <v>0.12926007563638509</v>
      </c>
      <c r="AN123" s="43">
        <f t="shared" si="274"/>
        <v>0.20273464007425512</v>
      </c>
      <c r="AO123" s="43">
        <f t="shared" si="274"/>
        <v>7.1332517241435411E-2</v>
      </c>
      <c r="AP123" s="43">
        <f t="shared" si="274"/>
        <v>0.21412927070835575</v>
      </c>
      <c r="AQ123" s="43">
        <f t="shared" si="274"/>
        <v>0.16347762765258556</v>
      </c>
      <c r="AR123" s="53"/>
      <c r="AS123" s="43">
        <f t="shared" ref="AS123:AW125" si="275">AS119/AM119-1</f>
        <v>7.3885483376092465E-2</v>
      </c>
      <c r="AT123" s="43">
        <f t="shared" si="275"/>
        <v>0.15006096018780934</v>
      </c>
      <c r="AU123" s="43">
        <f t="shared" si="275"/>
        <v>0.28470076302196268</v>
      </c>
      <c r="AV123" s="43">
        <f t="shared" si="275"/>
        <v>0.11468664922420868</v>
      </c>
      <c r="AW123" s="43">
        <f t="shared" si="275"/>
        <v>0.15374005222031606</v>
      </c>
      <c r="AX123" s="53"/>
      <c r="AY123" s="43">
        <f t="shared" ref="AY123:BC125" si="276">AY119/AS119-1</f>
        <v>0.24764996362737435</v>
      </c>
      <c r="AZ123" s="43">
        <f t="shared" si="276"/>
        <v>0.1474146158541656</v>
      </c>
      <c r="BA123" s="43">
        <f t="shared" si="276"/>
        <v>8.4855561977128513E-3</v>
      </c>
      <c r="BB123" s="43">
        <f t="shared" si="276"/>
        <v>-4.768134297887916E-2</v>
      </c>
      <c r="BC123" s="43">
        <f t="shared" si="276"/>
        <v>5.0072748446632787E-2</v>
      </c>
      <c r="BD123" s="53"/>
      <c r="BE123" s="43">
        <f t="shared" ref="BE123:BI125" si="277">BE119/AY119-1</f>
        <v>-8.2086146440178087E-2</v>
      </c>
      <c r="BF123" s="43">
        <f t="shared" si="277"/>
        <v>-0.21336688282169547</v>
      </c>
      <c r="BG123" s="43">
        <f t="shared" si="277"/>
        <v>-0.26124520134673501</v>
      </c>
      <c r="BH123" s="43">
        <f t="shared" si="277"/>
        <v>-0.29380443755120145</v>
      </c>
      <c r="BI123" s="43">
        <f t="shared" si="277"/>
        <v>-0.2310375799170219</v>
      </c>
      <c r="BJ123" s="53"/>
      <c r="BK123" s="43">
        <f t="shared" ref="BK123:BO125" si="278">BK119/BE119-1</f>
        <v>-0.22549219094195272</v>
      </c>
      <c r="BL123" s="43">
        <f t="shared" si="278"/>
        <v>4.9339485020098994E-3</v>
      </c>
      <c r="BM123" s="43">
        <f t="shared" si="278"/>
        <v>-4.1584536148025486E-2</v>
      </c>
      <c r="BN123" s="43">
        <f t="shared" si="278"/>
        <v>3.2319992922467788E-2</v>
      </c>
      <c r="BO123" s="43">
        <f t="shared" si="278"/>
        <v>-4.4259772125230801E-2</v>
      </c>
      <c r="BP123" s="53"/>
      <c r="BQ123" s="43">
        <f t="shared" ref="BQ123:BU125" si="279">BQ119/BK119-1</f>
        <v>-6.7927097278255744E-2</v>
      </c>
      <c r="BR123" s="43">
        <f t="shared" si="279"/>
        <v>0.10659183702015973</v>
      </c>
      <c r="BS123" s="43">
        <f t="shared" si="279"/>
        <v>0.16101638691700382</v>
      </c>
      <c r="BT123" s="43">
        <f t="shared" si="279"/>
        <v>0.14944252573122974</v>
      </c>
      <c r="BU123" s="43">
        <f t="shared" si="279"/>
        <v>0.10522481372969628</v>
      </c>
      <c r="BV123" s="53"/>
      <c r="BW123" s="43">
        <f t="shared" ref="BW123:CA125" si="280">BW119/BQ119-1</f>
        <v>0.21078431372549011</v>
      </c>
      <c r="BX123" s="43">
        <f t="shared" si="280"/>
        <v>6.1797752808988804E-2</v>
      </c>
      <c r="BY123" s="43">
        <f t="shared" si="280"/>
        <v>0.13571428571428568</v>
      </c>
      <c r="BZ123" s="43">
        <f t="shared" si="280"/>
        <v>0.17334575955265619</v>
      </c>
      <c r="CA123" s="43">
        <f t="shared" si="280"/>
        <v>0.1420670584168684</v>
      </c>
      <c r="CB123" s="53"/>
      <c r="CC123" s="43">
        <f t="shared" ref="CC123:CG125" si="281">CC119/BW119-1</f>
        <v>1.6194331983805599E-2</v>
      </c>
      <c r="CD123" s="43">
        <f t="shared" si="281"/>
        <v>4.7619047619047672E-2</v>
      </c>
      <c r="CE123" s="43">
        <f t="shared" si="281"/>
        <v>4.0754716981131978E-2</v>
      </c>
      <c r="CF123" s="43">
        <f t="shared" si="281"/>
        <v>0.17553613979348692</v>
      </c>
      <c r="CG123" s="148">
        <f t="shared" si="281"/>
        <v>7.8995157384987857E-2</v>
      </c>
      <c r="CH123" s="53"/>
      <c r="CI123" s="43">
        <f t="shared" ref="CI123:CM125" si="282">CI119/CC119-1</f>
        <v>0.14741035856573714</v>
      </c>
      <c r="CJ123" s="43">
        <f t="shared" si="282"/>
        <v>9.4696969696969724E-2</v>
      </c>
      <c r="CK123" s="43">
        <f t="shared" si="282"/>
        <v>0.16872129562484894</v>
      </c>
      <c r="CL123" s="43">
        <f t="shared" si="282"/>
        <v>0.17297297297297298</v>
      </c>
      <c r="CM123" s="148">
        <f t="shared" si="282"/>
        <v>0.15539971949509113</v>
      </c>
      <c r="CN123" s="53"/>
      <c r="CO123" s="43">
        <f t="shared" ref="CO123:CS124" si="283">CO119/CI119-1</f>
        <v>0.234375</v>
      </c>
      <c r="CP123" s="43">
        <f t="shared" si="283"/>
        <v>0.28604382929642447</v>
      </c>
      <c r="CQ123" s="43">
        <f t="shared" si="283"/>
        <v>0.20475698035160295</v>
      </c>
      <c r="CR123" s="43">
        <v>0.23</v>
      </c>
      <c r="CS123" s="148">
        <v>0.24</v>
      </c>
      <c r="CT123" s="53"/>
      <c r="CU123" s="43">
        <f t="shared" ref="CU123:CY125" si="284">CU119/CO119-1</f>
        <v>0.27426160337552741</v>
      </c>
      <c r="CV123" s="43">
        <f t="shared" si="284"/>
        <v>3.7668161434977643E-2</v>
      </c>
      <c r="CW123" s="43">
        <f t="shared" si="284"/>
        <v>-3.8626609442060089E-2</v>
      </c>
      <c r="CX123" s="43">
        <f t="shared" si="284"/>
        <v>-0.10023201856148489</v>
      </c>
      <c r="CY123" s="148">
        <f t="shared" si="284"/>
        <v>-4.7609794014769058E-3</v>
      </c>
      <c r="CZ123" s="53"/>
      <c r="DA123" s="43">
        <f t="shared" ref="DA123:DE125" si="285">DA119/CU119-1</f>
        <v>-0.21523178807947019</v>
      </c>
      <c r="DB123" s="43">
        <f t="shared" si="285"/>
        <v>1.5557476231633505E-2</v>
      </c>
      <c r="DC123" s="43">
        <f t="shared" si="285"/>
        <v>0.10803571428571423</v>
      </c>
      <c r="DD123" s="43">
        <f t="shared" si="285"/>
        <v>0.17586384734399174</v>
      </c>
      <c r="DE123" s="148">
        <f t="shared" si="285"/>
        <v>5.5745387093624865E-2</v>
      </c>
      <c r="DF123" s="53"/>
      <c r="DG123" s="43">
        <f t="shared" ref="DG123:DK125" si="286">DG119/DA119-1</f>
        <v>0.31786216596343175</v>
      </c>
      <c r="DH123" s="43">
        <f t="shared" si="286"/>
        <v>0.20851063829787231</v>
      </c>
      <c r="DI123" s="43">
        <f t="shared" si="286"/>
        <v>0.26913779210314259</v>
      </c>
      <c r="DJ123" s="43">
        <f t="shared" si="286"/>
        <v>0.18157894736842106</v>
      </c>
      <c r="DK123" s="148">
        <f t="shared" si="286"/>
        <v>0.22544849269465517</v>
      </c>
      <c r="DL123" s="53"/>
      <c r="DM123" s="43">
        <f t="shared" ref="DM123:DQ125" si="287">DM119/DG119-1</f>
        <v>0.14194236926360726</v>
      </c>
      <c r="DN123" s="43">
        <f t="shared" si="287"/>
        <v>4.1549295774647943E-2</v>
      </c>
      <c r="DO123" s="43">
        <f t="shared" si="287"/>
        <v>8.9523809523809561E-2</v>
      </c>
      <c r="DP123" s="43">
        <f t="shared" si="287"/>
        <v>1.0022271714922093E-2</v>
      </c>
      <c r="DQ123" s="148">
        <f t="shared" si="287"/>
        <v>5.4331421672200397E-2</v>
      </c>
      <c r="DR123" s="53"/>
      <c r="DS123" s="43">
        <f t="shared" ref="DS123:DW125" si="288">DS119/DM119-1</f>
        <v>3.0000000000000027E-2</v>
      </c>
      <c r="DT123" s="43">
        <f t="shared" si="288"/>
        <v>0.1100000000000001</v>
      </c>
      <c r="DU123" s="43">
        <f t="shared" si="288"/>
        <v>5.0000000000000044E-2</v>
      </c>
      <c r="DV123" s="43">
        <f t="shared" si="288"/>
        <v>0.1100000000000001</v>
      </c>
      <c r="DW123" s="148">
        <f t="shared" si="288"/>
        <v>8.3008874892642526E-2</v>
      </c>
      <c r="DX123" s="53"/>
      <c r="DY123" s="43">
        <f t="shared" ref="DY123:EC125" si="289">DY119/DS119-1</f>
        <v>0.1100000000000001</v>
      </c>
      <c r="DZ123" s="43">
        <f t="shared" si="289"/>
        <v>1.4999999999999902E-2</v>
      </c>
      <c r="EA123" s="43">
        <f t="shared" si="289"/>
        <v>7.0000000000000062E-2</v>
      </c>
      <c r="EB123" s="43">
        <f t="shared" si="289"/>
        <v>2.0000000000000018E-3</v>
      </c>
      <c r="EC123" s="148">
        <f t="shared" si="289"/>
        <v>3.6746847037365082E-2</v>
      </c>
      <c r="ED123" s="53"/>
      <c r="EE123" s="43">
        <f t="shared" ref="EE123:EK125" si="290">EE119/DY119-1</f>
        <v>-1.0000000000000009E-2</v>
      </c>
      <c r="EF123" s="43">
        <f t="shared" si="290"/>
        <v>1.0000000000000009E-2</v>
      </c>
      <c r="EG123" s="43">
        <f t="shared" si="290"/>
        <v>-1.0000000000000009E-2</v>
      </c>
      <c r="EH123" s="43">
        <f t="shared" si="290"/>
        <v>-1.9999999999999907E-2</v>
      </c>
      <c r="EI123" s="148">
        <f t="shared" si="290"/>
        <v>-9.6095320145653806E-3</v>
      </c>
      <c r="EJ123" s="53"/>
      <c r="EK123" s="43">
        <f t="shared" si="290"/>
        <v>-1.4999999999999902E-2</v>
      </c>
      <c r="EL123" s="43">
        <f t="shared" ref="EL123:EO125" si="291">EL119/EF119-1</f>
        <v>-1.5000000000000013E-2</v>
      </c>
      <c r="EM123" s="43">
        <f t="shared" si="291"/>
        <v>-1.4999999999999902E-2</v>
      </c>
      <c r="EN123" s="43">
        <f t="shared" si="291"/>
        <v>-1.5000000000000013E-2</v>
      </c>
      <c r="EO123" s="148">
        <f t="shared" si="291"/>
        <v>-1.5000000000000013E-2</v>
      </c>
      <c r="EP123" s="53"/>
      <c r="EQ123" s="43">
        <f>EQ119/EK119-1</f>
        <v>-1.4999999999999902E-2</v>
      </c>
      <c r="ER123" s="43">
        <f t="shared" ref="ER123:ET125" si="292">ER119/EL119-1</f>
        <v>2.0000000000000018E-2</v>
      </c>
      <c r="ES123" s="43">
        <f t="shared" si="292"/>
        <v>2.4999999999999911E-2</v>
      </c>
      <c r="ET123" s="43">
        <f t="shared" si="292"/>
        <v>-1.5000000000000013E-2</v>
      </c>
      <c r="EU123" s="148">
        <f t="shared" ref="EU123:EU125" si="293">EU119/EO119-1</f>
        <v>2.4099642071975236E-3</v>
      </c>
      <c r="EV123" s="53"/>
      <c r="EW123" s="43">
        <f t="shared" ref="EW123:FA125" si="294">EW119/EQ119-1</f>
        <v>-1.5000000000000124E-2</v>
      </c>
      <c r="EX123" s="43">
        <f t="shared" si="294"/>
        <v>6.0000000000000053E-2</v>
      </c>
      <c r="EY123" s="43">
        <f t="shared" si="294"/>
        <v>8.0000000000000071E-2</v>
      </c>
      <c r="EZ123" s="43">
        <f t="shared" si="294"/>
        <v>2.4999999999999911E-2</v>
      </c>
      <c r="FA123" s="148">
        <f t="shared" si="294"/>
        <v>4.0405279035837571E-2</v>
      </c>
      <c r="FB123" s="53"/>
      <c r="FC123" s="43">
        <f t="shared" ref="FC123:FG125" si="295">FC119/EW119-1</f>
        <v>2.4999999999999911E-2</v>
      </c>
      <c r="FD123" s="43">
        <f t="shared" si="295"/>
        <v>2.4999999999999911E-2</v>
      </c>
      <c r="FE123" s="43">
        <f t="shared" si="295"/>
        <v>2.4999999999999911E-2</v>
      </c>
      <c r="FF123" s="43">
        <f t="shared" si="295"/>
        <v>2.4999999999999911E-2</v>
      </c>
      <c r="FG123" s="148">
        <f t="shared" si="295"/>
        <v>2.4999999999999689E-2</v>
      </c>
      <c r="FH123" s="53"/>
      <c r="FI123" s="43">
        <f t="shared" ref="FI123:FI125" si="296">FI119/FC119-1</f>
        <v>2.4999999999999911E-2</v>
      </c>
      <c r="FJ123" s="43">
        <f t="shared" ref="FJ123:FJ125" si="297">FJ119/FD119-1</f>
        <v>2.4999999999999911E-2</v>
      </c>
      <c r="FK123" s="43">
        <f t="shared" ref="FK123:FK125" si="298">FK119/FE119-1</f>
        <v>2.4999999999999911E-2</v>
      </c>
      <c r="FL123" s="43">
        <f t="shared" ref="FL123:FL125" si="299">FL119/FF119-1</f>
        <v>2.4999999999999911E-2</v>
      </c>
      <c r="FM123" s="148">
        <f t="shared" ref="FM123:FM125" si="300">FM119/FG119-1</f>
        <v>2.5000000000000133E-2</v>
      </c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</row>
    <row r="124" spans="1:274" s="24" customFormat="1" x14ac:dyDescent="0.2">
      <c r="A124" s="342" t="s">
        <v>697</v>
      </c>
      <c r="B124" s="414"/>
      <c r="C124" s="50" t="s">
        <v>945</v>
      </c>
      <c r="D124" s="50" t="s">
        <v>945</v>
      </c>
      <c r="E124" s="50" t="s">
        <v>945</v>
      </c>
      <c r="F124" s="50" t="s">
        <v>945</v>
      </c>
      <c r="G124" s="50" t="s">
        <v>945</v>
      </c>
      <c r="H124" s="50" t="s">
        <v>945</v>
      </c>
      <c r="I124" s="50" t="s">
        <v>945</v>
      </c>
      <c r="J124" s="50" t="s">
        <v>945</v>
      </c>
      <c r="K124" s="50" t="s">
        <v>945</v>
      </c>
      <c r="L124" s="50" t="s">
        <v>945</v>
      </c>
      <c r="M124" s="50" t="s">
        <v>945</v>
      </c>
      <c r="N124" s="342"/>
      <c r="O124" s="50" t="s">
        <v>945</v>
      </c>
      <c r="P124" s="50" t="s">
        <v>945</v>
      </c>
      <c r="Q124" s="50" t="s">
        <v>945</v>
      </c>
      <c r="R124" s="50" t="s">
        <v>945</v>
      </c>
      <c r="S124" s="50" t="s">
        <v>945</v>
      </c>
      <c r="T124" s="342"/>
      <c r="U124" s="50" t="s">
        <v>945</v>
      </c>
      <c r="V124" s="50" t="s">
        <v>945</v>
      </c>
      <c r="W124" s="50" t="s">
        <v>945</v>
      </c>
      <c r="X124" s="50" t="s">
        <v>945</v>
      </c>
      <c r="Y124" s="50" t="s">
        <v>945</v>
      </c>
      <c r="Z124" s="53"/>
      <c r="AA124" s="43">
        <v>0.05</v>
      </c>
      <c r="AB124" s="43">
        <v>0.78</v>
      </c>
      <c r="AC124" s="43">
        <v>0.61</v>
      </c>
      <c r="AD124" s="43">
        <v>0.78</v>
      </c>
      <c r="AE124" s="43">
        <v>0.62</v>
      </c>
      <c r="AF124" s="53"/>
      <c r="AG124" s="43">
        <f t="shared" si="273"/>
        <v>0.95233655982227883</v>
      </c>
      <c r="AH124" s="43">
        <f t="shared" si="273"/>
        <v>6.8252184030448415E-2</v>
      </c>
      <c r="AI124" s="43">
        <f t="shared" si="273"/>
        <v>0.29566596488624652</v>
      </c>
      <c r="AJ124" s="43">
        <f t="shared" si="273"/>
        <v>-1.2785559408250435E-2</v>
      </c>
      <c r="AK124" s="43">
        <f t="shared" si="273"/>
        <v>0.17567604299744288</v>
      </c>
      <c r="AL124" s="53"/>
      <c r="AM124" s="43">
        <f t="shared" si="274"/>
        <v>-3.4441069197086449E-3</v>
      </c>
      <c r="AN124" s="43">
        <f t="shared" si="274"/>
        <v>0.18562857670297195</v>
      </c>
      <c r="AO124" s="43">
        <f t="shared" si="274"/>
        <v>5.4767358625626317E-2</v>
      </c>
      <c r="AP124" s="43">
        <f t="shared" si="274"/>
        <v>0.28422554920740817</v>
      </c>
      <c r="AQ124" s="43">
        <f t="shared" si="274"/>
        <v>0.15786085224443336</v>
      </c>
      <c r="AR124" s="53"/>
      <c r="AS124" s="43">
        <f t="shared" si="275"/>
        <v>0.11268223060454674</v>
      </c>
      <c r="AT124" s="43">
        <f t="shared" si="275"/>
        <v>0.30647484254696344</v>
      </c>
      <c r="AU124" s="43">
        <f t="shared" si="275"/>
        <v>0.34936308542188366</v>
      </c>
      <c r="AV124" s="43">
        <f t="shared" si="275"/>
        <v>0.61433519754645527</v>
      </c>
      <c r="AW124" s="43">
        <f t="shared" si="275"/>
        <v>0.41804061796320369</v>
      </c>
      <c r="AX124" s="53"/>
      <c r="AY124" s="43">
        <f t="shared" si="276"/>
        <v>0.42497457464060928</v>
      </c>
      <c r="AZ124" s="43">
        <f t="shared" si="276"/>
        <v>0.66413018865675943</v>
      </c>
      <c r="BA124" s="43">
        <f t="shared" si="276"/>
        <v>0.2544585827088468</v>
      </c>
      <c r="BB124" s="43">
        <f t="shared" si="276"/>
        <v>-0.24454810208912126</v>
      </c>
      <c r="BC124" s="43">
        <f t="shared" si="276"/>
        <v>0.1072525682297738</v>
      </c>
      <c r="BD124" s="53"/>
      <c r="BE124" s="43">
        <f t="shared" si="277"/>
        <v>-6.1693864691434452E-2</v>
      </c>
      <c r="BF124" s="43">
        <f t="shared" si="277"/>
        <v>-0.41586129601713029</v>
      </c>
      <c r="BG124" s="43">
        <f t="shared" si="277"/>
        <v>-0.40714205529540071</v>
      </c>
      <c r="BH124" s="43">
        <f t="shared" si="277"/>
        <v>-0.27305110370149033</v>
      </c>
      <c r="BI124" s="43">
        <f t="shared" si="277"/>
        <v>-0.3126283970182544</v>
      </c>
      <c r="BJ124" s="53"/>
      <c r="BK124" s="43">
        <f t="shared" si="278"/>
        <v>-0.24061371470078308</v>
      </c>
      <c r="BL124" s="43">
        <f t="shared" si="278"/>
        <v>-0.33723403603194946</v>
      </c>
      <c r="BM124" s="43">
        <f t="shared" si="278"/>
        <v>-5.2984655751895038E-2</v>
      </c>
      <c r="BN124" s="43">
        <f t="shared" si="278"/>
        <v>2.0064466765430389E-3</v>
      </c>
      <c r="BO124" s="43">
        <f t="shared" si="278"/>
        <v>-0.13871727543781009</v>
      </c>
      <c r="BP124" s="53"/>
      <c r="BQ124" s="43">
        <f t="shared" si="279"/>
        <v>-3.4452886715154674E-2</v>
      </c>
      <c r="BR124" s="43">
        <f t="shared" si="279"/>
        <v>0.26712233742450442</v>
      </c>
      <c r="BS124" s="43">
        <f t="shared" si="279"/>
        <v>-2.7135491795093891E-4</v>
      </c>
      <c r="BT124" s="43">
        <f t="shared" si="279"/>
        <v>-6.1742235003107271E-2</v>
      </c>
      <c r="BU124" s="43">
        <f t="shared" si="279"/>
        <v>1.6233294116091868E-2</v>
      </c>
      <c r="BV124" s="53"/>
      <c r="BW124" s="43">
        <f t="shared" si="280"/>
        <v>-0.35514018691588789</v>
      </c>
      <c r="BX124" s="43">
        <f t="shared" si="280"/>
        <v>0.56934306569343063</v>
      </c>
      <c r="BY124" s="43">
        <f t="shared" si="280"/>
        <v>8.5714285714285632E-2</v>
      </c>
      <c r="BZ124" s="43">
        <f t="shared" si="280"/>
        <v>0.51515151515151514</v>
      </c>
      <c r="CA124" s="43">
        <f t="shared" si="280"/>
        <v>0.2780487804878049</v>
      </c>
      <c r="CB124" s="53"/>
      <c r="CC124" s="43">
        <f t="shared" si="281"/>
        <v>0.84057971014492749</v>
      </c>
      <c r="CD124" s="43">
        <f t="shared" si="281"/>
        <v>0.23720930232558146</v>
      </c>
      <c r="CE124" s="43">
        <f t="shared" si="281"/>
        <v>0.76973684210526305</v>
      </c>
      <c r="CF124" s="43">
        <f t="shared" si="281"/>
        <v>0.83142857142857141</v>
      </c>
      <c r="CG124" s="148">
        <f t="shared" si="281"/>
        <v>0.65699745547073807</v>
      </c>
      <c r="CH124" s="53"/>
      <c r="CI124" s="43">
        <f t="shared" si="282"/>
        <v>0.79527559055118102</v>
      </c>
      <c r="CJ124" s="43">
        <f t="shared" si="282"/>
        <v>0.27819548872180455</v>
      </c>
      <c r="CK124" s="43">
        <f t="shared" si="282"/>
        <v>0.57249070631970267</v>
      </c>
      <c r="CL124" s="43">
        <f t="shared" si="282"/>
        <v>0.13260530421216843</v>
      </c>
      <c r="CM124" s="148">
        <f t="shared" si="282"/>
        <v>0.31833538083538082</v>
      </c>
      <c r="CN124" s="53"/>
      <c r="CO124" s="43">
        <f t="shared" si="283"/>
        <v>0.64912280701754388</v>
      </c>
      <c r="CP124" s="43">
        <f t="shared" si="283"/>
        <v>0.62647058823529411</v>
      </c>
      <c r="CQ124" s="43">
        <f t="shared" si="283"/>
        <v>6.6193853427896077E-2</v>
      </c>
      <c r="CR124" s="43">
        <f t="shared" si="283"/>
        <v>0.36225895316804402</v>
      </c>
      <c r="CS124" s="148">
        <f t="shared" si="283"/>
        <v>0.37973209085614434</v>
      </c>
      <c r="CT124" s="53"/>
      <c r="CU124" s="43">
        <f t="shared" si="284"/>
        <v>-0.11968085106382975</v>
      </c>
      <c r="CV124" s="43">
        <f t="shared" si="284"/>
        <v>-0.15189873417721522</v>
      </c>
      <c r="CW124" s="43">
        <f t="shared" si="284"/>
        <v>-0.12195121951219512</v>
      </c>
      <c r="CX124" s="43">
        <f t="shared" si="284"/>
        <v>-0.18604651162790697</v>
      </c>
      <c r="CY124" s="148">
        <f t="shared" si="284"/>
        <v>-0.15538201772899951</v>
      </c>
      <c r="CZ124" s="53"/>
      <c r="DA124" s="43">
        <f t="shared" si="285"/>
        <v>-4.2296072507552851E-2</v>
      </c>
      <c r="DB124" s="43">
        <f t="shared" si="285"/>
        <v>1.9189765458422103E-2</v>
      </c>
      <c r="DC124" s="43">
        <f t="shared" si="285"/>
        <v>0.20555555555555549</v>
      </c>
      <c r="DD124" s="43">
        <f t="shared" si="285"/>
        <v>6.211180124223592E-2</v>
      </c>
      <c r="DE124" s="148">
        <f t="shared" si="285"/>
        <v>6.3021640261882172E-2</v>
      </c>
      <c r="DF124" s="53"/>
      <c r="DG124" s="43">
        <f t="shared" si="286"/>
        <v>0.10094637223974767</v>
      </c>
      <c r="DH124" s="43">
        <f t="shared" si="286"/>
        <v>0.21129707112970708</v>
      </c>
      <c r="DI124" s="43">
        <f t="shared" si="286"/>
        <v>0.33850020946795145</v>
      </c>
      <c r="DJ124" s="43">
        <f t="shared" si="286"/>
        <v>0.21871345029239775</v>
      </c>
      <c r="DK124" s="148">
        <f t="shared" si="286"/>
        <v>0.22661024917724504</v>
      </c>
      <c r="DL124" s="53"/>
      <c r="DM124" s="43">
        <f t="shared" si="287"/>
        <v>0.22636103151862463</v>
      </c>
      <c r="DN124" s="43">
        <f t="shared" si="287"/>
        <v>-1.7271157167530249E-2</v>
      </c>
      <c r="DO124" s="43">
        <f t="shared" si="287"/>
        <v>2.9733959311424085E-2</v>
      </c>
      <c r="DP124" s="43">
        <f t="shared" si="287"/>
        <v>0.23416506717850294</v>
      </c>
      <c r="DQ124" s="148">
        <f t="shared" si="287"/>
        <v>0.12725182062092766</v>
      </c>
      <c r="DR124" s="53"/>
      <c r="DS124" s="43">
        <f t="shared" si="288"/>
        <v>0.4249999999999996</v>
      </c>
      <c r="DT124" s="43">
        <f t="shared" si="288"/>
        <v>0.53481546572934957</v>
      </c>
      <c r="DU124" s="43">
        <f t="shared" si="288"/>
        <v>-1.7933130699088418E-2</v>
      </c>
      <c r="DV124" s="43">
        <f t="shared" si="288"/>
        <v>-0.12388024883359283</v>
      </c>
      <c r="DW124" s="148">
        <f t="shared" si="288"/>
        <v>0.10714042842570537</v>
      </c>
      <c r="DX124" s="53"/>
      <c r="DY124" s="43">
        <f t="shared" si="289"/>
        <v>-0.11187243810460767</v>
      </c>
      <c r="DZ124" s="43">
        <f t="shared" si="289"/>
        <v>-6.8275125671296344E-2</v>
      </c>
      <c r="EA124" s="43">
        <f t="shared" si="289"/>
        <v>-5.1262766945218474E-2</v>
      </c>
      <c r="EB124" s="43">
        <f t="shared" si="289"/>
        <v>6.2980393897167586E-2</v>
      </c>
      <c r="EC124" s="148">
        <f t="shared" si="289"/>
        <v>-2.7647483185406108E-2</v>
      </c>
      <c r="ED124" s="53"/>
      <c r="EE124" s="43">
        <f t="shared" si="290"/>
        <v>0.17396843828980457</v>
      </c>
      <c r="EF124" s="43">
        <f t="shared" si="290"/>
        <v>8.275545876403112E-2</v>
      </c>
      <c r="EG124" s="43">
        <f t="shared" si="290"/>
        <v>-1.585573682785435E-2</v>
      </c>
      <c r="EH124" s="43">
        <f t="shared" si="290"/>
        <v>-0.37279106477723922</v>
      </c>
      <c r="EI124" s="148">
        <f t="shared" si="290"/>
        <v>-9.3056349642889113E-2</v>
      </c>
      <c r="EJ124" s="53"/>
      <c r="EK124" s="43">
        <f t="shared" si="290"/>
        <v>-0.10352774886129923</v>
      </c>
      <c r="EL124" s="43">
        <f t="shared" si="291"/>
        <v>-0.23808195745596084</v>
      </c>
      <c r="EM124" s="43">
        <f t="shared" si="291"/>
        <v>-0.11000238715872712</v>
      </c>
      <c r="EN124" s="43">
        <f t="shared" si="291"/>
        <v>-6.1919738634746868E-2</v>
      </c>
      <c r="EO124" s="148">
        <f t="shared" si="291"/>
        <v>-0.13528751464852806</v>
      </c>
      <c r="EP124" s="53"/>
      <c r="EQ124" s="43">
        <f>EQ120/EK120-1</f>
        <v>0.4751952397382786</v>
      </c>
      <c r="ER124" s="43">
        <f t="shared" si="292"/>
        <v>0.10702956034163402</v>
      </c>
      <c r="ES124" s="43">
        <f t="shared" si="292"/>
        <v>0.38734855497354492</v>
      </c>
      <c r="ET124" s="43">
        <f t="shared" si="292"/>
        <v>0.64402354463012546</v>
      </c>
      <c r="EU124" s="148">
        <f t="shared" si="293"/>
        <v>0.4045776604276845</v>
      </c>
      <c r="EV124" s="53"/>
      <c r="EW124" s="43">
        <f t="shared" si="294"/>
        <v>0.54654687413521597</v>
      </c>
      <c r="EX124" s="43">
        <f t="shared" si="294"/>
        <v>0.46499978939756881</v>
      </c>
      <c r="EY124" s="43">
        <f t="shared" si="294"/>
        <v>0.17831102951623579</v>
      </c>
      <c r="EZ124" s="43">
        <f t="shared" si="294"/>
        <v>3.4508117499850943E-2</v>
      </c>
      <c r="FA124" s="148">
        <f t="shared" si="294"/>
        <v>0.2804233893659156</v>
      </c>
      <c r="FB124" s="53"/>
      <c r="FC124" s="43">
        <f t="shared" si="295"/>
        <v>0.21183606451093029</v>
      </c>
      <c r="FD124" s="43">
        <f t="shared" si="295"/>
        <v>0.23690765170656514</v>
      </c>
      <c r="FE124" s="43">
        <f t="shared" si="295"/>
        <v>0.30148001342299091</v>
      </c>
      <c r="FF124" s="43">
        <f t="shared" si="295"/>
        <v>0.13201043863610162</v>
      </c>
      <c r="FG124" s="148">
        <f t="shared" si="295"/>
        <v>0.2141466200581621</v>
      </c>
      <c r="FH124" s="53"/>
      <c r="FI124" s="43">
        <f t="shared" si="296"/>
        <v>0.20405582386757071</v>
      </c>
      <c r="FJ124" s="43">
        <f t="shared" si="297"/>
        <v>0.21708245301175078</v>
      </c>
      <c r="FK124" s="43">
        <f t="shared" si="298"/>
        <v>0.24916380498005775</v>
      </c>
      <c r="FL124" s="43">
        <f t="shared" si="299"/>
        <v>0.1484574066155071</v>
      </c>
      <c r="FM124" s="148">
        <f t="shared" si="300"/>
        <v>0.20288405765548601</v>
      </c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</row>
    <row r="125" spans="1:274" s="24" customFormat="1" x14ac:dyDescent="0.2">
      <c r="A125" s="342" t="s">
        <v>698</v>
      </c>
      <c r="B125" s="1040"/>
      <c r="C125" s="50" t="s">
        <v>945</v>
      </c>
      <c r="D125" s="50" t="s">
        <v>945</v>
      </c>
      <c r="E125" s="50" t="s">
        <v>945</v>
      </c>
      <c r="F125" s="50" t="s">
        <v>945</v>
      </c>
      <c r="G125" s="50" t="s">
        <v>945</v>
      </c>
      <c r="H125" s="50" t="s">
        <v>945</v>
      </c>
      <c r="I125" s="50" t="s">
        <v>945</v>
      </c>
      <c r="J125" s="50" t="s">
        <v>945</v>
      </c>
      <c r="K125" s="50" t="s">
        <v>945</v>
      </c>
      <c r="L125" s="50" t="s">
        <v>945</v>
      </c>
      <c r="M125" s="50" t="s">
        <v>945</v>
      </c>
      <c r="N125" s="342"/>
      <c r="O125" s="50" t="s">
        <v>945</v>
      </c>
      <c r="P125" s="50" t="s">
        <v>945</v>
      </c>
      <c r="Q125" s="50" t="s">
        <v>945</v>
      </c>
      <c r="R125" s="50" t="s">
        <v>945</v>
      </c>
      <c r="S125" s="50" t="s">
        <v>945</v>
      </c>
      <c r="T125" s="342"/>
      <c r="U125" s="50" t="s">
        <v>945</v>
      </c>
      <c r="V125" s="50" t="s">
        <v>945</v>
      </c>
      <c r="W125" s="50" t="s">
        <v>945</v>
      </c>
      <c r="X125" s="50" t="s">
        <v>945</v>
      </c>
      <c r="Y125" s="50" t="s">
        <v>945</v>
      </c>
      <c r="Z125" s="53"/>
      <c r="AA125" s="43">
        <v>0.27</v>
      </c>
      <c r="AB125" s="43">
        <v>0.25</v>
      </c>
      <c r="AC125" s="43">
        <v>0.28999999999999998</v>
      </c>
      <c r="AD125" s="43">
        <v>0.25</v>
      </c>
      <c r="AE125" s="43">
        <v>0.26</v>
      </c>
      <c r="AF125" s="53"/>
      <c r="AG125" s="43">
        <f t="shared" si="273"/>
        <v>0.13742215580317652</v>
      </c>
      <c r="AH125" s="43">
        <f t="shared" si="273"/>
        <v>2.4274174000366022E-2</v>
      </c>
      <c r="AI125" s="43">
        <f t="shared" si="273"/>
        <v>0.1338879379517266</v>
      </c>
      <c r="AJ125" s="43">
        <f t="shared" si="273"/>
        <v>9.2009510316236831E-2</v>
      </c>
      <c r="AK125" s="43">
        <f t="shared" si="273"/>
        <v>9.4460486456801718E-2</v>
      </c>
      <c r="AL125" s="53"/>
      <c r="AM125" s="43">
        <f t="shared" si="274"/>
        <v>0.10341409168618987</v>
      </c>
      <c r="AN125" s="43">
        <f t="shared" si="274"/>
        <v>0.19975111403034274</v>
      </c>
      <c r="AO125" s="43">
        <f t="shared" si="274"/>
        <v>6.826006083434133E-2</v>
      </c>
      <c r="AP125" s="43">
        <f t="shared" si="274"/>
        <v>0.22663837535546771</v>
      </c>
      <c r="AQ125" s="43">
        <f t="shared" si="274"/>
        <v>0.16245524528497346</v>
      </c>
      <c r="AR125" s="53"/>
      <c r="AS125" s="43">
        <f t="shared" si="275"/>
        <v>8.0709921651821448E-2</v>
      </c>
      <c r="AT125" s="43">
        <f t="shared" si="275"/>
        <v>0.17702050461122298</v>
      </c>
      <c r="AU125" s="43">
        <f t="shared" si="275"/>
        <v>0.29654265566003746</v>
      </c>
      <c r="AV125" s="43">
        <f t="shared" si="275"/>
        <v>0.20803800992583255</v>
      </c>
      <c r="AW125" s="43">
        <f t="shared" si="275"/>
        <v>0.20165869557831573</v>
      </c>
      <c r="AX125" s="53"/>
      <c r="AY125" s="43">
        <f t="shared" si="276"/>
        <v>0.27976457157269796</v>
      </c>
      <c r="AZ125" s="43">
        <f t="shared" si="276"/>
        <v>0.24627125155756402</v>
      </c>
      <c r="BA125" s="43">
        <f t="shared" si="276"/>
        <v>5.5366821126412225E-2</v>
      </c>
      <c r="BB125" s="43">
        <f t="shared" si="276"/>
        <v>-9.6833381138232699E-2</v>
      </c>
      <c r="BC125" s="43">
        <f t="shared" si="276"/>
        <v>6.2306417871119901E-2</v>
      </c>
      <c r="BD125" s="53"/>
      <c r="BE125" s="43">
        <f t="shared" si="277"/>
        <v>-7.7973925276663247E-2</v>
      </c>
      <c r="BF125" s="43">
        <f t="shared" si="277"/>
        <v>-0.26509683102617732</v>
      </c>
      <c r="BG125" s="43">
        <f t="shared" si="277"/>
        <v>-0.29429818386597228</v>
      </c>
      <c r="BH125" s="43">
        <f t="shared" si="277"/>
        <v>-0.28947036725816822</v>
      </c>
      <c r="BI125" s="43">
        <f t="shared" si="277"/>
        <v>-0.24923258294332562</v>
      </c>
      <c r="BJ125" s="53"/>
      <c r="BK125" s="43">
        <f t="shared" si="278"/>
        <v>-0.22859537510476602</v>
      </c>
      <c r="BL125" s="43">
        <f t="shared" si="278"/>
        <v>-6.4545159206413794E-2</v>
      </c>
      <c r="BM125" s="43">
        <f t="shared" si="278"/>
        <v>-4.3754255405410447E-2</v>
      </c>
      <c r="BN125" s="43">
        <f t="shared" si="278"/>
        <v>2.584310308545068E-2</v>
      </c>
      <c r="BO125" s="43">
        <f t="shared" si="278"/>
        <v>-6.3545386656128522E-2</v>
      </c>
      <c r="BP125" s="53"/>
      <c r="BQ125" s="43">
        <f t="shared" si="279"/>
        <v>-6.1164666248596289E-2</v>
      </c>
      <c r="BR125" s="43">
        <f t="shared" si="279"/>
        <v>0.12968640224819561</v>
      </c>
      <c r="BS125" s="43">
        <f t="shared" si="279"/>
        <v>0.13061572794155252</v>
      </c>
      <c r="BT125" s="43">
        <f t="shared" si="279"/>
        <v>0.10536858193247922</v>
      </c>
      <c r="BU125" s="43">
        <f t="shared" si="279"/>
        <v>8.8513728832860794E-2</v>
      </c>
      <c r="BV125" s="53"/>
      <c r="BW125" s="43">
        <f t="shared" si="280"/>
        <v>9.3203883495145634E-2</v>
      </c>
      <c r="BX125" s="43">
        <f t="shared" si="280"/>
        <v>0.14369846878680792</v>
      </c>
      <c r="BY125" s="43">
        <f t="shared" si="280"/>
        <v>0.12738095238095237</v>
      </c>
      <c r="BZ125" s="43">
        <f t="shared" si="280"/>
        <v>0.23389570552147232</v>
      </c>
      <c r="CA125" s="43">
        <f t="shared" si="280"/>
        <v>0.16590649942987468</v>
      </c>
      <c r="CB125" s="53"/>
      <c r="CC125" s="43">
        <f t="shared" si="281"/>
        <v>9.9467140319715819E-2</v>
      </c>
      <c r="CD125" s="43">
        <f t="shared" si="281"/>
        <v>8.1359423274974363E-2</v>
      </c>
      <c r="CE125" s="43">
        <f t="shared" si="281"/>
        <v>0.14931362196409714</v>
      </c>
      <c r="CF125" s="43">
        <f t="shared" si="281"/>
        <v>0.31137352392790563</v>
      </c>
      <c r="CG125" s="148">
        <f t="shared" si="281"/>
        <v>0.19007334963325184</v>
      </c>
      <c r="CH125" s="53"/>
      <c r="CI125" s="43">
        <f t="shared" si="282"/>
        <v>0.28109854604200324</v>
      </c>
      <c r="CJ125" s="43">
        <f t="shared" si="282"/>
        <v>0.14190476190476198</v>
      </c>
      <c r="CK125" s="43">
        <f t="shared" si="282"/>
        <v>0.26975376699742726</v>
      </c>
      <c r="CL125" s="43">
        <f t="shared" si="282"/>
        <v>0.16682464454976298</v>
      </c>
      <c r="CM125" s="148">
        <f t="shared" si="282"/>
        <v>0.19899741134897497</v>
      </c>
      <c r="CN125" s="53"/>
      <c r="CO125" s="43">
        <v>0.35</v>
      </c>
      <c r="CP125" s="43">
        <v>0.38</v>
      </c>
      <c r="CQ125" s="43">
        <v>0.16</v>
      </c>
      <c r="CR125" s="43">
        <v>0.27</v>
      </c>
      <c r="CS125" s="148">
        <v>0.28000000000000003</v>
      </c>
      <c r="CT125" s="53"/>
      <c r="CU125" s="43">
        <f t="shared" si="284"/>
        <v>0.13799448022079108</v>
      </c>
      <c r="CV125" s="43">
        <f t="shared" si="284"/>
        <v>-2.5539568345323671E-2</v>
      </c>
      <c r="CW125" s="43">
        <f t="shared" si="284"/>
        <v>-6.1881188118811936E-2</v>
      </c>
      <c r="CX125" s="43">
        <f t="shared" si="284"/>
        <v>-0.12722646310432573</v>
      </c>
      <c r="CY125" s="148">
        <f t="shared" si="284"/>
        <v>-5.2242182302062568E-2</v>
      </c>
      <c r="CZ125" s="53"/>
      <c r="DA125" s="43">
        <f t="shared" si="285"/>
        <v>-0.16895715440582049</v>
      </c>
      <c r="DB125" s="43">
        <f t="shared" si="285"/>
        <v>1.6980435585086662E-2</v>
      </c>
      <c r="DC125" s="43">
        <f t="shared" si="285"/>
        <v>0.13324538258575203</v>
      </c>
      <c r="DD125" s="43">
        <f t="shared" si="285"/>
        <v>0.14249271137026231</v>
      </c>
      <c r="DE125" s="148">
        <f t="shared" si="285"/>
        <v>5.7789509154217766E-2</v>
      </c>
      <c r="DF125" s="53"/>
      <c r="DG125" s="43">
        <f t="shared" si="286"/>
        <v>0.25097276264591439</v>
      </c>
      <c r="DH125" s="43">
        <f t="shared" si="286"/>
        <v>0.20931639443436167</v>
      </c>
      <c r="DI125" s="43">
        <f t="shared" si="286"/>
        <v>0.2887077997671712</v>
      </c>
      <c r="DJ125" s="43">
        <f t="shared" si="286"/>
        <v>0.19170653907496016</v>
      </c>
      <c r="DK125" s="148">
        <f t="shared" si="286"/>
        <v>0.22577647995752592</v>
      </c>
      <c r="DL125" s="53"/>
      <c r="DM125" s="43">
        <f t="shared" si="287"/>
        <v>0.16485225505443224</v>
      </c>
      <c r="DN125" s="43">
        <f t="shared" si="287"/>
        <v>2.4512256128063958E-2</v>
      </c>
      <c r="DO125" s="43">
        <f t="shared" si="287"/>
        <v>7.2267389340560095E-2</v>
      </c>
      <c r="DP125" s="43">
        <f t="shared" si="287"/>
        <v>6.6648822269807173E-2</v>
      </c>
      <c r="DQ125" s="148">
        <f t="shared" si="287"/>
        <v>7.4932322685435926E-2</v>
      </c>
      <c r="DR125" s="53"/>
      <c r="DS125" s="43">
        <f t="shared" si="288"/>
        <v>5.0734312416555349E-2</v>
      </c>
      <c r="DT125" s="43">
        <f t="shared" si="288"/>
        <v>0.16650390625</v>
      </c>
      <c r="DU125" s="43">
        <f t="shared" si="288"/>
        <v>-1.7691659646166813E-2</v>
      </c>
      <c r="DV125" s="43">
        <f t="shared" si="288"/>
        <v>1.0288582183186845E-2</v>
      </c>
      <c r="DW125" s="148">
        <f t="shared" si="288"/>
        <v>9.0158154528054757E-2</v>
      </c>
      <c r="DX125" s="53"/>
      <c r="DY125" s="43">
        <f t="shared" si="289"/>
        <v>5.0190597204574416E-2</v>
      </c>
      <c r="DZ125" s="43">
        <f t="shared" si="289"/>
        <v>-3.7672666387610354E-3</v>
      </c>
      <c r="EA125" s="43">
        <f t="shared" si="289"/>
        <v>8.9622641509433887E-2</v>
      </c>
      <c r="EB125" s="43">
        <f t="shared" si="289"/>
        <v>4.9180327868852514E-2</v>
      </c>
      <c r="EC125" s="148">
        <f t="shared" si="289"/>
        <v>1.7372019959342122E-2</v>
      </c>
      <c r="ED125" s="53"/>
      <c r="EE125" s="43">
        <f t="shared" si="290"/>
        <v>0.11736237144585604</v>
      </c>
      <c r="EF125" s="43">
        <f t="shared" si="290"/>
        <v>7.7310924369747847E-2</v>
      </c>
      <c r="EG125" s="43">
        <f t="shared" si="290"/>
        <v>-1.1412829594647733E-2</v>
      </c>
      <c r="EH125" s="43">
        <f t="shared" si="290"/>
        <v>-0.12002840909090906</v>
      </c>
      <c r="EI125" s="148">
        <f t="shared" si="290"/>
        <v>-3.3605812897366083E-2</v>
      </c>
      <c r="EJ125" s="53"/>
      <c r="EK125" s="43">
        <f t="shared" si="290"/>
        <v>-4.5479155387114223E-2</v>
      </c>
      <c r="EL125" s="43">
        <f t="shared" si="291"/>
        <v>-9.1653666146645829E-2</v>
      </c>
      <c r="EM125" s="43">
        <f t="shared" si="291"/>
        <v>-3.7818471337579651E-2</v>
      </c>
      <c r="EN125" s="43">
        <f t="shared" si="291"/>
        <v>-2.4482109227871973E-2</v>
      </c>
      <c r="EO125" s="148">
        <f t="shared" si="291"/>
        <v>-4.7462406015037595E-2</v>
      </c>
      <c r="EP125" s="53"/>
      <c r="EQ125" s="43">
        <f>EQ121/EK121-1</f>
        <v>0.14350538854225747</v>
      </c>
      <c r="ER125" s="43">
        <f t="shared" si="292"/>
        <v>4.5083726921425482E-2</v>
      </c>
      <c r="ES125" s="43">
        <f t="shared" si="292"/>
        <v>0.10550268928423656</v>
      </c>
      <c r="ET125" s="43">
        <f t="shared" si="292"/>
        <v>0.11307225592939885</v>
      </c>
      <c r="EU125" s="148">
        <f t="shared" si="293"/>
        <v>0.10093734583127767</v>
      </c>
      <c r="EV125" s="53"/>
      <c r="EW125" s="43">
        <f t="shared" si="294"/>
        <v>0.21924603174603186</v>
      </c>
      <c r="EX125" s="43">
        <f t="shared" si="294"/>
        <v>0.18364831552999172</v>
      </c>
      <c r="EY125" s="43">
        <f t="shared" si="294"/>
        <v>0.10741017964071853</v>
      </c>
      <c r="EZ125" s="43">
        <f t="shared" si="294"/>
        <v>2.772918731417251E-2</v>
      </c>
      <c r="FA125" s="148">
        <f t="shared" si="294"/>
        <v>0.11542525542211868</v>
      </c>
      <c r="FB125" s="53"/>
      <c r="FC125" s="43">
        <f t="shared" si="295"/>
        <v>0.12385956061838899</v>
      </c>
      <c r="FD125" s="43">
        <f t="shared" si="295"/>
        <v>0.10507462686567171</v>
      </c>
      <c r="FE125" s="43">
        <f t="shared" si="295"/>
        <v>0.10702095302467063</v>
      </c>
      <c r="FF125" s="43">
        <f t="shared" si="295"/>
        <v>5.5918624176242826E-2</v>
      </c>
      <c r="FG125" s="148">
        <f t="shared" si="295"/>
        <v>9.2864807448869602E-2</v>
      </c>
      <c r="FH125" s="53"/>
      <c r="FI125" s="43">
        <f t="shared" si="296"/>
        <v>0.12715937914170872</v>
      </c>
      <c r="FJ125" s="43">
        <f t="shared" si="297"/>
        <v>0.10624219466536</v>
      </c>
      <c r="FK125" s="43">
        <f t="shared" si="298"/>
        <v>0.10318226014485554</v>
      </c>
      <c r="FL125" s="43">
        <f t="shared" si="299"/>
        <v>6.3241167921162189E-2</v>
      </c>
      <c r="FM125" s="148">
        <f t="shared" si="300"/>
        <v>9.5906779022699506E-2</v>
      </c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</row>
    <row r="126" spans="1:274" s="24" customFormat="1" x14ac:dyDescent="0.2">
      <c r="A126" s="58" t="s">
        <v>701</v>
      </c>
      <c r="B126" s="1040"/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342"/>
      <c r="O126" s="50"/>
      <c r="P126" s="50"/>
      <c r="Q126" s="50"/>
      <c r="R126" s="50"/>
      <c r="S126" s="50"/>
      <c r="T126" s="342"/>
      <c r="U126" s="50"/>
      <c r="V126" s="50"/>
      <c r="W126" s="50"/>
      <c r="X126" s="50"/>
      <c r="Y126" s="50"/>
      <c r="Z126" s="53"/>
      <c r="AA126" s="342"/>
      <c r="AB126" s="342"/>
      <c r="AC126" s="342"/>
      <c r="AD126" s="342"/>
      <c r="AE126" s="342"/>
      <c r="AF126" s="53"/>
      <c r="AG126" s="342"/>
      <c r="AH126" s="342"/>
      <c r="AI126" s="342"/>
      <c r="AJ126" s="342"/>
      <c r="AK126" s="342"/>
      <c r="AL126" s="53"/>
      <c r="AM126" s="342"/>
      <c r="AN126" s="342"/>
      <c r="AO126" s="342"/>
      <c r="AP126" s="342"/>
      <c r="AQ126" s="342"/>
      <c r="AR126" s="53"/>
      <c r="AS126" s="342"/>
      <c r="AT126" s="342"/>
      <c r="AU126" s="342"/>
      <c r="AV126" s="342"/>
      <c r="AW126" s="342"/>
      <c r="AX126" s="53"/>
      <c r="AY126" s="342"/>
      <c r="AZ126" s="342"/>
      <c r="BA126" s="342"/>
      <c r="BB126" s="342"/>
      <c r="BC126" s="342"/>
      <c r="BD126" s="53"/>
      <c r="BE126" s="342"/>
      <c r="BF126" s="342"/>
      <c r="BG126" s="342"/>
      <c r="BH126" s="342"/>
      <c r="BI126" s="342"/>
      <c r="BJ126" s="53"/>
      <c r="BK126" s="342"/>
      <c r="BL126" s="342"/>
      <c r="BM126" s="342"/>
      <c r="BN126" s="342"/>
      <c r="BO126" s="342"/>
      <c r="BP126" s="53"/>
      <c r="BQ126" s="43"/>
      <c r="BR126" s="43"/>
      <c r="BS126" s="43"/>
      <c r="BT126" s="43"/>
      <c r="BU126" s="43"/>
      <c r="BV126" s="53"/>
      <c r="BW126" s="43"/>
      <c r="BX126" s="43"/>
      <c r="BY126" s="43"/>
      <c r="BZ126" s="43"/>
      <c r="CA126" s="43"/>
      <c r="CB126" s="53"/>
      <c r="CC126" s="43"/>
      <c r="CD126" s="43"/>
      <c r="CE126" s="43"/>
      <c r="CF126" s="43"/>
      <c r="CG126" s="148"/>
      <c r="CH126" s="53"/>
      <c r="CI126" s="342"/>
      <c r="CJ126" s="342"/>
      <c r="CK126" s="342"/>
      <c r="CL126" s="342"/>
      <c r="CM126" s="147"/>
      <c r="CN126" s="53"/>
      <c r="CO126" s="342"/>
      <c r="CP126" s="342"/>
      <c r="CQ126" s="342"/>
      <c r="CR126" s="342"/>
      <c r="CS126" s="147"/>
      <c r="CT126" s="53"/>
      <c r="CU126" s="342"/>
      <c r="CV126" s="342"/>
      <c r="CW126" s="342"/>
      <c r="CX126" s="342"/>
      <c r="CY126" s="147"/>
      <c r="CZ126" s="53"/>
      <c r="DA126" s="342"/>
      <c r="DB126" s="342"/>
      <c r="DC126" s="342"/>
      <c r="DD126" s="342"/>
      <c r="DE126" s="147"/>
      <c r="DF126" s="53"/>
      <c r="DG126" s="342"/>
      <c r="DH126" s="342"/>
      <c r="DI126" s="342"/>
      <c r="DJ126" s="342"/>
      <c r="DK126" s="147"/>
      <c r="DL126" s="53"/>
      <c r="DM126" s="342"/>
      <c r="DN126" s="342"/>
      <c r="DO126" s="342"/>
      <c r="DP126" s="342"/>
      <c r="DQ126" s="147"/>
      <c r="DR126" s="53"/>
      <c r="DS126" s="342"/>
      <c r="DT126" s="342"/>
      <c r="DU126" s="342"/>
      <c r="DV126" s="342"/>
      <c r="DW126" s="147"/>
      <c r="DX126" s="53"/>
      <c r="DY126" s="342"/>
      <c r="DZ126" s="342"/>
      <c r="EA126" s="342"/>
      <c r="EB126" s="342"/>
      <c r="EC126" s="147"/>
      <c r="ED126" s="53"/>
      <c r="EE126" s="342"/>
      <c r="EF126" s="342"/>
      <c r="EG126" s="342"/>
      <c r="EH126" s="342"/>
      <c r="EI126" s="147"/>
      <c r="EJ126" s="53"/>
      <c r="EK126" s="342"/>
      <c r="EL126" s="342"/>
      <c r="EM126" s="342"/>
      <c r="EN126" s="342"/>
      <c r="EO126" s="147"/>
      <c r="EP126" s="53"/>
      <c r="EQ126" s="342"/>
      <c r="ER126" s="342"/>
      <c r="ES126" s="342"/>
      <c r="ET126" s="342"/>
      <c r="EU126" s="147"/>
      <c r="EV126" s="53"/>
      <c r="EW126" s="342"/>
      <c r="EX126" s="342"/>
      <c r="EY126" s="342"/>
      <c r="EZ126" s="342"/>
      <c r="FA126" s="147"/>
      <c r="FB126" s="53"/>
      <c r="FC126" s="342"/>
      <c r="FD126" s="342"/>
      <c r="FE126" s="342"/>
      <c r="FF126" s="342"/>
      <c r="FG126" s="147"/>
      <c r="FH126" s="53"/>
      <c r="FI126" s="342"/>
      <c r="FJ126" s="342"/>
      <c r="FK126" s="342"/>
      <c r="FL126" s="342"/>
      <c r="FM126" s="147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</row>
    <row r="127" spans="1:274" s="24" customFormat="1" x14ac:dyDescent="0.2">
      <c r="A127" s="342" t="s">
        <v>109</v>
      </c>
      <c r="B127" s="1040"/>
      <c r="C127" s="50" t="s">
        <v>945</v>
      </c>
      <c r="D127" s="50" t="s">
        <v>945</v>
      </c>
      <c r="E127" s="50" t="s">
        <v>945</v>
      </c>
      <c r="F127" s="50" t="s">
        <v>945</v>
      </c>
      <c r="G127" s="50" t="s">
        <v>945</v>
      </c>
      <c r="H127" s="50" t="s">
        <v>945</v>
      </c>
      <c r="I127" s="50" t="s">
        <v>945</v>
      </c>
      <c r="J127" s="50" t="s">
        <v>945</v>
      </c>
      <c r="K127" s="50" t="s">
        <v>945</v>
      </c>
      <c r="L127" s="50" t="s">
        <v>945</v>
      </c>
      <c r="M127" s="50" t="s">
        <v>945</v>
      </c>
      <c r="N127" s="342"/>
      <c r="O127" s="50" t="s">
        <v>945</v>
      </c>
      <c r="P127" s="50" t="s">
        <v>945</v>
      </c>
      <c r="Q127" s="50" t="s">
        <v>945</v>
      </c>
      <c r="R127" s="50" t="s">
        <v>945</v>
      </c>
      <c r="S127" s="50" t="s">
        <v>945</v>
      </c>
      <c r="T127" s="342"/>
      <c r="U127" s="50" t="s">
        <v>945</v>
      </c>
      <c r="V127" s="50" t="s">
        <v>945</v>
      </c>
      <c r="W127" s="50" t="s">
        <v>945</v>
      </c>
      <c r="X127" s="50" t="s">
        <v>945</v>
      </c>
      <c r="Y127" s="50" t="s">
        <v>945</v>
      </c>
      <c r="Z127" s="53"/>
      <c r="AA127" s="49">
        <f>(AA117/AA119*0.46)+(AA118/AA119*-0.02)</f>
        <v>0.38301009644555367</v>
      </c>
      <c r="AB127" s="49">
        <f>(AB117/AB119*0.28)+(AB118/AB119*-0.06)</f>
        <v>0.22806646747018486</v>
      </c>
      <c r="AC127" s="49">
        <f>(AC117/AC119*0.38)+(AC118/AC119*-0.05)</f>
        <v>0.31761972625782653</v>
      </c>
      <c r="AD127" s="49">
        <f>(AD117/AD119*0.26)+(AD118/AD119*-0.04)</f>
        <v>0.22173681374131857</v>
      </c>
      <c r="AE127" s="49">
        <f>(AE117/AE119*0.32)+(AE118/AE119*-0.04)</f>
        <v>0.26864485756054646</v>
      </c>
      <c r="AF127" s="53"/>
      <c r="AG127" s="49">
        <f>(AG117/AG119*0.12)+(AG118/AG119*-0.06)</f>
        <v>9.4803647649448194E-2</v>
      </c>
      <c r="AH127" s="49">
        <f>(AH117/AH119*0.1)+(AH118/AH119*-0.03)</f>
        <v>8.1988834463016844E-2</v>
      </c>
      <c r="AI127" s="49">
        <f>(AI117/AI119*0.18)+(AI118/AI119*0)</f>
        <v>0.15754096623759356</v>
      </c>
      <c r="AJ127" s="49">
        <f>(AJ117/AJ119*0.16)+(AJ118/AJ119*0.09)</f>
        <v>0.15152379639098471</v>
      </c>
      <c r="AK127" s="49">
        <f>(AK117/AK119*0.15)+(AK118/AK119*0.02)</f>
        <v>0.13328606764340387</v>
      </c>
      <c r="AL127" s="53"/>
      <c r="AM127" s="49">
        <f>(AM117/AM119*0.24)+(AM118/AM119*-0.08)</f>
        <v>0.20523165103177246</v>
      </c>
      <c r="AN127" s="49">
        <f>(AN117/AN119*0.27)+(AN118/AN119*-0.12)</f>
        <v>0.23109712125240758</v>
      </c>
      <c r="AO127" s="49">
        <f>(AO117/AO119*0.1)+(AO118/AO119*-0.12)</f>
        <v>7.7451034986420808E-2</v>
      </c>
      <c r="AP127" s="49">
        <f>(AP117/AP119*0.27)+(AP118/AP119*-0.03)</f>
        <v>0.24158780254872117</v>
      </c>
      <c r="AQ127" s="49">
        <f>(AQ117/AQ119*0.22)+(AQ118/AQ119*-0.08)</f>
        <v>0.19009420202105412</v>
      </c>
      <c r="AR127" s="53"/>
      <c r="AS127" s="49">
        <f>(AS117/AS119*0.1)+(AS118/AS119*-0.01)</f>
        <v>8.8799905978281801E-2</v>
      </c>
      <c r="AT127" s="49">
        <f>(AT117/AT119*0.15)+(AT118/AT119*0.06)</f>
        <v>0.14255452503901439</v>
      </c>
      <c r="AU127" s="49">
        <f>(AU117/AU119*0.22)+(AU118/AU119*1.14)</f>
        <v>0.29227173676182172</v>
      </c>
      <c r="AV127" s="49">
        <f>(AV117/AV119*0.31)+(AV118/AV119*0.09)</f>
        <v>0.29097675653524896</v>
      </c>
      <c r="AW127" s="43">
        <f>(AW117/AW119*0.21)+(AW118/AW119*0.07)</f>
        <v>0.19796697353194809</v>
      </c>
      <c r="AX127" s="53"/>
      <c r="AY127" s="43">
        <v>0.28000000000000003</v>
      </c>
      <c r="AZ127" s="43">
        <v>0.22</v>
      </c>
      <c r="BA127" s="43">
        <v>0.04</v>
      </c>
      <c r="BB127" s="43">
        <v>-0.01</v>
      </c>
      <c r="BC127" s="43">
        <v>0.09</v>
      </c>
      <c r="BD127" s="53"/>
      <c r="BE127" s="43">
        <v>-0.04</v>
      </c>
      <c r="BF127" s="43">
        <v>-0.2</v>
      </c>
      <c r="BG127" s="43">
        <v>-0.23</v>
      </c>
      <c r="BH127" s="43">
        <v>-0.28999999999999998</v>
      </c>
      <c r="BI127" s="43">
        <v>-0.21</v>
      </c>
      <c r="BJ127" s="53"/>
      <c r="BK127" s="43">
        <v>-0.24</v>
      </c>
      <c r="BL127" s="43">
        <v>-0.01</v>
      </c>
      <c r="BM127" s="43">
        <v>-0.11</v>
      </c>
      <c r="BN127" s="43">
        <v>-0.04</v>
      </c>
      <c r="BO127" s="43">
        <v>-0.09</v>
      </c>
      <c r="BP127" s="53"/>
      <c r="BQ127" s="43">
        <v>-0.11</v>
      </c>
      <c r="BR127" s="43">
        <v>0.02</v>
      </c>
      <c r="BS127" s="43">
        <v>0.08</v>
      </c>
      <c r="BT127" s="52">
        <v>0.11</v>
      </c>
      <c r="BU127" s="52">
        <v>0.04</v>
      </c>
      <c r="BV127" s="53"/>
      <c r="BW127" s="52">
        <v>0.14000000000000001</v>
      </c>
      <c r="BX127" s="52">
        <v>0.01</v>
      </c>
      <c r="BY127" s="52">
        <v>0.08</v>
      </c>
      <c r="BZ127" s="52">
        <v>0.13</v>
      </c>
      <c r="CA127" s="52">
        <f>(BW127*BW119/CA119)+(BX127*BX119/CA119)+(BY119*BY127/CA119)+(BZ119*BZ127/CA119)</f>
        <v>9.2006658595641652E-2</v>
      </c>
      <c r="CB127" s="53"/>
      <c r="CC127" s="52">
        <v>0</v>
      </c>
      <c r="CD127" s="52">
        <v>0.08</v>
      </c>
      <c r="CE127" s="52">
        <v>0.09</v>
      </c>
      <c r="CF127" s="52">
        <v>0.18</v>
      </c>
      <c r="CG127" s="149">
        <v>0.1</v>
      </c>
      <c r="CH127" s="53"/>
      <c r="CI127" s="52">
        <f>((CI74/CI119)*CI82)+((CI89/CI119)*CI97)+((CI104/CI119)*CI112)</f>
        <v>0.13168402777777777</v>
      </c>
      <c r="CJ127" s="52">
        <v>0.05</v>
      </c>
      <c r="CK127" s="52">
        <v>0.13</v>
      </c>
      <c r="CL127" s="52">
        <v>0.14000000000000001</v>
      </c>
      <c r="CM127" s="149">
        <v>0.12</v>
      </c>
      <c r="CN127" s="53"/>
      <c r="CO127" s="52">
        <v>0.2</v>
      </c>
      <c r="CP127" s="52">
        <v>0.22</v>
      </c>
      <c r="CQ127" s="52">
        <v>0.13</v>
      </c>
      <c r="CR127" s="52">
        <v>0.15</v>
      </c>
      <c r="CS127" s="149">
        <v>0.17</v>
      </c>
      <c r="CT127" s="53"/>
      <c r="CU127" s="52">
        <v>0.23</v>
      </c>
      <c r="CV127" s="52">
        <v>0.12</v>
      </c>
      <c r="CW127" s="52">
        <v>0.06</v>
      </c>
      <c r="CX127" s="52">
        <f>CX123-CX21</f>
        <v>-1.0232018561484896E-2</v>
      </c>
      <c r="CY127" s="149">
        <f>CY123-CY21</f>
        <v>5.5239020598523092E-2</v>
      </c>
      <c r="CZ127" s="53"/>
      <c r="DA127" s="52">
        <v>-0.19</v>
      </c>
      <c r="DB127" s="52">
        <f>DB123-DB21</f>
        <v>-3.7836307849618334E-2</v>
      </c>
      <c r="DC127" s="52">
        <f>DC123-DC21</f>
        <v>5.8035714285714232E-2</v>
      </c>
      <c r="DD127" s="52">
        <f>DD123-DD21</f>
        <v>0.16474542146208293</v>
      </c>
      <c r="DE127" s="149">
        <f>DE123-DE21</f>
        <v>3.0064286059957812E-2</v>
      </c>
      <c r="DF127" s="1068"/>
      <c r="DG127" s="52">
        <v>0.32</v>
      </c>
      <c r="DH127" s="52">
        <f>DH123-DH21</f>
        <v>0.22900578854992037</v>
      </c>
      <c r="DI127" s="52">
        <f>DI123-DI21</f>
        <v>0.2491377921031426</v>
      </c>
      <c r="DJ127" s="52">
        <f>DJ123-DJ21</f>
        <v>0.1275350127034458</v>
      </c>
      <c r="DK127" s="149">
        <f>DK123-DK21</f>
        <v>0.21741367015179547</v>
      </c>
      <c r="DL127" s="1068"/>
      <c r="DM127" s="52">
        <f>DM123-DM21</f>
        <v>8.1942369263607262E-2</v>
      </c>
      <c r="DN127" s="52">
        <f>DN123-DN21</f>
        <v>3.0264182552096841E-2</v>
      </c>
      <c r="DO127" s="52">
        <f>DO123-DO21</f>
        <v>9.8548145245256125E-2</v>
      </c>
      <c r="DP127" s="52">
        <f>DP123-DP21</f>
        <v>5.2806932294360509E-2</v>
      </c>
      <c r="DQ127" s="166">
        <f>DQ123-DQ21</f>
        <v>5.0865396748853708E-2</v>
      </c>
      <c r="DR127" s="1068"/>
      <c r="DS127" s="55">
        <f>DS123-DS21</f>
        <v>7.7624518811688081E-2</v>
      </c>
      <c r="DT127" s="55">
        <f>DT123-DT21</f>
        <v>0.12216641325141553</v>
      </c>
      <c r="DU127" s="55">
        <f>DU123-DU21</f>
        <v>6.7123947239962289E-2</v>
      </c>
      <c r="DV127" s="55">
        <f>DV123-DV21</f>
        <v>0.13356124567661354</v>
      </c>
      <c r="DW127" s="166">
        <f>DW123-DW21</f>
        <v>0.10750914653330668</v>
      </c>
      <c r="DX127" s="1068"/>
      <c r="DY127" s="55">
        <f>DY123-DY21</f>
        <v>0.13099868514551916</v>
      </c>
      <c r="DZ127" s="55">
        <f>DZ123-DZ21</f>
        <v>3.4290879010039799E-2</v>
      </c>
      <c r="EA127" s="55">
        <f>EA123-EA21</f>
        <v>8.406602915220529E-2</v>
      </c>
      <c r="EB127" s="55">
        <f>EB123-EB21</f>
        <v>2.0000000000000018E-3</v>
      </c>
      <c r="EC127" s="166">
        <f>EC123-EC21</f>
        <v>4.876887538337682E-2</v>
      </c>
      <c r="ED127" s="1068"/>
      <c r="EE127" s="55">
        <f>EE123-EE21</f>
        <v>-2.0000000000000011E-2</v>
      </c>
      <c r="EF127" s="55">
        <f>EF123-EF21</f>
        <v>5.0000000000000017E-2</v>
      </c>
      <c r="EG127" s="55">
        <f>EG123-EG21</f>
        <v>4.9999999999999989E-2</v>
      </c>
      <c r="EH127" s="55">
        <f>EH123-EH21</f>
        <v>5.6734505978679101E-2</v>
      </c>
      <c r="EI127" s="166">
        <f>EI123-EI21</f>
        <v>3.039046798543462E-2</v>
      </c>
      <c r="EJ127" s="1068"/>
      <c r="EK127" s="55">
        <f>EK123-EK21</f>
        <v>7.5000000000000108E-2</v>
      </c>
      <c r="EL127" s="55">
        <f>EL123-EL21</f>
        <v>4.7769008448199188E-2</v>
      </c>
      <c r="EM127" s="55">
        <f>EM123-EM21</f>
        <v>2.6008431329043812E-2</v>
      </c>
      <c r="EN127" s="55">
        <f>EN123-EN21</f>
        <v>-6.8680634201585648E-3</v>
      </c>
      <c r="EO127" s="166">
        <f>EO123-EO21</f>
        <v>3.3063145964325219E-2</v>
      </c>
      <c r="EP127" s="1068"/>
      <c r="EQ127" s="55">
        <f>EQ123-EQ21</f>
        <v>-1.5803082800946635E-3</v>
      </c>
      <c r="ER127" s="55">
        <f>ER123-ER21</f>
        <v>2.7818982015055248E-2</v>
      </c>
      <c r="ES127" s="55">
        <f>ES123-ES21</f>
        <v>2.7325857235281345E-2</v>
      </c>
      <c r="ET127" s="55">
        <f>ET123-ET21</f>
        <v>-5.05451090218045E-3</v>
      </c>
      <c r="EU127" s="166">
        <f>EU123-EU21</f>
        <v>1.0771505376714452E-2</v>
      </c>
      <c r="EV127" s="1068"/>
      <c r="EW127" s="55">
        <f>EW123-EW21</f>
        <v>-2.8361354629518557E-2</v>
      </c>
      <c r="EX127" s="55">
        <f>EX123-EX21</f>
        <v>4.3795778665145516E-2</v>
      </c>
      <c r="EY127" s="55">
        <f>EY123-EY21</f>
        <v>3.5704735376044634E-2</v>
      </c>
      <c r="EZ127" s="55">
        <f>EZ123-EZ21</f>
        <v>-7.5000000000000899E-3</v>
      </c>
      <c r="FA127" s="166">
        <f>FA123-FA21</f>
        <v>-3.3745501015403717E-2</v>
      </c>
      <c r="FB127" s="1068"/>
      <c r="FC127" s="55">
        <f>FC123-FC21</f>
        <v>1.9999999999999116E-3</v>
      </c>
      <c r="FD127" s="55">
        <f>FD123-FD21</f>
        <v>6.9999999999999125E-3</v>
      </c>
      <c r="FE127" s="55">
        <f>FE123-FE21</f>
        <v>1.6999999999999911E-2</v>
      </c>
      <c r="FF127" s="55">
        <f>FF123-FF21</f>
        <v>2.4999999999999911E-2</v>
      </c>
      <c r="FG127" s="166">
        <f>FG123-FG21</f>
        <v>2.4999999999999689E-2</v>
      </c>
      <c r="FH127" s="1068"/>
      <c r="FI127" s="55">
        <f>FI123-FI21</f>
        <v>2.4999999999999911E-2</v>
      </c>
      <c r="FJ127" s="55">
        <f>FJ123-FJ21</f>
        <v>2.4999999999999911E-2</v>
      </c>
      <c r="FK127" s="55">
        <f>FK123-FK21</f>
        <v>2.4999999999999911E-2</v>
      </c>
      <c r="FL127" s="55">
        <f>FL123-FL21</f>
        <v>2.4999999999999911E-2</v>
      </c>
      <c r="FM127" s="166">
        <f>FM123-FM21</f>
        <v>2.5000000000000133E-2</v>
      </c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</row>
    <row r="128" spans="1:274" s="24" customFormat="1" x14ac:dyDescent="0.2">
      <c r="A128" s="342" t="s">
        <v>697</v>
      </c>
      <c r="B128" s="1040"/>
      <c r="C128" s="50" t="s">
        <v>945</v>
      </c>
      <c r="D128" s="50" t="s">
        <v>945</v>
      </c>
      <c r="E128" s="50" t="s">
        <v>945</v>
      </c>
      <c r="F128" s="50" t="s">
        <v>945</v>
      </c>
      <c r="G128" s="50" t="s">
        <v>945</v>
      </c>
      <c r="H128" s="50" t="s">
        <v>945</v>
      </c>
      <c r="I128" s="50" t="s">
        <v>945</v>
      </c>
      <c r="J128" s="50" t="s">
        <v>945</v>
      </c>
      <c r="K128" s="50" t="s">
        <v>945</v>
      </c>
      <c r="L128" s="50" t="s">
        <v>945</v>
      </c>
      <c r="M128" s="50" t="s">
        <v>945</v>
      </c>
      <c r="N128" s="342"/>
      <c r="O128" s="50" t="s">
        <v>945</v>
      </c>
      <c r="P128" s="50" t="s">
        <v>945</v>
      </c>
      <c r="Q128" s="50" t="s">
        <v>945</v>
      </c>
      <c r="R128" s="50" t="s">
        <v>945</v>
      </c>
      <c r="S128" s="50" t="s">
        <v>945</v>
      </c>
      <c r="T128" s="342"/>
      <c r="U128" s="50" t="s">
        <v>945</v>
      </c>
      <c r="V128" s="50" t="s">
        <v>945</v>
      </c>
      <c r="W128" s="50" t="s">
        <v>945</v>
      </c>
      <c r="X128" s="50" t="s">
        <v>945</v>
      </c>
      <c r="Y128" s="50" t="s">
        <v>945</v>
      </c>
      <c r="Z128" s="53"/>
      <c r="AA128" s="49">
        <v>0.05</v>
      </c>
      <c r="AB128" s="49">
        <v>0.78</v>
      </c>
      <c r="AC128" s="49">
        <v>0.64</v>
      </c>
      <c r="AD128" s="49">
        <v>0.78</v>
      </c>
      <c r="AE128" s="49">
        <v>0.63</v>
      </c>
      <c r="AF128" s="53"/>
      <c r="AG128" s="49">
        <v>1.02</v>
      </c>
      <c r="AH128" s="49">
        <v>0.09</v>
      </c>
      <c r="AI128" s="49">
        <v>0.33</v>
      </c>
      <c r="AJ128" s="49">
        <v>0</v>
      </c>
      <c r="AK128" s="49">
        <v>0.2</v>
      </c>
      <c r="AL128" s="53"/>
      <c r="AM128" s="49">
        <v>0.03</v>
      </c>
      <c r="AN128" s="49">
        <v>0.19</v>
      </c>
      <c r="AO128" s="49">
        <v>0.06</v>
      </c>
      <c r="AP128" s="49">
        <v>0.28999999999999998</v>
      </c>
      <c r="AQ128" s="49">
        <v>0.17</v>
      </c>
      <c r="AR128" s="53"/>
      <c r="AS128" s="49">
        <v>0.3</v>
      </c>
      <c r="AT128" s="49">
        <v>0.78</v>
      </c>
      <c r="AU128" s="49">
        <v>0.63</v>
      </c>
      <c r="AV128" s="49">
        <v>0.73</v>
      </c>
      <c r="AW128" s="43">
        <v>0.64</v>
      </c>
      <c r="AX128" s="53"/>
      <c r="AY128" s="43">
        <v>0.45</v>
      </c>
      <c r="AZ128" s="43">
        <v>0.73</v>
      </c>
      <c r="BA128" s="43">
        <v>0.28000000000000003</v>
      </c>
      <c r="BB128" s="43">
        <v>-0.22</v>
      </c>
      <c r="BC128" s="43">
        <v>0.14000000000000001</v>
      </c>
      <c r="BD128" s="53"/>
      <c r="BE128" s="43">
        <v>-0.05</v>
      </c>
      <c r="BF128" s="43">
        <v>-0.41</v>
      </c>
      <c r="BG128" s="43">
        <v>-0.4</v>
      </c>
      <c r="BH128" s="43">
        <v>-0.28000000000000003</v>
      </c>
      <c r="BI128" s="43">
        <v>-0.31</v>
      </c>
      <c r="BJ128" s="53"/>
      <c r="BK128" s="43">
        <v>-0.25</v>
      </c>
      <c r="BL128" s="43">
        <v>-0.35</v>
      </c>
      <c r="BM128" s="43">
        <v>-0.08</v>
      </c>
      <c r="BN128" s="43">
        <v>-0.04</v>
      </c>
      <c r="BO128" s="43">
        <v>-0.17</v>
      </c>
      <c r="BP128" s="53"/>
      <c r="BQ128" s="43">
        <v>-0.06</v>
      </c>
      <c r="BR128" s="43">
        <v>0.18</v>
      </c>
      <c r="BS128" s="43">
        <v>-0.05</v>
      </c>
      <c r="BT128" s="52">
        <v>-0.09</v>
      </c>
      <c r="BU128" s="52">
        <v>-0.02</v>
      </c>
      <c r="BV128" s="53"/>
      <c r="BW128" s="52">
        <v>-0.38</v>
      </c>
      <c r="BX128" s="52">
        <v>0.51</v>
      </c>
      <c r="BY128" s="52">
        <v>7.0000000000000007E-2</v>
      </c>
      <c r="BZ128" s="52">
        <v>0.49</v>
      </c>
      <c r="CA128" s="52">
        <v>0.25</v>
      </c>
      <c r="CB128" s="53"/>
      <c r="CC128" s="52">
        <v>0.82</v>
      </c>
      <c r="CD128" s="52">
        <v>0.27</v>
      </c>
      <c r="CE128" s="52">
        <v>0.82</v>
      </c>
      <c r="CF128" s="52">
        <v>0.83</v>
      </c>
      <c r="CG128" s="149">
        <v>0.67</v>
      </c>
      <c r="CH128" s="53"/>
      <c r="CI128" s="52">
        <v>0.78</v>
      </c>
      <c r="CJ128" s="52">
        <v>0.25</v>
      </c>
      <c r="CK128" s="52">
        <v>0.52</v>
      </c>
      <c r="CL128" s="52">
        <v>0.1</v>
      </c>
      <c r="CM128" s="149">
        <v>0.28999999999999998</v>
      </c>
      <c r="CN128" s="53"/>
      <c r="CO128" s="52">
        <v>0.61</v>
      </c>
      <c r="CP128" s="52">
        <v>0.56000000000000005</v>
      </c>
      <c r="CQ128" s="52">
        <v>0.02</v>
      </c>
      <c r="CR128" s="52">
        <v>0.31</v>
      </c>
      <c r="CS128" s="149">
        <v>0.33</v>
      </c>
      <c r="CT128" s="53"/>
      <c r="CU128" s="52">
        <v>-0.14000000000000001</v>
      </c>
      <c r="CV128" s="52">
        <v>-0.09</v>
      </c>
      <c r="CW128" s="52">
        <v>-0.04</v>
      </c>
      <c r="CX128" s="52">
        <f>CX124-CX21</f>
        <v>-9.6046511627906977E-2</v>
      </c>
      <c r="CY128" s="149">
        <f>CY124-CY21</f>
        <v>-9.5382017728999513E-2</v>
      </c>
      <c r="CZ128" s="53"/>
      <c r="DA128" s="52">
        <v>-0.01</v>
      </c>
      <c r="DB128" s="52">
        <f>DB124-DB21</f>
        <v>-3.4204018622829735E-2</v>
      </c>
      <c r="DC128" s="52">
        <f>DC124-DC21</f>
        <v>0.1555555555555555</v>
      </c>
      <c r="DD128" s="52">
        <f>DD124-DD21</f>
        <v>5.0993375360327109E-2</v>
      </c>
      <c r="DE128" s="149">
        <f>DE124-DE21</f>
        <v>3.7340539228215119E-2</v>
      </c>
      <c r="DF128" s="1068"/>
      <c r="DG128" s="52">
        <v>0.1</v>
      </c>
      <c r="DH128" s="52">
        <f>DH124-DH21</f>
        <v>0.23179222138175515</v>
      </c>
      <c r="DI128" s="52">
        <f>DI124-DI21</f>
        <v>0.31850020946795143</v>
      </c>
      <c r="DJ128" s="52">
        <f>DJ124-DJ21</f>
        <v>0.16466951562742249</v>
      </c>
      <c r="DK128" s="149">
        <f>DK124-DK21</f>
        <v>0.21857542663438534</v>
      </c>
      <c r="DL128" s="1068"/>
      <c r="DM128" s="52">
        <f>DM124-DM21</f>
        <v>0.16636103151862464</v>
      </c>
      <c r="DN128" s="52">
        <f>DN124-DN21</f>
        <v>-2.8556270390081351E-2</v>
      </c>
      <c r="DO128" s="52">
        <v>0.03</v>
      </c>
      <c r="DP128" s="52">
        <f>DP124-DP21</f>
        <v>0.27694972775794136</v>
      </c>
      <c r="DQ128" s="166">
        <f>DQ124-DQ21</f>
        <v>0.12378579569758097</v>
      </c>
      <c r="DR128" s="1068"/>
      <c r="DS128" s="55">
        <f>DS124-DS21</f>
        <v>0.47262451881168765</v>
      </c>
      <c r="DT128" s="55">
        <f>DT124-DT21</f>
        <v>0.546981878980765</v>
      </c>
      <c r="DU128" s="55">
        <f>DU124-DU21</f>
        <v>-8.0918345912617262E-4</v>
      </c>
      <c r="DV128" s="55">
        <f>DV124-DV21</f>
        <v>-0.10031900315697939</v>
      </c>
      <c r="DW128" s="166">
        <f>DW124-DW21</f>
        <v>0.13164070006636952</v>
      </c>
      <c r="DX128" s="1068"/>
      <c r="DY128" s="55">
        <f>DY124-DY21</f>
        <v>-9.0873752959088616E-2</v>
      </c>
      <c r="DZ128" s="55">
        <f>DZ124-DZ21</f>
        <v>-4.8984246661256448E-2</v>
      </c>
      <c r="EA128" s="55">
        <f>EA124-EA21</f>
        <v>-3.7196737793013246E-2</v>
      </c>
      <c r="EB128" s="55">
        <f>EB124-EB21</f>
        <v>6.2980393897167586E-2</v>
      </c>
      <c r="EC128" s="166">
        <f>EC124-EC21</f>
        <v>-1.562545483939437E-2</v>
      </c>
      <c r="ED128" s="1068"/>
      <c r="EE128" s="55">
        <f>EE124-EE21</f>
        <v>0.16396843828980456</v>
      </c>
      <c r="EF128" s="55">
        <f>EF124-EF21</f>
        <v>0.12275545876403113</v>
      </c>
      <c r="EG128" s="55">
        <f>EG124-EG21</f>
        <v>4.4144263172145648E-2</v>
      </c>
      <c r="EH128" s="55">
        <f>EH124-EH21</f>
        <v>-0.29605655879856019</v>
      </c>
      <c r="EI128" s="166">
        <f>EI124-EI21</f>
        <v>-5.3056349642889113E-2</v>
      </c>
      <c r="EJ128" s="1068"/>
      <c r="EK128" s="55">
        <f>EK124-EK21</f>
        <v>-1.3527748861299219E-2</v>
      </c>
      <c r="EL128" s="55">
        <f>EL124-EL21</f>
        <v>-0.17531294900776162</v>
      </c>
      <c r="EM128" s="55">
        <f>EM124-EM21</f>
        <v>-6.8993955829683401E-2</v>
      </c>
      <c r="EN128" s="55">
        <f>EN124-EN21</f>
        <v>-5.3787802054905423E-2</v>
      </c>
      <c r="EO128" s="166">
        <f>EO124-EO21</f>
        <v>-8.722436868420283E-2</v>
      </c>
      <c r="EP128" s="1068"/>
      <c r="EQ128" s="55">
        <f>EQ124-EQ21</f>
        <v>0.48861493145818385</v>
      </c>
      <c r="ER128" s="55">
        <f>ER124-ER21</f>
        <v>0.11484854235668926</v>
      </c>
      <c r="ES128" s="55">
        <f>ES124-ES21</f>
        <v>0.38967441220882637</v>
      </c>
      <c r="ET128" s="55">
        <f>ET124-ET21</f>
        <v>0.65396903372794501</v>
      </c>
      <c r="EU128" s="166">
        <f>EU124-EU21</f>
        <v>0.41293920159720143</v>
      </c>
      <c r="EV128" s="1068"/>
      <c r="EW128" s="55">
        <f>EW124-EW21</f>
        <v>0.53318551950569748</v>
      </c>
      <c r="EX128" s="55">
        <f>EX124-EX21</f>
        <v>0.44879556806271426</v>
      </c>
      <c r="EY128" s="55">
        <f>EY124-EY21</f>
        <v>0.13401576489228034</v>
      </c>
      <c r="EZ128" s="55">
        <f>EZ124-EZ21</f>
        <v>2.0081174998509421E-3</v>
      </c>
      <c r="FA128" s="166">
        <f>FA124-FA21</f>
        <v>0.20627260931467431</v>
      </c>
      <c r="FB128" s="1068"/>
      <c r="FC128" s="55">
        <f>FC124-FC21</f>
        <v>0.1888360645109303</v>
      </c>
      <c r="FD128" s="55">
        <f>FD124-FD21</f>
        <v>0.21890765170656515</v>
      </c>
      <c r="FE128" s="55">
        <f>FE124-FE21</f>
        <v>0.2934800134229909</v>
      </c>
      <c r="FF128" s="55">
        <f>FF124-FF21</f>
        <v>0.13201043863610162</v>
      </c>
      <c r="FG128" s="166">
        <f>FG124-FG21</f>
        <v>0.2141466200581621</v>
      </c>
      <c r="FH128" s="1068"/>
      <c r="FI128" s="55">
        <f>FI124-FI21</f>
        <v>0.20405582386757071</v>
      </c>
      <c r="FJ128" s="55">
        <f>FJ124-FJ21</f>
        <v>0.21708245301175078</v>
      </c>
      <c r="FK128" s="55">
        <f>FK124-FK21</f>
        <v>0.24916380498005775</v>
      </c>
      <c r="FL128" s="55">
        <f>FL124-FL21</f>
        <v>0.1484574066155071</v>
      </c>
      <c r="FM128" s="166">
        <f>FM124-FM21</f>
        <v>0.20288405765548601</v>
      </c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</row>
    <row r="129" spans="1:274" s="24" customFormat="1" x14ac:dyDescent="0.2">
      <c r="A129" s="140" t="s">
        <v>698</v>
      </c>
      <c r="B129" s="432"/>
      <c r="C129" s="169" t="s">
        <v>945</v>
      </c>
      <c r="D129" s="169" t="s">
        <v>945</v>
      </c>
      <c r="E129" s="169" t="s">
        <v>945</v>
      </c>
      <c r="F129" s="169" t="s">
        <v>945</v>
      </c>
      <c r="G129" s="169" t="s">
        <v>945</v>
      </c>
      <c r="H129" s="169" t="s">
        <v>945</v>
      </c>
      <c r="I129" s="169" t="s">
        <v>945</v>
      </c>
      <c r="J129" s="169" t="s">
        <v>945</v>
      </c>
      <c r="K129" s="169" t="s">
        <v>945</v>
      </c>
      <c r="L129" s="169" t="s">
        <v>945</v>
      </c>
      <c r="M129" s="169" t="s">
        <v>945</v>
      </c>
      <c r="N129" s="874"/>
      <c r="O129" s="169" t="s">
        <v>945</v>
      </c>
      <c r="P129" s="169" t="s">
        <v>945</v>
      </c>
      <c r="Q129" s="169" t="s">
        <v>945</v>
      </c>
      <c r="R129" s="169" t="s">
        <v>945</v>
      </c>
      <c r="S129" s="169" t="s">
        <v>945</v>
      </c>
      <c r="T129" s="874"/>
      <c r="U129" s="169" t="s">
        <v>945</v>
      </c>
      <c r="V129" s="169" t="s">
        <v>945</v>
      </c>
      <c r="W129" s="169" t="s">
        <v>945</v>
      </c>
      <c r="X129" s="169" t="s">
        <v>945</v>
      </c>
      <c r="Y129" s="169" t="s">
        <v>945</v>
      </c>
      <c r="Z129" s="172"/>
      <c r="AA129" s="151">
        <v>0.31</v>
      </c>
      <c r="AB129" s="151">
        <v>0.28000000000000003</v>
      </c>
      <c r="AC129" s="151">
        <v>0.34</v>
      </c>
      <c r="AD129" s="151">
        <v>0.28999999999999998</v>
      </c>
      <c r="AE129" s="151">
        <v>0.3</v>
      </c>
      <c r="AF129" s="172"/>
      <c r="AG129" s="151">
        <v>0.2</v>
      </c>
      <c r="AH129" s="151">
        <v>0.08</v>
      </c>
      <c r="AI129" s="151">
        <v>0.18</v>
      </c>
      <c r="AJ129" s="151">
        <v>0.12</v>
      </c>
      <c r="AK129" s="151">
        <v>0.14000000000000001</v>
      </c>
      <c r="AL129" s="172"/>
      <c r="AM129" s="151">
        <v>0.16</v>
      </c>
      <c r="AN129" s="151">
        <v>0.21</v>
      </c>
      <c r="AO129" s="151">
        <v>7.0000000000000007E-2</v>
      </c>
      <c r="AP129" s="151">
        <v>0.24</v>
      </c>
      <c r="AQ129" s="151">
        <v>0.18</v>
      </c>
      <c r="AR129" s="172"/>
      <c r="AS129" s="151">
        <v>0.11</v>
      </c>
      <c r="AT129" s="151">
        <v>0.18</v>
      </c>
      <c r="AU129" s="151">
        <v>0.24</v>
      </c>
      <c r="AV129" s="151">
        <v>0.33</v>
      </c>
      <c r="AW129" s="142">
        <v>0.23</v>
      </c>
      <c r="AX129" s="172"/>
      <c r="AY129" s="142">
        <v>0.31</v>
      </c>
      <c r="AZ129" s="142">
        <v>0.32</v>
      </c>
      <c r="BA129" s="142">
        <v>0.09</v>
      </c>
      <c r="BB129" s="142">
        <v>-0.06</v>
      </c>
      <c r="BC129" s="142">
        <v>0.1</v>
      </c>
      <c r="BD129" s="172"/>
      <c r="BE129" s="142">
        <v>-0.04</v>
      </c>
      <c r="BF129" s="142">
        <v>-0.25</v>
      </c>
      <c r="BG129" s="142">
        <v>-0.27</v>
      </c>
      <c r="BH129" s="142">
        <v>-0.28999999999999998</v>
      </c>
      <c r="BI129" s="142">
        <v>-0.24</v>
      </c>
      <c r="BJ129" s="172"/>
      <c r="BK129" s="142">
        <v>-0.24</v>
      </c>
      <c r="BL129" s="142">
        <v>-0.08</v>
      </c>
      <c r="BM129" s="142">
        <v>-0.1</v>
      </c>
      <c r="BN129" s="142">
        <v>-0.04</v>
      </c>
      <c r="BO129" s="142">
        <v>-0.11</v>
      </c>
      <c r="BP129" s="172"/>
      <c r="BQ129" s="142">
        <v>-0.1</v>
      </c>
      <c r="BR129" s="142">
        <v>0.05</v>
      </c>
      <c r="BS129" s="142">
        <v>0.05</v>
      </c>
      <c r="BT129" s="173">
        <v>7.0000000000000007E-2</v>
      </c>
      <c r="BU129" s="173">
        <v>0.03</v>
      </c>
      <c r="BV129" s="172"/>
      <c r="BW129" s="173">
        <v>0.04</v>
      </c>
      <c r="BX129" s="173">
        <v>0.09</v>
      </c>
      <c r="BY129" s="173">
        <v>0.08</v>
      </c>
      <c r="BZ129" s="173">
        <v>0.2</v>
      </c>
      <c r="CA129" s="173">
        <v>0.12</v>
      </c>
      <c r="CB129" s="172"/>
      <c r="CC129" s="173">
        <v>0.1</v>
      </c>
      <c r="CD129" s="173">
        <v>0.12</v>
      </c>
      <c r="CE129" s="173">
        <v>0.21</v>
      </c>
      <c r="CF129" s="173">
        <v>0.32</v>
      </c>
      <c r="CG129" s="871">
        <v>0.21</v>
      </c>
      <c r="CH129" s="172"/>
      <c r="CI129" s="173">
        <f>((CI76/CI121)*CI84)+((CI91/CI121)*CI99)+((CI106/CI121)*CI114)</f>
        <v>0.26654476670870114</v>
      </c>
      <c r="CJ129" s="173">
        <v>0.1</v>
      </c>
      <c r="CK129" s="173">
        <v>0.23</v>
      </c>
      <c r="CL129" s="173">
        <v>0.13</v>
      </c>
      <c r="CM129" s="871">
        <v>0.16</v>
      </c>
      <c r="CN129" s="172"/>
      <c r="CO129" s="173">
        <v>0.32</v>
      </c>
      <c r="CP129" s="173">
        <v>0.31</v>
      </c>
      <c r="CQ129" s="173">
        <v>0.09</v>
      </c>
      <c r="CR129" s="173">
        <v>0.2</v>
      </c>
      <c r="CS129" s="871">
        <v>0.21</v>
      </c>
      <c r="CT129" s="172"/>
      <c r="CU129" s="173">
        <v>0.1</v>
      </c>
      <c r="CV129" s="173">
        <v>0.05</v>
      </c>
      <c r="CW129" s="173">
        <v>0.03</v>
      </c>
      <c r="CX129" s="173">
        <f>CX125-CX21</f>
        <v>-3.722646310432573E-2</v>
      </c>
      <c r="CY129" s="871">
        <f>CY125-CY21</f>
        <v>7.7578176979374303E-3</v>
      </c>
      <c r="CZ129" s="172"/>
      <c r="DA129" s="173">
        <f>DA125-DA21</f>
        <v>-0.13573367602416442</v>
      </c>
      <c r="DB129" s="173">
        <f>DB125-DB21</f>
        <v>-3.6413348496165177E-2</v>
      </c>
      <c r="DC129" s="173">
        <f>DC125-DC21</f>
        <v>8.3245382585752023E-2</v>
      </c>
      <c r="DD129" s="173">
        <f>DD125-DD21</f>
        <v>0.1313742854883535</v>
      </c>
      <c r="DE129" s="871">
        <f>DE125-DE21</f>
        <v>3.2108408120550713E-2</v>
      </c>
      <c r="DF129" s="1069"/>
      <c r="DG129" s="173">
        <v>0.25</v>
      </c>
      <c r="DH129" s="173">
        <f>DH125-DH21</f>
        <v>0.22981154468640974</v>
      </c>
      <c r="DI129" s="173">
        <f>DI125-DI21</f>
        <v>0.26870779976717118</v>
      </c>
      <c r="DJ129" s="173">
        <f>DJ125-DJ21</f>
        <v>0.1376626044099849</v>
      </c>
      <c r="DK129" s="871">
        <f>DK125-DK21</f>
        <v>0.21774165741466622</v>
      </c>
      <c r="DL129" s="1069"/>
      <c r="DM129" s="173">
        <f>DM125-DM21</f>
        <v>0.10485225505443224</v>
      </c>
      <c r="DN129" s="173">
        <f>DN125-DN21</f>
        <v>1.3227142905512856E-2</v>
      </c>
      <c r="DO129" s="173">
        <f>DO125-DO21</f>
        <v>8.1291725062006659E-2</v>
      </c>
      <c r="DP129" s="173">
        <f>DP125-DP21</f>
        <v>0.10943348284924559</v>
      </c>
      <c r="DQ129" s="858">
        <f>DQ125-DQ21</f>
        <v>7.1466297762089237E-2</v>
      </c>
      <c r="DR129" s="1069"/>
      <c r="DS129" s="857">
        <f>DS125-DS21</f>
        <v>9.8358831228243404E-2</v>
      </c>
      <c r="DT129" s="857">
        <f>DT125-DT21</f>
        <v>0.17867031950141543</v>
      </c>
      <c r="DU129" s="857">
        <f>DU125-DU21</f>
        <v>-5.6771240620456798E-4</v>
      </c>
      <c r="DV129" s="857">
        <f>DV125-DV21</f>
        <v>3.3849827859800286E-2</v>
      </c>
      <c r="DW129" s="858">
        <f>DW125-DW21</f>
        <v>0.11465842616871891</v>
      </c>
      <c r="DX129" s="1069"/>
      <c r="DY129" s="857">
        <f>DY125-DY21</f>
        <v>7.1189282350093475E-2</v>
      </c>
      <c r="DZ129" s="857">
        <f>DZ125-DZ21</f>
        <v>1.5523612371278861E-2</v>
      </c>
      <c r="EA129" s="857">
        <f>EA125-EA21</f>
        <v>0.10368867066163912</v>
      </c>
      <c r="EB129" s="857">
        <f>EB125-EB21</f>
        <v>4.9180327868852514E-2</v>
      </c>
      <c r="EC129" s="858">
        <f>EC125-EC21</f>
        <v>2.9394048305353859E-2</v>
      </c>
      <c r="ED129" s="1069"/>
      <c r="EE129" s="857">
        <f>EE125-EE21</f>
        <v>0.10736237144585604</v>
      </c>
      <c r="EF129" s="857">
        <f>EF125-EF21</f>
        <v>0.11731092436974785</v>
      </c>
      <c r="EG129" s="857">
        <f>EG125-EG21</f>
        <v>4.8587170405352265E-2</v>
      </c>
      <c r="EH129" s="857">
        <f>EH125-EH21</f>
        <v>-4.3293903112230053E-2</v>
      </c>
      <c r="EI129" s="858">
        <f>EI125-EI21</f>
        <v>6.3941871026339178E-3</v>
      </c>
      <c r="EJ129" s="1069"/>
      <c r="EK129" s="857">
        <f>EK125-EK21</f>
        <v>4.4520844612885788E-2</v>
      </c>
      <c r="EL129" s="857">
        <f>EL125-EL21</f>
        <v>-2.8884657698446628E-2</v>
      </c>
      <c r="EM129" s="857">
        <f>EM125-EM21</f>
        <v>3.1899599914640628E-3</v>
      </c>
      <c r="EN129" s="857">
        <f>EN125-EN21</f>
        <v>-1.6350172648030525E-2</v>
      </c>
      <c r="EO129" s="858">
        <f>EO125-EO21</f>
        <v>6.0073994928763752E-4</v>
      </c>
      <c r="EP129" s="1069"/>
      <c r="EQ129" s="857">
        <f>EQ125-EQ21</f>
        <v>0.1569250802621627</v>
      </c>
      <c r="ER129" s="857">
        <f>ER125-ER21</f>
        <v>5.2902708936480712E-2</v>
      </c>
      <c r="ES129" s="857">
        <f>ES125-ES21</f>
        <v>0.107828546519518</v>
      </c>
      <c r="ET129" s="857">
        <f>ET125-ET21</f>
        <v>0.12301774502721841</v>
      </c>
      <c r="EU129" s="858">
        <f>EU125-EU21</f>
        <v>0.1092988870007946</v>
      </c>
      <c r="EV129" s="1069"/>
      <c r="EW129" s="857">
        <f>EW125-EW21</f>
        <v>0.20588467711651343</v>
      </c>
      <c r="EX129" s="857">
        <f>EX125-EX21</f>
        <v>0.1674440941951372</v>
      </c>
      <c r="EY129" s="857">
        <f>EY125-EY21</f>
        <v>6.3114915016763085E-2</v>
      </c>
      <c r="EZ129" s="857">
        <f>EZ125-EZ21</f>
        <v>-4.7708126858274913E-3</v>
      </c>
      <c r="FA129" s="858">
        <f>FA125-FA21</f>
        <v>4.1274475370877389E-2</v>
      </c>
      <c r="FB129" s="1069"/>
      <c r="FC129" s="857">
        <f>FC125-FC21</f>
        <v>0.10085956061838899</v>
      </c>
      <c r="FD129" s="857">
        <f>FD125-FD21</f>
        <v>8.7074626865671703E-2</v>
      </c>
      <c r="FE129" s="857">
        <f>FE125-FE21</f>
        <v>9.9020953024670622E-2</v>
      </c>
      <c r="FF129" s="857">
        <f>FF125-FF21</f>
        <v>5.5918624176242826E-2</v>
      </c>
      <c r="FG129" s="858">
        <f>FG125-FG21</f>
        <v>9.2864807448869602E-2</v>
      </c>
      <c r="FH129" s="1069"/>
      <c r="FI129" s="857">
        <f>FI125-FI21</f>
        <v>0.12715937914170872</v>
      </c>
      <c r="FJ129" s="857">
        <f>FJ125-FJ21</f>
        <v>0.10624219466536</v>
      </c>
      <c r="FK129" s="857">
        <f>FK125-FK21</f>
        <v>0.10318226014485554</v>
      </c>
      <c r="FL129" s="857">
        <f>FL125-FL21</f>
        <v>6.3241167921162189E-2</v>
      </c>
      <c r="FM129" s="858">
        <f>FM125-FM21</f>
        <v>9.5906779022699506E-2</v>
      </c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</row>
    <row r="130" spans="1:274" s="24" customFormat="1" ht="15" customHeight="1" x14ac:dyDescent="0.2">
      <c r="A130" s="19" t="s">
        <v>564</v>
      </c>
      <c r="B130" s="29"/>
      <c r="C130" s="50" t="s">
        <v>945</v>
      </c>
      <c r="D130" s="50" t="s">
        <v>945</v>
      </c>
      <c r="E130" s="50" t="s">
        <v>945</v>
      </c>
      <c r="F130" s="50" t="s">
        <v>945</v>
      </c>
      <c r="G130" s="50" t="s">
        <v>945</v>
      </c>
      <c r="H130" s="50" t="s">
        <v>945</v>
      </c>
      <c r="I130" s="50" t="s">
        <v>945</v>
      </c>
      <c r="J130" s="50" t="s">
        <v>945</v>
      </c>
      <c r="K130" s="50" t="s">
        <v>945</v>
      </c>
      <c r="L130" s="50" t="s">
        <v>945</v>
      </c>
      <c r="M130" s="50" t="s">
        <v>945</v>
      </c>
      <c r="N130" s="342"/>
      <c r="O130" s="50" t="s">
        <v>945</v>
      </c>
      <c r="P130" s="50" t="s">
        <v>945</v>
      </c>
      <c r="Q130" s="50" t="s">
        <v>945</v>
      </c>
      <c r="R130" s="50" t="s">
        <v>945</v>
      </c>
      <c r="S130" s="50" t="s">
        <v>945</v>
      </c>
      <c r="T130" s="342"/>
      <c r="U130" s="50" t="s">
        <v>945</v>
      </c>
      <c r="V130" s="50" t="s">
        <v>945</v>
      </c>
      <c r="W130" s="50" t="s">
        <v>945</v>
      </c>
      <c r="X130" s="50" t="s">
        <v>945</v>
      </c>
      <c r="Y130" s="50" t="s">
        <v>945</v>
      </c>
      <c r="Z130" s="53"/>
      <c r="AA130" s="342"/>
      <c r="AB130" s="342"/>
      <c r="AC130" s="342"/>
      <c r="AD130" s="342"/>
      <c r="AE130" s="342"/>
      <c r="AF130" s="53"/>
      <c r="AG130" s="342"/>
      <c r="AH130" s="342"/>
      <c r="AI130" s="342"/>
      <c r="AJ130" s="342"/>
      <c r="AK130" s="342"/>
      <c r="AL130" s="53"/>
      <c r="AM130" s="342"/>
      <c r="AN130" s="342"/>
      <c r="AO130" s="342"/>
      <c r="AP130" s="342"/>
      <c r="AQ130" s="342"/>
      <c r="AR130" s="53"/>
      <c r="AS130" s="342"/>
      <c r="AT130" s="342"/>
      <c r="AU130" s="342"/>
      <c r="AV130" s="342"/>
      <c r="AW130" s="342"/>
      <c r="AX130" s="53"/>
      <c r="AY130" s="342"/>
      <c r="AZ130" s="342"/>
      <c r="BA130" s="342"/>
      <c r="BB130" s="342"/>
      <c r="BC130" s="342"/>
      <c r="BD130" s="53"/>
      <c r="BE130" s="342"/>
      <c r="BF130" s="342"/>
      <c r="BG130" s="342"/>
      <c r="BH130" s="342"/>
      <c r="BI130" s="342"/>
      <c r="BJ130" s="53"/>
      <c r="BK130" s="342"/>
      <c r="BL130" s="342"/>
      <c r="BM130" s="342"/>
      <c r="BN130" s="342"/>
      <c r="BO130" s="342"/>
      <c r="BP130" s="53"/>
      <c r="BQ130" s="342"/>
      <c r="BR130" s="342"/>
      <c r="BS130" s="342"/>
      <c r="BT130" s="342"/>
      <c r="BU130" s="342"/>
      <c r="BV130" s="53"/>
      <c r="BW130" s="342"/>
      <c r="BX130" s="342"/>
      <c r="BY130" s="342"/>
      <c r="BZ130" s="342"/>
      <c r="CA130" s="342"/>
      <c r="CB130" s="53"/>
      <c r="CC130" s="43">
        <f>CC125-CC129</f>
        <v>-5.3285968028418673E-4</v>
      </c>
      <c r="CD130" s="43">
        <f>CD125-CD129</f>
        <v>-3.8640576725025633E-2</v>
      </c>
      <c r="CE130" s="43">
        <f>CE125-CE129</f>
        <v>-6.0686378035902849E-2</v>
      </c>
      <c r="CF130" s="43">
        <f>CF125-CF129</f>
        <v>-8.6264760720943801E-3</v>
      </c>
      <c r="CG130" s="395">
        <f>CG125-CG129</f>
        <v>-1.992665036674815E-2</v>
      </c>
      <c r="CH130" s="53"/>
      <c r="CI130" s="43">
        <f>CI125-CI129</f>
        <v>1.4553779333302097E-2</v>
      </c>
      <c r="CJ130" s="43">
        <f>CJ125-CJ129</f>
        <v>4.1904761904761972E-2</v>
      </c>
      <c r="CK130" s="43">
        <f>CK125-CK129</f>
        <v>3.9753766997427248E-2</v>
      </c>
      <c r="CL130" s="43">
        <f>CL125-CL129</f>
        <v>3.6824644549762975E-2</v>
      </c>
      <c r="CM130" s="395">
        <f>CM125-CM129</f>
        <v>3.899741134897497E-2</v>
      </c>
      <c r="CN130" s="53"/>
      <c r="CO130" s="43">
        <f>CO125-CO129</f>
        <v>2.9999999999999971E-2</v>
      </c>
      <c r="CP130" s="43">
        <f>CP125-CP129</f>
        <v>7.0000000000000007E-2</v>
      </c>
      <c r="CQ130" s="43">
        <f>CQ125-CQ129</f>
        <v>7.0000000000000007E-2</v>
      </c>
      <c r="CR130" s="43">
        <f>CR125-CR129</f>
        <v>7.0000000000000007E-2</v>
      </c>
      <c r="CS130" s="395">
        <f>CS125-CS129</f>
        <v>7.0000000000000034E-2</v>
      </c>
      <c r="CT130" s="53"/>
      <c r="CU130" s="43">
        <f>CU125-CU129</f>
        <v>3.7994480220791077E-2</v>
      </c>
      <c r="CV130" s="43">
        <f>CV125-CV129</f>
        <v>-7.5539568345323674E-2</v>
      </c>
      <c r="CW130" s="43">
        <f>CW125-CW129</f>
        <v>-9.1881188118811935E-2</v>
      </c>
      <c r="CX130" s="342"/>
      <c r="CY130" s="147"/>
      <c r="CZ130" s="53"/>
      <c r="DA130" s="342"/>
      <c r="DB130" s="342"/>
      <c r="DC130" s="342"/>
      <c r="DD130" s="342"/>
      <c r="DE130" s="147"/>
      <c r="DF130" s="53"/>
      <c r="DG130" s="342"/>
      <c r="DH130" s="342"/>
      <c r="DI130" s="342"/>
      <c r="DJ130" s="342"/>
      <c r="DK130" s="147"/>
      <c r="DL130" s="53"/>
      <c r="DM130" s="342"/>
      <c r="DN130" s="342"/>
      <c r="DO130" s="342"/>
      <c r="DP130" s="342"/>
      <c r="DQ130" s="147"/>
      <c r="DR130" s="53"/>
      <c r="DS130" s="342"/>
      <c r="DT130" s="342"/>
      <c r="DU130" s="342"/>
      <c r="DV130" s="342"/>
      <c r="DW130" s="147"/>
      <c r="DX130" s="53"/>
      <c r="DY130" s="342"/>
      <c r="DZ130" s="342"/>
      <c r="EA130" s="342"/>
      <c r="EB130" s="342"/>
      <c r="EC130" s="147"/>
      <c r="ED130" s="53"/>
      <c r="EE130" s="342"/>
      <c r="EF130" s="342"/>
      <c r="EG130" s="342"/>
      <c r="EH130" s="342"/>
      <c r="EI130" s="147"/>
      <c r="EJ130" s="53"/>
      <c r="EK130" s="342"/>
      <c r="EL130" s="342"/>
      <c r="EM130" s="342"/>
      <c r="EN130" s="342"/>
      <c r="EO130" s="147"/>
      <c r="EP130" s="53"/>
      <c r="EQ130" s="342"/>
      <c r="ER130" s="342"/>
      <c r="ES130" s="342"/>
      <c r="ET130" s="342"/>
      <c r="EU130" s="147"/>
      <c r="EV130" s="53"/>
      <c r="EW130" s="342"/>
      <c r="EX130" s="342"/>
      <c r="EY130" s="342"/>
      <c r="EZ130" s="342"/>
      <c r="FA130" s="147"/>
      <c r="FB130" s="53"/>
      <c r="FC130" s="342"/>
      <c r="FD130" s="342"/>
      <c r="FE130" s="342"/>
      <c r="FF130" s="342"/>
      <c r="FG130" s="147"/>
      <c r="FH130" s="53"/>
      <c r="FI130" s="342"/>
      <c r="FJ130" s="342"/>
      <c r="FK130" s="342"/>
      <c r="FL130" s="342"/>
      <c r="FM130" s="147"/>
      <c r="FO130" s="621"/>
      <c r="FP130" s="621"/>
      <c r="FQ130" s="820"/>
      <c r="FR130" s="820"/>
      <c r="FS130" s="82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</row>
    <row r="131" spans="1:274" s="24" customFormat="1" x14ac:dyDescent="0.2">
      <c r="A131" s="104"/>
      <c r="B131" s="631"/>
      <c r="C131" s="50"/>
      <c r="D131" s="50"/>
      <c r="E131" s="50"/>
      <c r="F131" s="50"/>
      <c r="G131" s="50"/>
      <c r="H131" s="50"/>
      <c r="I131" s="50"/>
      <c r="J131" s="50"/>
      <c r="K131" s="50"/>
      <c r="L131" s="50"/>
      <c r="M131" s="50"/>
      <c r="N131" s="104"/>
      <c r="O131" s="50"/>
      <c r="P131" s="50"/>
      <c r="Q131" s="50"/>
      <c r="R131" s="50"/>
      <c r="S131" s="50"/>
      <c r="T131" s="104"/>
      <c r="U131" s="50"/>
      <c r="V131" s="50"/>
      <c r="W131" s="50"/>
      <c r="X131" s="50"/>
      <c r="Y131" s="50"/>
      <c r="Z131" s="88"/>
      <c r="AA131" s="179"/>
      <c r="AB131" s="179"/>
      <c r="AC131" s="179"/>
      <c r="AD131" s="179"/>
      <c r="AE131" s="179"/>
      <c r="AF131" s="88"/>
      <c r="AG131" s="179"/>
      <c r="AH131" s="179"/>
      <c r="AI131" s="179"/>
      <c r="AJ131" s="179"/>
      <c r="AK131" s="179"/>
      <c r="AL131" s="88"/>
      <c r="AM131" s="179"/>
      <c r="AN131" s="179"/>
      <c r="AO131" s="179"/>
      <c r="AP131" s="179"/>
      <c r="AQ131" s="179"/>
      <c r="AR131" s="88"/>
      <c r="AS131" s="179"/>
      <c r="AT131" s="179"/>
      <c r="AU131" s="179"/>
      <c r="AV131" s="179"/>
      <c r="AW131" s="68"/>
      <c r="AX131" s="88"/>
      <c r="AY131" s="68"/>
      <c r="AZ131" s="68"/>
      <c r="BA131" s="68"/>
      <c r="BB131" s="68"/>
      <c r="BC131" s="68"/>
      <c r="BD131" s="88"/>
      <c r="BE131" s="68"/>
      <c r="BF131" s="68"/>
      <c r="BG131" s="68"/>
      <c r="BH131" s="68"/>
      <c r="BI131" s="68"/>
      <c r="BJ131" s="88"/>
      <c r="BK131" s="68"/>
      <c r="BL131" s="68"/>
      <c r="BM131" s="68"/>
      <c r="BN131" s="68"/>
      <c r="BO131" s="68"/>
      <c r="BP131" s="88"/>
      <c r="BQ131" s="68"/>
      <c r="BR131" s="68"/>
      <c r="BS131" s="68"/>
      <c r="BT131" s="180"/>
      <c r="BU131" s="180"/>
      <c r="BV131" s="88"/>
      <c r="BW131" s="180"/>
      <c r="BX131" s="180"/>
      <c r="BY131" s="180"/>
      <c r="BZ131" s="180"/>
      <c r="CA131" s="180"/>
      <c r="CB131" s="88"/>
      <c r="CC131" s="180"/>
      <c r="CD131" s="180"/>
      <c r="CE131" s="180"/>
      <c r="CF131" s="180"/>
      <c r="CG131" s="181"/>
      <c r="CH131" s="88"/>
      <c r="CI131" s="180"/>
      <c r="CJ131" s="180"/>
      <c r="CK131" s="180"/>
      <c r="CL131" s="180"/>
      <c r="CM131" s="181"/>
      <c r="CN131" s="88"/>
      <c r="CO131" s="180"/>
      <c r="CP131" s="180"/>
      <c r="CQ131" s="182"/>
      <c r="CR131" s="182"/>
      <c r="CS131" s="181"/>
      <c r="CT131" s="88"/>
      <c r="CU131" s="180"/>
      <c r="CV131" s="180"/>
      <c r="CW131" s="180"/>
      <c r="CX131" s="180"/>
      <c r="CY131" s="181"/>
      <c r="CZ131" s="88"/>
      <c r="DA131" s="180"/>
      <c r="DB131" s="180"/>
      <c r="DC131" s="180"/>
      <c r="DD131" s="180"/>
      <c r="DE131" s="181"/>
      <c r="DF131" s="88"/>
      <c r="DG131" s="180"/>
      <c r="DH131" s="180"/>
      <c r="DI131" s="180"/>
      <c r="DJ131" s="180"/>
      <c r="DK131" s="181"/>
      <c r="DL131" s="88"/>
      <c r="DM131" s="180"/>
      <c r="DN131" s="180"/>
      <c r="DO131" s="180"/>
      <c r="DP131" s="180"/>
      <c r="DQ131" s="181"/>
      <c r="DR131" s="88"/>
      <c r="DS131" s="180"/>
      <c r="DT131" s="180"/>
      <c r="DU131" s="180"/>
      <c r="DV131" s="180"/>
      <c r="DW131" s="181"/>
      <c r="DX131" s="88"/>
      <c r="DY131" s="180"/>
      <c r="DZ131" s="180"/>
      <c r="EA131" s="180"/>
      <c r="EB131" s="180"/>
      <c r="EC131" s="181"/>
      <c r="ED131" s="88"/>
      <c r="EE131" s="180"/>
      <c r="EF131" s="180"/>
      <c r="EG131" s="180"/>
      <c r="EH131" s="180"/>
      <c r="EI131" s="181"/>
      <c r="EJ131" s="88"/>
      <c r="EK131" s="180"/>
      <c r="EL131" s="180"/>
      <c r="EM131" s="180"/>
      <c r="EN131" s="180"/>
      <c r="EO131" s="181"/>
      <c r="EP131" s="88"/>
      <c r="EQ131" s="180"/>
      <c r="ER131" s="180"/>
      <c r="ES131" s="180"/>
      <c r="ET131" s="180"/>
      <c r="EU131" s="181"/>
      <c r="EV131" s="88"/>
      <c r="EW131" s="180"/>
      <c r="EX131" s="180"/>
      <c r="EY131" s="180"/>
      <c r="EZ131" s="180"/>
      <c r="FA131" s="181"/>
      <c r="FB131" s="88"/>
      <c r="FC131" s="180"/>
      <c r="FD131" s="180"/>
      <c r="FE131" s="180"/>
      <c r="FF131" s="180"/>
      <c r="FG131" s="181"/>
      <c r="FH131" s="88"/>
      <c r="FI131" s="180"/>
      <c r="FJ131" s="180"/>
      <c r="FK131" s="180"/>
      <c r="FL131" s="180"/>
      <c r="FM131" s="18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</row>
    <row r="132" spans="1:274" s="24" customFormat="1" hidden="1" x14ac:dyDescent="0.2">
      <c r="A132" s="342"/>
      <c r="B132" s="972"/>
      <c r="C132" s="832" t="str">
        <f>C7</f>
        <v>Full Year History Only</v>
      </c>
      <c r="D132" s="832"/>
      <c r="E132" s="832"/>
      <c r="F132" s="832"/>
      <c r="G132" s="832"/>
      <c r="H132" s="832"/>
      <c r="I132" s="832"/>
      <c r="J132" s="832"/>
      <c r="K132" s="832"/>
      <c r="L132" s="832"/>
      <c r="M132" s="832"/>
      <c r="N132" s="353"/>
      <c r="O132" s="832" t="str">
        <f>O7</f>
        <v>F1995</v>
      </c>
      <c r="P132" s="832"/>
      <c r="Q132" s="832"/>
      <c r="R132" s="832"/>
      <c r="S132" s="832"/>
      <c r="T132" s="342"/>
      <c r="U132" s="832" t="str">
        <f>U7</f>
        <v>F1996</v>
      </c>
      <c r="V132" s="832"/>
      <c r="W132" s="832"/>
      <c r="X132" s="832"/>
      <c r="Y132" s="832"/>
      <c r="Z132" s="84"/>
      <c r="AA132" s="832" t="str">
        <f>AA7</f>
        <v>F1997</v>
      </c>
      <c r="AB132" s="832"/>
      <c r="AC132" s="832"/>
      <c r="AD132" s="832"/>
      <c r="AE132" s="832"/>
      <c r="AF132" s="84"/>
      <c r="AG132" s="832" t="str">
        <f>AG7</f>
        <v>F1998</v>
      </c>
      <c r="AH132" s="832"/>
      <c r="AI132" s="832"/>
      <c r="AJ132" s="832"/>
      <c r="AK132" s="832"/>
      <c r="AL132" s="832"/>
      <c r="AM132" s="832" t="str">
        <f>AM7</f>
        <v>F1999</v>
      </c>
      <c r="AN132" s="832"/>
      <c r="AO132" s="832"/>
      <c r="AP132" s="832"/>
      <c r="AQ132" s="832"/>
      <c r="AR132" s="84"/>
      <c r="AS132" s="832" t="str">
        <f>AS7</f>
        <v>F2000</v>
      </c>
      <c r="AT132" s="832"/>
      <c r="AU132" s="832"/>
      <c r="AV132" s="832"/>
      <c r="AW132" s="832"/>
      <c r="AX132" s="84"/>
      <c r="AY132" s="832" t="str">
        <f>AY7</f>
        <v>F2001</v>
      </c>
      <c r="AZ132" s="832"/>
      <c r="BA132" s="832"/>
      <c r="BB132" s="832"/>
      <c r="BC132" s="832"/>
      <c r="BD132" s="84"/>
      <c r="BE132" s="832" t="str">
        <f>BE7</f>
        <v>F2002</v>
      </c>
      <c r="BF132" s="832"/>
      <c r="BG132" s="832"/>
      <c r="BH132" s="832"/>
      <c r="BI132" s="832"/>
      <c r="BJ132" s="84"/>
      <c r="BK132" s="832" t="str">
        <f>BK7</f>
        <v>F2003</v>
      </c>
      <c r="BL132" s="832"/>
      <c r="BM132" s="832"/>
      <c r="BN132" s="832"/>
      <c r="BO132" s="832"/>
      <c r="BP132" s="84"/>
      <c r="BQ132" s="832" t="str">
        <f>BQ7</f>
        <v>F2004</v>
      </c>
      <c r="BR132" s="832"/>
      <c r="BS132" s="832"/>
      <c r="BT132" s="832"/>
      <c r="BU132" s="832"/>
      <c r="BV132" s="84"/>
      <c r="BW132" s="832" t="str">
        <f>BW7</f>
        <v>F2005</v>
      </c>
      <c r="BX132" s="832"/>
      <c r="BY132" s="832"/>
      <c r="BZ132" s="832"/>
      <c r="CA132" s="832"/>
      <c r="CB132" s="84"/>
      <c r="CC132" s="832" t="str">
        <f>CC7</f>
        <v>F2006</v>
      </c>
      <c r="CD132" s="832"/>
      <c r="CE132" s="832"/>
      <c r="CF132" s="832"/>
      <c r="CG132" s="181"/>
      <c r="CH132" s="84"/>
      <c r="CI132" s="832" t="str">
        <f>CI7</f>
        <v>F2007</v>
      </c>
      <c r="CJ132" s="832"/>
      <c r="CK132" s="832"/>
      <c r="CL132" s="832"/>
      <c r="CM132" s="181"/>
      <c r="CN132" s="84"/>
      <c r="CO132" s="832" t="str">
        <f>CO7</f>
        <v>F2008</v>
      </c>
      <c r="CP132" s="832"/>
      <c r="CQ132" s="832"/>
      <c r="CR132" s="832"/>
      <c r="CS132" s="181"/>
      <c r="CT132" s="84"/>
      <c r="CU132" s="832" t="str">
        <f>CU7</f>
        <v>F2009</v>
      </c>
      <c r="CV132" s="832"/>
      <c r="CW132" s="832"/>
      <c r="CX132" s="832"/>
      <c r="CY132" s="181"/>
      <c r="CZ132" s="84"/>
      <c r="DA132" s="832" t="str">
        <f>DA7</f>
        <v>F2010</v>
      </c>
      <c r="DB132" s="832"/>
      <c r="DC132" s="832"/>
      <c r="DD132" s="832"/>
      <c r="DE132" s="181"/>
      <c r="DF132" s="84"/>
      <c r="DG132" s="832" t="str">
        <f>DG7</f>
        <v>F2011</v>
      </c>
      <c r="DH132" s="832"/>
      <c r="DI132" s="832"/>
      <c r="DJ132" s="832"/>
      <c r="DK132" s="181"/>
      <c r="DL132" s="1066"/>
      <c r="DM132" s="878" t="str">
        <f>DM7</f>
        <v>F2012</v>
      </c>
      <c r="DN132" s="832"/>
      <c r="DO132" s="832"/>
      <c r="DP132" s="832"/>
      <c r="DQ132" s="181"/>
      <c r="DR132" s="1066"/>
      <c r="DS132" s="878" t="str">
        <f>DS7</f>
        <v>F2013</v>
      </c>
      <c r="DT132" s="832"/>
      <c r="DU132" s="832"/>
      <c r="DV132" s="832"/>
      <c r="DW132" s="181"/>
      <c r="DX132" s="1066"/>
      <c r="DY132" s="878" t="str">
        <f>DY7</f>
        <v>F2014</v>
      </c>
      <c r="DZ132" s="832"/>
      <c r="EA132" s="832"/>
      <c r="EB132" s="832"/>
      <c r="EC132" s="181"/>
      <c r="ED132" s="1066"/>
      <c r="EE132" s="878" t="str">
        <f>EE7</f>
        <v>F2015</v>
      </c>
      <c r="EF132" s="832"/>
      <c r="EG132" s="832"/>
      <c r="EH132" s="832"/>
      <c r="EI132" s="181"/>
      <c r="EJ132" s="1066"/>
      <c r="EK132" s="878" t="str">
        <f>EK7</f>
        <v>F2016</v>
      </c>
      <c r="EL132" s="832"/>
      <c r="EM132" s="832"/>
      <c r="EN132" s="832"/>
      <c r="EO132" s="181"/>
      <c r="EP132" s="1066"/>
      <c r="EQ132" s="878" t="str">
        <f>EQ7</f>
        <v>F2017</v>
      </c>
      <c r="ER132" s="832"/>
      <c r="ES132" s="832"/>
      <c r="ET132" s="832"/>
      <c r="EU132" s="181"/>
      <c r="EV132" s="1066"/>
      <c r="EW132" s="878" t="str">
        <f>EW7</f>
        <v>F2018E</v>
      </c>
      <c r="EX132" s="832"/>
      <c r="EY132" s="832"/>
      <c r="EZ132" s="832"/>
      <c r="FA132" s="181"/>
      <c r="FB132" s="1066"/>
      <c r="FC132" s="878" t="str">
        <f>FC7</f>
        <v>F2019E</v>
      </c>
      <c r="FD132" s="832"/>
      <c r="FE132" s="832"/>
      <c r="FF132" s="832"/>
      <c r="FG132" s="181"/>
      <c r="FH132" s="1066"/>
      <c r="FI132" s="878">
        <f>FI7</f>
        <v>0</v>
      </c>
      <c r="FJ132" s="832"/>
      <c r="FK132" s="832"/>
      <c r="FL132" s="832"/>
      <c r="FM132" s="181"/>
      <c r="FN132" s="1066"/>
      <c r="FO132" s="621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</row>
    <row r="133" spans="1:274" s="24" customFormat="1" hidden="1" x14ac:dyDescent="0.2">
      <c r="A133" s="406"/>
      <c r="B133" s="972"/>
      <c r="C133" s="836" t="str">
        <f>C8</f>
        <v>FY84</v>
      </c>
      <c r="D133" s="836" t="str">
        <f t="shared" ref="D133:M133" si="301">D8</f>
        <v>FY85</v>
      </c>
      <c r="E133" s="836" t="str">
        <f t="shared" si="301"/>
        <v>FY86</v>
      </c>
      <c r="F133" s="836" t="str">
        <f t="shared" si="301"/>
        <v>FY87</v>
      </c>
      <c r="G133" s="836" t="str">
        <f t="shared" si="301"/>
        <v>FY88</v>
      </c>
      <c r="H133" s="836" t="str">
        <f t="shared" si="301"/>
        <v>FY89</v>
      </c>
      <c r="I133" s="836" t="str">
        <f t="shared" si="301"/>
        <v>FY90</v>
      </c>
      <c r="J133" s="836" t="str">
        <f t="shared" si="301"/>
        <v>FY91</v>
      </c>
      <c r="K133" s="836" t="str">
        <f t="shared" si="301"/>
        <v>FY92</v>
      </c>
      <c r="L133" s="836" t="str">
        <f t="shared" si="301"/>
        <v>FY93</v>
      </c>
      <c r="M133" s="836" t="str">
        <f t="shared" si="301"/>
        <v>FY94</v>
      </c>
      <c r="N133" s="836"/>
      <c r="O133" s="836" t="str">
        <f>O8</f>
        <v xml:space="preserve"> 8/94</v>
      </c>
      <c r="P133" s="836" t="str">
        <f>P8</f>
        <v xml:space="preserve"> 11/94</v>
      </c>
      <c r="Q133" s="836" t="str">
        <f>Q8</f>
        <v xml:space="preserve"> 2/95</v>
      </c>
      <c r="R133" s="836" t="str">
        <f>R8</f>
        <v>5/95</v>
      </c>
      <c r="S133" s="836" t="str">
        <f>S8</f>
        <v>FY95</v>
      </c>
      <c r="T133" s="836"/>
      <c r="U133" s="836" t="str">
        <f>U8</f>
        <v xml:space="preserve"> 8/95</v>
      </c>
      <c r="V133" s="836" t="str">
        <f>V8</f>
        <v xml:space="preserve"> 11/95</v>
      </c>
      <c r="W133" s="836" t="str">
        <f>W8</f>
        <v xml:space="preserve"> 2/96</v>
      </c>
      <c r="X133" s="836" t="str">
        <f>X8</f>
        <v>5/96</v>
      </c>
      <c r="Y133" s="836" t="str">
        <f>Y8</f>
        <v>FY96</v>
      </c>
      <c r="Z133" s="836"/>
      <c r="AA133" s="836" t="str">
        <f>AA8</f>
        <v xml:space="preserve"> 8/96</v>
      </c>
      <c r="AB133" s="836" t="str">
        <f>AB8</f>
        <v xml:space="preserve"> 11/96</v>
      </c>
      <c r="AC133" s="836" t="str">
        <f>AC8</f>
        <v xml:space="preserve"> 2/97</v>
      </c>
      <c r="AD133" s="836" t="str">
        <f>AD8</f>
        <v>5/97</v>
      </c>
      <c r="AE133" s="836" t="str">
        <f>AE8</f>
        <v>FY97</v>
      </c>
      <c r="AF133" s="836"/>
      <c r="AG133" s="836" t="str">
        <f>AG8</f>
        <v xml:space="preserve"> 8/97</v>
      </c>
      <c r="AH133" s="836" t="str">
        <f>AH8</f>
        <v xml:space="preserve"> 11/97</v>
      </c>
      <c r="AI133" s="836" t="str">
        <f>AI8</f>
        <v xml:space="preserve"> 2/98</v>
      </c>
      <c r="AJ133" s="836" t="str">
        <f>AJ8</f>
        <v>5/98</v>
      </c>
      <c r="AK133" s="836" t="str">
        <f>AK8</f>
        <v>FY98</v>
      </c>
      <c r="AL133" s="836"/>
      <c r="AM133" s="836" t="str">
        <f>AM8</f>
        <v xml:space="preserve"> 8/98</v>
      </c>
      <c r="AN133" s="836" t="str">
        <f>AN8</f>
        <v xml:space="preserve"> 11/98</v>
      </c>
      <c r="AO133" s="836" t="str">
        <f>AO8</f>
        <v xml:space="preserve"> 2/99</v>
      </c>
      <c r="AP133" s="836" t="str">
        <f>AP8</f>
        <v>5/99</v>
      </c>
      <c r="AQ133" s="836" t="str">
        <f>AQ8</f>
        <v>FY99</v>
      </c>
      <c r="AR133" s="836"/>
      <c r="AS133" s="836" t="str">
        <f>AS8</f>
        <v xml:space="preserve"> 8/99</v>
      </c>
      <c r="AT133" s="836" t="str">
        <f>AT8</f>
        <v xml:space="preserve"> 11/99</v>
      </c>
      <c r="AU133" s="836" t="str">
        <f>AU8</f>
        <v xml:space="preserve"> 2/00</v>
      </c>
      <c r="AV133" s="836" t="str">
        <f>AV8</f>
        <v>5/00</v>
      </c>
      <c r="AW133" s="836" t="str">
        <f>AW8</f>
        <v>FY00</v>
      </c>
      <c r="AX133" s="836"/>
      <c r="AY133" s="836" t="str">
        <f>AY8</f>
        <v xml:space="preserve"> 8/00</v>
      </c>
      <c r="AZ133" s="836" t="str">
        <f>AZ8</f>
        <v xml:space="preserve"> 11/00</v>
      </c>
      <c r="BA133" s="836" t="str">
        <f>BA8</f>
        <v xml:space="preserve"> 2/01</v>
      </c>
      <c r="BB133" s="836" t="str">
        <f>BB8</f>
        <v>5/01</v>
      </c>
      <c r="BC133" s="836" t="str">
        <f>BC8</f>
        <v>FY01</v>
      </c>
      <c r="BD133" s="836"/>
      <c r="BE133" s="836" t="str">
        <f>BE8</f>
        <v xml:space="preserve"> 8/01</v>
      </c>
      <c r="BF133" s="836" t="str">
        <f>BF8</f>
        <v xml:space="preserve"> 11/01</v>
      </c>
      <c r="BG133" s="836" t="str">
        <f>BG8</f>
        <v xml:space="preserve"> 2/02</v>
      </c>
      <c r="BH133" s="836" t="str">
        <f>BH8</f>
        <v>5/02</v>
      </c>
      <c r="BI133" s="836" t="str">
        <f>BI8</f>
        <v>FY02</v>
      </c>
      <c r="BJ133" s="836"/>
      <c r="BK133" s="836" t="str">
        <f>BK8</f>
        <v xml:space="preserve"> 8/02</v>
      </c>
      <c r="BL133" s="836" t="str">
        <f>BL8</f>
        <v xml:space="preserve"> 11/02</v>
      </c>
      <c r="BM133" s="836" t="str">
        <f>BM8</f>
        <v xml:space="preserve"> 2/03</v>
      </c>
      <c r="BN133" s="836" t="str">
        <f>BN8</f>
        <v>5/03</v>
      </c>
      <c r="BO133" s="836" t="str">
        <f>BO8</f>
        <v>FY03</v>
      </c>
      <c r="BP133" s="836"/>
      <c r="BQ133" s="836" t="str">
        <f>BQ8</f>
        <v xml:space="preserve"> 8/03</v>
      </c>
      <c r="BR133" s="836" t="str">
        <f>BR8</f>
        <v xml:space="preserve"> 11/03</v>
      </c>
      <c r="BS133" s="836" t="str">
        <f>BS8</f>
        <v xml:space="preserve"> 2/04</v>
      </c>
      <c r="BT133" s="836" t="str">
        <f>BT8</f>
        <v>5/04</v>
      </c>
      <c r="BU133" s="836" t="str">
        <f>BU8</f>
        <v>FY04</v>
      </c>
      <c r="BV133" s="836"/>
      <c r="BW133" s="836" t="str">
        <f>BW8</f>
        <v xml:space="preserve"> 8/04</v>
      </c>
      <c r="BX133" s="836" t="str">
        <f>BX8</f>
        <v xml:space="preserve"> 11/04</v>
      </c>
      <c r="BY133" s="836" t="str">
        <f>BY8</f>
        <v xml:space="preserve"> 2/05</v>
      </c>
      <c r="BZ133" s="836" t="str">
        <f>BZ8</f>
        <v>5/05</v>
      </c>
      <c r="CA133" s="836" t="str">
        <f>CA8</f>
        <v>FY05</v>
      </c>
      <c r="CB133" s="836"/>
      <c r="CC133" s="836" t="str">
        <f>CC8</f>
        <v xml:space="preserve"> 8/05</v>
      </c>
      <c r="CD133" s="836" t="str">
        <f>CD8</f>
        <v xml:space="preserve"> 11/05</v>
      </c>
      <c r="CE133" s="836" t="str">
        <f>CE8</f>
        <v xml:space="preserve"> 2/06</v>
      </c>
      <c r="CF133" s="836" t="str">
        <f>CF8</f>
        <v>5/06</v>
      </c>
      <c r="CG133" s="837" t="str">
        <f>CG8</f>
        <v>FY06</v>
      </c>
      <c r="CH133" s="836"/>
      <c r="CI133" s="836" t="str">
        <f>CI8</f>
        <v xml:space="preserve"> 8/06</v>
      </c>
      <c r="CJ133" s="836" t="str">
        <f>CJ8</f>
        <v xml:space="preserve"> 11/06</v>
      </c>
      <c r="CK133" s="836" t="str">
        <f>CK8</f>
        <v xml:space="preserve"> 2/07</v>
      </c>
      <c r="CL133" s="836" t="str">
        <f>CL8</f>
        <v>5/07</v>
      </c>
      <c r="CM133" s="837" t="str">
        <f>CM8</f>
        <v>FY07</v>
      </c>
      <c r="CN133" s="836"/>
      <c r="CO133" s="836" t="str">
        <f>CO8</f>
        <v xml:space="preserve"> 8/07</v>
      </c>
      <c r="CP133" s="836" t="str">
        <f>CP8</f>
        <v xml:space="preserve"> 11/07</v>
      </c>
      <c r="CQ133" s="836" t="str">
        <f>CQ8</f>
        <v xml:space="preserve"> 2/08</v>
      </c>
      <c r="CR133" s="836" t="str">
        <f>CR8</f>
        <v>5/08</v>
      </c>
      <c r="CS133" s="837" t="str">
        <f>CS8</f>
        <v>FY08</v>
      </c>
      <c r="CT133" s="836"/>
      <c r="CU133" s="836" t="str">
        <f>CU8</f>
        <v xml:space="preserve"> 8/08</v>
      </c>
      <c r="CV133" s="836" t="str">
        <f>CV8</f>
        <v xml:space="preserve"> 11/08</v>
      </c>
      <c r="CW133" s="836" t="str">
        <f>CW8</f>
        <v xml:space="preserve"> 2/09</v>
      </c>
      <c r="CX133" s="836" t="str">
        <f>CX8</f>
        <v>5/09</v>
      </c>
      <c r="CY133" s="837" t="str">
        <f>CY8</f>
        <v>FY09</v>
      </c>
      <c r="CZ133" s="836"/>
      <c r="DA133" s="836" t="str">
        <f>DA8</f>
        <v>8/09</v>
      </c>
      <c r="DB133" s="836" t="str">
        <f>DB8</f>
        <v>11/09</v>
      </c>
      <c r="DC133" s="836" t="str">
        <f>DC8</f>
        <v>2/10</v>
      </c>
      <c r="DD133" s="836" t="str">
        <f>DD8</f>
        <v>5/10</v>
      </c>
      <c r="DE133" s="837" t="str">
        <f>DE8</f>
        <v>FY10</v>
      </c>
      <c r="DF133" s="836"/>
      <c r="DG133" s="836" t="str">
        <f>DG8</f>
        <v>8/10</v>
      </c>
      <c r="DH133" s="836" t="str">
        <f>DH8</f>
        <v>11/10</v>
      </c>
      <c r="DI133" s="836" t="str">
        <f>DI8</f>
        <v>2/11</v>
      </c>
      <c r="DJ133" s="836" t="str">
        <f>DJ8</f>
        <v>5/11</v>
      </c>
      <c r="DK133" s="837" t="str">
        <f>DK8</f>
        <v>FY11</v>
      </c>
      <c r="DL133" s="836"/>
      <c r="DM133" s="836" t="str">
        <f>DM8</f>
        <v>8/11</v>
      </c>
      <c r="DN133" s="836" t="str">
        <f>DN8</f>
        <v>11/11</v>
      </c>
      <c r="DO133" s="836" t="str">
        <f>DO8</f>
        <v xml:space="preserve"> 2/12</v>
      </c>
      <c r="DP133" s="836" t="str">
        <f>DP8</f>
        <v>5/12</v>
      </c>
      <c r="DQ133" s="837" t="str">
        <f>DQ8</f>
        <v>FY12</v>
      </c>
      <c r="DR133" s="836"/>
      <c r="DS133" s="836" t="str">
        <f>DS8</f>
        <v>8/12</v>
      </c>
      <c r="DT133" s="836" t="str">
        <f>DT8</f>
        <v>11/12</v>
      </c>
      <c r="DU133" s="836" t="str">
        <f>DU8</f>
        <v xml:space="preserve"> 2/13</v>
      </c>
      <c r="DV133" s="836" t="str">
        <f>DV8</f>
        <v>5/13</v>
      </c>
      <c r="DW133" s="837" t="str">
        <f>DW8</f>
        <v>FY13</v>
      </c>
      <c r="DX133" s="836"/>
      <c r="DY133" s="836" t="str">
        <f>DY8</f>
        <v>8/13</v>
      </c>
      <c r="DZ133" s="836" t="str">
        <f>DZ8</f>
        <v>11/13</v>
      </c>
      <c r="EA133" s="836" t="str">
        <f>EA8</f>
        <v>2/14</v>
      </c>
      <c r="EB133" s="836" t="str">
        <f>EB8</f>
        <v>5/14</v>
      </c>
      <c r="EC133" s="837" t="str">
        <f>EC8</f>
        <v>FY14</v>
      </c>
      <c r="ED133" s="836"/>
      <c r="EE133" s="836" t="str">
        <f>EE8</f>
        <v>8/14</v>
      </c>
      <c r="EF133" s="836" t="str">
        <f>EF8</f>
        <v>11/14</v>
      </c>
      <c r="EG133" s="836" t="str">
        <f>EG8</f>
        <v>2/15</v>
      </c>
      <c r="EH133" s="836" t="str">
        <f>EH8</f>
        <v>5/15</v>
      </c>
      <c r="EI133" s="837" t="str">
        <f>EI8</f>
        <v>FY15</v>
      </c>
      <c r="EJ133" s="836"/>
      <c r="EK133" s="836" t="str">
        <f>EK8</f>
        <v xml:space="preserve"> 8/15</v>
      </c>
      <c r="EL133" s="836" t="str">
        <f>EL8</f>
        <v xml:space="preserve"> 11/15</v>
      </c>
      <c r="EM133" s="836" t="str">
        <f>EM8</f>
        <v>2/16</v>
      </c>
      <c r="EN133" s="836" t="str">
        <f>EN8</f>
        <v>5/16</v>
      </c>
      <c r="EO133" s="837" t="str">
        <f>EO8</f>
        <v>FY16</v>
      </c>
      <c r="EP133" s="836"/>
      <c r="EQ133" s="836" t="str">
        <f>EQ8</f>
        <v xml:space="preserve"> 8/16</v>
      </c>
      <c r="ER133" s="836" t="str">
        <f>ER8</f>
        <v xml:space="preserve"> 11/16</v>
      </c>
      <c r="ES133" s="836" t="str">
        <f>ES8</f>
        <v xml:space="preserve"> 2/17</v>
      </c>
      <c r="ET133" s="836" t="str">
        <f>ET8</f>
        <v>5/17</v>
      </c>
      <c r="EU133" s="837" t="str">
        <f>EU8</f>
        <v>FY17</v>
      </c>
      <c r="EV133" s="836"/>
      <c r="EW133" s="836" t="str">
        <f>EW8</f>
        <v xml:space="preserve"> 8/17</v>
      </c>
      <c r="EX133" s="836" t="str">
        <f>EX8</f>
        <v xml:space="preserve"> 11/17</v>
      </c>
      <c r="EY133" s="836" t="str">
        <f>EY8</f>
        <v xml:space="preserve"> 2/18</v>
      </c>
      <c r="EZ133" s="836" t="str">
        <f>EZ8</f>
        <v>5/18E</v>
      </c>
      <c r="FA133" s="837" t="str">
        <f>FA8</f>
        <v>FY18E</v>
      </c>
      <c r="FB133" s="836"/>
      <c r="FC133" s="836" t="str">
        <f>FC8</f>
        <v xml:space="preserve"> 8/18E</v>
      </c>
      <c r="FD133" s="836" t="str">
        <f>FD8</f>
        <v xml:space="preserve"> 11/18E</v>
      </c>
      <c r="FE133" s="836" t="str">
        <f>FE8</f>
        <v xml:space="preserve"> 2/19E</v>
      </c>
      <c r="FF133" s="836" t="str">
        <f>FF8</f>
        <v>5/19E</v>
      </c>
      <c r="FG133" s="837" t="str">
        <f>FG8</f>
        <v>FY19E</v>
      </c>
      <c r="FH133" s="836"/>
      <c r="FI133" s="836" t="str">
        <f>FI8</f>
        <v xml:space="preserve"> 8/19E</v>
      </c>
      <c r="FJ133" s="836" t="str">
        <f>FJ8</f>
        <v xml:space="preserve"> 11/19E</v>
      </c>
      <c r="FK133" s="836" t="str">
        <f>FK8</f>
        <v xml:space="preserve"> 2/20E</v>
      </c>
      <c r="FL133" s="836" t="str">
        <f>FL8</f>
        <v>5/20E</v>
      </c>
      <c r="FM133" s="837" t="str">
        <f>FM8</f>
        <v>FY20E</v>
      </c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</row>
    <row r="134" spans="1:274" s="24" customFormat="1" hidden="1" x14ac:dyDescent="0.2">
      <c r="A134" s="21" t="s">
        <v>1016</v>
      </c>
      <c r="B134" s="1040"/>
      <c r="C134" s="1040"/>
      <c r="D134" s="1040"/>
      <c r="E134" s="1040"/>
      <c r="F134" s="1040"/>
      <c r="G134" s="1040"/>
      <c r="H134" s="1040"/>
      <c r="I134" s="1040"/>
      <c r="J134" s="1040"/>
      <c r="K134" s="1040"/>
      <c r="L134" s="1040"/>
      <c r="M134" s="1040"/>
      <c r="N134" s="21"/>
      <c r="O134" s="1040"/>
      <c r="P134" s="1040"/>
      <c r="Q134" s="1040"/>
      <c r="R134" s="1040"/>
      <c r="S134" s="1040"/>
      <c r="T134" s="21"/>
      <c r="U134" s="1040"/>
      <c r="V134" s="1040"/>
      <c r="W134" s="1040"/>
      <c r="X134" s="1040"/>
      <c r="Y134" s="1040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21"/>
      <c r="BC134" s="21"/>
      <c r="BD134" s="21"/>
      <c r="BE134" s="21"/>
      <c r="BF134" s="21"/>
      <c r="BG134" s="21"/>
      <c r="BH134" s="21"/>
      <c r="BI134" s="21"/>
      <c r="BJ134" s="21"/>
      <c r="BK134" s="21"/>
      <c r="BL134" s="21"/>
      <c r="BM134" s="21"/>
      <c r="BN134" s="21"/>
      <c r="BO134" s="21"/>
      <c r="BP134" s="21"/>
      <c r="BQ134" s="21"/>
      <c r="BR134" s="21"/>
      <c r="BS134" s="21"/>
      <c r="BT134" s="21"/>
      <c r="BU134" s="21"/>
      <c r="BV134" s="21"/>
      <c r="BW134" s="21"/>
      <c r="BX134" s="21"/>
      <c r="BY134" s="21"/>
      <c r="BZ134" s="21"/>
      <c r="CA134" s="21"/>
      <c r="CB134" s="21"/>
      <c r="CC134" s="21"/>
      <c r="CD134" s="21"/>
      <c r="CE134" s="21"/>
      <c r="CF134" s="21"/>
      <c r="CG134" s="163"/>
      <c r="CH134" s="21"/>
      <c r="CI134" s="21"/>
      <c r="CJ134" s="21"/>
      <c r="CK134" s="21"/>
      <c r="CL134" s="21"/>
      <c r="CM134" s="163"/>
      <c r="CN134" s="21"/>
      <c r="CO134" s="21"/>
      <c r="CP134" s="21"/>
      <c r="CQ134" s="21"/>
      <c r="CR134" s="21"/>
      <c r="CS134" s="163"/>
      <c r="CT134" s="21"/>
      <c r="CU134" s="21"/>
      <c r="CV134" s="21"/>
      <c r="CW134" s="21"/>
      <c r="CX134" s="21"/>
      <c r="CY134" s="163"/>
      <c r="CZ134" s="21"/>
      <c r="DA134" s="21"/>
      <c r="DB134" s="21"/>
      <c r="DC134" s="21"/>
      <c r="DD134" s="21"/>
      <c r="DE134" s="163"/>
      <c r="DF134" s="21"/>
      <c r="DG134" s="21"/>
      <c r="DH134" s="21"/>
      <c r="DI134" s="21"/>
      <c r="DJ134" s="21"/>
      <c r="DK134" s="163"/>
      <c r="DL134" s="21"/>
      <c r="DM134" s="21"/>
      <c r="DN134" s="21"/>
      <c r="DO134" s="21"/>
      <c r="DP134" s="21"/>
      <c r="DQ134" s="163"/>
      <c r="DR134" s="21"/>
      <c r="DS134" s="21"/>
      <c r="DT134" s="21"/>
      <c r="DU134" s="21"/>
      <c r="DV134" s="21"/>
      <c r="DW134" s="163"/>
      <c r="DX134" s="21"/>
      <c r="DY134" s="21"/>
      <c r="DZ134" s="21"/>
      <c r="EA134" s="21"/>
      <c r="EB134" s="21"/>
      <c r="EC134" s="163"/>
      <c r="ED134" s="21"/>
      <c r="EE134" s="21"/>
      <c r="EF134" s="21"/>
      <c r="EG134" s="21"/>
      <c r="EH134" s="21"/>
      <c r="EI134" s="163"/>
      <c r="EJ134" s="21"/>
      <c r="EK134" s="21"/>
      <c r="EL134" s="21"/>
      <c r="EM134" s="21"/>
      <c r="EN134" s="21"/>
      <c r="EO134" s="163"/>
      <c r="EP134" s="21"/>
      <c r="EQ134" s="21"/>
      <c r="ER134" s="21"/>
      <c r="ES134" s="21"/>
      <c r="ET134" s="21"/>
      <c r="EU134" s="163"/>
      <c r="EV134" s="21"/>
      <c r="EW134" s="21"/>
      <c r="EX134" s="21"/>
      <c r="EY134" s="21"/>
      <c r="EZ134" s="21"/>
      <c r="FA134" s="163"/>
      <c r="FB134" s="21"/>
      <c r="FC134" s="21"/>
      <c r="FD134" s="21"/>
      <c r="FE134" s="21"/>
      <c r="FF134" s="21"/>
      <c r="FG134" s="163"/>
      <c r="FH134" s="21"/>
      <c r="FI134" s="21"/>
      <c r="FJ134" s="21"/>
      <c r="FK134" s="21"/>
      <c r="FL134" s="21"/>
      <c r="FM134" s="163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</row>
    <row r="135" spans="1:274" s="24" customFormat="1" hidden="1" x14ac:dyDescent="0.2">
      <c r="A135" s="353" t="s">
        <v>705</v>
      </c>
      <c r="B135" s="1040"/>
      <c r="C135" s="406"/>
      <c r="D135" s="406"/>
      <c r="E135" s="406"/>
      <c r="F135" s="406"/>
      <c r="G135" s="406"/>
      <c r="H135" s="406"/>
      <c r="I135" s="406"/>
      <c r="J135" s="406"/>
      <c r="K135" s="406"/>
      <c r="L135" s="406"/>
      <c r="M135" s="406"/>
      <c r="N135" s="342"/>
      <c r="O135" s="406"/>
      <c r="P135" s="406"/>
      <c r="Q135" s="406"/>
      <c r="R135" s="406"/>
      <c r="S135" s="406"/>
      <c r="T135" s="342"/>
      <c r="U135" s="406"/>
      <c r="V135" s="406"/>
      <c r="W135" s="406"/>
      <c r="X135" s="406"/>
      <c r="Y135" s="406"/>
      <c r="Z135" s="53"/>
      <c r="AA135" s="342"/>
      <c r="AB135" s="342"/>
      <c r="AC135" s="342"/>
      <c r="AD135" s="342"/>
      <c r="AE135" s="342"/>
      <c r="AF135" s="53"/>
      <c r="AG135" s="342"/>
      <c r="AH135" s="342"/>
      <c r="AI135" s="342"/>
      <c r="AJ135" s="342"/>
      <c r="AK135" s="342"/>
      <c r="AL135" s="53"/>
      <c r="AM135" s="342"/>
      <c r="AN135" s="342"/>
      <c r="AO135" s="342"/>
      <c r="AP135" s="342"/>
      <c r="AQ135" s="342"/>
      <c r="AR135" s="53"/>
      <c r="AS135" s="342"/>
      <c r="AT135" s="342"/>
      <c r="AU135" s="342"/>
      <c r="AV135" s="342"/>
      <c r="AW135" s="342"/>
      <c r="AX135" s="53"/>
      <c r="AY135" s="342"/>
      <c r="AZ135" s="342"/>
      <c r="BA135" s="342"/>
      <c r="BB135" s="342"/>
      <c r="BC135" s="342"/>
      <c r="BD135" s="53"/>
      <c r="BE135" s="342"/>
      <c r="BF135" s="342"/>
      <c r="BG135" s="342"/>
      <c r="BH135" s="342"/>
      <c r="BI135" s="342"/>
      <c r="BJ135" s="53"/>
      <c r="BK135" s="342"/>
      <c r="BL135" s="342"/>
      <c r="BM135" s="342"/>
      <c r="BN135" s="342"/>
      <c r="BO135" s="342"/>
      <c r="BP135" s="53"/>
      <c r="BQ135" s="342"/>
      <c r="BR135" s="342"/>
      <c r="BS135" s="342"/>
      <c r="BT135" s="342"/>
      <c r="BU135" s="342"/>
      <c r="BV135" s="53"/>
      <c r="BW135" s="43"/>
      <c r="BX135" s="342"/>
      <c r="BY135" s="342"/>
      <c r="BZ135" s="342"/>
      <c r="CA135" s="342"/>
      <c r="CB135" s="53"/>
      <c r="CC135" s="342"/>
      <c r="CD135" s="342"/>
      <c r="CE135" s="342"/>
      <c r="CF135" s="342"/>
      <c r="CG135" s="147"/>
      <c r="CH135" s="53"/>
      <c r="CI135" s="342"/>
      <c r="CJ135" s="342"/>
      <c r="CK135" s="342"/>
      <c r="CL135" s="342"/>
      <c r="CM135" s="147"/>
      <c r="CN135" s="53"/>
      <c r="CO135" s="342"/>
      <c r="CP135" s="342"/>
      <c r="CQ135" s="342"/>
      <c r="CR135" s="342"/>
      <c r="CS135" s="147"/>
      <c r="CT135" s="53"/>
      <c r="CU135" s="342"/>
      <c r="CV135" s="342"/>
      <c r="CW135" s="342"/>
      <c r="CX135" s="342"/>
      <c r="CY135" s="147"/>
      <c r="CZ135" s="53"/>
      <c r="DA135" s="342"/>
      <c r="DB135" s="342"/>
      <c r="DC135" s="342"/>
      <c r="DD135" s="342"/>
      <c r="DE135" s="147"/>
      <c r="DF135" s="53"/>
      <c r="DG135" s="342"/>
      <c r="DH135" s="342"/>
      <c r="DI135" s="342"/>
      <c r="DJ135" s="342"/>
      <c r="DK135" s="147"/>
      <c r="DL135" s="53"/>
      <c r="DM135" s="342"/>
      <c r="DN135" s="342"/>
      <c r="DO135" s="342"/>
      <c r="DP135" s="342"/>
      <c r="DQ135" s="147"/>
      <c r="DR135" s="53"/>
      <c r="DS135" s="342"/>
      <c r="DT135" s="342"/>
      <c r="DU135" s="342"/>
      <c r="DV135" s="342"/>
      <c r="DW135" s="147"/>
      <c r="DX135" s="53"/>
      <c r="DY135" s="342"/>
      <c r="DZ135" s="342"/>
      <c r="EA135" s="342"/>
      <c r="EB135" s="342"/>
      <c r="EC135" s="147"/>
      <c r="ED135" s="53"/>
      <c r="EE135" s="342"/>
      <c r="EF135" s="342"/>
      <c r="EG135" s="342"/>
      <c r="EH135" s="342"/>
      <c r="EI135" s="147"/>
      <c r="EJ135" s="53"/>
      <c r="EK135" s="342"/>
      <c r="EL135" s="342"/>
      <c r="EM135" s="342"/>
      <c r="EN135" s="342"/>
      <c r="EO135" s="147"/>
      <c r="EP135" s="53"/>
      <c r="EQ135" s="342"/>
      <c r="ER135" s="342"/>
      <c r="ES135" s="342"/>
      <c r="ET135" s="342"/>
      <c r="EU135" s="147"/>
      <c r="EV135" s="53"/>
      <c r="EW135" s="342"/>
      <c r="EX135" s="342"/>
      <c r="EY135" s="342"/>
      <c r="EZ135" s="342"/>
      <c r="FA135" s="147"/>
      <c r="FB135" s="53"/>
      <c r="FC135" s="342"/>
      <c r="FD135" s="342"/>
      <c r="FE135" s="342"/>
      <c r="FF135" s="342"/>
      <c r="FG135" s="147"/>
      <c r="FH135" s="53"/>
      <c r="FI135" s="342"/>
      <c r="FJ135" s="342"/>
      <c r="FK135" s="342"/>
      <c r="FL135" s="342"/>
      <c r="FM135" s="147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</row>
    <row r="136" spans="1:274" s="24" customFormat="1" hidden="1" x14ac:dyDescent="0.2">
      <c r="A136" s="58" t="s">
        <v>706</v>
      </c>
      <c r="B136" s="1040"/>
      <c r="C136" s="406"/>
      <c r="D136" s="406"/>
      <c r="E136" s="406"/>
      <c r="F136" s="406"/>
      <c r="G136" s="406"/>
      <c r="H136" s="406"/>
      <c r="I136" s="406"/>
      <c r="J136" s="406"/>
      <c r="K136" s="406"/>
      <c r="L136" s="406"/>
      <c r="M136" s="406"/>
      <c r="N136" s="342"/>
      <c r="O136" s="406"/>
      <c r="P136" s="406"/>
      <c r="Q136" s="406"/>
      <c r="R136" s="406"/>
      <c r="S136" s="406"/>
      <c r="T136" s="342"/>
      <c r="U136" s="406"/>
      <c r="V136" s="406"/>
      <c r="W136" s="406"/>
      <c r="X136" s="406"/>
      <c r="Y136" s="406"/>
      <c r="Z136" s="53"/>
      <c r="AA136" s="342"/>
      <c r="AB136" s="342"/>
      <c r="AC136" s="342"/>
      <c r="AD136" s="342"/>
      <c r="AE136" s="342"/>
      <c r="AF136" s="53"/>
      <c r="AG136" s="342"/>
      <c r="AH136" s="342"/>
      <c r="AI136" s="342"/>
      <c r="AJ136" s="342"/>
      <c r="AK136" s="342"/>
      <c r="AL136" s="53"/>
      <c r="AM136" s="342"/>
      <c r="AN136" s="342"/>
      <c r="AO136" s="342"/>
      <c r="AP136" s="342"/>
      <c r="AQ136" s="342"/>
      <c r="AR136" s="53"/>
      <c r="AS136" s="342"/>
      <c r="AT136" s="342"/>
      <c r="AU136" s="342"/>
      <c r="AV136" s="342"/>
      <c r="AW136" s="342"/>
      <c r="AX136" s="53"/>
      <c r="AY136" s="342"/>
      <c r="AZ136" s="342"/>
      <c r="BA136" s="342"/>
      <c r="BB136" s="342"/>
      <c r="BC136" s="342"/>
      <c r="BD136" s="53"/>
      <c r="BE136" s="342"/>
      <c r="BF136" s="342"/>
      <c r="BG136" s="342"/>
      <c r="BH136" s="342"/>
      <c r="BI136" s="342"/>
      <c r="BJ136" s="53"/>
      <c r="BK136" s="342"/>
      <c r="BL136" s="342"/>
      <c r="BM136" s="342"/>
      <c r="BN136" s="342"/>
      <c r="BO136" s="342"/>
      <c r="BP136" s="53"/>
      <c r="BQ136" s="342"/>
      <c r="BR136" s="342"/>
      <c r="BS136" s="342"/>
      <c r="BT136" s="342"/>
      <c r="BU136" s="342"/>
      <c r="BV136" s="53"/>
      <c r="BW136" s="342"/>
      <c r="BX136" s="342"/>
      <c r="BY136" s="342"/>
      <c r="BZ136" s="342"/>
      <c r="CA136" s="342"/>
      <c r="CB136" s="53"/>
      <c r="CC136" s="342"/>
      <c r="CD136" s="342"/>
      <c r="CE136" s="342"/>
      <c r="CF136" s="342"/>
      <c r="CG136" s="147"/>
      <c r="CH136" s="53"/>
      <c r="CI136" s="342"/>
      <c r="CJ136" s="342"/>
      <c r="CK136" s="342"/>
      <c r="CL136" s="342"/>
      <c r="CM136" s="147"/>
      <c r="CN136" s="53"/>
      <c r="CO136" s="342"/>
      <c r="CP136" s="342"/>
      <c r="CQ136" s="342"/>
      <c r="CR136" s="342"/>
      <c r="CS136" s="147"/>
      <c r="CT136" s="53"/>
      <c r="CU136" s="342"/>
      <c r="CV136" s="342"/>
      <c r="CW136" s="342"/>
      <c r="CX136" s="342"/>
      <c r="CY136" s="147"/>
      <c r="CZ136" s="53"/>
      <c r="DA136" s="342"/>
      <c r="DB136" s="342"/>
      <c r="DC136" s="342"/>
      <c r="DD136" s="342"/>
      <c r="DE136" s="147"/>
      <c r="DF136" s="53"/>
      <c r="DG136" s="342"/>
      <c r="DH136" s="342"/>
      <c r="DI136" s="342"/>
      <c r="DJ136" s="342"/>
      <c r="DK136" s="147"/>
      <c r="DL136" s="53"/>
      <c r="DM136" s="342"/>
      <c r="DN136" s="342"/>
      <c r="DO136" s="342"/>
      <c r="DP136" s="342"/>
      <c r="DQ136" s="147"/>
      <c r="DR136" s="53"/>
      <c r="DS136" s="342"/>
      <c r="DT136" s="342"/>
      <c r="DU136" s="342"/>
      <c r="DV136" s="342"/>
      <c r="DW136" s="147"/>
      <c r="DX136" s="53"/>
      <c r="DY136" s="342"/>
      <c r="DZ136" s="342"/>
      <c r="EA136" s="342"/>
      <c r="EB136" s="342"/>
      <c r="EC136" s="147"/>
      <c r="ED136" s="53"/>
      <c r="EE136" s="342"/>
      <c r="EF136" s="342"/>
      <c r="EG136" s="342"/>
      <c r="EH136" s="342"/>
      <c r="EI136" s="147"/>
      <c r="EJ136" s="53"/>
      <c r="EK136" s="342"/>
      <c r="EL136" s="342"/>
      <c r="EM136" s="342"/>
      <c r="EN136" s="342"/>
      <c r="EO136" s="147"/>
      <c r="EP136" s="53"/>
      <c r="EQ136" s="342"/>
      <c r="ER136" s="342"/>
      <c r="ES136" s="342"/>
      <c r="ET136" s="342"/>
      <c r="EU136" s="147"/>
      <c r="EV136" s="53"/>
      <c r="EW136" s="342"/>
      <c r="EX136" s="342"/>
      <c r="EY136" s="342"/>
      <c r="EZ136" s="342"/>
      <c r="FA136" s="147"/>
      <c r="FB136" s="53"/>
      <c r="FC136" s="342"/>
      <c r="FD136" s="342"/>
      <c r="FE136" s="342"/>
      <c r="FF136" s="342"/>
      <c r="FG136" s="147"/>
      <c r="FH136" s="53"/>
      <c r="FI136" s="342"/>
      <c r="FJ136" s="342"/>
      <c r="FK136" s="342"/>
      <c r="FL136" s="342"/>
      <c r="FM136" s="147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</row>
    <row r="137" spans="1:274" s="24" customFormat="1" hidden="1" x14ac:dyDescent="0.2">
      <c r="A137" s="244" t="s">
        <v>707</v>
      </c>
      <c r="B137" s="440"/>
      <c r="C137" s="59" t="s">
        <v>945</v>
      </c>
      <c r="D137" s="59" t="s">
        <v>945</v>
      </c>
      <c r="E137" s="59" t="s">
        <v>945</v>
      </c>
      <c r="F137" s="59" t="s">
        <v>945</v>
      </c>
      <c r="G137" s="59" t="s">
        <v>945</v>
      </c>
      <c r="H137" s="59" t="s">
        <v>945</v>
      </c>
      <c r="I137" s="59" t="s">
        <v>945</v>
      </c>
      <c r="J137" s="59" t="s">
        <v>945</v>
      </c>
      <c r="K137" s="59" t="s">
        <v>945</v>
      </c>
      <c r="L137" s="59" t="s">
        <v>945</v>
      </c>
      <c r="M137" s="59" t="s">
        <v>945</v>
      </c>
      <c r="N137" s="244"/>
      <c r="O137" s="59" t="s">
        <v>945</v>
      </c>
      <c r="P137" s="59" t="s">
        <v>945</v>
      </c>
      <c r="Q137" s="59" t="s">
        <v>945</v>
      </c>
      <c r="R137" s="59" t="s">
        <v>945</v>
      </c>
      <c r="S137" s="59" t="s">
        <v>945</v>
      </c>
      <c r="T137" s="244"/>
      <c r="U137" s="59" t="s">
        <v>945</v>
      </c>
      <c r="V137" s="59" t="s">
        <v>945</v>
      </c>
      <c r="W137" s="59" t="s">
        <v>945</v>
      </c>
      <c r="X137" s="59" t="s">
        <v>945</v>
      </c>
      <c r="Y137" s="59" t="s">
        <v>945</v>
      </c>
      <c r="Z137" s="170"/>
      <c r="AA137" s="244">
        <v>50.415999999999997</v>
      </c>
      <c r="AB137" s="244">
        <v>101.41800000000001</v>
      </c>
      <c r="AC137" s="244">
        <v>107.821</v>
      </c>
      <c r="AD137" s="244">
        <v>218.60599999999999</v>
      </c>
      <c r="AE137" s="244">
        <f>SUM(AA137:AD137)</f>
        <v>478.26099999999997</v>
      </c>
      <c r="AF137" s="170"/>
      <c r="AG137" s="244">
        <v>98.429000000000002</v>
      </c>
      <c r="AH137" s="244">
        <v>108.34</v>
      </c>
      <c r="AI137" s="244">
        <v>139.69999999999999</v>
      </c>
      <c r="AJ137" s="244">
        <v>215.81100000000001</v>
      </c>
      <c r="AK137" s="244">
        <f>SUM(AG137:AJ137)</f>
        <v>562.28</v>
      </c>
      <c r="AL137" s="170"/>
      <c r="AM137" s="244">
        <v>98.09</v>
      </c>
      <c r="AN137" s="244">
        <v>128.45099999999999</v>
      </c>
      <c r="AO137" s="244">
        <v>147.351</v>
      </c>
      <c r="AP137" s="244">
        <v>277.14999999999998</v>
      </c>
      <c r="AQ137" s="244">
        <f>SUM(AM137:AP137)</f>
        <v>651.04199999999992</v>
      </c>
      <c r="AR137" s="170"/>
      <c r="AS137" s="244">
        <v>109.143</v>
      </c>
      <c r="AT137" s="244">
        <v>167.81800000000001</v>
      </c>
      <c r="AU137" s="244">
        <v>198.83</v>
      </c>
      <c r="AV137" s="244">
        <v>447.41300000000001</v>
      </c>
      <c r="AW137" s="244">
        <f>SUM(AS137:AV137)</f>
        <v>923.20400000000006</v>
      </c>
      <c r="AX137" s="170"/>
      <c r="AY137" s="244">
        <f>Model!AY42</f>
        <v>155.52600000000001</v>
      </c>
      <c r="AZ137" s="244">
        <f>Model!AZ42</f>
        <v>279.27100000000002</v>
      </c>
      <c r="BA137" s="244">
        <f>Model!BA42</f>
        <v>249.42400000000001</v>
      </c>
      <c r="BB137" s="244">
        <f>Model!BB42</f>
        <v>337.99900000000002</v>
      </c>
      <c r="BC137" s="244">
        <f>SUM(AY137:BB137)</f>
        <v>1022.22</v>
      </c>
      <c r="BD137" s="170"/>
      <c r="BE137" s="244">
        <v>145.93100000000001</v>
      </c>
      <c r="BF137" s="244">
        <v>163.13300000000001</v>
      </c>
      <c r="BG137" s="244">
        <v>147.87299999999999</v>
      </c>
      <c r="BH137" s="244">
        <v>245.708</v>
      </c>
      <c r="BI137" s="244">
        <f>SUM(BE137:BH137)</f>
        <v>702.64499999999998</v>
      </c>
      <c r="BJ137" s="170"/>
      <c r="BK137" s="244">
        <v>111</v>
      </c>
      <c r="BL137" s="244">
        <v>108</v>
      </c>
      <c r="BM137" s="244">
        <v>140</v>
      </c>
      <c r="BN137" s="244">
        <v>246</v>
      </c>
      <c r="BO137" s="244">
        <f>SUM(BK137:BN137)</f>
        <v>605</v>
      </c>
      <c r="BP137" s="170"/>
      <c r="BQ137" s="244">
        <v>107</v>
      </c>
      <c r="BR137" s="244">
        <v>137</v>
      </c>
      <c r="BS137" s="244">
        <v>140</v>
      </c>
      <c r="BT137" s="244">
        <v>231</v>
      </c>
      <c r="BU137" s="244">
        <f>SUM(BQ137:BT137)</f>
        <v>615</v>
      </c>
      <c r="BV137" s="244"/>
      <c r="BW137" s="244">
        <v>69</v>
      </c>
      <c r="BX137" s="244">
        <v>215</v>
      </c>
      <c r="BY137" s="101">
        <v>152</v>
      </c>
      <c r="BZ137" s="101">
        <v>350</v>
      </c>
      <c r="CA137" s="244">
        <f>SUM(BW137:BZ137)</f>
        <v>786</v>
      </c>
      <c r="CB137" s="101"/>
      <c r="CC137" s="101">
        <v>127</v>
      </c>
      <c r="CD137" s="101">
        <v>266</v>
      </c>
      <c r="CE137" s="101">
        <v>269</v>
      </c>
      <c r="CF137" s="101">
        <v>641</v>
      </c>
      <c r="CG137" s="171">
        <f>SUM(CC137:CF137)</f>
        <v>1303</v>
      </c>
      <c r="CH137" s="101"/>
      <c r="CI137" s="101">
        <v>228</v>
      </c>
      <c r="CJ137" s="101">
        <v>340</v>
      </c>
      <c r="CK137" s="101">
        <v>423</v>
      </c>
      <c r="CL137" s="101">
        <v>726</v>
      </c>
      <c r="CM137" s="168">
        <v>1716</v>
      </c>
      <c r="CN137" s="101"/>
      <c r="CO137" s="101">
        <v>376</v>
      </c>
      <c r="CP137" s="101">
        <v>553</v>
      </c>
      <c r="CQ137" s="101">
        <v>451</v>
      </c>
      <c r="CR137" s="101">
        <v>989</v>
      </c>
      <c r="CS137" s="168">
        <f>SUM(CO137:CR137)</f>
        <v>2369</v>
      </c>
      <c r="CT137" s="101"/>
      <c r="CU137" s="101" t="s">
        <v>945</v>
      </c>
      <c r="CV137" s="101" t="s">
        <v>945</v>
      </c>
      <c r="CW137" s="101" t="s">
        <v>945</v>
      </c>
      <c r="CX137" s="101" t="s">
        <v>945</v>
      </c>
      <c r="CY137" s="168" t="s">
        <v>945</v>
      </c>
      <c r="CZ137" s="101"/>
      <c r="DA137" s="101" t="s">
        <v>945</v>
      </c>
      <c r="DB137" s="101" t="s">
        <v>945</v>
      </c>
      <c r="DC137" s="101" t="s">
        <v>945</v>
      </c>
      <c r="DD137" s="101" t="s">
        <v>945</v>
      </c>
      <c r="DE137" s="168" t="s">
        <v>945</v>
      </c>
      <c r="DF137" s="101"/>
      <c r="DG137" s="101" t="s">
        <v>945</v>
      </c>
      <c r="DH137" s="101" t="s">
        <v>945</v>
      </c>
      <c r="DI137" s="101" t="s">
        <v>945</v>
      </c>
      <c r="DJ137" s="101" t="s">
        <v>945</v>
      </c>
      <c r="DK137" s="168" t="s">
        <v>945</v>
      </c>
      <c r="DL137" s="101"/>
      <c r="DM137" s="101" t="s">
        <v>945</v>
      </c>
      <c r="DN137" s="101" t="s">
        <v>945</v>
      </c>
      <c r="DO137" s="101" t="s">
        <v>945</v>
      </c>
      <c r="DP137" s="101" t="s">
        <v>945</v>
      </c>
      <c r="DQ137" s="168" t="s">
        <v>945</v>
      </c>
      <c r="DR137" s="101"/>
      <c r="DS137" s="101" t="s">
        <v>945</v>
      </c>
      <c r="DT137" s="101" t="s">
        <v>945</v>
      </c>
      <c r="DU137" s="101" t="s">
        <v>945</v>
      </c>
      <c r="DV137" s="101" t="s">
        <v>945</v>
      </c>
      <c r="DW137" s="168" t="s">
        <v>945</v>
      </c>
      <c r="DX137" s="101"/>
      <c r="DY137" s="101" t="s">
        <v>945</v>
      </c>
      <c r="DZ137" s="101" t="s">
        <v>945</v>
      </c>
      <c r="EA137" s="101" t="s">
        <v>945</v>
      </c>
      <c r="EB137" s="101" t="s">
        <v>945</v>
      </c>
      <c r="EC137" s="168" t="s">
        <v>945</v>
      </c>
      <c r="ED137" s="101"/>
      <c r="EE137" s="101" t="s">
        <v>945</v>
      </c>
      <c r="EF137" s="101" t="s">
        <v>945</v>
      </c>
      <c r="EG137" s="101" t="s">
        <v>945</v>
      </c>
      <c r="EH137" s="101" t="s">
        <v>945</v>
      </c>
      <c r="EI137" s="168" t="s">
        <v>945</v>
      </c>
      <c r="EJ137" s="101"/>
      <c r="EK137" s="101" t="s">
        <v>945</v>
      </c>
      <c r="EL137" s="101" t="s">
        <v>945</v>
      </c>
      <c r="EM137" s="101" t="s">
        <v>945</v>
      </c>
      <c r="EN137" s="101" t="s">
        <v>945</v>
      </c>
      <c r="EO137" s="168" t="s">
        <v>945</v>
      </c>
      <c r="EP137" s="101"/>
      <c r="EQ137" s="101" t="s">
        <v>945</v>
      </c>
      <c r="ER137" s="101" t="s">
        <v>945</v>
      </c>
      <c r="ES137" s="101" t="s">
        <v>945</v>
      </c>
      <c r="ET137" s="101" t="s">
        <v>945</v>
      </c>
      <c r="EU137" s="168" t="s">
        <v>945</v>
      </c>
      <c r="EV137" s="101"/>
      <c r="EW137" s="101" t="s">
        <v>945</v>
      </c>
      <c r="EX137" s="101" t="s">
        <v>945</v>
      </c>
      <c r="EY137" s="101" t="s">
        <v>945</v>
      </c>
      <c r="EZ137" s="101" t="s">
        <v>945</v>
      </c>
      <c r="FA137" s="168" t="s">
        <v>945</v>
      </c>
      <c r="FB137" s="101"/>
      <c r="FC137" s="101" t="s">
        <v>945</v>
      </c>
      <c r="FD137" s="101" t="s">
        <v>945</v>
      </c>
      <c r="FE137" s="101" t="s">
        <v>945</v>
      </c>
      <c r="FF137" s="101" t="s">
        <v>945</v>
      </c>
      <c r="FG137" s="168" t="s">
        <v>945</v>
      </c>
      <c r="FH137" s="101"/>
      <c r="FI137" s="101" t="s">
        <v>945</v>
      </c>
      <c r="FJ137" s="101" t="s">
        <v>945</v>
      </c>
      <c r="FK137" s="101" t="s">
        <v>945</v>
      </c>
      <c r="FL137" s="101" t="s">
        <v>945</v>
      </c>
      <c r="FM137" s="168" t="s">
        <v>945</v>
      </c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</row>
    <row r="138" spans="1:274" s="24" customFormat="1" hidden="1" x14ac:dyDescent="0.2">
      <c r="A138" s="244" t="s">
        <v>470</v>
      </c>
      <c r="B138" s="326"/>
      <c r="C138" s="59" t="s">
        <v>945</v>
      </c>
      <c r="D138" s="59" t="s">
        <v>945</v>
      </c>
      <c r="E138" s="59" t="s">
        <v>945</v>
      </c>
      <c r="F138" s="59" t="s">
        <v>945</v>
      </c>
      <c r="G138" s="59" t="s">
        <v>945</v>
      </c>
      <c r="H138" s="59" t="s">
        <v>945</v>
      </c>
      <c r="I138" s="59" t="s">
        <v>945</v>
      </c>
      <c r="J138" s="59" t="s">
        <v>945</v>
      </c>
      <c r="K138" s="59" t="s">
        <v>945</v>
      </c>
      <c r="L138" s="59" t="s">
        <v>945</v>
      </c>
      <c r="M138" s="59" t="s">
        <v>945</v>
      </c>
      <c r="N138" s="244"/>
      <c r="O138" s="59" t="s">
        <v>945</v>
      </c>
      <c r="P138" s="59" t="s">
        <v>945</v>
      </c>
      <c r="Q138" s="59" t="s">
        <v>945</v>
      </c>
      <c r="R138" s="59" t="s">
        <v>945</v>
      </c>
      <c r="S138" s="59" t="s">
        <v>945</v>
      </c>
      <c r="T138" s="244"/>
      <c r="U138" s="59" t="s">
        <v>945</v>
      </c>
      <c r="V138" s="59" t="s">
        <v>945</v>
      </c>
      <c r="W138" s="59" t="s">
        <v>945</v>
      </c>
      <c r="X138" s="59" t="s">
        <v>945</v>
      </c>
      <c r="Y138" s="59" t="s">
        <v>945</v>
      </c>
      <c r="Z138" s="170"/>
      <c r="AA138" s="59" t="s">
        <v>945</v>
      </c>
      <c r="AB138" s="59" t="s">
        <v>945</v>
      </c>
      <c r="AC138" s="59" t="s">
        <v>945</v>
      </c>
      <c r="AD138" s="59" t="s">
        <v>945</v>
      </c>
      <c r="AE138" s="59" t="s">
        <v>945</v>
      </c>
      <c r="AF138" s="170"/>
      <c r="AG138" s="59" t="s">
        <v>945</v>
      </c>
      <c r="AH138" s="59" t="s">
        <v>945</v>
      </c>
      <c r="AI138" s="59" t="s">
        <v>945</v>
      </c>
      <c r="AJ138" s="59" t="s">
        <v>945</v>
      </c>
      <c r="AK138" s="59" t="s">
        <v>945</v>
      </c>
      <c r="AL138" s="170"/>
      <c r="AM138" s="59" t="s">
        <v>945</v>
      </c>
      <c r="AN138" s="59" t="s">
        <v>945</v>
      </c>
      <c r="AO138" s="59" t="s">
        <v>945</v>
      </c>
      <c r="AP138" s="59" t="s">
        <v>945</v>
      </c>
      <c r="AQ138" s="59" t="s">
        <v>945</v>
      </c>
      <c r="AR138" s="170"/>
      <c r="AS138" s="59" t="s">
        <v>945</v>
      </c>
      <c r="AT138" s="59" t="s">
        <v>945</v>
      </c>
      <c r="AU138" s="59" t="s">
        <v>945</v>
      </c>
      <c r="AV138" s="59" t="s">
        <v>945</v>
      </c>
      <c r="AW138" s="59" t="s">
        <v>945</v>
      </c>
      <c r="AX138" s="170"/>
      <c r="AY138" s="244">
        <f>BE138/(1+BE143)</f>
        <v>155.71491228070172</v>
      </c>
      <c r="AZ138" s="244">
        <f>BF138/(1+BF143)</f>
        <v>162.64473684210523</v>
      </c>
      <c r="BA138" s="244">
        <f>BG138/(1+BG143)</f>
        <v>169.28518518518518</v>
      </c>
      <c r="BB138" s="244">
        <f>BH138/(1+BH143)</f>
        <v>175.74210526315787</v>
      </c>
      <c r="BC138" s="244">
        <f>BI138/(1+BI143)</f>
        <v>666.1642857142856</v>
      </c>
      <c r="BD138" s="170"/>
      <c r="BE138" s="244">
        <v>177.51499999999999</v>
      </c>
      <c r="BF138" s="244">
        <v>185.41499999999999</v>
      </c>
      <c r="BG138" s="244">
        <v>182.828</v>
      </c>
      <c r="BH138" s="244">
        <v>200.346</v>
      </c>
      <c r="BI138" s="244">
        <f>SUM(BE138:BH138)</f>
        <v>746.10399999999993</v>
      </c>
      <c r="BJ138" s="170"/>
      <c r="BK138" s="244">
        <v>190</v>
      </c>
      <c r="BL138" s="244">
        <v>202</v>
      </c>
      <c r="BM138" s="244">
        <v>217</v>
      </c>
      <c r="BN138" s="244">
        <v>233</v>
      </c>
      <c r="BO138" s="244">
        <f>SUM(BK138:BN138)</f>
        <v>842</v>
      </c>
      <c r="BP138" s="170"/>
      <c r="BQ138" s="244">
        <v>221</v>
      </c>
      <c r="BR138" s="244">
        <v>238</v>
      </c>
      <c r="BS138" s="244">
        <v>237</v>
      </c>
      <c r="BT138" s="244">
        <v>239</v>
      </c>
      <c r="BU138" s="244">
        <f>SUM(BQ138:BT138)</f>
        <v>935</v>
      </c>
      <c r="BV138" s="244"/>
      <c r="BW138" s="244">
        <v>238</v>
      </c>
      <c r="BX138" s="244">
        <v>254</v>
      </c>
      <c r="BY138" s="101">
        <f>351+Model!BY97</f>
        <v>494</v>
      </c>
      <c r="BZ138" s="101">
        <v>622</v>
      </c>
      <c r="CA138" s="244">
        <f>SUM(BW138:BZ138)</f>
        <v>1608</v>
      </c>
      <c r="CB138" s="101"/>
      <c r="CC138" s="101">
        <v>605</v>
      </c>
      <c r="CD138" s="101">
        <v>604</v>
      </c>
      <c r="CE138" s="101">
        <f>608+65</f>
        <v>673</v>
      </c>
      <c r="CF138" s="101">
        <f>676+86</f>
        <v>762</v>
      </c>
      <c r="CG138" s="171">
        <f>SUM(CC138:CF138)</f>
        <v>2644</v>
      </c>
      <c r="CH138" s="101"/>
      <c r="CI138" s="101">
        <f>703+70</f>
        <v>773</v>
      </c>
      <c r="CJ138" s="101">
        <f>728+53</f>
        <v>781</v>
      </c>
      <c r="CK138" s="101">
        <f>769+35</f>
        <v>804</v>
      </c>
      <c r="CL138" s="101">
        <v>832</v>
      </c>
      <c r="CM138" s="168">
        <v>3032</v>
      </c>
      <c r="CN138" s="101"/>
      <c r="CO138" s="101">
        <v>886</v>
      </c>
      <c r="CP138" s="101">
        <v>929</v>
      </c>
      <c r="CQ138" s="101">
        <v>974</v>
      </c>
      <c r="CR138" s="101">
        <v>1044</v>
      </c>
      <c r="CS138" s="168">
        <f>SUM(CO138:CR138)</f>
        <v>3833</v>
      </c>
      <c r="CT138" s="101"/>
      <c r="CU138" s="101" t="s">
        <v>945</v>
      </c>
      <c r="CV138" s="101" t="s">
        <v>945</v>
      </c>
      <c r="CW138" s="101" t="s">
        <v>945</v>
      </c>
      <c r="CX138" s="101" t="s">
        <v>945</v>
      </c>
      <c r="CY138" s="168" t="s">
        <v>945</v>
      </c>
      <c r="CZ138" s="101"/>
      <c r="DA138" s="101" t="s">
        <v>945</v>
      </c>
      <c r="DB138" s="101" t="s">
        <v>945</v>
      </c>
      <c r="DC138" s="101" t="s">
        <v>945</v>
      </c>
      <c r="DD138" s="101" t="s">
        <v>945</v>
      </c>
      <c r="DE138" s="168" t="s">
        <v>945</v>
      </c>
      <c r="DF138" s="101"/>
      <c r="DG138" s="101" t="s">
        <v>945</v>
      </c>
      <c r="DH138" s="101" t="s">
        <v>945</v>
      </c>
      <c r="DI138" s="101" t="s">
        <v>945</v>
      </c>
      <c r="DJ138" s="101" t="s">
        <v>945</v>
      </c>
      <c r="DK138" s="168" t="s">
        <v>945</v>
      </c>
      <c r="DL138" s="101"/>
      <c r="DM138" s="101" t="s">
        <v>945</v>
      </c>
      <c r="DN138" s="101" t="s">
        <v>945</v>
      </c>
      <c r="DO138" s="101" t="s">
        <v>945</v>
      </c>
      <c r="DP138" s="101" t="s">
        <v>945</v>
      </c>
      <c r="DQ138" s="168" t="s">
        <v>945</v>
      </c>
      <c r="DR138" s="101"/>
      <c r="DS138" s="101" t="s">
        <v>945</v>
      </c>
      <c r="DT138" s="101" t="s">
        <v>945</v>
      </c>
      <c r="DU138" s="101" t="s">
        <v>945</v>
      </c>
      <c r="DV138" s="101" t="s">
        <v>945</v>
      </c>
      <c r="DW138" s="168" t="s">
        <v>945</v>
      </c>
      <c r="DX138" s="101"/>
      <c r="DY138" s="101" t="s">
        <v>945</v>
      </c>
      <c r="DZ138" s="101" t="s">
        <v>945</v>
      </c>
      <c r="EA138" s="101" t="s">
        <v>945</v>
      </c>
      <c r="EB138" s="101" t="s">
        <v>945</v>
      </c>
      <c r="EC138" s="168" t="s">
        <v>945</v>
      </c>
      <c r="ED138" s="101"/>
      <c r="EE138" s="101" t="s">
        <v>945</v>
      </c>
      <c r="EF138" s="101" t="s">
        <v>945</v>
      </c>
      <c r="EG138" s="101" t="s">
        <v>945</v>
      </c>
      <c r="EH138" s="101" t="s">
        <v>945</v>
      </c>
      <c r="EI138" s="168" t="s">
        <v>945</v>
      </c>
      <c r="EJ138" s="101"/>
      <c r="EK138" s="101" t="s">
        <v>945</v>
      </c>
      <c r="EL138" s="101" t="s">
        <v>945</v>
      </c>
      <c r="EM138" s="101" t="s">
        <v>945</v>
      </c>
      <c r="EN138" s="101" t="s">
        <v>945</v>
      </c>
      <c r="EO138" s="168" t="s">
        <v>945</v>
      </c>
      <c r="EP138" s="101"/>
      <c r="EQ138" s="101" t="s">
        <v>945</v>
      </c>
      <c r="ER138" s="101" t="s">
        <v>945</v>
      </c>
      <c r="ES138" s="101" t="s">
        <v>945</v>
      </c>
      <c r="ET138" s="101" t="s">
        <v>945</v>
      </c>
      <c r="EU138" s="168" t="s">
        <v>945</v>
      </c>
      <c r="EV138" s="101"/>
      <c r="EW138" s="101" t="s">
        <v>945</v>
      </c>
      <c r="EX138" s="101" t="s">
        <v>945</v>
      </c>
      <c r="EY138" s="101" t="s">
        <v>945</v>
      </c>
      <c r="EZ138" s="101" t="s">
        <v>945</v>
      </c>
      <c r="FA138" s="168" t="s">
        <v>945</v>
      </c>
      <c r="FB138" s="101"/>
      <c r="FC138" s="101" t="s">
        <v>945</v>
      </c>
      <c r="FD138" s="101" t="s">
        <v>945</v>
      </c>
      <c r="FE138" s="101" t="s">
        <v>945</v>
      </c>
      <c r="FF138" s="101" t="s">
        <v>945</v>
      </c>
      <c r="FG138" s="168" t="s">
        <v>945</v>
      </c>
      <c r="FH138" s="101"/>
      <c r="FI138" s="101" t="s">
        <v>945</v>
      </c>
      <c r="FJ138" s="101" t="s">
        <v>945</v>
      </c>
      <c r="FK138" s="101" t="s">
        <v>945</v>
      </c>
      <c r="FL138" s="101" t="s">
        <v>945</v>
      </c>
      <c r="FM138" s="168" t="s">
        <v>945</v>
      </c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</row>
    <row r="139" spans="1:274" s="24" customFormat="1" hidden="1" x14ac:dyDescent="0.2">
      <c r="A139" s="244" t="s">
        <v>471</v>
      </c>
      <c r="B139" s="440"/>
      <c r="C139" s="59" t="s">
        <v>945</v>
      </c>
      <c r="D139" s="59" t="s">
        <v>945</v>
      </c>
      <c r="E139" s="59" t="s">
        <v>945</v>
      </c>
      <c r="F139" s="59" t="s">
        <v>945</v>
      </c>
      <c r="G139" s="59" t="s">
        <v>945</v>
      </c>
      <c r="H139" s="59" t="s">
        <v>945</v>
      </c>
      <c r="I139" s="59" t="s">
        <v>945</v>
      </c>
      <c r="J139" s="59" t="s">
        <v>945</v>
      </c>
      <c r="K139" s="59" t="s">
        <v>945</v>
      </c>
      <c r="L139" s="59" t="s">
        <v>945</v>
      </c>
      <c r="M139" s="59" t="s">
        <v>945</v>
      </c>
      <c r="N139" s="244"/>
      <c r="O139" s="59" t="s">
        <v>945</v>
      </c>
      <c r="P139" s="59" t="s">
        <v>945</v>
      </c>
      <c r="Q139" s="59" t="s">
        <v>945</v>
      </c>
      <c r="R139" s="59" t="s">
        <v>945</v>
      </c>
      <c r="S139" s="59" t="s">
        <v>945</v>
      </c>
      <c r="T139" s="244"/>
      <c r="U139" s="59" t="s">
        <v>945</v>
      </c>
      <c r="V139" s="59" t="s">
        <v>945</v>
      </c>
      <c r="W139" s="59" t="s">
        <v>945</v>
      </c>
      <c r="X139" s="59" t="s">
        <v>945</v>
      </c>
      <c r="Y139" s="59" t="s">
        <v>945</v>
      </c>
      <c r="Z139" s="170"/>
      <c r="AA139" s="59" t="s">
        <v>945</v>
      </c>
      <c r="AB139" s="59" t="s">
        <v>945</v>
      </c>
      <c r="AC139" s="59" t="s">
        <v>945</v>
      </c>
      <c r="AD139" s="59" t="s">
        <v>945</v>
      </c>
      <c r="AE139" s="59" t="s">
        <v>945</v>
      </c>
      <c r="AF139" s="170"/>
      <c r="AG139" s="61">
        <v>250.52099999999999</v>
      </c>
      <c r="AH139" s="61">
        <v>320.93799999999999</v>
      </c>
      <c r="AI139" s="61">
        <v>306.28899999999999</v>
      </c>
      <c r="AJ139" s="61">
        <v>401.06200000000001</v>
      </c>
      <c r="AK139" s="61">
        <f>SUM(AG139:AJ139)</f>
        <v>1278.81</v>
      </c>
      <c r="AL139" s="170"/>
      <c r="AM139" s="61">
        <v>396.51499999999999</v>
      </c>
      <c r="AN139" s="61">
        <v>449.56</v>
      </c>
      <c r="AO139" s="61">
        <v>436.64699999999999</v>
      </c>
      <c r="AP139" s="61">
        <v>488.83199999999999</v>
      </c>
      <c r="AQ139" s="61">
        <f>SUM(AM139:AP139)</f>
        <v>1771.5540000000001</v>
      </c>
      <c r="AR139" s="170"/>
      <c r="AS139" s="61">
        <v>438.85</v>
      </c>
      <c r="AT139" s="61">
        <v>459.976</v>
      </c>
      <c r="AU139" s="61">
        <v>397.53800000000001</v>
      </c>
      <c r="AV139" s="61">
        <v>472.67200000000003</v>
      </c>
      <c r="AW139" s="61">
        <f>SUM(AS139:AV139)</f>
        <v>1769.0360000000001</v>
      </c>
      <c r="AX139" s="170"/>
      <c r="AY139" s="244">
        <f>AY140-AY138-AY137</f>
        <v>230.85808771929834</v>
      </c>
      <c r="AZ139" s="244">
        <f>AZ140-AZ138-AZ137</f>
        <v>348.42926315789481</v>
      </c>
      <c r="BA139" s="244">
        <f>BA140-BA138-BA137</f>
        <v>312.41881481481505</v>
      </c>
      <c r="BB139" s="244">
        <f>BB140-BB138-BB137</f>
        <v>337.1908947368421</v>
      </c>
      <c r="BC139" s="244">
        <f>SUM(AY139:BB139)</f>
        <v>1228.8970604288502</v>
      </c>
      <c r="BD139" s="170"/>
      <c r="BE139" s="244">
        <v>315.93799999999999</v>
      </c>
      <c r="BF139" s="244">
        <v>317.041</v>
      </c>
      <c r="BG139" s="244">
        <v>294.642</v>
      </c>
      <c r="BH139" s="244">
        <v>330.47699999999998</v>
      </c>
      <c r="BI139" s="244">
        <f>SUM(BE139:BH139)</f>
        <v>1258.098</v>
      </c>
      <c r="BJ139" s="170"/>
      <c r="BK139" s="244">
        <v>265</v>
      </c>
      <c r="BL139" s="244">
        <v>280</v>
      </c>
      <c r="BM139" s="244">
        <v>253</v>
      </c>
      <c r="BN139" s="244">
        <v>250</v>
      </c>
      <c r="BO139" s="244">
        <f>SUM(BK139:BN139)</f>
        <v>1048</v>
      </c>
      <c r="BP139" s="170"/>
      <c r="BQ139" s="244">
        <v>216</v>
      </c>
      <c r="BR139" s="244">
        <v>212</v>
      </c>
      <c r="BS139" s="244">
        <v>203</v>
      </c>
      <c r="BT139" s="244">
        <v>233</v>
      </c>
      <c r="BU139" s="244">
        <f>SUM(BQ139:BT139)</f>
        <v>864</v>
      </c>
      <c r="BV139" s="244"/>
      <c r="BW139" s="244">
        <v>190</v>
      </c>
      <c r="BX139" s="244">
        <v>216</v>
      </c>
      <c r="BY139" s="101">
        <v>348</v>
      </c>
      <c r="BZ139" s="101">
        <v>435</v>
      </c>
      <c r="CA139" s="244">
        <f>SUM(BW139:BZ139)</f>
        <v>1189</v>
      </c>
      <c r="CB139" s="101"/>
      <c r="CC139" s="101">
        <v>379</v>
      </c>
      <c r="CD139" s="101">
        <v>412</v>
      </c>
      <c r="CE139" s="101" t="s">
        <v>945</v>
      </c>
      <c r="CF139" s="101" t="s">
        <v>945</v>
      </c>
      <c r="CG139" s="171"/>
      <c r="CH139" s="101"/>
      <c r="CI139" s="101" t="s">
        <v>945</v>
      </c>
      <c r="CJ139" s="101" t="s">
        <v>945</v>
      </c>
      <c r="CK139" s="101" t="s">
        <v>945</v>
      </c>
      <c r="CL139" s="101" t="s">
        <v>945</v>
      </c>
      <c r="CM139" s="168" t="s">
        <v>945</v>
      </c>
      <c r="CN139" s="101"/>
      <c r="CO139" s="101" t="s">
        <v>945</v>
      </c>
      <c r="CP139" s="101" t="s">
        <v>945</v>
      </c>
      <c r="CQ139" s="101" t="s">
        <v>945</v>
      </c>
      <c r="CR139" s="101" t="s">
        <v>945</v>
      </c>
      <c r="CS139" s="168"/>
      <c r="CT139" s="101"/>
      <c r="CU139" s="101" t="s">
        <v>945</v>
      </c>
      <c r="CV139" s="101" t="s">
        <v>945</v>
      </c>
      <c r="CW139" s="101" t="s">
        <v>945</v>
      </c>
      <c r="CX139" s="101" t="s">
        <v>945</v>
      </c>
      <c r="CY139" s="168" t="s">
        <v>945</v>
      </c>
      <c r="CZ139" s="101"/>
      <c r="DA139" s="101" t="s">
        <v>945</v>
      </c>
      <c r="DB139" s="101" t="s">
        <v>945</v>
      </c>
      <c r="DC139" s="101" t="s">
        <v>945</v>
      </c>
      <c r="DD139" s="101" t="s">
        <v>945</v>
      </c>
      <c r="DE139" s="168" t="s">
        <v>945</v>
      </c>
      <c r="DF139" s="101"/>
      <c r="DG139" s="101" t="s">
        <v>945</v>
      </c>
      <c r="DH139" s="101" t="s">
        <v>945</v>
      </c>
      <c r="DI139" s="101" t="s">
        <v>945</v>
      </c>
      <c r="DJ139" s="101" t="s">
        <v>945</v>
      </c>
      <c r="DK139" s="168" t="s">
        <v>945</v>
      </c>
      <c r="DL139" s="101"/>
      <c r="DM139" s="101" t="s">
        <v>945</v>
      </c>
      <c r="DN139" s="101" t="s">
        <v>945</v>
      </c>
      <c r="DO139" s="101" t="s">
        <v>945</v>
      </c>
      <c r="DP139" s="101" t="s">
        <v>945</v>
      </c>
      <c r="DQ139" s="168" t="s">
        <v>945</v>
      </c>
      <c r="DR139" s="101"/>
      <c r="DS139" s="101" t="s">
        <v>945</v>
      </c>
      <c r="DT139" s="101" t="s">
        <v>945</v>
      </c>
      <c r="DU139" s="101" t="s">
        <v>945</v>
      </c>
      <c r="DV139" s="101" t="s">
        <v>945</v>
      </c>
      <c r="DW139" s="168" t="s">
        <v>945</v>
      </c>
      <c r="DX139" s="101"/>
      <c r="DY139" s="101" t="s">
        <v>945</v>
      </c>
      <c r="DZ139" s="101" t="s">
        <v>945</v>
      </c>
      <c r="EA139" s="101" t="s">
        <v>945</v>
      </c>
      <c r="EB139" s="101" t="s">
        <v>945</v>
      </c>
      <c r="EC139" s="168" t="s">
        <v>945</v>
      </c>
      <c r="ED139" s="101"/>
      <c r="EE139" s="101" t="s">
        <v>945</v>
      </c>
      <c r="EF139" s="101" t="s">
        <v>945</v>
      </c>
      <c r="EG139" s="101" t="s">
        <v>945</v>
      </c>
      <c r="EH139" s="101" t="s">
        <v>945</v>
      </c>
      <c r="EI139" s="168" t="s">
        <v>945</v>
      </c>
      <c r="EJ139" s="101"/>
      <c r="EK139" s="101" t="s">
        <v>945</v>
      </c>
      <c r="EL139" s="101" t="s">
        <v>945</v>
      </c>
      <c r="EM139" s="101" t="s">
        <v>945</v>
      </c>
      <c r="EN139" s="101" t="s">
        <v>945</v>
      </c>
      <c r="EO139" s="168" t="s">
        <v>945</v>
      </c>
      <c r="EP139" s="101"/>
      <c r="EQ139" s="101" t="s">
        <v>945</v>
      </c>
      <c r="ER139" s="101" t="s">
        <v>945</v>
      </c>
      <c r="ES139" s="101" t="s">
        <v>945</v>
      </c>
      <c r="ET139" s="101" t="s">
        <v>945</v>
      </c>
      <c r="EU139" s="168" t="s">
        <v>945</v>
      </c>
      <c r="EV139" s="101"/>
      <c r="EW139" s="101" t="s">
        <v>945</v>
      </c>
      <c r="EX139" s="101" t="s">
        <v>945</v>
      </c>
      <c r="EY139" s="101" t="s">
        <v>945</v>
      </c>
      <c r="EZ139" s="101" t="s">
        <v>945</v>
      </c>
      <c r="FA139" s="168" t="s">
        <v>945</v>
      </c>
      <c r="FB139" s="101"/>
      <c r="FC139" s="101" t="s">
        <v>945</v>
      </c>
      <c r="FD139" s="101" t="s">
        <v>945</v>
      </c>
      <c r="FE139" s="101" t="s">
        <v>945</v>
      </c>
      <c r="FF139" s="101" t="s">
        <v>945</v>
      </c>
      <c r="FG139" s="168" t="s">
        <v>945</v>
      </c>
      <c r="FH139" s="101"/>
      <c r="FI139" s="101" t="s">
        <v>945</v>
      </c>
      <c r="FJ139" s="101" t="s">
        <v>945</v>
      </c>
      <c r="FK139" s="101" t="s">
        <v>945</v>
      </c>
      <c r="FL139" s="101" t="s">
        <v>945</v>
      </c>
      <c r="FM139" s="168" t="s">
        <v>945</v>
      </c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</row>
    <row r="140" spans="1:274" s="24" customFormat="1" hidden="1" x14ac:dyDescent="0.2">
      <c r="A140" s="244" t="s">
        <v>698</v>
      </c>
      <c r="B140" s="440"/>
      <c r="C140" s="59" t="s">
        <v>945</v>
      </c>
      <c r="D140" s="59" t="s">
        <v>945</v>
      </c>
      <c r="E140" s="59" t="s">
        <v>945</v>
      </c>
      <c r="F140" s="59" t="s">
        <v>945</v>
      </c>
      <c r="G140" s="59" t="s">
        <v>945</v>
      </c>
      <c r="H140" s="59" t="s">
        <v>945</v>
      </c>
      <c r="I140" s="59" t="s">
        <v>945</v>
      </c>
      <c r="J140" s="59" t="s">
        <v>945</v>
      </c>
      <c r="K140" s="59" t="s">
        <v>945</v>
      </c>
      <c r="L140" s="59" t="s">
        <v>945</v>
      </c>
      <c r="M140" s="59" t="s">
        <v>945</v>
      </c>
      <c r="N140" s="244"/>
      <c r="O140" s="59" t="s">
        <v>945</v>
      </c>
      <c r="P140" s="59" t="s">
        <v>945</v>
      </c>
      <c r="Q140" s="59" t="s">
        <v>945</v>
      </c>
      <c r="R140" s="59" t="s">
        <v>945</v>
      </c>
      <c r="S140" s="59" t="s">
        <v>945</v>
      </c>
      <c r="T140" s="244"/>
      <c r="U140" s="59" t="s">
        <v>945</v>
      </c>
      <c r="V140" s="59" t="s">
        <v>945</v>
      </c>
      <c r="W140" s="59" t="s">
        <v>945</v>
      </c>
      <c r="X140" s="59" t="s">
        <v>945</v>
      </c>
      <c r="Y140" s="59" t="s">
        <v>945</v>
      </c>
      <c r="Z140" s="170"/>
      <c r="AA140" s="59" t="s">
        <v>945</v>
      </c>
      <c r="AB140" s="59" t="s">
        <v>945</v>
      </c>
      <c r="AC140" s="59" t="s">
        <v>945</v>
      </c>
      <c r="AD140" s="59" t="s">
        <v>945</v>
      </c>
      <c r="AE140" s="59" t="s">
        <v>945</v>
      </c>
      <c r="AF140" s="170"/>
      <c r="AG140" s="244">
        <f>AG139+AG137</f>
        <v>348.95</v>
      </c>
      <c r="AH140" s="244">
        <f>AH139+AH137</f>
        <v>429.27800000000002</v>
      </c>
      <c r="AI140" s="244">
        <f>AI139+AI137</f>
        <v>445.98899999999998</v>
      </c>
      <c r="AJ140" s="244">
        <f>AJ139+AJ137</f>
        <v>616.87300000000005</v>
      </c>
      <c r="AK140" s="244">
        <f>AK139+AK137</f>
        <v>1841.09</v>
      </c>
      <c r="AL140" s="170"/>
      <c r="AM140" s="244">
        <f>AM139+AM137</f>
        <v>494.60500000000002</v>
      </c>
      <c r="AN140" s="244">
        <f>AN139+AN137</f>
        <v>578.01099999999997</v>
      </c>
      <c r="AO140" s="244">
        <f>AO139+AO137</f>
        <v>583.99800000000005</v>
      </c>
      <c r="AP140" s="244">
        <f>AP139+AP137</f>
        <v>765.98199999999997</v>
      </c>
      <c r="AQ140" s="244">
        <f>AQ139+AQ137</f>
        <v>2422.596</v>
      </c>
      <c r="AR140" s="170"/>
      <c r="AS140" s="244">
        <f>AS137+AS139</f>
        <v>547.99300000000005</v>
      </c>
      <c r="AT140" s="244">
        <f>AT137+AT139</f>
        <v>627.79399999999998</v>
      </c>
      <c r="AU140" s="244">
        <f>AU137+AU139</f>
        <v>596.36800000000005</v>
      </c>
      <c r="AV140" s="244">
        <f>AV137+AV139</f>
        <v>920.08500000000004</v>
      </c>
      <c r="AW140" s="244">
        <f>AW137+AW139</f>
        <v>2692.2400000000002</v>
      </c>
      <c r="AX140" s="170"/>
      <c r="AY140" s="244">
        <v>542.09900000000005</v>
      </c>
      <c r="AZ140" s="244">
        <v>790.34500000000003</v>
      </c>
      <c r="BA140" s="244">
        <v>731.12800000000016</v>
      </c>
      <c r="BB140" s="244">
        <v>850.93200000000002</v>
      </c>
      <c r="BC140" s="244">
        <v>2914.5039999999999</v>
      </c>
      <c r="BD140" s="170"/>
      <c r="BE140" s="244">
        <f>SUM(BE137:BE139)</f>
        <v>639.38400000000001</v>
      </c>
      <c r="BF140" s="244">
        <f>SUM(BF137:BF139)</f>
        <v>665.58899999999994</v>
      </c>
      <c r="BG140" s="244">
        <f>SUM(BG137:BG139)</f>
        <v>625.34300000000007</v>
      </c>
      <c r="BH140" s="244">
        <f>SUM(BH137:BH139)</f>
        <v>776.53099999999995</v>
      </c>
      <c r="BI140" s="244">
        <f>SUM(BI137:BI139)</f>
        <v>2706.8469999999998</v>
      </c>
      <c r="BJ140" s="170"/>
      <c r="BK140" s="244">
        <f>SUM(BK137:BK139)</f>
        <v>566</v>
      </c>
      <c r="BL140" s="244">
        <f>SUM(BL137:BL139)</f>
        <v>590</v>
      </c>
      <c r="BM140" s="244">
        <f>SUM(BM137:BM139)</f>
        <v>610</v>
      </c>
      <c r="BN140" s="244">
        <f>SUM(BN137:BN139)</f>
        <v>729</v>
      </c>
      <c r="BO140" s="244">
        <f>SUM(BO137:BO139)</f>
        <v>2495</v>
      </c>
      <c r="BP140" s="170"/>
      <c r="BQ140" s="244">
        <f>SUM(BQ137:BQ139)</f>
        <v>544</v>
      </c>
      <c r="BR140" s="244">
        <f>SUM(BR137:BR139)</f>
        <v>587</v>
      </c>
      <c r="BS140" s="244">
        <f>SUM(BS137:BS139)</f>
        <v>580</v>
      </c>
      <c r="BT140" s="244">
        <f>SUM(BT137:BT139)</f>
        <v>703</v>
      </c>
      <c r="BU140" s="244">
        <f>SUM(BU137:BU139)</f>
        <v>2414</v>
      </c>
      <c r="BV140" s="244"/>
      <c r="BW140" s="244">
        <f>SUM(BW137:BW139)</f>
        <v>497</v>
      </c>
      <c r="BX140" s="244">
        <f>SUM(BX137:BX139)</f>
        <v>685</v>
      </c>
      <c r="BY140" s="244">
        <f>SUM(BY137:BY139)</f>
        <v>994</v>
      </c>
      <c r="BZ140" s="244">
        <f>SUM(BZ137:BZ139)</f>
        <v>1407</v>
      </c>
      <c r="CA140" s="244">
        <f>SUM(CA137:CA139)</f>
        <v>3583</v>
      </c>
      <c r="CB140" s="244"/>
      <c r="CC140" s="244">
        <f>SUM(CC137:CC139)</f>
        <v>1111</v>
      </c>
      <c r="CD140" s="244">
        <f>SUM(CD137:CD139)</f>
        <v>1282</v>
      </c>
      <c r="CE140" s="101" t="s">
        <v>945</v>
      </c>
      <c r="CF140" s="101" t="s">
        <v>945</v>
      </c>
      <c r="CG140" s="171"/>
      <c r="CH140" s="244"/>
      <c r="CI140" s="101">
        <f>SUM(CI137:CI138)</f>
        <v>1001</v>
      </c>
      <c r="CJ140" s="101">
        <f>SUM(CJ137:CJ138)</f>
        <v>1121</v>
      </c>
      <c r="CK140" s="101">
        <f>SUM(CK137:CK138)</f>
        <v>1227</v>
      </c>
      <c r="CL140" s="101">
        <f>SUM(CL137:CL138)</f>
        <v>1558</v>
      </c>
      <c r="CM140" s="168">
        <f>SUM(CM137:CM138)</f>
        <v>4748</v>
      </c>
      <c r="CN140" s="244"/>
      <c r="CO140" s="101">
        <f>SUM(CO137:CO138)</f>
        <v>1262</v>
      </c>
      <c r="CP140" s="101">
        <f>SUM(CP137:CP138)</f>
        <v>1482</v>
      </c>
      <c r="CQ140" s="101">
        <f>SUM(CQ137:CQ138)</f>
        <v>1425</v>
      </c>
      <c r="CR140" s="101">
        <f>SUM(CR137:CR138)</f>
        <v>2033</v>
      </c>
      <c r="CS140" s="168">
        <f>SUM(CO140:CR140)</f>
        <v>6202</v>
      </c>
      <c r="CT140" s="244"/>
      <c r="CU140" s="101" t="s">
        <v>945</v>
      </c>
      <c r="CV140" s="101" t="s">
        <v>945</v>
      </c>
      <c r="CW140" s="101" t="s">
        <v>945</v>
      </c>
      <c r="CX140" s="101" t="s">
        <v>945</v>
      </c>
      <c r="CY140" s="168" t="s">
        <v>945</v>
      </c>
      <c r="CZ140" s="244"/>
      <c r="DA140" s="101" t="s">
        <v>945</v>
      </c>
      <c r="DB140" s="101" t="s">
        <v>945</v>
      </c>
      <c r="DC140" s="101" t="s">
        <v>945</v>
      </c>
      <c r="DD140" s="101" t="s">
        <v>945</v>
      </c>
      <c r="DE140" s="168" t="s">
        <v>945</v>
      </c>
      <c r="DF140" s="244"/>
      <c r="DG140" s="101" t="s">
        <v>945</v>
      </c>
      <c r="DH140" s="101" t="s">
        <v>945</v>
      </c>
      <c r="DI140" s="101" t="s">
        <v>945</v>
      </c>
      <c r="DJ140" s="101" t="s">
        <v>945</v>
      </c>
      <c r="DK140" s="168" t="s">
        <v>945</v>
      </c>
      <c r="DL140" s="244"/>
      <c r="DM140" s="101" t="s">
        <v>945</v>
      </c>
      <c r="DN140" s="101" t="s">
        <v>945</v>
      </c>
      <c r="DO140" s="101" t="s">
        <v>945</v>
      </c>
      <c r="DP140" s="101" t="s">
        <v>945</v>
      </c>
      <c r="DQ140" s="168" t="s">
        <v>945</v>
      </c>
      <c r="DR140" s="244"/>
      <c r="DS140" s="101" t="s">
        <v>945</v>
      </c>
      <c r="DT140" s="101" t="s">
        <v>945</v>
      </c>
      <c r="DU140" s="101" t="s">
        <v>945</v>
      </c>
      <c r="DV140" s="101" t="s">
        <v>945</v>
      </c>
      <c r="DW140" s="168" t="s">
        <v>945</v>
      </c>
      <c r="DX140" s="244"/>
      <c r="DY140" s="101" t="s">
        <v>945</v>
      </c>
      <c r="DZ140" s="101" t="s">
        <v>945</v>
      </c>
      <c r="EA140" s="101" t="s">
        <v>945</v>
      </c>
      <c r="EB140" s="101" t="s">
        <v>945</v>
      </c>
      <c r="EC140" s="168" t="s">
        <v>945</v>
      </c>
      <c r="ED140" s="244"/>
      <c r="EE140" s="101" t="s">
        <v>945</v>
      </c>
      <c r="EF140" s="101" t="s">
        <v>945</v>
      </c>
      <c r="EG140" s="101" t="s">
        <v>945</v>
      </c>
      <c r="EH140" s="101" t="s">
        <v>945</v>
      </c>
      <c r="EI140" s="168" t="s">
        <v>945</v>
      </c>
      <c r="EJ140" s="244"/>
      <c r="EK140" s="101" t="s">
        <v>945</v>
      </c>
      <c r="EL140" s="101" t="s">
        <v>945</v>
      </c>
      <c r="EM140" s="101" t="s">
        <v>945</v>
      </c>
      <c r="EN140" s="101" t="s">
        <v>945</v>
      </c>
      <c r="EO140" s="168" t="s">
        <v>945</v>
      </c>
      <c r="EP140" s="244"/>
      <c r="EQ140" s="101" t="s">
        <v>945</v>
      </c>
      <c r="ER140" s="101" t="s">
        <v>945</v>
      </c>
      <c r="ES140" s="101" t="s">
        <v>945</v>
      </c>
      <c r="ET140" s="101" t="s">
        <v>945</v>
      </c>
      <c r="EU140" s="168" t="s">
        <v>945</v>
      </c>
      <c r="EV140" s="244"/>
      <c r="EW140" s="101" t="s">
        <v>945</v>
      </c>
      <c r="EX140" s="101" t="s">
        <v>945</v>
      </c>
      <c r="EY140" s="101" t="s">
        <v>945</v>
      </c>
      <c r="EZ140" s="101" t="s">
        <v>945</v>
      </c>
      <c r="FA140" s="168" t="s">
        <v>945</v>
      </c>
      <c r="FB140" s="244"/>
      <c r="FC140" s="101" t="s">
        <v>945</v>
      </c>
      <c r="FD140" s="101" t="s">
        <v>945</v>
      </c>
      <c r="FE140" s="101" t="s">
        <v>945</v>
      </c>
      <c r="FF140" s="101" t="s">
        <v>945</v>
      </c>
      <c r="FG140" s="168" t="s">
        <v>945</v>
      </c>
      <c r="FH140" s="244"/>
      <c r="FI140" s="101" t="s">
        <v>945</v>
      </c>
      <c r="FJ140" s="101" t="s">
        <v>945</v>
      </c>
      <c r="FK140" s="101" t="s">
        <v>945</v>
      </c>
      <c r="FL140" s="101" t="s">
        <v>945</v>
      </c>
      <c r="FM140" s="168" t="s">
        <v>945</v>
      </c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</row>
    <row r="141" spans="1:274" s="24" customFormat="1" hidden="1" x14ac:dyDescent="0.2">
      <c r="A141" s="58" t="s">
        <v>699</v>
      </c>
      <c r="B141" s="1040"/>
      <c r="C141" s="406"/>
      <c r="D141" s="406"/>
      <c r="E141" s="406"/>
      <c r="F141" s="406"/>
      <c r="G141" s="406"/>
      <c r="H141" s="406"/>
      <c r="I141" s="406"/>
      <c r="J141" s="406"/>
      <c r="K141" s="406"/>
      <c r="L141" s="406"/>
      <c r="M141" s="406"/>
      <c r="N141" s="342"/>
      <c r="O141" s="406"/>
      <c r="P141" s="406"/>
      <c r="Q141" s="406"/>
      <c r="R141" s="406"/>
      <c r="S141" s="406"/>
      <c r="T141" s="342"/>
      <c r="U141" s="406"/>
      <c r="V141" s="406"/>
      <c r="W141" s="406"/>
      <c r="X141" s="406"/>
      <c r="Y141" s="406"/>
      <c r="Z141" s="53"/>
      <c r="AA141" s="342"/>
      <c r="AB141" s="342"/>
      <c r="AC141" s="342"/>
      <c r="AD141" s="342"/>
      <c r="AE141" s="342"/>
      <c r="AF141" s="53"/>
      <c r="AG141" s="342"/>
      <c r="AH141" s="342"/>
      <c r="AI141" s="342"/>
      <c r="AJ141" s="342"/>
      <c r="AK141" s="342"/>
      <c r="AL141" s="53"/>
      <c r="AM141" s="342"/>
      <c r="AN141" s="342"/>
      <c r="AO141" s="342"/>
      <c r="AP141" s="342"/>
      <c r="AQ141" s="342"/>
      <c r="AR141" s="53"/>
      <c r="AS141" s="342"/>
      <c r="AT141" s="342"/>
      <c r="AU141" s="342"/>
      <c r="AV141" s="342"/>
      <c r="AW141" s="342"/>
      <c r="AX141" s="53"/>
      <c r="AY141" s="342"/>
      <c r="AZ141" s="342"/>
      <c r="BA141" s="342"/>
      <c r="BB141" s="342"/>
      <c r="BC141" s="342"/>
      <c r="BD141" s="53"/>
      <c r="BE141" s="342"/>
      <c r="BF141" s="342"/>
      <c r="BG141" s="342"/>
      <c r="BH141" s="342"/>
      <c r="BI141" s="342"/>
      <c r="BJ141" s="53"/>
      <c r="BK141" s="342"/>
      <c r="BL141" s="342"/>
      <c r="BM141" s="342"/>
      <c r="BN141" s="342"/>
      <c r="BO141" s="342"/>
      <c r="BP141" s="53"/>
      <c r="BQ141" s="342"/>
      <c r="BR141" s="50"/>
      <c r="BS141" s="50"/>
      <c r="BT141" s="50"/>
      <c r="BU141" s="342"/>
      <c r="BV141" s="50"/>
      <c r="BW141" s="50"/>
      <c r="BX141" s="50"/>
      <c r="BY141" s="50"/>
      <c r="BZ141" s="50"/>
      <c r="CA141" s="342"/>
      <c r="CB141" s="50"/>
      <c r="CC141" s="50"/>
      <c r="CD141" s="50"/>
      <c r="CE141" s="50"/>
      <c r="CF141" s="50"/>
      <c r="CG141" s="164"/>
      <c r="CH141" s="50"/>
      <c r="CI141" s="50"/>
      <c r="CJ141" s="50"/>
      <c r="CK141" s="50"/>
      <c r="CL141" s="50"/>
      <c r="CM141" s="164"/>
      <c r="CN141" s="50"/>
      <c r="CO141" s="50"/>
      <c r="CP141" s="50"/>
      <c r="CQ141" s="50"/>
      <c r="CR141" s="50"/>
      <c r="CS141" s="164"/>
      <c r="CT141" s="50"/>
      <c r="CU141" s="50"/>
      <c r="CV141" s="50"/>
      <c r="CW141" s="50"/>
      <c r="CX141" s="50"/>
      <c r="CY141" s="164"/>
      <c r="CZ141" s="50"/>
      <c r="DA141" s="50"/>
      <c r="DB141" s="50"/>
      <c r="DC141" s="50"/>
      <c r="DD141" s="50"/>
      <c r="DE141" s="164"/>
      <c r="DF141" s="50"/>
      <c r="DG141" s="50"/>
      <c r="DH141" s="50"/>
      <c r="DI141" s="50"/>
      <c r="DJ141" s="50"/>
      <c r="DK141" s="164"/>
      <c r="DL141" s="50"/>
      <c r="DM141" s="50"/>
      <c r="DN141" s="50"/>
      <c r="DO141" s="50"/>
      <c r="DP141" s="50"/>
      <c r="DQ141" s="164"/>
      <c r="DR141" s="50"/>
      <c r="DS141" s="50"/>
      <c r="DT141" s="50"/>
      <c r="DU141" s="50"/>
      <c r="DV141" s="50"/>
      <c r="DW141" s="164"/>
      <c r="DX141" s="50"/>
      <c r="DY141" s="50"/>
      <c r="DZ141" s="50"/>
      <c r="EA141" s="50"/>
      <c r="EB141" s="50"/>
      <c r="EC141" s="164"/>
      <c r="ED141" s="50"/>
      <c r="EE141" s="50"/>
      <c r="EF141" s="50"/>
      <c r="EG141" s="50"/>
      <c r="EH141" s="50"/>
      <c r="EI141" s="164"/>
      <c r="EJ141" s="50"/>
      <c r="EK141" s="50"/>
      <c r="EL141" s="50"/>
      <c r="EM141" s="50"/>
      <c r="EN141" s="50"/>
      <c r="EO141" s="164"/>
      <c r="EP141" s="50"/>
      <c r="EQ141" s="50"/>
      <c r="ER141" s="50"/>
      <c r="ES141" s="50"/>
      <c r="ET141" s="50"/>
      <c r="EU141" s="164"/>
      <c r="EV141" s="50"/>
      <c r="EW141" s="50"/>
      <c r="EX141" s="50"/>
      <c r="EY141" s="50"/>
      <c r="EZ141" s="50"/>
      <c r="FA141" s="164"/>
      <c r="FB141" s="50"/>
      <c r="FC141" s="50"/>
      <c r="FD141" s="50"/>
      <c r="FE141" s="50"/>
      <c r="FF141" s="50"/>
      <c r="FG141" s="164"/>
      <c r="FH141" s="50"/>
      <c r="FI141" s="50"/>
      <c r="FJ141" s="50"/>
      <c r="FK141" s="50"/>
      <c r="FL141" s="50"/>
      <c r="FM141" s="164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</row>
    <row r="142" spans="1:274" s="24" customFormat="1" hidden="1" x14ac:dyDescent="0.2">
      <c r="A142" s="342" t="s">
        <v>707</v>
      </c>
      <c r="B142" s="1040"/>
      <c r="C142" s="406" t="s">
        <v>945</v>
      </c>
      <c r="D142" s="406" t="s">
        <v>945</v>
      </c>
      <c r="E142" s="406" t="s">
        <v>945</v>
      </c>
      <c r="F142" s="406" t="s">
        <v>945</v>
      </c>
      <c r="G142" s="406" t="s">
        <v>945</v>
      </c>
      <c r="H142" s="406" t="s">
        <v>945</v>
      </c>
      <c r="I142" s="406" t="s">
        <v>945</v>
      </c>
      <c r="J142" s="406" t="s">
        <v>945</v>
      </c>
      <c r="K142" s="406" t="s">
        <v>945</v>
      </c>
      <c r="L142" s="406" t="s">
        <v>945</v>
      </c>
      <c r="M142" s="406" t="s">
        <v>945</v>
      </c>
      <c r="N142" s="342"/>
      <c r="O142" s="406" t="s">
        <v>945</v>
      </c>
      <c r="P142" s="406" t="s">
        <v>945</v>
      </c>
      <c r="Q142" s="406" t="s">
        <v>945</v>
      </c>
      <c r="R142" s="406" t="s">
        <v>945</v>
      </c>
      <c r="S142" s="406" t="s">
        <v>945</v>
      </c>
      <c r="T142" s="342"/>
      <c r="U142" s="406" t="s">
        <v>945</v>
      </c>
      <c r="V142" s="406" t="s">
        <v>945</v>
      </c>
      <c r="W142" s="406" t="s">
        <v>945</v>
      </c>
      <c r="X142" s="406" t="s">
        <v>945</v>
      </c>
      <c r="Y142" s="406" t="s">
        <v>945</v>
      </c>
      <c r="Z142" s="53"/>
      <c r="AA142" s="43">
        <v>0.05</v>
      </c>
      <c r="AB142" s="43">
        <v>0.78</v>
      </c>
      <c r="AC142" s="43">
        <v>0.61</v>
      </c>
      <c r="AD142" s="43">
        <v>0.78</v>
      </c>
      <c r="AE142" s="43">
        <v>0.62</v>
      </c>
      <c r="AF142" s="53"/>
      <c r="AG142" s="94">
        <f>AG137/AA137-1</f>
        <v>0.95233655982227883</v>
      </c>
      <c r="AH142" s="94">
        <f>AH137/AB137-1</f>
        <v>6.8252184030448193E-2</v>
      </c>
      <c r="AI142" s="94">
        <f>AI137/AC137-1</f>
        <v>0.29566596488624652</v>
      </c>
      <c r="AJ142" s="94">
        <f>AJ137/AD137-1</f>
        <v>-1.2785559408250435E-2</v>
      </c>
      <c r="AK142" s="94">
        <f>AK137/AE137-1</f>
        <v>0.17567604299744288</v>
      </c>
      <c r="AL142" s="53"/>
      <c r="AM142" s="94">
        <f>AM137/AG137-1</f>
        <v>-3.4441069197086449E-3</v>
      </c>
      <c r="AN142" s="94">
        <f>AN137/AH137-1</f>
        <v>0.18562857670297195</v>
      </c>
      <c r="AO142" s="94">
        <f>AO137/AI137-1</f>
        <v>5.4767358625626317E-2</v>
      </c>
      <c r="AP142" s="94">
        <f>AP137/AJ137-1</f>
        <v>0.28422554920740817</v>
      </c>
      <c r="AQ142" s="94">
        <f>AQ137/AK137-1</f>
        <v>0.15786085224443336</v>
      </c>
      <c r="AR142" s="53"/>
      <c r="AS142" s="94">
        <f>AS137/AM137-1</f>
        <v>0.11268223060454674</v>
      </c>
      <c r="AT142" s="94">
        <f>AT137/AN137-1</f>
        <v>0.30647484254696367</v>
      </c>
      <c r="AU142" s="94">
        <f>AU137/AO137-1</f>
        <v>0.34936308542188388</v>
      </c>
      <c r="AV142" s="94">
        <f>AV137/AP137-1</f>
        <v>0.61433519754645527</v>
      </c>
      <c r="AW142" s="94">
        <f>AW137/AQ137-1</f>
        <v>0.41804061796320391</v>
      </c>
      <c r="AX142" s="53"/>
      <c r="AY142" s="43">
        <f>AY137/AS137-1</f>
        <v>0.42497457464060928</v>
      </c>
      <c r="AZ142" s="43">
        <f>AZ137/AT137-1</f>
        <v>0.66413018865675899</v>
      </c>
      <c r="BA142" s="43">
        <f>BA137/AU137-1</f>
        <v>0.2544585827088468</v>
      </c>
      <c r="BB142" s="43">
        <f>BB137/AV137-1</f>
        <v>-0.24454810208912126</v>
      </c>
      <c r="BC142" s="43">
        <f>BC137/AW137-1</f>
        <v>0.10725256822977358</v>
      </c>
      <c r="BD142" s="53"/>
      <c r="BE142" s="43">
        <f>BE137/AY137-1</f>
        <v>-6.169386469143423E-2</v>
      </c>
      <c r="BF142" s="43">
        <f>BF137/AZ137-1</f>
        <v>-0.41586129601713029</v>
      </c>
      <c r="BG142" s="43">
        <f>BG137/BA137-1</f>
        <v>-0.40714205529540071</v>
      </c>
      <c r="BH142" s="43">
        <f>BH137/BB137-1</f>
        <v>-0.27305110370149033</v>
      </c>
      <c r="BI142" s="43">
        <f>BI137/BC137-1</f>
        <v>-0.3126283970182544</v>
      </c>
      <c r="BJ142" s="53"/>
      <c r="BK142" s="43">
        <f t="shared" ref="BK142:BO145" si="302">BK137/BE137-1</f>
        <v>-0.23936654994483697</v>
      </c>
      <c r="BL142" s="43">
        <f t="shared" si="302"/>
        <v>-0.33796350217307358</v>
      </c>
      <c r="BM142" s="43">
        <f t="shared" si="302"/>
        <v>-5.3241633022931834E-2</v>
      </c>
      <c r="BN142" s="43">
        <f t="shared" si="302"/>
        <v>1.1884024940171933E-3</v>
      </c>
      <c r="BO142" s="43">
        <f t="shared" si="302"/>
        <v>-0.13896775754470603</v>
      </c>
      <c r="BP142" s="53"/>
      <c r="BQ142" s="43">
        <f t="shared" ref="BQ142:BU145" si="303">BQ137/BK137-1</f>
        <v>-3.6036036036036001E-2</v>
      </c>
      <c r="BR142" s="43">
        <f t="shared" si="303"/>
        <v>0.2685185185185186</v>
      </c>
      <c r="BS142" s="43">
        <f t="shared" si="303"/>
        <v>0</v>
      </c>
      <c r="BT142" s="43">
        <f t="shared" si="303"/>
        <v>-6.0975609756097615E-2</v>
      </c>
      <c r="BU142" s="43">
        <f t="shared" si="303"/>
        <v>1.6528925619834656E-2</v>
      </c>
      <c r="BV142" s="50"/>
      <c r="BW142" s="43">
        <f t="shared" ref="BW142:CA145" si="304">BW137/BQ137-1</f>
        <v>-0.35514018691588789</v>
      </c>
      <c r="BX142" s="43">
        <f t="shared" si="304"/>
        <v>0.56934306569343063</v>
      </c>
      <c r="BY142" s="43">
        <f t="shared" si="304"/>
        <v>8.5714285714285632E-2</v>
      </c>
      <c r="BZ142" s="43">
        <f t="shared" si="304"/>
        <v>0.51515151515151514</v>
      </c>
      <c r="CA142" s="43">
        <f t="shared" si="304"/>
        <v>0.2780487804878049</v>
      </c>
      <c r="CB142" s="50"/>
      <c r="CC142" s="43">
        <f t="shared" ref="CC142:CG143" si="305">CC137/BW137-1</f>
        <v>0.84057971014492749</v>
      </c>
      <c r="CD142" s="43">
        <f t="shared" si="305"/>
        <v>0.23720930232558146</v>
      </c>
      <c r="CE142" s="43">
        <f t="shared" si="305"/>
        <v>0.76973684210526305</v>
      </c>
      <c r="CF142" s="43">
        <f t="shared" si="305"/>
        <v>0.83142857142857141</v>
      </c>
      <c r="CG142" s="148">
        <f t="shared" si="305"/>
        <v>0.65776081424936383</v>
      </c>
      <c r="CH142" s="50"/>
      <c r="CI142" s="43">
        <f t="shared" ref="CI142:CK143" si="306">CI137/CC137-1</f>
        <v>0.79527559055118102</v>
      </c>
      <c r="CJ142" s="43">
        <f t="shared" si="306"/>
        <v>0.27819548872180455</v>
      </c>
      <c r="CK142" s="43">
        <f t="shared" si="306"/>
        <v>0.57249070631970267</v>
      </c>
      <c r="CL142" s="43">
        <f>CL137/CF137-1</f>
        <v>0.13260530421216843</v>
      </c>
      <c r="CM142" s="148">
        <f>CM137/CG137-1</f>
        <v>0.31696085955487341</v>
      </c>
      <c r="CN142" s="50"/>
      <c r="CO142" s="43">
        <f t="shared" ref="CO142:CR143" si="307">CO137/CI137-1</f>
        <v>0.64912280701754388</v>
      </c>
      <c r="CP142" s="43">
        <f t="shared" si="307"/>
        <v>0.62647058823529411</v>
      </c>
      <c r="CQ142" s="43">
        <f t="shared" si="307"/>
        <v>6.6193853427896077E-2</v>
      </c>
      <c r="CR142" s="43">
        <f t="shared" si="307"/>
        <v>0.36225895316804402</v>
      </c>
      <c r="CS142" s="148">
        <f>CS137/CM137-1</f>
        <v>0.38053613053613056</v>
      </c>
      <c r="CT142" s="50"/>
      <c r="CU142" s="50" t="s">
        <v>945</v>
      </c>
      <c r="CV142" s="50" t="s">
        <v>945</v>
      </c>
      <c r="CW142" s="50" t="s">
        <v>945</v>
      </c>
      <c r="CX142" s="50" t="s">
        <v>945</v>
      </c>
      <c r="CY142" s="164" t="s">
        <v>945</v>
      </c>
      <c r="CZ142" s="50"/>
      <c r="DA142" s="50" t="s">
        <v>945</v>
      </c>
      <c r="DB142" s="50" t="s">
        <v>945</v>
      </c>
      <c r="DC142" s="50" t="s">
        <v>945</v>
      </c>
      <c r="DD142" s="50" t="s">
        <v>945</v>
      </c>
      <c r="DE142" s="164" t="s">
        <v>945</v>
      </c>
      <c r="DF142" s="50"/>
      <c r="DG142" s="50" t="s">
        <v>945</v>
      </c>
      <c r="DH142" s="50" t="s">
        <v>945</v>
      </c>
      <c r="DI142" s="50" t="s">
        <v>945</v>
      </c>
      <c r="DJ142" s="50" t="s">
        <v>945</v>
      </c>
      <c r="DK142" s="164" t="s">
        <v>945</v>
      </c>
      <c r="DL142" s="50"/>
      <c r="DM142" s="50" t="s">
        <v>945</v>
      </c>
      <c r="DN142" s="50" t="s">
        <v>945</v>
      </c>
      <c r="DO142" s="50" t="s">
        <v>945</v>
      </c>
      <c r="DP142" s="50" t="s">
        <v>945</v>
      </c>
      <c r="DQ142" s="164" t="s">
        <v>945</v>
      </c>
      <c r="DR142" s="50"/>
      <c r="DS142" s="50" t="s">
        <v>945</v>
      </c>
      <c r="DT142" s="50" t="s">
        <v>945</v>
      </c>
      <c r="DU142" s="50" t="s">
        <v>945</v>
      </c>
      <c r="DV142" s="50" t="s">
        <v>945</v>
      </c>
      <c r="DW142" s="164" t="s">
        <v>945</v>
      </c>
      <c r="DX142" s="50"/>
      <c r="DY142" s="50" t="s">
        <v>945</v>
      </c>
      <c r="DZ142" s="50" t="s">
        <v>945</v>
      </c>
      <c r="EA142" s="50" t="s">
        <v>945</v>
      </c>
      <c r="EB142" s="50" t="s">
        <v>945</v>
      </c>
      <c r="EC142" s="164" t="s">
        <v>945</v>
      </c>
      <c r="ED142" s="50"/>
      <c r="EE142" s="50" t="s">
        <v>945</v>
      </c>
      <c r="EF142" s="50" t="s">
        <v>945</v>
      </c>
      <c r="EG142" s="50" t="s">
        <v>945</v>
      </c>
      <c r="EH142" s="50" t="s">
        <v>945</v>
      </c>
      <c r="EI142" s="164" t="s">
        <v>945</v>
      </c>
      <c r="EJ142" s="50"/>
      <c r="EK142" s="50" t="s">
        <v>945</v>
      </c>
      <c r="EL142" s="50" t="s">
        <v>945</v>
      </c>
      <c r="EM142" s="50" t="s">
        <v>945</v>
      </c>
      <c r="EN142" s="50" t="s">
        <v>945</v>
      </c>
      <c r="EO142" s="164" t="s">
        <v>945</v>
      </c>
      <c r="EP142" s="50"/>
      <c r="EQ142" s="50" t="s">
        <v>945</v>
      </c>
      <c r="ER142" s="50" t="s">
        <v>945</v>
      </c>
      <c r="ES142" s="50" t="s">
        <v>945</v>
      </c>
      <c r="ET142" s="50" t="s">
        <v>945</v>
      </c>
      <c r="EU142" s="164" t="s">
        <v>945</v>
      </c>
      <c r="EV142" s="50"/>
      <c r="EW142" s="50" t="s">
        <v>945</v>
      </c>
      <c r="EX142" s="50" t="s">
        <v>945</v>
      </c>
      <c r="EY142" s="50" t="s">
        <v>945</v>
      </c>
      <c r="EZ142" s="50" t="s">
        <v>945</v>
      </c>
      <c r="FA142" s="164" t="s">
        <v>945</v>
      </c>
      <c r="FB142" s="50"/>
      <c r="FC142" s="50" t="s">
        <v>945</v>
      </c>
      <c r="FD142" s="50" t="s">
        <v>945</v>
      </c>
      <c r="FE142" s="50" t="s">
        <v>945</v>
      </c>
      <c r="FF142" s="50" t="s">
        <v>945</v>
      </c>
      <c r="FG142" s="164" t="s">
        <v>945</v>
      </c>
      <c r="FH142" s="50"/>
      <c r="FI142" s="50" t="s">
        <v>945</v>
      </c>
      <c r="FJ142" s="50" t="s">
        <v>945</v>
      </c>
      <c r="FK142" s="50" t="s">
        <v>945</v>
      </c>
      <c r="FL142" s="50" t="s">
        <v>945</v>
      </c>
      <c r="FM142" s="164" t="s">
        <v>945</v>
      </c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</row>
    <row r="143" spans="1:274" s="24" customFormat="1" hidden="1" x14ac:dyDescent="0.2">
      <c r="A143" s="342" t="s">
        <v>470</v>
      </c>
      <c r="B143" s="1040"/>
      <c r="C143" s="406" t="s">
        <v>945</v>
      </c>
      <c r="D143" s="406" t="s">
        <v>945</v>
      </c>
      <c r="E143" s="406" t="s">
        <v>945</v>
      </c>
      <c r="F143" s="406" t="s">
        <v>945</v>
      </c>
      <c r="G143" s="406" t="s">
        <v>945</v>
      </c>
      <c r="H143" s="406" t="s">
        <v>945</v>
      </c>
      <c r="I143" s="406" t="s">
        <v>945</v>
      </c>
      <c r="J143" s="406" t="s">
        <v>945</v>
      </c>
      <c r="K143" s="406" t="s">
        <v>945</v>
      </c>
      <c r="L143" s="406" t="s">
        <v>945</v>
      </c>
      <c r="M143" s="406" t="s">
        <v>945</v>
      </c>
      <c r="N143" s="342"/>
      <c r="O143" s="406" t="s">
        <v>945</v>
      </c>
      <c r="P143" s="406" t="s">
        <v>945</v>
      </c>
      <c r="Q143" s="406" t="s">
        <v>945</v>
      </c>
      <c r="R143" s="406" t="s">
        <v>945</v>
      </c>
      <c r="S143" s="406" t="s">
        <v>945</v>
      </c>
      <c r="T143" s="342"/>
      <c r="U143" s="406" t="s">
        <v>945</v>
      </c>
      <c r="V143" s="406" t="s">
        <v>945</v>
      </c>
      <c r="W143" s="406" t="s">
        <v>945</v>
      </c>
      <c r="X143" s="406" t="s">
        <v>945</v>
      </c>
      <c r="Y143" s="406" t="s">
        <v>945</v>
      </c>
      <c r="Z143" s="53"/>
      <c r="AA143" s="406" t="s">
        <v>945</v>
      </c>
      <c r="AB143" s="406" t="s">
        <v>945</v>
      </c>
      <c r="AC143" s="406" t="s">
        <v>945</v>
      </c>
      <c r="AD143" s="406" t="s">
        <v>945</v>
      </c>
      <c r="AE143" s="259" t="s">
        <v>945</v>
      </c>
      <c r="AF143" s="53"/>
      <c r="AG143" s="406" t="s">
        <v>945</v>
      </c>
      <c r="AH143" s="406" t="s">
        <v>945</v>
      </c>
      <c r="AI143" s="406" t="s">
        <v>945</v>
      </c>
      <c r="AJ143" s="406" t="s">
        <v>945</v>
      </c>
      <c r="AK143" s="259" t="s">
        <v>945</v>
      </c>
      <c r="AL143" s="53"/>
      <c r="AM143" s="406" t="s">
        <v>945</v>
      </c>
      <c r="AN143" s="406" t="s">
        <v>945</v>
      </c>
      <c r="AO143" s="406" t="s">
        <v>945</v>
      </c>
      <c r="AP143" s="406" t="s">
        <v>945</v>
      </c>
      <c r="AQ143" s="259" t="s">
        <v>945</v>
      </c>
      <c r="AR143" s="53"/>
      <c r="AS143" s="94" t="s">
        <v>945</v>
      </c>
      <c r="AT143" s="94" t="s">
        <v>945</v>
      </c>
      <c r="AU143" s="94" t="s">
        <v>945</v>
      </c>
      <c r="AV143" s="94" t="s">
        <v>945</v>
      </c>
      <c r="AW143" s="406" t="s">
        <v>945</v>
      </c>
      <c r="AX143" s="53"/>
      <c r="AY143" s="406" t="s">
        <v>945</v>
      </c>
      <c r="AZ143" s="406" t="s">
        <v>945</v>
      </c>
      <c r="BA143" s="406" t="s">
        <v>945</v>
      </c>
      <c r="BB143" s="406" t="s">
        <v>945</v>
      </c>
      <c r="BC143" s="406" t="s">
        <v>945</v>
      </c>
      <c r="BD143" s="53"/>
      <c r="BE143" s="43">
        <v>0.14000000000000001</v>
      </c>
      <c r="BF143" s="43">
        <v>0.14000000000000001</v>
      </c>
      <c r="BG143" s="43">
        <v>0.08</v>
      </c>
      <c r="BH143" s="43">
        <v>0.14000000000000001</v>
      </c>
      <c r="BI143" s="43">
        <v>0.12</v>
      </c>
      <c r="BJ143" s="53"/>
      <c r="BK143" s="43">
        <f t="shared" si="302"/>
        <v>7.0332084612568124E-2</v>
      </c>
      <c r="BL143" s="43">
        <f t="shared" si="302"/>
        <v>8.9447995038157702E-2</v>
      </c>
      <c r="BM143" s="43">
        <f t="shared" si="302"/>
        <v>0.18690791344870594</v>
      </c>
      <c r="BN143" s="43">
        <f t="shared" si="302"/>
        <v>0.16298803070687717</v>
      </c>
      <c r="BO143" s="43">
        <f t="shared" si="302"/>
        <v>0.12852899863825962</v>
      </c>
      <c r="BP143" s="53"/>
      <c r="BQ143" s="43">
        <f t="shared" si="303"/>
        <v>0.16315789473684217</v>
      </c>
      <c r="BR143" s="43">
        <f t="shared" si="303"/>
        <v>0.17821782178217815</v>
      </c>
      <c r="BS143" s="43">
        <f t="shared" si="303"/>
        <v>9.2165898617511566E-2</v>
      </c>
      <c r="BT143" s="43">
        <f t="shared" si="303"/>
        <v>2.5751072961373467E-2</v>
      </c>
      <c r="BU143" s="43">
        <f t="shared" si="303"/>
        <v>0.1104513064133017</v>
      </c>
      <c r="BV143" s="50"/>
      <c r="BW143" s="43">
        <f t="shared" si="304"/>
        <v>7.6923076923076872E-2</v>
      </c>
      <c r="BX143" s="43">
        <f t="shared" si="304"/>
        <v>6.7226890756302504E-2</v>
      </c>
      <c r="BY143" s="43">
        <f t="shared" si="304"/>
        <v>1.0843881856540083</v>
      </c>
      <c r="BZ143" s="43">
        <f t="shared" si="304"/>
        <v>1.6025104602510458</v>
      </c>
      <c r="CA143" s="43">
        <f t="shared" si="304"/>
        <v>0.71978609625668444</v>
      </c>
      <c r="CB143" s="50"/>
      <c r="CC143" s="43">
        <f t="shared" si="305"/>
        <v>1.5420168067226889</v>
      </c>
      <c r="CD143" s="43">
        <f t="shared" si="305"/>
        <v>1.377952755905512</v>
      </c>
      <c r="CE143" s="43">
        <f t="shared" si="305"/>
        <v>0.36234817813765186</v>
      </c>
      <c r="CF143" s="43">
        <f t="shared" si="305"/>
        <v>0.22508038585209</v>
      </c>
      <c r="CG143" s="148">
        <f t="shared" si="305"/>
        <v>0.64427860696517403</v>
      </c>
      <c r="CH143" s="50"/>
      <c r="CI143" s="43">
        <f t="shared" si="306"/>
        <v>0.27768595041322319</v>
      </c>
      <c r="CJ143" s="43">
        <f t="shared" si="306"/>
        <v>0.29304635761589415</v>
      </c>
      <c r="CK143" s="43">
        <f t="shared" si="306"/>
        <v>0.19465081723625555</v>
      </c>
      <c r="CL143" s="43">
        <f>CL138/CF138-1</f>
        <v>9.1863517060367439E-2</v>
      </c>
      <c r="CM143" s="148">
        <f>CM138/CG138-1</f>
        <v>0.14674735249621795</v>
      </c>
      <c r="CN143" s="50"/>
      <c r="CO143" s="43">
        <f t="shared" si="307"/>
        <v>0.14618369987063384</v>
      </c>
      <c r="CP143" s="43">
        <f t="shared" si="307"/>
        <v>0.18950064020486557</v>
      </c>
      <c r="CQ143" s="43">
        <f t="shared" si="307"/>
        <v>0.21144278606965172</v>
      </c>
      <c r="CR143" s="43">
        <f t="shared" si="307"/>
        <v>0.25480769230769229</v>
      </c>
      <c r="CS143" s="148">
        <f>CS138/CM138-1</f>
        <v>0.2641820580474934</v>
      </c>
      <c r="CT143" s="50"/>
      <c r="CU143" s="50" t="s">
        <v>945</v>
      </c>
      <c r="CV143" s="50" t="s">
        <v>945</v>
      </c>
      <c r="CW143" s="50" t="s">
        <v>945</v>
      </c>
      <c r="CX143" s="50" t="s">
        <v>945</v>
      </c>
      <c r="CY143" s="164" t="s">
        <v>945</v>
      </c>
      <c r="CZ143" s="50"/>
      <c r="DA143" s="50" t="s">
        <v>945</v>
      </c>
      <c r="DB143" s="50" t="s">
        <v>945</v>
      </c>
      <c r="DC143" s="50" t="s">
        <v>945</v>
      </c>
      <c r="DD143" s="50" t="s">
        <v>945</v>
      </c>
      <c r="DE143" s="164" t="s">
        <v>945</v>
      </c>
      <c r="DF143" s="50"/>
      <c r="DG143" s="50" t="s">
        <v>945</v>
      </c>
      <c r="DH143" s="50" t="s">
        <v>945</v>
      </c>
      <c r="DI143" s="50" t="s">
        <v>945</v>
      </c>
      <c r="DJ143" s="50" t="s">
        <v>945</v>
      </c>
      <c r="DK143" s="164" t="s">
        <v>945</v>
      </c>
      <c r="DL143" s="50"/>
      <c r="DM143" s="50" t="s">
        <v>945</v>
      </c>
      <c r="DN143" s="50" t="s">
        <v>945</v>
      </c>
      <c r="DO143" s="50" t="s">
        <v>945</v>
      </c>
      <c r="DP143" s="50" t="s">
        <v>945</v>
      </c>
      <c r="DQ143" s="164" t="s">
        <v>945</v>
      </c>
      <c r="DR143" s="50"/>
      <c r="DS143" s="50" t="s">
        <v>945</v>
      </c>
      <c r="DT143" s="50" t="s">
        <v>945</v>
      </c>
      <c r="DU143" s="50" t="s">
        <v>945</v>
      </c>
      <c r="DV143" s="50" t="s">
        <v>945</v>
      </c>
      <c r="DW143" s="164" t="s">
        <v>945</v>
      </c>
      <c r="DX143" s="50"/>
      <c r="DY143" s="50" t="s">
        <v>945</v>
      </c>
      <c r="DZ143" s="50" t="s">
        <v>945</v>
      </c>
      <c r="EA143" s="50" t="s">
        <v>945</v>
      </c>
      <c r="EB143" s="50" t="s">
        <v>945</v>
      </c>
      <c r="EC143" s="164" t="s">
        <v>945</v>
      </c>
      <c r="ED143" s="50"/>
      <c r="EE143" s="50" t="s">
        <v>945</v>
      </c>
      <c r="EF143" s="50" t="s">
        <v>945</v>
      </c>
      <c r="EG143" s="50" t="s">
        <v>945</v>
      </c>
      <c r="EH143" s="50" t="s">
        <v>945</v>
      </c>
      <c r="EI143" s="164" t="s">
        <v>945</v>
      </c>
      <c r="EJ143" s="50"/>
      <c r="EK143" s="50" t="s">
        <v>945</v>
      </c>
      <c r="EL143" s="50" t="s">
        <v>945</v>
      </c>
      <c r="EM143" s="50" t="s">
        <v>945</v>
      </c>
      <c r="EN143" s="50" t="s">
        <v>945</v>
      </c>
      <c r="EO143" s="164" t="s">
        <v>945</v>
      </c>
      <c r="EP143" s="50"/>
      <c r="EQ143" s="50" t="s">
        <v>945</v>
      </c>
      <c r="ER143" s="50" t="s">
        <v>945</v>
      </c>
      <c r="ES143" s="50" t="s">
        <v>945</v>
      </c>
      <c r="ET143" s="50" t="s">
        <v>945</v>
      </c>
      <c r="EU143" s="164" t="s">
        <v>945</v>
      </c>
      <c r="EV143" s="50"/>
      <c r="EW143" s="50" t="s">
        <v>945</v>
      </c>
      <c r="EX143" s="50" t="s">
        <v>945</v>
      </c>
      <c r="EY143" s="50" t="s">
        <v>945</v>
      </c>
      <c r="EZ143" s="50" t="s">
        <v>945</v>
      </c>
      <c r="FA143" s="164" t="s">
        <v>945</v>
      </c>
      <c r="FB143" s="50"/>
      <c r="FC143" s="50" t="s">
        <v>945</v>
      </c>
      <c r="FD143" s="50" t="s">
        <v>945</v>
      </c>
      <c r="FE143" s="50" t="s">
        <v>945</v>
      </c>
      <c r="FF143" s="50" t="s">
        <v>945</v>
      </c>
      <c r="FG143" s="164" t="s">
        <v>945</v>
      </c>
      <c r="FH143" s="50"/>
      <c r="FI143" s="50" t="s">
        <v>945</v>
      </c>
      <c r="FJ143" s="50" t="s">
        <v>945</v>
      </c>
      <c r="FK143" s="50" t="s">
        <v>945</v>
      </c>
      <c r="FL143" s="50" t="s">
        <v>945</v>
      </c>
      <c r="FM143" s="164" t="s">
        <v>945</v>
      </c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</row>
    <row r="144" spans="1:274" s="24" customFormat="1" hidden="1" x14ac:dyDescent="0.2">
      <c r="A144" s="342" t="s">
        <v>471</v>
      </c>
      <c r="B144" s="414"/>
      <c r="C144" s="406" t="s">
        <v>945</v>
      </c>
      <c r="D144" s="406" t="s">
        <v>945</v>
      </c>
      <c r="E144" s="406" t="s">
        <v>945</v>
      </c>
      <c r="F144" s="406" t="s">
        <v>945</v>
      </c>
      <c r="G144" s="406" t="s">
        <v>945</v>
      </c>
      <c r="H144" s="406" t="s">
        <v>945</v>
      </c>
      <c r="I144" s="406" t="s">
        <v>945</v>
      </c>
      <c r="J144" s="406" t="s">
        <v>945</v>
      </c>
      <c r="K144" s="406" t="s">
        <v>945</v>
      </c>
      <c r="L144" s="406" t="s">
        <v>945</v>
      </c>
      <c r="M144" s="406" t="s">
        <v>945</v>
      </c>
      <c r="N144" s="342"/>
      <c r="O144" s="406" t="s">
        <v>945</v>
      </c>
      <c r="P144" s="406" t="s">
        <v>945</v>
      </c>
      <c r="Q144" s="406" t="s">
        <v>945</v>
      </c>
      <c r="R144" s="406" t="s">
        <v>945</v>
      </c>
      <c r="S144" s="406" t="s">
        <v>945</v>
      </c>
      <c r="T144" s="342"/>
      <c r="U144" s="406" t="s">
        <v>945</v>
      </c>
      <c r="V144" s="406" t="s">
        <v>945</v>
      </c>
      <c r="W144" s="406" t="s">
        <v>945</v>
      </c>
      <c r="X144" s="406" t="s">
        <v>945</v>
      </c>
      <c r="Y144" s="406" t="s">
        <v>945</v>
      </c>
      <c r="Z144" s="53"/>
      <c r="AA144" s="406" t="s">
        <v>945</v>
      </c>
      <c r="AB144" s="406" t="s">
        <v>945</v>
      </c>
      <c r="AC144" s="406" t="s">
        <v>945</v>
      </c>
      <c r="AD144" s="406" t="s">
        <v>945</v>
      </c>
      <c r="AE144" s="259" t="s">
        <v>945</v>
      </c>
      <c r="AF144" s="53"/>
      <c r="AG144" s="406" t="s">
        <v>945</v>
      </c>
      <c r="AH144" s="406" t="s">
        <v>945</v>
      </c>
      <c r="AI144" s="406" t="s">
        <v>945</v>
      </c>
      <c r="AJ144" s="406" t="s">
        <v>945</v>
      </c>
      <c r="AK144" s="259" t="s">
        <v>945</v>
      </c>
      <c r="AL144" s="53"/>
      <c r="AM144" s="43">
        <f t="shared" ref="AM144:AQ145" si="308">AM139/AG139-1</f>
        <v>0.58276152498193756</v>
      </c>
      <c r="AN144" s="43">
        <f t="shared" si="308"/>
        <v>0.40076899588082449</v>
      </c>
      <c r="AO144" s="43">
        <f t="shared" si="308"/>
        <v>0.42560457607031266</v>
      </c>
      <c r="AP144" s="43">
        <f t="shared" si="308"/>
        <v>0.21884396926161043</v>
      </c>
      <c r="AQ144" s="94">
        <f t="shared" si="308"/>
        <v>0.38531447204823244</v>
      </c>
      <c r="AR144" s="53"/>
      <c r="AS144" s="43">
        <f t="shared" ref="AS144:AW145" si="309">AS139/AM139-1</f>
        <v>0.10676771370566063</v>
      </c>
      <c r="AT144" s="43">
        <f t="shared" si="309"/>
        <v>2.316932111397807E-2</v>
      </c>
      <c r="AU144" s="43">
        <f t="shared" si="309"/>
        <v>-8.9566629336741088E-2</v>
      </c>
      <c r="AV144" s="43">
        <f t="shared" si="309"/>
        <v>-3.3058392249279867E-2</v>
      </c>
      <c r="AW144" s="94">
        <f t="shared" si="309"/>
        <v>-1.4213509720844009E-3</v>
      </c>
      <c r="AX144" s="53"/>
      <c r="AY144" s="406" t="s">
        <v>945</v>
      </c>
      <c r="AZ144" s="406" t="s">
        <v>945</v>
      </c>
      <c r="BA144" s="406" t="s">
        <v>945</v>
      </c>
      <c r="BB144" s="406" t="s">
        <v>945</v>
      </c>
      <c r="BC144" s="406" t="s">
        <v>945</v>
      </c>
      <c r="BD144" s="53"/>
      <c r="BE144" s="43">
        <f t="shared" ref="BE144:BI145" si="310">BE139/AY139-1</f>
        <v>0.36853771562099569</v>
      </c>
      <c r="BF144" s="43">
        <f t="shared" si="310"/>
        <v>-9.0085037271025237E-2</v>
      </c>
      <c r="BG144" s="43">
        <f t="shared" si="310"/>
        <v>-5.6900589759141695E-2</v>
      </c>
      <c r="BH144" s="43">
        <f t="shared" si="310"/>
        <v>-1.9911257515069947E-2</v>
      </c>
      <c r="BI144" s="43">
        <f t="shared" si="310"/>
        <v>2.3761908553153743E-2</v>
      </c>
      <c r="BJ144" s="53"/>
      <c r="BK144" s="43">
        <f t="shared" si="302"/>
        <v>-0.16122783584120937</v>
      </c>
      <c r="BL144" s="43">
        <f t="shared" si="302"/>
        <v>-0.11683346948817341</v>
      </c>
      <c r="BM144" s="43">
        <f t="shared" si="302"/>
        <v>-0.14133083538667268</v>
      </c>
      <c r="BN144" s="43">
        <f t="shared" si="302"/>
        <v>-0.24351770319870969</v>
      </c>
      <c r="BO144" s="43">
        <f t="shared" si="302"/>
        <v>-0.16699652968210743</v>
      </c>
      <c r="BP144" s="53"/>
      <c r="BQ144" s="43">
        <f t="shared" si="303"/>
        <v>-0.18490566037735845</v>
      </c>
      <c r="BR144" s="43">
        <f t="shared" si="303"/>
        <v>-0.24285714285714288</v>
      </c>
      <c r="BS144" s="43">
        <f t="shared" si="303"/>
        <v>-0.19762845849802368</v>
      </c>
      <c r="BT144" s="43">
        <f t="shared" si="303"/>
        <v>-6.7999999999999949E-2</v>
      </c>
      <c r="BU144" s="43">
        <f t="shared" si="303"/>
        <v>-0.17557251908396942</v>
      </c>
      <c r="BV144" s="342"/>
      <c r="BW144" s="43">
        <f t="shared" si="304"/>
        <v>-0.12037037037037035</v>
      </c>
      <c r="BX144" s="43">
        <f t="shared" si="304"/>
        <v>1.8867924528301883E-2</v>
      </c>
      <c r="BY144" s="43">
        <f t="shared" si="304"/>
        <v>0.71428571428571419</v>
      </c>
      <c r="BZ144" s="43">
        <f t="shared" si="304"/>
        <v>0.86695278969957079</v>
      </c>
      <c r="CA144" s="43">
        <f t="shared" si="304"/>
        <v>0.37615740740740744</v>
      </c>
      <c r="CB144" s="342"/>
      <c r="CC144" s="43">
        <f>CC139/BW139-1</f>
        <v>0.99473684210526314</v>
      </c>
      <c r="CD144" s="43">
        <f>CD139/BX139-1</f>
        <v>0.90740740740740744</v>
      </c>
      <c r="CE144" s="50" t="s">
        <v>945</v>
      </c>
      <c r="CF144" s="50" t="s">
        <v>945</v>
      </c>
      <c r="CG144" s="164" t="s">
        <v>945</v>
      </c>
      <c r="CH144" s="342"/>
      <c r="CI144" s="50" t="s">
        <v>945</v>
      </c>
      <c r="CJ144" s="50" t="s">
        <v>945</v>
      </c>
      <c r="CK144" s="50" t="s">
        <v>945</v>
      </c>
      <c r="CL144" s="50" t="s">
        <v>945</v>
      </c>
      <c r="CM144" s="164" t="s">
        <v>945</v>
      </c>
      <c r="CN144" s="342"/>
      <c r="CO144" s="50" t="s">
        <v>945</v>
      </c>
      <c r="CP144" s="50" t="s">
        <v>945</v>
      </c>
      <c r="CQ144" s="50" t="s">
        <v>945</v>
      </c>
      <c r="CR144" s="50" t="s">
        <v>945</v>
      </c>
      <c r="CS144" s="164" t="s">
        <v>945</v>
      </c>
      <c r="CT144" s="342"/>
      <c r="CU144" s="50" t="s">
        <v>945</v>
      </c>
      <c r="CV144" s="50" t="s">
        <v>945</v>
      </c>
      <c r="CW144" s="50" t="s">
        <v>945</v>
      </c>
      <c r="CX144" s="50" t="s">
        <v>945</v>
      </c>
      <c r="CY144" s="164" t="s">
        <v>945</v>
      </c>
      <c r="CZ144" s="342"/>
      <c r="DA144" s="50" t="s">
        <v>945</v>
      </c>
      <c r="DB144" s="50" t="s">
        <v>945</v>
      </c>
      <c r="DC144" s="50" t="s">
        <v>945</v>
      </c>
      <c r="DD144" s="50" t="s">
        <v>945</v>
      </c>
      <c r="DE144" s="164" t="s">
        <v>945</v>
      </c>
      <c r="DF144" s="342"/>
      <c r="DG144" s="50" t="s">
        <v>945</v>
      </c>
      <c r="DH144" s="50" t="s">
        <v>945</v>
      </c>
      <c r="DI144" s="50" t="s">
        <v>945</v>
      </c>
      <c r="DJ144" s="50" t="s">
        <v>945</v>
      </c>
      <c r="DK144" s="164" t="s">
        <v>945</v>
      </c>
      <c r="DL144" s="342"/>
      <c r="DM144" s="50" t="s">
        <v>945</v>
      </c>
      <c r="DN144" s="50" t="s">
        <v>945</v>
      </c>
      <c r="DO144" s="50" t="s">
        <v>945</v>
      </c>
      <c r="DP144" s="50" t="s">
        <v>945</v>
      </c>
      <c r="DQ144" s="164" t="s">
        <v>945</v>
      </c>
      <c r="DR144" s="342"/>
      <c r="DS144" s="50" t="s">
        <v>945</v>
      </c>
      <c r="DT144" s="50" t="s">
        <v>945</v>
      </c>
      <c r="DU144" s="50" t="s">
        <v>945</v>
      </c>
      <c r="DV144" s="50" t="s">
        <v>945</v>
      </c>
      <c r="DW144" s="164" t="s">
        <v>945</v>
      </c>
      <c r="DX144" s="342"/>
      <c r="DY144" s="50" t="s">
        <v>945</v>
      </c>
      <c r="DZ144" s="50" t="s">
        <v>945</v>
      </c>
      <c r="EA144" s="50" t="s">
        <v>945</v>
      </c>
      <c r="EB144" s="50" t="s">
        <v>945</v>
      </c>
      <c r="EC144" s="164" t="s">
        <v>945</v>
      </c>
      <c r="ED144" s="342"/>
      <c r="EE144" s="50" t="s">
        <v>945</v>
      </c>
      <c r="EF144" s="50" t="s">
        <v>945</v>
      </c>
      <c r="EG144" s="50" t="s">
        <v>945</v>
      </c>
      <c r="EH144" s="50" t="s">
        <v>945</v>
      </c>
      <c r="EI144" s="164" t="s">
        <v>945</v>
      </c>
      <c r="EJ144" s="342"/>
      <c r="EK144" s="50" t="s">
        <v>945</v>
      </c>
      <c r="EL144" s="50" t="s">
        <v>945</v>
      </c>
      <c r="EM144" s="50" t="s">
        <v>945</v>
      </c>
      <c r="EN144" s="50" t="s">
        <v>945</v>
      </c>
      <c r="EO144" s="164" t="s">
        <v>945</v>
      </c>
      <c r="EP144" s="342"/>
      <c r="EQ144" s="50" t="s">
        <v>945</v>
      </c>
      <c r="ER144" s="50" t="s">
        <v>945</v>
      </c>
      <c r="ES144" s="50" t="s">
        <v>945</v>
      </c>
      <c r="ET144" s="50" t="s">
        <v>945</v>
      </c>
      <c r="EU144" s="164" t="s">
        <v>945</v>
      </c>
      <c r="EV144" s="342"/>
      <c r="EW144" s="50" t="s">
        <v>945</v>
      </c>
      <c r="EX144" s="50" t="s">
        <v>945</v>
      </c>
      <c r="EY144" s="50" t="s">
        <v>945</v>
      </c>
      <c r="EZ144" s="50" t="s">
        <v>945</v>
      </c>
      <c r="FA144" s="164" t="s">
        <v>945</v>
      </c>
      <c r="FB144" s="342"/>
      <c r="FC144" s="50" t="s">
        <v>945</v>
      </c>
      <c r="FD144" s="50" t="s">
        <v>945</v>
      </c>
      <c r="FE144" s="50" t="s">
        <v>945</v>
      </c>
      <c r="FF144" s="50" t="s">
        <v>945</v>
      </c>
      <c r="FG144" s="164" t="s">
        <v>945</v>
      </c>
      <c r="FH144" s="342"/>
      <c r="FI144" s="50" t="s">
        <v>945</v>
      </c>
      <c r="FJ144" s="50" t="s">
        <v>945</v>
      </c>
      <c r="FK144" s="50" t="s">
        <v>945</v>
      </c>
      <c r="FL144" s="50" t="s">
        <v>945</v>
      </c>
      <c r="FM144" s="164" t="s">
        <v>945</v>
      </c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</row>
    <row r="145" spans="1:274" s="24" customFormat="1" hidden="1" x14ac:dyDescent="0.2">
      <c r="A145" s="342" t="s">
        <v>698</v>
      </c>
      <c r="B145" s="1040"/>
      <c r="C145" s="406" t="s">
        <v>945</v>
      </c>
      <c r="D145" s="406" t="s">
        <v>945</v>
      </c>
      <c r="E145" s="406" t="s">
        <v>945</v>
      </c>
      <c r="F145" s="406" t="s">
        <v>945</v>
      </c>
      <c r="G145" s="406" t="s">
        <v>945</v>
      </c>
      <c r="H145" s="406" t="s">
        <v>945</v>
      </c>
      <c r="I145" s="406" t="s">
        <v>945</v>
      </c>
      <c r="J145" s="406" t="s">
        <v>945</v>
      </c>
      <c r="K145" s="406" t="s">
        <v>945</v>
      </c>
      <c r="L145" s="406" t="s">
        <v>945</v>
      </c>
      <c r="M145" s="406" t="s">
        <v>945</v>
      </c>
      <c r="N145" s="342"/>
      <c r="O145" s="406" t="s">
        <v>945</v>
      </c>
      <c r="P145" s="406" t="s">
        <v>945</v>
      </c>
      <c r="Q145" s="406" t="s">
        <v>945</v>
      </c>
      <c r="R145" s="406" t="s">
        <v>945</v>
      </c>
      <c r="S145" s="406" t="s">
        <v>945</v>
      </c>
      <c r="T145" s="342"/>
      <c r="U145" s="406" t="s">
        <v>945</v>
      </c>
      <c r="V145" s="406" t="s">
        <v>945</v>
      </c>
      <c r="W145" s="406" t="s">
        <v>945</v>
      </c>
      <c r="X145" s="406" t="s">
        <v>945</v>
      </c>
      <c r="Y145" s="406" t="s">
        <v>945</v>
      </c>
      <c r="Z145" s="53"/>
      <c r="AA145" s="406" t="s">
        <v>945</v>
      </c>
      <c r="AB145" s="406" t="s">
        <v>945</v>
      </c>
      <c r="AC145" s="406" t="s">
        <v>945</v>
      </c>
      <c r="AD145" s="406" t="s">
        <v>945</v>
      </c>
      <c r="AE145" s="259" t="s">
        <v>945</v>
      </c>
      <c r="AF145" s="53"/>
      <c r="AG145" s="406" t="s">
        <v>945</v>
      </c>
      <c r="AH145" s="406" t="s">
        <v>945</v>
      </c>
      <c r="AI145" s="406" t="s">
        <v>945</v>
      </c>
      <c r="AJ145" s="406" t="s">
        <v>945</v>
      </c>
      <c r="AK145" s="259" t="s">
        <v>945</v>
      </c>
      <c r="AL145" s="53"/>
      <c r="AM145" s="94">
        <f t="shared" si="308"/>
        <v>0.41740937097005304</v>
      </c>
      <c r="AN145" s="94">
        <f t="shared" si="308"/>
        <v>0.34647244908893526</v>
      </c>
      <c r="AO145" s="94">
        <f t="shared" si="308"/>
        <v>0.30944485177885572</v>
      </c>
      <c r="AP145" s="94">
        <f t="shared" si="308"/>
        <v>0.2417175010091217</v>
      </c>
      <c r="AQ145" s="94">
        <f t="shared" si="308"/>
        <v>0.31584876350422864</v>
      </c>
      <c r="AR145" s="53"/>
      <c r="AS145" s="94">
        <f t="shared" si="309"/>
        <v>0.10794067993651502</v>
      </c>
      <c r="AT145" s="94">
        <f t="shared" si="309"/>
        <v>8.6128118669021925E-2</v>
      </c>
      <c r="AU145" s="94">
        <f t="shared" si="309"/>
        <v>2.1181579388970473E-2</v>
      </c>
      <c r="AV145" s="94">
        <f t="shared" si="309"/>
        <v>0.20118357872639314</v>
      </c>
      <c r="AW145" s="94">
        <f t="shared" si="309"/>
        <v>0.11130374193633608</v>
      </c>
      <c r="AX145" s="53"/>
      <c r="AY145" s="43">
        <f>AY140/AS140-1</f>
        <v>-1.0755611841757107E-2</v>
      </c>
      <c r="AZ145" s="43">
        <f>AZ140/AT140-1</f>
        <v>0.25892410567797719</v>
      </c>
      <c r="BA145" s="43">
        <f>BA140/AU140-1</f>
        <v>0.22596785877176528</v>
      </c>
      <c r="BB145" s="43">
        <f>BB140/AV140-1</f>
        <v>-7.5159360276496168E-2</v>
      </c>
      <c r="BC145" s="43">
        <f>BC140/AW140-1</f>
        <v>8.2557275725789525E-2</v>
      </c>
      <c r="BD145" s="53"/>
      <c r="BE145" s="43">
        <f t="shared" si="310"/>
        <v>0.17945984036126239</v>
      </c>
      <c r="BF145" s="43">
        <f t="shared" si="310"/>
        <v>-0.15785005282503217</v>
      </c>
      <c r="BG145" s="43">
        <f t="shared" si="310"/>
        <v>-0.14468738716066143</v>
      </c>
      <c r="BH145" s="43">
        <f t="shared" si="310"/>
        <v>-8.7434718637917075E-2</v>
      </c>
      <c r="BI145" s="43">
        <f t="shared" si="310"/>
        <v>-7.1249516212707253E-2</v>
      </c>
      <c r="BJ145" s="53"/>
      <c r="BK145" s="43">
        <f t="shared" si="302"/>
        <v>-0.11477296898264577</v>
      </c>
      <c r="BL145" s="43">
        <f t="shared" si="302"/>
        <v>-0.11356708118673831</v>
      </c>
      <c r="BM145" s="43">
        <f t="shared" si="302"/>
        <v>-2.4535335008147641E-2</v>
      </c>
      <c r="BN145" s="43">
        <f t="shared" si="302"/>
        <v>-6.1209404389522049E-2</v>
      </c>
      <c r="BO145" s="43">
        <f t="shared" si="302"/>
        <v>-7.8263381713114866E-2</v>
      </c>
      <c r="BP145" s="53"/>
      <c r="BQ145" s="43">
        <f t="shared" si="303"/>
        <v>-3.8869257950530089E-2</v>
      </c>
      <c r="BR145" s="43">
        <f t="shared" si="303"/>
        <v>-5.0847457627118953E-3</v>
      </c>
      <c r="BS145" s="43">
        <f t="shared" si="303"/>
        <v>-4.9180327868852514E-2</v>
      </c>
      <c r="BT145" s="43">
        <f t="shared" si="303"/>
        <v>-3.5665294924554169E-2</v>
      </c>
      <c r="BU145" s="43">
        <f t="shared" si="303"/>
        <v>-3.2464929859719494E-2</v>
      </c>
      <c r="BV145" s="50"/>
      <c r="BW145" s="43">
        <f t="shared" si="304"/>
        <v>-8.6397058823529438E-2</v>
      </c>
      <c r="BX145" s="43">
        <f t="shared" si="304"/>
        <v>0.16695059625212938</v>
      </c>
      <c r="BY145" s="43">
        <f t="shared" si="304"/>
        <v>0.71379310344827585</v>
      </c>
      <c r="BZ145" s="43">
        <f t="shared" si="304"/>
        <v>1.0014224751066858</v>
      </c>
      <c r="CA145" s="43">
        <f t="shared" si="304"/>
        <v>0.4842584921292461</v>
      </c>
      <c r="CB145" s="50"/>
      <c r="CC145" s="43">
        <f>CC140/BW140-1</f>
        <v>1.2354124748490944</v>
      </c>
      <c r="CD145" s="43">
        <f>CD140/BX140-1</f>
        <v>0.87153284671532849</v>
      </c>
      <c r="CE145" s="50" t="s">
        <v>945</v>
      </c>
      <c r="CF145" s="50" t="s">
        <v>945</v>
      </c>
      <c r="CG145" s="164" t="s">
        <v>945</v>
      </c>
      <c r="CH145" s="50"/>
      <c r="CI145" s="52"/>
      <c r="CJ145" s="52"/>
      <c r="CK145" s="52" t="s">
        <v>945</v>
      </c>
      <c r="CL145" s="52" t="s">
        <v>945</v>
      </c>
      <c r="CM145" s="149" t="s">
        <v>945</v>
      </c>
      <c r="CN145" s="52"/>
      <c r="CO145" s="43">
        <f>CO140/CI140-1</f>
        <v>0.26073926073926068</v>
      </c>
      <c r="CP145" s="43">
        <f>CP140/CJ140-1</f>
        <v>0.32203389830508478</v>
      </c>
      <c r="CQ145" s="43">
        <f>CQ140/CK140-1</f>
        <v>0.1613691931540342</v>
      </c>
      <c r="CR145" s="43">
        <f>CR140/CL140-1</f>
        <v>0.30487804878048785</v>
      </c>
      <c r="CS145" s="149">
        <v>0.31</v>
      </c>
      <c r="CT145" s="50"/>
      <c r="CU145" s="50" t="s">
        <v>945</v>
      </c>
      <c r="CV145" s="50" t="s">
        <v>945</v>
      </c>
      <c r="CW145" s="50" t="s">
        <v>945</v>
      </c>
      <c r="CX145" s="50" t="s">
        <v>945</v>
      </c>
      <c r="CY145" s="164" t="s">
        <v>945</v>
      </c>
      <c r="CZ145" s="50"/>
      <c r="DA145" s="50" t="s">
        <v>945</v>
      </c>
      <c r="DB145" s="50" t="s">
        <v>945</v>
      </c>
      <c r="DC145" s="50" t="s">
        <v>945</v>
      </c>
      <c r="DD145" s="50" t="s">
        <v>945</v>
      </c>
      <c r="DE145" s="164" t="s">
        <v>945</v>
      </c>
      <c r="DF145" s="50"/>
      <c r="DG145" s="50" t="s">
        <v>945</v>
      </c>
      <c r="DH145" s="50" t="s">
        <v>945</v>
      </c>
      <c r="DI145" s="50" t="s">
        <v>945</v>
      </c>
      <c r="DJ145" s="50" t="s">
        <v>945</v>
      </c>
      <c r="DK145" s="164" t="s">
        <v>945</v>
      </c>
      <c r="DL145" s="50"/>
      <c r="DM145" s="50" t="s">
        <v>945</v>
      </c>
      <c r="DN145" s="50" t="s">
        <v>945</v>
      </c>
      <c r="DO145" s="50" t="s">
        <v>945</v>
      </c>
      <c r="DP145" s="50" t="s">
        <v>945</v>
      </c>
      <c r="DQ145" s="164" t="s">
        <v>945</v>
      </c>
      <c r="DR145" s="50"/>
      <c r="DS145" s="50" t="s">
        <v>945</v>
      </c>
      <c r="DT145" s="50" t="s">
        <v>945</v>
      </c>
      <c r="DU145" s="50" t="s">
        <v>945</v>
      </c>
      <c r="DV145" s="50" t="s">
        <v>945</v>
      </c>
      <c r="DW145" s="164" t="s">
        <v>945</v>
      </c>
      <c r="DX145" s="50"/>
      <c r="DY145" s="50" t="s">
        <v>945</v>
      </c>
      <c r="DZ145" s="50" t="s">
        <v>945</v>
      </c>
      <c r="EA145" s="50" t="s">
        <v>945</v>
      </c>
      <c r="EB145" s="50" t="s">
        <v>945</v>
      </c>
      <c r="EC145" s="164" t="s">
        <v>945</v>
      </c>
      <c r="ED145" s="50"/>
      <c r="EE145" s="50" t="s">
        <v>945</v>
      </c>
      <c r="EF145" s="50" t="s">
        <v>945</v>
      </c>
      <c r="EG145" s="50" t="s">
        <v>945</v>
      </c>
      <c r="EH145" s="50" t="s">
        <v>945</v>
      </c>
      <c r="EI145" s="164" t="s">
        <v>945</v>
      </c>
      <c r="EJ145" s="50"/>
      <c r="EK145" s="50" t="s">
        <v>945</v>
      </c>
      <c r="EL145" s="50" t="s">
        <v>945</v>
      </c>
      <c r="EM145" s="50" t="s">
        <v>945</v>
      </c>
      <c r="EN145" s="50" t="s">
        <v>945</v>
      </c>
      <c r="EO145" s="164" t="s">
        <v>945</v>
      </c>
      <c r="EP145" s="50"/>
      <c r="EQ145" s="50" t="s">
        <v>945</v>
      </c>
      <c r="ER145" s="50" t="s">
        <v>945</v>
      </c>
      <c r="ES145" s="50" t="s">
        <v>945</v>
      </c>
      <c r="ET145" s="50" t="s">
        <v>945</v>
      </c>
      <c r="EU145" s="164" t="s">
        <v>945</v>
      </c>
      <c r="EV145" s="50"/>
      <c r="EW145" s="50" t="s">
        <v>945</v>
      </c>
      <c r="EX145" s="50" t="s">
        <v>945</v>
      </c>
      <c r="EY145" s="50" t="s">
        <v>945</v>
      </c>
      <c r="EZ145" s="50" t="s">
        <v>945</v>
      </c>
      <c r="FA145" s="164" t="s">
        <v>945</v>
      </c>
      <c r="FB145" s="50"/>
      <c r="FC145" s="50" t="s">
        <v>945</v>
      </c>
      <c r="FD145" s="50" t="s">
        <v>945</v>
      </c>
      <c r="FE145" s="50" t="s">
        <v>945</v>
      </c>
      <c r="FF145" s="50" t="s">
        <v>945</v>
      </c>
      <c r="FG145" s="164" t="s">
        <v>945</v>
      </c>
      <c r="FH145" s="50"/>
      <c r="FI145" s="50" t="s">
        <v>945</v>
      </c>
      <c r="FJ145" s="50" t="s">
        <v>945</v>
      </c>
      <c r="FK145" s="50" t="s">
        <v>945</v>
      </c>
      <c r="FL145" s="50" t="s">
        <v>945</v>
      </c>
      <c r="FM145" s="164" t="s">
        <v>945</v>
      </c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</row>
    <row r="146" spans="1:274" s="24" customFormat="1" hidden="1" x14ac:dyDescent="0.2">
      <c r="A146" s="58" t="s">
        <v>701</v>
      </c>
      <c r="B146" s="1040"/>
      <c r="C146" s="406"/>
      <c r="D146" s="406"/>
      <c r="E146" s="406"/>
      <c r="F146" s="406"/>
      <c r="G146" s="406"/>
      <c r="H146" s="406"/>
      <c r="I146" s="406"/>
      <c r="J146" s="406"/>
      <c r="K146" s="406"/>
      <c r="L146" s="406"/>
      <c r="M146" s="406"/>
      <c r="N146" s="342"/>
      <c r="O146" s="406"/>
      <c r="P146" s="406"/>
      <c r="Q146" s="406"/>
      <c r="R146" s="406"/>
      <c r="S146" s="406"/>
      <c r="T146" s="342"/>
      <c r="U146" s="406"/>
      <c r="V146" s="406"/>
      <c r="W146" s="406"/>
      <c r="X146" s="406"/>
      <c r="Y146" s="406"/>
      <c r="Z146" s="53"/>
      <c r="AA146" s="342"/>
      <c r="AB146" s="342"/>
      <c r="AC146" s="342"/>
      <c r="AD146" s="342"/>
      <c r="AE146" s="342"/>
      <c r="AF146" s="53"/>
      <c r="AG146" s="342"/>
      <c r="AH146" s="342"/>
      <c r="AI146" s="342"/>
      <c r="AJ146" s="342"/>
      <c r="AK146" s="342"/>
      <c r="AL146" s="53"/>
      <c r="AM146" s="342"/>
      <c r="AN146" s="342"/>
      <c r="AO146" s="342"/>
      <c r="AP146" s="342"/>
      <c r="AQ146" s="342"/>
      <c r="AR146" s="53"/>
      <c r="AS146" s="342"/>
      <c r="AT146" s="342"/>
      <c r="AU146" s="342"/>
      <c r="AV146" s="342"/>
      <c r="AW146" s="342"/>
      <c r="AX146" s="53"/>
      <c r="AY146" s="342"/>
      <c r="AZ146" s="342"/>
      <c r="BA146" s="342"/>
      <c r="BB146" s="342"/>
      <c r="BC146" s="342"/>
      <c r="BD146" s="53"/>
      <c r="BE146" s="342"/>
      <c r="BF146" s="342"/>
      <c r="BG146" s="342"/>
      <c r="BH146" s="342"/>
      <c r="BI146" s="342"/>
      <c r="BJ146" s="53"/>
      <c r="BK146" s="342"/>
      <c r="BL146" s="342"/>
      <c r="BM146" s="342"/>
      <c r="BN146" s="342"/>
      <c r="BO146" s="342"/>
      <c r="BP146" s="53"/>
      <c r="BQ146" s="43"/>
      <c r="BR146" s="50"/>
      <c r="BS146" s="50"/>
      <c r="BT146" s="50"/>
      <c r="BU146" s="50"/>
      <c r="BV146" s="50"/>
      <c r="BW146" s="50"/>
      <c r="BX146" s="50"/>
      <c r="BY146" s="50"/>
      <c r="BZ146" s="50"/>
      <c r="CA146" s="50"/>
      <c r="CB146" s="50"/>
      <c r="CC146" s="50"/>
      <c r="CD146" s="50"/>
      <c r="CE146" s="50"/>
      <c r="CF146" s="50"/>
      <c r="CG146" s="164"/>
      <c r="CH146" s="50"/>
      <c r="CI146" s="50"/>
      <c r="CJ146" s="50"/>
      <c r="CK146" s="50"/>
      <c r="CL146" s="50"/>
      <c r="CM146" s="164"/>
      <c r="CN146" s="50"/>
      <c r="CO146" s="50"/>
      <c r="CP146" s="50"/>
      <c r="CQ146" s="50"/>
      <c r="CR146" s="50"/>
      <c r="CS146" s="164"/>
      <c r="CT146" s="50"/>
      <c r="CU146" s="50"/>
      <c r="CV146" s="50"/>
      <c r="CW146" s="50"/>
      <c r="CX146" s="50"/>
      <c r="CY146" s="164"/>
      <c r="CZ146" s="50"/>
      <c r="DA146" s="50"/>
      <c r="DB146" s="50"/>
      <c r="DC146" s="50"/>
      <c r="DD146" s="50"/>
      <c r="DE146" s="164"/>
      <c r="DF146" s="50"/>
      <c r="DG146" s="50"/>
      <c r="DH146" s="50"/>
      <c r="DI146" s="50"/>
      <c r="DJ146" s="50"/>
      <c r="DK146" s="164"/>
      <c r="DL146" s="50"/>
      <c r="DM146" s="50"/>
      <c r="DN146" s="50"/>
      <c r="DO146" s="50"/>
      <c r="DP146" s="50"/>
      <c r="DQ146" s="164"/>
      <c r="DR146" s="50"/>
      <c r="DS146" s="50"/>
      <c r="DT146" s="50"/>
      <c r="DU146" s="50"/>
      <c r="DV146" s="50"/>
      <c r="DW146" s="164"/>
      <c r="DX146" s="50"/>
      <c r="DY146" s="50"/>
      <c r="DZ146" s="50"/>
      <c r="EA146" s="50"/>
      <c r="EB146" s="50"/>
      <c r="EC146" s="164"/>
      <c r="ED146" s="50"/>
      <c r="EE146" s="50"/>
      <c r="EF146" s="50"/>
      <c r="EG146" s="50"/>
      <c r="EH146" s="50"/>
      <c r="EI146" s="164"/>
      <c r="EJ146" s="50"/>
      <c r="EK146" s="50"/>
      <c r="EL146" s="50"/>
      <c r="EM146" s="50"/>
      <c r="EN146" s="50"/>
      <c r="EO146" s="164"/>
      <c r="EP146" s="50"/>
      <c r="EQ146" s="50"/>
      <c r="ER146" s="50"/>
      <c r="ES146" s="50"/>
      <c r="ET146" s="50"/>
      <c r="EU146" s="164"/>
      <c r="EV146" s="50"/>
      <c r="EW146" s="50"/>
      <c r="EX146" s="50"/>
      <c r="EY146" s="50"/>
      <c r="EZ146" s="50"/>
      <c r="FA146" s="164"/>
      <c r="FB146" s="50"/>
      <c r="FC146" s="50"/>
      <c r="FD146" s="50"/>
      <c r="FE146" s="50"/>
      <c r="FF146" s="50"/>
      <c r="FG146" s="164"/>
      <c r="FH146" s="50"/>
      <c r="FI146" s="50"/>
      <c r="FJ146" s="50"/>
      <c r="FK146" s="50"/>
      <c r="FL146" s="50"/>
      <c r="FM146" s="164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</row>
    <row r="147" spans="1:274" s="24" customFormat="1" hidden="1" x14ac:dyDescent="0.2">
      <c r="A147" s="342" t="s">
        <v>707</v>
      </c>
      <c r="B147" s="1040"/>
      <c r="C147" s="406" t="s">
        <v>945</v>
      </c>
      <c r="D147" s="406" t="s">
        <v>945</v>
      </c>
      <c r="E147" s="406" t="s">
        <v>945</v>
      </c>
      <c r="F147" s="406" t="s">
        <v>945</v>
      </c>
      <c r="G147" s="406" t="s">
        <v>945</v>
      </c>
      <c r="H147" s="406" t="s">
        <v>945</v>
      </c>
      <c r="I147" s="406" t="s">
        <v>945</v>
      </c>
      <c r="J147" s="406" t="s">
        <v>945</v>
      </c>
      <c r="K147" s="406" t="s">
        <v>945</v>
      </c>
      <c r="L147" s="406" t="s">
        <v>945</v>
      </c>
      <c r="M147" s="406" t="s">
        <v>945</v>
      </c>
      <c r="N147" s="342"/>
      <c r="O147" s="406" t="s">
        <v>945</v>
      </c>
      <c r="P147" s="406" t="s">
        <v>945</v>
      </c>
      <c r="Q147" s="406" t="s">
        <v>945</v>
      </c>
      <c r="R147" s="406" t="s">
        <v>945</v>
      </c>
      <c r="S147" s="406" t="s">
        <v>945</v>
      </c>
      <c r="T147" s="342"/>
      <c r="U147" s="406" t="s">
        <v>945</v>
      </c>
      <c r="V147" s="406" t="s">
        <v>945</v>
      </c>
      <c r="W147" s="406" t="s">
        <v>945</v>
      </c>
      <c r="X147" s="406" t="s">
        <v>945</v>
      </c>
      <c r="Y147" s="406" t="s">
        <v>945</v>
      </c>
      <c r="Z147" s="53"/>
      <c r="AA147" s="43">
        <v>0.05</v>
      </c>
      <c r="AB147" s="43">
        <v>0.78</v>
      </c>
      <c r="AC147" s="43">
        <v>0.64</v>
      </c>
      <c r="AD147" s="43">
        <v>0.78</v>
      </c>
      <c r="AE147" s="43">
        <v>0.63</v>
      </c>
      <c r="AF147" s="53"/>
      <c r="AG147" s="94">
        <v>1.02</v>
      </c>
      <c r="AH147" s="94">
        <v>0.09</v>
      </c>
      <c r="AI147" s="94">
        <v>0.33</v>
      </c>
      <c r="AJ147" s="94">
        <v>0</v>
      </c>
      <c r="AK147" s="94">
        <v>0.2</v>
      </c>
      <c r="AL147" s="53"/>
      <c r="AM147" s="43">
        <v>0.03</v>
      </c>
      <c r="AN147" s="43">
        <v>0.19</v>
      </c>
      <c r="AO147" s="43">
        <v>0.06</v>
      </c>
      <c r="AP147" s="43">
        <v>0.28999999999999998</v>
      </c>
      <c r="AQ147" s="43">
        <v>0.17</v>
      </c>
      <c r="AR147" s="53"/>
      <c r="AS147" s="43">
        <v>0.12</v>
      </c>
      <c r="AT147" s="43">
        <v>0.32</v>
      </c>
      <c r="AU147" s="43">
        <v>0.37</v>
      </c>
      <c r="AV147" s="43">
        <v>0.63</v>
      </c>
      <c r="AW147" s="43">
        <v>0.43</v>
      </c>
      <c r="AX147" s="53"/>
      <c r="AY147" s="43">
        <v>0.45</v>
      </c>
      <c r="AZ147" s="43">
        <v>0.73</v>
      </c>
      <c r="BA147" s="43">
        <v>0.28000000000000003</v>
      </c>
      <c r="BB147" s="43">
        <v>-0.22</v>
      </c>
      <c r="BC147" s="43">
        <v>0.14000000000000001</v>
      </c>
      <c r="BD147" s="53"/>
      <c r="BE147" s="43">
        <v>-0.05</v>
      </c>
      <c r="BF147" s="43">
        <v>-0.41</v>
      </c>
      <c r="BG147" s="43">
        <v>-0.4</v>
      </c>
      <c r="BH147" s="43">
        <v>-0.28000000000000003</v>
      </c>
      <c r="BI147" s="43">
        <v>-0.31</v>
      </c>
      <c r="BJ147" s="53"/>
      <c r="BK147" s="43">
        <v>-0.25</v>
      </c>
      <c r="BL147" s="43">
        <v>-0.35</v>
      </c>
      <c r="BM147" s="43">
        <v>-0.08</v>
      </c>
      <c r="BN147" s="43">
        <v>-0.04</v>
      </c>
      <c r="BO147" s="43">
        <v>-0.17</v>
      </c>
      <c r="BP147" s="53"/>
      <c r="BQ147" s="43">
        <v>-0.06</v>
      </c>
      <c r="BR147" s="43">
        <v>0.18</v>
      </c>
      <c r="BS147" s="43">
        <v>-0.05</v>
      </c>
      <c r="BT147" s="43">
        <v>-0.09</v>
      </c>
      <c r="BU147" s="43">
        <v>-0.02</v>
      </c>
      <c r="BV147" s="50"/>
      <c r="BW147" s="43">
        <v>-0.38</v>
      </c>
      <c r="BX147" s="43">
        <v>0.51</v>
      </c>
      <c r="BY147" s="43">
        <v>7.0000000000000007E-2</v>
      </c>
      <c r="BZ147" s="43">
        <v>0.49</v>
      </c>
      <c r="CA147" s="43">
        <v>0.25</v>
      </c>
      <c r="CB147" s="50"/>
      <c r="CC147" s="52">
        <v>0.82</v>
      </c>
      <c r="CD147" s="52">
        <v>0.27</v>
      </c>
      <c r="CE147" s="52">
        <v>0.82</v>
      </c>
      <c r="CF147" s="52">
        <v>0.83</v>
      </c>
      <c r="CG147" s="149">
        <v>0.67</v>
      </c>
      <c r="CH147" s="50"/>
      <c r="CI147" s="52">
        <v>0.78</v>
      </c>
      <c r="CJ147" s="52">
        <v>0.25</v>
      </c>
      <c r="CK147" s="52">
        <v>0.52</v>
      </c>
      <c r="CL147" s="52">
        <v>0.1</v>
      </c>
      <c r="CM147" s="149">
        <v>0.28999999999999998</v>
      </c>
      <c r="CN147" s="50"/>
      <c r="CO147" s="52">
        <v>0.61</v>
      </c>
      <c r="CP147" s="52">
        <v>0.56000000000000005</v>
      </c>
      <c r="CQ147" s="52">
        <v>0.02</v>
      </c>
      <c r="CR147" s="52">
        <v>0.31</v>
      </c>
      <c r="CS147" s="149">
        <v>0.33</v>
      </c>
      <c r="CT147" s="50"/>
      <c r="CU147" s="50" t="s">
        <v>945</v>
      </c>
      <c r="CV147" s="50" t="s">
        <v>945</v>
      </c>
      <c r="CW147" s="50" t="s">
        <v>945</v>
      </c>
      <c r="CX147" s="50" t="s">
        <v>945</v>
      </c>
      <c r="CY147" s="164" t="s">
        <v>945</v>
      </c>
      <c r="CZ147" s="50"/>
      <c r="DA147" s="50" t="s">
        <v>945</v>
      </c>
      <c r="DB147" s="50" t="s">
        <v>945</v>
      </c>
      <c r="DC147" s="50" t="s">
        <v>945</v>
      </c>
      <c r="DD147" s="50" t="s">
        <v>945</v>
      </c>
      <c r="DE147" s="164" t="s">
        <v>945</v>
      </c>
      <c r="DF147" s="50"/>
      <c r="DG147" s="50" t="s">
        <v>945</v>
      </c>
      <c r="DH147" s="50" t="s">
        <v>945</v>
      </c>
      <c r="DI147" s="50" t="s">
        <v>945</v>
      </c>
      <c r="DJ147" s="50" t="s">
        <v>945</v>
      </c>
      <c r="DK147" s="164" t="s">
        <v>945</v>
      </c>
      <c r="DL147" s="50"/>
      <c r="DM147" s="50" t="s">
        <v>945</v>
      </c>
      <c r="DN147" s="50" t="s">
        <v>945</v>
      </c>
      <c r="DO147" s="50" t="s">
        <v>945</v>
      </c>
      <c r="DP147" s="50" t="s">
        <v>945</v>
      </c>
      <c r="DQ147" s="164" t="s">
        <v>945</v>
      </c>
      <c r="DR147" s="50"/>
      <c r="DS147" s="50" t="s">
        <v>945</v>
      </c>
      <c r="DT147" s="50" t="s">
        <v>945</v>
      </c>
      <c r="DU147" s="50" t="s">
        <v>945</v>
      </c>
      <c r="DV147" s="50" t="s">
        <v>945</v>
      </c>
      <c r="DW147" s="164" t="s">
        <v>945</v>
      </c>
      <c r="DX147" s="50"/>
      <c r="DY147" s="50" t="s">
        <v>945</v>
      </c>
      <c r="DZ147" s="50" t="s">
        <v>945</v>
      </c>
      <c r="EA147" s="50" t="s">
        <v>945</v>
      </c>
      <c r="EB147" s="50" t="s">
        <v>945</v>
      </c>
      <c r="EC147" s="164" t="s">
        <v>945</v>
      </c>
      <c r="ED147" s="50"/>
      <c r="EE147" s="50" t="s">
        <v>945</v>
      </c>
      <c r="EF147" s="50" t="s">
        <v>945</v>
      </c>
      <c r="EG147" s="50" t="s">
        <v>945</v>
      </c>
      <c r="EH147" s="50" t="s">
        <v>945</v>
      </c>
      <c r="EI147" s="164" t="s">
        <v>945</v>
      </c>
      <c r="EJ147" s="50"/>
      <c r="EK147" s="50" t="s">
        <v>945</v>
      </c>
      <c r="EL147" s="50" t="s">
        <v>945</v>
      </c>
      <c r="EM147" s="50" t="s">
        <v>945</v>
      </c>
      <c r="EN147" s="50" t="s">
        <v>945</v>
      </c>
      <c r="EO147" s="164" t="s">
        <v>945</v>
      </c>
      <c r="EP147" s="50"/>
      <c r="EQ147" s="50" t="s">
        <v>945</v>
      </c>
      <c r="ER147" s="50" t="s">
        <v>945</v>
      </c>
      <c r="ES147" s="50" t="s">
        <v>945</v>
      </c>
      <c r="ET147" s="50" t="s">
        <v>945</v>
      </c>
      <c r="EU147" s="164" t="s">
        <v>945</v>
      </c>
      <c r="EV147" s="50"/>
      <c r="EW147" s="50" t="s">
        <v>945</v>
      </c>
      <c r="EX147" s="50" t="s">
        <v>945</v>
      </c>
      <c r="EY147" s="50" t="s">
        <v>945</v>
      </c>
      <c r="EZ147" s="50" t="s">
        <v>945</v>
      </c>
      <c r="FA147" s="164" t="s">
        <v>945</v>
      </c>
      <c r="FB147" s="50"/>
      <c r="FC147" s="50" t="s">
        <v>945</v>
      </c>
      <c r="FD147" s="50" t="s">
        <v>945</v>
      </c>
      <c r="FE147" s="50" t="s">
        <v>945</v>
      </c>
      <c r="FF147" s="50" t="s">
        <v>945</v>
      </c>
      <c r="FG147" s="164" t="s">
        <v>945</v>
      </c>
      <c r="FH147" s="50"/>
      <c r="FI147" s="50" t="s">
        <v>945</v>
      </c>
      <c r="FJ147" s="50" t="s">
        <v>945</v>
      </c>
      <c r="FK147" s="50" t="s">
        <v>945</v>
      </c>
      <c r="FL147" s="50" t="s">
        <v>945</v>
      </c>
      <c r="FM147" s="164" t="s">
        <v>945</v>
      </c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</row>
    <row r="148" spans="1:274" s="24" customFormat="1" hidden="1" x14ac:dyDescent="0.2">
      <c r="A148" s="342" t="s">
        <v>470</v>
      </c>
      <c r="B148" s="414"/>
      <c r="C148" s="406" t="s">
        <v>945</v>
      </c>
      <c r="D148" s="406" t="s">
        <v>945</v>
      </c>
      <c r="E148" s="406" t="s">
        <v>945</v>
      </c>
      <c r="F148" s="406" t="s">
        <v>945</v>
      </c>
      <c r="G148" s="406" t="s">
        <v>945</v>
      </c>
      <c r="H148" s="406" t="s">
        <v>945</v>
      </c>
      <c r="I148" s="406" t="s">
        <v>945</v>
      </c>
      <c r="J148" s="406" t="s">
        <v>945</v>
      </c>
      <c r="K148" s="406" t="s">
        <v>945</v>
      </c>
      <c r="L148" s="406" t="s">
        <v>945</v>
      </c>
      <c r="M148" s="406" t="s">
        <v>945</v>
      </c>
      <c r="N148" s="342"/>
      <c r="O148" s="406" t="s">
        <v>945</v>
      </c>
      <c r="P148" s="406" t="s">
        <v>945</v>
      </c>
      <c r="Q148" s="406" t="s">
        <v>945</v>
      </c>
      <c r="R148" s="406" t="s">
        <v>945</v>
      </c>
      <c r="S148" s="406" t="s">
        <v>945</v>
      </c>
      <c r="T148" s="342"/>
      <c r="U148" s="406" t="s">
        <v>945</v>
      </c>
      <c r="V148" s="406" t="s">
        <v>945</v>
      </c>
      <c r="W148" s="406" t="s">
        <v>945</v>
      </c>
      <c r="X148" s="406" t="s">
        <v>945</v>
      </c>
      <c r="Y148" s="406" t="s">
        <v>945</v>
      </c>
      <c r="Z148" s="53"/>
      <c r="AA148" s="406" t="s">
        <v>945</v>
      </c>
      <c r="AB148" s="406" t="s">
        <v>945</v>
      </c>
      <c r="AC148" s="406" t="s">
        <v>945</v>
      </c>
      <c r="AD148" s="406" t="s">
        <v>945</v>
      </c>
      <c r="AE148" s="406" t="s">
        <v>945</v>
      </c>
      <c r="AF148" s="53"/>
      <c r="AG148" s="406" t="s">
        <v>945</v>
      </c>
      <c r="AH148" s="406" t="s">
        <v>945</v>
      </c>
      <c r="AI148" s="406" t="s">
        <v>945</v>
      </c>
      <c r="AJ148" s="406" t="s">
        <v>945</v>
      </c>
      <c r="AK148" s="406" t="s">
        <v>945</v>
      </c>
      <c r="AL148" s="53"/>
      <c r="AM148" s="406" t="s">
        <v>945</v>
      </c>
      <c r="AN148" s="406" t="s">
        <v>945</v>
      </c>
      <c r="AO148" s="406" t="s">
        <v>945</v>
      </c>
      <c r="AP148" s="406" t="s">
        <v>945</v>
      </c>
      <c r="AQ148" s="406" t="s">
        <v>945</v>
      </c>
      <c r="AR148" s="53"/>
      <c r="AS148" s="406" t="s">
        <v>945</v>
      </c>
      <c r="AT148" s="406" t="s">
        <v>945</v>
      </c>
      <c r="AU148" s="406" t="s">
        <v>945</v>
      </c>
      <c r="AV148" s="406" t="s">
        <v>945</v>
      </c>
      <c r="AW148" s="406" t="s">
        <v>945</v>
      </c>
      <c r="AX148" s="53"/>
      <c r="AY148" s="406" t="s">
        <v>945</v>
      </c>
      <c r="AZ148" s="406" t="s">
        <v>945</v>
      </c>
      <c r="BA148" s="406" t="s">
        <v>945</v>
      </c>
      <c r="BB148" s="406" t="s">
        <v>945</v>
      </c>
      <c r="BC148" s="406" t="s">
        <v>945</v>
      </c>
      <c r="BD148" s="53"/>
      <c r="BE148" s="43">
        <v>0.17</v>
      </c>
      <c r="BF148" s="43">
        <v>0.14000000000000001</v>
      </c>
      <c r="BG148" s="43">
        <v>0.1</v>
      </c>
      <c r="BH148" s="43">
        <v>0.15</v>
      </c>
      <c r="BI148" s="43">
        <v>0.14000000000000001</v>
      </c>
      <c r="BJ148" s="53"/>
      <c r="BK148" s="43">
        <v>0.06</v>
      </c>
      <c r="BL148" s="43">
        <v>0.08</v>
      </c>
      <c r="BM148" s="43">
        <v>0.14000000000000001</v>
      </c>
      <c r="BN148" s="43">
        <v>0.11</v>
      </c>
      <c r="BO148" s="43">
        <v>0.1</v>
      </c>
      <c r="BP148" s="53"/>
      <c r="BQ148" s="43">
        <v>0.13</v>
      </c>
      <c r="BR148" s="43">
        <v>0.12</v>
      </c>
      <c r="BS148" s="43">
        <v>0.04</v>
      </c>
      <c r="BT148" s="43">
        <v>0</v>
      </c>
      <c r="BU148" s="43">
        <v>7.0000000000000007E-2</v>
      </c>
      <c r="BV148" s="53"/>
      <c r="BW148" s="43">
        <v>0.04</v>
      </c>
      <c r="BX148" s="43">
        <v>0.03</v>
      </c>
      <c r="BY148" s="43">
        <v>1.04</v>
      </c>
      <c r="BZ148" s="43">
        <v>1.55</v>
      </c>
      <c r="CA148" s="43">
        <v>0.67</v>
      </c>
      <c r="CB148" s="53"/>
      <c r="CC148" s="52">
        <v>1.4</v>
      </c>
      <c r="CD148" s="52">
        <v>1.41</v>
      </c>
      <c r="CE148" s="50" t="s">
        <v>945</v>
      </c>
      <c r="CF148" s="50" t="s">
        <v>945</v>
      </c>
      <c r="CG148" s="164" t="s">
        <v>945</v>
      </c>
      <c r="CH148" s="53"/>
      <c r="CI148" s="52">
        <v>0.49</v>
      </c>
      <c r="CJ148" s="52">
        <v>0.41</v>
      </c>
      <c r="CK148" s="52">
        <v>0.23</v>
      </c>
      <c r="CL148" s="52">
        <v>0.19</v>
      </c>
      <c r="CM148" s="149">
        <v>0.32</v>
      </c>
      <c r="CN148" s="53"/>
      <c r="CO148" s="52">
        <v>0.22</v>
      </c>
      <c r="CP148" s="52">
        <v>0.21</v>
      </c>
      <c r="CQ148" s="52">
        <v>0.2</v>
      </c>
      <c r="CR148" s="52">
        <v>0.19</v>
      </c>
      <c r="CS148" s="149">
        <v>0.2</v>
      </c>
      <c r="CT148" s="53"/>
      <c r="CU148" s="50" t="s">
        <v>945</v>
      </c>
      <c r="CV148" s="50" t="s">
        <v>945</v>
      </c>
      <c r="CW148" s="50" t="s">
        <v>945</v>
      </c>
      <c r="CX148" s="50" t="s">
        <v>945</v>
      </c>
      <c r="CY148" s="164" t="s">
        <v>945</v>
      </c>
      <c r="CZ148" s="53"/>
      <c r="DA148" s="50" t="s">
        <v>945</v>
      </c>
      <c r="DB148" s="50" t="s">
        <v>945</v>
      </c>
      <c r="DC148" s="50" t="s">
        <v>945</v>
      </c>
      <c r="DD148" s="50" t="s">
        <v>945</v>
      </c>
      <c r="DE148" s="164" t="s">
        <v>945</v>
      </c>
      <c r="DF148" s="53"/>
      <c r="DG148" s="50" t="s">
        <v>945</v>
      </c>
      <c r="DH148" s="50" t="s">
        <v>945</v>
      </c>
      <c r="DI148" s="50" t="s">
        <v>945</v>
      </c>
      <c r="DJ148" s="50" t="s">
        <v>945</v>
      </c>
      <c r="DK148" s="164" t="s">
        <v>945</v>
      </c>
      <c r="DL148" s="53"/>
      <c r="DM148" s="50" t="s">
        <v>945</v>
      </c>
      <c r="DN148" s="50" t="s">
        <v>945</v>
      </c>
      <c r="DO148" s="50" t="s">
        <v>945</v>
      </c>
      <c r="DP148" s="50" t="s">
        <v>945</v>
      </c>
      <c r="DQ148" s="164" t="s">
        <v>945</v>
      </c>
      <c r="DR148" s="53"/>
      <c r="DS148" s="50" t="s">
        <v>945</v>
      </c>
      <c r="DT148" s="50" t="s">
        <v>945</v>
      </c>
      <c r="DU148" s="50" t="s">
        <v>945</v>
      </c>
      <c r="DV148" s="50" t="s">
        <v>945</v>
      </c>
      <c r="DW148" s="164" t="s">
        <v>945</v>
      </c>
      <c r="DX148" s="53"/>
      <c r="DY148" s="50" t="s">
        <v>945</v>
      </c>
      <c r="DZ148" s="50" t="s">
        <v>945</v>
      </c>
      <c r="EA148" s="50" t="s">
        <v>945</v>
      </c>
      <c r="EB148" s="50" t="s">
        <v>945</v>
      </c>
      <c r="EC148" s="164" t="s">
        <v>945</v>
      </c>
      <c r="ED148" s="53"/>
      <c r="EE148" s="50" t="s">
        <v>945</v>
      </c>
      <c r="EF148" s="50" t="s">
        <v>945</v>
      </c>
      <c r="EG148" s="50" t="s">
        <v>945</v>
      </c>
      <c r="EH148" s="50" t="s">
        <v>945</v>
      </c>
      <c r="EI148" s="164" t="s">
        <v>945</v>
      </c>
      <c r="EJ148" s="53"/>
      <c r="EK148" s="50" t="s">
        <v>945</v>
      </c>
      <c r="EL148" s="50" t="s">
        <v>945</v>
      </c>
      <c r="EM148" s="50" t="s">
        <v>945</v>
      </c>
      <c r="EN148" s="50" t="s">
        <v>945</v>
      </c>
      <c r="EO148" s="164" t="s">
        <v>945</v>
      </c>
      <c r="EP148" s="53"/>
      <c r="EQ148" s="50" t="s">
        <v>945</v>
      </c>
      <c r="ER148" s="50" t="s">
        <v>945</v>
      </c>
      <c r="ES148" s="50" t="s">
        <v>945</v>
      </c>
      <c r="ET148" s="50" t="s">
        <v>945</v>
      </c>
      <c r="EU148" s="164" t="s">
        <v>945</v>
      </c>
      <c r="EV148" s="53"/>
      <c r="EW148" s="50" t="s">
        <v>945</v>
      </c>
      <c r="EX148" s="50" t="s">
        <v>945</v>
      </c>
      <c r="EY148" s="50" t="s">
        <v>945</v>
      </c>
      <c r="EZ148" s="50" t="s">
        <v>945</v>
      </c>
      <c r="FA148" s="164" t="s">
        <v>945</v>
      </c>
      <c r="FB148" s="53"/>
      <c r="FC148" s="50" t="s">
        <v>945</v>
      </c>
      <c r="FD148" s="50" t="s">
        <v>945</v>
      </c>
      <c r="FE148" s="50" t="s">
        <v>945</v>
      </c>
      <c r="FF148" s="50" t="s">
        <v>945</v>
      </c>
      <c r="FG148" s="164" t="s">
        <v>945</v>
      </c>
      <c r="FH148" s="53"/>
      <c r="FI148" s="50" t="s">
        <v>945</v>
      </c>
      <c r="FJ148" s="50" t="s">
        <v>945</v>
      </c>
      <c r="FK148" s="50" t="s">
        <v>945</v>
      </c>
      <c r="FL148" s="50" t="s">
        <v>945</v>
      </c>
      <c r="FM148" s="164" t="s">
        <v>945</v>
      </c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</row>
    <row r="149" spans="1:274" s="24" customFormat="1" hidden="1" x14ac:dyDescent="0.2">
      <c r="A149" s="342" t="s">
        <v>471</v>
      </c>
      <c r="B149" s="1040"/>
      <c r="C149" s="406" t="s">
        <v>945</v>
      </c>
      <c r="D149" s="406" t="s">
        <v>945</v>
      </c>
      <c r="E149" s="406" t="s">
        <v>945</v>
      </c>
      <c r="F149" s="406" t="s">
        <v>945</v>
      </c>
      <c r="G149" s="406" t="s">
        <v>945</v>
      </c>
      <c r="H149" s="406" t="s">
        <v>945</v>
      </c>
      <c r="I149" s="406" t="s">
        <v>945</v>
      </c>
      <c r="J149" s="406" t="s">
        <v>945</v>
      </c>
      <c r="K149" s="406" t="s">
        <v>945</v>
      </c>
      <c r="L149" s="406" t="s">
        <v>945</v>
      </c>
      <c r="M149" s="406" t="s">
        <v>945</v>
      </c>
      <c r="N149" s="342"/>
      <c r="O149" s="406" t="s">
        <v>945</v>
      </c>
      <c r="P149" s="406" t="s">
        <v>945</v>
      </c>
      <c r="Q149" s="406" t="s">
        <v>945</v>
      </c>
      <c r="R149" s="406" t="s">
        <v>945</v>
      </c>
      <c r="S149" s="406" t="s">
        <v>945</v>
      </c>
      <c r="T149" s="342"/>
      <c r="U149" s="406" t="s">
        <v>945</v>
      </c>
      <c r="V149" s="406" t="s">
        <v>945</v>
      </c>
      <c r="W149" s="406" t="s">
        <v>945</v>
      </c>
      <c r="X149" s="406" t="s">
        <v>945</v>
      </c>
      <c r="Y149" s="406" t="s">
        <v>945</v>
      </c>
      <c r="Z149" s="53"/>
      <c r="AA149" s="406" t="s">
        <v>945</v>
      </c>
      <c r="AB149" s="406" t="s">
        <v>945</v>
      </c>
      <c r="AC149" s="406" t="s">
        <v>945</v>
      </c>
      <c r="AD149" s="406" t="s">
        <v>945</v>
      </c>
      <c r="AE149" s="406" t="s">
        <v>945</v>
      </c>
      <c r="AF149" s="53"/>
      <c r="AG149" s="406" t="s">
        <v>945</v>
      </c>
      <c r="AH149" s="406" t="s">
        <v>945</v>
      </c>
      <c r="AI149" s="406" t="s">
        <v>945</v>
      </c>
      <c r="AJ149" s="406" t="s">
        <v>945</v>
      </c>
      <c r="AK149" s="406" t="s">
        <v>945</v>
      </c>
      <c r="AL149" s="53"/>
      <c r="AM149" s="406" t="s">
        <v>945</v>
      </c>
      <c r="AN149" s="406" t="s">
        <v>945</v>
      </c>
      <c r="AO149" s="406" t="s">
        <v>945</v>
      </c>
      <c r="AP149" s="406" t="s">
        <v>945</v>
      </c>
      <c r="AQ149" s="406" t="s">
        <v>945</v>
      </c>
      <c r="AR149" s="53"/>
      <c r="AS149" s="406" t="s">
        <v>945</v>
      </c>
      <c r="AT149" s="406" t="s">
        <v>945</v>
      </c>
      <c r="AU149" s="406" t="s">
        <v>945</v>
      </c>
      <c r="AV149" s="406" t="s">
        <v>945</v>
      </c>
      <c r="AW149" s="406" t="s">
        <v>945</v>
      </c>
      <c r="AX149" s="53"/>
      <c r="AY149" s="406" t="s">
        <v>945</v>
      </c>
      <c r="AZ149" s="406" t="s">
        <v>945</v>
      </c>
      <c r="BA149" s="406" t="s">
        <v>945</v>
      </c>
      <c r="BB149" s="406" t="s">
        <v>945</v>
      </c>
      <c r="BC149" s="406" t="s">
        <v>945</v>
      </c>
      <c r="BD149" s="53"/>
      <c r="BE149" s="43">
        <v>0.43</v>
      </c>
      <c r="BF149" s="43">
        <v>-7.0000000000000007E-2</v>
      </c>
      <c r="BG149" s="43">
        <v>-0.04</v>
      </c>
      <c r="BH149" s="43">
        <v>-0.03</v>
      </c>
      <c r="BI149" s="43">
        <v>0.04</v>
      </c>
      <c r="BJ149" s="53"/>
      <c r="BK149" s="43">
        <v>-0.19</v>
      </c>
      <c r="BL149" s="43">
        <v>-0.15</v>
      </c>
      <c r="BM149" s="43">
        <v>-0.19</v>
      </c>
      <c r="BN149" s="43">
        <v>-0.28999999999999998</v>
      </c>
      <c r="BO149" s="43">
        <v>-0.21</v>
      </c>
      <c r="BP149" s="53"/>
      <c r="BQ149" s="43">
        <v>-0.21</v>
      </c>
      <c r="BR149" s="43">
        <v>-0.28999999999999998</v>
      </c>
      <c r="BS149" s="43">
        <v>-0.25</v>
      </c>
      <c r="BT149" s="43">
        <v>-0.1</v>
      </c>
      <c r="BU149" s="43">
        <v>-0.22</v>
      </c>
      <c r="BV149" s="53"/>
      <c r="BW149" s="43">
        <v>-0.15</v>
      </c>
      <c r="BX149" s="43">
        <v>-0.01</v>
      </c>
      <c r="BY149" s="43">
        <v>0.67</v>
      </c>
      <c r="BZ149" s="43">
        <v>0.83</v>
      </c>
      <c r="CA149" s="43">
        <v>0.33</v>
      </c>
      <c r="CB149" s="53"/>
      <c r="CC149" s="52">
        <v>0.96</v>
      </c>
      <c r="CD149" s="52">
        <v>0.95</v>
      </c>
      <c r="CE149" s="50" t="s">
        <v>945</v>
      </c>
      <c r="CF149" s="50" t="s">
        <v>945</v>
      </c>
      <c r="CG149" s="164" t="s">
        <v>945</v>
      </c>
      <c r="CH149" s="53"/>
      <c r="CI149" s="50" t="s">
        <v>945</v>
      </c>
      <c r="CJ149" s="50" t="s">
        <v>945</v>
      </c>
      <c r="CK149" s="50" t="s">
        <v>945</v>
      </c>
      <c r="CL149" s="50" t="s">
        <v>945</v>
      </c>
      <c r="CM149" s="164" t="s">
        <v>945</v>
      </c>
      <c r="CN149" s="53"/>
      <c r="CO149" s="52" t="s">
        <v>945</v>
      </c>
      <c r="CP149" s="50" t="s">
        <v>945</v>
      </c>
      <c r="CQ149" s="50" t="s">
        <v>945</v>
      </c>
      <c r="CR149" s="50" t="s">
        <v>945</v>
      </c>
      <c r="CS149" s="164" t="s">
        <v>945</v>
      </c>
      <c r="CT149" s="53"/>
      <c r="CU149" s="50" t="s">
        <v>945</v>
      </c>
      <c r="CV149" s="50" t="s">
        <v>945</v>
      </c>
      <c r="CW149" s="50" t="s">
        <v>945</v>
      </c>
      <c r="CX149" s="50" t="s">
        <v>945</v>
      </c>
      <c r="CY149" s="164" t="s">
        <v>945</v>
      </c>
      <c r="CZ149" s="53"/>
      <c r="DA149" s="50" t="s">
        <v>945</v>
      </c>
      <c r="DB149" s="50" t="s">
        <v>945</v>
      </c>
      <c r="DC149" s="50" t="s">
        <v>945</v>
      </c>
      <c r="DD149" s="50" t="s">
        <v>945</v>
      </c>
      <c r="DE149" s="164" t="s">
        <v>945</v>
      </c>
      <c r="DF149" s="53"/>
      <c r="DG149" s="50" t="s">
        <v>945</v>
      </c>
      <c r="DH149" s="50" t="s">
        <v>945</v>
      </c>
      <c r="DI149" s="50" t="s">
        <v>945</v>
      </c>
      <c r="DJ149" s="50" t="s">
        <v>945</v>
      </c>
      <c r="DK149" s="164" t="s">
        <v>945</v>
      </c>
      <c r="DL149" s="53"/>
      <c r="DM149" s="50" t="s">
        <v>945</v>
      </c>
      <c r="DN149" s="50" t="s">
        <v>945</v>
      </c>
      <c r="DO149" s="50" t="s">
        <v>945</v>
      </c>
      <c r="DP149" s="50" t="s">
        <v>945</v>
      </c>
      <c r="DQ149" s="164" t="s">
        <v>945</v>
      </c>
      <c r="DR149" s="53"/>
      <c r="DS149" s="50" t="s">
        <v>945</v>
      </c>
      <c r="DT149" s="50" t="s">
        <v>945</v>
      </c>
      <c r="DU149" s="50" t="s">
        <v>945</v>
      </c>
      <c r="DV149" s="50" t="s">
        <v>945</v>
      </c>
      <c r="DW149" s="164" t="s">
        <v>945</v>
      </c>
      <c r="DX149" s="53"/>
      <c r="DY149" s="50" t="s">
        <v>945</v>
      </c>
      <c r="DZ149" s="50" t="s">
        <v>945</v>
      </c>
      <c r="EA149" s="50" t="s">
        <v>945</v>
      </c>
      <c r="EB149" s="50" t="s">
        <v>945</v>
      </c>
      <c r="EC149" s="164" t="s">
        <v>945</v>
      </c>
      <c r="ED149" s="53"/>
      <c r="EE149" s="50" t="s">
        <v>945</v>
      </c>
      <c r="EF149" s="50" t="s">
        <v>945</v>
      </c>
      <c r="EG149" s="50" t="s">
        <v>945</v>
      </c>
      <c r="EH149" s="50" t="s">
        <v>945</v>
      </c>
      <c r="EI149" s="164" t="s">
        <v>945</v>
      </c>
      <c r="EJ149" s="53"/>
      <c r="EK149" s="50" t="s">
        <v>945</v>
      </c>
      <c r="EL149" s="50" t="s">
        <v>945</v>
      </c>
      <c r="EM149" s="50" t="s">
        <v>945</v>
      </c>
      <c r="EN149" s="50" t="s">
        <v>945</v>
      </c>
      <c r="EO149" s="164" t="s">
        <v>945</v>
      </c>
      <c r="EP149" s="53"/>
      <c r="EQ149" s="50" t="s">
        <v>945</v>
      </c>
      <c r="ER149" s="50" t="s">
        <v>945</v>
      </c>
      <c r="ES149" s="50" t="s">
        <v>945</v>
      </c>
      <c r="ET149" s="50" t="s">
        <v>945</v>
      </c>
      <c r="EU149" s="164" t="s">
        <v>945</v>
      </c>
      <c r="EV149" s="53"/>
      <c r="EW149" s="50" t="s">
        <v>945</v>
      </c>
      <c r="EX149" s="50" t="s">
        <v>945</v>
      </c>
      <c r="EY149" s="50" t="s">
        <v>945</v>
      </c>
      <c r="EZ149" s="50" t="s">
        <v>945</v>
      </c>
      <c r="FA149" s="164" t="s">
        <v>945</v>
      </c>
      <c r="FB149" s="53"/>
      <c r="FC149" s="50" t="s">
        <v>945</v>
      </c>
      <c r="FD149" s="50" t="s">
        <v>945</v>
      </c>
      <c r="FE149" s="50" t="s">
        <v>945</v>
      </c>
      <c r="FF149" s="50" t="s">
        <v>945</v>
      </c>
      <c r="FG149" s="164" t="s">
        <v>945</v>
      </c>
      <c r="FH149" s="53"/>
      <c r="FI149" s="50" t="s">
        <v>945</v>
      </c>
      <c r="FJ149" s="50" t="s">
        <v>945</v>
      </c>
      <c r="FK149" s="50" t="s">
        <v>945</v>
      </c>
      <c r="FL149" s="50" t="s">
        <v>945</v>
      </c>
      <c r="FM149" s="164" t="s">
        <v>945</v>
      </c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</row>
    <row r="150" spans="1:274" s="24" customFormat="1" hidden="1" x14ac:dyDescent="0.2">
      <c r="A150" s="140" t="s">
        <v>698</v>
      </c>
      <c r="B150" s="432"/>
      <c r="C150" s="141" t="s">
        <v>945</v>
      </c>
      <c r="D150" s="141" t="s">
        <v>945</v>
      </c>
      <c r="E150" s="141" t="s">
        <v>945</v>
      </c>
      <c r="F150" s="141" t="s">
        <v>945</v>
      </c>
      <c r="G150" s="141" t="s">
        <v>945</v>
      </c>
      <c r="H150" s="141" t="s">
        <v>945</v>
      </c>
      <c r="I150" s="141" t="s">
        <v>945</v>
      </c>
      <c r="J150" s="141" t="s">
        <v>945</v>
      </c>
      <c r="K150" s="141" t="s">
        <v>945</v>
      </c>
      <c r="L150" s="141" t="s">
        <v>945</v>
      </c>
      <c r="M150" s="141" t="s">
        <v>945</v>
      </c>
      <c r="N150" s="849"/>
      <c r="O150" s="141" t="s">
        <v>945</v>
      </c>
      <c r="P150" s="141" t="s">
        <v>945</v>
      </c>
      <c r="Q150" s="141" t="s">
        <v>945</v>
      </c>
      <c r="R150" s="141" t="s">
        <v>945</v>
      </c>
      <c r="S150" s="141" t="s">
        <v>945</v>
      </c>
      <c r="T150" s="849"/>
      <c r="U150" s="141" t="s">
        <v>945</v>
      </c>
      <c r="V150" s="141" t="s">
        <v>945</v>
      </c>
      <c r="W150" s="141" t="s">
        <v>945</v>
      </c>
      <c r="X150" s="141" t="s">
        <v>945</v>
      </c>
      <c r="Y150" s="141" t="s">
        <v>945</v>
      </c>
      <c r="Z150" s="172"/>
      <c r="AA150" s="141" t="s">
        <v>945</v>
      </c>
      <c r="AB150" s="141" t="s">
        <v>945</v>
      </c>
      <c r="AC150" s="141" t="s">
        <v>945</v>
      </c>
      <c r="AD150" s="141" t="s">
        <v>945</v>
      </c>
      <c r="AE150" s="141" t="s">
        <v>945</v>
      </c>
      <c r="AF150" s="172"/>
      <c r="AG150" s="141" t="s">
        <v>945</v>
      </c>
      <c r="AH150" s="141" t="s">
        <v>945</v>
      </c>
      <c r="AI150" s="141" t="s">
        <v>945</v>
      </c>
      <c r="AJ150" s="141" t="s">
        <v>945</v>
      </c>
      <c r="AK150" s="141" t="s">
        <v>945</v>
      </c>
      <c r="AL150" s="172"/>
      <c r="AM150" s="141" t="s">
        <v>945</v>
      </c>
      <c r="AN150" s="141" t="s">
        <v>945</v>
      </c>
      <c r="AO150" s="141" t="s">
        <v>945</v>
      </c>
      <c r="AP150" s="141" t="s">
        <v>945</v>
      </c>
      <c r="AQ150" s="141" t="s">
        <v>945</v>
      </c>
      <c r="AR150" s="172"/>
      <c r="AS150" s="141" t="s">
        <v>945</v>
      </c>
      <c r="AT150" s="141" t="s">
        <v>945</v>
      </c>
      <c r="AU150" s="141" t="s">
        <v>945</v>
      </c>
      <c r="AV150" s="141" t="s">
        <v>945</v>
      </c>
      <c r="AW150" s="141" t="s">
        <v>945</v>
      </c>
      <c r="AX150" s="172"/>
      <c r="AY150" s="141" t="s">
        <v>945</v>
      </c>
      <c r="AZ150" s="141" t="s">
        <v>945</v>
      </c>
      <c r="BA150" s="141" t="s">
        <v>945</v>
      </c>
      <c r="BB150" s="141" t="s">
        <v>945</v>
      </c>
      <c r="BC150" s="141" t="s">
        <v>945</v>
      </c>
      <c r="BD150" s="172"/>
      <c r="BE150" s="142">
        <v>0.21</v>
      </c>
      <c r="BF150" s="142">
        <v>-0.15</v>
      </c>
      <c r="BG150" s="142">
        <v>-0.13</v>
      </c>
      <c r="BH150" s="142">
        <v>-0.09</v>
      </c>
      <c r="BI150" s="142">
        <v>-0.06</v>
      </c>
      <c r="BJ150" s="172"/>
      <c r="BK150" s="142">
        <v>-0.13</v>
      </c>
      <c r="BL150" s="142">
        <v>-0.14000000000000001</v>
      </c>
      <c r="BM150" s="142">
        <v>-7.0000000000000007E-2</v>
      </c>
      <c r="BN150" s="142">
        <v>-0.11</v>
      </c>
      <c r="BO150" s="142">
        <v>-0.11</v>
      </c>
      <c r="BP150" s="172"/>
      <c r="BQ150" s="142">
        <v>-7.0000000000000007E-2</v>
      </c>
      <c r="BR150" s="142">
        <v>-0.06</v>
      </c>
      <c r="BS150" s="142">
        <v>-0.1</v>
      </c>
      <c r="BT150" s="142">
        <v>-0.06</v>
      </c>
      <c r="BU150" s="142">
        <v>-7.0000000000000007E-2</v>
      </c>
      <c r="BV150" s="172"/>
      <c r="BW150" s="142">
        <v>-0.11</v>
      </c>
      <c r="BX150" s="142">
        <v>0.13</v>
      </c>
      <c r="BY150" s="142">
        <v>0.68</v>
      </c>
      <c r="BZ150" s="142">
        <f>BZ145-4%</f>
        <v>0.96142247510668577</v>
      </c>
      <c r="CA150" s="142">
        <v>0.44</v>
      </c>
      <c r="CB150" s="172"/>
      <c r="CC150" s="173">
        <v>1.1499999999999999</v>
      </c>
      <c r="CD150" s="173">
        <v>0.91</v>
      </c>
      <c r="CE150" s="169" t="s">
        <v>945</v>
      </c>
      <c r="CF150" s="169" t="s">
        <v>945</v>
      </c>
      <c r="CG150" s="175" t="s">
        <v>945</v>
      </c>
      <c r="CH150" s="172"/>
      <c r="CI150" s="173">
        <v>0.55000000000000004</v>
      </c>
      <c r="CJ150" s="173">
        <v>0.35</v>
      </c>
      <c r="CK150" s="173">
        <v>0.32</v>
      </c>
      <c r="CL150" s="173">
        <v>0.15</v>
      </c>
      <c r="CM150" s="871">
        <v>0.31</v>
      </c>
      <c r="CN150" s="173"/>
      <c r="CO150" s="173">
        <v>0.32</v>
      </c>
      <c r="CP150" s="173">
        <v>0.32</v>
      </c>
      <c r="CQ150" s="173">
        <v>0.14000000000000001</v>
      </c>
      <c r="CR150" s="173">
        <v>0.24</v>
      </c>
      <c r="CS150" s="871">
        <v>0.25</v>
      </c>
      <c r="CT150" s="172"/>
      <c r="CU150" s="169" t="s">
        <v>945</v>
      </c>
      <c r="CV150" s="169" t="s">
        <v>945</v>
      </c>
      <c r="CW150" s="169" t="s">
        <v>945</v>
      </c>
      <c r="CX150" s="169" t="s">
        <v>945</v>
      </c>
      <c r="CY150" s="175" t="s">
        <v>945</v>
      </c>
      <c r="CZ150" s="172"/>
      <c r="DA150" s="169" t="s">
        <v>945</v>
      </c>
      <c r="DB150" s="169" t="s">
        <v>945</v>
      </c>
      <c r="DC150" s="169" t="s">
        <v>945</v>
      </c>
      <c r="DD150" s="169" t="s">
        <v>945</v>
      </c>
      <c r="DE150" s="175" t="s">
        <v>945</v>
      </c>
      <c r="DF150" s="172"/>
      <c r="DG150" s="169" t="s">
        <v>945</v>
      </c>
      <c r="DH150" s="169" t="s">
        <v>945</v>
      </c>
      <c r="DI150" s="169" t="s">
        <v>945</v>
      </c>
      <c r="DJ150" s="169" t="s">
        <v>945</v>
      </c>
      <c r="DK150" s="175" t="s">
        <v>945</v>
      </c>
      <c r="DL150" s="172"/>
      <c r="DM150" s="169" t="s">
        <v>945</v>
      </c>
      <c r="DN150" s="169" t="s">
        <v>945</v>
      </c>
      <c r="DO150" s="169" t="s">
        <v>945</v>
      </c>
      <c r="DP150" s="169" t="s">
        <v>945</v>
      </c>
      <c r="DQ150" s="175" t="s">
        <v>945</v>
      </c>
      <c r="DR150" s="172"/>
      <c r="DS150" s="169" t="s">
        <v>945</v>
      </c>
      <c r="DT150" s="169" t="s">
        <v>945</v>
      </c>
      <c r="DU150" s="169" t="s">
        <v>945</v>
      </c>
      <c r="DV150" s="169" t="s">
        <v>945</v>
      </c>
      <c r="DW150" s="175" t="s">
        <v>945</v>
      </c>
      <c r="DX150" s="172"/>
      <c r="DY150" s="169" t="s">
        <v>945</v>
      </c>
      <c r="DZ150" s="169" t="s">
        <v>945</v>
      </c>
      <c r="EA150" s="169" t="s">
        <v>945</v>
      </c>
      <c r="EB150" s="169" t="s">
        <v>945</v>
      </c>
      <c r="EC150" s="175" t="s">
        <v>945</v>
      </c>
      <c r="ED150" s="172"/>
      <c r="EE150" s="169" t="s">
        <v>945</v>
      </c>
      <c r="EF150" s="169" t="s">
        <v>945</v>
      </c>
      <c r="EG150" s="169" t="s">
        <v>945</v>
      </c>
      <c r="EH150" s="169" t="s">
        <v>945</v>
      </c>
      <c r="EI150" s="175" t="s">
        <v>945</v>
      </c>
      <c r="EJ150" s="172"/>
      <c r="EK150" s="169" t="s">
        <v>945</v>
      </c>
      <c r="EL150" s="169" t="s">
        <v>945</v>
      </c>
      <c r="EM150" s="169" t="s">
        <v>945</v>
      </c>
      <c r="EN150" s="169" t="s">
        <v>945</v>
      </c>
      <c r="EO150" s="175" t="s">
        <v>945</v>
      </c>
      <c r="EP150" s="172"/>
      <c r="EQ150" s="169" t="s">
        <v>945</v>
      </c>
      <c r="ER150" s="169" t="s">
        <v>945</v>
      </c>
      <c r="ES150" s="169" t="s">
        <v>945</v>
      </c>
      <c r="ET150" s="169" t="s">
        <v>945</v>
      </c>
      <c r="EU150" s="175" t="s">
        <v>945</v>
      </c>
      <c r="EV150" s="172"/>
      <c r="EW150" s="169" t="s">
        <v>945</v>
      </c>
      <c r="EX150" s="169" t="s">
        <v>945</v>
      </c>
      <c r="EY150" s="169" t="s">
        <v>945</v>
      </c>
      <c r="EZ150" s="169" t="s">
        <v>945</v>
      </c>
      <c r="FA150" s="175" t="s">
        <v>945</v>
      </c>
      <c r="FB150" s="172"/>
      <c r="FC150" s="169" t="s">
        <v>945</v>
      </c>
      <c r="FD150" s="169" t="s">
        <v>945</v>
      </c>
      <c r="FE150" s="169" t="s">
        <v>945</v>
      </c>
      <c r="FF150" s="169" t="s">
        <v>945</v>
      </c>
      <c r="FG150" s="175" t="s">
        <v>945</v>
      </c>
      <c r="FH150" s="172"/>
      <c r="FI150" s="169" t="s">
        <v>945</v>
      </c>
      <c r="FJ150" s="169" t="s">
        <v>945</v>
      </c>
      <c r="FK150" s="169" t="s">
        <v>945</v>
      </c>
      <c r="FL150" s="169" t="s">
        <v>945</v>
      </c>
      <c r="FM150" s="175" t="s">
        <v>945</v>
      </c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</row>
    <row r="151" spans="1:274" s="24" customFormat="1" ht="4.5" hidden="1" customHeight="1" x14ac:dyDescent="0.2">
      <c r="A151" s="342"/>
      <c r="B151" s="1040"/>
      <c r="C151" s="406"/>
      <c r="D151" s="406"/>
      <c r="E151" s="406"/>
      <c r="F151" s="406"/>
      <c r="G151" s="406"/>
      <c r="H151" s="406"/>
      <c r="I151" s="406"/>
      <c r="J151" s="406"/>
      <c r="K151" s="406"/>
      <c r="L151" s="406"/>
      <c r="M151" s="406"/>
      <c r="N151" s="342"/>
      <c r="O151" s="406"/>
      <c r="P151" s="406"/>
      <c r="Q151" s="406"/>
      <c r="R151" s="406"/>
      <c r="S151" s="406"/>
      <c r="T151" s="342"/>
      <c r="U151" s="406"/>
      <c r="V151" s="406"/>
      <c r="W151" s="406"/>
      <c r="X151" s="406"/>
      <c r="Y151" s="406"/>
      <c r="Z151" s="53"/>
      <c r="AA151" s="342"/>
      <c r="AB151" s="342"/>
      <c r="AC151" s="342"/>
      <c r="AD151" s="342"/>
      <c r="AE151" s="342"/>
      <c r="AF151" s="53"/>
      <c r="AG151" s="342"/>
      <c r="AH151" s="342"/>
      <c r="AI151" s="342"/>
      <c r="AJ151" s="342"/>
      <c r="AK151" s="342"/>
      <c r="AL151" s="53"/>
      <c r="AM151" s="342"/>
      <c r="AN151" s="342"/>
      <c r="AO151" s="342"/>
      <c r="AP151" s="342"/>
      <c r="AQ151" s="342"/>
      <c r="AR151" s="53"/>
      <c r="AS151" s="342"/>
      <c r="AT151" s="342"/>
      <c r="AU151" s="342"/>
      <c r="AV151" s="342"/>
      <c r="AW151" s="342"/>
      <c r="AX151" s="53"/>
      <c r="AY151" s="342"/>
      <c r="AZ151" s="342"/>
      <c r="BA151" s="342"/>
      <c r="BB151" s="342"/>
      <c r="BC151" s="342"/>
      <c r="BD151" s="53"/>
      <c r="BE151" s="342"/>
      <c r="BF151" s="342"/>
      <c r="BG151" s="342"/>
      <c r="BH151" s="342"/>
      <c r="BI151" s="342"/>
      <c r="BJ151" s="53"/>
      <c r="BK151" s="342"/>
      <c r="BL151" s="342"/>
      <c r="BM151" s="342"/>
      <c r="BN151" s="342"/>
      <c r="BO151" s="342"/>
      <c r="BP151" s="53"/>
      <c r="BQ151" s="342"/>
      <c r="BR151" s="342"/>
      <c r="BS151" s="342"/>
      <c r="BT151" s="342"/>
      <c r="BU151" s="342"/>
      <c r="BV151" s="53"/>
      <c r="BW151" s="342"/>
      <c r="BX151" s="342"/>
      <c r="BY151" s="342"/>
      <c r="BZ151" s="342"/>
      <c r="CA151" s="342"/>
      <c r="CB151" s="53"/>
      <c r="CC151" s="342"/>
      <c r="CD151" s="342"/>
      <c r="CE151" s="342"/>
      <c r="CF151" s="342"/>
      <c r="CG151" s="147"/>
      <c r="CH151" s="53"/>
      <c r="CI151" s="342"/>
      <c r="CJ151" s="342"/>
      <c r="CK151" s="342"/>
      <c r="CL151" s="342"/>
      <c r="CM151" s="147"/>
      <c r="CN151" s="53"/>
      <c r="CO151" s="342"/>
      <c r="CP151" s="342"/>
      <c r="CQ151" s="342"/>
      <c r="CR151" s="342"/>
      <c r="CS151" s="147"/>
      <c r="CT151" s="53"/>
      <c r="CU151" s="342"/>
      <c r="CV151" s="342"/>
      <c r="CW151" s="342"/>
      <c r="CX151" s="342"/>
      <c r="CY151" s="147"/>
      <c r="CZ151" s="53"/>
      <c r="DA151" s="342"/>
      <c r="DB151" s="342"/>
      <c r="DC151" s="342"/>
      <c r="DD151" s="342"/>
      <c r="DE151" s="147"/>
      <c r="DF151" s="53"/>
      <c r="DG151" s="342"/>
      <c r="DH151" s="342"/>
      <c r="DI151" s="342"/>
      <c r="DJ151" s="342"/>
      <c r="DK151" s="147"/>
      <c r="DL151" s="53"/>
      <c r="DM151" s="342"/>
      <c r="DN151" s="342"/>
      <c r="DO151" s="342"/>
      <c r="DP151" s="342"/>
      <c r="DQ151" s="147"/>
      <c r="DR151" s="53"/>
      <c r="DS151" s="342"/>
      <c r="DT151" s="342"/>
      <c r="DU151" s="342"/>
      <c r="DV151" s="342"/>
      <c r="DW151" s="147"/>
      <c r="DX151" s="53"/>
      <c r="DY151" s="342"/>
      <c r="DZ151" s="342"/>
      <c r="EA151" s="342"/>
      <c r="EB151" s="342"/>
      <c r="EC151" s="147"/>
      <c r="ED151" s="53"/>
      <c r="EE151" s="342"/>
      <c r="EF151" s="342"/>
      <c r="EG151" s="342"/>
      <c r="EH151" s="342"/>
      <c r="EI151" s="147"/>
      <c r="EJ151" s="53"/>
      <c r="EK151" s="342"/>
      <c r="EL151" s="342"/>
      <c r="EM151" s="342"/>
      <c r="EN151" s="342"/>
      <c r="EO151" s="147"/>
      <c r="EP151" s="53"/>
      <c r="EQ151" s="342"/>
      <c r="ER151" s="342"/>
      <c r="ES151" s="342"/>
      <c r="ET151" s="342"/>
      <c r="EU151" s="147"/>
      <c r="EV151" s="53"/>
      <c r="EW151" s="342"/>
      <c r="EX151" s="342"/>
      <c r="EY151" s="342"/>
      <c r="EZ151" s="342"/>
      <c r="FA151" s="147"/>
      <c r="FB151" s="53"/>
      <c r="FC151" s="342"/>
      <c r="FD151" s="342"/>
      <c r="FE151" s="342"/>
      <c r="FF151" s="342"/>
      <c r="FG151" s="147"/>
      <c r="FH151" s="53"/>
      <c r="FI151" s="342"/>
      <c r="FJ151" s="342"/>
      <c r="FK151" s="342"/>
      <c r="FL151" s="342"/>
      <c r="FM151" s="147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</row>
    <row r="152" spans="1:274" s="24" customFormat="1" hidden="1" x14ac:dyDescent="0.2">
      <c r="A152" s="353" t="s">
        <v>472</v>
      </c>
      <c r="B152" s="1040"/>
      <c r="C152" s="406"/>
      <c r="D152" s="406"/>
      <c r="E152" s="406"/>
      <c r="F152" s="406"/>
      <c r="G152" s="406"/>
      <c r="H152" s="406"/>
      <c r="I152" s="406"/>
      <c r="J152" s="406"/>
      <c r="K152" s="406"/>
      <c r="L152" s="406"/>
      <c r="M152" s="406"/>
      <c r="N152" s="342"/>
      <c r="O152" s="406"/>
      <c r="P152" s="406"/>
      <c r="Q152" s="406"/>
      <c r="R152" s="406"/>
      <c r="S152" s="406"/>
      <c r="T152" s="342"/>
      <c r="U152" s="406"/>
      <c r="V152" s="406"/>
      <c r="W152" s="406"/>
      <c r="X152" s="406"/>
      <c r="Y152" s="406"/>
      <c r="Z152" s="53"/>
      <c r="AA152" s="30">
        <v>63.18</v>
      </c>
      <c r="AB152" s="30">
        <v>77.141000000000005</v>
      </c>
      <c r="AC152" s="30">
        <v>80.691000000000003</v>
      </c>
      <c r="AD152" s="30">
        <v>113.364</v>
      </c>
      <c r="AE152" s="30">
        <f>SUM(AA152:AD152)</f>
        <v>334.37599999999998</v>
      </c>
      <c r="AF152" s="53"/>
      <c r="AG152" s="30">
        <v>56.965000000000003</v>
      </c>
      <c r="AH152" s="30">
        <v>71.051000000000002</v>
      </c>
      <c r="AI152" s="30">
        <v>76.546999999999997</v>
      </c>
      <c r="AJ152" s="30">
        <v>120.303</v>
      </c>
      <c r="AK152" s="30">
        <f>SUM(AG152:AJ152)</f>
        <v>324.86599999999999</v>
      </c>
      <c r="AL152" s="53"/>
      <c r="AM152" s="30">
        <v>49.911000000000001</v>
      </c>
      <c r="AN152" s="30">
        <v>61.526000000000003</v>
      </c>
      <c r="AO152" s="30">
        <v>67.366</v>
      </c>
      <c r="AP152" s="30">
        <v>114.24</v>
      </c>
      <c r="AQ152" s="30">
        <f>SUM(AM152:AP152)</f>
        <v>293.04300000000001</v>
      </c>
      <c r="AR152" s="53"/>
      <c r="AS152" s="30">
        <v>50.247999999999998</v>
      </c>
      <c r="AT152" s="30">
        <v>58.683</v>
      </c>
      <c r="AU152" s="30">
        <v>66.331000000000003</v>
      </c>
      <c r="AV152" s="30">
        <v>116.26600000000001</v>
      </c>
      <c r="AW152" s="30">
        <f>SUM(AS152:AV152)</f>
        <v>291.52800000000002</v>
      </c>
      <c r="AX152" s="53"/>
      <c r="AY152" s="30">
        <v>31.091999999999999</v>
      </c>
      <c r="AZ152" s="30">
        <v>38.478999999999999</v>
      </c>
      <c r="BA152" s="30">
        <v>28.236999999999998</v>
      </c>
      <c r="BB152" s="30">
        <v>46.23</v>
      </c>
      <c r="BC152" s="30">
        <f>SUM(AY152:BB152)</f>
        <v>144.03799999999998</v>
      </c>
      <c r="BD152" s="53"/>
      <c r="BE152" s="342"/>
      <c r="BF152" s="342"/>
      <c r="BG152" s="342"/>
      <c r="BH152" s="342"/>
      <c r="BI152" s="342"/>
      <c r="BJ152" s="53"/>
      <c r="BK152" s="342"/>
      <c r="BL152" s="342"/>
      <c r="BM152" s="342"/>
      <c r="BN152" s="342"/>
      <c r="BO152" s="342"/>
      <c r="BP152" s="53"/>
      <c r="BQ152" s="342"/>
      <c r="BR152" s="342"/>
      <c r="BS152" s="342"/>
      <c r="BT152" s="342"/>
      <c r="BU152" s="342"/>
      <c r="BV152" s="53"/>
      <c r="BW152" s="342"/>
      <c r="BX152" s="342"/>
      <c r="BY152" s="342"/>
      <c r="BZ152" s="342"/>
      <c r="CA152" s="342"/>
      <c r="CB152" s="53"/>
      <c r="CC152" s="342"/>
      <c r="CD152" s="342"/>
      <c r="CE152" s="342"/>
      <c r="CF152" s="342"/>
      <c r="CG152" s="147"/>
      <c r="CH152" s="53"/>
      <c r="CI152" s="342"/>
      <c r="CJ152" s="342"/>
      <c r="CK152" s="342"/>
      <c r="CL152" s="342"/>
      <c r="CM152" s="147"/>
      <c r="CN152" s="53"/>
      <c r="CO152" s="342"/>
      <c r="CP152" s="342"/>
      <c r="CQ152" s="342"/>
      <c r="CR152" s="342"/>
      <c r="CS152" s="147"/>
      <c r="CT152" s="53"/>
      <c r="CU152" s="342"/>
      <c r="CV152" s="342"/>
      <c r="CW152" s="342"/>
      <c r="CX152" s="342"/>
      <c r="CY152" s="147"/>
      <c r="CZ152" s="53"/>
      <c r="DA152" s="342"/>
      <c r="DB152" s="342"/>
      <c r="DC152" s="342"/>
      <c r="DD152" s="342"/>
      <c r="DE152" s="147"/>
      <c r="DF152" s="53"/>
      <c r="DG152" s="342"/>
      <c r="DH152" s="342"/>
      <c r="DI152" s="342"/>
      <c r="DJ152" s="342"/>
      <c r="DK152" s="147"/>
      <c r="DL152" s="53"/>
      <c r="DM152" s="342"/>
      <c r="DN152" s="342"/>
      <c r="DO152" s="342"/>
      <c r="DP152" s="342"/>
      <c r="DQ152" s="147"/>
      <c r="DR152" s="53"/>
      <c r="DS152" s="342"/>
      <c r="DT152" s="342"/>
      <c r="DU152" s="342"/>
      <c r="DV152" s="342"/>
      <c r="DW152" s="147"/>
      <c r="DX152" s="53"/>
      <c r="DY152" s="342"/>
      <c r="DZ152" s="342"/>
      <c r="EA152" s="342"/>
      <c r="EB152" s="342"/>
      <c r="EC152" s="147"/>
      <c r="ED152" s="53"/>
      <c r="EE152" s="342"/>
      <c r="EF152" s="342"/>
      <c r="EG152" s="342"/>
      <c r="EH152" s="342"/>
      <c r="EI152" s="147"/>
      <c r="EJ152" s="53"/>
      <c r="EK152" s="342"/>
      <c r="EL152" s="342"/>
      <c r="EM152" s="342"/>
      <c r="EN152" s="342"/>
      <c r="EO152" s="147"/>
      <c r="EP152" s="53"/>
      <c r="EQ152" s="342"/>
      <c r="ER152" s="342"/>
      <c r="ES152" s="342"/>
      <c r="ET152" s="342"/>
      <c r="EU152" s="147"/>
      <c r="EV152" s="53"/>
      <c r="EW152" s="342"/>
      <c r="EX152" s="342"/>
      <c r="EY152" s="342"/>
      <c r="EZ152" s="342"/>
      <c r="FA152" s="147"/>
      <c r="FB152" s="53"/>
      <c r="FC152" s="342"/>
      <c r="FD152" s="342"/>
      <c r="FE152" s="342"/>
      <c r="FF152" s="342"/>
      <c r="FG152" s="147"/>
      <c r="FH152" s="53"/>
      <c r="FI152" s="342"/>
      <c r="FJ152" s="342"/>
      <c r="FK152" s="342"/>
      <c r="FL152" s="342"/>
      <c r="FM152" s="147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</row>
    <row r="153" spans="1:274" s="24" customFormat="1" hidden="1" x14ac:dyDescent="0.2">
      <c r="A153" s="58" t="s">
        <v>706</v>
      </c>
      <c r="B153" s="1040"/>
      <c r="C153" s="406"/>
      <c r="D153" s="406"/>
      <c r="E153" s="406"/>
      <c r="F153" s="406"/>
      <c r="G153" s="406"/>
      <c r="H153" s="406"/>
      <c r="I153" s="406"/>
      <c r="J153" s="406"/>
      <c r="K153" s="406"/>
      <c r="L153" s="406"/>
      <c r="M153" s="406"/>
      <c r="N153" s="342"/>
      <c r="O153" s="406"/>
      <c r="P153" s="406"/>
      <c r="Q153" s="406"/>
      <c r="R153" s="406"/>
      <c r="S153" s="406"/>
      <c r="T153" s="342"/>
      <c r="U153" s="406"/>
      <c r="V153" s="406"/>
      <c r="W153" s="406"/>
      <c r="X153" s="406"/>
      <c r="Y153" s="406"/>
      <c r="Z153" s="53"/>
      <c r="AA153" s="30">
        <v>330.721</v>
      </c>
      <c r="AB153" s="30">
        <v>427.88799999999998</v>
      </c>
      <c r="AC153" s="30">
        <v>475.745</v>
      </c>
      <c r="AD153" s="30">
        <v>775.45899999999995</v>
      </c>
      <c r="AE153" s="30">
        <f>SUM(AA153:AD153)</f>
        <v>2009.8129999999996</v>
      </c>
      <c r="AF153" s="53"/>
      <c r="AG153" s="30">
        <v>349.983</v>
      </c>
      <c r="AH153" s="30">
        <v>441.77699999999999</v>
      </c>
      <c r="AI153" s="30">
        <v>536.94600000000003</v>
      </c>
      <c r="AJ153" s="30">
        <v>873.20899999999995</v>
      </c>
      <c r="AK153" s="30">
        <f>SUM(AG153:AJ153)</f>
        <v>2201.915</v>
      </c>
      <c r="AL153" s="53"/>
      <c r="AM153" s="30">
        <v>409.61200000000002</v>
      </c>
      <c r="AN153" s="30">
        <v>555.27</v>
      </c>
      <c r="AO153" s="30">
        <v>589.89</v>
      </c>
      <c r="AP153" s="30">
        <v>1092.011</v>
      </c>
      <c r="AQ153" s="30">
        <f>SUM(AM153:AP153)</f>
        <v>2646.7829999999999</v>
      </c>
      <c r="AR153" s="53"/>
      <c r="AS153" s="30">
        <v>443.255</v>
      </c>
      <c r="AT153" s="30">
        <v>650.66999999999996</v>
      </c>
      <c r="AU153" s="30">
        <v>778.04499999999996</v>
      </c>
      <c r="AV153" s="30">
        <v>1228.327</v>
      </c>
      <c r="AW153" s="30">
        <f>SUM(AS153:AV153)</f>
        <v>3100.2969999999996</v>
      </c>
      <c r="AX153" s="53"/>
      <c r="AY153" s="30">
        <v>584.62699999999995</v>
      </c>
      <c r="AZ153" s="30">
        <v>775.44299999999998</v>
      </c>
      <c r="BA153" s="30">
        <v>823.30399999999997</v>
      </c>
      <c r="BB153" s="30">
        <v>1234.251</v>
      </c>
      <c r="BC153" s="30">
        <f>SUM(AY153:BB153)</f>
        <v>3417.625</v>
      </c>
      <c r="BD153" s="53"/>
      <c r="BE153" s="342"/>
      <c r="BF153" s="342"/>
      <c r="BG153" s="342"/>
      <c r="BH153" s="342"/>
      <c r="BI153" s="342"/>
      <c r="BJ153" s="53"/>
      <c r="BK153" s="342"/>
      <c r="BL153" s="342"/>
      <c r="BM153" s="342"/>
      <c r="BN153" s="342"/>
      <c r="BO153" s="342"/>
      <c r="BP153" s="53"/>
      <c r="BQ153" s="342"/>
      <c r="BR153" s="342"/>
      <c r="BS153" s="342"/>
      <c r="BT153" s="342"/>
      <c r="BU153" s="342"/>
      <c r="BV153" s="53"/>
      <c r="BW153" s="342"/>
      <c r="BX153" s="342"/>
      <c r="BY153" s="342"/>
      <c r="BZ153" s="342"/>
      <c r="CA153" s="342"/>
      <c r="CB153" s="53"/>
      <c r="CC153" s="342"/>
      <c r="CD153" s="342"/>
      <c r="CE153" s="342"/>
      <c r="CF153" s="342"/>
      <c r="CG153" s="147"/>
      <c r="CH153" s="53"/>
      <c r="CI153" s="342"/>
      <c r="CJ153" s="342"/>
      <c r="CK153" s="342"/>
      <c r="CL153" s="342"/>
      <c r="CM153" s="147"/>
      <c r="CN153" s="53"/>
      <c r="CO153" s="342"/>
      <c r="CP153" s="342"/>
      <c r="CQ153" s="342"/>
      <c r="CR153" s="342"/>
      <c r="CS153" s="147"/>
      <c r="CT153" s="53"/>
      <c r="CU153" s="342"/>
      <c r="CV153" s="342"/>
      <c r="CW153" s="342"/>
      <c r="CX153" s="342"/>
      <c r="CY153" s="147"/>
      <c r="CZ153" s="53"/>
      <c r="DA153" s="342"/>
      <c r="DB153" s="342"/>
      <c r="DC153" s="342"/>
      <c r="DD153" s="342"/>
      <c r="DE153" s="147"/>
      <c r="DF153" s="53"/>
      <c r="DG153" s="342"/>
      <c r="DH153" s="342"/>
      <c r="DI153" s="342"/>
      <c r="DJ153" s="342"/>
      <c r="DK153" s="147"/>
      <c r="DL153" s="53"/>
      <c r="DM153" s="342"/>
      <c r="DN153" s="342"/>
      <c r="DO153" s="342"/>
      <c r="DP153" s="342"/>
      <c r="DQ153" s="147"/>
      <c r="DR153" s="53"/>
      <c r="DS153" s="342"/>
      <c r="DT153" s="342"/>
      <c r="DU153" s="342"/>
      <c r="DV153" s="342"/>
      <c r="DW153" s="147"/>
      <c r="DX153" s="53"/>
      <c r="DY153" s="342"/>
      <c r="DZ153" s="342"/>
      <c r="EA153" s="342"/>
      <c r="EB153" s="342"/>
      <c r="EC153" s="147"/>
      <c r="ED153" s="53"/>
      <c r="EE153" s="342"/>
      <c r="EF153" s="342"/>
      <c r="EG153" s="342"/>
      <c r="EH153" s="342"/>
      <c r="EI153" s="147"/>
      <c r="EJ153" s="53"/>
      <c r="EK153" s="342"/>
      <c r="EL153" s="342"/>
      <c r="EM153" s="342"/>
      <c r="EN153" s="342"/>
      <c r="EO153" s="147"/>
      <c r="EP153" s="53"/>
      <c r="EQ153" s="342"/>
      <c r="ER153" s="342"/>
      <c r="ES153" s="342"/>
      <c r="ET153" s="342"/>
      <c r="EU153" s="147"/>
      <c r="EV153" s="53"/>
      <c r="EW153" s="342"/>
      <c r="EX153" s="342"/>
      <c r="EY153" s="342"/>
      <c r="EZ153" s="342"/>
      <c r="FA153" s="147"/>
      <c r="FB153" s="53"/>
      <c r="FC153" s="342"/>
      <c r="FD153" s="342"/>
      <c r="FE153" s="342"/>
      <c r="FF153" s="342"/>
      <c r="FG153" s="147"/>
      <c r="FH153" s="53"/>
      <c r="FI153" s="342"/>
      <c r="FJ153" s="342"/>
      <c r="FK153" s="342"/>
      <c r="FL153" s="342"/>
      <c r="FM153" s="147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</row>
    <row r="154" spans="1:274" s="24" customFormat="1" hidden="1" x14ac:dyDescent="0.2">
      <c r="A154" s="244" t="s">
        <v>707</v>
      </c>
      <c r="B154" s="440"/>
      <c r="C154" s="59" t="s">
        <v>945</v>
      </c>
      <c r="D154" s="59" t="s">
        <v>945</v>
      </c>
      <c r="E154" s="59" t="s">
        <v>945</v>
      </c>
      <c r="F154" s="59" t="s">
        <v>945</v>
      </c>
      <c r="G154" s="59" t="s">
        <v>945</v>
      </c>
      <c r="H154" s="59" t="s">
        <v>945</v>
      </c>
      <c r="I154" s="59" t="s">
        <v>945</v>
      </c>
      <c r="J154" s="59" t="s">
        <v>945</v>
      </c>
      <c r="K154" s="59" t="s">
        <v>945</v>
      </c>
      <c r="L154" s="59" t="s">
        <v>945</v>
      </c>
      <c r="M154" s="59" t="s">
        <v>945</v>
      </c>
      <c r="N154" s="244"/>
      <c r="O154" s="59" t="s">
        <v>945</v>
      </c>
      <c r="P154" s="59" t="s">
        <v>945</v>
      </c>
      <c r="Q154" s="59" t="s">
        <v>945</v>
      </c>
      <c r="R154" s="59" t="s">
        <v>945</v>
      </c>
      <c r="S154" s="59" t="s">
        <v>945</v>
      </c>
      <c r="T154" s="244"/>
      <c r="U154" s="59" t="s">
        <v>945</v>
      </c>
      <c r="V154" s="59" t="s">
        <v>945</v>
      </c>
      <c r="W154" s="59" t="s">
        <v>945</v>
      </c>
      <c r="X154" s="59" t="s">
        <v>945</v>
      </c>
      <c r="Y154" s="59" t="s">
        <v>945</v>
      </c>
      <c r="Z154" s="170"/>
      <c r="AA154" s="244">
        <f>AA153+AA152</f>
        <v>393.90100000000001</v>
      </c>
      <c r="AB154" s="244">
        <f>AB153+AB152</f>
        <v>505.029</v>
      </c>
      <c r="AC154" s="244">
        <f>AC153+AC152</f>
        <v>556.43600000000004</v>
      </c>
      <c r="AD154" s="244">
        <f>AD153+AD152</f>
        <v>888.82299999999998</v>
      </c>
      <c r="AE154" s="244">
        <f>AE153+AE152</f>
        <v>2344.1889999999994</v>
      </c>
      <c r="AF154" s="170"/>
      <c r="AG154" s="244">
        <f>AG153+AG152</f>
        <v>406.94799999999998</v>
      </c>
      <c r="AH154" s="244">
        <f>AH153+AH152</f>
        <v>512.82799999999997</v>
      </c>
      <c r="AI154" s="244">
        <f>AI153+AI152</f>
        <v>613.49300000000005</v>
      </c>
      <c r="AJ154" s="244">
        <f>AJ153+AJ152</f>
        <v>993.51199999999994</v>
      </c>
      <c r="AK154" s="244">
        <f>AK153+AK152</f>
        <v>2526.7809999999999</v>
      </c>
      <c r="AL154" s="170"/>
      <c r="AM154" s="244">
        <v>459.52300000000002</v>
      </c>
      <c r="AN154" s="244">
        <v>616.79600000000005</v>
      </c>
      <c r="AO154" s="244">
        <v>657.25599999999997</v>
      </c>
      <c r="AP154" s="244">
        <v>1206.251</v>
      </c>
      <c r="AQ154" s="244">
        <f>SUM(AM154:AP154)</f>
        <v>2939.826</v>
      </c>
      <c r="AR154" s="170"/>
      <c r="AS154" s="244">
        <v>493.50299999999999</v>
      </c>
      <c r="AT154" s="244">
        <v>709.35299999999995</v>
      </c>
      <c r="AU154" s="244">
        <v>844.37599999999998</v>
      </c>
      <c r="AV154" s="244">
        <v>1344.5930000000001</v>
      </c>
      <c r="AW154" s="244">
        <f>SUM(AS154:AV154)</f>
        <v>3391.8249999999998</v>
      </c>
      <c r="AX154" s="170"/>
      <c r="AY154" s="244">
        <v>615.71900000000005</v>
      </c>
      <c r="AZ154" s="244">
        <v>813.92200000000003</v>
      </c>
      <c r="BA154" s="244">
        <v>851.54100000000005</v>
      </c>
      <c r="BB154" s="244">
        <v>1280.481</v>
      </c>
      <c r="BC154" s="244">
        <f>SUM(AY154:BB154)</f>
        <v>3561.6630000000005</v>
      </c>
      <c r="BD154" s="170"/>
      <c r="BE154" s="244">
        <v>565.17700000000002</v>
      </c>
      <c r="BF154" s="244">
        <v>640.25800000000004</v>
      </c>
      <c r="BG154" s="244">
        <v>629.08000000000004</v>
      </c>
      <c r="BH154" s="244">
        <v>904.27</v>
      </c>
      <c r="BI154" s="244">
        <f>SUM(BE154:BH154)</f>
        <v>2738.7849999999999</v>
      </c>
      <c r="BJ154" s="170"/>
      <c r="BK154" s="244">
        <v>438</v>
      </c>
      <c r="BL154" s="244">
        <v>644</v>
      </c>
      <c r="BM154" s="244">
        <v>603</v>
      </c>
      <c r="BN154" s="244">
        <v>933</v>
      </c>
      <c r="BO154" s="244">
        <f>SUM(BK154:BN154)</f>
        <v>2618</v>
      </c>
      <c r="BP154" s="170"/>
      <c r="BQ154" s="60">
        <v>418</v>
      </c>
      <c r="BR154" s="167">
        <v>718</v>
      </c>
      <c r="BS154" s="167">
        <v>707</v>
      </c>
      <c r="BT154" s="167">
        <v>1082</v>
      </c>
      <c r="BU154" s="60">
        <f>SUM(BQ154:BT154)</f>
        <v>2925</v>
      </c>
      <c r="BV154" s="170"/>
      <c r="BW154" s="101">
        <v>494</v>
      </c>
      <c r="BX154" s="101">
        <v>756</v>
      </c>
      <c r="BY154" s="101">
        <v>795</v>
      </c>
      <c r="BZ154" s="101">
        <v>1259</v>
      </c>
      <c r="CA154" s="60">
        <f>SUM(BW154:BZ154)</f>
        <v>3304</v>
      </c>
      <c r="CB154" s="170"/>
      <c r="CC154" s="101">
        <v>502</v>
      </c>
      <c r="CD154" s="101">
        <v>792</v>
      </c>
      <c r="CE154" s="101">
        <v>827</v>
      </c>
      <c r="CF154" s="101">
        <v>1480</v>
      </c>
      <c r="CG154" s="174">
        <f>SUM(CC154:CF154)</f>
        <v>3601</v>
      </c>
      <c r="CH154" s="170"/>
      <c r="CI154" s="101">
        <v>576</v>
      </c>
      <c r="CJ154" s="101">
        <v>867</v>
      </c>
      <c r="CK154" s="101">
        <v>967</v>
      </c>
      <c r="CL154" s="101">
        <v>1755</v>
      </c>
      <c r="CM154" s="168">
        <v>4166</v>
      </c>
      <c r="CN154" s="170"/>
      <c r="CO154" s="101">
        <v>711</v>
      </c>
      <c r="CP154" s="101">
        <v>1115</v>
      </c>
      <c r="CQ154" s="101">
        <v>1165</v>
      </c>
      <c r="CR154" s="101">
        <v>2155</v>
      </c>
      <c r="CS154" s="168">
        <f>SUM(CO154:CR154)</f>
        <v>5146</v>
      </c>
      <c r="CT154" s="170"/>
      <c r="CU154" s="101" t="s">
        <v>945</v>
      </c>
      <c r="CV154" s="101" t="s">
        <v>945</v>
      </c>
      <c r="CW154" s="101" t="s">
        <v>945</v>
      </c>
      <c r="CX154" s="101" t="s">
        <v>945</v>
      </c>
      <c r="CY154" s="168" t="s">
        <v>945</v>
      </c>
      <c r="CZ154" s="170"/>
      <c r="DA154" s="101" t="s">
        <v>945</v>
      </c>
      <c r="DB154" s="101" t="s">
        <v>945</v>
      </c>
      <c r="DC154" s="101" t="s">
        <v>945</v>
      </c>
      <c r="DD154" s="101" t="s">
        <v>945</v>
      </c>
      <c r="DE154" s="168" t="s">
        <v>945</v>
      </c>
      <c r="DF154" s="170"/>
      <c r="DG154" s="101" t="s">
        <v>945</v>
      </c>
      <c r="DH154" s="101" t="s">
        <v>945</v>
      </c>
      <c r="DI154" s="101" t="s">
        <v>945</v>
      </c>
      <c r="DJ154" s="101" t="s">
        <v>945</v>
      </c>
      <c r="DK154" s="168" t="s">
        <v>945</v>
      </c>
      <c r="DL154" s="170"/>
      <c r="DM154" s="101" t="s">
        <v>945</v>
      </c>
      <c r="DN154" s="101" t="s">
        <v>945</v>
      </c>
      <c r="DO154" s="101" t="s">
        <v>945</v>
      </c>
      <c r="DP154" s="101" t="s">
        <v>945</v>
      </c>
      <c r="DQ154" s="168" t="s">
        <v>945</v>
      </c>
      <c r="DR154" s="170"/>
      <c r="DS154" s="101" t="s">
        <v>945</v>
      </c>
      <c r="DT154" s="101" t="s">
        <v>945</v>
      </c>
      <c r="DU154" s="101" t="s">
        <v>945</v>
      </c>
      <c r="DV154" s="101" t="s">
        <v>945</v>
      </c>
      <c r="DW154" s="168" t="s">
        <v>945</v>
      </c>
      <c r="DX154" s="170"/>
      <c r="DY154" s="101" t="s">
        <v>945</v>
      </c>
      <c r="DZ154" s="101" t="s">
        <v>945</v>
      </c>
      <c r="EA154" s="101" t="s">
        <v>945</v>
      </c>
      <c r="EB154" s="101" t="s">
        <v>945</v>
      </c>
      <c r="EC154" s="168" t="s">
        <v>945</v>
      </c>
      <c r="ED154" s="170"/>
      <c r="EE154" s="101" t="s">
        <v>945</v>
      </c>
      <c r="EF154" s="101" t="s">
        <v>945</v>
      </c>
      <c r="EG154" s="101" t="s">
        <v>945</v>
      </c>
      <c r="EH154" s="101" t="s">
        <v>945</v>
      </c>
      <c r="EI154" s="168" t="s">
        <v>945</v>
      </c>
      <c r="EJ154" s="170"/>
      <c r="EK154" s="101" t="s">
        <v>945</v>
      </c>
      <c r="EL154" s="101" t="s">
        <v>945</v>
      </c>
      <c r="EM154" s="101" t="s">
        <v>945</v>
      </c>
      <c r="EN154" s="101" t="s">
        <v>945</v>
      </c>
      <c r="EO154" s="168" t="s">
        <v>945</v>
      </c>
      <c r="EP154" s="170"/>
      <c r="EQ154" s="101" t="s">
        <v>945</v>
      </c>
      <c r="ER154" s="101" t="s">
        <v>945</v>
      </c>
      <c r="ES154" s="101" t="s">
        <v>945</v>
      </c>
      <c r="ET154" s="101" t="s">
        <v>945</v>
      </c>
      <c r="EU154" s="168" t="s">
        <v>945</v>
      </c>
      <c r="EV154" s="170"/>
      <c r="EW154" s="101" t="s">
        <v>945</v>
      </c>
      <c r="EX154" s="101" t="s">
        <v>945</v>
      </c>
      <c r="EY154" s="101" t="s">
        <v>945</v>
      </c>
      <c r="EZ154" s="101" t="s">
        <v>945</v>
      </c>
      <c r="FA154" s="168" t="s">
        <v>945</v>
      </c>
      <c r="FB154" s="170"/>
      <c r="FC154" s="101" t="s">
        <v>945</v>
      </c>
      <c r="FD154" s="101" t="s">
        <v>945</v>
      </c>
      <c r="FE154" s="101" t="s">
        <v>945</v>
      </c>
      <c r="FF154" s="101" t="s">
        <v>945</v>
      </c>
      <c r="FG154" s="168" t="s">
        <v>945</v>
      </c>
      <c r="FH154" s="170"/>
      <c r="FI154" s="101" t="s">
        <v>945</v>
      </c>
      <c r="FJ154" s="101" t="s">
        <v>945</v>
      </c>
      <c r="FK154" s="101" t="s">
        <v>945</v>
      </c>
      <c r="FL154" s="101" t="s">
        <v>945</v>
      </c>
      <c r="FM154" s="168" t="s">
        <v>945</v>
      </c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</row>
    <row r="155" spans="1:274" s="24" customFormat="1" hidden="1" x14ac:dyDescent="0.2">
      <c r="A155" s="244" t="s">
        <v>470</v>
      </c>
      <c r="B155" s="440"/>
      <c r="C155" s="59" t="s">
        <v>945</v>
      </c>
      <c r="D155" s="59" t="s">
        <v>945</v>
      </c>
      <c r="E155" s="59" t="s">
        <v>945</v>
      </c>
      <c r="F155" s="59" t="s">
        <v>945</v>
      </c>
      <c r="G155" s="59" t="s">
        <v>945</v>
      </c>
      <c r="H155" s="59" t="s">
        <v>945</v>
      </c>
      <c r="I155" s="59" t="s">
        <v>945</v>
      </c>
      <c r="J155" s="59" t="s">
        <v>945</v>
      </c>
      <c r="K155" s="59" t="s">
        <v>945</v>
      </c>
      <c r="L155" s="59" t="s">
        <v>945</v>
      </c>
      <c r="M155" s="59" t="s">
        <v>945</v>
      </c>
      <c r="N155" s="244"/>
      <c r="O155" s="59" t="s">
        <v>945</v>
      </c>
      <c r="P155" s="59" t="s">
        <v>945</v>
      </c>
      <c r="Q155" s="59" t="s">
        <v>945</v>
      </c>
      <c r="R155" s="59" t="s">
        <v>945</v>
      </c>
      <c r="S155" s="59" t="s">
        <v>945</v>
      </c>
      <c r="T155" s="244"/>
      <c r="U155" s="59" t="s">
        <v>945</v>
      </c>
      <c r="V155" s="59" t="s">
        <v>945</v>
      </c>
      <c r="W155" s="59" t="s">
        <v>945</v>
      </c>
      <c r="X155" s="59" t="s">
        <v>945</v>
      </c>
      <c r="Y155" s="59" t="s">
        <v>945</v>
      </c>
      <c r="Z155" s="170"/>
      <c r="AA155" s="59" t="s">
        <v>945</v>
      </c>
      <c r="AB155" s="59" t="s">
        <v>945</v>
      </c>
      <c r="AC155" s="59" t="s">
        <v>945</v>
      </c>
      <c r="AD155" s="59" t="s">
        <v>945</v>
      </c>
      <c r="AE155" s="59" t="s">
        <v>945</v>
      </c>
      <c r="AF155" s="170"/>
      <c r="AG155" s="59" t="s">
        <v>945</v>
      </c>
      <c r="AH155" s="59" t="s">
        <v>945</v>
      </c>
      <c r="AI155" s="59" t="s">
        <v>945</v>
      </c>
      <c r="AJ155" s="59" t="s">
        <v>945</v>
      </c>
      <c r="AK155" s="59" t="s">
        <v>945</v>
      </c>
      <c r="AL155" s="170"/>
      <c r="AM155" s="59" t="s">
        <v>945</v>
      </c>
      <c r="AN155" s="59" t="s">
        <v>945</v>
      </c>
      <c r="AO155" s="59" t="s">
        <v>945</v>
      </c>
      <c r="AP155" s="59" t="s">
        <v>945</v>
      </c>
      <c r="AQ155" s="59" t="s">
        <v>945</v>
      </c>
      <c r="AR155" s="170"/>
      <c r="AS155" s="59" t="s">
        <v>945</v>
      </c>
      <c r="AT155" s="59" t="s">
        <v>945</v>
      </c>
      <c r="AU155" s="59" t="s">
        <v>945</v>
      </c>
      <c r="AV155" s="59" t="s">
        <v>945</v>
      </c>
      <c r="AW155" s="59" t="s">
        <v>945</v>
      </c>
      <c r="AX155" s="170"/>
      <c r="AY155" s="244">
        <f>BE155/(1+BE160)</f>
        <v>622.10280373831768</v>
      </c>
      <c r="AZ155" s="244">
        <f>BF155/(1+BF160)</f>
        <v>650.20560747663546</v>
      </c>
      <c r="BA155" s="244">
        <f>BG155/(1+BG160)</f>
        <v>670.16568627450977</v>
      </c>
      <c r="BB155" s="244">
        <f>BH155/(1+BH160)</f>
        <v>693.69722222222219</v>
      </c>
      <c r="BC155" s="244">
        <f>BI155/(1+BI160)</f>
        <v>2635.9735849056597</v>
      </c>
      <c r="BD155" s="170"/>
      <c r="BE155" s="244">
        <v>665.65</v>
      </c>
      <c r="BF155" s="244">
        <v>695.72</v>
      </c>
      <c r="BG155" s="244">
        <v>683.56899999999996</v>
      </c>
      <c r="BH155" s="244">
        <v>749.19299999999998</v>
      </c>
      <c r="BI155" s="244">
        <f>SUM(BE155:BH155)</f>
        <v>2794.1319999999996</v>
      </c>
      <c r="BJ155" s="170"/>
      <c r="BK155" s="244">
        <v>715</v>
      </c>
      <c r="BL155" s="244">
        <v>752</v>
      </c>
      <c r="BM155" s="244">
        <v>788</v>
      </c>
      <c r="BN155" s="244">
        <v>832</v>
      </c>
      <c r="BO155" s="244">
        <f>SUM(BK155:BN155)</f>
        <v>3087</v>
      </c>
      <c r="BP155" s="170"/>
      <c r="BQ155" s="244">
        <v>813</v>
      </c>
      <c r="BR155" s="101">
        <v>876</v>
      </c>
      <c r="BS155" s="101">
        <v>939</v>
      </c>
      <c r="BT155" s="101">
        <v>966</v>
      </c>
      <c r="BU155" s="244">
        <f>SUM(BQ155:BT155)</f>
        <v>3594</v>
      </c>
      <c r="BV155" s="170"/>
      <c r="BW155" s="101">
        <v>938</v>
      </c>
      <c r="BX155" s="101">
        <v>998</v>
      </c>
      <c r="BY155" s="101">
        <v>1038</v>
      </c>
      <c r="BZ155" s="101">
        <v>1070</v>
      </c>
      <c r="CA155" s="244">
        <f>SUM(BW155:BZ155)</f>
        <v>4044</v>
      </c>
      <c r="CB155" s="170"/>
      <c r="CC155" s="101">
        <v>1036</v>
      </c>
      <c r="CD155" s="101">
        <v>1057</v>
      </c>
      <c r="CE155" s="101">
        <v>1095</v>
      </c>
      <c r="CF155" s="101">
        <v>1197</v>
      </c>
      <c r="CG155" s="171">
        <f>SUM(CC155:CF155)</f>
        <v>4385</v>
      </c>
      <c r="CH155" s="170"/>
      <c r="CI155" s="101">
        <v>1238</v>
      </c>
      <c r="CJ155" s="101">
        <v>1279</v>
      </c>
      <c r="CK155" s="101">
        <v>1339</v>
      </c>
      <c r="CL155" s="101">
        <v>1410</v>
      </c>
      <c r="CM155" s="168">
        <v>5297</v>
      </c>
      <c r="CN155" s="170"/>
      <c r="CO155" s="101">
        <v>1497</v>
      </c>
      <c r="CP155" s="101">
        <v>1562</v>
      </c>
      <c r="CQ155" s="101">
        <v>1650</v>
      </c>
      <c r="CR155" s="101">
        <v>1786</v>
      </c>
      <c r="CS155" s="168">
        <f>SUM(CO155:CR155)</f>
        <v>6495</v>
      </c>
      <c r="CT155" s="170"/>
      <c r="CU155" s="101" t="s">
        <v>945</v>
      </c>
      <c r="CV155" s="101" t="s">
        <v>945</v>
      </c>
      <c r="CW155" s="101" t="s">
        <v>945</v>
      </c>
      <c r="CX155" s="101" t="s">
        <v>945</v>
      </c>
      <c r="CY155" s="168" t="s">
        <v>945</v>
      </c>
      <c r="CZ155" s="170"/>
      <c r="DA155" s="101" t="s">
        <v>945</v>
      </c>
      <c r="DB155" s="101" t="s">
        <v>945</v>
      </c>
      <c r="DC155" s="101" t="s">
        <v>945</v>
      </c>
      <c r="DD155" s="101" t="s">
        <v>945</v>
      </c>
      <c r="DE155" s="168" t="s">
        <v>945</v>
      </c>
      <c r="DF155" s="170"/>
      <c r="DG155" s="101" t="s">
        <v>945</v>
      </c>
      <c r="DH155" s="101" t="s">
        <v>945</v>
      </c>
      <c r="DI155" s="101" t="s">
        <v>945</v>
      </c>
      <c r="DJ155" s="101" t="s">
        <v>945</v>
      </c>
      <c r="DK155" s="168" t="s">
        <v>945</v>
      </c>
      <c r="DL155" s="170"/>
      <c r="DM155" s="101" t="s">
        <v>945</v>
      </c>
      <c r="DN155" s="101" t="s">
        <v>945</v>
      </c>
      <c r="DO155" s="101" t="s">
        <v>945</v>
      </c>
      <c r="DP155" s="101" t="s">
        <v>945</v>
      </c>
      <c r="DQ155" s="168" t="s">
        <v>945</v>
      </c>
      <c r="DR155" s="170"/>
      <c r="DS155" s="101" t="s">
        <v>945</v>
      </c>
      <c r="DT155" s="101" t="s">
        <v>945</v>
      </c>
      <c r="DU155" s="101" t="s">
        <v>945</v>
      </c>
      <c r="DV155" s="101" t="s">
        <v>945</v>
      </c>
      <c r="DW155" s="168" t="s">
        <v>945</v>
      </c>
      <c r="DX155" s="170"/>
      <c r="DY155" s="101" t="s">
        <v>945</v>
      </c>
      <c r="DZ155" s="101" t="s">
        <v>945</v>
      </c>
      <c r="EA155" s="101" t="s">
        <v>945</v>
      </c>
      <c r="EB155" s="101" t="s">
        <v>945</v>
      </c>
      <c r="EC155" s="168" t="s">
        <v>945</v>
      </c>
      <c r="ED155" s="170"/>
      <c r="EE155" s="101" t="s">
        <v>945</v>
      </c>
      <c r="EF155" s="101" t="s">
        <v>945</v>
      </c>
      <c r="EG155" s="101" t="s">
        <v>945</v>
      </c>
      <c r="EH155" s="101" t="s">
        <v>945</v>
      </c>
      <c r="EI155" s="168" t="s">
        <v>945</v>
      </c>
      <c r="EJ155" s="170"/>
      <c r="EK155" s="101" t="s">
        <v>945</v>
      </c>
      <c r="EL155" s="101" t="s">
        <v>945</v>
      </c>
      <c r="EM155" s="101" t="s">
        <v>945</v>
      </c>
      <c r="EN155" s="101" t="s">
        <v>945</v>
      </c>
      <c r="EO155" s="168" t="s">
        <v>945</v>
      </c>
      <c r="EP155" s="170"/>
      <c r="EQ155" s="101" t="s">
        <v>945</v>
      </c>
      <c r="ER155" s="101" t="s">
        <v>945</v>
      </c>
      <c r="ES155" s="101" t="s">
        <v>945</v>
      </c>
      <c r="ET155" s="101" t="s">
        <v>945</v>
      </c>
      <c r="EU155" s="168" t="s">
        <v>945</v>
      </c>
      <c r="EV155" s="170"/>
      <c r="EW155" s="101" t="s">
        <v>945</v>
      </c>
      <c r="EX155" s="101" t="s">
        <v>945</v>
      </c>
      <c r="EY155" s="101" t="s">
        <v>945</v>
      </c>
      <c r="EZ155" s="101" t="s">
        <v>945</v>
      </c>
      <c r="FA155" s="168" t="s">
        <v>945</v>
      </c>
      <c r="FB155" s="170"/>
      <c r="FC155" s="101" t="s">
        <v>945</v>
      </c>
      <c r="FD155" s="101" t="s">
        <v>945</v>
      </c>
      <c r="FE155" s="101" t="s">
        <v>945</v>
      </c>
      <c r="FF155" s="101" t="s">
        <v>945</v>
      </c>
      <c r="FG155" s="168" t="s">
        <v>945</v>
      </c>
      <c r="FH155" s="170"/>
      <c r="FI155" s="101" t="s">
        <v>945</v>
      </c>
      <c r="FJ155" s="101" t="s">
        <v>945</v>
      </c>
      <c r="FK155" s="101" t="s">
        <v>945</v>
      </c>
      <c r="FL155" s="101" t="s">
        <v>945</v>
      </c>
      <c r="FM155" s="168" t="s">
        <v>945</v>
      </c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</row>
    <row r="156" spans="1:274" s="24" customFormat="1" hidden="1" x14ac:dyDescent="0.2">
      <c r="A156" s="244" t="s">
        <v>471</v>
      </c>
      <c r="B156" s="440"/>
      <c r="C156" s="59" t="s">
        <v>945</v>
      </c>
      <c r="D156" s="59" t="s">
        <v>945</v>
      </c>
      <c r="E156" s="59" t="s">
        <v>945</v>
      </c>
      <c r="F156" s="59" t="s">
        <v>945</v>
      </c>
      <c r="G156" s="59" t="s">
        <v>945</v>
      </c>
      <c r="H156" s="59" t="s">
        <v>945</v>
      </c>
      <c r="I156" s="59" t="s">
        <v>945</v>
      </c>
      <c r="J156" s="59" t="s">
        <v>945</v>
      </c>
      <c r="K156" s="59" t="s">
        <v>945</v>
      </c>
      <c r="L156" s="59" t="s">
        <v>945</v>
      </c>
      <c r="M156" s="59" t="s">
        <v>945</v>
      </c>
      <c r="N156" s="244"/>
      <c r="O156" s="59" t="s">
        <v>945</v>
      </c>
      <c r="P156" s="59" t="s">
        <v>945</v>
      </c>
      <c r="Q156" s="59" t="s">
        <v>945</v>
      </c>
      <c r="R156" s="59" t="s">
        <v>945</v>
      </c>
      <c r="S156" s="59" t="s">
        <v>945</v>
      </c>
      <c r="T156" s="244"/>
      <c r="U156" s="59" t="s">
        <v>945</v>
      </c>
      <c r="V156" s="59" t="s">
        <v>945</v>
      </c>
      <c r="W156" s="59" t="s">
        <v>945</v>
      </c>
      <c r="X156" s="59" t="s">
        <v>945</v>
      </c>
      <c r="Y156" s="59" t="s">
        <v>945</v>
      </c>
      <c r="Z156" s="170"/>
      <c r="AA156" s="59" t="s">
        <v>945</v>
      </c>
      <c r="AB156" s="59" t="s">
        <v>945</v>
      </c>
      <c r="AC156" s="59" t="s">
        <v>945</v>
      </c>
      <c r="AD156" s="59" t="s">
        <v>945</v>
      </c>
      <c r="AE156" s="59" t="s">
        <v>945</v>
      </c>
      <c r="AF156" s="170"/>
      <c r="AG156" s="61">
        <v>612.93200000000002</v>
      </c>
      <c r="AH156" s="61">
        <v>671.62099999999998</v>
      </c>
      <c r="AI156" s="61">
        <v>689.27499999999998</v>
      </c>
      <c r="AJ156" s="61">
        <v>802.16800000000001</v>
      </c>
      <c r="AK156" s="61">
        <f>SUM(AG156:AJ156)</f>
        <v>2775.9960000000001</v>
      </c>
      <c r="AL156" s="170"/>
      <c r="AM156" s="61">
        <v>794.98199999999997</v>
      </c>
      <c r="AN156" s="61">
        <v>861.13699999999994</v>
      </c>
      <c r="AO156" s="61">
        <v>834.66499999999996</v>
      </c>
      <c r="AP156" s="61">
        <v>971.04499999999996</v>
      </c>
      <c r="AQ156" s="61">
        <f>SUM(AM156:AP156)</f>
        <v>3461.8289999999997</v>
      </c>
      <c r="AR156" s="170"/>
      <c r="AS156" s="61">
        <v>943.02099999999996</v>
      </c>
      <c r="AT156" s="61">
        <v>984.73599999999999</v>
      </c>
      <c r="AU156" s="61">
        <v>754.41300000000001</v>
      </c>
      <c r="AV156" s="61">
        <v>836.70299999999997</v>
      </c>
      <c r="AW156" s="244">
        <f>SUM(AS156:AV156)</f>
        <v>3518.873</v>
      </c>
      <c r="AX156" s="170"/>
      <c r="AY156" s="244">
        <f>AY157-AY155-AY154</f>
        <v>508.07119626168242</v>
      </c>
      <c r="AZ156" s="244">
        <f>AZ157-AZ155-AZ154</f>
        <v>431.9353925233645</v>
      </c>
      <c r="BA156" s="244">
        <f>BA157-BA155-BA154</f>
        <v>443.22731372549026</v>
      </c>
      <c r="BB156" s="244">
        <f>BB157-BB155-BB154</f>
        <v>465.1197777777777</v>
      </c>
      <c r="BC156" s="244">
        <f>SUM(AY156:BB156)</f>
        <v>1848.3536802883148</v>
      </c>
      <c r="BD156" s="170"/>
      <c r="BE156" s="244">
        <v>394.84399999999999</v>
      </c>
      <c r="BF156" s="244">
        <v>378.87</v>
      </c>
      <c r="BG156" s="244">
        <v>315.32799999999997</v>
      </c>
      <c r="BH156" s="244">
        <v>343.78699999999998</v>
      </c>
      <c r="BI156" s="244">
        <f>SUM(BE156:BH156)</f>
        <v>1432.829</v>
      </c>
      <c r="BJ156" s="170"/>
      <c r="BK156" s="244">
        <v>309</v>
      </c>
      <c r="BL156" s="244">
        <v>323</v>
      </c>
      <c r="BM156" s="244">
        <v>306</v>
      </c>
      <c r="BN156" s="244">
        <v>337</v>
      </c>
      <c r="BO156" s="244">
        <f>SUM(BK156:BN156)</f>
        <v>1275</v>
      </c>
      <c r="BP156" s="170"/>
      <c r="BQ156" s="244">
        <v>297</v>
      </c>
      <c r="BR156" s="101">
        <v>317</v>
      </c>
      <c r="BS156" s="101">
        <v>283</v>
      </c>
      <c r="BT156" s="167">
        <v>325</v>
      </c>
      <c r="BU156" s="244">
        <f>SUM(BQ156:BT156)</f>
        <v>1222</v>
      </c>
      <c r="BV156" s="170"/>
      <c r="BW156" s="101">
        <v>286</v>
      </c>
      <c r="BX156" s="101">
        <v>317</v>
      </c>
      <c r="BY156" s="101">
        <v>266</v>
      </c>
      <c r="BZ156" s="101">
        <v>320</v>
      </c>
      <c r="CA156" s="244">
        <f>SUM(BW156:BZ156)</f>
        <v>1189</v>
      </c>
      <c r="CB156" s="170"/>
      <c r="CC156" s="101">
        <v>258</v>
      </c>
      <c r="CD156" s="101">
        <v>263</v>
      </c>
      <c r="CE156" s="101" t="s">
        <v>945</v>
      </c>
      <c r="CF156" s="101" t="s">
        <v>945</v>
      </c>
      <c r="CG156" s="168" t="s">
        <v>945</v>
      </c>
      <c r="CH156" s="170"/>
      <c r="CI156" s="101" t="s">
        <v>945</v>
      </c>
      <c r="CJ156" s="101" t="s">
        <v>945</v>
      </c>
      <c r="CK156" s="101" t="s">
        <v>945</v>
      </c>
      <c r="CL156" s="101" t="s">
        <v>945</v>
      </c>
      <c r="CM156" s="168" t="s">
        <v>945</v>
      </c>
      <c r="CN156" s="170"/>
      <c r="CO156" s="101" t="s">
        <v>945</v>
      </c>
      <c r="CP156" s="101" t="s">
        <v>945</v>
      </c>
      <c r="CQ156" s="101" t="s">
        <v>945</v>
      </c>
      <c r="CR156" s="101" t="s">
        <v>945</v>
      </c>
      <c r="CS156" s="168" t="s">
        <v>945</v>
      </c>
      <c r="CT156" s="170"/>
      <c r="CU156" s="101" t="s">
        <v>945</v>
      </c>
      <c r="CV156" s="101" t="s">
        <v>945</v>
      </c>
      <c r="CW156" s="101" t="s">
        <v>945</v>
      </c>
      <c r="CX156" s="101" t="s">
        <v>945</v>
      </c>
      <c r="CY156" s="168" t="s">
        <v>945</v>
      </c>
      <c r="CZ156" s="170"/>
      <c r="DA156" s="101" t="s">
        <v>945</v>
      </c>
      <c r="DB156" s="101" t="s">
        <v>945</v>
      </c>
      <c r="DC156" s="101" t="s">
        <v>945</v>
      </c>
      <c r="DD156" s="101" t="s">
        <v>945</v>
      </c>
      <c r="DE156" s="168" t="s">
        <v>945</v>
      </c>
      <c r="DF156" s="170"/>
      <c r="DG156" s="101" t="s">
        <v>945</v>
      </c>
      <c r="DH156" s="101" t="s">
        <v>945</v>
      </c>
      <c r="DI156" s="101" t="s">
        <v>945</v>
      </c>
      <c r="DJ156" s="101" t="s">
        <v>945</v>
      </c>
      <c r="DK156" s="168" t="s">
        <v>945</v>
      </c>
      <c r="DL156" s="170"/>
      <c r="DM156" s="101" t="s">
        <v>945</v>
      </c>
      <c r="DN156" s="101" t="s">
        <v>945</v>
      </c>
      <c r="DO156" s="101" t="s">
        <v>945</v>
      </c>
      <c r="DP156" s="101" t="s">
        <v>945</v>
      </c>
      <c r="DQ156" s="168" t="s">
        <v>945</v>
      </c>
      <c r="DR156" s="170"/>
      <c r="DS156" s="101" t="s">
        <v>945</v>
      </c>
      <c r="DT156" s="101" t="s">
        <v>945</v>
      </c>
      <c r="DU156" s="101" t="s">
        <v>945</v>
      </c>
      <c r="DV156" s="101" t="s">
        <v>945</v>
      </c>
      <c r="DW156" s="168" t="s">
        <v>945</v>
      </c>
      <c r="DX156" s="170"/>
      <c r="DY156" s="101" t="s">
        <v>945</v>
      </c>
      <c r="DZ156" s="101" t="s">
        <v>945</v>
      </c>
      <c r="EA156" s="101" t="s">
        <v>945</v>
      </c>
      <c r="EB156" s="101" t="s">
        <v>945</v>
      </c>
      <c r="EC156" s="168" t="s">
        <v>945</v>
      </c>
      <c r="ED156" s="170"/>
      <c r="EE156" s="101" t="s">
        <v>945</v>
      </c>
      <c r="EF156" s="101" t="s">
        <v>945</v>
      </c>
      <c r="EG156" s="101" t="s">
        <v>945</v>
      </c>
      <c r="EH156" s="101" t="s">
        <v>945</v>
      </c>
      <c r="EI156" s="168" t="s">
        <v>945</v>
      </c>
      <c r="EJ156" s="170"/>
      <c r="EK156" s="101" t="s">
        <v>945</v>
      </c>
      <c r="EL156" s="101" t="s">
        <v>945</v>
      </c>
      <c r="EM156" s="101" t="s">
        <v>945</v>
      </c>
      <c r="EN156" s="101" t="s">
        <v>945</v>
      </c>
      <c r="EO156" s="168" t="s">
        <v>945</v>
      </c>
      <c r="EP156" s="170"/>
      <c r="EQ156" s="101" t="s">
        <v>945</v>
      </c>
      <c r="ER156" s="101" t="s">
        <v>945</v>
      </c>
      <c r="ES156" s="101" t="s">
        <v>945</v>
      </c>
      <c r="ET156" s="101" t="s">
        <v>945</v>
      </c>
      <c r="EU156" s="168" t="s">
        <v>945</v>
      </c>
      <c r="EV156" s="170"/>
      <c r="EW156" s="101" t="s">
        <v>945</v>
      </c>
      <c r="EX156" s="101" t="s">
        <v>945</v>
      </c>
      <c r="EY156" s="101" t="s">
        <v>945</v>
      </c>
      <c r="EZ156" s="101" t="s">
        <v>945</v>
      </c>
      <c r="FA156" s="168" t="s">
        <v>945</v>
      </c>
      <c r="FB156" s="170"/>
      <c r="FC156" s="101" t="s">
        <v>945</v>
      </c>
      <c r="FD156" s="101" t="s">
        <v>945</v>
      </c>
      <c r="FE156" s="101" t="s">
        <v>945</v>
      </c>
      <c r="FF156" s="101" t="s">
        <v>945</v>
      </c>
      <c r="FG156" s="168" t="s">
        <v>945</v>
      </c>
      <c r="FH156" s="170"/>
      <c r="FI156" s="101" t="s">
        <v>945</v>
      </c>
      <c r="FJ156" s="101" t="s">
        <v>945</v>
      </c>
      <c r="FK156" s="101" t="s">
        <v>945</v>
      </c>
      <c r="FL156" s="101" t="s">
        <v>945</v>
      </c>
      <c r="FM156" s="168" t="s">
        <v>945</v>
      </c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</row>
    <row r="157" spans="1:274" s="24" customFormat="1" hidden="1" x14ac:dyDescent="0.2">
      <c r="A157" s="244" t="s">
        <v>698</v>
      </c>
      <c r="B157" s="440"/>
      <c r="C157" s="59" t="s">
        <v>945</v>
      </c>
      <c r="D157" s="59" t="s">
        <v>945</v>
      </c>
      <c r="E157" s="59" t="s">
        <v>945</v>
      </c>
      <c r="F157" s="59" t="s">
        <v>945</v>
      </c>
      <c r="G157" s="59" t="s">
        <v>945</v>
      </c>
      <c r="H157" s="59" t="s">
        <v>945</v>
      </c>
      <c r="I157" s="59" t="s">
        <v>945</v>
      </c>
      <c r="J157" s="59" t="s">
        <v>945</v>
      </c>
      <c r="K157" s="59" t="s">
        <v>945</v>
      </c>
      <c r="L157" s="59" t="s">
        <v>945</v>
      </c>
      <c r="M157" s="59" t="s">
        <v>945</v>
      </c>
      <c r="N157" s="244"/>
      <c r="O157" s="59" t="s">
        <v>945</v>
      </c>
      <c r="P157" s="59" t="s">
        <v>945</v>
      </c>
      <c r="Q157" s="59" t="s">
        <v>945</v>
      </c>
      <c r="R157" s="59" t="s">
        <v>945</v>
      </c>
      <c r="S157" s="59" t="s">
        <v>945</v>
      </c>
      <c r="T157" s="244"/>
      <c r="U157" s="59" t="s">
        <v>945</v>
      </c>
      <c r="V157" s="59" t="s">
        <v>945</v>
      </c>
      <c r="W157" s="59" t="s">
        <v>945</v>
      </c>
      <c r="X157" s="59" t="s">
        <v>945</v>
      </c>
      <c r="Y157" s="59" t="s">
        <v>945</v>
      </c>
      <c r="Z157" s="170"/>
      <c r="AA157" s="59" t="s">
        <v>945</v>
      </c>
      <c r="AB157" s="59" t="s">
        <v>945</v>
      </c>
      <c r="AC157" s="59" t="s">
        <v>945</v>
      </c>
      <c r="AD157" s="59" t="s">
        <v>945</v>
      </c>
      <c r="AE157" s="59" t="s">
        <v>945</v>
      </c>
      <c r="AF157" s="170"/>
      <c r="AG157" s="244" t="e">
        <f>AG160+AG158</f>
        <v>#VALUE!</v>
      </c>
      <c r="AH157" s="244" t="e">
        <f>AH160+AH158</f>
        <v>#VALUE!</v>
      </c>
      <c r="AI157" s="244" t="e">
        <f>AI160+AI158</f>
        <v>#VALUE!</v>
      </c>
      <c r="AJ157" s="244" t="e">
        <f>AJ160+AJ158</f>
        <v>#VALUE!</v>
      </c>
      <c r="AK157" s="244" t="e">
        <f>AK160+AK158</f>
        <v>#VALUE!</v>
      </c>
      <c r="AL157" s="170"/>
      <c r="AM157" s="244" t="e">
        <f>AM160+AM158</f>
        <v>#VALUE!</v>
      </c>
      <c r="AN157" s="244" t="e">
        <f>AN160+AN158</f>
        <v>#VALUE!</v>
      </c>
      <c r="AO157" s="244" t="e">
        <f>AO160+AO158</f>
        <v>#VALUE!</v>
      </c>
      <c r="AP157" s="244" t="e">
        <f>AP160+AP158</f>
        <v>#VALUE!</v>
      </c>
      <c r="AQ157" s="244" t="e">
        <f>AQ160+AQ158</f>
        <v>#VALUE!</v>
      </c>
      <c r="AR157" s="170"/>
      <c r="AS157" s="244" t="e">
        <f>AS158+AS160</f>
        <v>#VALUE!</v>
      </c>
      <c r="AT157" s="244" t="e">
        <f>AT158+AT160</f>
        <v>#VALUE!</v>
      </c>
      <c r="AU157" s="244" t="e">
        <f>AU158+AU160</f>
        <v>#VALUE!</v>
      </c>
      <c r="AV157" s="244" t="e">
        <f>AV158+AV160</f>
        <v>#VALUE!</v>
      </c>
      <c r="AW157" s="244" t="e">
        <f>AW158+AW160</f>
        <v>#VALUE!</v>
      </c>
      <c r="AX157" s="170"/>
      <c r="AY157" s="244">
        <v>1745.893</v>
      </c>
      <c r="AZ157" s="244">
        <v>1896.0630000000001</v>
      </c>
      <c r="BA157" s="244">
        <v>1964.934</v>
      </c>
      <c r="BB157" s="244">
        <v>2439.2979999999998</v>
      </c>
      <c r="BC157" s="244">
        <f>SUM(AY243:BB243)</f>
        <v>0</v>
      </c>
      <c r="BD157" s="170"/>
      <c r="BE157" s="244">
        <f>SUM(BE240:BE242)</f>
        <v>0</v>
      </c>
      <c r="BF157" s="244">
        <f>SUM(BF240:BF242)</f>
        <v>0</v>
      </c>
      <c r="BG157" s="244">
        <f>SUM(BG240:BG242)</f>
        <v>0</v>
      </c>
      <c r="BH157" s="244">
        <f>SUM(BH240:BH242)</f>
        <v>0</v>
      </c>
      <c r="BI157" s="244">
        <f>SUM(BI240:BI242)</f>
        <v>0</v>
      </c>
      <c r="BJ157" s="170"/>
      <c r="BK157" s="244">
        <f>SUM(BK240:BK242)</f>
        <v>0</v>
      </c>
      <c r="BL157" s="244">
        <f>SUM(BL240:BL242)</f>
        <v>0</v>
      </c>
      <c r="BM157" s="244">
        <f>SUM(BM240:BM242)</f>
        <v>0</v>
      </c>
      <c r="BN157" s="244">
        <f>SUM(BN240:BN242)</f>
        <v>0</v>
      </c>
      <c r="BO157" s="244">
        <f>SUM(BK243:BN243)</f>
        <v>0</v>
      </c>
      <c r="BP157" s="170"/>
      <c r="BQ157" s="244">
        <f>SUM(BQ240:BQ242)</f>
        <v>0</v>
      </c>
      <c r="BR157" s="244">
        <f>SUM(BR240:BR242)</f>
        <v>0</v>
      </c>
      <c r="BS157" s="244">
        <f>SUM(BS240:BS242)</f>
        <v>0</v>
      </c>
      <c r="BT157" s="244">
        <f>SUM(BT240:BT242)</f>
        <v>0</v>
      </c>
      <c r="BU157" s="244">
        <f>SUM(BQ243:BT243)</f>
        <v>0</v>
      </c>
      <c r="BV157" s="170"/>
      <c r="BW157" s="244">
        <f>SUM(BW240:BW242)</f>
        <v>0</v>
      </c>
      <c r="BX157" s="244">
        <f>SUM(BX240:BX242)</f>
        <v>0</v>
      </c>
      <c r="BY157" s="244">
        <f>SUM(BY240:BY242)</f>
        <v>0</v>
      </c>
      <c r="BZ157" s="244">
        <f>SUM(BZ240:BZ242)</f>
        <v>0</v>
      </c>
      <c r="CA157" s="244">
        <f>SUM(BW243:BZ243)</f>
        <v>0</v>
      </c>
      <c r="CB157" s="170"/>
      <c r="CC157" s="244">
        <f>SUM(CC240:CC242)</f>
        <v>0</v>
      </c>
      <c r="CD157" s="244">
        <f>SUM(CD240:CD242)</f>
        <v>0</v>
      </c>
      <c r="CE157" s="101" t="s">
        <v>945</v>
      </c>
      <c r="CF157" s="101" t="s">
        <v>945</v>
      </c>
      <c r="CG157" s="168" t="s">
        <v>945</v>
      </c>
      <c r="CH157" s="170"/>
      <c r="CI157" s="101" t="s">
        <v>945</v>
      </c>
      <c r="CJ157" s="101" t="s">
        <v>945</v>
      </c>
      <c r="CK157" s="101" t="s">
        <v>945</v>
      </c>
      <c r="CL157" s="101" t="s">
        <v>945</v>
      </c>
      <c r="CM157" s="168" t="s">
        <v>945</v>
      </c>
      <c r="CN157" s="170"/>
      <c r="CO157" s="101" t="s">
        <v>945</v>
      </c>
      <c r="CP157" s="101" t="s">
        <v>945</v>
      </c>
      <c r="CQ157" s="101" t="s">
        <v>945</v>
      </c>
      <c r="CR157" s="101" t="s">
        <v>945</v>
      </c>
      <c r="CS157" s="168" t="s">
        <v>945</v>
      </c>
      <c r="CT157" s="170"/>
      <c r="CU157" s="101" t="s">
        <v>945</v>
      </c>
      <c r="CV157" s="101" t="s">
        <v>945</v>
      </c>
      <c r="CW157" s="101" t="s">
        <v>945</v>
      </c>
      <c r="CX157" s="101" t="s">
        <v>945</v>
      </c>
      <c r="CY157" s="168" t="s">
        <v>945</v>
      </c>
      <c r="CZ157" s="170"/>
      <c r="DA157" s="101" t="s">
        <v>945</v>
      </c>
      <c r="DB157" s="101" t="s">
        <v>945</v>
      </c>
      <c r="DC157" s="101" t="s">
        <v>945</v>
      </c>
      <c r="DD157" s="101" t="s">
        <v>945</v>
      </c>
      <c r="DE157" s="168" t="s">
        <v>945</v>
      </c>
      <c r="DF157" s="170"/>
      <c r="DG157" s="101" t="s">
        <v>945</v>
      </c>
      <c r="DH157" s="101" t="s">
        <v>945</v>
      </c>
      <c r="DI157" s="101" t="s">
        <v>945</v>
      </c>
      <c r="DJ157" s="101" t="s">
        <v>945</v>
      </c>
      <c r="DK157" s="168" t="s">
        <v>945</v>
      </c>
      <c r="DL157" s="170"/>
      <c r="DM157" s="101" t="s">
        <v>945</v>
      </c>
      <c r="DN157" s="101" t="s">
        <v>945</v>
      </c>
      <c r="DO157" s="101" t="s">
        <v>945</v>
      </c>
      <c r="DP157" s="101" t="s">
        <v>945</v>
      </c>
      <c r="DQ157" s="168" t="s">
        <v>945</v>
      </c>
      <c r="DR157" s="170"/>
      <c r="DS157" s="101" t="s">
        <v>945</v>
      </c>
      <c r="DT157" s="101" t="s">
        <v>945</v>
      </c>
      <c r="DU157" s="101" t="s">
        <v>945</v>
      </c>
      <c r="DV157" s="101" t="s">
        <v>945</v>
      </c>
      <c r="DW157" s="168" t="s">
        <v>945</v>
      </c>
      <c r="DX157" s="170"/>
      <c r="DY157" s="101" t="s">
        <v>945</v>
      </c>
      <c r="DZ157" s="101" t="s">
        <v>945</v>
      </c>
      <c r="EA157" s="101" t="s">
        <v>945</v>
      </c>
      <c r="EB157" s="101" t="s">
        <v>945</v>
      </c>
      <c r="EC157" s="168" t="s">
        <v>945</v>
      </c>
      <c r="ED157" s="170"/>
      <c r="EE157" s="101" t="s">
        <v>945</v>
      </c>
      <c r="EF157" s="101" t="s">
        <v>945</v>
      </c>
      <c r="EG157" s="101" t="s">
        <v>945</v>
      </c>
      <c r="EH157" s="101" t="s">
        <v>945</v>
      </c>
      <c r="EI157" s="168" t="s">
        <v>945</v>
      </c>
      <c r="EJ157" s="170"/>
      <c r="EK157" s="101" t="s">
        <v>945</v>
      </c>
      <c r="EL157" s="101" t="s">
        <v>945</v>
      </c>
      <c r="EM157" s="101" t="s">
        <v>945</v>
      </c>
      <c r="EN157" s="101" t="s">
        <v>945</v>
      </c>
      <c r="EO157" s="168" t="s">
        <v>945</v>
      </c>
      <c r="EP157" s="170"/>
      <c r="EQ157" s="101" t="s">
        <v>945</v>
      </c>
      <c r="ER157" s="101" t="s">
        <v>945</v>
      </c>
      <c r="ES157" s="101" t="s">
        <v>945</v>
      </c>
      <c r="ET157" s="101" t="s">
        <v>945</v>
      </c>
      <c r="EU157" s="168" t="s">
        <v>945</v>
      </c>
      <c r="EV157" s="170"/>
      <c r="EW157" s="101" t="s">
        <v>945</v>
      </c>
      <c r="EX157" s="101" t="s">
        <v>945</v>
      </c>
      <c r="EY157" s="101" t="s">
        <v>945</v>
      </c>
      <c r="EZ157" s="101" t="s">
        <v>945</v>
      </c>
      <c r="FA157" s="168" t="s">
        <v>945</v>
      </c>
      <c r="FB157" s="170"/>
      <c r="FC157" s="101" t="s">
        <v>945</v>
      </c>
      <c r="FD157" s="101" t="s">
        <v>945</v>
      </c>
      <c r="FE157" s="101" t="s">
        <v>945</v>
      </c>
      <c r="FF157" s="101" t="s">
        <v>945</v>
      </c>
      <c r="FG157" s="168" t="s">
        <v>945</v>
      </c>
      <c r="FH157" s="170"/>
      <c r="FI157" s="101" t="s">
        <v>945</v>
      </c>
      <c r="FJ157" s="101" t="s">
        <v>945</v>
      </c>
      <c r="FK157" s="101" t="s">
        <v>945</v>
      </c>
      <c r="FL157" s="101" t="s">
        <v>945</v>
      </c>
      <c r="FM157" s="168" t="s">
        <v>945</v>
      </c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</row>
    <row r="158" spans="1:274" s="24" customFormat="1" hidden="1" x14ac:dyDescent="0.2">
      <c r="A158" s="58" t="s">
        <v>699</v>
      </c>
      <c r="B158" s="414"/>
      <c r="C158" s="406"/>
      <c r="D158" s="406"/>
      <c r="E158" s="406"/>
      <c r="F158" s="406"/>
      <c r="G158" s="406"/>
      <c r="H158" s="406"/>
      <c r="I158" s="406"/>
      <c r="J158" s="406"/>
      <c r="K158" s="406"/>
      <c r="L158" s="406"/>
      <c r="M158" s="406"/>
      <c r="N158" s="342"/>
      <c r="O158" s="406"/>
      <c r="P158" s="406"/>
      <c r="Q158" s="406"/>
      <c r="R158" s="406"/>
      <c r="S158" s="406"/>
      <c r="T158" s="342"/>
      <c r="U158" s="406"/>
      <c r="V158" s="406"/>
      <c r="W158" s="406"/>
      <c r="X158" s="406"/>
      <c r="Y158" s="406"/>
      <c r="Z158" s="53"/>
      <c r="AA158" s="342"/>
      <c r="AB158" s="342"/>
      <c r="AC158" s="342"/>
      <c r="AD158" s="342"/>
      <c r="AE158" s="342"/>
      <c r="AF158" s="53"/>
      <c r="AG158" s="342"/>
      <c r="AH158" s="342"/>
      <c r="AI158" s="342"/>
      <c r="AJ158" s="342"/>
      <c r="AK158" s="342"/>
      <c r="AL158" s="53"/>
      <c r="AM158" s="342"/>
      <c r="AN158" s="342"/>
      <c r="AO158" s="342"/>
      <c r="AP158" s="342"/>
      <c r="AQ158" s="342"/>
      <c r="AR158" s="53"/>
      <c r="AS158" s="342"/>
      <c r="AT158" s="342"/>
      <c r="AU158" s="342"/>
      <c r="AV158" s="342"/>
      <c r="AW158" s="342"/>
      <c r="AX158" s="53"/>
      <c r="AY158" s="342"/>
      <c r="AZ158" s="342"/>
      <c r="BA158" s="342"/>
      <c r="BB158" s="342"/>
      <c r="BC158" s="342"/>
      <c r="BD158" s="53"/>
      <c r="BE158" s="342"/>
      <c r="BF158" s="342"/>
      <c r="BG158" s="342"/>
      <c r="BH158" s="342"/>
      <c r="BI158" s="342"/>
      <c r="BJ158" s="53"/>
      <c r="BK158" s="342"/>
      <c r="BL158" s="342"/>
      <c r="BM158" s="342"/>
      <c r="BN158" s="342"/>
      <c r="BO158" s="342"/>
      <c r="BP158" s="53"/>
      <c r="BQ158" s="342"/>
      <c r="BR158" s="342"/>
      <c r="BS158" s="342"/>
      <c r="BT158" s="342"/>
      <c r="BU158" s="342"/>
      <c r="BV158" s="53"/>
      <c r="BW158" s="342"/>
      <c r="BX158" s="342"/>
      <c r="BY158" s="342"/>
      <c r="BZ158" s="342"/>
      <c r="CA158" s="342"/>
      <c r="CB158" s="53"/>
      <c r="CC158" s="342"/>
      <c r="CD158" s="342"/>
      <c r="CE158" s="342"/>
      <c r="CF158" s="342"/>
      <c r="CG158" s="147"/>
      <c r="CH158" s="53"/>
      <c r="CI158" s="342"/>
      <c r="CJ158" s="342"/>
      <c r="CK158" s="342"/>
      <c r="CL158" s="342"/>
      <c r="CM158" s="147"/>
      <c r="CN158" s="53"/>
      <c r="CO158" s="342"/>
      <c r="CP158" s="342"/>
      <c r="CQ158" s="342"/>
      <c r="CR158" s="342"/>
      <c r="CS158" s="147"/>
      <c r="CT158" s="53"/>
      <c r="CU158" s="342"/>
      <c r="CV158" s="342"/>
      <c r="CW158" s="342"/>
      <c r="CX158" s="342"/>
      <c r="CY158" s="147"/>
      <c r="CZ158" s="53"/>
      <c r="DA158" s="342"/>
      <c r="DB158" s="342"/>
      <c r="DC158" s="342"/>
      <c r="DD158" s="342"/>
      <c r="DE158" s="147"/>
      <c r="DF158" s="53"/>
      <c r="DG158" s="342"/>
      <c r="DH158" s="342"/>
      <c r="DI158" s="342"/>
      <c r="DJ158" s="342"/>
      <c r="DK158" s="147"/>
      <c r="DL158" s="53"/>
      <c r="DM158" s="342"/>
      <c r="DN158" s="342"/>
      <c r="DO158" s="342"/>
      <c r="DP158" s="342"/>
      <c r="DQ158" s="147"/>
      <c r="DR158" s="53"/>
      <c r="DS158" s="342"/>
      <c r="DT158" s="342"/>
      <c r="DU158" s="342"/>
      <c r="DV158" s="342"/>
      <c r="DW158" s="147"/>
      <c r="DX158" s="53"/>
      <c r="DY158" s="342"/>
      <c r="DZ158" s="342"/>
      <c r="EA158" s="342"/>
      <c r="EB158" s="342"/>
      <c r="EC158" s="147"/>
      <c r="ED158" s="53"/>
      <c r="EE158" s="342"/>
      <c r="EF158" s="342"/>
      <c r="EG158" s="342"/>
      <c r="EH158" s="342"/>
      <c r="EI158" s="147"/>
      <c r="EJ158" s="53"/>
      <c r="EK158" s="342"/>
      <c r="EL158" s="342"/>
      <c r="EM158" s="342"/>
      <c r="EN158" s="342"/>
      <c r="EO158" s="147"/>
      <c r="EP158" s="53"/>
      <c r="EQ158" s="342"/>
      <c r="ER158" s="342"/>
      <c r="ES158" s="342"/>
      <c r="ET158" s="342"/>
      <c r="EU158" s="147"/>
      <c r="EV158" s="53"/>
      <c r="EW158" s="342"/>
      <c r="EX158" s="342"/>
      <c r="EY158" s="342"/>
      <c r="EZ158" s="342"/>
      <c r="FA158" s="147"/>
      <c r="FB158" s="53"/>
      <c r="FC158" s="342"/>
      <c r="FD158" s="342"/>
      <c r="FE158" s="342"/>
      <c r="FF158" s="342"/>
      <c r="FG158" s="147"/>
      <c r="FH158" s="53"/>
      <c r="FI158" s="342"/>
      <c r="FJ158" s="342"/>
      <c r="FK158" s="342"/>
      <c r="FL158" s="342"/>
      <c r="FM158" s="147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</row>
    <row r="159" spans="1:274" s="24" customFormat="1" hidden="1" x14ac:dyDescent="0.2">
      <c r="A159" s="342" t="s">
        <v>707</v>
      </c>
      <c r="B159" s="1040"/>
      <c r="C159" s="406" t="s">
        <v>945</v>
      </c>
      <c r="D159" s="406" t="s">
        <v>945</v>
      </c>
      <c r="E159" s="406" t="s">
        <v>945</v>
      </c>
      <c r="F159" s="406" t="s">
        <v>945</v>
      </c>
      <c r="G159" s="406" t="s">
        <v>945</v>
      </c>
      <c r="H159" s="406" t="s">
        <v>945</v>
      </c>
      <c r="I159" s="406" t="s">
        <v>945</v>
      </c>
      <c r="J159" s="406" t="s">
        <v>945</v>
      </c>
      <c r="K159" s="406" t="s">
        <v>945</v>
      </c>
      <c r="L159" s="406" t="s">
        <v>945</v>
      </c>
      <c r="M159" s="406" t="s">
        <v>945</v>
      </c>
      <c r="N159" s="342"/>
      <c r="O159" s="406" t="s">
        <v>945</v>
      </c>
      <c r="P159" s="406" t="s">
        <v>945</v>
      </c>
      <c r="Q159" s="406" t="s">
        <v>945</v>
      </c>
      <c r="R159" s="406" t="s">
        <v>945</v>
      </c>
      <c r="S159" s="406" t="s">
        <v>945</v>
      </c>
      <c r="T159" s="342"/>
      <c r="U159" s="406" t="s">
        <v>945</v>
      </c>
      <c r="V159" s="406" t="s">
        <v>945</v>
      </c>
      <c r="W159" s="406" t="s">
        <v>945</v>
      </c>
      <c r="X159" s="406" t="s">
        <v>945</v>
      </c>
      <c r="Y159" s="406" t="s">
        <v>945</v>
      </c>
      <c r="Z159" s="53"/>
      <c r="AA159" s="43">
        <f>(0.41*AA153/SUM(AA152:AA153)+(-0.06*AA152/SUM(AA152:AA153)))</f>
        <v>0.33461405276960449</v>
      </c>
      <c r="AB159" s="43">
        <f>(0.24*AB153/SUM(AB152:AB153)+(-0.08*AB152/SUM(AB152:AB153)))</f>
        <v>0.19112138114840929</v>
      </c>
      <c r="AC159" s="43">
        <f>(0.32*AC153/SUM(AC152:AC153)+(-0.08*AC152/SUM(AC152:AC153)))</f>
        <v>0.26199440726336903</v>
      </c>
      <c r="AD159" s="43">
        <f>(0.22*AD153/SUM(AD152:AD153)+(-0.07*AD152/SUM(AD152:AD153)))</f>
        <v>0.18301225328327461</v>
      </c>
      <c r="AE159" s="43">
        <f>(0.27*AE153/SUM(AE152:AE153)+(-0.07*AE152/SUM(AE152:AE153)))</f>
        <v>0.22150227221439914</v>
      </c>
      <c r="AF159" s="53"/>
      <c r="AG159" s="94">
        <f>AG154/AA154-1</f>
        <v>3.3122535865610869E-2</v>
      </c>
      <c r="AH159" s="94">
        <f>AH154/AB154-1</f>
        <v>1.5442677549210027E-2</v>
      </c>
      <c r="AI159" s="94">
        <f>AI154/AC154-1</f>
        <v>0.10254009445830259</v>
      </c>
      <c r="AJ159" s="94">
        <f>AJ154/AD154-1</f>
        <v>0.11778385572830574</v>
      </c>
      <c r="AK159" s="94">
        <f>AK154/AE154-1</f>
        <v>7.7891330434534334E-2</v>
      </c>
      <c r="AL159" s="53"/>
      <c r="AM159" s="94">
        <f>AM154/AG154-1</f>
        <v>0.12919341046030453</v>
      </c>
      <c r="AN159" s="94">
        <f>AN154/AH154-1</f>
        <v>0.20273464007425512</v>
      </c>
      <c r="AO159" s="94">
        <f>AO154/AI154-1</f>
        <v>7.1334147251883806E-2</v>
      </c>
      <c r="AP159" s="94">
        <f>AP154/AJ154-1</f>
        <v>0.21412826417798692</v>
      </c>
      <c r="AQ159" s="94">
        <f>AQ154/AK154-1</f>
        <v>0.16346687742230137</v>
      </c>
      <c r="AR159" s="53"/>
      <c r="AS159" s="94">
        <f>AS154/AM154-1</f>
        <v>7.3946244257632188E-2</v>
      </c>
      <c r="AT159" s="94">
        <f>AT154/AN154-1</f>
        <v>0.15006096018780912</v>
      </c>
      <c r="AU159" s="94">
        <f>AU154/AO154-1</f>
        <v>0.28469880837907913</v>
      </c>
      <c r="AV159" s="94">
        <f>AV154/AP154-1</f>
        <v>0.11468757331600155</v>
      </c>
      <c r="AW159" s="94">
        <f>AW154/AQ154-1</f>
        <v>0.15375025596752989</v>
      </c>
      <c r="AX159" s="53"/>
      <c r="AY159" s="43">
        <f>AY154/AS154-1</f>
        <v>0.24764996362737435</v>
      </c>
      <c r="AZ159" s="43">
        <f>AZ154/AT154-1</f>
        <v>0.14741461585416582</v>
      </c>
      <c r="BA159" s="43">
        <f>BA154/AU154-1</f>
        <v>8.4855561977128513E-3</v>
      </c>
      <c r="BB159" s="43">
        <f>BB154/AV154-1</f>
        <v>-4.768134297887916E-2</v>
      </c>
      <c r="BC159" s="43">
        <f>BC154/AW154-1</f>
        <v>5.0072748446633009E-2</v>
      </c>
      <c r="BD159" s="53"/>
      <c r="BE159" s="43">
        <f>BE154/AY154-1</f>
        <v>-8.2086146440178087E-2</v>
      </c>
      <c r="BF159" s="43">
        <f>BF154/AZ154-1</f>
        <v>-0.21336688282169547</v>
      </c>
      <c r="BG159" s="43">
        <f>BG154/BA154-1</f>
        <v>-0.2612452013467349</v>
      </c>
      <c r="BH159" s="43">
        <f>BH154/BB154-1</f>
        <v>-0.29380443755120145</v>
      </c>
      <c r="BI159" s="43">
        <f>BI154/BC154-1</f>
        <v>-0.23103757991702201</v>
      </c>
      <c r="BJ159" s="53"/>
      <c r="BK159" s="43">
        <f t="shared" ref="BK159:BO162" si="311">BK154/BE154-1</f>
        <v>-0.22502154192403445</v>
      </c>
      <c r="BL159" s="43">
        <f t="shared" si="311"/>
        <v>5.8445189283069521E-3</v>
      </c>
      <c r="BM159" s="43">
        <f t="shared" si="311"/>
        <v>-4.1457366312710686E-2</v>
      </c>
      <c r="BN159" s="43">
        <f t="shared" si="311"/>
        <v>3.1771484180609821E-2</v>
      </c>
      <c r="BO159" s="43">
        <f t="shared" si="311"/>
        <v>-4.4101672822072557E-2</v>
      </c>
      <c r="BP159" s="53"/>
      <c r="BQ159" s="43">
        <v>-0.08</v>
      </c>
      <c r="BR159" s="43">
        <v>0.09</v>
      </c>
      <c r="BS159" s="43">
        <v>0.15</v>
      </c>
      <c r="BT159" s="43">
        <v>0.15</v>
      </c>
      <c r="BU159" s="43">
        <v>0.1</v>
      </c>
      <c r="BV159" s="53"/>
      <c r="BW159" s="43">
        <f>BW154/BQ154-1</f>
        <v>0.18181818181818188</v>
      </c>
      <c r="BX159" s="43">
        <f>BX154/BR154-1</f>
        <v>5.2924791086351064E-2</v>
      </c>
      <c r="BY159" s="43">
        <f>BY154/BS154-1</f>
        <v>0.12446958981612455</v>
      </c>
      <c r="BZ159" s="43">
        <f>BZ154/BT154-1</f>
        <v>0.16358595194085024</v>
      </c>
      <c r="CA159" s="43">
        <f>CA154/BU154-1</f>
        <v>0.12957264957264947</v>
      </c>
      <c r="CB159" s="53"/>
      <c r="CC159" s="43">
        <f t="shared" ref="CC159:CG160" si="312">CC154/BW154-1</f>
        <v>1.6194331983805599E-2</v>
      </c>
      <c r="CD159" s="43">
        <f t="shared" si="312"/>
        <v>4.7619047619047672E-2</v>
      </c>
      <c r="CE159" s="43">
        <f t="shared" si="312"/>
        <v>4.0251572327044016E-2</v>
      </c>
      <c r="CF159" s="43">
        <f t="shared" si="312"/>
        <v>0.17553613979348692</v>
      </c>
      <c r="CG159" s="148">
        <f t="shared" si="312"/>
        <v>8.989104116222757E-2</v>
      </c>
      <c r="CH159" s="53"/>
      <c r="CI159" s="43">
        <f t="shared" ref="CI159:CM160" si="313">CI154/CC154-1</f>
        <v>0.14741035856573714</v>
      </c>
      <c r="CJ159" s="43">
        <f t="shared" si="313"/>
        <v>9.4696969696969724E-2</v>
      </c>
      <c r="CK159" s="43">
        <f t="shared" si="313"/>
        <v>0.16928657799274482</v>
      </c>
      <c r="CL159" s="43">
        <f t="shared" si="313"/>
        <v>0.18581081081081074</v>
      </c>
      <c r="CM159" s="148">
        <f t="shared" si="313"/>
        <v>0.15690086087197996</v>
      </c>
      <c r="CN159" s="53"/>
      <c r="CO159" s="43">
        <f t="shared" ref="CO159:CS160" si="314">CO154/CI154-1</f>
        <v>0.234375</v>
      </c>
      <c r="CP159" s="43">
        <f t="shared" si="314"/>
        <v>0.28604382929642447</v>
      </c>
      <c r="CQ159" s="43">
        <f t="shared" si="314"/>
        <v>0.20475698035160295</v>
      </c>
      <c r="CR159" s="43">
        <f t="shared" si="314"/>
        <v>0.22792022792022792</v>
      </c>
      <c r="CS159" s="148">
        <f>CS154/CM154-1</f>
        <v>0.23523763802208353</v>
      </c>
      <c r="CT159" s="53"/>
      <c r="CU159" s="50" t="s">
        <v>945</v>
      </c>
      <c r="CV159" s="50" t="s">
        <v>945</v>
      </c>
      <c r="CW159" s="50" t="s">
        <v>945</v>
      </c>
      <c r="CX159" s="50" t="s">
        <v>945</v>
      </c>
      <c r="CY159" s="164" t="s">
        <v>945</v>
      </c>
      <c r="CZ159" s="53"/>
      <c r="DA159" s="50" t="s">
        <v>945</v>
      </c>
      <c r="DB159" s="50" t="s">
        <v>945</v>
      </c>
      <c r="DC159" s="50" t="s">
        <v>945</v>
      </c>
      <c r="DD159" s="50" t="s">
        <v>945</v>
      </c>
      <c r="DE159" s="164" t="s">
        <v>945</v>
      </c>
      <c r="DF159" s="53"/>
      <c r="DG159" s="50" t="s">
        <v>945</v>
      </c>
      <c r="DH159" s="50" t="s">
        <v>945</v>
      </c>
      <c r="DI159" s="50" t="s">
        <v>945</v>
      </c>
      <c r="DJ159" s="50" t="s">
        <v>945</v>
      </c>
      <c r="DK159" s="164" t="s">
        <v>945</v>
      </c>
      <c r="DL159" s="53"/>
      <c r="DM159" s="50" t="s">
        <v>945</v>
      </c>
      <c r="DN159" s="50" t="s">
        <v>945</v>
      </c>
      <c r="DO159" s="50" t="s">
        <v>945</v>
      </c>
      <c r="DP159" s="50" t="s">
        <v>945</v>
      </c>
      <c r="DQ159" s="164" t="s">
        <v>945</v>
      </c>
      <c r="DR159" s="53"/>
      <c r="DS159" s="50" t="s">
        <v>945</v>
      </c>
      <c r="DT159" s="50" t="s">
        <v>945</v>
      </c>
      <c r="DU159" s="50" t="s">
        <v>945</v>
      </c>
      <c r="DV159" s="50" t="s">
        <v>945</v>
      </c>
      <c r="DW159" s="164" t="s">
        <v>945</v>
      </c>
      <c r="DX159" s="53"/>
      <c r="DY159" s="50" t="s">
        <v>945</v>
      </c>
      <c r="DZ159" s="50" t="s">
        <v>945</v>
      </c>
      <c r="EA159" s="50" t="s">
        <v>945</v>
      </c>
      <c r="EB159" s="50" t="s">
        <v>945</v>
      </c>
      <c r="EC159" s="164" t="s">
        <v>945</v>
      </c>
      <c r="ED159" s="53"/>
      <c r="EE159" s="50" t="s">
        <v>945</v>
      </c>
      <c r="EF159" s="50" t="s">
        <v>945</v>
      </c>
      <c r="EG159" s="50" t="s">
        <v>945</v>
      </c>
      <c r="EH159" s="50" t="s">
        <v>945</v>
      </c>
      <c r="EI159" s="164" t="s">
        <v>945</v>
      </c>
      <c r="EJ159" s="53"/>
      <c r="EK159" s="50" t="s">
        <v>945</v>
      </c>
      <c r="EL159" s="50" t="s">
        <v>945</v>
      </c>
      <c r="EM159" s="50" t="s">
        <v>945</v>
      </c>
      <c r="EN159" s="50" t="s">
        <v>945</v>
      </c>
      <c r="EO159" s="164" t="s">
        <v>945</v>
      </c>
      <c r="EP159" s="53"/>
      <c r="EQ159" s="50" t="s">
        <v>945</v>
      </c>
      <c r="ER159" s="50" t="s">
        <v>945</v>
      </c>
      <c r="ES159" s="50" t="s">
        <v>945</v>
      </c>
      <c r="ET159" s="50" t="s">
        <v>945</v>
      </c>
      <c r="EU159" s="164" t="s">
        <v>945</v>
      </c>
      <c r="EV159" s="53"/>
      <c r="EW159" s="50" t="s">
        <v>945</v>
      </c>
      <c r="EX159" s="50" t="s">
        <v>945</v>
      </c>
      <c r="EY159" s="50" t="s">
        <v>945</v>
      </c>
      <c r="EZ159" s="50" t="s">
        <v>945</v>
      </c>
      <c r="FA159" s="164" t="s">
        <v>945</v>
      </c>
      <c r="FB159" s="53"/>
      <c r="FC159" s="50" t="s">
        <v>945</v>
      </c>
      <c r="FD159" s="50" t="s">
        <v>945</v>
      </c>
      <c r="FE159" s="50" t="s">
        <v>945</v>
      </c>
      <c r="FF159" s="50" t="s">
        <v>945</v>
      </c>
      <c r="FG159" s="164" t="s">
        <v>945</v>
      </c>
      <c r="FH159" s="53"/>
      <c r="FI159" s="50" t="s">
        <v>945</v>
      </c>
      <c r="FJ159" s="50" t="s">
        <v>945</v>
      </c>
      <c r="FK159" s="50" t="s">
        <v>945</v>
      </c>
      <c r="FL159" s="50" t="s">
        <v>945</v>
      </c>
      <c r="FM159" s="164" t="s">
        <v>945</v>
      </c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</row>
    <row r="160" spans="1:274" s="24" customFormat="1" hidden="1" x14ac:dyDescent="0.2">
      <c r="A160" s="342" t="s">
        <v>470</v>
      </c>
      <c r="B160" s="1040"/>
      <c r="C160" s="406" t="s">
        <v>945</v>
      </c>
      <c r="D160" s="406" t="s">
        <v>945</v>
      </c>
      <c r="E160" s="406" t="s">
        <v>945</v>
      </c>
      <c r="F160" s="406" t="s">
        <v>945</v>
      </c>
      <c r="G160" s="406" t="s">
        <v>945</v>
      </c>
      <c r="H160" s="406" t="s">
        <v>945</v>
      </c>
      <c r="I160" s="406" t="s">
        <v>945</v>
      </c>
      <c r="J160" s="406" t="s">
        <v>945</v>
      </c>
      <c r="K160" s="406" t="s">
        <v>945</v>
      </c>
      <c r="L160" s="406" t="s">
        <v>945</v>
      </c>
      <c r="M160" s="406" t="s">
        <v>945</v>
      </c>
      <c r="N160" s="342"/>
      <c r="O160" s="406" t="s">
        <v>945</v>
      </c>
      <c r="P160" s="406" t="s">
        <v>945</v>
      </c>
      <c r="Q160" s="406" t="s">
        <v>945</v>
      </c>
      <c r="R160" s="406" t="s">
        <v>945</v>
      </c>
      <c r="S160" s="406" t="s">
        <v>945</v>
      </c>
      <c r="T160" s="342"/>
      <c r="U160" s="406" t="s">
        <v>945</v>
      </c>
      <c r="V160" s="406" t="s">
        <v>945</v>
      </c>
      <c r="W160" s="406" t="s">
        <v>945</v>
      </c>
      <c r="X160" s="406" t="s">
        <v>945</v>
      </c>
      <c r="Y160" s="406" t="s">
        <v>945</v>
      </c>
      <c r="Z160" s="53"/>
      <c r="AA160" s="94" t="s">
        <v>945</v>
      </c>
      <c r="AB160" s="94" t="s">
        <v>945</v>
      </c>
      <c r="AC160" s="94" t="s">
        <v>945</v>
      </c>
      <c r="AD160" s="94" t="s">
        <v>945</v>
      </c>
      <c r="AE160" s="406" t="s">
        <v>945</v>
      </c>
      <c r="AF160" s="53"/>
      <c r="AG160" s="94" t="s">
        <v>945</v>
      </c>
      <c r="AH160" s="94" t="s">
        <v>945</v>
      </c>
      <c r="AI160" s="94" t="s">
        <v>945</v>
      </c>
      <c r="AJ160" s="94" t="s">
        <v>945</v>
      </c>
      <c r="AK160" s="406" t="s">
        <v>945</v>
      </c>
      <c r="AL160" s="53"/>
      <c r="AM160" s="94" t="s">
        <v>945</v>
      </c>
      <c r="AN160" s="94" t="s">
        <v>945</v>
      </c>
      <c r="AO160" s="94" t="s">
        <v>945</v>
      </c>
      <c r="AP160" s="94" t="s">
        <v>945</v>
      </c>
      <c r="AQ160" s="406" t="s">
        <v>945</v>
      </c>
      <c r="AR160" s="53"/>
      <c r="AS160" s="94" t="s">
        <v>945</v>
      </c>
      <c r="AT160" s="94" t="s">
        <v>945</v>
      </c>
      <c r="AU160" s="94" t="s">
        <v>945</v>
      </c>
      <c r="AV160" s="94" t="s">
        <v>945</v>
      </c>
      <c r="AW160" s="406" t="s">
        <v>945</v>
      </c>
      <c r="AX160" s="53"/>
      <c r="AY160" s="406" t="s">
        <v>945</v>
      </c>
      <c r="AZ160" s="406" t="s">
        <v>945</v>
      </c>
      <c r="BA160" s="406" t="s">
        <v>945</v>
      </c>
      <c r="BB160" s="406" t="s">
        <v>945</v>
      </c>
      <c r="BC160" s="406" t="s">
        <v>945</v>
      </c>
      <c r="BD160" s="53"/>
      <c r="BE160" s="43">
        <v>7.0000000000000007E-2</v>
      </c>
      <c r="BF160" s="43">
        <v>7.0000000000000007E-2</v>
      </c>
      <c r="BG160" s="43">
        <v>0.02</v>
      </c>
      <c r="BH160" s="43">
        <v>0.08</v>
      </c>
      <c r="BI160" s="43">
        <v>0.06</v>
      </c>
      <c r="BJ160" s="53"/>
      <c r="BK160" s="43">
        <f t="shared" si="311"/>
        <v>7.4138060542327189E-2</v>
      </c>
      <c r="BL160" s="43">
        <f t="shared" si="311"/>
        <v>8.0894612775254338E-2</v>
      </c>
      <c r="BM160" s="43">
        <f t="shared" si="311"/>
        <v>0.15277316554729659</v>
      </c>
      <c r="BN160" s="43">
        <f t="shared" si="311"/>
        <v>0.11052826174296881</v>
      </c>
      <c r="BO160" s="43">
        <f t="shared" si="311"/>
        <v>0.10481537736943003</v>
      </c>
      <c r="BP160" s="53"/>
      <c r="BQ160" s="43">
        <f>BQ155/BK155-1</f>
        <v>0.13706293706293704</v>
      </c>
      <c r="BR160" s="43">
        <f>BR155/BL155-1</f>
        <v>0.16489361702127669</v>
      </c>
      <c r="BS160" s="43">
        <f>BS155/BM155-1</f>
        <v>0.19162436548223361</v>
      </c>
      <c r="BT160" s="43">
        <f>BT155/BN155-1</f>
        <v>0.16105769230769229</v>
      </c>
      <c r="BU160" s="43">
        <f>BU155/BO155-1</f>
        <v>0.16423712342079688</v>
      </c>
      <c r="BV160" s="53"/>
      <c r="BW160" s="43">
        <f>BW155/BQ155-1</f>
        <v>0.15375153751537507</v>
      </c>
      <c r="BX160" s="43">
        <f>BX155/BR155-1</f>
        <v>0.13926940639269403</v>
      </c>
      <c r="BY160" s="43">
        <f>BY155/BS155-1</f>
        <v>0.10543130990415328</v>
      </c>
      <c r="BZ160" s="43">
        <f>BZ155/BT155-1</f>
        <v>0.10766045548654235</v>
      </c>
      <c r="CA160" s="43">
        <v>0.12</v>
      </c>
      <c r="CB160" s="53"/>
      <c r="CC160" s="43">
        <f t="shared" si="312"/>
        <v>0.10447761194029859</v>
      </c>
      <c r="CD160" s="43">
        <f t="shared" si="312"/>
        <v>5.9118236472945895E-2</v>
      </c>
      <c r="CE160" s="43">
        <f t="shared" si="312"/>
        <v>5.4913294797687806E-2</v>
      </c>
      <c r="CF160" s="43">
        <f t="shared" si="312"/>
        <v>0.11869158878504682</v>
      </c>
      <c r="CG160" s="148">
        <f t="shared" si="312"/>
        <v>8.4322453016814958E-2</v>
      </c>
      <c r="CH160" s="53"/>
      <c r="CI160" s="43">
        <f t="shared" si="313"/>
        <v>0.19498069498069492</v>
      </c>
      <c r="CJ160" s="43">
        <f t="shared" si="313"/>
        <v>0.2100283822138127</v>
      </c>
      <c r="CK160" s="43">
        <f t="shared" si="313"/>
        <v>0.2228310502283104</v>
      </c>
      <c r="CL160" s="43">
        <f t="shared" si="313"/>
        <v>0.17794486215538852</v>
      </c>
      <c r="CM160" s="148">
        <f t="shared" si="313"/>
        <v>0.20798175598631707</v>
      </c>
      <c r="CN160" s="53"/>
      <c r="CO160" s="43">
        <f t="shared" si="314"/>
        <v>0.20920840064620361</v>
      </c>
      <c r="CP160" s="43">
        <f t="shared" si="314"/>
        <v>0.22126661454261143</v>
      </c>
      <c r="CQ160" s="43">
        <f t="shared" si="314"/>
        <v>0.23226288274831974</v>
      </c>
      <c r="CR160" s="43">
        <f t="shared" si="314"/>
        <v>0.26666666666666661</v>
      </c>
      <c r="CS160" s="148">
        <f t="shared" si="314"/>
        <v>0.2261657542004909</v>
      </c>
      <c r="CT160" s="53"/>
      <c r="CU160" s="50" t="s">
        <v>945</v>
      </c>
      <c r="CV160" s="50" t="s">
        <v>945</v>
      </c>
      <c r="CW160" s="50" t="s">
        <v>945</v>
      </c>
      <c r="CX160" s="50" t="s">
        <v>945</v>
      </c>
      <c r="CY160" s="164" t="s">
        <v>945</v>
      </c>
      <c r="CZ160" s="53"/>
      <c r="DA160" s="50" t="s">
        <v>945</v>
      </c>
      <c r="DB160" s="50" t="s">
        <v>945</v>
      </c>
      <c r="DC160" s="50" t="s">
        <v>945</v>
      </c>
      <c r="DD160" s="50" t="s">
        <v>945</v>
      </c>
      <c r="DE160" s="164" t="s">
        <v>945</v>
      </c>
      <c r="DF160" s="53"/>
      <c r="DG160" s="50" t="s">
        <v>945</v>
      </c>
      <c r="DH160" s="50" t="s">
        <v>945</v>
      </c>
      <c r="DI160" s="50" t="s">
        <v>945</v>
      </c>
      <c r="DJ160" s="50" t="s">
        <v>945</v>
      </c>
      <c r="DK160" s="164" t="s">
        <v>945</v>
      </c>
      <c r="DL160" s="53"/>
      <c r="DM160" s="50" t="s">
        <v>945</v>
      </c>
      <c r="DN160" s="50" t="s">
        <v>945</v>
      </c>
      <c r="DO160" s="50" t="s">
        <v>945</v>
      </c>
      <c r="DP160" s="50" t="s">
        <v>945</v>
      </c>
      <c r="DQ160" s="164" t="s">
        <v>945</v>
      </c>
      <c r="DR160" s="53"/>
      <c r="DS160" s="50" t="s">
        <v>945</v>
      </c>
      <c r="DT160" s="50" t="s">
        <v>945</v>
      </c>
      <c r="DU160" s="50" t="s">
        <v>945</v>
      </c>
      <c r="DV160" s="50" t="s">
        <v>945</v>
      </c>
      <c r="DW160" s="164" t="s">
        <v>945</v>
      </c>
      <c r="DX160" s="53"/>
      <c r="DY160" s="50" t="s">
        <v>945</v>
      </c>
      <c r="DZ160" s="50" t="s">
        <v>945</v>
      </c>
      <c r="EA160" s="50" t="s">
        <v>945</v>
      </c>
      <c r="EB160" s="50" t="s">
        <v>945</v>
      </c>
      <c r="EC160" s="164" t="s">
        <v>945</v>
      </c>
      <c r="ED160" s="53"/>
      <c r="EE160" s="50" t="s">
        <v>945</v>
      </c>
      <c r="EF160" s="50" t="s">
        <v>945</v>
      </c>
      <c r="EG160" s="50" t="s">
        <v>945</v>
      </c>
      <c r="EH160" s="50" t="s">
        <v>945</v>
      </c>
      <c r="EI160" s="164" t="s">
        <v>945</v>
      </c>
      <c r="EJ160" s="53"/>
      <c r="EK160" s="50" t="s">
        <v>945</v>
      </c>
      <c r="EL160" s="50" t="s">
        <v>945</v>
      </c>
      <c r="EM160" s="50" t="s">
        <v>945</v>
      </c>
      <c r="EN160" s="50" t="s">
        <v>945</v>
      </c>
      <c r="EO160" s="164" t="s">
        <v>945</v>
      </c>
      <c r="EP160" s="53"/>
      <c r="EQ160" s="50" t="s">
        <v>945</v>
      </c>
      <c r="ER160" s="50" t="s">
        <v>945</v>
      </c>
      <c r="ES160" s="50" t="s">
        <v>945</v>
      </c>
      <c r="ET160" s="50" t="s">
        <v>945</v>
      </c>
      <c r="EU160" s="164" t="s">
        <v>945</v>
      </c>
      <c r="EV160" s="53"/>
      <c r="EW160" s="50" t="s">
        <v>945</v>
      </c>
      <c r="EX160" s="50" t="s">
        <v>945</v>
      </c>
      <c r="EY160" s="50" t="s">
        <v>945</v>
      </c>
      <c r="EZ160" s="50" t="s">
        <v>945</v>
      </c>
      <c r="FA160" s="164" t="s">
        <v>945</v>
      </c>
      <c r="FB160" s="53"/>
      <c r="FC160" s="50" t="s">
        <v>945</v>
      </c>
      <c r="FD160" s="50" t="s">
        <v>945</v>
      </c>
      <c r="FE160" s="50" t="s">
        <v>945</v>
      </c>
      <c r="FF160" s="50" t="s">
        <v>945</v>
      </c>
      <c r="FG160" s="164" t="s">
        <v>945</v>
      </c>
      <c r="FH160" s="53"/>
      <c r="FI160" s="50" t="s">
        <v>945</v>
      </c>
      <c r="FJ160" s="50" t="s">
        <v>945</v>
      </c>
      <c r="FK160" s="50" t="s">
        <v>945</v>
      </c>
      <c r="FL160" s="50" t="s">
        <v>945</v>
      </c>
      <c r="FM160" s="164" t="s">
        <v>945</v>
      </c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</row>
    <row r="161" spans="1:274" s="24" customFormat="1" hidden="1" x14ac:dyDescent="0.2">
      <c r="A161" s="342" t="s">
        <v>471</v>
      </c>
      <c r="B161" s="1040"/>
      <c r="C161" s="406" t="s">
        <v>945</v>
      </c>
      <c r="D161" s="406" t="s">
        <v>945</v>
      </c>
      <c r="E161" s="406" t="s">
        <v>945</v>
      </c>
      <c r="F161" s="406" t="s">
        <v>945</v>
      </c>
      <c r="G161" s="406" t="s">
        <v>945</v>
      </c>
      <c r="H161" s="406" t="s">
        <v>945</v>
      </c>
      <c r="I161" s="406" t="s">
        <v>945</v>
      </c>
      <c r="J161" s="406" t="s">
        <v>945</v>
      </c>
      <c r="K161" s="406" t="s">
        <v>945</v>
      </c>
      <c r="L161" s="406" t="s">
        <v>945</v>
      </c>
      <c r="M161" s="406" t="s">
        <v>945</v>
      </c>
      <c r="N161" s="342"/>
      <c r="O161" s="406" t="s">
        <v>945</v>
      </c>
      <c r="P161" s="406" t="s">
        <v>945</v>
      </c>
      <c r="Q161" s="406" t="s">
        <v>945</v>
      </c>
      <c r="R161" s="406" t="s">
        <v>945</v>
      </c>
      <c r="S161" s="406" t="s">
        <v>945</v>
      </c>
      <c r="T161" s="342"/>
      <c r="U161" s="406" t="s">
        <v>945</v>
      </c>
      <c r="V161" s="406" t="s">
        <v>945</v>
      </c>
      <c r="W161" s="406" t="s">
        <v>945</v>
      </c>
      <c r="X161" s="406" t="s">
        <v>945</v>
      </c>
      <c r="Y161" s="406" t="s">
        <v>945</v>
      </c>
      <c r="Z161" s="53"/>
      <c r="AA161" s="94" t="s">
        <v>945</v>
      </c>
      <c r="AB161" s="94" t="s">
        <v>945</v>
      </c>
      <c r="AC161" s="94" t="s">
        <v>945</v>
      </c>
      <c r="AD161" s="94" t="s">
        <v>945</v>
      </c>
      <c r="AE161" s="406" t="s">
        <v>945</v>
      </c>
      <c r="AF161" s="53"/>
      <c r="AG161" s="94" t="s">
        <v>945</v>
      </c>
      <c r="AH161" s="94" t="s">
        <v>945</v>
      </c>
      <c r="AI161" s="94" t="s">
        <v>945</v>
      </c>
      <c r="AJ161" s="94" t="s">
        <v>945</v>
      </c>
      <c r="AK161" s="406" t="s">
        <v>945</v>
      </c>
      <c r="AL161" s="53"/>
      <c r="AM161" s="94">
        <f t="shared" ref="AM161:AQ162" si="315">AM156/AG156-1</f>
        <v>0.29701500329563468</v>
      </c>
      <c r="AN161" s="94">
        <f t="shared" si="315"/>
        <v>0.28217700161251646</v>
      </c>
      <c r="AO161" s="94">
        <f t="shared" si="315"/>
        <v>0.21093177614159808</v>
      </c>
      <c r="AP161" s="94">
        <f t="shared" si="315"/>
        <v>0.21052572528447899</v>
      </c>
      <c r="AQ161" s="94">
        <f t="shared" si="315"/>
        <v>0.24705835311001878</v>
      </c>
      <c r="AR161" s="53"/>
      <c r="AS161" s="94">
        <f t="shared" ref="AS161:AW162" si="316">AS156/AM156-1</f>
        <v>0.18621679484566944</v>
      </c>
      <c r="AT161" s="94">
        <f t="shared" si="316"/>
        <v>0.14353000742042221</v>
      </c>
      <c r="AU161" s="94">
        <f t="shared" si="316"/>
        <v>-9.6148754290643512E-2</v>
      </c>
      <c r="AV161" s="94">
        <f t="shared" si="316"/>
        <v>-0.13834786235447383</v>
      </c>
      <c r="AW161" s="94">
        <f t="shared" si="316"/>
        <v>1.6477994724753975E-2</v>
      </c>
      <c r="AX161" s="53"/>
      <c r="AY161" s="406" t="s">
        <v>945</v>
      </c>
      <c r="AZ161" s="406" t="s">
        <v>945</v>
      </c>
      <c r="BA161" s="406" t="s">
        <v>945</v>
      </c>
      <c r="BB161" s="406" t="s">
        <v>945</v>
      </c>
      <c r="BC161" s="406" t="s">
        <v>945</v>
      </c>
      <c r="BD161" s="53"/>
      <c r="BE161" s="43">
        <f t="shared" ref="BE161:BI162" si="317">BE156/AY156-1</f>
        <v>-0.22285694818913659</v>
      </c>
      <c r="BF161" s="43">
        <f t="shared" si="317"/>
        <v>-0.12285493025555683</v>
      </c>
      <c r="BG161" s="43">
        <f t="shared" si="317"/>
        <v>-0.28856370030639367</v>
      </c>
      <c r="BH161" s="43">
        <f t="shared" si="317"/>
        <v>-0.26086350994893059</v>
      </c>
      <c r="BI161" s="43">
        <f t="shared" si="317"/>
        <v>-0.22480799249605699</v>
      </c>
      <c r="BJ161" s="53"/>
      <c r="BK161" s="43">
        <f t="shared" si="311"/>
        <v>-0.21741244643454127</v>
      </c>
      <c r="BL161" s="43">
        <f t="shared" si="311"/>
        <v>-0.14746482962493734</v>
      </c>
      <c r="BM161" s="43">
        <f t="shared" si="311"/>
        <v>-2.9581895676882408E-2</v>
      </c>
      <c r="BN161" s="43">
        <f t="shared" si="311"/>
        <v>-1.9741875056357494E-2</v>
      </c>
      <c r="BO161" s="43">
        <f t="shared" si="311"/>
        <v>-0.11015201395281637</v>
      </c>
      <c r="BP161" s="53"/>
      <c r="BQ161" s="43">
        <v>0.01</v>
      </c>
      <c r="BR161" s="43">
        <v>0.02</v>
      </c>
      <c r="BS161" s="43">
        <v>-0.04</v>
      </c>
      <c r="BT161" s="43">
        <v>-0.02</v>
      </c>
      <c r="BU161" s="43">
        <v>-0.01</v>
      </c>
      <c r="BV161" s="53"/>
      <c r="BW161" s="43">
        <f t="shared" ref="BW161:BY162" si="318">BW156/BQ156-1</f>
        <v>-3.703703703703709E-2</v>
      </c>
      <c r="BX161" s="43">
        <f t="shared" si="318"/>
        <v>0</v>
      </c>
      <c r="BY161" s="43">
        <f t="shared" si="318"/>
        <v>-6.0070671378091856E-2</v>
      </c>
      <c r="BZ161" s="43">
        <v>-0.01</v>
      </c>
      <c r="CA161" s="43">
        <f>CA156/BU156-1</f>
        <v>-2.7004909983633363E-2</v>
      </c>
      <c r="CB161" s="53"/>
      <c r="CC161" s="43">
        <f>CC156/BW156-1</f>
        <v>-9.7902097902097918E-2</v>
      </c>
      <c r="CD161" s="43">
        <f>CD156/BX156-1</f>
        <v>-0.17034700315457418</v>
      </c>
      <c r="CE161" s="50" t="s">
        <v>945</v>
      </c>
      <c r="CF161" s="50" t="s">
        <v>945</v>
      </c>
      <c r="CG161" s="164" t="s">
        <v>945</v>
      </c>
      <c r="CH161" s="53"/>
      <c r="CI161" s="50" t="s">
        <v>945</v>
      </c>
      <c r="CJ161" s="50" t="s">
        <v>945</v>
      </c>
      <c r="CK161" s="50" t="s">
        <v>945</v>
      </c>
      <c r="CL161" s="50" t="s">
        <v>945</v>
      </c>
      <c r="CM161" s="164" t="s">
        <v>945</v>
      </c>
      <c r="CN161" s="53"/>
      <c r="CO161" s="50" t="s">
        <v>945</v>
      </c>
      <c r="CP161" s="50" t="s">
        <v>945</v>
      </c>
      <c r="CQ161" s="50" t="s">
        <v>945</v>
      </c>
      <c r="CR161" s="50" t="s">
        <v>945</v>
      </c>
      <c r="CS161" s="164" t="s">
        <v>945</v>
      </c>
      <c r="CT161" s="53"/>
      <c r="CU161" s="50" t="s">
        <v>945</v>
      </c>
      <c r="CV161" s="50" t="s">
        <v>945</v>
      </c>
      <c r="CW161" s="50" t="s">
        <v>945</v>
      </c>
      <c r="CX161" s="50" t="s">
        <v>945</v>
      </c>
      <c r="CY161" s="164" t="s">
        <v>945</v>
      </c>
      <c r="CZ161" s="53"/>
      <c r="DA161" s="50" t="s">
        <v>945</v>
      </c>
      <c r="DB161" s="50" t="s">
        <v>945</v>
      </c>
      <c r="DC161" s="50" t="s">
        <v>945</v>
      </c>
      <c r="DD161" s="50" t="s">
        <v>945</v>
      </c>
      <c r="DE161" s="164" t="s">
        <v>945</v>
      </c>
      <c r="DF161" s="53"/>
      <c r="DG161" s="50" t="s">
        <v>945</v>
      </c>
      <c r="DH161" s="50" t="s">
        <v>945</v>
      </c>
      <c r="DI161" s="50" t="s">
        <v>945</v>
      </c>
      <c r="DJ161" s="50" t="s">
        <v>945</v>
      </c>
      <c r="DK161" s="164" t="s">
        <v>945</v>
      </c>
      <c r="DL161" s="53"/>
      <c r="DM161" s="50" t="s">
        <v>945</v>
      </c>
      <c r="DN161" s="50" t="s">
        <v>945</v>
      </c>
      <c r="DO161" s="50" t="s">
        <v>945</v>
      </c>
      <c r="DP161" s="50" t="s">
        <v>945</v>
      </c>
      <c r="DQ161" s="164" t="s">
        <v>945</v>
      </c>
      <c r="DR161" s="53"/>
      <c r="DS161" s="50" t="s">
        <v>945</v>
      </c>
      <c r="DT161" s="50" t="s">
        <v>945</v>
      </c>
      <c r="DU161" s="50" t="s">
        <v>945</v>
      </c>
      <c r="DV161" s="50" t="s">
        <v>945</v>
      </c>
      <c r="DW161" s="164" t="s">
        <v>945</v>
      </c>
      <c r="DX161" s="53"/>
      <c r="DY161" s="50" t="s">
        <v>945</v>
      </c>
      <c r="DZ161" s="50" t="s">
        <v>945</v>
      </c>
      <c r="EA161" s="50" t="s">
        <v>945</v>
      </c>
      <c r="EB161" s="50" t="s">
        <v>945</v>
      </c>
      <c r="EC161" s="164" t="s">
        <v>945</v>
      </c>
      <c r="ED161" s="53"/>
      <c r="EE161" s="50" t="s">
        <v>945</v>
      </c>
      <c r="EF161" s="50" t="s">
        <v>945</v>
      </c>
      <c r="EG161" s="50" t="s">
        <v>945</v>
      </c>
      <c r="EH161" s="50" t="s">
        <v>945</v>
      </c>
      <c r="EI161" s="164" t="s">
        <v>945</v>
      </c>
      <c r="EJ161" s="53"/>
      <c r="EK161" s="50" t="s">
        <v>945</v>
      </c>
      <c r="EL161" s="50" t="s">
        <v>945</v>
      </c>
      <c r="EM161" s="50" t="s">
        <v>945</v>
      </c>
      <c r="EN161" s="50" t="s">
        <v>945</v>
      </c>
      <c r="EO161" s="164" t="s">
        <v>945</v>
      </c>
      <c r="EP161" s="53"/>
      <c r="EQ161" s="50" t="s">
        <v>945</v>
      </c>
      <c r="ER161" s="50" t="s">
        <v>945</v>
      </c>
      <c r="ES161" s="50" t="s">
        <v>945</v>
      </c>
      <c r="ET161" s="50" t="s">
        <v>945</v>
      </c>
      <c r="EU161" s="164" t="s">
        <v>945</v>
      </c>
      <c r="EV161" s="53"/>
      <c r="EW161" s="50" t="s">
        <v>945</v>
      </c>
      <c r="EX161" s="50" t="s">
        <v>945</v>
      </c>
      <c r="EY161" s="50" t="s">
        <v>945</v>
      </c>
      <c r="EZ161" s="50" t="s">
        <v>945</v>
      </c>
      <c r="FA161" s="164" t="s">
        <v>945</v>
      </c>
      <c r="FB161" s="53"/>
      <c r="FC161" s="50" t="s">
        <v>945</v>
      </c>
      <c r="FD161" s="50" t="s">
        <v>945</v>
      </c>
      <c r="FE161" s="50" t="s">
        <v>945</v>
      </c>
      <c r="FF161" s="50" t="s">
        <v>945</v>
      </c>
      <c r="FG161" s="164" t="s">
        <v>945</v>
      </c>
      <c r="FH161" s="53"/>
      <c r="FI161" s="50" t="s">
        <v>945</v>
      </c>
      <c r="FJ161" s="50" t="s">
        <v>945</v>
      </c>
      <c r="FK161" s="50" t="s">
        <v>945</v>
      </c>
      <c r="FL161" s="50" t="s">
        <v>945</v>
      </c>
      <c r="FM161" s="164" t="s">
        <v>945</v>
      </c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</row>
    <row r="162" spans="1:274" s="24" customFormat="1" hidden="1" x14ac:dyDescent="0.2">
      <c r="A162" s="342" t="s">
        <v>698</v>
      </c>
      <c r="B162" s="1040"/>
      <c r="C162" s="406" t="s">
        <v>945</v>
      </c>
      <c r="D162" s="406" t="s">
        <v>945</v>
      </c>
      <c r="E162" s="406" t="s">
        <v>945</v>
      </c>
      <c r="F162" s="406" t="s">
        <v>945</v>
      </c>
      <c r="G162" s="406" t="s">
        <v>945</v>
      </c>
      <c r="H162" s="406" t="s">
        <v>945</v>
      </c>
      <c r="I162" s="406" t="s">
        <v>945</v>
      </c>
      <c r="J162" s="406" t="s">
        <v>945</v>
      </c>
      <c r="K162" s="406" t="s">
        <v>945</v>
      </c>
      <c r="L162" s="406" t="s">
        <v>945</v>
      </c>
      <c r="M162" s="406" t="s">
        <v>945</v>
      </c>
      <c r="N162" s="342"/>
      <c r="O162" s="406" t="s">
        <v>945</v>
      </c>
      <c r="P162" s="406" t="s">
        <v>945</v>
      </c>
      <c r="Q162" s="406" t="s">
        <v>945</v>
      </c>
      <c r="R162" s="406" t="s">
        <v>945</v>
      </c>
      <c r="S162" s="406" t="s">
        <v>945</v>
      </c>
      <c r="T162" s="342"/>
      <c r="U162" s="406" t="s">
        <v>945</v>
      </c>
      <c r="V162" s="406" t="s">
        <v>945</v>
      </c>
      <c r="W162" s="406" t="s">
        <v>945</v>
      </c>
      <c r="X162" s="406" t="s">
        <v>945</v>
      </c>
      <c r="Y162" s="406" t="s">
        <v>945</v>
      </c>
      <c r="Z162" s="53"/>
      <c r="AA162" s="94" t="s">
        <v>945</v>
      </c>
      <c r="AB162" s="94" t="s">
        <v>945</v>
      </c>
      <c r="AC162" s="94" t="s">
        <v>945</v>
      </c>
      <c r="AD162" s="94" t="s">
        <v>945</v>
      </c>
      <c r="AE162" s="406" t="s">
        <v>945</v>
      </c>
      <c r="AF162" s="53"/>
      <c r="AG162" s="94" t="s">
        <v>945</v>
      </c>
      <c r="AH162" s="94" t="s">
        <v>945</v>
      </c>
      <c r="AI162" s="94" t="s">
        <v>945</v>
      </c>
      <c r="AJ162" s="94" t="s">
        <v>945</v>
      </c>
      <c r="AK162" s="406" t="s">
        <v>945</v>
      </c>
      <c r="AL162" s="53"/>
      <c r="AM162" s="94" t="e">
        <f t="shared" si="315"/>
        <v>#VALUE!</v>
      </c>
      <c r="AN162" s="94" t="e">
        <f t="shared" si="315"/>
        <v>#VALUE!</v>
      </c>
      <c r="AO162" s="94" t="e">
        <f t="shared" si="315"/>
        <v>#VALUE!</v>
      </c>
      <c r="AP162" s="94" t="e">
        <f t="shared" si="315"/>
        <v>#VALUE!</v>
      </c>
      <c r="AQ162" s="94" t="e">
        <f t="shared" si="315"/>
        <v>#VALUE!</v>
      </c>
      <c r="AR162" s="53"/>
      <c r="AS162" s="94" t="e">
        <f t="shared" si="316"/>
        <v>#VALUE!</v>
      </c>
      <c r="AT162" s="94" t="e">
        <f t="shared" si="316"/>
        <v>#VALUE!</v>
      </c>
      <c r="AU162" s="94" t="e">
        <f t="shared" si="316"/>
        <v>#VALUE!</v>
      </c>
      <c r="AV162" s="94" t="e">
        <f t="shared" si="316"/>
        <v>#VALUE!</v>
      </c>
      <c r="AW162" s="94" t="e">
        <f t="shared" si="316"/>
        <v>#VALUE!</v>
      </c>
      <c r="AX162" s="53"/>
      <c r="AY162" s="43" t="e">
        <f>AY157/AS157-1</f>
        <v>#VALUE!</v>
      </c>
      <c r="AZ162" s="43" t="e">
        <f>AZ157/AT157-1</f>
        <v>#VALUE!</v>
      </c>
      <c r="BA162" s="43" t="e">
        <f>BA157/AU157-1</f>
        <v>#VALUE!</v>
      </c>
      <c r="BB162" s="43" t="e">
        <f>BB157/AV157-1</f>
        <v>#VALUE!</v>
      </c>
      <c r="BC162" s="43" t="e">
        <f>BC157/AW157-1</f>
        <v>#VALUE!</v>
      </c>
      <c r="BD162" s="53"/>
      <c r="BE162" s="43">
        <f t="shared" si="317"/>
        <v>-1</v>
      </c>
      <c r="BF162" s="43">
        <f t="shared" si="317"/>
        <v>-1</v>
      </c>
      <c r="BG162" s="43">
        <f t="shared" si="317"/>
        <v>-1</v>
      </c>
      <c r="BH162" s="43">
        <f t="shared" si="317"/>
        <v>-1</v>
      </c>
      <c r="BI162" s="43" t="e">
        <f t="shared" si="317"/>
        <v>#DIV/0!</v>
      </c>
      <c r="BJ162" s="53"/>
      <c r="BK162" s="43" t="e">
        <f t="shared" si="311"/>
        <v>#DIV/0!</v>
      </c>
      <c r="BL162" s="43" t="e">
        <f t="shared" si="311"/>
        <v>#DIV/0!</v>
      </c>
      <c r="BM162" s="43" t="e">
        <f t="shared" si="311"/>
        <v>#DIV/0!</v>
      </c>
      <c r="BN162" s="43" t="e">
        <f t="shared" si="311"/>
        <v>#DIV/0!</v>
      </c>
      <c r="BO162" s="43" t="e">
        <f t="shared" si="311"/>
        <v>#DIV/0!</v>
      </c>
      <c r="BP162" s="53"/>
      <c r="BQ162" s="43" t="e">
        <f>BQ157/BK157-1</f>
        <v>#DIV/0!</v>
      </c>
      <c r="BR162" s="43" t="e">
        <f>BR157/BL157-1</f>
        <v>#DIV/0!</v>
      </c>
      <c r="BS162" s="43" t="e">
        <f>BS157/BM157-1</f>
        <v>#DIV/0!</v>
      </c>
      <c r="BT162" s="43" t="e">
        <f>BT157/BN157-1</f>
        <v>#DIV/0!</v>
      </c>
      <c r="BU162" s="43" t="e">
        <f>BU157/BO157-1</f>
        <v>#DIV/0!</v>
      </c>
      <c r="BV162" s="53"/>
      <c r="BW162" s="43" t="e">
        <f t="shared" si="318"/>
        <v>#DIV/0!</v>
      </c>
      <c r="BX162" s="43" t="e">
        <f t="shared" si="318"/>
        <v>#DIV/0!</v>
      </c>
      <c r="BY162" s="43" t="e">
        <f t="shared" si="318"/>
        <v>#DIV/0!</v>
      </c>
      <c r="BZ162" s="43" t="e">
        <f>BZ157/BT157-1</f>
        <v>#DIV/0!</v>
      </c>
      <c r="CA162" s="43" t="e">
        <f>CA157/BU157-1</f>
        <v>#DIV/0!</v>
      </c>
      <c r="CB162" s="53"/>
      <c r="CC162" s="43" t="e">
        <f>CC157/BW157-1</f>
        <v>#DIV/0!</v>
      </c>
      <c r="CD162" s="43" t="e">
        <f>CD157/BX157-1</f>
        <v>#DIV/0!</v>
      </c>
      <c r="CE162" s="50" t="s">
        <v>945</v>
      </c>
      <c r="CF162" s="50" t="s">
        <v>945</v>
      </c>
      <c r="CG162" s="164" t="s">
        <v>945</v>
      </c>
      <c r="CH162" s="53"/>
      <c r="CI162" s="50" t="s">
        <v>945</v>
      </c>
      <c r="CJ162" s="50" t="s">
        <v>945</v>
      </c>
      <c r="CK162" s="50" t="s">
        <v>945</v>
      </c>
      <c r="CL162" s="50" t="s">
        <v>945</v>
      </c>
      <c r="CM162" s="164" t="s">
        <v>945</v>
      </c>
      <c r="CN162" s="53"/>
      <c r="CO162" s="50" t="s">
        <v>945</v>
      </c>
      <c r="CP162" s="50" t="s">
        <v>945</v>
      </c>
      <c r="CQ162" s="50" t="s">
        <v>945</v>
      </c>
      <c r="CR162" s="50" t="s">
        <v>945</v>
      </c>
      <c r="CS162" s="164" t="s">
        <v>945</v>
      </c>
      <c r="CT162" s="53"/>
      <c r="CU162" s="50" t="s">
        <v>945</v>
      </c>
      <c r="CV162" s="50" t="s">
        <v>945</v>
      </c>
      <c r="CW162" s="50" t="s">
        <v>945</v>
      </c>
      <c r="CX162" s="50" t="s">
        <v>945</v>
      </c>
      <c r="CY162" s="164" t="s">
        <v>945</v>
      </c>
      <c r="CZ162" s="53"/>
      <c r="DA162" s="50" t="s">
        <v>945</v>
      </c>
      <c r="DB162" s="50" t="s">
        <v>945</v>
      </c>
      <c r="DC162" s="50" t="s">
        <v>945</v>
      </c>
      <c r="DD162" s="50" t="s">
        <v>945</v>
      </c>
      <c r="DE162" s="164" t="s">
        <v>945</v>
      </c>
      <c r="DF162" s="53"/>
      <c r="DG162" s="50" t="s">
        <v>945</v>
      </c>
      <c r="DH162" s="50" t="s">
        <v>945</v>
      </c>
      <c r="DI162" s="50" t="s">
        <v>945</v>
      </c>
      <c r="DJ162" s="50" t="s">
        <v>945</v>
      </c>
      <c r="DK162" s="164" t="s">
        <v>945</v>
      </c>
      <c r="DL162" s="53"/>
      <c r="DM162" s="50" t="s">
        <v>945</v>
      </c>
      <c r="DN162" s="50" t="s">
        <v>945</v>
      </c>
      <c r="DO162" s="50" t="s">
        <v>945</v>
      </c>
      <c r="DP162" s="50" t="s">
        <v>945</v>
      </c>
      <c r="DQ162" s="164" t="s">
        <v>945</v>
      </c>
      <c r="DR162" s="53"/>
      <c r="DS162" s="50" t="s">
        <v>945</v>
      </c>
      <c r="DT162" s="50" t="s">
        <v>945</v>
      </c>
      <c r="DU162" s="50" t="s">
        <v>945</v>
      </c>
      <c r="DV162" s="50" t="s">
        <v>945</v>
      </c>
      <c r="DW162" s="164" t="s">
        <v>945</v>
      </c>
      <c r="DX162" s="53"/>
      <c r="DY162" s="50" t="s">
        <v>945</v>
      </c>
      <c r="DZ162" s="50" t="s">
        <v>945</v>
      </c>
      <c r="EA162" s="50" t="s">
        <v>945</v>
      </c>
      <c r="EB162" s="50" t="s">
        <v>945</v>
      </c>
      <c r="EC162" s="164" t="s">
        <v>945</v>
      </c>
      <c r="ED162" s="53"/>
      <c r="EE162" s="50" t="s">
        <v>945</v>
      </c>
      <c r="EF162" s="50" t="s">
        <v>945</v>
      </c>
      <c r="EG162" s="50" t="s">
        <v>945</v>
      </c>
      <c r="EH162" s="50" t="s">
        <v>945</v>
      </c>
      <c r="EI162" s="164" t="s">
        <v>945</v>
      </c>
      <c r="EJ162" s="53"/>
      <c r="EK162" s="50" t="s">
        <v>945</v>
      </c>
      <c r="EL162" s="50" t="s">
        <v>945</v>
      </c>
      <c r="EM162" s="50" t="s">
        <v>945</v>
      </c>
      <c r="EN162" s="50" t="s">
        <v>945</v>
      </c>
      <c r="EO162" s="164" t="s">
        <v>945</v>
      </c>
      <c r="EP162" s="53"/>
      <c r="EQ162" s="50" t="s">
        <v>945</v>
      </c>
      <c r="ER162" s="50" t="s">
        <v>945</v>
      </c>
      <c r="ES162" s="50" t="s">
        <v>945</v>
      </c>
      <c r="ET162" s="50" t="s">
        <v>945</v>
      </c>
      <c r="EU162" s="164" t="s">
        <v>945</v>
      </c>
      <c r="EV162" s="53"/>
      <c r="EW162" s="50" t="s">
        <v>945</v>
      </c>
      <c r="EX162" s="50" t="s">
        <v>945</v>
      </c>
      <c r="EY162" s="50" t="s">
        <v>945</v>
      </c>
      <c r="EZ162" s="50" t="s">
        <v>945</v>
      </c>
      <c r="FA162" s="164" t="s">
        <v>945</v>
      </c>
      <c r="FB162" s="53"/>
      <c r="FC162" s="50" t="s">
        <v>945</v>
      </c>
      <c r="FD162" s="50" t="s">
        <v>945</v>
      </c>
      <c r="FE162" s="50" t="s">
        <v>945</v>
      </c>
      <c r="FF162" s="50" t="s">
        <v>945</v>
      </c>
      <c r="FG162" s="164" t="s">
        <v>945</v>
      </c>
      <c r="FH162" s="53"/>
      <c r="FI162" s="50" t="s">
        <v>945</v>
      </c>
      <c r="FJ162" s="50" t="s">
        <v>945</v>
      </c>
      <c r="FK162" s="50" t="s">
        <v>945</v>
      </c>
      <c r="FL162" s="50" t="s">
        <v>945</v>
      </c>
      <c r="FM162" s="164" t="s">
        <v>945</v>
      </c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</row>
    <row r="163" spans="1:274" s="24" customFormat="1" hidden="1" x14ac:dyDescent="0.2">
      <c r="A163" s="58" t="s">
        <v>701</v>
      </c>
      <c r="B163" s="1040"/>
      <c r="C163" s="406"/>
      <c r="D163" s="406"/>
      <c r="E163" s="406"/>
      <c r="F163" s="406"/>
      <c r="G163" s="406"/>
      <c r="H163" s="406"/>
      <c r="I163" s="406"/>
      <c r="J163" s="406"/>
      <c r="K163" s="406"/>
      <c r="L163" s="406"/>
      <c r="M163" s="406"/>
      <c r="N163" s="342"/>
      <c r="O163" s="406"/>
      <c r="P163" s="406"/>
      <c r="Q163" s="406"/>
      <c r="R163" s="406"/>
      <c r="S163" s="406"/>
      <c r="T163" s="342"/>
      <c r="U163" s="406"/>
      <c r="V163" s="406"/>
      <c r="W163" s="406"/>
      <c r="X163" s="406"/>
      <c r="Y163" s="406"/>
      <c r="Z163" s="53"/>
      <c r="AA163" s="342"/>
      <c r="AB163" s="342"/>
      <c r="AC163" s="342"/>
      <c r="AD163" s="342"/>
      <c r="AE163" s="342"/>
      <c r="AF163" s="53"/>
      <c r="AG163" s="342"/>
      <c r="AH163" s="342"/>
      <c r="AI163" s="342"/>
      <c r="AJ163" s="342"/>
      <c r="AK163" s="342"/>
      <c r="AL163" s="53"/>
      <c r="AM163" s="342"/>
      <c r="AN163" s="342"/>
      <c r="AO163" s="342"/>
      <c r="AP163" s="342"/>
      <c r="AQ163" s="342"/>
      <c r="AR163" s="53"/>
      <c r="AS163" s="342"/>
      <c r="AT163" s="342"/>
      <c r="AU163" s="342"/>
      <c r="AV163" s="342"/>
      <c r="AW163" s="342"/>
      <c r="AX163" s="53"/>
      <c r="AY163" s="342"/>
      <c r="AZ163" s="342"/>
      <c r="BA163" s="342"/>
      <c r="BB163" s="342"/>
      <c r="BC163" s="342"/>
      <c r="BD163" s="53"/>
      <c r="BE163" s="342"/>
      <c r="BF163" s="342"/>
      <c r="BG163" s="342"/>
      <c r="BH163" s="342"/>
      <c r="BI163" s="342"/>
      <c r="BJ163" s="53"/>
      <c r="BK163" s="342"/>
      <c r="BL163" s="342"/>
      <c r="BM163" s="342"/>
      <c r="BN163" s="342"/>
      <c r="BO163" s="342"/>
      <c r="BP163" s="53"/>
      <c r="BQ163" s="342"/>
      <c r="BR163" s="50"/>
      <c r="BS163" s="50"/>
      <c r="BT163" s="50"/>
      <c r="BU163" s="50"/>
      <c r="BV163" s="53"/>
      <c r="BW163" s="50"/>
      <c r="BX163" s="50"/>
      <c r="BY163" s="50"/>
      <c r="BZ163" s="50"/>
      <c r="CA163" s="50"/>
      <c r="CB163" s="53"/>
      <c r="CC163" s="50"/>
      <c r="CD163" s="50"/>
      <c r="CE163" s="50"/>
      <c r="CF163" s="50"/>
      <c r="CG163" s="164"/>
      <c r="CH163" s="53"/>
      <c r="CI163" s="50"/>
      <c r="CJ163" s="50"/>
      <c r="CK163" s="50"/>
      <c r="CL163" s="50"/>
      <c r="CM163" s="164"/>
      <c r="CN163" s="53"/>
      <c r="CO163" s="50"/>
      <c r="CP163" s="50"/>
      <c r="CQ163" s="50"/>
      <c r="CR163" s="50"/>
      <c r="CS163" s="164"/>
      <c r="CT163" s="53"/>
      <c r="CU163" s="50"/>
      <c r="CV163" s="50"/>
      <c r="CW163" s="50"/>
      <c r="CX163" s="50"/>
      <c r="CY163" s="164"/>
      <c r="CZ163" s="53"/>
      <c r="DA163" s="50"/>
      <c r="DB163" s="50"/>
      <c r="DC163" s="50"/>
      <c r="DD163" s="50"/>
      <c r="DE163" s="164"/>
      <c r="DF163" s="53"/>
      <c r="DG163" s="50"/>
      <c r="DH163" s="50"/>
      <c r="DI163" s="50"/>
      <c r="DJ163" s="50"/>
      <c r="DK163" s="164"/>
      <c r="DL163" s="53"/>
      <c r="DM163" s="50"/>
      <c r="DN163" s="50"/>
      <c r="DO163" s="50"/>
      <c r="DP163" s="50"/>
      <c r="DQ163" s="164"/>
      <c r="DR163" s="53"/>
      <c r="DS163" s="50"/>
      <c r="DT163" s="50"/>
      <c r="DU163" s="50"/>
      <c r="DV163" s="50"/>
      <c r="DW163" s="164"/>
      <c r="DX163" s="53"/>
      <c r="DY163" s="50"/>
      <c r="DZ163" s="50"/>
      <c r="EA163" s="50"/>
      <c r="EB163" s="50"/>
      <c r="EC163" s="164"/>
      <c r="ED163" s="53"/>
      <c r="EE163" s="50"/>
      <c r="EF163" s="50"/>
      <c r="EG163" s="50"/>
      <c r="EH163" s="50"/>
      <c r="EI163" s="164"/>
      <c r="EJ163" s="53"/>
      <c r="EK163" s="50"/>
      <c r="EL163" s="50"/>
      <c r="EM163" s="50"/>
      <c r="EN163" s="50"/>
      <c r="EO163" s="164"/>
      <c r="EP163" s="53"/>
      <c r="EQ163" s="50"/>
      <c r="ER163" s="50"/>
      <c r="ES163" s="50"/>
      <c r="ET163" s="50"/>
      <c r="EU163" s="164"/>
      <c r="EV163" s="53"/>
      <c r="EW163" s="50"/>
      <c r="EX163" s="50"/>
      <c r="EY163" s="50"/>
      <c r="EZ163" s="50"/>
      <c r="FA163" s="164"/>
      <c r="FB163" s="53"/>
      <c r="FC163" s="50"/>
      <c r="FD163" s="50"/>
      <c r="FE163" s="50"/>
      <c r="FF163" s="50"/>
      <c r="FG163" s="164"/>
      <c r="FH163" s="53"/>
      <c r="FI163" s="50"/>
      <c r="FJ163" s="50"/>
      <c r="FK163" s="50"/>
      <c r="FL163" s="50"/>
      <c r="FM163" s="164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</row>
    <row r="164" spans="1:274" s="24" customFormat="1" hidden="1" x14ac:dyDescent="0.2">
      <c r="A164" s="342" t="s">
        <v>707</v>
      </c>
      <c r="B164" s="414"/>
      <c r="C164" s="406" t="s">
        <v>945</v>
      </c>
      <c r="D164" s="406" t="s">
        <v>945</v>
      </c>
      <c r="E164" s="406" t="s">
        <v>945</v>
      </c>
      <c r="F164" s="406" t="s">
        <v>945</v>
      </c>
      <c r="G164" s="406" t="s">
        <v>945</v>
      </c>
      <c r="H164" s="406" t="s">
        <v>945</v>
      </c>
      <c r="I164" s="406" t="s">
        <v>945</v>
      </c>
      <c r="J164" s="406" t="s">
        <v>945</v>
      </c>
      <c r="K164" s="406" t="s">
        <v>945</v>
      </c>
      <c r="L164" s="406" t="s">
        <v>945</v>
      </c>
      <c r="M164" s="406" t="s">
        <v>945</v>
      </c>
      <c r="N164" s="342"/>
      <c r="O164" s="406" t="s">
        <v>945</v>
      </c>
      <c r="P164" s="406" t="s">
        <v>945</v>
      </c>
      <c r="Q164" s="406" t="s">
        <v>945</v>
      </c>
      <c r="R164" s="406" t="s">
        <v>945</v>
      </c>
      <c r="S164" s="406" t="s">
        <v>945</v>
      </c>
      <c r="T164" s="342"/>
      <c r="U164" s="406" t="s">
        <v>945</v>
      </c>
      <c r="V164" s="406" t="s">
        <v>945</v>
      </c>
      <c r="W164" s="406" t="s">
        <v>945</v>
      </c>
      <c r="X164" s="406" t="s">
        <v>945</v>
      </c>
      <c r="Y164" s="406" t="s">
        <v>945</v>
      </c>
      <c r="Z164" s="53"/>
      <c r="AA164" s="43">
        <f>(0.46*AA153/SUM(AA152:AA153)+(-0.02*AA152/SUM(AA152:AA153)))</f>
        <v>0.38301009644555362</v>
      </c>
      <c r="AB164" s="43">
        <f>(0.28*AB153/SUM(AB152:AB153)+(-0.06*AB152/SUM(AB152:AB153)))</f>
        <v>0.22806646747018489</v>
      </c>
      <c r="AC164" s="43">
        <f>(0.38*AC153/SUM(AC152:AC153)+(-0.05*AC152/SUM(AC152:AC153)))</f>
        <v>0.31764398780812164</v>
      </c>
      <c r="AD164" s="43">
        <f>(0.26*AD153/SUM(AD152:AD153)+(-0.04*AD152/SUM(AD152:AD153)))</f>
        <v>0.22173681374131857</v>
      </c>
      <c r="AE164" s="43">
        <f>(0.32*AE153/SUM(AE152:AE153)+(-0.04*AE152/SUM(AE152:AE153)))</f>
        <v>0.26864946469759904</v>
      </c>
      <c r="AF164" s="53"/>
      <c r="AG164" s="43">
        <f>(0.24*AG153/SUM(AG152:AG153)+(-0.08*AG152/SUM(AG152:AG153)))</f>
        <v>0.19520607055446887</v>
      </c>
      <c r="AH164" s="43">
        <f>(0.27*AH153/SUM(AH152:AH153)+(-0.12*AH152/SUM(AH152:AH153)))</f>
        <v>0.21596650338905055</v>
      </c>
      <c r="AI164" s="43">
        <f>(0.1*AI153/SUM(AI152:AI153)+(-0.12*AI152/SUM(AI152:AI153)))</f>
        <v>7.2550069845947723E-2</v>
      </c>
      <c r="AJ164" s="43">
        <f>(0.27*AJ153/SUM(AJ152:AJ153)+(-0.03*AJ152/SUM(AJ152:AJ153)))</f>
        <v>0.23367341310422021</v>
      </c>
      <c r="AK164" s="43">
        <f>(0.22*AK153/SUM(AK152:AK153)+(-0.08*AK152/SUM(AK152:AK153)))</f>
        <v>0.18142926514011304</v>
      </c>
      <c r="AL164" s="53"/>
      <c r="AM164" s="43">
        <f>(0.24*AM153/SUM(AM152:AM153)+(-0.08*AM152/SUM(AM152:AM153)))</f>
        <v>0.20524326312284694</v>
      </c>
      <c r="AN164" s="43">
        <f>(0.27*AN153/SUM(AN152:AN153)+(-0.12*AN152/SUM(AN152:AN153)))</f>
        <v>0.23109712125240764</v>
      </c>
      <c r="AO164" s="43">
        <f>(0.1*AO153/SUM(AO152:AO153)+(-0.12*AO152/SUM(AO152:AO153)))</f>
        <v>7.7450917146439147E-2</v>
      </c>
      <c r="AP164" s="43">
        <f>(0.27*AP153/SUM(AP152:AP153)+(-0.03*AP152/SUM(AP152:AP153)))</f>
        <v>0.24158800282859871</v>
      </c>
      <c r="AQ164" s="43">
        <f>(0.22*AQ153/SUM(AQ152:AQ153)+(-0.08*AQ152/SUM(AQ152:AQ153)))</f>
        <v>0.19009588322574192</v>
      </c>
      <c r="AR164" s="53"/>
      <c r="AS164" s="43">
        <f>(0.07*AS153/SUM(AS152:AS153)+(0.01*AS152/SUM(AS152:AS153)))</f>
        <v>6.3890857806335535E-2</v>
      </c>
      <c r="AT164" s="43">
        <f>(0.19*AT153/SUM(AT152:AT153)+(-0.02*AT152/SUM(AT152:AT153)))</f>
        <v>0.17262722509103365</v>
      </c>
      <c r="AU164" s="43">
        <f>(0.34*AU153/SUM(AU152:AU153)+(0.01*AU152/SUM(AU152:AU153)))</f>
        <v>0.31407644224847703</v>
      </c>
      <c r="AV164" s="43">
        <f>(0.14*AV153/SUM(AV152:AV153)+(0.04*AV152/SUM(AV152:AV153)))</f>
        <v>0.1313530711523859</v>
      </c>
      <c r="AW164" s="43">
        <f>(0.19*AW153/SUM(AW152:AW153)+(0.02*AW152/SUM(AW152:AW153)))</f>
        <v>0.17538846786022272</v>
      </c>
      <c r="AX164" s="53"/>
      <c r="AY164" s="43">
        <f>(0.35*$AY$153/SUM($AY$152:$AY$153)+(-0.37*$AY$152/SUM($AY$152:$AY$153)))</f>
        <v>0.31364211596523739</v>
      </c>
      <c r="AZ164" s="43">
        <f>(0.26*$AZ$153/SUM($AZ$152:$AZ$153)+(-0.31*$AZ$152/SUM($AZ$152:$AZ$153)))</f>
        <v>0.2330526635230403</v>
      </c>
      <c r="BA164" s="43">
        <f>(0.1*$BA$153/SUM($BA$152:$BA$153)+(-0.55*$BA$152/SUM($BA$152:$BA$153)))</f>
        <v>7.844607599634075E-2</v>
      </c>
      <c r="BB164" s="43">
        <f>(0.05*$BB$153/SUM($BB$152:$BB$153)+(-0.58*$BB$152/SUM($BB$152:$BB$153)))</f>
        <v>2.7254719125078781E-2</v>
      </c>
      <c r="BC164" s="43">
        <f>(0.15*$BC$153/SUM($BC$152:$BC$153)+(-0.49*$BC$152/SUM($BC$152:$BC$153)))</f>
        <v>0.12411761865173657</v>
      </c>
      <c r="BD164" s="53"/>
      <c r="BE164" s="43">
        <v>-0.04</v>
      </c>
      <c r="BF164" s="43">
        <v>-0.2</v>
      </c>
      <c r="BG164" s="43">
        <v>-0.23</v>
      </c>
      <c r="BH164" s="43">
        <v>-0.28999999999999998</v>
      </c>
      <c r="BI164" s="43">
        <v>-0.22</v>
      </c>
      <c r="BJ164" s="53"/>
      <c r="BK164" s="43">
        <v>-0.24</v>
      </c>
      <c r="BL164" s="43">
        <v>-0.01</v>
      </c>
      <c r="BM164" s="43">
        <v>-0.11</v>
      </c>
      <c r="BN164" s="43">
        <v>-0.04</v>
      </c>
      <c r="BO164" s="43">
        <v>-0.09</v>
      </c>
      <c r="BP164" s="53"/>
      <c r="BQ164" s="43">
        <v>-0.11</v>
      </c>
      <c r="BR164" s="43">
        <v>0.01</v>
      </c>
      <c r="BS164" s="43">
        <v>7.0000000000000007E-2</v>
      </c>
      <c r="BT164" s="49">
        <v>0.11</v>
      </c>
      <c r="BU164" s="49">
        <v>0.04</v>
      </c>
      <c r="BV164" s="53"/>
      <c r="BW164" s="49">
        <v>0.14000000000000001</v>
      </c>
      <c r="BX164" s="49">
        <v>0.01</v>
      </c>
      <c r="BY164" s="49">
        <v>0.09</v>
      </c>
      <c r="BZ164" s="49">
        <v>0.13</v>
      </c>
      <c r="CA164" s="49">
        <v>0.09</v>
      </c>
      <c r="CB164" s="53"/>
      <c r="CC164" s="52">
        <v>0</v>
      </c>
      <c r="CD164" s="52">
        <v>0.08</v>
      </c>
      <c r="CE164" s="52">
        <v>0.08</v>
      </c>
      <c r="CF164" s="52">
        <v>0.18</v>
      </c>
      <c r="CG164" s="149">
        <v>0.1</v>
      </c>
      <c r="CH164" s="53"/>
      <c r="CI164" s="52">
        <v>0.13</v>
      </c>
      <c r="CJ164" s="52">
        <v>0.05</v>
      </c>
      <c r="CK164" s="52">
        <v>0.13</v>
      </c>
      <c r="CL164" s="52">
        <v>0.15</v>
      </c>
      <c r="CM164" s="149">
        <v>0.12</v>
      </c>
      <c r="CN164" s="53"/>
      <c r="CO164" s="52">
        <v>0.2</v>
      </c>
      <c r="CP164" s="52">
        <v>0.22</v>
      </c>
      <c r="CQ164" s="52">
        <v>0.13</v>
      </c>
      <c r="CR164" s="52">
        <v>0.15</v>
      </c>
      <c r="CS164" s="149">
        <v>0.17</v>
      </c>
      <c r="CT164" s="53"/>
      <c r="CU164" s="50" t="s">
        <v>945</v>
      </c>
      <c r="CV164" s="50" t="s">
        <v>945</v>
      </c>
      <c r="CW164" s="50" t="s">
        <v>945</v>
      </c>
      <c r="CX164" s="50" t="s">
        <v>945</v>
      </c>
      <c r="CY164" s="164" t="s">
        <v>945</v>
      </c>
      <c r="CZ164" s="53"/>
      <c r="DA164" s="50" t="s">
        <v>945</v>
      </c>
      <c r="DB164" s="50" t="s">
        <v>945</v>
      </c>
      <c r="DC164" s="50" t="s">
        <v>945</v>
      </c>
      <c r="DD164" s="50" t="s">
        <v>945</v>
      </c>
      <c r="DE164" s="164" t="s">
        <v>945</v>
      </c>
      <c r="DF164" s="53"/>
      <c r="DG164" s="50" t="s">
        <v>945</v>
      </c>
      <c r="DH164" s="50" t="s">
        <v>945</v>
      </c>
      <c r="DI164" s="50" t="s">
        <v>945</v>
      </c>
      <c r="DJ164" s="50" t="s">
        <v>945</v>
      </c>
      <c r="DK164" s="164" t="s">
        <v>945</v>
      </c>
      <c r="DL164" s="53"/>
      <c r="DM164" s="50" t="s">
        <v>945</v>
      </c>
      <c r="DN164" s="50" t="s">
        <v>945</v>
      </c>
      <c r="DO164" s="50" t="s">
        <v>945</v>
      </c>
      <c r="DP164" s="50" t="s">
        <v>945</v>
      </c>
      <c r="DQ164" s="164" t="s">
        <v>945</v>
      </c>
      <c r="DR164" s="53"/>
      <c r="DS164" s="50" t="s">
        <v>945</v>
      </c>
      <c r="DT164" s="50" t="s">
        <v>945</v>
      </c>
      <c r="DU164" s="50" t="s">
        <v>945</v>
      </c>
      <c r="DV164" s="50" t="s">
        <v>945</v>
      </c>
      <c r="DW164" s="164" t="s">
        <v>945</v>
      </c>
      <c r="DX164" s="53"/>
      <c r="DY164" s="50" t="s">
        <v>945</v>
      </c>
      <c r="DZ164" s="50" t="s">
        <v>945</v>
      </c>
      <c r="EA164" s="50" t="s">
        <v>945</v>
      </c>
      <c r="EB164" s="50" t="s">
        <v>945</v>
      </c>
      <c r="EC164" s="164" t="s">
        <v>945</v>
      </c>
      <c r="ED164" s="53"/>
      <c r="EE164" s="50" t="s">
        <v>945</v>
      </c>
      <c r="EF164" s="50" t="s">
        <v>945</v>
      </c>
      <c r="EG164" s="50" t="s">
        <v>945</v>
      </c>
      <c r="EH164" s="50" t="s">
        <v>945</v>
      </c>
      <c r="EI164" s="164" t="s">
        <v>945</v>
      </c>
      <c r="EJ164" s="53"/>
      <c r="EK164" s="50" t="s">
        <v>945</v>
      </c>
      <c r="EL164" s="50" t="s">
        <v>945</v>
      </c>
      <c r="EM164" s="50" t="s">
        <v>945</v>
      </c>
      <c r="EN164" s="50" t="s">
        <v>945</v>
      </c>
      <c r="EO164" s="164" t="s">
        <v>945</v>
      </c>
      <c r="EP164" s="53"/>
      <c r="EQ164" s="50" t="s">
        <v>945</v>
      </c>
      <c r="ER164" s="50" t="s">
        <v>945</v>
      </c>
      <c r="ES164" s="50" t="s">
        <v>945</v>
      </c>
      <c r="ET164" s="50" t="s">
        <v>945</v>
      </c>
      <c r="EU164" s="164" t="s">
        <v>945</v>
      </c>
      <c r="EV164" s="53"/>
      <c r="EW164" s="50" t="s">
        <v>945</v>
      </c>
      <c r="EX164" s="50" t="s">
        <v>945</v>
      </c>
      <c r="EY164" s="50" t="s">
        <v>945</v>
      </c>
      <c r="EZ164" s="50" t="s">
        <v>945</v>
      </c>
      <c r="FA164" s="164" t="s">
        <v>945</v>
      </c>
      <c r="FB164" s="53"/>
      <c r="FC164" s="50" t="s">
        <v>945</v>
      </c>
      <c r="FD164" s="50" t="s">
        <v>945</v>
      </c>
      <c r="FE164" s="50" t="s">
        <v>945</v>
      </c>
      <c r="FF164" s="50" t="s">
        <v>945</v>
      </c>
      <c r="FG164" s="164" t="s">
        <v>945</v>
      </c>
      <c r="FH164" s="53"/>
      <c r="FI164" s="50" t="s">
        <v>945</v>
      </c>
      <c r="FJ164" s="50" t="s">
        <v>945</v>
      </c>
      <c r="FK164" s="50" t="s">
        <v>945</v>
      </c>
      <c r="FL164" s="50" t="s">
        <v>945</v>
      </c>
      <c r="FM164" s="164" t="s">
        <v>945</v>
      </c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</row>
    <row r="165" spans="1:274" s="24" customFormat="1" hidden="1" x14ac:dyDescent="0.2">
      <c r="A165" s="342" t="s">
        <v>470</v>
      </c>
      <c r="B165" s="1040"/>
      <c r="C165" s="406" t="s">
        <v>945</v>
      </c>
      <c r="D165" s="406" t="s">
        <v>945</v>
      </c>
      <c r="E165" s="406" t="s">
        <v>945</v>
      </c>
      <c r="F165" s="406" t="s">
        <v>945</v>
      </c>
      <c r="G165" s="406" t="s">
        <v>945</v>
      </c>
      <c r="H165" s="406" t="s">
        <v>945</v>
      </c>
      <c r="I165" s="406" t="s">
        <v>945</v>
      </c>
      <c r="J165" s="406" t="s">
        <v>945</v>
      </c>
      <c r="K165" s="406" t="s">
        <v>945</v>
      </c>
      <c r="L165" s="406" t="s">
        <v>945</v>
      </c>
      <c r="M165" s="406" t="s">
        <v>945</v>
      </c>
      <c r="N165" s="342"/>
      <c r="O165" s="406" t="s">
        <v>945</v>
      </c>
      <c r="P165" s="406" t="s">
        <v>945</v>
      </c>
      <c r="Q165" s="406" t="s">
        <v>945</v>
      </c>
      <c r="R165" s="406" t="s">
        <v>945</v>
      </c>
      <c r="S165" s="406" t="s">
        <v>945</v>
      </c>
      <c r="T165" s="342"/>
      <c r="U165" s="406" t="s">
        <v>945</v>
      </c>
      <c r="V165" s="406" t="s">
        <v>945</v>
      </c>
      <c r="W165" s="406" t="s">
        <v>945</v>
      </c>
      <c r="X165" s="406" t="s">
        <v>945</v>
      </c>
      <c r="Y165" s="406" t="s">
        <v>945</v>
      </c>
      <c r="Z165" s="53"/>
      <c r="AA165" s="406" t="s">
        <v>945</v>
      </c>
      <c r="AB165" s="406" t="s">
        <v>945</v>
      </c>
      <c r="AC165" s="406" t="s">
        <v>945</v>
      </c>
      <c r="AD165" s="406" t="s">
        <v>945</v>
      </c>
      <c r="AE165" s="259" t="s">
        <v>945</v>
      </c>
      <c r="AF165" s="53"/>
      <c r="AG165" s="406" t="s">
        <v>945</v>
      </c>
      <c r="AH165" s="406" t="s">
        <v>945</v>
      </c>
      <c r="AI165" s="406" t="s">
        <v>945</v>
      </c>
      <c r="AJ165" s="406" t="s">
        <v>945</v>
      </c>
      <c r="AK165" s="259" t="s">
        <v>945</v>
      </c>
      <c r="AL165" s="53"/>
      <c r="AM165" s="406" t="s">
        <v>945</v>
      </c>
      <c r="AN165" s="406" t="s">
        <v>945</v>
      </c>
      <c r="AO165" s="406" t="s">
        <v>945</v>
      </c>
      <c r="AP165" s="406" t="s">
        <v>945</v>
      </c>
      <c r="AQ165" s="259" t="s">
        <v>945</v>
      </c>
      <c r="AR165" s="53"/>
      <c r="AS165" s="406" t="s">
        <v>945</v>
      </c>
      <c r="AT165" s="406" t="s">
        <v>945</v>
      </c>
      <c r="AU165" s="406" t="s">
        <v>945</v>
      </c>
      <c r="AV165" s="406" t="s">
        <v>945</v>
      </c>
      <c r="AW165" s="406" t="s">
        <v>945</v>
      </c>
      <c r="AX165" s="53"/>
      <c r="AY165" s="406" t="s">
        <v>945</v>
      </c>
      <c r="AZ165" s="406" t="s">
        <v>945</v>
      </c>
      <c r="BA165" s="406" t="s">
        <v>945</v>
      </c>
      <c r="BB165" s="406" t="s">
        <v>945</v>
      </c>
      <c r="BC165" s="406" t="s">
        <v>945</v>
      </c>
      <c r="BD165" s="53"/>
      <c r="BE165" s="43">
        <v>0.1</v>
      </c>
      <c r="BF165" s="43">
        <v>0.08</v>
      </c>
      <c r="BG165" s="43">
        <v>0.05</v>
      </c>
      <c r="BH165" s="43">
        <v>0.08</v>
      </c>
      <c r="BI165" s="43">
        <v>0.08</v>
      </c>
      <c r="BJ165" s="53"/>
      <c r="BK165" s="43">
        <v>0.05</v>
      </c>
      <c r="BL165" s="43">
        <v>0.06</v>
      </c>
      <c r="BM165" s="43">
        <v>0.09</v>
      </c>
      <c r="BN165" s="43">
        <v>0.05</v>
      </c>
      <c r="BO165" s="43">
        <v>0.06</v>
      </c>
      <c r="BP165" s="53"/>
      <c r="BQ165" s="43">
        <v>0.09</v>
      </c>
      <c r="BR165" s="43">
        <v>0.09</v>
      </c>
      <c r="BS165" s="43">
        <v>0.11</v>
      </c>
      <c r="BT165" s="43">
        <v>0.12</v>
      </c>
      <c r="BU165" s="43">
        <v>0.1</v>
      </c>
      <c r="BV165" s="53"/>
      <c r="BW165" s="43">
        <v>0.11</v>
      </c>
      <c r="BX165" s="43">
        <v>0.1</v>
      </c>
      <c r="BY165" s="43">
        <v>7.0000000000000007E-2</v>
      </c>
      <c r="BZ165" s="43">
        <v>7.0000000000000007E-2</v>
      </c>
      <c r="CA165" s="43">
        <v>0.09</v>
      </c>
      <c r="CB165" s="53"/>
      <c r="CC165" s="52">
        <v>0.12</v>
      </c>
      <c r="CD165" s="52">
        <v>0.08</v>
      </c>
      <c r="CE165" s="52">
        <v>0.09</v>
      </c>
      <c r="CF165" s="52">
        <v>0.13</v>
      </c>
      <c r="CG165" s="149">
        <v>0.09</v>
      </c>
      <c r="CH165" s="53"/>
      <c r="CI165" s="52">
        <v>0.18</v>
      </c>
      <c r="CJ165" s="52">
        <v>0.18</v>
      </c>
      <c r="CK165" s="52">
        <v>0.19</v>
      </c>
      <c r="CL165" s="52">
        <v>0.17</v>
      </c>
      <c r="CM165" s="149">
        <v>0.18</v>
      </c>
      <c r="CN165" s="53"/>
      <c r="CO165" s="52">
        <v>0.17</v>
      </c>
      <c r="CP165" s="52">
        <v>0.16</v>
      </c>
      <c r="CQ165" s="52">
        <v>0.17</v>
      </c>
      <c r="CR165" s="52">
        <v>0.17</v>
      </c>
      <c r="CS165" s="149">
        <v>0.17</v>
      </c>
      <c r="CT165" s="53"/>
      <c r="CU165" s="50" t="s">
        <v>945</v>
      </c>
      <c r="CV165" s="50" t="s">
        <v>945</v>
      </c>
      <c r="CW165" s="50" t="s">
        <v>945</v>
      </c>
      <c r="CX165" s="50" t="s">
        <v>945</v>
      </c>
      <c r="CY165" s="164" t="s">
        <v>945</v>
      </c>
      <c r="CZ165" s="53"/>
      <c r="DA165" s="50" t="s">
        <v>945</v>
      </c>
      <c r="DB165" s="50" t="s">
        <v>945</v>
      </c>
      <c r="DC165" s="50" t="s">
        <v>945</v>
      </c>
      <c r="DD165" s="50" t="s">
        <v>945</v>
      </c>
      <c r="DE165" s="164" t="s">
        <v>945</v>
      </c>
      <c r="DF165" s="53"/>
      <c r="DG165" s="50" t="s">
        <v>945</v>
      </c>
      <c r="DH165" s="50" t="s">
        <v>945</v>
      </c>
      <c r="DI165" s="50" t="s">
        <v>945</v>
      </c>
      <c r="DJ165" s="50" t="s">
        <v>945</v>
      </c>
      <c r="DK165" s="164" t="s">
        <v>945</v>
      </c>
      <c r="DL165" s="53"/>
      <c r="DM165" s="50" t="s">
        <v>945</v>
      </c>
      <c r="DN165" s="50" t="s">
        <v>945</v>
      </c>
      <c r="DO165" s="50" t="s">
        <v>945</v>
      </c>
      <c r="DP165" s="50" t="s">
        <v>945</v>
      </c>
      <c r="DQ165" s="164" t="s">
        <v>945</v>
      </c>
      <c r="DR165" s="53"/>
      <c r="DS165" s="50" t="s">
        <v>945</v>
      </c>
      <c r="DT165" s="50" t="s">
        <v>945</v>
      </c>
      <c r="DU165" s="50" t="s">
        <v>945</v>
      </c>
      <c r="DV165" s="50" t="s">
        <v>945</v>
      </c>
      <c r="DW165" s="164" t="s">
        <v>945</v>
      </c>
      <c r="DX165" s="53"/>
      <c r="DY165" s="50" t="s">
        <v>945</v>
      </c>
      <c r="DZ165" s="50" t="s">
        <v>945</v>
      </c>
      <c r="EA165" s="50" t="s">
        <v>945</v>
      </c>
      <c r="EB165" s="50" t="s">
        <v>945</v>
      </c>
      <c r="EC165" s="164" t="s">
        <v>945</v>
      </c>
      <c r="ED165" s="53"/>
      <c r="EE165" s="50" t="s">
        <v>945</v>
      </c>
      <c r="EF165" s="50" t="s">
        <v>945</v>
      </c>
      <c r="EG165" s="50" t="s">
        <v>945</v>
      </c>
      <c r="EH165" s="50" t="s">
        <v>945</v>
      </c>
      <c r="EI165" s="164" t="s">
        <v>945</v>
      </c>
      <c r="EJ165" s="53"/>
      <c r="EK165" s="50" t="s">
        <v>945</v>
      </c>
      <c r="EL165" s="50" t="s">
        <v>945</v>
      </c>
      <c r="EM165" s="50" t="s">
        <v>945</v>
      </c>
      <c r="EN165" s="50" t="s">
        <v>945</v>
      </c>
      <c r="EO165" s="164" t="s">
        <v>945</v>
      </c>
      <c r="EP165" s="53"/>
      <c r="EQ165" s="50" t="s">
        <v>945</v>
      </c>
      <c r="ER165" s="50" t="s">
        <v>945</v>
      </c>
      <c r="ES165" s="50" t="s">
        <v>945</v>
      </c>
      <c r="ET165" s="50" t="s">
        <v>945</v>
      </c>
      <c r="EU165" s="164" t="s">
        <v>945</v>
      </c>
      <c r="EV165" s="53"/>
      <c r="EW165" s="50" t="s">
        <v>945</v>
      </c>
      <c r="EX165" s="50" t="s">
        <v>945</v>
      </c>
      <c r="EY165" s="50" t="s">
        <v>945</v>
      </c>
      <c r="EZ165" s="50" t="s">
        <v>945</v>
      </c>
      <c r="FA165" s="164" t="s">
        <v>945</v>
      </c>
      <c r="FB165" s="53"/>
      <c r="FC165" s="50" t="s">
        <v>945</v>
      </c>
      <c r="FD165" s="50" t="s">
        <v>945</v>
      </c>
      <c r="FE165" s="50" t="s">
        <v>945</v>
      </c>
      <c r="FF165" s="50" t="s">
        <v>945</v>
      </c>
      <c r="FG165" s="164" t="s">
        <v>945</v>
      </c>
      <c r="FH165" s="53"/>
      <c r="FI165" s="50" t="s">
        <v>945</v>
      </c>
      <c r="FJ165" s="50" t="s">
        <v>945</v>
      </c>
      <c r="FK165" s="50" t="s">
        <v>945</v>
      </c>
      <c r="FL165" s="50" t="s">
        <v>945</v>
      </c>
      <c r="FM165" s="164" t="s">
        <v>945</v>
      </c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</row>
    <row r="166" spans="1:274" s="24" customFormat="1" hidden="1" x14ac:dyDescent="0.2">
      <c r="A166" s="342" t="s">
        <v>471</v>
      </c>
      <c r="B166" s="20"/>
      <c r="C166" s="406" t="s">
        <v>945</v>
      </c>
      <c r="D166" s="406" t="s">
        <v>945</v>
      </c>
      <c r="E166" s="406" t="s">
        <v>945</v>
      </c>
      <c r="F166" s="406" t="s">
        <v>945</v>
      </c>
      <c r="G166" s="406" t="s">
        <v>945</v>
      </c>
      <c r="H166" s="406" t="s">
        <v>945</v>
      </c>
      <c r="I166" s="406" t="s">
        <v>945</v>
      </c>
      <c r="J166" s="406" t="s">
        <v>945</v>
      </c>
      <c r="K166" s="406" t="s">
        <v>945</v>
      </c>
      <c r="L166" s="406" t="s">
        <v>945</v>
      </c>
      <c r="M166" s="406" t="s">
        <v>945</v>
      </c>
      <c r="N166" s="342"/>
      <c r="O166" s="406" t="s">
        <v>945</v>
      </c>
      <c r="P166" s="406" t="s">
        <v>945</v>
      </c>
      <c r="Q166" s="406" t="s">
        <v>945</v>
      </c>
      <c r="R166" s="406" t="s">
        <v>945</v>
      </c>
      <c r="S166" s="406" t="s">
        <v>945</v>
      </c>
      <c r="T166" s="342"/>
      <c r="U166" s="406" t="s">
        <v>945</v>
      </c>
      <c r="V166" s="406" t="s">
        <v>945</v>
      </c>
      <c r="W166" s="406" t="s">
        <v>945</v>
      </c>
      <c r="X166" s="406" t="s">
        <v>945</v>
      </c>
      <c r="Y166" s="406" t="s">
        <v>945</v>
      </c>
      <c r="Z166" s="53"/>
      <c r="AA166" s="406" t="s">
        <v>945</v>
      </c>
      <c r="AB166" s="406" t="s">
        <v>945</v>
      </c>
      <c r="AC166" s="406" t="s">
        <v>945</v>
      </c>
      <c r="AD166" s="406" t="s">
        <v>945</v>
      </c>
      <c r="AE166" s="259" t="s">
        <v>945</v>
      </c>
      <c r="AF166" s="53"/>
      <c r="AG166" s="406" t="s">
        <v>945</v>
      </c>
      <c r="AH166" s="406" t="s">
        <v>945</v>
      </c>
      <c r="AI166" s="406" t="s">
        <v>945</v>
      </c>
      <c r="AJ166" s="406" t="s">
        <v>945</v>
      </c>
      <c r="AK166" s="259" t="s">
        <v>945</v>
      </c>
      <c r="AL166" s="53"/>
      <c r="AM166" s="406" t="s">
        <v>945</v>
      </c>
      <c r="AN166" s="406" t="s">
        <v>945</v>
      </c>
      <c r="AO166" s="406" t="s">
        <v>945</v>
      </c>
      <c r="AP166" s="406" t="s">
        <v>945</v>
      </c>
      <c r="AQ166" s="259" t="s">
        <v>945</v>
      </c>
      <c r="AR166" s="53"/>
      <c r="AS166" s="406" t="s">
        <v>945</v>
      </c>
      <c r="AT166" s="406" t="s">
        <v>945</v>
      </c>
      <c r="AU166" s="406" t="s">
        <v>945</v>
      </c>
      <c r="AV166" s="406" t="s">
        <v>945</v>
      </c>
      <c r="AW166" s="406" t="s">
        <v>945</v>
      </c>
      <c r="AX166" s="53"/>
      <c r="AY166" s="406" t="s">
        <v>945</v>
      </c>
      <c r="AZ166" s="406" t="s">
        <v>945</v>
      </c>
      <c r="BA166" s="406" t="s">
        <v>945</v>
      </c>
      <c r="BB166" s="406" t="s">
        <v>945</v>
      </c>
      <c r="BC166" s="406" t="s">
        <v>945</v>
      </c>
      <c r="BD166" s="53"/>
      <c r="BE166" s="43">
        <v>-0.2</v>
      </c>
      <c r="BF166" s="43">
        <v>0.13</v>
      </c>
      <c r="BG166" s="43">
        <v>0.26</v>
      </c>
      <c r="BH166" s="43">
        <v>0.26</v>
      </c>
      <c r="BI166" s="43">
        <v>0.21</v>
      </c>
      <c r="BJ166" s="53"/>
      <c r="BK166" s="43">
        <v>-0.22</v>
      </c>
      <c r="BL166" s="43">
        <v>-0.15</v>
      </c>
      <c r="BM166" s="43">
        <v>-0.08</v>
      </c>
      <c r="BN166" s="43">
        <v>-0.08</v>
      </c>
      <c r="BO166" s="43">
        <v>-0.14000000000000001</v>
      </c>
      <c r="BP166" s="53"/>
      <c r="BQ166" s="43">
        <v>-0.03</v>
      </c>
      <c r="BR166" s="43">
        <v>-0.04</v>
      </c>
      <c r="BS166" s="43">
        <v>-0.1</v>
      </c>
      <c r="BT166" s="49">
        <v>-0.05</v>
      </c>
      <c r="BU166" s="49">
        <v>-0.05</v>
      </c>
      <c r="BV166" s="53"/>
      <c r="BW166" s="49">
        <v>-7.0000000000000007E-2</v>
      </c>
      <c r="BX166" s="49">
        <v>-0.05</v>
      </c>
      <c r="BY166" s="43">
        <v>-0.08</v>
      </c>
      <c r="BZ166" s="43">
        <v>-0.05</v>
      </c>
      <c r="CA166" s="49">
        <v>-0.06</v>
      </c>
      <c r="CB166" s="53"/>
      <c r="CC166" s="52">
        <v>-0.11</v>
      </c>
      <c r="CD166" s="52">
        <v>-0.16</v>
      </c>
      <c r="CE166" s="50" t="s">
        <v>945</v>
      </c>
      <c r="CF166" s="50" t="s">
        <v>945</v>
      </c>
      <c r="CG166" s="164" t="s">
        <v>945</v>
      </c>
      <c r="CH166" s="53"/>
      <c r="CI166" s="50" t="s">
        <v>945</v>
      </c>
      <c r="CJ166" s="50" t="s">
        <v>945</v>
      </c>
      <c r="CK166" s="50" t="s">
        <v>945</v>
      </c>
      <c r="CL166" s="50" t="s">
        <v>945</v>
      </c>
      <c r="CM166" s="164" t="s">
        <v>945</v>
      </c>
      <c r="CN166" s="53"/>
      <c r="CO166" s="50" t="s">
        <v>945</v>
      </c>
      <c r="CP166" s="50" t="s">
        <v>945</v>
      </c>
      <c r="CQ166" s="50" t="s">
        <v>945</v>
      </c>
      <c r="CR166" s="50" t="s">
        <v>945</v>
      </c>
      <c r="CS166" s="164" t="s">
        <v>945</v>
      </c>
      <c r="CT166" s="53"/>
      <c r="CU166" s="50" t="s">
        <v>945</v>
      </c>
      <c r="CV166" s="50" t="s">
        <v>945</v>
      </c>
      <c r="CW166" s="50" t="s">
        <v>945</v>
      </c>
      <c r="CX166" s="50" t="s">
        <v>945</v>
      </c>
      <c r="CY166" s="164" t="s">
        <v>945</v>
      </c>
      <c r="CZ166" s="53"/>
      <c r="DA166" s="50" t="s">
        <v>945</v>
      </c>
      <c r="DB166" s="50" t="s">
        <v>945</v>
      </c>
      <c r="DC166" s="50" t="s">
        <v>945</v>
      </c>
      <c r="DD166" s="50" t="s">
        <v>945</v>
      </c>
      <c r="DE166" s="164" t="s">
        <v>945</v>
      </c>
      <c r="DF166" s="53"/>
      <c r="DG166" s="50" t="s">
        <v>945</v>
      </c>
      <c r="DH166" s="50" t="s">
        <v>945</v>
      </c>
      <c r="DI166" s="50" t="s">
        <v>945</v>
      </c>
      <c r="DJ166" s="50" t="s">
        <v>945</v>
      </c>
      <c r="DK166" s="164" t="s">
        <v>945</v>
      </c>
      <c r="DL166" s="53"/>
      <c r="DM166" s="50" t="s">
        <v>945</v>
      </c>
      <c r="DN166" s="50" t="s">
        <v>945</v>
      </c>
      <c r="DO166" s="50" t="s">
        <v>945</v>
      </c>
      <c r="DP166" s="50" t="s">
        <v>945</v>
      </c>
      <c r="DQ166" s="164" t="s">
        <v>945</v>
      </c>
      <c r="DR166" s="53"/>
      <c r="DS166" s="50" t="s">
        <v>945</v>
      </c>
      <c r="DT166" s="50" t="s">
        <v>945</v>
      </c>
      <c r="DU166" s="50" t="s">
        <v>945</v>
      </c>
      <c r="DV166" s="50" t="s">
        <v>945</v>
      </c>
      <c r="DW166" s="164" t="s">
        <v>945</v>
      </c>
      <c r="DX166" s="53"/>
      <c r="DY166" s="50" t="s">
        <v>945</v>
      </c>
      <c r="DZ166" s="50" t="s">
        <v>945</v>
      </c>
      <c r="EA166" s="50" t="s">
        <v>945</v>
      </c>
      <c r="EB166" s="50" t="s">
        <v>945</v>
      </c>
      <c r="EC166" s="164" t="s">
        <v>945</v>
      </c>
      <c r="ED166" s="53"/>
      <c r="EE166" s="50" t="s">
        <v>945</v>
      </c>
      <c r="EF166" s="50" t="s">
        <v>945</v>
      </c>
      <c r="EG166" s="50" t="s">
        <v>945</v>
      </c>
      <c r="EH166" s="50" t="s">
        <v>945</v>
      </c>
      <c r="EI166" s="164" t="s">
        <v>945</v>
      </c>
      <c r="EJ166" s="53"/>
      <c r="EK166" s="50" t="s">
        <v>945</v>
      </c>
      <c r="EL166" s="50" t="s">
        <v>945</v>
      </c>
      <c r="EM166" s="50" t="s">
        <v>945</v>
      </c>
      <c r="EN166" s="50" t="s">
        <v>945</v>
      </c>
      <c r="EO166" s="164" t="s">
        <v>945</v>
      </c>
      <c r="EP166" s="53"/>
      <c r="EQ166" s="50" t="s">
        <v>945</v>
      </c>
      <c r="ER166" s="50" t="s">
        <v>945</v>
      </c>
      <c r="ES166" s="50" t="s">
        <v>945</v>
      </c>
      <c r="ET166" s="50" t="s">
        <v>945</v>
      </c>
      <c r="EU166" s="164" t="s">
        <v>945</v>
      </c>
      <c r="EV166" s="53"/>
      <c r="EW166" s="50" t="s">
        <v>945</v>
      </c>
      <c r="EX166" s="50" t="s">
        <v>945</v>
      </c>
      <c r="EY166" s="50" t="s">
        <v>945</v>
      </c>
      <c r="EZ166" s="50" t="s">
        <v>945</v>
      </c>
      <c r="FA166" s="164" t="s">
        <v>945</v>
      </c>
      <c r="FB166" s="53"/>
      <c r="FC166" s="50" t="s">
        <v>945</v>
      </c>
      <c r="FD166" s="50" t="s">
        <v>945</v>
      </c>
      <c r="FE166" s="50" t="s">
        <v>945</v>
      </c>
      <c r="FF166" s="50" t="s">
        <v>945</v>
      </c>
      <c r="FG166" s="164" t="s">
        <v>945</v>
      </c>
      <c r="FH166" s="53"/>
      <c r="FI166" s="50" t="s">
        <v>945</v>
      </c>
      <c r="FJ166" s="50" t="s">
        <v>945</v>
      </c>
      <c r="FK166" s="50" t="s">
        <v>945</v>
      </c>
      <c r="FL166" s="50" t="s">
        <v>945</v>
      </c>
      <c r="FM166" s="164" t="s">
        <v>945</v>
      </c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</row>
    <row r="167" spans="1:274" s="24" customFormat="1" hidden="1" x14ac:dyDescent="0.2">
      <c r="A167" s="140" t="s">
        <v>698</v>
      </c>
      <c r="B167" s="432"/>
      <c r="C167" s="141" t="s">
        <v>945</v>
      </c>
      <c r="D167" s="141" t="s">
        <v>945</v>
      </c>
      <c r="E167" s="141" t="s">
        <v>945</v>
      </c>
      <c r="F167" s="141" t="s">
        <v>945</v>
      </c>
      <c r="G167" s="141" t="s">
        <v>945</v>
      </c>
      <c r="H167" s="141" t="s">
        <v>945</v>
      </c>
      <c r="I167" s="141" t="s">
        <v>945</v>
      </c>
      <c r="J167" s="141" t="s">
        <v>945</v>
      </c>
      <c r="K167" s="141" t="s">
        <v>945</v>
      </c>
      <c r="L167" s="141" t="s">
        <v>945</v>
      </c>
      <c r="M167" s="141" t="s">
        <v>945</v>
      </c>
      <c r="N167" s="849"/>
      <c r="O167" s="141" t="s">
        <v>945</v>
      </c>
      <c r="P167" s="141" t="s">
        <v>945</v>
      </c>
      <c r="Q167" s="141" t="s">
        <v>945</v>
      </c>
      <c r="R167" s="141" t="s">
        <v>945</v>
      </c>
      <c r="S167" s="141" t="s">
        <v>945</v>
      </c>
      <c r="T167" s="849"/>
      <c r="U167" s="141" t="s">
        <v>945</v>
      </c>
      <c r="V167" s="141" t="s">
        <v>945</v>
      </c>
      <c r="W167" s="141" t="s">
        <v>945</v>
      </c>
      <c r="X167" s="141" t="s">
        <v>945</v>
      </c>
      <c r="Y167" s="141" t="s">
        <v>945</v>
      </c>
      <c r="Z167" s="172"/>
      <c r="AA167" s="141" t="s">
        <v>945</v>
      </c>
      <c r="AB167" s="141" t="s">
        <v>945</v>
      </c>
      <c r="AC167" s="141" t="s">
        <v>945</v>
      </c>
      <c r="AD167" s="141" t="s">
        <v>945</v>
      </c>
      <c r="AE167" s="176" t="s">
        <v>945</v>
      </c>
      <c r="AF167" s="172"/>
      <c r="AG167" s="141" t="s">
        <v>945</v>
      </c>
      <c r="AH167" s="141" t="s">
        <v>945</v>
      </c>
      <c r="AI167" s="141" t="s">
        <v>945</v>
      </c>
      <c r="AJ167" s="141" t="s">
        <v>945</v>
      </c>
      <c r="AK167" s="176" t="s">
        <v>945</v>
      </c>
      <c r="AL167" s="172"/>
      <c r="AM167" s="141" t="s">
        <v>945</v>
      </c>
      <c r="AN167" s="141" t="s">
        <v>945</v>
      </c>
      <c r="AO167" s="141" t="s">
        <v>945</v>
      </c>
      <c r="AP167" s="141" t="s">
        <v>945</v>
      </c>
      <c r="AQ167" s="176" t="s">
        <v>945</v>
      </c>
      <c r="AR167" s="172"/>
      <c r="AS167" s="141" t="s">
        <v>945</v>
      </c>
      <c r="AT167" s="141" t="s">
        <v>945</v>
      </c>
      <c r="AU167" s="141" t="s">
        <v>945</v>
      </c>
      <c r="AV167" s="141" t="s">
        <v>945</v>
      </c>
      <c r="AW167" s="141" t="s">
        <v>945</v>
      </c>
      <c r="AX167" s="172"/>
      <c r="AY167" s="141" t="s">
        <v>945</v>
      </c>
      <c r="AZ167" s="141" t="s">
        <v>945</v>
      </c>
      <c r="BA167" s="141" t="s">
        <v>945</v>
      </c>
      <c r="BB167" s="141" t="s">
        <v>945</v>
      </c>
      <c r="BC167" s="141" t="s">
        <v>945</v>
      </c>
      <c r="BD167" s="172"/>
      <c r="BE167" s="142">
        <v>-0.04</v>
      </c>
      <c r="BF167" s="142">
        <v>-0.09</v>
      </c>
      <c r="BG167" s="142">
        <v>-0.14000000000000001</v>
      </c>
      <c r="BH167" s="142">
        <v>-0.18</v>
      </c>
      <c r="BI167" s="142">
        <v>-0.12</v>
      </c>
      <c r="BJ167" s="172"/>
      <c r="BK167" s="142">
        <v>-0.12</v>
      </c>
      <c r="BL167" s="142">
        <v>-0.01</v>
      </c>
      <c r="BM167" s="142">
        <v>-0.02</v>
      </c>
      <c r="BN167" s="142">
        <v>-0.02</v>
      </c>
      <c r="BO167" s="142">
        <v>-0.04</v>
      </c>
      <c r="BP167" s="172"/>
      <c r="BQ167" s="142">
        <v>0</v>
      </c>
      <c r="BR167" s="142">
        <v>0.04</v>
      </c>
      <c r="BS167" s="142">
        <v>0.06</v>
      </c>
      <c r="BT167" s="142">
        <v>0.09</v>
      </c>
      <c r="BU167" s="142">
        <v>0.05</v>
      </c>
      <c r="BV167" s="172"/>
      <c r="BW167" s="142">
        <v>0.08</v>
      </c>
      <c r="BX167" s="142">
        <v>0.04</v>
      </c>
      <c r="BY167" s="142">
        <v>0.05</v>
      </c>
      <c r="BZ167" s="142">
        <v>0.08</v>
      </c>
      <c r="CA167" s="142">
        <v>7.0000000000000007E-2</v>
      </c>
      <c r="CB167" s="172"/>
      <c r="CC167" s="173">
        <v>0.05</v>
      </c>
      <c r="CD167" s="173">
        <v>0.04</v>
      </c>
      <c r="CE167" s="169" t="s">
        <v>945</v>
      </c>
      <c r="CF167" s="169" t="s">
        <v>945</v>
      </c>
      <c r="CG167" s="175" t="s">
        <v>945</v>
      </c>
      <c r="CH167" s="172"/>
      <c r="CI167" s="173">
        <v>0.16</v>
      </c>
      <c r="CJ167" s="173">
        <v>0.13</v>
      </c>
      <c r="CK167" s="173">
        <v>0.16</v>
      </c>
      <c r="CL167" s="173">
        <v>0.16</v>
      </c>
      <c r="CM167" s="871">
        <v>0.15</v>
      </c>
      <c r="CN167" s="173"/>
      <c r="CO167" s="173">
        <v>0.18</v>
      </c>
      <c r="CP167" s="173">
        <v>0.18</v>
      </c>
      <c r="CQ167" s="173">
        <v>0.15</v>
      </c>
      <c r="CR167" s="173">
        <v>0.16</v>
      </c>
      <c r="CS167" s="871">
        <v>0.15</v>
      </c>
      <c r="CT167" s="172"/>
      <c r="CU167" s="169" t="s">
        <v>945</v>
      </c>
      <c r="CV167" s="169" t="s">
        <v>945</v>
      </c>
      <c r="CW167" s="169" t="s">
        <v>945</v>
      </c>
      <c r="CX167" s="169" t="s">
        <v>945</v>
      </c>
      <c r="CY167" s="175" t="s">
        <v>945</v>
      </c>
      <c r="CZ167" s="172"/>
      <c r="DA167" s="169" t="s">
        <v>945</v>
      </c>
      <c r="DB167" s="169" t="s">
        <v>945</v>
      </c>
      <c r="DC167" s="169" t="s">
        <v>945</v>
      </c>
      <c r="DD167" s="169" t="s">
        <v>945</v>
      </c>
      <c r="DE167" s="175" t="s">
        <v>945</v>
      </c>
      <c r="DF167" s="172"/>
      <c r="DG167" s="169" t="s">
        <v>945</v>
      </c>
      <c r="DH167" s="169" t="s">
        <v>945</v>
      </c>
      <c r="DI167" s="169" t="s">
        <v>945</v>
      </c>
      <c r="DJ167" s="169" t="s">
        <v>945</v>
      </c>
      <c r="DK167" s="175" t="s">
        <v>945</v>
      </c>
      <c r="DL167" s="172"/>
      <c r="DM167" s="169" t="s">
        <v>945</v>
      </c>
      <c r="DN167" s="169" t="s">
        <v>945</v>
      </c>
      <c r="DO167" s="169" t="s">
        <v>945</v>
      </c>
      <c r="DP167" s="169" t="s">
        <v>945</v>
      </c>
      <c r="DQ167" s="175" t="s">
        <v>945</v>
      </c>
      <c r="DR167" s="172"/>
      <c r="DS167" s="169" t="s">
        <v>945</v>
      </c>
      <c r="DT167" s="169" t="s">
        <v>945</v>
      </c>
      <c r="DU167" s="169" t="s">
        <v>945</v>
      </c>
      <c r="DV167" s="169" t="s">
        <v>945</v>
      </c>
      <c r="DW167" s="175" t="s">
        <v>945</v>
      </c>
      <c r="DX167" s="172"/>
      <c r="DY167" s="169" t="s">
        <v>945</v>
      </c>
      <c r="DZ167" s="169" t="s">
        <v>945</v>
      </c>
      <c r="EA167" s="169" t="s">
        <v>945</v>
      </c>
      <c r="EB167" s="169" t="s">
        <v>945</v>
      </c>
      <c r="EC167" s="175" t="s">
        <v>945</v>
      </c>
      <c r="ED167" s="172"/>
      <c r="EE167" s="169" t="s">
        <v>945</v>
      </c>
      <c r="EF167" s="169" t="s">
        <v>945</v>
      </c>
      <c r="EG167" s="169" t="s">
        <v>945</v>
      </c>
      <c r="EH167" s="169" t="s">
        <v>945</v>
      </c>
      <c r="EI167" s="175" t="s">
        <v>945</v>
      </c>
      <c r="EJ167" s="172"/>
      <c r="EK167" s="169" t="s">
        <v>945</v>
      </c>
      <c r="EL167" s="169" t="s">
        <v>945</v>
      </c>
      <c r="EM167" s="169" t="s">
        <v>945</v>
      </c>
      <c r="EN167" s="169" t="s">
        <v>945</v>
      </c>
      <c r="EO167" s="175" t="s">
        <v>945</v>
      </c>
      <c r="EP167" s="172"/>
      <c r="EQ167" s="169" t="s">
        <v>945</v>
      </c>
      <c r="ER167" s="169" t="s">
        <v>945</v>
      </c>
      <c r="ES167" s="169" t="s">
        <v>945</v>
      </c>
      <c r="ET167" s="169" t="s">
        <v>945</v>
      </c>
      <c r="EU167" s="175" t="s">
        <v>945</v>
      </c>
      <c r="EV167" s="172"/>
      <c r="EW167" s="169" t="s">
        <v>945</v>
      </c>
      <c r="EX167" s="169" t="s">
        <v>945</v>
      </c>
      <c r="EY167" s="169" t="s">
        <v>945</v>
      </c>
      <c r="EZ167" s="169" t="s">
        <v>945</v>
      </c>
      <c r="FA167" s="175" t="s">
        <v>945</v>
      </c>
      <c r="FB167" s="172"/>
      <c r="FC167" s="169" t="s">
        <v>945</v>
      </c>
      <c r="FD167" s="169" t="s">
        <v>945</v>
      </c>
      <c r="FE167" s="169" t="s">
        <v>945</v>
      </c>
      <c r="FF167" s="169" t="s">
        <v>945</v>
      </c>
      <c r="FG167" s="175" t="s">
        <v>945</v>
      </c>
      <c r="FH167" s="172"/>
      <c r="FI167" s="169" t="s">
        <v>945</v>
      </c>
      <c r="FJ167" s="169" t="s">
        <v>945</v>
      </c>
      <c r="FK167" s="169" t="s">
        <v>945</v>
      </c>
      <c r="FL167" s="169" t="s">
        <v>945</v>
      </c>
      <c r="FM167" s="175" t="s">
        <v>945</v>
      </c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</row>
    <row r="168" spans="1:274" s="24" customFormat="1" hidden="1" x14ac:dyDescent="0.2"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</row>
    <row r="169" spans="1:274" s="24" customFormat="1" hidden="1" x14ac:dyDescent="0.2"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</row>
    <row r="170" spans="1:274" s="24" customFormat="1" hidden="1" x14ac:dyDescent="0.2"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</row>
    <row r="171" spans="1:274" s="24" customFormat="1" hidden="1" x14ac:dyDescent="0.2"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</row>
    <row r="172" spans="1:274" s="24" customFormat="1" hidden="1" x14ac:dyDescent="0.2"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</row>
    <row r="173" spans="1:274" s="24" customFormat="1" hidden="1" x14ac:dyDescent="0.2">
      <c r="A173" s="244" t="s">
        <v>698</v>
      </c>
      <c r="B173" s="440"/>
      <c r="C173" s="59" t="s">
        <v>945</v>
      </c>
      <c r="D173" s="59" t="s">
        <v>945</v>
      </c>
      <c r="E173" s="59" t="s">
        <v>945</v>
      </c>
      <c r="F173" s="59" t="s">
        <v>945</v>
      </c>
      <c r="G173" s="59" t="s">
        <v>945</v>
      </c>
      <c r="H173" s="59" t="s">
        <v>945</v>
      </c>
      <c r="I173" s="59" t="s">
        <v>945</v>
      </c>
      <c r="J173" s="59" t="s">
        <v>945</v>
      </c>
      <c r="K173" s="59" t="s">
        <v>945</v>
      </c>
      <c r="L173" s="59" t="s">
        <v>945</v>
      </c>
      <c r="M173" s="59" t="s">
        <v>945</v>
      </c>
      <c r="N173" s="244"/>
      <c r="O173" s="59" t="s">
        <v>945</v>
      </c>
      <c r="P173" s="59" t="s">
        <v>945</v>
      </c>
      <c r="Q173" s="59" t="s">
        <v>945</v>
      </c>
      <c r="R173" s="59" t="s">
        <v>945</v>
      </c>
      <c r="S173" s="59" t="s">
        <v>945</v>
      </c>
      <c r="T173" s="244"/>
      <c r="U173" s="59" t="s">
        <v>945</v>
      </c>
      <c r="V173" s="59" t="s">
        <v>945</v>
      </c>
      <c r="W173" s="59" t="s">
        <v>945</v>
      </c>
      <c r="X173" s="59" t="s">
        <v>945</v>
      </c>
      <c r="Y173" s="59" t="s">
        <v>945</v>
      </c>
      <c r="Z173" s="170"/>
      <c r="AA173" s="59" t="s">
        <v>945</v>
      </c>
      <c r="AB173" s="59" t="s">
        <v>945</v>
      </c>
      <c r="AC173" s="59" t="s">
        <v>945</v>
      </c>
      <c r="AD173" s="59" t="s">
        <v>945</v>
      </c>
      <c r="AE173" s="59" t="s">
        <v>945</v>
      </c>
      <c r="AF173" s="170"/>
      <c r="AG173" s="244" t="e">
        <f>AG160+AG158</f>
        <v>#VALUE!</v>
      </c>
      <c r="AH173" s="244" t="e">
        <f>AH160+AH158</f>
        <v>#VALUE!</v>
      </c>
      <c r="AI173" s="244" t="e">
        <f>AI160+AI158</f>
        <v>#VALUE!</v>
      </c>
      <c r="AJ173" s="244" t="e">
        <f>AJ160+AJ158</f>
        <v>#VALUE!</v>
      </c>
      <c r="AK173" s="244" t="e">
        <f>AK160+AK158</f>
        <v>#VALUE!</v>
      </c>
      <c r="AL173" s="170"/>
      <c r="AM173" s="244" t="e">
        <f>AM160+AM158</f>
        <v>#VALUE!</v>
      </c>
      <c r="AN173" s="244" t="e">
        <f>AN160+AN158</f>
        <v>#VALUE!</v>
      </c>
      <c r="AO173" s="244" t="e">
        <f>AO160+AO158</f>
        <v>#VALUE!</v>
      </c>
      <c r="AP173" s="244" t="e">
        <f>AP160+AP158</f>
        <v>#VALUE!</v>
      </c>
      <c r="AQ173" s="244" t="e">
        <f>AQ160+AQ158</f>
        <v>#VALUE!</v>
      </c>
      <c r="AR173" s="170"/>
      <c r="AS173" s="244" t="e">
        <f>AS158+AS160</f>
        <v>#VALUE!</v>
      </c>
      <c r="AT173" s="244" t="e">
        <f>AT158+AT160</f>
        <v>#VALUE!</v>
      </c>
      <c r="AU173" s="244" t="e">
        <f>AU158+AU160</f>
        <v>#VALUE!</v>
      </c>
      <c r="AV173" s="244" t="e">
        <f>AV158+AV160</f>
        <v>#VALUE!</v>
      </c>
      <c r="AW173" s="244" t="e">
        <f>AW158+AW160</f>
        <v>#VALUE!</v>
      </c>
      <c r="AX173" s="170"/>
      <c r="AY173" s="244">
        <v>1745.893</v>
      </c>
      <c r="AZ173" s="244">
        <v>1896.0630000000001</v>
      </c>
      <c r="BA173" s="244">
        <v>1964.934</v>
      </c>
      <c r="BB173" s="244">
        <v>2439.2979999999998</v>
      </c>
      <c r="BC173" s="244">
        <f>SUM(AY243:BB243)</f>
        <v>0</v>
      </c>
      <c r="BD173" s="170"/>
      <c r="BE173" s="244">
        <f>SUM(BE240:BE242)</f>
        <v>0</v>
      </c>
      <c r="BF173" s="244">
        <f>SUM(BF240:BF242)</f>
        <v>0</v>
      </c>
      <c r="BG173" s="244">
        <f>SUM(BG240:BG242)</f>
        <v>0</v>
      </c>
      <c r="BH173" s="244">
        <f>SUM(BH240:BH242)</f>
        <v>0</v>
      </c>
      <c r="BI173" s="244">
        <f>SUM(BI240:BI242)</f>
        <v>0</v>
      </c>
      <c r="BJ173" s="170"/>
      <c r="BK173" s="244">
        <f>SUM(BK240:BK242)</f>
        <v>0</v>
      </c>
      <c r="BL173" s="244">
        <f>SUM(BL240:BL242)</f>
        <v>0</v>
      </c>
      <c r="BM173" s="244">
        <f>SUM(BM240:BM242)</f>
        <v>0</v>
      </c>
      <c r="BN173" s="244">
        <f>SUM(BN240:BN242)</f>
        <v>0</v>
      </c>
      <c r="BO173" s="244">
        <f>SUM(BK243:BN243)</f>
        <v>0</v>
      </c>
      <c r="BP173" s="170"/>
      <c r="BQ173" s="244">
        <f>SUM(BQ240:BQ242)</f>
        <v>0</v>
      </c>
      <c r="BR173" s="244">
        <f>SUM(BR240:BR242)</f>
        <v>0</v>
      </c>
      <c r="BS173" s="244">
        <f>SUM(BS240:BS242)</f>
        <v>0</v>
      </c>
      <c r="BT173" s="244">
        <f>SUM(BT240:BT242)</f>
        <v>0</v>
      </c>
      <c r="BU173" s="244">
        <f>SUM(BQ243:BT243)</f>
        <v>0</v>
      </c>
      <c r="BV173" s="170"/>
      <c r="BW173" s="244">
        <f>SUM(BW240:BW242)</f>
        <v>0</v>
      </c>
      <c r="BX173" s="244">
        <f>SUM(BX240:BX242)</f>
        <v>0</v>
      </c>
      <c r="BY173" s="244">
        <f>SUM(BY240:BY242)</f>
        <v>0</v>
      </c>
      <c r="BZ173" s="244">
        <f>SUM(BZ240:BZ242)</f>
        <v>0</v>
      </c>
      <c r="CA173" s="244">
        <f>SUM(BW243:BZ243)</f>
        <v>0</v>
      </c>
      <c r="CB173" s="170"/>
      <c r="CC173" s="244">
        <f>SUM(CC240:CC242)</f>
        <v>0</v>
      </c>
      <c r="CD173" s="244">
        <f>SUM(CD240:CD242)</f>
        <v>0</v>
      </c>
      <c r="CE173" s="101" t="s">
        <v>945</v>
      </c>
      <c r="CF173" s="101" t="s">
        <v>945</v>
      </c>
      <c r="CG173" s="101" t="s">
        <v>945</v>
      </c>
      <c r="CH173" s="189"/>
      <c r="CI173" s="101" t="s">
        <v>945</v>
      </c>
      <c r="CJ173" s="101" t="s">
        <v>945</v>
      </c>
      <c r="CK173" s="101" t="s">
        <v>945</v>
      </c>
      <c r="CL173" s="101" t="s">
        <v>945</v>
      </c>
      <c r="CM173" s="101" t="s">
        <v>945</v>
      </c>
      <c r="CN173" s="189"/>
      <c r="CO173" s="101" t="s">
        <v>945</v>
      </c>
      <c r="CP173" s="101" t="s">
        <v>945</v>
      </c>
      <c r="CQ173" s="101" t="s">
        <v>945</v>
      </c>
      <c r="CR173" s="101" t="s">
        <v>945</v>
      </c>
      <c r="CS173" s="101" t="s">
        <v>945</v>
      </c>
      <c r="CT173" s="189"/>
      <c r="CU173" s="101" t="s">
        <v>945</v>
      </c>
      <c r="CV173" s="101" t="s">
        <v>945</v>
      </c>
      <c r="CW173" s="101" t="s">
        <v>945</v>
      </c>
      <c r="CX173" s="101" t="s">
        <v>945</v>
      </c>
      <c r="CY173" s="101" t="s">
        <v>945</v>
      </c>
      <c r="CZ173" s="189"/>
      <c r="DA173" s="101" t="s">
        <v>945</v>
      </c>
      <c r="DB173" s="101" t="s">
        <v>945</v>
      </c>
      <c r="DC173" s="101" t="s">
        <v>945</v>
      </c>
      <c r="DD173" s="101" t="s">
        <v>945</v>
      </c>
      <c r="DE173" s="101" t="s">
        <v>945</v>
      </c>
      <c r="DF173" s="189"/>
      <c r="DG173" s="101" t="s">
        <v>945</v>
      </c>
      <c r="DH173" s="101" t="s">
        <v>945</v>
      </c>
      <c r="DI173" s="101" t="s">
        <v>945</v>
      </c>
      <c r="DJ173" s="101" t="s">
        <v>945</v>
      </c>
      <c r="DK173" s="101" t="s">
        <v>945</v>
      </c>
      <c r="DL173" s="189"/>
      <c r="DM173" s="101" t="s">
        <v>945</v>
      </c>
      <c r="DN173" s="101" t="s">
        <v>945</v>
      </c>
      <c r="DO173" s="101" t="s">
        <v>945</v>
      </c>
      <c r="DP173" s="101" t="s">
        <v>945</v>
      </c>
      <c r="DQ173" s="101" t="s">
        <v>945</v>
      </c>
      <c r="DR173" s="189"/>
      <c r="DS173" s="101" t="s">
        <v>945</v>
      </c>
      <c r="DT173" s="101" t="s">
        <v>945</v>
      </c>
      <c r="DU173" s="101" t="s">
        <v>945</v>
      </c>
      <c r="DV173" s="101" t="s">
        <v>945</v>
      </c>
      <c r="DW173" s="101" t="s">
        <v>945</v>
      </c>
      <c r="DX173" s="189"/>
      <c r="DY173" s="101" t="s">
        <v>945</v>
      </c>
      <c r="DZ173" s="101" t="s">
        <v>945</v>
      </c>
      <c r="EA173" s="101" t="s">
        <v>945</v>
      </c>
      <c r="EB173" s="101" t="s">
        <v>945</v>
      </c>
      <c r="EC173" s="101" t="s">
        <v>945</v>
      </c>
      <c r="ED173" s="189"/>
      <c r="EE173" s="101" t="s">
        <v>945</v>
      </c>
      <c r="EF173" s="101" t="s">
        <v>945</v>
      </c>
      <c r="EG173" s="101" t="s">
        <v>945</v>
      </c>
      <c r="EH173" s="101" t="s">
        <v>945</v>
      </c>
      <c r="EI173" s="101" t="s">
        <v>945</v>
      </c>
      <c r="EJ173" s="189"/>
      <c r="EK173" s="101" t="s">
        <v>945</v>
      </c>
      <c r="EL173" s="101" t="s">
        <v>945</v>
      </c>
      <c r="EM173" s="101" t="s">
        <v>945</v>
      </c>
      <c r="EN173" s="101" t="s">
        <v>945</v>
      </c>
      <c r="EO173" s="101" t="s">
        <v>945</v>
      </c>
      <c r="EP173" s="189"/>
      <c r="EQ173" s="101" t="s">
        <v>945</v>
      </c>
      <c r="ER173" s="101" t="s">
        <v>945</v>
      </c>
      <c r="ES173" s="101" t="s">
        <v>945</v>
      </c>
      <c r="ET173" s="101" t="s">
        <v>945</v>
      </c>
      <c r="EU173" s="101" t="s">
        <v>945</v>
      </c>
      <c r="EV173" s="189"/>
      <c r="EW173" s="101" t="s">
        <v>945</v>
      </c>
      <c r="EX173" s="101" t="s">
        <v>945</v>
      </c>
      <c r="EY173" s="101" t="s">
        <v>945</v>
      </c>
      <c r="EZ173" s="101" t="s">
        <v>945</v>
      </c>
      <c r="FA173" s="101" t="s">
        <v>945</v>
      </c>
      <c r="FB173" s="189"/>
      <c r="FC173" s="101" t="s">
        <v>945</v>
      </c>
      <c r="FD173" s="101" t="s">
        <v>945</v>
      </c>
      <c r="FE173" s="101" t="s">
        <v>945</v>
      </c>
      <c r="FF173" s="101" t="s">
        <v>945</v>
      </c>
      <c r="FG173" s="101" t="s">
        <v>945</v>
      </c>
      <c r="FH173" s="189"/>
      <c r="FI173" s="101" t="s">
        <v>945</v>
      </c>
      <c r="FJ173" s="101" t="s">
        <v>945</v>
      </c>
      <c r="FK173" s="101" t="s">
        <v>945</v>
      </c>
      <c r="FL173" s="101" t="s">
        <v>945</v>
      </c>
      <c r="FM173" s="101" t="s">
        <v>945</v>
      </c>
      <c r="FN173" s="621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</row>
    <row r="174" spans="1:274" s="24" customFormat="1" hidden="1" x14ac:dyDescent="0.2">
      <c r="A174" s="244" t="s">
        <v>698</v>
      </c>
      <c r="B174" s="440"/>
      <c r="C174" s="59" t="s">
        <v>945</v>
      </c>
      <c r="D174" s="59" t="s">
        <v>945</v>
      </c>
      <c r="E174" s="59" t="s">
        <v>945</v>
      </c>
      <c r="F174" s="59" t="s">
        <v>945</v>
      </c>
      <c r="G174" s="59" t="s">
        <v>945</v>
      </c>
      <c r="H174" s="59" t="s">
        <v>945</v>
      </c>
      <c r="I174" s="59" t="s">
        <v>945</v>
      </c>
      <c r="J174" s="59" t="s">
        <v>945</v>
      </c>
      <c r="K174" s="59" t="s">
        <v>945</v>
      </c>
      <c r="L174" s="59" t="s">
        <v>945</v>
      </c>
      <c r="M174" s="59" t="s">
        <v>945</v>
      </c>
      <c r="N174" s="244"/>
      <c r="O174" s="59" t="s">
        <v>945</v>
      </c>
      <c r="P174" s="59" t="s">
        <v>945</v>
      </c>
      <c r="Q174" s="59" t="s">
        <v>945</v>
      </c>
      <c r="R174" s="59" t="s">
        <v>945</v>
      </c>
      <c r="S174" s="59" t="s">
        <v>945</v>
      </c>
      <c r="T174" s="244"/>
      <c r="U174" s="59" t="s">
        <v>945</v>
      </c>
      <c r="V174" s="59" t="s">
        <v>945</v>
      </c>
      <c r="W174" s="59" t="s">
        <v>945</v>
      </c>
      <c r="X174" s="59" t="s">
        <v>945</v>
      </c>
      <c r="Y174" s="59" t="s">
        <v>945</v>
      </c>
      <c r="Z174" s="170"/>
      <c r="AA174" s="59" t="s">
        <v>945</v>
      </c>
      <c r="AB174" s="59" t="s">
        <v>945</v>
      </c>
      <c r="AC174" s="59" t="s">
        <v>945</v>
      </c>
      <c r="AD174" s="59" t="s">
        <v>945</v>
      </c>
      <c r="AE174" s="59" t="s">
        <v>945</v>
      </c>
      <c r="AF174" s="170"/>
      <c r="AG174" s="244" t="e">
        <f>AG160+AG158</f>
        <v>#VALUE!</v>
      </c>
      <c r="AH174" s="244" t="e">
        <f>AH160+AH158</f>
        <v>#VALUE!</v>
      </c>
      <c r="AI174" s="244" t="e">
        <f>AI160+AI158</f>
        <v>#VALUE!</v>
      </c>
      <c r="AJ174" s="244" t="e">
        <f>AJ160+AJ158</f>
        <v>#VALUE!</v>
      </c>
      <c r="AK174" s="244" t="e">
        <f>AK160+AK158</f>
        <v>#VALUE!</v>
      </c>
      <c r="AL174" s="170"/>
      <c r="AM174" s="244" t="e">
        <f>AM160+AM158</f>
        <v>#VALUE!</v>
      </c>
      <c r="AN174" s="244" t="e">
        <f>AN160+AN158</f>
        <v>#VALUE!</v>
      </c>
      <c r="AO174" s="244" t="e">
        <f>AO160+AO158</f>
        <v>#VALUE!</v>
      </c>
      <c r="AP174" s="244" t="e">
        <f>AP160+AP158</f>
        <v>#VALUE!</v>
      </c>
      <c r="AQ174" s="244" t="e">
        <f>AQ160+AQ158</f>
        <v>#VALUE!</v>
      </c>
      <c r="AR174" s="170"/>
      <c r="AS174" s="244" t="e">
        <f>AS158+AS160</f>
        <v>#VALUE!</v>
      </c>
      <c r="AT174" s="244" t="e">
        <f>AT158+AT160</f>
        <v>#VALUE!</v>
      </c>
      <c r="AU174" s="244" t="e">
        <f>AU158+AU160</f>
        <v>#VALUE!</v>
      </c>
      <c r="AV174" s="244" t="e">
        <f>AV158+AV160</f>
        <v>#VALUE!</v>
      </c>
      <c r="AW174" s="244" t="e">
        <f>AW158+AW160</f>
        <v>#VALUE!</v>
      </c>
      <c r="AX174" s="170"/>
      <c r="AY174" s="244">
        <v>1745.893</v>
      </c>
      <c r="AZ174" s="244">
        <v>1896.0630000000001</v>
      </c>
      <c r="BA174" s="244">
        <v>1964.934</v>
      </c>
      <c r="BB174" s="244">
        <v>2439.2979999999998</v>
      </c>
      <c r="BC174" s="244">
        <f>SUM(AY243:BB243)</f>
        <v>0</v>
      </c>
      <c r="BD174" s="170"/>
      <c r="BE174" s="244">
        <f>SUM(BE240:BE242)</f>
        <v>0</v>
      </c>
      <c r="BF174" s="244">
        <f>SUM(BF240:BF242)</f>
        <v>0</v>
      </c>
      <c r="BG174" s="244">
        <f>SUM(BG240:BG242)</f>
        <v>0</v>
      </c>
      <c r="BH174" s="244">
        <f>SUM(BH240:BH242)</f>
        <v>0</v>
      </c>
      <c r="BI174" s="244">
        <f>SUM(BI240:BI242)</f>
        <v>0</v>
      </c>
      <c r="BJ174" s="170"/>
      <c r="BK174" s="244">
        <f>SUM(BK240:BK242)</f>
        <v>0</v>
      </c>
      <c r="BL174" s="244">
        <f>SUM(BL240:BL242)</f>
        <v>0</v>
      </c>
      <c r="BM174" s="244">
        <f>SUM(BM240:BM242)</f>
        <v>0</v>
      </c>
      <c r="BN174" s="244">
        <f>SUM(BN240:BN242)</f>
        <v>0</v>
      </c>
      <c r="BO174" s="244">
        <f>SUM(BK243:BN243)</f>
        <v>0</v>
      </c>
      <c r="BP174" s="170"/>
      <c r="BQ174" s="244">
        <f>SUM(BQ240:BQ242)</f>
        <v>0</v>
      </c>
      <c r="BR174" s="244">
        <f>SUM(BR240:BR242)</f>
        <v>0</v>
      </c>
      <c r="BS174" s="244">
        <f>SUM(BS240:BS242)</f>
        <v>0</v>
      </c>
      <c r="BT174" s="244">
        <f>SUM(BT240:BT242)</f>
        <v>0</v>
      </c>
      <c r="BU174" s="244">
        <f>SUM(BQ243:BT243)</f>
        <v>0</v>
      </c>
      <c r="BV174" s="170"/>
      <c r="BW174" s="244">
        <f>SUM(BW240:BW242)</f>
        <v>0</v>
      </c>
      <c r="BX174" s="244">
        <f>SUM(BX240:BX242)</f>
        <v>0</v>
      </c>
      <c r="BY174" s="244">
        <f>SUM(BY240:BY242)</f>
        <v>0</v>
      </c>
      <c r="BZ174" s="244">
        <f>SUM(BZ240:BZ242)</f>
        <v>0</v>
      </c>
      <c r="CA174" s="244">
        <f>SUM(BW243:BZ243)</f>
        <v>0</v>
      </c>
      <c r="CB174" s="170"/>
      <c r="CC174" s="244">
        <f>SUM(CC240:CC242)</f>
        <v>0</v>
      </c>
      <c r="CD174" s="244">
        <f>SUM(CD240:CD242)</f>
        <v>0</v>
      </c>
      <c r="CE174" s="101" t="s">
        <v>945</v>
      </c>
      <c r="CF174" s="101" t="s">
        <v>945</v>
      </c>
      <c r="CG174" s="101" t="s">
        <v>945</v>
      </c>
      <c r="CH174" s="189"/>
      <c r="CI174" s="101" t="s">
        <v>945</v>
      </c>
      <c r="CJ174" s="101" t="s">
        <v>945</v>
      </c>
      <c r="CK174" s="101" t="s">
        <v>945</v>
      </c>
      <c r="CL174" s="101" t="s">
        <v>945</v>
      </c>
      <c r="CM174" s="101" t="s">
        <v>945</v>
      </c>
      <c r="CN174" s="189"/>
      <c r="CO174" s="101" t="s">
        <v>945</v>
      </c>
      <c r="CP174" s="101" t="s">
        <v>945</v>
      </c>
      <c r="CQ174" s="101" t="s">
        <v>945</v>
      </c>
      <c r="CR174" s="101" t="s">
        <v>945</v>
      </c>
      <c r="CS174" s="101" t="s">
        <v>945</v>
      </c>
      <c r="CT174" s="189"/>
      <c r="CU174" s="101" t="s">
        <v>945</v>
      </c>
      <c r="CV174" s="101" t="s">
        <v>945</v>
      </c>
      <c r="CW174" s="101" t="s">
        <v>945</v>
      </c>
      <c r="CX174" s="101" t="s">
        <v>945</v>
      </c>
      <c r="CY174" s="101" t="s">
        <v>945</v>
      </c>
      <c r="CZ174" s="189"/>
      <c r="DA174" s="101" t="s">
        <v>945</v>
      </c>
      <c r="DB174" s="101" t="s">
        <v>945</v>
      </c>
      <c r="DC174" s="101" t="s">
        <v>945</v>
      </c>
      <c r="DD174" s="101" t="s">
        <v>945</v>
      </c>
      <c r="DE174" s="101" t="s">
        <v>945</v>
      </c>
      <c r="DF174" s="189"/>
      <c r="DG174" s="101" t="s">
        <v>945</v>
      </c>
      <c r="DH174" s="101" t="s">
        <v>945</v>
      </c>
      <c r="DI174" s="101" t="s">
        <v>945</v>
      </c>
      <c r="DJ174" s="101" t="s">
        <v>945</v>
      </c>
      <c r="DK174" s="101" t="s">
        <v>945</v>
      </c>
      <c r="DL174" s="189"/>
      <c r="DM174" s="101" t="s">
        <v>945</v>
      </c>
      <c r="DN174" s="101" t="s">
        <v>945</v>
      </c>
      <c r="DO174" s="101" t="s">
        <v>945</v>
      </c>
      <c r="DP174" s="101" t="s">
        <v>945</v>
      </c>
      <c r="DQ174" s="101" t="s">
        <v>945</v>
      </c>
      <c r="DR174" s="189"/>
      <c r="DS174" s="101" t="s">
        <v>945</v>
      </c>
      <c r="DT174" s="101" t="s">
        <v>945</v>
      </c>
      <c r="DU174" s="101" t="s">
        <v>945</v>
      </c>
      <c r="DV174" s="101" t="s">
        <v>945</v>
      </c>
      <c r="DW174" s="101" t="s">
        <v>945</v>
      </c>
      <c r="DX174" s="189"/>
      <c r="DY174" s="101" t="s">
        <v>945</v>
      </c>
      <c r="DZ174" s="101" t="s">
        <v>945</v>
      </c>
      <c r="EA174" s="101" t="s">
        <v>945</v>
      </c>
      <c r="EB174" s="101" t="s">
        <v>945</v>
      </c>
      <c r="EC174" s="101" t="s">
        <v>945</v>
      </c>
      <c r="ED174" s="189"/>
      <c r="EE174" s="101" t="s">
        <v>945</v>
      </c>
      <c r="EF174" s="101" t="s">
        <v>945</v>
      </c>
      <c r="EG174" s="101" t="s">
        <v>945</v>
      </c>
      <c r="EH174" s="101" t="s">
        <v>945</v>
      </c>
      <c r="EI174" s="101" t="s">
        <v>945</v>
      </c>
      <c r="EJ174" s="189"/>
      <c r="EK174" s="101" t="s">
        <v>945</v>
      </c>
      <c r="EL174" s="101" t="s">
        <v>945</v>
      </c>
      <c r="EM174" s="101" t="s">
        <v>945</v>
      </c>
      <c r="EN174" s="101" t="s">
        <v>945</v>
      </c>
      <c r="EO174" s="101" t="s">
        <v>945</v>
      </c>
      <c r="EP174" s="189"/>
      <c r="EQ174" s="101" t="s">
        <v>945</v>
      </c>
      <c r="ER174" s="101" t="s">
        <v>945</v>
      </c>
      <c r="ES174" s="101" t="s">
        <v>945</v>
      </c>
      <c r="ET174" s="101" t="s">
        <v>945</v>
      </c>
      <c r="EU174" s="101" t="s">
        <v>945</v>
      </c>
      <c r="EV174" s="189"/>
      <c r="EW174" s="101" t="s">
        <v>945</v>
      </c>
      <c r="EX174" s="101" t="s">
        <v>945</v>
      </c>
      <c r="EY174" s="101" t="s">
        <v>945</v>
      </c>
      <c r="EZ174" s="101" t="s">
        <v>945</v>
      </c>
      <c r="FA174" s="101" t="s">
        <v>945</v>
      </c>
      <c r="FB174" s="189"/>
      <c r="FC174" s="101" t="s">
        <v>945</v>
      </c>
      <c r="FD174" s="101" t="s">
        <v>945</v>
      </c>
      <c r="FE174" s="101" t="s">
        <v>945</v>
      </c>
      <c r="FF174" s="101" t="s">
        <v>945</v>
      </c>
      <c r="FG174" s="101" t="s">
        <v>945</v>
      </c>
      <c r="FH174" s="189"/>
      <c r="FI174" s="101" t="s">
        <v>945</v>
      </c>
      <c r="FJ174" s="101" t="s">
        <v>945</v>
      </c>
      <c r="FK174" s="101" t="s">
        <v>945</v>
      </c>
      <c r="FL174" s="101" t="s">
        <v>945</v>
      </c>
      <c r="FM174" s="101" t="s">
        <v>945</v>
      </c>
      <c r="FN174" s="621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</row>
  </sheetData>
  <customSheetViews>
    <customSheetView guid="{9EE67DAB-A61A-4D9C-921F-C1D84D0D754F}" scale="90" showGridLines="0" hiddenRows="1" hiddenColumns="1" showRuler="0"/>
    <customSheetView guid="{CA614B88-8CF3-4BB8-8646-EEB6071A634F}" scale="90" showGridLines="0" hiddenRows="1" hiddenColumns="1" showRuler="0"/>
  </customSheetViews>
  <phoneticPr fontId="2" type="noConversion"/>
  <pageMargins left="0.53" right="0.75" top="0.31000000000000005" bottom="0.38000000000000006" header="0.23000000000000004" footer="0.19000000000000003"/>
  <pageSetup paperSize="9" scale="75" orientation="landscape" horizontalDpi="300" verticalDpi="300" r:id="rId1"/>
  <headerFooter alignWithMargins="0">
    <oddFooter>&amp;L&amp;"Arial,Bold"&amp;8Morgan Stanley Equity Research</oddFooter>
  </headerFooter>
  <rowBreaks count="2" manualBreakCount="2">
    <brk id="68" max="16383" man="1"/>
    <brk id="131" max="16383" man="1"/>
  </rowBreak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3"/>
  <sheetViews>
    <sheetView workbookViewId="0">
      <selection activeCell="B42" sqref="B42"/>
    </sheetView>
  </sheetViews>
  <sheetFormatPr defaultRowHeight="12.75" x14ac:dyDescent="0.2"/>
  <cols>
    <col min="1" max="1" width="29.5703125" style="1515" bestFit="1" customWidth="1"/>
    <col min="2" max="2" width="19.85546875" style="1929" customWidth="1"/>
    <col min="3" max="3" width="12" style="1515" bestFit="1" customWidth="1"/>
    <col min="4" max="256" width="9.140625" style="1515"/>
    <col min="257" max="257" width="29.5703125" style="1515" bestFit="1" customWidth="1"/>
    <col min="258" max="258" width="19.85546875" style="1515" customWidth="1"/>
    <col min="259" max="259" width="12" style="1515" bestFit="1" customWidth="1"/>
    <col min="260" max="512" width="9.140625" style="1515"/>
    <col min="513" max="513" width="29.5703125" style="1515" bestFit="1" customWidth="1"/>
    <col min="514" max="514" width="19.85546875" style="1515" customWidth="1"/>
    <col min="515" max="515" width="12" style="1515" bestFit="1" customWidth="1"/>
    <col min="516" max="768" width="9.140625" style="1515"/>
    <col min="769" max="769" width="29.5703125" style="1515" bestFit="1" customWidth="1"/>
    <col min="770" max="770" width="19.85546875" style="1515" customWidth="1"/>
    <col min="771" max="771" width="12" style="1515" bestFit="1" customWidth="1"/>
    <col min="772" max="1024" width="9.140625" style="1515"/>
    <col min="1025" max="1025" width="29.5703125" style="1515" bestFit="1" customWidth="1"/>
    <col min="1026" max="1026" width="19.85546875" style="1515" customWidth="1"/>
    <col min="1027" max="1027" width="12" style="1515" bestFit="1" customWidth="1"/>
    <col min="1028" max="1280" width="9.140625" style="1515"/>
    <col min="1281" max="1281" width="29.5703125" style="1515" bestFit="1" customWidth="1"/>
    <col min="1282" max="1282" width="19.85546875" style="1515" customWidth="1"/>
    <col min="1283" max="1283" width="12" style="1515" bestFit="1" customWidth="1"/>
    <col min="1284" max="1536" width="9.140625" style="1515"/>
    <col min="1537" max="1537" width="29.5703125" style="1515" bestFit="1" customWidth="1"/>
    <col min="1538" max="1538" width="19.85546875" style="1515" customWidth="1"/>
    <col min="1539" max="1539" width="12" style="1515" bestFit="1" customWidth="1"/>
    <col min="1540" max="1792" width="9.140625" style="1515"/>
    <col min="1793" max="1793" width="29.5703125" style="1515" bestFit="1" customWidth="1"/>
    <col min="1794" max="1794" width="19.85546875" style="1515" customWidth="1"/>
    <col min="1795" max="1795" width="12" style="1515" bestFit="1" customWidth="1"/>
    <col min="1796" max="2048" width="9.140625" style="1515"/>
    <col min="2049" max="2049" width="29.5703125" style="1515" bestFit="1" customWidth="1"/>
    <col min="2050" max="2050" width="19.85546875" style="1515" customWidth="1"/>
    <col min="2051" max="2051" width="12" style="1515" bestFit="1" customWidth="1"/>
    <col min="2052" max="2304" width="9.140625" style="1515"/>
    <col min="2305" max="2305" width="29.5703125" style="1515" bestFit="1" customWidth="1"/>
    <col min="2306" max="2306" width="19.85546875" style="1515" customWidth="1"/>
    <col min="2307" max="2307" width="12" style="1515" bestFit="1" customWidth="1"/>
    <col min="2308" max="2560" width="9.140625" style="1515"/>
    <col min="2561" max="2561" width="29.5703125" style="1515" bestFit="1" customWidth="1"/>
    <col min="2562" max="2562" width="19.85546875" style="1515" customWidth="1"/>
    <col min="2563" max="2563" width="12" style="1515" bestFit="1" customWidth="1"/>
    <col min="2564" max="2816" width="9.140625" style="1515"/>
    <col min="2817" max="2817" width="29.5703125" style="1515" bestFit="1" customWidth="1"/>
    <col min="2818" max="2818" width="19.85546875" style="1515" customWidth="1"/>
    <col min="2819" max="2819" width="12" style="1515" bestFit="1" customWidth="1"/>
    <col min="2820" max="3072" width="9.140625" style="1515"/>
    <col min="3073" max="3073" width="29.5703125" style="1515" bestFit="1" customWidth="1"/>
    <col min="3074" max="3074" width="19.85546875" style="1515" customWidth="1"/>
    <col min="3075" max="3075" width="12" style="1515" bestFit="1" customWidth="1"/>
    <col min="3076" max="3328" width="9.140625" style="1515"/>
    <col min="3329" max="3329" width="29.5703125" style="1515" bestFit="1" customWidth="1"/>
    <col min="3330" max="3330" width="19.85546875" style="1515" customWidth="1"/>
    <col min="3331" max="3331" width="12" style="1515" bestFit="1" customWidth="1"/>
    <col min="3332" max="3584" width="9.140625" style="1515"/>
    <col min="3585" max="3585" width="29.5703125" style="1515" bestFit="1" customWidth="1"/>
    <col min="3586" max="3586" width="19.85546875" style="1515" customWidth="1"/>
    <col min="3587" max="3587" width="12" style="1515" bestFit="1" customWidth="1"/>
    <col min="3588" max="3840" width="9.140625" style="1515"/>
    <col min="3841" max="3841" width="29.5703125" style="1515" bestFit="1" customWidth="1"/>
    <col min="3842" max="3842" width="19.85546875" style="1515" customWidth="1"/>
    <col min="3843" max="3843" width="12" style="1515" bestFit="1" customWidth="1"/>
    <col min="3844" max="4096" width="9.140625" style="1515"/>
    <col min="4097" max="4097" width="29.5703125" style="1515" bestFit="1" customWidth="1"/>
    <col min="4098" max="4098" width="19.85546875" style="1515" customWidth="1"/>
    <col min="4099" max="4099" width="12" style="1515" bestFit="1" customWidth="1"/>
    <col min="4100" max="4352" width="9.140625" style="1515"/>
    <col min="4353" max="4353" width="29.5703125" style="1515" bestFit="1" customWidth="1"/>
    <col min="4354" max="4354" width="19.85546875" style="1515" customWidth="1"/>
    <col min="4355" max="4355" width="12" style="1515" bestFit="1" customWidth="1"/>
    <col min="4356" max="4608" width="9.140625" style="1515"/>
    <col min="4609" max="4609" width="29.5703125" style="1515" bestFit="1" customWidth="1"/>
    <col min="4610" max="4610" width="19.85546875" style="1515" customWidth="1"/>
    <col min="4611" max="4611" width="12" style="1515" bestFit="1" customWidth="1"/>
    <col min="4612" max="4864" width="9.140625" style="1515"/>
    <col min="4865" max="4865" width="29.5703125" style="1515" bestFit="1" customWidth="1"/>
    <col min="4866" max="4866" width="19.85546875" style="1515" customWidth="1"/>
    <col min="4867" max="4867" width="12" style="1515" bestFit="1" customWidth="1"/>
    <col min="4868" max="5120" width="9.140625" style="1515"/>
    <col min="5121" max="5121" width="29.5703125" style="1515" bestFit="1" customWidth="1"/>
    <col min="5122" max="5122" width="19.85546875" style="1515" customWidth="1"/>
    <col min="5123" max="5123" width="12" style="1515" bestFit="1" customWidth="1"/>
    <col min="5124" max="5376" width="9.140625" style="1515"/>
    <col min="5377" max="5377" width="29.5703125" style="1515" bestFit="1" customWidth="1"/>
    <col min="5378" max="5378" width="19.85546875" style="1515" customWidth="1"/>
    <col min="5379" max="5379" width="12" style="1515" bestFit="1" customWidth="1"/>
    <col min="5380" max="5632" width="9.140625" style="1515"/>
    <col min="5633" max="5633" width="29.5703125" style="1515" bestFit="1" customWidth="1"/>
    <col min="5634" max="5634" width="19.85546875" style="1515" customWidth="1"/>
    <col min="5635" max="5635" width="12" style="1515" bestFit="1" customWidth="1"/>
    <col min="5636" max="5888" width="9.140625" style="1515"/>
    <col min="5889" max="5889" width="29.5703125" style="1515" bestFit="1" customWidth="1"/>
    <col min="5890" max="5890" width="19.85546875" style="1515" customWidth="1"/>
    <col min="5891" max="5891" width="12" style="1515" bestFit="1" customWidth="1"/>
    <col min="5892" max="6144" width="9.140625" style="1515"/>
    <col min="6145" max="6145" width="29.5703125" style="1515" bestFit="1" customWidth="1"/>
    <col min="6146" max="6146" width="19.85546875" style="1515" customWidth="1"/>
    <col min="6147" max="6147" width="12" style="1515" bestFit="1" customWidth="1"/>
    <col min="6148" max="6400" width="9.140625" style="1515"/>
    <col min="6401" max="6401" width="29.5703125" style="1515" bestFit="1" customWidth="1"/>
    <col min="6402" max="6402" width="19.85546875" style="1515" customWidth="1"/>
    <col min="6403" max="6403" width="12" style="1515" bestFit="1" customWidth="1"/>
    <col min="6404" max="6656" width="9.140625" style="1515"/>
    <col min="6657" max="6657" width="29.5703125" style="1515" bestFit="1" customWidth="1"/>
    <col min="6658" max="6658" width="19.85546875" style="1515" customWidth="1"/>
    <col min="6659" max="6659" width="12" style="1515" bestFit="1" customWidth="1"/>
    <col min="6660" max="6912" width="9.140625" style="1515"/>
    <col min="6913" max="6913" width="29.5703125" style="1515" bestFit="1" customWidth="1"/>
    <col min="6914" max="6914" width="19.85546875" style="1515" customWidth="1"/>
    <col min="6915" max="6915" width="12" style="1515" bestFit="1" customWidth="1"/>
    <col min="6916" max="7168" width="9.140625" style="1515"/>
    <col min="7169" max="7169" width="29.5703125" style="1515" bestFit="1" customWidth="1"/>
    <col min="7170" max="7170" width="19.85546875" style="1515" customWidth="1"/>
    <col min="7171" max="7171" width="12" style="1515" bestFit="1" customWidth="1"/>
    <col min="7172" max="7424" width="9.140625" style="1515"/>
    <col min="7425" max="7425" width="29.5703125" style="1515" bestFit="1" customWidth="1"/>
    <col min="7426" max="7426" width="19.85546875" style="1515" customWidth="1"/>
    <col min="7427" max="7427" width="12" style="1515" bestFit="1" customWidth="1"/>
    <col min="7428" max="7680" width="9.140625" style="1515"/>
    <col min="7681" max="7681" width="29.5703125" style="1515" bestFit="1" customWidth="1"/>
    <col min="7682" max="7682" width="19.85546875" style="1515" customWidth="1"/>
    <col min="7683" max="7683" width="12" style="1515" bestFit="1" customWidth="1"/>
    <col min="7684" max="7936" width="9.140625" style="1515"/>
    <col min="7937" max="7937" width="29.5703125" style="1515" bestFit="1" customWidth="1"/>
    <col min="7938" max="7938" width="19.85546875" style="1515" customWidth="1"/>
    <col min="7939" max="7939" width="12" style="1515" bestFit="1" customWidth="1"/>
    <col min="7940" max="8192" width="9.140625" style="1515"/>
    <col min="8193" max="8193" width="29.5703125" style="1515" bestFit="1" customWidth="1"/>
    <col min="8194" max="8194" width="19.85546875" style="1515" customWidth="1"/>
    <col min="8195" max="8195" width="12" style="1515" bestFit="1" customWidth="1"/>
    <col min="8196" max="8448" width="9.140625" style="1515"/>
    <col min="8449" max="8449" width="29.5703125" style="1515" bestFit="1" customWidth="1"/>
    <col min="8450" max="8450" width="19.85546875" style="1515" customWidth="1"/>
    <col min="8451" max="8451" width="12" style="1515" bestFit="1" customWidth="1"/>
    <col min="8452" max="8704" width="9.140625" style="1515"/>
    <col min="8705" max="8705" width="29.5703125" style="1515" bestFit="1" customWidth="1"/>
    <col min="8706" max="8706" width="19.85546875" style="1515" customWidth="1"/>
    <col min="8707" max="8707" width="12" style="1515" bestFit="1" customWidth="1"/>
    <col min="8708" max="8960" width="9.140625" style="1515"/>
    <col min="8961" max="8961" width="29.5703125" style="1515" bestFit="1" customWidth="1"/>
    <col min="8962" max="8962" width="19.85546875" style="1515" customWidth="1"/>
    <col min="8963" max="8963" width="12" style="1515" bestFit="1" customWidth="1"/>
    <col min="8964" max="9216" width="9.140625" style="1515"/>
    <col min="9217" max="9217" width="29.5703125" style="1515" bestFit="1" customWidth="1"/>
    <col min="9218" max="9218" width="19.85546875" style="1515" customWidth="1"/>
    <col min="9219" max="9219" width="12" style="1515" bestFit="1" customWidth="1"/>
    <col min="9220" max="9472" width="9.140625" style="1515"/>
    <col min="9473" max="9473" width="29.5703125" style="1515" bestFit="1" customWidth="1"/>
    <col min="9474" max="9474" width="19.85546875" style="1515" customWidth="1"/>
    <col min="9475" max="9475" width="12" style="1515" bestFit="1" customWidth="1"/>
    <col min="9476" max="9728" width="9.140625" style="1515"/>
    <col min="9729" max="9729" width="29.5703125" style="1515" bestFit="1" customWidth="1"/>
    <col min="9730" max="9730" width="19.85546875" style="1515" customWidth="1"/>
    <col min="9731" max="9731" width="12" style="1515" bestFit="1" customWidth="1"/>
    <col min="9732" max="9984" width="9.140625" style="1515"/>
    <col min="9985" max="9985" width="29.5703125" style="1515" bestFit="1" customWidth="1"/>
    <col min="9986" max="9986" width="19.85546875" style="1515" customWidth="1"/>
    <col min="9987" max="9987" width="12" style="1515" bestFit="1" customWidth="1"/>
    <col min="9988" max="10240" width="9.140625" style="1515"/>
    <col min="10241" max="10241" width="29.5703125" style="1515" bestFit="1" customWidth="1"/>
    <col min="10242" max="10242" width="19.85546875" style="1515" customWidth="1"/>
    <col min="10243" max="10243" width="12" style="1515" bestFit="1" customWidth="1"/>
    <col min="10244" max="10496" width="9.140625" style="1515"/>
    <col min="10497" max="10497" width="29.5703125" style="1515" bestFit="1" customWidth="1"/>
    <col min="10498" max="10498" width="19.85546875" style="1515" customWidth="1"/>
    <col min="10499" max="10499" width="12" style="1515" bestFit="1" customWidth="1"/>
    <col min="10500" max="10752" width="9.140625" style="1515"/>
    <col min="10753" max="10753" width="29.5703125" style="1515" bestFit="1" customWidth="1"/>
    <col min="10754" max="10754" width="19.85546875" style="1515" customWidth="1"/>
    <col min="10755" max="10755" width="12" style="1515" bestFit="1" customWidth="1"/>
    <col min="10756" max="11008" width="9.140625" style="1515"/>
    <col min="11009" max="11009" width="29.5703125" style="1515" bestFit="1" customWidth="1"/>
    <col min="11010" max="11010" width="19.85546875" style="1515" customWidth="1"/>
    <col min="11011" max="11011" width="12" style="1515" bestFit="1" customWidth="1"/>
    <col min="11012" max="11264" width="9.140625" style="1515"/>
    <col min="11265" max="11265" width="29.5703125" style="1515" bestFit="1" customWidth="1"/>
    <col min="11266" max="11266" width="19.85546875" style="1515" customWidth="1"/>
    <col min="11267" max="11267" width="12" style="1515" bestFit="1" customWidth="1"/>
    <col min="11268" max="11520" width="9.140625" style="1515"/>
    <col min="11521" max="11521" width="29.5703125" style="1515" bestFit="1" customWidth="1"/>
    <col min="11522" max="11522" width="19.85546875" style="1515" customWidth="1"/>
    <col min="11523" max="11523" width="12" style="1515" bestFit="1" customWidth="1"/>
    <col min="11524" max="11776" width="9.140625" style="1515"/>
    <col min="11777" max="11777" width="29.5703125" style="1515" bestFit="1" customWidth="1"/>
    <col min="11778" max="11778" width="19.85546875" style="1515" customWidth="1"/>
    <col min="11779" max="11779" width="12" style="1515" bestFit="1" customWidth="1"/>
    <col min="11780" max="12032" width="9.140625" style="1515"/>
    <col min="12033" max="12033" width="29.5703125" style="1515" bestFit="1" customWidth="1"/>
    <col min="12034" max="12034" width="19.85546875" style="1515" customWidth="1"/>
    <col min="12035" max="12035" width="12" style="1515" bestFit="1" customWidth="1"/>
    <col min="12036" max="12288" width="9.140625" style="1515"/>
    <col min="12289" max="12289" width="29.5703125" style="1515" bestFit="1" customWidth="1"/>
    <col min="12290" max="12290" width="19.85546875" style="1515" customWidth="1"/>
    <col min="12291" max="12291" width="12" style="1515" bestFit="1" customWidth="1"/>
    <col min="12292" max="12544" width="9.140625" style="1515"/>
    <col min="12545" max="12545" width="29.5703125" style="1515" bestFit="1" customWidth="1"/>
    <col min="12546" max="12546" width="19.85546875" style="1515" customWidth="1"/>
    <col min="12547" max="12547" width="12" style="1515" bestFit="1" customWidth="1"/>
    <col min="12548" max="12800" width="9.140625" style="1515"/>
    <col min="12801" max="12801" width="29.5703125" style="1515" bestFit="1" customWidth="1"/>
    <col min="12802" max="12802" width="19.85546875" style="1515" customWidth="1"/>
    <col min="12803" max="12803" width="12" style="1515" bestFit="1" customWidth="1"/>
    <col min="12804" max="13056" width="9.140625" style="1515"/>
    <col min="13057" max="13057" width="29.5703125" style="1515" bestFit="1" customWidth="1"/>
    <col min="13058" max="13058" width="19.85546875" style="1515" customWidth="1"/>
    <col min="13059" max="13059" width="12" style="1515" bestFit="1" customWidth="1"/>
    <col min="13060" max="13312" width="9.140625" style="1515"/>
    <col min="13313" max="13313" width="29.5703125" style="1515" bestFit="1" customWidth="1"/>
    <col min="13314" max="13314" width="19.85546875" style="1515" customWidth="1"/>
    <col min="13315" max="13315" width="12" style="1515" bestFit="1" customWidth="1"/>
    <col min="13316" max="13568" width="9.140625" style="1515"/>
    <col min="13569" max="13569" width="29.5703125" style="1515" bestFit="1" customWidth="1"/>
    <col min="13570" max="13570" width="19.85546875" style="1515" customWidth="1"/>
    <col min="13571" max="13571" width="12" style="1515" bestFit="1" customWidth="1"/>
    <col min="13572" max="13824" width="9.140625" style="1515"/>
    <col min="13825" max="13825" width="29.5703125" style="1515" bestFit="1" customWidth="1"/>
    <col min="13826" max="13826" width="19.85546875" style="1515" customWidth="1"/>
    <col min="13827" max="13827" width="12" style="1515" bestFit="1" customWidth="1"/>
    <col min="13828" max="14080" width="9.140625" style="1515"/>
    <col min="14081" max="14081" width="29.5703125" style="1515" bestFit="1" customWidth="1"/>
    <col min="14082" max="14082" width="19.85546875" style="1515" customWidth="1"/>
    <col min="14083" max="14083" width="12" style="1515" bestFit="1" customWidth="1"/>
    <col min="14084" max="14336" width="9.140625" style="1515"/>
    <col min="14337" max="14337" width="29.5703125" style="1515" bestFit="1" customWidth="1"/>
    <col min="14338" max="14338" width="19.85546875" style="1515" customWidth="1"/>
    <col min="14339" max="14339" width="12" style="1515" bestFit="1" customWidth="1"/>
    <col min="14340" max="14592" width="9.140625" style="1515"/>
    <col min="14593" max="14593" width="29.5703125" style="1515" bestFit="1" customWidth="1"/>
    <col min="14594" max="14594" width="19.85546875" style="1515" customWidth="1"/>
    <col min="14595" max="14595" width="12" style="1515" bestFit="1" customWidth="1"/>
    <col min="14596" max="14848" width="9.140625" style="1515"/>
    <col min="14849" max="14849" width="29.5703125" style="1515" bestFit="1" customWidth="1"/>
    <col min="14850" max="14850" width="19.85546875" style="1515" customWidth="1"/>
    <col min="14851" max="14851" width="12" style="1515" bestFit="1" customWidth="1"/>
    <col min="14852" max="15104" width="9.140625" style="1515"/>
    <col min="15105" max="15105" width="29.5703125" style="1515" bestFit="1" customWidth="1"/>
    <col min="15106" max="15106" width="19.85546875" style="1515" customWidth="1"/>
    <col min="15107" max="15107" width="12" style="1515" bestFit="1" customWidth="1"/>
    <col min="15108" max="15360" width="9.140625" style="1515"/>
    <col min="15361" max="15361" width="29.5703125" style="1515" bestFit="1" customWidth="1"/>
    <col min="15362" max="15362" width="19.85546875" style="1515" customWidth="1"/>
    <col min="15363" max="15363" width="12" style="1515" bestFit="1" customWidth="1"/>
    <col min="15364" max="15616" width="9.140625" style="1515"/>
    <col min="15617" max="15617" width="29.5703125" style="1515" bestFit="1" customWidth="1"/>
    <col min="15618" max="15618" width="19.85546875" style="1515" customWidth="1"/>
    <col min="15619" max="15619" width="12" style="1515" bestFit="1" customWidth="1"/>
    <col min="15620" max="15872" width="9.140625" style="1515"/>
    <col min="15873" max="15873" width="29.5703125" style="1515" bestFit="1" customWidth="1"/>
    <col min="15874" max="15874" width="19.85546875" style="1515" customWidth="1"/>
    <col min="15875" max="15875" width="12" style="1515" bestFit="1" customWidth="1"/>
    <col min="15876" max="16128" width="9.140625" style="1515"/>
    <col min="16129" max="16129" width="29.5703125" style="1515" bestFit="1" customWidth="1"/>
    <col min="16130" max="16130" width="19.85546875" style="1515" customWidth="1"/>
    <col min="16131" max="16131" width="12" style="1515" bestFit="1" customWidth="1"/>
    <col min="16132" max="16384" width="9.140625" style="1515"/>
  </cols>
  <sheetData>
    <row r="1" spans="1:2" x14ac:dyDescent="0.2">
      <c r="A1" s="1515" t="s">
        <v>1600</v>
      </c>
      <c r="B1" s="1928">
        <v>6.1</v>
      </c>
    </row>
    <row r="2" spans="1:2" x14ac:dyDescent="0.2">
      <c r="A2" s="1515" t="s">
        <v>1601</v>
      </c>
      <c r="B2" s="1932">
        <v>43179.491712962961</v>
      </c>
    </row>
    <row r="3" spans="1:2" x14ac:dyDescent="0.2">
      <c r="A3" s="1515" t="s">
        <v>1602</v>
      </c>
      <c r="B3" s="1929" t="s">
        <v>1302</v>
      </c>
    </row>
    <row r="4" spans="1:2" x14ac:dyDescent="0.2">
      <c r="A4" s="1515" t="s">
        <v>1603</v>
      </c>
      <c r="B4" s="1929" t="s">
        <v>1604</v>
      </c>
    </row>
    <row r="5" spans="1:2" x14ac:dyDescent="0.2">
      <c r="A5" s="1515" t="s">
        <v>1605</v>
      </c>
      <c r="B5" s="1929" t="s">
        <v>1606</v>
      </c>
    </row>
    <row r="6" spans="1:2" x14ac:dyDescent="0.2">
      <c r="A6" s="1515" t="s">
        <v>1607</v>
      </c>
    </row>
    <row r="7" spans="1:2" x14ac:dyDescent="0.2">
      <c r="A7" s="1515" t="s">
        <v>1075</v>
      </c>
      <c r="B7" s="1929" t="s">
        <v>476</v>
      </c>
    </row>
    <row r="8" spans="1:2" x14ac:dyDescent="0.2">
      <c r="A8" s="1515" t="s">
        <v>1608</v>
      </c>
      <c r="B8" s="1929" t="s">
        <v>1609</v>
      </c>
    </row>
    <row r="9" spans="1:2" x14ac:dyDescent="0.2">
      <c r="A9" s="1515" t="s">
        <v>1610</v>
      </c>
      <c r="B9" s="1929" t="s">
        <v>1647</v>
      </c>
    </row>
    <row r="10" spans="1:2" x14ac:dyDescent="0.2">
      <c r="A10" s="1515" t="s">
        <v>1611</v>
      </c>
    </row>
    <row r="11" spans="1:2" x14ac:dyDescent="0.2">
      <c r="A11" s="1515" t="s">
        <v>1612</v>
      </c>
    </row>
    <row r="12" spans="1:2" x14ac:dyDescent="0.2">
      <c r="A12" s="1515" t="s">
        <v>1613</v>
      </c>
    </row>
    <row r="13" spans="1:2" x14ac:dyDescent="0.2">
      <c r="A13" s="1515" t="s">
        <v>1614</v>
      </c>
    </row>
    <row r="14" spans="1:2" x14ac:dyDescent="0.2">
      <c r="A14" s="1515" t="s">
        <v>1615</v>
      </c>
    </row>
    <row r="15" spans="1:2" x14ac:dyDescent="0.2">
      <c r="A15" s="1515" t="s">
        <v>1616</v>
      </c>
    </row>
    <row r="16" spans="1:2" x14ac:dyDescent="0.2">
      <c r="A16" s="1515" t="s">
        <v>1617</v>
      </c>
    </row>
    <row r="17" spans="1:4" x14ac:dyDescent="0.2">
      <c r="A17" s="1515" t="s">
        <v>1618</v>
      </c>
      <c r="B17" s="1929" t="s">
        <v>1648</v>
      </c>
    </row>
    <row r="18" spans="1:4" x14ac:dyDescent="0.2">
      <c r="A18" s="1515" t="s">
        <v>1619</v>
      </c>
      <c r="B18" s="1929" t="s">
        <v>1303</v>
      </c>
    </row>
    <row r="19" spans="1:4" x14ac:dyDescent="0.2">
      <c r="A19" s="1515" t="s">
        <v>1620</v>
      </c>
      <c r="B19" s="1929" t="s">
        <v>475</v>
      </c>
    </row>
    <row r="20" spans="1:4" x14ac:dyDescent="0.2">
      <c r="A20" s="1515" t="s">
        <v>1621</v>
      </c>
      <c r="B20" s="1930" t="s">
        <v>1651</v>
      </c>
    </row>
    <row r="21" spans="1:4" x14ac:dyDescent="0.2">
      <c r="A21" s="1515" t="s">
        <v>1622</v>
      </c>
      <c r="B21" s="1929" t="s">
        <v>475</v>
      </c>
    </row>
    <row r="22" spans="1:4" x14ac:dyDescent="0.2">
      <c r="A22" s="1515" t="s">
        <v>1623</v>
      </c>
      <c r="B22" s="1930">
        <v>2661568</v>
      </c>
    </row>
    <row r="23" spans="1:4" x14ac:dyDescent="0.2">
      <c r="A23" s="1515" t="s">
        <v>203</v>
      </c>
      <c r="B23" s="1928">
        <v>46.9</v>
      </c>
    </row>
    <row r="24" spans="1:4" x14ac:dyDescent="0.2">
      <c r="A24" s="1515" t="s">
        <v>3</v>
      </c>
      <c r="B24" s="1929" t="s">
        <v>237</v>
      </c>
      <c r="D24" s="1515" t="s">
        <v>944</v>
      </c>
    </row>
    <row r="25" spans="1:4" x14ac:dyDescent="0.2">
      <c r="A25" s="1515" t="s">
        <v>1624</v>
      </c>
      <c r="B25" s="1929" t="s">
        <v>1652</v>
      </c>
    </row>
    <row r="26" spans="1:4" x14ac:dyDescent="0.2">
      <c r="A26" s="1515" t="s">
        <v>1625</v>
      </c>
      <c r="B26" s="1929">
        <v>0</v>
      </c>
    </row>
    <row r="27" spans="1:4" x14ac:dyDescent="0.2">
      <c r="A27" s="1515" t="s">
        <v>1626</v>
      </c>
      <c r="B27" s="1929" t="s">
        <v>1627</v>
      </c>
    </row>
    <row r="28" spans="1:4" x14ac:dyDescent="0.2">
      <c r="A28" s="1515" t="s">
        <v>1628</v>
      </c>
      <c r="B28" s="1929" t="s">
        <v>1629</v>
      </c>
    </row>
    <row r="29" spans="1:4" x14ac:dyDescent="0.2">
      <c r="A29" s="1515" t="s">
        <v>1630</v>
      </c>
    </row>
    <row r="30" spans="1:4" x14ac:dyDescent="0.2">
      <c r="A30" s="1515" t="s">
        <v>1631</v>
      </c>
    </row>
    <row r="31" spans="1:4" x14ac:dyDescent="0.2">
      <c r="A31" s="1515" t="s">
        <v>1632</v>
      </c>
    </row>
    <row r="32" spans="1:4" x14ac:dyDescent="0.2">
      <c r="A32" s="1515" t="s">
        <v>1633</v>
      </c>
      <c r="B32" s="1928"/>
    </row>
    <row r="33" spans="1:2" x14ac:dyDescent="0.2">
      <c r="A33" s="1515" t="s">
        <v>1634</v>
      </c>
      <c r="B33" s="1928"/>
    </row>
    <row r="34" spans="1:2" x14ac:dyDescent="0.2">
      <c r="A34" s="1515" t="s">
        <v>1635</v>
      </c>
      <c r="B34" s="1928"/>
    </row>
    <row r="35" spans="1:2" x14ac:dyDescent="0.2">
      <c r="A35" s="1515" t="s">
        <v>1636</v>
      </c>
      <c r="B35" s="1929">
        <v>1000000</v>
      </c>
    </row>
    <row r="36" spans="1:2" x14ac:dyDescent="0.2">
      <c r="A36" s="1515" t="s">
        <v>1637</v>
      </c>
      <c r="B36" s="1929" t="s">
        <v>1649</v>
      </c>
    </row>
    <row r="37" spans="1:2" x14ac:dyDescent="0.2">
      <c r="A37" s="1515" t="s">
        <v>1638</v>
      </c>
      <c r="B37" s="1929" t="s">
        <v>1639</v>
      </c>
    </row>
    <row r="38" spans="1:2" x14ac:dyDescent="0.2">
      <c r="A38" s="1515" t="s">
        <v>1640</v>
      </c>
      <c r="B38" s="1929" t="s">
        <v>1641</v>
      </c>
    </row>
    <row r="39" spans="1:2" x14ac:dyDescent="0.2">
      <c r="A39" s="1515" t="s">
        <v>1642</v>
      </c>
      <c r="B39" s="1929" t="s">
        <v>1650</v>
      </c>
    </row>
    <row r="40" spans="1:2" x14ac:dyDescent="0.2">
      <c r="A40" s="1515" t="s">
        <v>1643</v>
      </c>
      <c r="B40" s="1929">
        <v>1500000168</v>
      </c>
    </row>
    <row r="41" spans="1:2" x14ac:dyDescent="0.2">
      <c r="A41" s="1515" t="s">
        <v>1644</v>
      </c>
      <c r="B41" s="1929">
        <v>1</v>
      </c>
    </row>
    <row r="42" spans="1:2" x14ac:dyDescent="0.2">
      <c r="A42" s="1931" t="s">
        <v>1645</v>
      </c>
    </row>
    <row r="43" spans="1:2" x14ac:dyDescent="0.2">
      <c r="A43" s="1515" t="s">
        <v>1646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13"/>
  <sheetViews>
    <sheetView workbookViewId="0">
      <selection activeCell="E11" sqref="E11"/>
    </sheetView>
  </sheetViews>
  <sheetFormatPr defaultRowHeight="12.75" x14ac:dyDescent="0.2"/>
  <cols>
    <col min="1" max="1" width="28.5703125" style="1515" bestFit="1" customWidth="1"/>
    <col min="2" max="256" width="9.140625" style="1515"/>
    <col min="257" max="257" width="28.5703125" style="1515" bestFit="1" customWidth="1"/>
    <col min="258" max="512" width="9.140625" style="1515"/>
    <col min="513" max="513" width="28.5703125" style="1515" bestFit="1" customWidth="1"/>
    <col min="514" max="768" width="9.140625" style="1515"/>
    <col min="769" max="769" width="28.5703125" style="1515" bestFit="1" customWidth="1"/>
    <col min="770" max="1024" width="9.140625" style="1515"/>
    <col min="1025" max="1025" width="28.5703125" style="1515" bestFit="1" customWidth="1"/>
    <col min="1026" max="1280" width="9.140625" style="1515"/>
    <col min="1281" max="1281" width="28.5703125" style="1515" bestFit="1" customWidth="1"/>
    <col min="1282" max="1536" width="9.140625" style="1515"/>
    <col min="1537" max="1537" width="28.5703125" style="1515" bestFit="1" customWidth="1"/>
    <col min="1538" max="1792" width="9.140625" style="1515"/>
    <col min="1793" max="1793" width="28.5703125" style="1515" bestFit="1" customWidth="1"/>
    <col min="1794" max="2048" width="9.140625" style="1515"/>
    <col min="2049" max="2049" width="28.5703125" style="1515" bestFit="1" customWidth="1"/>
    <col min="2050" max="2304" width="9.140625" style="1515"/>
    <col min="2305" max="2305" width="28.5703125" style="1515" bestFit="1" customWidth="1"/>
    <col min="2306" max="2560" width="9.140625" style="1515"/>
    <col min="2561" max="2561" width="28.5703125" style="1515" bestFit="1" customWidth="1"/>
    <col min="2562" max="2816" width="9.140625" style="1515"/>
    <col min="2817" max="2817" width="28.5703125" style="1515" bestFit="1" customWidth="1"/>
    <col min="2818" max="3072" width="9.140625" style="1515"/>
    <col min="3073" max="3073" width="28.5703125" style="1515" bestFit="1" customWidth="1"/>
    <col min="3074" max="3328" width="9.140625" style="1515"/>
    <col min="3329" max="3329" width="28.5703125" style="1515" bestFit="1" customWidth="1"/>
    <col min="3330" max="3584" width="9.140625" style="1515"/>
    <col min="3585" max="3585" width="28.5703125" style="1515" bestFit="1" customWidth="1"/>
    <col min="3586" max="3840" width="9.140625" style="1515"/>
    <col min="3841" max="3841" width="28.5703125" style="1515" bestFit="1" customWidth="1"/>
    <col min="3842" max="4096" width="9.140625" style="1515"/>
    <col min="4097" max="4097" width="28.5703125" style="1515" bestFit="1" customWidth="1"/>
    <col min="4098" max="4352" width="9.140625" style="1515"/>
    <col min="4353" max="4353" width="28.5703125" style="1515" bestFit="1" customWidth="1"/>
    <col min="4354" max="4608" width="9.140625" style="1515"/>
    <col min="4609" max="4609" width="28.5703125" style="1515" bestFit="1" customWidth="1"/>
    <col min="4610" max="4864" width="9.140625" style="1515"/>
    <col min="4865" max="4865" width="28.5703125" style="1515" bestFit="1" customWidth="1"/>
    <col min="4866" max="5120" width="9.140625" style="1515"/>
    <col min="5121" max="5121" width="28.5703125" style="1515" bestFit="1" customWidth="1"/>
    <col min="5122" max="5376" width="9.140625" style="1515"/>
    <col min="5377" max="5377" width="28.5703125" style="1515" bestFit="1" customWidth="1"/>
    <col min="5378" max="5632" width="9.140625" style="1515"/>
    <col min="5633" max="5633" width="28.5703125" style="1515" bestFit="1" customWidth="1"/>
    <col min="5634" max="5888" width="9.140625" style="1515"/>
    <col min="5889" max="5889" width="28.5703125" style="1515" bestFit="1" customWidth="1"/>
    <col min="5890" max="6144" width="9.140625" style="1515"/>
    <col min="6145" max="6145" width="28.5703125" style="1515" bestFit="1" customWidth="1"/>
    <col min="6146" max="6400" width="9.140625" style="1515"/>
    <col min="6401" max="6401" width="28.5703125" style="1515" bestFit="1" customWidth="1"/>
    <col min="6402" max="6656" width="9.140625" style="1515"/>
    <col min="6657" max="6657" width="28.5703125" style="1515" bestFit="1" customWidth="1"/>
    <col min="6658" max="6912" width="9.140625" style="1515"/>
    <col min="6913" max="6913" width="28.5703125" style="1515" bestFit="1" customWidth="1"/>
    <col min="6914" max="7168" width="9.140625" style="1515"/>
    <col min="7169" max="7169" width="28.5703125" style="1515" bestFit="1" customWidth="1"/>
    <col min="7170" max="7424" width="9.140625" style="1515"/>
    <col min="7425" max="7425" width="28.5703125" style="1515" bestFit="1" customWidth="1"/>
    <col min="7426" max="7680" width="9.140625" style="1515"/>
    <col min="7681" max="7681" width="28.5703125" style="1515" bestFit="1" customWidth="1"/>
    <col min="7682" max="7936" width="9.140625" style="1515"/>
    <col min="7937" max="7937" width="28.5703125" style="1515" bestFit="1" customWidth="1"/>
    <col min="7938" max="8192" width="9.140625" style="1515"/>
    <col min="8193" max="8193" width="28.5703125" style="1515" bestFit="1" customWidth="1"/>
    <col min="8194" max="8448" width="9.140625" style="1515"/>
    <col min="8449" max="8449" width="28.5703125" style="1515" bestFit="1" customWidth="1"/>
    <col min="8450" max="8704" width="9.140625" style="1515"/>
    <col min="8705" max="8705" width="28.5703125" style="1515" bestFit="1" customWidth="1"/>
    <col min="8706" max="8960" width="9.140625" style="1515"/>
    <col min="8961" max="8961" width="28.5703125" style="1515" bestFit="1" customWidth="1"/>
    <col min="8962" max="9216" width="9.140625" style="1515"/>
    <col min="9217" max="9217" width="28.5703125" style="1515" bestFit="1" customWidth="1"/>
    <col min="9218" max="9472" width="9.140625" style="1515"/>
    <col min="9473" max="9473" width="28.5703125" style="1515" bestFit="1" customWidth="1"/>
    <col min="9474" max="9728" width="9.140625" style="1515"/>
    <col min="9729" max="9729" width="28.5703125" style="1515" bestFit="1" customWidth="1"/>
    <col min="9730" max="9984" width="9.140625" style="1515"/>
    <col min="9985" max="9985" width="28.5703125" style="1515" bestFit="1" customWidth="1"/>
    <col min="9986" max="10240" width="9.140625" style="1515"/>
    <col min="10241" max="10241" width="28.5703125" style="1515" bestFit="1" customWidth="1"/>
    <col min="10242" max="10496" width="9.140625" style="1515"/>
    <col min="10497" max="10497" width="28.5703125" style="1515" bestFit="1" customWidth="1"/>
    <col min="10498" max="10752" width="9.140625" style="1515"/>
    <col min="10753" max="10753" width="28.5703125" style="1515" bestFit="1" customWidth="1"/>
    <col min="10754" max="11008" width="9.140625" style="1515"/>
    <col min="11009" max="11009" width="28.5703125" style="1515" bestFit="1" customWidth="1"/>
    <col min="11010" max="11264" width="9.140625" style="1515"/>
    <col min="11265" max="11265" width="28.5703125" style="1515" bestFit="1" customWidth="1"/>
    <col min="11266" max="11520" width="9.140625" style="1515"/>
    <col min="11521" max="11521" width="28.5703125" style="1515" bestFit="1" customWidth="1"/>
    <col min="11522" max="11776" width="9.140625" style="1515"/>
    <col min="11777" max="11777" width="28.5703125" style="1515" bestFit="1" customWidth="1"/>
    <col min="11778" max="12032" width="9.140625" style="1515"/>
    <col min="12033" max="12033" width="28.5703125" style="1515" bestFit="1" customWidth="1"/>
    <col min="12034" max="12288" width="9.140625" style="1515"/>
    <col min="12289" max="12289" width="28.5703125" style="1515" bestFit="1" customWidth="1"/>
    <col min="12290" max="12544" width="9.140625" style="1515"/>
    <col min="12545" max="12545" width="28.5703125" style="1515" bestFit="1" customWidth="1"/>
    <col min="12546" max="12800" width="9.140625" style="1515"/>
    <col min="12801" max="12801" width="28.5703125" style="1515" bestFit="1" customWidth="1"/>
    <col min="12802" max="13056" width="9.140625" style="1515"/>
    <col min="13057" max="13057" width="28.5703125" style="1515" bestFit="1" customWidth="1"/>
    <col min="13058" max="13312" width="9.140625" style="1515"/>
    <col min="13313" max="13313" width="28.5703125" style="1515" bestFit="1" customWidth="1"/>
    <col min="13314" max="13568" width="9.140625" style="1515"/>
    <col min="13569" max="13569" width="28.5703125" style="1515" bestFit="1" customWidth="1"/>
    <col min="13570" max="13824" width="9.140625" style="1515"/>
    <col min="13825" max="13825" width="28.5703125" style="1515" bestFit="1" customWidth="1"/>
    <col min="13826" max="14080" width="9.140625" style="1515"/>
    <col min="14081" max="14081" width="28.5703125" style="1515" bestFit="1" customWidth="1"/>
    <col min="14082" max="14336" width="9.140625" style="1515"/>
    <col min="14337" max="14337" width="28.5703125" style="1515" bestFit="1" customWidth="1"/>
    <col min="14338" max="14592" width="9.140625" style="1515"/>
    <col min="14593" max="14593" width="28.5703125" style="1515" bestFit="1" customWidth="1"/>
    <col min="14594" max="14848" width="9.140625" style="1515"/>
    <col min="14849" max="14849" width="28.5703125" style="1515" bestFit="1" customWidth="1"/>
    <col min="14850" max="15104" width="9.140625" style="1515"/>
    <col min="15105" max="15105" width="28.5703125" style="1515" bestFit="1" customWidth="1"/>
    <col min="15106" max="15360" width="9.140625" style="1515"/>
    <col min="15361" max="15361" width="28.5703125" style="1515" bestFit="1" customWidth="1"/>
    <col min="15362" max="15616" width="9.140625" style="1515"/>
    <col min="15617" max="15617" width="28.5703125" style="1515" bestFit="1" customWidth="1"/>
    <col min="15618" max="15872" width="9.140625" style="1515"/>
    <col min="15873" max="15873" width="28.5703125" style="1515" bestFit="1" customWidth="1"/>
    <col min="15874" max="16128" width="9.140625" style="1515"/>
    <col min="16129" max="16129" width="28.5703125" style="1515" bestFit="1" customWidth="1"/>
    <col min="16130" max="16384" width="9.140625" style="1515"/>
  </cols>
  <sheetData>
    <row r="1" spans="1:1" x14ac:dyDescent="0.2">
      <c r="A1" s="1933" t="s">
        <v>1653</v>
      </c>
    </row>
    <row r="2" spans="1:1" x14ac:dyDescent="0.2">
      <c r="A2" s="1933" t="s">
        <v>1658</v>
      </c>
    </row>
    <row r="3" spans="1:1" x14ac:dyDescent="0.2">
      <c r="A3" s="1933" t="s">
        <v>1659</v>
      </c>
    </row>
    <row r="4" spans="1:1" x14ac:dyDescent="0.2">
      <c r="A4" s="1933" t="s">
        <v>1660</v>
      </c>
    </row>
    <row r="5" spans="1:1" x14ac:dyDescent="0.2">
      <c r="A5" s="1933" t="s">
        <v>1661</v>
      </c>
    </row>
    <row r="6" spans="1:1" x14ac:dyDescent="0.2">
      <c r="A6" s="1933" t="s">
        <v>1654</v>
      </c>
    </row>
    <row r="7" spans="1:1" x14ac:dyDescent="0.2">
      <c r="A7" s="1933" t="s">
        <v>1662</v>
      </c>
    </row>
    <row r="8" spans="1:1" x14ac:dyDescent="0.2">
      <c r="A8" s="1933" t="s">
        <v>1663</v>
      </c>
    </row>
    <row r="9" spans="1:1" x14ac:dyDescent="0.2">
      <c r="A9" s="1933" t="s">
        <v>1664</v>
      </c>
    </row>
    <row r="10" spans="1:1" x14ac:dyDescent="0.2">
      <c r="A10" s="1933" t="s">
        <v>1655</v>
      </c>
    </row>
    <row r="11" spans="1:1" x14ac:dyDescent="0.2">
      <c r="A11" s="1933" t="s">
        <v>1665</v>
      </c>
    </row>
    <row r="12" spans="1:1" x14ac:dyDescent="0.2">
      <c r="A12" s="1933" t="s">
        <v>1656</v>
      </c>
    </row>
    <row r="13" spans="1:1" x14ac:dyDescent="0.2">
      <c r="A13" s="1933" t="s">
        <v>1657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 enableFormatConditionsCalculation="0">
    <tabColor indexed="42"/>
  </sheetPr>
  <dimension ref="A1:B1"/>
  <sheetViews>
    <sheetView workbookViewId="0"/>
  </sheetViews>
  <sheetFormatPr defaultRowHeight="12.75" x14ac:dyDescent="0.2"/>
  <sheetData>
    <row r="1" spans="1:2" x14ac:dyDescent="0.2">
      <c r="B1" t="s">
        <v>898</v>
      </c>
    </row>
  </sheetData>
  <phoneticPr fontId="2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RowHeight="12.75" x14ac:dyDescent="0.2"/>
  <sheetData/>
  <phoneticPr fontId="2" type="noConversion"/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:Links xmlns:lk="thomsonreuters.linking.metadata">
  <Link>
    <GUID>097424e0-8a2a-45bd-a81d-285d1c83dc7b</GUID>
    <SOURCEAPPLICATION>EXCEL_SOURCE</SOURCEAPPLICATION>
    <OBJECTTYPE>Native</OBJECTTYPE>
    <UPDATEDAT>3/18/2015 1:46:21 AM</UPDATEDAT>
    <SOURCE_ISOUTOFDATE>False</SOURCE_ISOUTOFDATE>
    <IMPORTEXPORTINBLACKANDWHITE>False</IMPORTEXPORTINBLACKANDWHITE>
    <IMPORTEXPORTTABLETEXTINBLACKANDWHITE>False</IMPORTEXPORTTABLETEXTINBLACKANDWHITE>
    <TABLEBACKGROUND>Existing</TABLEBACKGROUND>
    <HIDEGRIDLINES>True</HIDEGRIDLINES>
    <TARGETAPPLICATION>METHODE_TARGET</TARGETAPPLICATION>
    <TRANSPARENTBACKGROUND>False</TRANSPARENTBACKGROUND>
    <TRANSPARENTPLOTAREA>False</TRANSPARENTPLOTAREA>
    <SOURCE_ALTADDRESS>A2:G33</SOURCE_ALTADDRESS>
    <SOURCETYPE>Table</SOURCETYPE>
    <SOURCE_OBJECTNAME>'Results Table'!_bdm.8A755A99C56A461FA6E2CFB0139DC79C.edm</SOURCE_OBJECTNAME>
    <SOURCE_SHEETCODE>Sheet15</SOURCE_SHEETCODE>
    <SOURCE_SHEETNAME>Results Table</SOURCE_SHEETNAME>
    <SOURCE_WORKBOOKNAME>ORCL.XLSM</SOURCE_WORKBOOKNAME>
    <SOURCE_WORKBOOKPATH>\\MSAD\ROOT\NA\NY\LIB\ER\ER43\ESWMODELS</SOURCE_WORKBOOKPATH>
    <TARGET_BINARYFULLNAME>/MSResearch/Content/ExternalAssets/2015-03/Images/_bdm8A755A99C56A461FA6E2CFB139DC79Cedm_nu2vcDCT3k6N569HYI9JBw--.png</TARGET_BINARYFULLNAME>
    <TARGET_UUID>1c9d516e-cd32-11e4-b2c3-562df972b59d</TARGET_UUID>
    <TARGET_LOID>7.0.281048135</TARGET_LOID>
    <TARGET_STORYFULLNAME>/MSResearch/Content/ExternalAssets/2015-03/Sections/20150318_014623_ResultsTable_bdm.8A755A99C56A461FA6E2CFB139DC79C.edm.xml</TARGET_STORYFULLNAME>
    <TARGETTYPE>Picture</TARGETTYPE>
  </Link>
  <Link>
    <GUID>04cef50d-9408-43b3-ae41-d6c963160529</GUID>
    <SOURCEAPPLICATION>EXCEL_SOURCE</SOURCEAPPLICATION>
    <OBJECTTYPE>Native</OBJECTTYPE>
    <UPDATEDAT>3/18/2015 1:46:28 AM</UPDATEDAT>
    <SOURCE_ISOUTOFDATE>False</SOURCE_ISOUTOFDATE>
    <IMPORTEXPORTINBLACKANDWHITE>False</IMPORTEXPORTINBLACKANDWHITE>
    <IMPORTEXPORTTABLETEXTINBLACKANDWHITE>False</IMPORTEXPORTTABLETEXTINBLACKANDWHITE>
    <TABLEBACKGROUND>Existing</TABLEBACKGROUND>
    <HIDEGRIDLINES>True</HIDEGRIDLINES>
    <TARGETAPPLICATION>METHODE_TARGET</TARGETAPPLICATION>
    <TRANSPARENTBACKGROUND>False</TRANSPARENTBACKGROUND>
    <TRANSPARENTPLOTAREA>False</TRANSPARENTPLOTAREA>
    <SOURCE_ALTADDRESS>B47:J70</SOURCE_ALTADDRESS>
    <SOURCETYPE>Table</SOURCETYPE>
    <SOURCE_OBJECTNAME>'Results Table'!_bdm.0DB94663BB5B4968AD1570B7B446C9A5.edm</SOURCE_OBJECTNAME>
    <SOURCE_SHEETCODE>Sheet15</SOURCE_SHEETCODE>
    <SOURCE_SHEETNAME>Results Table</SOURCE_SHEETNAME>
    <SOURCE_WORKBOOKNAME>ORCL.XLSM</SOURCE_WORKBOOKNAME>
    <SOURCE_WORKBOOKPATH>\\MSAD\ROOT\NA\NY\LIB\ER\ER43\ESWMODELS</SOURCE_WORKBOOKPATH>
    <TARGET_BINARYFULLNAME>/MSResearch/Content/ExternalAssets/2015-03/Images/_bdmDB94663BB5B4968AD157B7B446C9A5edm_mU__O6kHREmsS1HCCkCgpg--.png</TARGET_BINARYFULLNAME>
    <TARGET_UUID>222468d4-cd32-11e4-b2c3-562df972b59d</TARGET_UUID>
    <TARGET_LOID>7.0.281050656</TARGET_LOID>
    <TARGET_STORYFULLNAME>/MSResearch/Content/ExternalAssets/2015-03/Sections/20150318_014630_ResultsTable_bdm.DB94663BB5B4968AD157B7B446C9A5.edm.xml</TARGET_STORYFULLNAME>
    <TARGETTYPE>Picture</TARGETTYPE>
  </Link>
  <Link>
    <GUID>2528e818-09e1-49ff-8a7d-f9102d1a8837</GUID>
    <SOURCEAPPLICATION>EXCEL_SOURCE</SOURCEAPPLICATION>
    <OBJECTTYPE>Native</OBJECTTYPE>
    <UPDATEDAT>3/18/2015 1:47:23 AM</UPDATEDAT>
    <SOURCE_ISOUTOFDATE>False</SOURCE_ISOUTOFDATE>
    <IMPORTEXPORTINBLACKANDWHITE>False</IMPORTEXPORTINBLACKANDWHITE>
    <IMPORTEXPORTTABLETEXTINBLACKANDWHITE>False</IMPORTEXPORTTABLETEXTINBLACKANDWHITE>
    <TABLEBACKGROUND>Existing</TABLEBACKGROUND>
    <HIDEGRIDLINES>True</HIDEGRIDLINES>
    <TARGETAPPLICATION>METHODE_TARGET</TARGETAPPLICATION>
    <TRANSPARENTBACKGROUND>False</TRANSPARENTBACKGROUND>
    <TRANSPARENTPLOTAREA>False</TRANSPARENTPLOTAREA>
    <SOURCE_ALTADDRESS>A2:G33</SOURCE_ALTADDRESS>
    <SOURCETYPE>Table</SOURCETYPE>
    <SOURCE_OBJECTNAME>'Results Table'!_bdm.8A755A99C56A461FA6E2CFB0139DC79C.edm</SOURCE_OBJECTNAME>
    <SOURCE_SHEETCODE>Sheet15</SOURCE_SHEETCODE>
    <SOURCE_SHEETNAME>Results Table</SOURCE_SHEETNAME>
    <SOURCE_WORKBOOKNAME>ORCL.XLSM</SOURCE_WORKBOOKNAME>
    <SOURCE_WORKBOOKPATH>\\MSAD\ROOT\NA\NY\LIB\ER\ER43\ESWMODELS</SOURCE_WORKBOOKPATH>
    <TARGET_BINARYFULLNAME>/MSResearch/Content/ExternalAssets/2015-03/Images/_bdm8A755A99C56A461FA6E2CFB139DC79Cedm_QaAIrjR71k_PiioVLfjFMA--.png</TARGET_BINARYFULLNAME>
    <TARGET_UUID>41665946-cd32-11e4-b2c3-562df972b59d</TARGET_UUID>
    <TARGET_LOID>7.0.281048866</TARGET_LOID>
    <TARGET_STORYFULLNAME>/MSResearch/Content/ExternalAssets/2015-03/Sections/20150318_014725_ResultsTable_bdm.8A755A99C56A461FA6E2CFB139DC79C.edm.xml</TARGET_STORYFULLNAME>
    <TARGETTYPE>Picture</TARGETTYPE>
  </Link>
  <Link>
    <GUID>fea231fc-2c98-4812-9f74-7742592bcc55</GUID>
    <SOURCEAPPLICATION>EXCEL_SOURCE</SOURCEAPPLICATION>
    <OBJECTTYPE>Native</OBJECTTYPE>
    <UPDATEDAT>3/18/2015 1:47:30 AM</UPDATEDAT>
    <SOURCE_ISOUTOFDATE>False</SOURCE_ISOUTOFDATE>
    <IMPORTEXPORTINBLACKANDWHITE>False</IMPORTEXPORTINBLACKANDWHITE>
    <IMPORTEXPORTTABLETEXTINBLACKANDWHITE>False</IMPORTEXPORTTABLETEXTINBLACKANDWHITE>
    <TABLEBACKGROUND>Existing</TABLEBACKGROUND>
    <HIDEGRIDLINES>True</HIDEGRIDLINES>
    <TARGETAPPLICATION>METHODE_TARGET</TARGETAPPLICATION>
    <TRANSPARENTBACKGROUND>False</TRANSPARENTBACKGROUND>
    <TRANSPARENTPLOTAREA>False</TRANSPARENTPLOTAREA>
    <SOURCE_ALTADDRESS>B47:J70</SOURCE_ALTADDRESS>
    <SOURCETYPE>Table</SOURCETYPE>
    <SOURCE_OBJECTNAME>'Results Table'!_bdm.0DB94663BB5B4968AD1570B7B446C9A5.edm</SOURCE_OBJECTNAME>
    <SOURCE_SHEETCODE>Sheet15</SOURCE_SHEETCODE>
    <SOURCE_SHEETNAME>Results Table</SOURCE_SHEETNAME>
    <SOURCE_WORKBOOKNAME>ORCL.XLSM</SOURCE_WORKBOOKNAME>
    <SOURCE_WORKBOOKPATH>\\MSAD\ROOT\NA\NY\LIB\ER\ER43\ESWMODELS</SOURCE_WORKBOOKPATH>
    <TARGET_BINARYFULLNAME>/MSResearch/Content/ExternalAssets/2015-03/Images/_bdmDB94663BB5B4968AD157B7B446C9A5edm_2UxOm3eTCy_Un1QZPJzfA--.png</TARGET_BINARYFULLNAME>
    <TARGET_UUID>46218f8c-cd32-11e4-b2c3-562df972b59d</TARGET_UUID>
    <TARGET_LOID>7.0.281051179</TARGET_LOID>
    <TARGET_STORYFULLNAME>/MSResearch/Content/ExternalAssets/2015-03/Sections/20150318_014733_ResultsTable_bdm.DB94663BB5B4968AD157B7B446C9A5.edm.xml</TARGET_STORYFULLNAME>
    <TARGETTYPE>Picture</TARGETTYPE>
  </Link>
  <Link>
    <GUID>0c6466c7-0a57-43ae-afe0-bf971a5dbe07</GUID>
    <SOURCEAPPLICATION>EXCEL_SOURCE</SOURCEAPPLICATION>
    <OBJECTTYPE>Native</OBJECTTYPE>
    <UPDATEDAT>3/18/2015 1:48:29 AM</UPDATEDAT>
    <SOURCE_ISOUTOFDATE>False</SOURCE_ISOUTOFDATE>
    <IMPORTEXPORTINBLACKANDWHITE>False</IMPORTEXPORTINBLACKANDWHITE>
    <IMPORTEXPORTTABLETEXTINBLACKANDWHITE>False</IMPORTEXPORTTABLETEXTINBLACKANDWHITE>
    <TABLEBACKGROUND>Existing</TABLEBACKGROUND>
    <HIDEGRIDLINES>True</HIDEGRIDLINES>
    <TARGETAPPLICATION>METHODE_TARGET</TARGETAPPLICATION>
    <TRANSPARENTBACKGROUND>False</TRANSPARENTBACKGROUND>
    <TRANSPARENTPLOTAREA>False</TRANSPARENTPLOTAREA>
    <SOURCE_ALTADDRESS>A2:G33</SOURCE_ALTADDRESS>
    <SOURCETYPE>Table</SOURCETYPE>
    <SOURCE_OBJECTNAME>'Results Table'!_bdm.8A755A99C56A461FA6E2CFB0139DC79C.edm</SOURCE_OBJECTNAME>
    <SOURCE_SHEETCODE>Sheet15</SOURCE_SHEETCODE>
    <SOURCE_SHEETNAME>Results Table</SOURCE_SHEETNAME>
    <SOURCE_WORKBOOKNAME>ORCL.XLSM</SOURCE_WORKBOOKNAME>
    <SOURCE_WORKBOOKPATH>\\MSAD\ROOT\NA\NY\LIB\ER\ER43\ESWMODELS</SOURCE_WORKBOOKPATH>
    <TARGET_BINARYFULLNAME>/MSResearch/Content/ExternalAssets/2015-03/Images/_bdm8A755A99C56A461FA6E2CFB139DC79Cedm_aXoSlCt-Zk_TJgp-uOtMEQ--.png</TARGET_BINARYFULLNAME>
    <TARGET_UUID>68a2b2de-cd32-11e4-b2c3-562df972b59d</TARGET_UUID>
    <TARGET_LOID>7.0.281109622</TARGET_LOID>
    <TARGET_STORYFULLNAME>/MSResearch/Content/ExternalAssets/2015-03/Sections/20150318_014831_ResultsTable_bdm.8A755A99C56A461FA6E2CFB139DC79C.edm.xml</TARGET_STORYFULLNAME>
    <TARGETTYPE>Picture</TARGETTYPE>
  </Link>
  <Link>
    <GUID>94def795-228b-4cf1-ad4f-b298060c7e92</GUID>
    <SOURCEAPPLICATION>EXCEL_SOURCE</SOURCEAPPLICATION>
    <OBJECTTYPE>Native</OBJECTTYPE>
    <UPDATEDAT>3/18/2015 1:48:37 AM</UPDATEDAT>
    <SOURCE_ISOUTOFDATE>False</SOURCE_ISOUTOFDATE>
    <IMPORTEXPORTINBLACKANDWHITE>False</IMPORTEXPORTINBLACKANDWHITE>
    <IMPORTEXPORTTABLETEXTINBLACKANDWHITE>False</IMPORTEXPORTTABLETEXTINBLACKANDWHITE>
    <TABLEBACKGROUND>Existing</TABLEBACKGROUND>
    <HIDEGRIDLINES>True</HIDEGRIDLINES>
    <TARGETAPPLICATION>METHODE_TARGET</TARGETAPPLICATION>
    <TRANSPARENTBACKGROUND>False</TRANSPARENTBACKGROUND>
    <TRANSPARENTPLOTAREA>False</TRANSPARENTPLOTAREA>
    <SOURCE_ALTADDRESS>B47:J70</SOURCE_ALTADDRESS>
    <SOURCETYPE>Table</SOURCETYPE>
    <SOURCE_OBJECTNAME>'Results Table'!_bdm.0DB94663BB5B4968AD1570B7B446C9A5.edm</SOURCE_OBJECTNAME>
    <SOURCE_SHEETCODE>Sheet15</SOURCE_SHEETCODE>
    <SOURCE_SHEETNAME>Results Table</SOURCE_SHEETNAME>
    <SOURCE_WORKBOOKNAME>ORCL.XLSM</SOURCE_WORKBOOKNAME>
    <SOURCE_WORKBOOKPATH>\\MSAD\ROOT\NA\NY\LIB\ER\ER43\ESWMODELS</SOURCE_WORKBOOKPATH>
    <TARGET_BINARYFULLNAME>/MSResearch/Content/ExternalAssets/2015-03/Images/_bdmDB94663BB5B4968AD157B7B446C9A5edm_yikLKUz9WkGkH4kl6AJ4w--.png</TARGET_BINARYFULLNAME>
    <TARGET_UUID>6e9ee996-cd32-11e4-b2c3-562df972b59d</TARGET_UUID>
    <TARGET_LOID>7.0.281092610</TARGET_LOID>
    <TARGET_STORYFULLNAME>/MSResearch/Content/ExternalAssets/2015-03/Sections/20150318_014840_ResultsTable_bdm.DB94663BB5B4968AD157B7B446C9A5.edm.xml</TARGET_STORYFULLNAME>
    <TARGETTYPE>Picture</TARGETTYPE>
  </Link>
  <Link>
    <GUID>c6c2e2fa-9f8b-4cf7-81e7-09661e2a87f6</GUID>
    <SOURCEAPPLICATION>EXCEL_SOURCE</SOURCEAPPLICATION>
    <OBJECTTYPE>Native</OBJECTTYPE>
    <UPDATEDAT>3/18/2015 1:49:39 AM</UPDATEDAT>
    <SOURCE_ISOUTOFDATE>False</SOURCE_ISOUTOFDATE>
    <IMPORTEXPORTINBLACKANDWHITE>False</IMPORTEXPORTINBLACKANDWHITE>
    <IMPORTEXPORTTABLETEXTINBLACKANDWHITE>False</IMPORTEXPORTTABLETEXTINBLACKANDWHITE>
    <TABLEBACKGROUND>Existing</TABLEBACKGROUND>
    <HIDEGRIDLINES>True</HIDEGRIDLINES>
    <TARGETAPPLICATION>METHODE_TARGET</TARGETAPPLICATION>
    <TRANSPARENTBACKGROUND>False</TRANSPARENTBACKGROUND>
    <TRANSPARENTPLOTAREA>False</TRANSPARENTPLOTAREA>
    <SOURCE_ALTADDRESS>A2:G33</SOURCE_ALTADDRESS>
    <SOURCETYPE>Table</SOURCETYPE>
    <SOURCE_OBJECTNAME>'Results Table'!_bdm.8A755A99C56A461FA6E2CFB0139DC79C.edm</SOURCE_OBJECTNAME>
    <SOURCE_SHEETCODE>Sheet15</SOURCE_SHEETCODE>
    <SOURCE_SHEETNAME>Results Table</SOURCE_SHEETNAME>
    <SOURCE_WORKBOOKNAME>ORCL.XLSM</SOURCE_WORKBOOKNAME>
    <SOURCE_WORKBOOKPATH>\\MSAD\ROOT\NA\NY\LIB\ER\ER43\ESWMODELS</SOURCE_WORKBOOKPATH>
    <TARGET_BINARYFULLNAME>/MSResearch/Content/ExternalAssets/2015-03/Images/_bdm8A755A99C56A461FA6E2CFB139DC79Cedm_a3jVf8xquE2iotdhSZlD7g--.png</TARGET_BINARYFULLNAME>
    <TARGET_UUID>94517a1e-cd32-11e4-b2c3-562df972b59d</TARGET_UUID>
    <TARGET_LOID>7.0.281110320</TARGET_LOID>
    <TARGET_STORYFULLNAME>/MSResearch/Content/ExternalAssets/2015-03/Sections/20150318_014944_ResultsTable_bdm.8A755A99C56A461FA6E2CFB139DC79C.edm.xml</TARGET_STORYFULLNAME>
    <TARGETTYPE>Picture</TARGETTYPE>
  </Link>
  <Link>
    <GUID>6279a6be-ce71-4b95-83c7-475d2ede162c</GUID>
    <SOURCEAPPLICATION>EXCEL_SOURCE</SOURCEAPPLICATION>
    <OBJECTTYPE>Native</OBJECTTYPE>
    <UPDATEDAT>3/18/2015 1:49:45 AM</UPDATEDAT>
    <SOURCE_ISOUTOFDATE>False</SOURCE_ISOUTOFDATE>
    <IMPORTEXPORTINBLACKANDWHITE>False</IMPORTEXPORTINBLACKANDWHITE>
    <IMPORTEXPORTTABLETEXTINBLACKANDWHITE>False</IMPORTEXPORTTABLETEXTINBLACKANDWHITE>
    <TABLEBACKGROUND>Existing</TABLEBACKGROUND>
    <HIDEGRIDLINES>True</HIDEGRIDLINES>
    <TARGETAPPLICATION>METHODE_TARGET</TARGETAPPLICATION>
    <TRANSPARENTBACKGROUND>False</TRANSPARENTBACKGROUND>
    <TRANSPARENTPLOTAREA>False</TRANSPARENTPLOTAREA>
    <SOURCE_ALTADDRESS>A2:AF52</SOURCE_ALTADDRESS>
    <SOURCETYPE>Table</SOURCETYPE>
    <SOURCE_OBJECTNAME>Linking_Range_71</SOURCE_OBJECTNAME>
    <SOURCE_SHEETCODE>Sheet31</SOURCE_SHEETCODE>
    <SOURCE_SHEETNAME>Model Changes Table</SOURCE_SHEETNAME>
    <SOURCE_WORKBOOKNAME>ORCL.XLSM</SOURCE_WORKBOOKNAME>
    <SOURCE_WORKBOOKPATH>\\MSAD\ROOT\NA\NY\LIB\ER\ER43\ESWMODELS</SOURCE_WORKBOOKPATH>
    <TARGET_BINARYFULLNAME>/MSResearch/Content/ExternalAssets/2015-03/Images/Linking_Range_71_UcKk2KLFAE6ggOxku6-SNw--.png</TARGET_BINARYFULLNAME>
    <TARGET_UUID>982b9a66-cd32-11e4-b2c3-562df972b59d</TARGET_UUID>
    <TARGET_LOID>7.0.281110428</TARGET_LOID>
    <TARGET_STORYFULLNAME>/MSResearch/Content/ExternalAssets/2015-03/Sections/20150318_014950_Linking_Range_71.xml</TARGET_STORYFULLNAME>
    <TARGETTYPE>Picture</TARGETTYPE>
  </Link>
  <Link>
    <GUID>d6787d97-4d28-4b8d-a8e7-1d4c2f69d73a</GUID>
    <SOURCEAPPLICATION>EXCEL_SOURCE</SOURCEAPPLICATION>
    <OBJECTTYPE>Native</OBJECTTYPE>
    <UPDATEDAT>3/18/2015 1:49:52 AM</UPDATEDAT>
    <SOURCE_ISOUTOFDATE>False</SOURCE_ISOUTOFDATE>
    <IMPORTEXPORTINBLACKANDWHITE>False</IMPORTEXPORTINBLACKANDWHITE>
    <IMPORTEXPORTTABLETEXTINBLACKANDWHITE>False</IMPORTEXPORTTABLETEXTINBLACKANDWHITE>
    <TABLEBACKGROUND>Existing</TABLEBACKGROUND>
    <HIDEGRIDLINES>True</HIDEGRIDLINES>
    <TARGETAPPLICATION>METHODE_TARGET</TARGETAPPLICATION>
    <TRANSPARENTBACKGROUND>False</TRANSPARENTBACKGROUND>
    <TRANSPARENTPLOTAREA>False</TRANSPARENTPLOTAREA>
    <SOURCE_ALTADDRESS>B47:J70</SOURCE_ALTADDRESS>
    <SOURCETYPE>Table</SOURCETYPE>
    <SOURCE_OBJECTNAME>'Results Table'!_bdm.0DB94663BB5B4968AD1570B7B446C9A5.edm</SOURCE_OBJECTNAME>
    <SOURCE_SHEETCODE>Sheet15</SOURCE_SHEETCODE>
    <SOURCE_SHEETNAME>Results Table</SOURCE_SHEETNAME>
    <SOURCE_WORKBOOKNAME>ORCL.XLSM</SOURCE_WORKBOOKNAME>
    <SOURCE_WORKBOOKPATH>\\MSAD\ROOT\NA\NY\LIB\ER\ER43\ESWMODELS</SOURCE_WORKBOOKPATH>
    <TARGET_BINARYFULLNAME>/MSResearch/Content/ExternalAssets/2015-03/Images/_bdmDB94663BB5B4968AD157B7B446C9A5edm_xc2gSm2S7kaGPrfiQwgkbg--.png</TARGET_BINARYFULLNAME>
    <TARGET_UUID>9a197082-cd32-11e4-b2c3-562df972b59d</TARGET_UUID>
    <TARGET_LOID>7.0.281110533</TARGET_LOID>
    <TARGET_STORYFULLNAME>/MSResearch/Content/ExternalAssets/2015-03/Sections/20150318_014954_ResultsTable_bdm.DB94663BB5B4968AD157B7B446C9A5.edm.xml</TARGET_STORYFULLNAME>
    <TARGETTYPE>Picture</TARGETTYPE>
  </Link>
  <Link>
    <GUID>523a0c54-3ecc-4acc-9ed9-6749fd65a86c</GUID>
    <SOURCEAPPLICATION>EXCEL_SOURCE</SOURCEAPPLICATION>
    <OBJECTTYPE>Native</OBJECTTYPE>
    <UPDATEDAT>3/18/2015 1:50:27 AM</UPDATEDAT>
    <SOURCE_ISOUTOFDATE>False</SOURCE_ISOUTOFDATE>
    <IMPORTEXPORTINBLACKANDWHITE>False</IMPORTEXPORTINBLACKANDWHITE>
    <IMPORTEXPORTTABLETEXTINBLACKANDWHITE>False</IMPORTEXPORTTABLETEXTINBLACKANDWHITE>
    <TABLEBACKGROUND>Existing</TABLEBACKGROUND>
    <HIDEGRIDLINES>True</HIDEGRIDLINES>
    <TARGETAPPLICATION>METHODE_TARGET</TARGETAPPLICATION>
    <TRANSPARENTBACKGROUND>False</TRANSPARENTBACKGROUND>
    <TRANSPARENTPLOTAREA>False</TRANSPARENTPLOTAREA>
    <SOURCE_ALTADDRESS>A6:EU141</SOURCE_ALTADDRESS>
    <SOURCETYPE>Table</SOURCETYPE>
    <SOURCE_OBJECTNAME>Linking_Range_72</SOURCE_OBJECTNAME>
    <SOURCE_SHEETCODE>Sheet2</SOURCE_SHEETCODE>
    <SOURCE_SHEETNAME>Model</SOURCE_SHEETNAME>
    <SOURCE_WORKBOOKNAME>ORCL.XLSM</SOURCE_WORKBOOKNAME>
    <SOURCE_WORKBOOKPATH>\\MSAD\ROOT\NA\NY\LIB\ER\ER43\ESWMODELS</SOURCE_WORKBOOKPATH>
    <TARGET_BINARYFULLNAME>/MSResearch/Content/ExternalAssets/2015-03/Images/Linking_Range_72_Tt2Al7BfYkGhlwV76WrtXw--.png</TARGET_BINARYFULLNAME>
    <TARGET_UUID>b477fc82-cd32-11e4-b2c3-562df972b59d</TARGET_UUID>
    <TARGET_LOID>7.0.281140090</TARGET_LOID>
    <TARGET_STORYFULLNAME>/MSResearch/Content/ExternalAssets/2015-03/Sections/20150318_015038_Linking_Range_72.xml</TARGET_STORYFULLNAME>
    <TARGETTYPE>Picture</TARGETTYPE>
  </Link>
  <Link>
    <GUID>5e2e8e88-393d-429d-92c3-b49ffad77025</GUID>
    <SOURCEAPPLICATION>EXCEL_SOURCE</SOURCEAPPLICATION>
    <OBJECTTYPE>Native</OBJECTTYPE>
    <UPDATEDAT>3/18/2015 1:50:39 AM</UPDATEDAT>
    <SOURCE_ISOUTOFDATE>False</SOURCE_ISOUTOFDATE>
    <IMPORTEXPORTINBLACKANDWHITE>False</IMPORTEXPORTINBLACKANDWHITE>
    <IMPORTEXPORTTABLETEXTINBLACKANDWHITE>False</IMPORTEXPORTTABLETEXTINBLACKANDWHITE>
    <TABLEBACKGROUND>Existing</TABLEBACKGROUND>
    <HIDEGRIDLINES>True</HIDEGRIDLINES>
    <TARGETAPPLICATION>METHODE_TARGET</TARGETAPPLICATION>
    <TRANSPARENTBACKGROUND>False</TRANSPARENTBACKGROUND>
    <TRANSPARENTPLOTAREA>False</TRANSPARENTPLOTAREA>
    <SOURCE_ALTADDRESS>A4:EU43</SOURCE_ALTADDRESS>
    <SOURCETYPE>Table</SOURCETYPE>
    <SOURCE_OBJECTNAME>Linking_Range_74</SOURCE_OBJECTNAME>
    <SOURCE_SHEETCODE>Sheet3</SOURCE_SHEETCODE>
    <SOURCE_SHEETNAME>Balance Sheet</SOURCE_SHEETNAME>
    <SOURCE_WORKBOOKNAME>ORCL.XLSM</SOURCE_WORKBOOKNAME>
    <SOURCE_WORKBOOKPATH>\\MSAD\ROOT\NA\NY\LIB\ER\ER43\ESWMODELS</SOURCE_WORKBOOKPATH>
    <TARGET_BINARYFULLNAME>/MSResearch/Content/ExternalAssets/2015-03/Images/Linking_Range_74_EQGkFEwhoUWgb4-p81jvXg--.png</TARGET_BINARYFULLNAME>
    <TARGET_UUID>b72a1258-cd32-11e4-b2c3-562df972b59d</TARGET_UUID>
    <TARGET_LOID>7.0.281137794</TARGET_LOID>
    <TARGET_STORYFULLNAME>/MSResearch/Content/ExternalAssets/2015-03/Sections/20150318_015042_Linking_Range_74.xml</TARGET_STORYFULLNAME>
    <TARGETTYPE>Picture</TARGETTYPE>
  </Link>
  <Link>
    <GUID>86be9f12-c0d5-4831-8ddc-ac2ab113b251</GUID>
    <SOURCEAPPLICATION>EXCEL_SOURCE</SOURCEAPPLICATION>
    <OBJECTTYPE>Native</OBJECTTYPE>
    <UPDATEDAT>3/18/2015 1:50:43 AM</UPDATEDAT>
    <SOURCE_ISOUTOFDATE>False</SOURCE_ISOUTOFDATE>
    <IMPORTEXPORTINBLACKANDWHITE>False</IMPORTEXPORTINBLACKANDWHITE>
    <IMPORTEXPORTTABLETEXTINBLACKANDWHITE>False</IMPORTEXPORTTABLETEXTINBLACKANDWHITE>
    <TABLEBACKGROUND>Existing</TABLEBACKGROUND>
    <HIDEGRIDLINES>True</HIDEGRIDLINES>
    <TARGETAPPLICATION>METHODE_TARGET</TARGETAPPLICATION>
    <TRANSPARENTBACKGROUND>False</TRANSPARENTBACKGROUND>
    <TRANSPARENTPLOTAREA>False</TRANSPARENTPLOTAREA>
    <SOURCE_ALTADDRESS>A4:EU158</SOURCE_ALTADDRESS>
    <SOURCETYPE>Table</SOURCETYPE>
    <SOURCE_OBJECTNAME>Linking_Range_73</SOURCE_OBJECTNAME>
    <SOURCE_SHEETCODE>Sheet6</SOURCE_SHEETCODE>
    <SOURCE_SHEETNAME>Metrics</SOURCE_SHEETNAME>
    <SOURCE_WORKBOOKNAME>ORCL.XLSM</SOURCE_WORKBOOKNAME>
    <SOURCE_WORKBOOKPATH>\\MSAD\ROOT\NA\NY\LIB\ER\ER43\ESWMODELS</SOURCE_WORKBOOKPATH>
    <TARGET_BINARYFULLNAME>/MSResearch/Content/ExternalAssets/2015-03/Images/Linking_Range_73_dck_1xEJXyW9qPbKoGSLw--.png</TARGET_BINARYFULLNAME>
    <TARGET_UUID>bb1d8656-cd32-11e4-b2c3-562df972b59d</TARGET_UUID>
    <TARGET_LOID>7.0.281140195</TARGET_LOID>
    <TARGET_STORYFULLNAME>/MSResearch/Content/ExternalAssets/2015-03/Sections/20150318_015049_Linking_Range_73.xml</TARGET_STORYFULLNAME>
    <TARGETTYPE>Picture</TARGETTYPE>
  </Link>
  <Link>
    <GUID>2fc852ab-f9bd-4121-8f78-c2e7823d3fc0</GUID>
    <SOURCEAPPLICATION>EXCEL_SOURCE</SOURCEAPPLICATION>
    <OBJECTTYPE>Native</OBJECTTYPE>
    <UPDATEDAT>3/18/2015 1:50:50 AM</UPDATEDAT>
    <SOURCE_ISOUTOFDATE>False</SOURCE_ISOUTOFDATE>
    <IMPORTEXPORTINBLACKANDWHITE>False</IMPORTEXPORTINBLACKANDWHITE>
    <IMPORTEXPORTTABLETEXTINBLACKANDWHITE>False</IMPORTEXPORTTABLETEXTINBLACKANDWHITE>
    <TABLEBACKGROUND>Existing</TABLEBACKGROUND>
    <HIDEGRIDLINES>True</HIDEGRIDLINES>
    <TARGETAPPLICATION>METHODE_TARGET</TARGETAPPLICATION>
    <TRANSPARENTBACKGROUND>False</TRANSPARENTBACKGROUND>
    <TRANSPARENTPLOTAREA>False</TRANSPARENTPLOTAREA>
    <SOURCE_ALTADDRESS>A56:EU110</SOURCE_ALTADDRESS>
    <SOURCETYPE>Table</SOURCETYPE>
    <SOURCE_OBJECTNAME>Linking_Range_76</SOURCE_OBJECTNAME>
    <SOURCE_SHEETCODE>Sheet4</SOURCE_SHEETCODE>
    <SOURCE_SHEETNAME>Cash Flow</SOURCE_SHEETNAME>
    <SOURCE_WORKBOOKNAME>ORCL.XLSM</SOURCE_WORKBOOKNAME>
    <SOURCE_WORKBOOKPATH>\\MSAD\ROOT\NA\NY\LIB\ER\ER43\ESWMODELS</SOURCE_WORKBOOKPATH>
    <TARGET_BINARYFULLNAME>/MSResearch/Content/ExternalAssets/2015-03/Images/Linking_Range_76_61bB_wBPEeM_ofD5tNKQw--.png</TARGET_BINARYFULLNAME>
    <TARGET_UUID>be63ce9c-cd32-11e4-b2c3-562df972b59d</TARGET_UUID>
    <TARGET_LOID>7.0.281140300</TARGET_LOID>
    <TARGET_STORYFULLNAME>/MSResearch/Content/ExternalAssets/2015-03/Sections/20150318_015055_Linking_Range_76.xml</TARGET_STORYFULLNAME>
    <TARGETTYPE>Picture</TARGETTYPE>
  </Link>
  <Link>
    <GUID>63b25f3e-819d-4883-8eb2-0a4c4461bf8d</GUID>
    <SOURCE_ALTADDRESS>$B$47:$J$70</SOURCE_ALTADDRESS>
    <SOURCETYPE>Table</SOURCETYPE>
    <SOURCE_OBJECTNAME>Linking_Range_2</SOURCE_OBJECTNAME>
    <OBJECTTYPE>Native</OBJECTTYPE>
    <SOURCE_SHEETCODE>Sheet15</SOURCE_SHEETCODE>
    <SOURCE_SHEETNAME>Results Table</SOURCE_SHEETNAME>
    <SOURCEAPPLICATION>EXCEL_SOURCE</SOURCEAPPLICATION>
    <UPDATEDAT>3/18/2015 2:26:43 AM</UPDATEDAT>
    <SOURCE_ISOUTOFDATE>False</SOURCE_ISOUTOFDATE>
    <SOURCE_WORKBOOKNAME>ORCL.xlsm</SOURCE_WORKBOOKNAME>
    <SOURCE_WORKBOOKPATH>\\MSAD\ROOT\NA\NY\LIB\ER\ER43\ESWModels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/MSResearch/Content/ExternalAssets/2015-03/Images/rxm3xNtFxkmB2XTOvSdHMQ--.png</TARGET_BINARYFULLNAME>
    <TARGET_STORYFULLNAME>/MSResearch/Content/ExternalAssets/2015-03/Sections/20150318_022640_Linking_Range_2.xml</TARGET_STORYFULLNAME>
    <TARGET_UUID>bcb61028-cd37-11e4-b2c3-562df972b59d</TARGET_UUID>
  </Link>
  <Link>
    <GUID>4191b294-f170-473f-966e-b9a069bcc020</GUID>
    <SOURCE_ALTADDRESS>$A$2:$G$33</SOURCE_ALTADDRESS>
    <SOURCETYPE>Table</SOURCETYPE>
    <SOURCE_OBJECTNAME>Linking_Range_5</SOURCE_OBJECTNAME>
    <OBJECTTYPE>Native</OBJECTTYPE>
    <SOURCE_SHEETCODE>Sheet15</SOURCE_SHEETCODE>
    <SOURCE_SHEETNAME>Results Table</SOURCE_SHEETNAME>
    <SOURCEAPPLICATION>EXCEL_SOURCE</SOURCEAPPLICATION>
    <UPDATEDAT>3/18/2015 2:28:53 AM</UPDATEDAT>
    <SOURCE_ISOUTOFDATE>False</SOURCE_ISOUTOFDATE>
    <SOURCE_WORKBOOKNAME>ORCL.xlsm</SOURCE_WORKBOOKNAME>
    <SOURCE_WORKBOOKPATH>\\MSAD\ROOT\NA\NY\LIB\ER\ER43\ESWModels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/MSResearch/Content/ExternalAssets/2015-03/Images/PxJDyhYyUW56DUavT6Jyg--.png</TARGET_BINARYFULLNAME>
    <TARGET_STORYFULLNAME>/MSResearch/Content/ExternalAssets/2015-03/Sections/20150318_022846_Linking_Range_5.xml</TARGET_STORYFULLNAME>
    <TARGET_UUID>080baf56-cd38-11e4-b2c3-562df972b59d</TARGET_UUID>
    <LINKSTATUS>Unknown</LINKSTATUS>
  </Link>
  <Link>
    <GUID>e335a5ad-ae67-4558-a950-e9294f6bb0c9</GUID>
    <SOURCEAPPLICATION>EXCEL_SOURCE</SOURCEAPPLICATION>
    <OBJECTTYPE>Native</OBJECTTYPE>
    <UPDATEDAT>3/18/2015 2:31:35 AM</UPDATEDAT>
    <SOURCE_ISOUTOFDATE>False</SOURCE_ISOUTOFDATE>
    <IMPORTEXPORTINBLACKANDWHITE>False</IMPORTEXPORTINBLACKANDWHITE>
    <IMPORTEXPORTTABLETEXTINBLACKANDWHITE>False</IMPORTEXPORTTABLETEXTINBLACKANDWHITE>
    <TABLEBACKGROUND>Existing</TABLEBACKGROUND>
    <HIDEGRIDLINES>False</HIDEGRIDLINES>
    <TARGETAPPLICATION>METHODE_TARGET</TARGETAPPLICATION>
    <TRANSPARENTBACKGROUND>False</TRANSPARENTBACKGROUND>
    <TRANSPARENTPLOTAREA>False</TRANSPARENTPLOTAREA>
    <SOURCE_ALTADDRESS>M33</SOURCE_ALTADDRESS>
    <SOURCETYPE>Chart</SOURCETYPE>
    <SOURCE_OBJECTNAME>Chart 1 (1)</SOURCE_OBJECTNAME>
    <SOURCE_SHEETCODE>Sheet7</SOURCE_SHEETCODE>
    <SOURCE_SHEETNAME>Seasonality</SOURCE_SHEETNAME>
    <SOURCE_WORKBOOKNAME>ORCL.XLSM</SOURCE_WORKBOOKNAME>
    <SOURCE_WORKBOOKPATH>\\MSAD\ROOT\NA\NY\LIB\ER\ER43\ESWMODELS</SOURCE_WORKBOOKPATH>
    <TARGET_BINARYFULLNAME>/MSResearch/Content/ExternalAssets/2015-03/Images/Chart_1__x28_1_x29__UeoqIp7SGEeEfb4q4K7XmQ--.png</TARGET_BINARYFULLNAME>
    <TARGET_UUID>9dc1c978-cd32-11e4-b2c3-562df972b59d</TARGET_UUID>
    <TARGET_LOID>7.0.281093339</TARGET_LOID>
    <TARGET_STORYFULLNAME>/MSResearch/Content/ExternalAssets/2015-03/Sections/20150318_015000_Chart11.xml</TARGET_STORYFULLNAME>
    <TARGETTYPE>Picture</TARGETTYPE>
    <EXTRACTSOURCEMODE>CopyToClipboard</EXTRACTSOURCEMODE>
  </Link>
  <Link>
    <GUID>2927e05a-89f1-45b6-b305-1da29d21e02d</GUID>
    <SOURCEAPPLICATION>EXCEL_SOURCE</SOURCEAPPLICATION>
    <OBJECTTYPE>Native</OBJECTTYPE>
    <UPDATEDAT>3/18/2015 2:40:26 AM</UPDATEDAT>
    <SOURCE_ISOUTOFDATE>False</SOURCE_ISOUTOFDATE>
    <IMPORTEXPORTINBLACKANDWHITE>False</IMPORTEXPORTINBLACKANDWHITE>
    <IMPORTEXPORTTABLETEXTINBLACKANDWHITE>False</IMPORTEXPORTTABLETEXTINBLACKANDWHITE>
    <TABLEBACKGROUND>Existing</TABLEBACKGROUND>
    <HIDEGRIDLINES>False</HIDEGRIDLINES>
    <TARGETAPPLICATION>METHODE_TARGET</TARGETAPPLICATION>
    <TRANSPARENTBACKGROUND>False</TRANSPARENTBACKGROUND>
    <TRANSPARENTPLOTAREA>False</TRANSPARENTPLOTAREA>
    <SOURCE_ALTADDRESS>I3</SOURCE_ALTADDRESS>
    <SOURCETYPE>Chart</SOURCETYPE>
    <SOURCE_OBJECTNAME>Chart 41</SOURCE_OBJECTNAME>
    <SOURCE_SHEETCODE>Sheet29</SOURCE_SHEETCODE>
    <SOURCE_SHEETNAME>Charts</SOURCE_SHEETNAME>
    <SOURCE_WORKBOOKNAME>ORCL.XLSM</SOURCE_WORKBOOKNAME>
    <SOURCE_WORKBOOKPATH>\\MSAD\ROOT\NA\NY\LIB\ER\ER43\ESWMODELS</SOURCE_WORKBOOKPATH>
    <TARGET_BINARYFULLNAME>/MSResearch/Content/ExternalAssets/2015-03/Images/Chart_41_hAxoIN5xcE_v97wbCDCXJw--.png</TARGET_BINARYFULLNAME>
    <TARGET_UUID>a0298ac0-cd32-11e4-b2c3-562df972b59d</TARGET_UUID>
    <TARGET_LOID>7.0.281137586</TARGET_LOID>
    <TARGET_STORYFULLNAME>/MSResearch/Content/ExternalAssets/2015-03/Sections/20150318_015004_Chart41.xml</TARGET_STORYFULLNAME>
    <TARGETTYPE>Picture</TARGETTYPE>
    <EXTRACTSOURCEMODE>CopyToClipboard</EXTRACTSOURCEMODE>
  </Link>
  <Link>
    <GUID>f398104d-eb0d-4cea-a3e3-de078d36c77f</GUID>
    <SOURCEAPPLICATION>EXCEL_SOURCE</SOURCEAPPLICATION>
    <OBJECTTYPE>Native</OBJECTTYPE>
    <UPDATEDAT>3/18/2015 2:45:41 AM</UPDATEDAT>
    <SOURCE_ISOUTOFDATE>False</SOURCE_ISOUTOFDATE>
    <IMPORTEXPORTINBLACKANDWHITE>False</IMPORTEXPORTINBLACKANDWHITE>
    <IMPORTEXPORTTABLETEXTINBLACKANDWHITE>False</IMPORTEXPORTTABLETEXTINBLACKANDWHITE>
    <TABLEBACKGROUND>Existing</TABLEBACKGROUND>
    <HIDEGRIDLINES>False</HIDEGRIDLINES>
    <TARGETAPPLICATION>METHODE_TARGET</TARGETAPPLICATION>
    <TRANSPARENTBACKGROUND>False</TRANSPARENTBACKGROUND>
    <TRANSPARENTPLOTAREA>False</TRANSPARENTPLOTAREA>
    <SOURCE_ALTADDRESS>CC61</SOURCE_ALTADDRESS>
    <SOURCETYPE>Chart</SOURCETYPE>
    <SOURCE_OBJECTNAME>Chart 22</SOURCE_OBJECTNAME>
    <SOURCE_SHEETCODE>Sheet13</SOURCE_SHEETCODE>
    <SOURCE_SHEETNAME>Chart Data</SOURCE_SHEETNAME>
    <SOURCE_WORKBOOKNAME>ORCL.XLSM</SOURCE_WORKBOOKNAME>
    <SOURCE_WORKBOOKPATH>\\MSAD\ROOT\NA\NY\LIB\ER\ER43\ESWMODELS</SOURCE_WORKBOOKPATH>
    <TARGET_BINARYFULLNAME>/MSResearch/Content/ExternalAssets/2015-03/Images/Chart_22_5dYiD9E-kUO1zvHu4Fbtug--.png</TARGET_BINARYFULLNAME>
    <TARGET_UUID>a6ef3134-cd32-11e4-b2c3-562df972b59d</TARGET_UUID>
    <TARGET_LOID>7.0.281137689</TARGET_LOID>
    <TARGET_STORYFULLNAME>/MSResearch/Content/ExternalAssets/2015-03/Sections/20150318_015015_Chart22.xml</TARGET_STORYFULLNAME>
    <TARGETTYPE>Picture</TARGETTYPE>
    <EXTRACTSOURCEMODE>CopyToClipboard</EXTRACTSOURCEMODE>
  </Link>
  <Link>
    <GUID>728599e8-9e58-44a3-8886-d5d9cc14e1f0</GUID>
    <SOURCEAPPLICATION>EXCEL_SOURCE</SOURCEAPPLICATION>
    <OBJECTTYPE>Native</OBJECTTYPE>
    <UPDATEDAT>3/20/2015 12:18:18 AM</UPDATEDAT>
    <SOURCE_ISOUTOFDATE>False</SOURCE_ISOUTOFDATE>
    <IMPORTEXPORTINBLACKANDWHITE>False</IMPORTEXPORTINBLACKANDWHITE>
    <IMPORTEXPORTTABLETEXTINBLACKANDWHITE>False</IMPORTEXPORTTABLETEXTINBLACKANDWHITE>
    <TABLEBACKGROUND>Existing</TABLEBACKGROUND>
    <HIDEGRIDLINES>True</HIDEGRIDLINES>
    <TARGETAPPLICATION>METHODE_TARGET</TARGETAPPLICATION>
    <TRANSPARENTBACKGROUND>False</TRANSPARENTBACKGROUND>
    <TRANSPARENTPLOTAREA>False</TRANSPARENTPLOTAREA>
    <SOURCE_ALTADDRESS>B18</SOURCE_ALTADDRESS>
    <SOURCETYPE>Chart</SOURCETYPE>
    <SOURCE_OBJECTNAME>MWA_Risk_Reward</SOURCE_OBJECTNAME>
    <SOURCE_SHEETCODE>MWRSSData</SOURCE_SHEETCODE>
    <SOURCE_SHEETNAME>MWA RR</SOURCE_SHEETNAME>
    <SOURCE_WORKBOOKNAME>ORCL.XLSM</SOURCE_WORKBOOKNAME>
    <SOURCE_WORKBOOKPATH>\\MSAD\ROOT\NA\NY\LIB\ER\ER43\ESWMODELS</SOURCE_WORKBOOKPATH>
    <TARGET_BINARYFULLNAME>/MSResearch/Content/ExternalAssets/2015-03/Images/MWA_Risk_Reward_3Z4-t59LvESAGd_JFS5hdw--.png</TARGET_BINARYFULLNAME>
    <TARGET_UUID>273d7004-ceb8-11e4-b2c3-562df972b59d</TARGET_UUID>
    <TARGET_LOID>7.0.301644699</TARGET_LOID>
    <TARGET_STORYFULLNAME>/MSResearch/Content/ExternalAssets/2015-03/Sections/20150320_121823_MWA_Risk_Reward.xml</TARGET_STORYFULLNAME>
    <TARGETTYPE>Picture</TARGETTYPE>
  </Link>
  <Link>
    <GUID>4df69b95-0544-4321-aa47-3417f86b14e1</GUID>
    <SOURCEAPPLICATION>EXCEL_SOURCE</SOURCEAPPLICATION>
    <OBJECTTYPE>Native</OBJECTTYPE>
    <UPDATEDAT>3/20/2015 12:18:25 AM</UPDATEDAT>
    <SOURCE_ISOUTOFDATE>False</SOURCE_ISOUTOFDATE>
    <IMPORTEXPORTINBLACKANDWHITE>False</IMPORTEXPORTINBLACKANDWHITE>
    <IMPORTEXPORTTABLETEXTINBLACKANDWHITE>False</IMPORTEXPORTTABLETEXTINBLACKANDWHITE>
    <TABLEBACKGROUND>Existing</TABLEBACKGROUND>
    <HIDEGRIDLINES>True</HIDEGRIDLINES>
    <TARGETAPPLICATION>METHODE_TARGET</TARGETAPPLICATION>
    <TRANSPARENTBACKGROUND>False</TRANSPARENTBACKGROUND>
    <TRANSPARENTPLOTAREA>False</TRANSPARENTPLOTAREA>
    <SOURCE_ALTADDRESS>X2</SOURCE_ALTADDRESS>
    <SOURCETYPE>Chart</SOURCETYPE>
    <SOURCE_OBJECTNAME>Chart 64</SOURCE_OBJECTNAME>
    <SOURCE_SHEETCODE>Sheet29</SOURCE_SHEETCODE>
    <SOURCE_SHEETNAME>Charts</SOURCE_SHEETNAME>
    <SOURCE_WORKBOOKNAME>ORCL.XLSM</SOURCE_WORKBOOKNAME>
    <SOURCE_WORKBOOKPATH>\\MSAD\ROOT\NA\NY\LIB\ER\ER43\ESWMODELS</SOURCE_WORKBOOKPATH>
    <TARGET_BINARYFULLNAME>/MSResearch/Content/ExternalAssets/2015-03/Images/Chart_64_ZMbbOaD1FECq2wwROMKk6Q--.png</TARGET_BINARYFULLNAME>
    <TARGET_UUID>294849a0-ceb8-11e4-b2c3-562df972b59d</TARGET_UUID>
    <TARGET_LOID>7.0.301644802</TARGET_LOID>
    <TARGET_STORYFULLNAME>/MSResearch/Content/ExternalAssets/2015-03/Sections/20150320_121828_Chart64.xml</TARGET_STORYFULLNAME>
    <TARGETTYPE>Picture</TARGETTYPE>
  </Link>
  <Link>
    <GUID>402831c8-6c11-4028-9ade-a4e3bf6ed5d0</GUID>
    <SOURCEAPPLICATION>EXCEL_SOURCE</SOURCEAPPLICATION>
    <OBJECTTYPE>Native</OBJECTTYPE>
    <UPDATEDAT>3/20/2015 12:18:30 AM</UPDATEDAT>
    <SOURCE_ISOUTOFDATE>False</SOURCE_ISOUTOFDATE>
    <IMPORTEXPORTINBLACKANDWHITE>False</IMPORTEXPORTINBLACKANDWHITE>
    <IMPORTEXPORTTABLETEXTINBLACKANDWHITE>False</IMPORTEXPORTTABLETEXTINBLACKANDWHITE>
    <TABLEBACKGROUND>Existing</TABLEBACKGROUND>
    <HIDEGRIDLINES>True</HIDEGRIDLINES>
    <TARGETAPPLICATION>METHODE_TARGET</TARGETAPPLICATION>
    <TRANSPARENTBACKGROUND>False</TRANSPARENTBACKGROUND>
    <TRANSPARENTPLOTAREA>False</TRANSPARENTPLOTAREA>
    <SOURCE_ALTADDRESS>BS109</SOURCE_ALTADDRESS>
    <SOURCETYPE>Chart</SOURCETYPE>
    <SOURCE_OBJECTNAME>License billings productivity</SOURCE_OBJECTNAME>
    <SOURCE_SHEETCODE>Sheet13</SOURCE_SHEETCODE>
    <SOURCE_SHEETNAME>Chart Data</SOURCE_SHEETNAME>
    <SOURCE_WORKBOOKNAME>ORCL.XLSM</SOURCE_WORKBOOKNAME>
    <SOURCE_WORKBOOKPATH>\\MSAD\ROOT\NA\NY\LIB\ER\ER43\ESWMODELS</SOURCE_WORKBOOKPATH>
    <TARGET_BINARYFULLNAME>/MSResearch/Content/ExternalAssets/2015-03/Images/License_billings_productivity_RFE5oBjAjEKSTZomHod9Q--.png</TARGET_BINARYFULLNAME>
    <TARGET_UUID>2bbb4e9e-ceb8-11e4-b2c3-562df972b59d</TARGET_UUID>
    <TARGET_LOID>7.0.301640015</TARGET_LOID>
    <TARGET_STORYFULLNAME>/MSResearch/Content/ExternalAssets/2015-03/Sections/20150320_121832_Licensebillingsproductivity.xml</TARGET_STORYFULLNAME>
    <TARGETTYPE>Picture</TARGETTYPE>
  </Link>
  <Link>
    <GUID>63f95623-7dee-43bb-9ca2-6cf2df91524b</GUID>
    <SOURCEAPPLICATION>EXCEL_SOURCE</SOURCEAPPLICATION>
    <OBJECTTYPE>Native</OBJECTTYPE>
    <UPDATEDAT>3/20/2015 12:18:33 AM</UPDATEDAT>
    <SOURCE_ISOUTOFDATE>False</SOURCE_ISOUTOFDATE>
    <IMPORTEXPORTINBLACKANDWHITE>False</IMPORTEXPORTINBLACKANDWHITE>
    <IMPORTEXPORTTABLETEXTINBLACKANDWHITE>False</IMPORTEXPORTTABLETEXTINBLACKANDWHITE>
    <TABLEBACKGROUND>Existing</TABLEBACKGROUND>
    <HIDEGRIDLINES>True</HIDEGRIDLINES>
    <TARGETAPPLICATION>METHODE_TARGET</TARGETAPPLICATION>
    <TRANSPARENTBACKGROUND>False</TRANSPARENTBACKGROUND>
    <TRANSPARENTPLOTAREA>False</TRANSPARENTPLOTAREA>
    <SOURCE_ALTADDRESS>H25</SOURCE_ALTADDRESS>
    <SOURCETYPE>Chart</SOURCETYPE>
    <SOURCE_OBJECTNAME>licbillings</SOURCE_OBJECTNAME>
    <SOURCE_SHEETCODE>Sheet29</SOURCE_SHEETCODE>
    <SOURCE_SHEETNAME>Charts</SOURCE_SHEETNAME>
    <SOURCE_WORKBOOKNAME>ORCL.XLSM</SOURCE_WORKBOOKNAME>
    <SOURCE_WORKBOOKPATH>\\MSAD\ROOT\NA\NY\LIB\ER\ER43\ESWMODELS</SOURCE_WORKBOOKPATH>
    <TARGET_BINARYFULLNAME>/MSResearch/Content/ExternalAssets/2015-03/Images/licbillings_zEzcMnSEgEis3HXjxhYp-w--.png</TARGET_BINARYFULLNAME>
    <TARGET_UUID>2de9cefc-ceb8-11e4-b2c3-562df972b59d</TARGET_UUID>
    <TARGET_LOID>7.0.301640118</TARGET_LOID>
    <TARGET_STORYFULLNAME>/MSResearch/Content/ExternalAssets/2015-03/Sections/20150320_121836_licbillings.xml</TARGET_STORYFULLNAME>
    <TARGETTYPE>Picture</TARGETTYPE>
  </Link>
  <Link>
    <GUID>3d21e06d-6070-4f23-8835-49810432f55f</GUID>
    <SOURCEAPPLICATION>EXCEL_SOURCE</SOURCEAPPLICATION>
    <OBJECTTYPE>Native</OBJECTTYPE>
    <UPDATEDAT>3/20/2015 12:18:36 AM</UPDATEDAT>
    <SOURCE_ISOUTOFDATE>False</SOURCE_ISOUTOFDATE>
    <IMPORTEXPORTINBLACKANDWHITE>False</IMPORTEXPORTINBLACKANDWHITE>
    <IMPORTEXPORTTABLETEXTINBLACKANDWHITE>False</IMPORTEXPORTTABLETEXTINBLACKANDWHITE>
    <TABLEBACKGROUND>Existing</TABLEBACKGROUND>
    <HIDEGRIDLINES>True</HIDEGRIDLINES>
    <TARGETAPPLICATION>METHODE_TARGET</TARGETAPPLICATION>
    <TRANSPARENTBACKGROUND>False</TRANSPARENTBACKGROUND>
    <TRANSPARENTPLOTAREA>False</TRANSPARENTPLOTAREA>
    <SOURCE_ALTADDRESS>A2</SOURCE_ALTADDRESS>
    <SOURCETYPE>Chart</SOURCETYPE>
    <SOURCE_OBJECTNAME>Chart 61</SOURCE_OBJECTNAME>
    <SOURCE_SHEETCODE>Sheet29</SOURCE_SHEETCODE>
    <SOURCE_SHEETNAME>Charts</SOURCE_SHEETNAME>
    <SOURCE_WORKBOOKNAME>ORCL.XLSM</SOURCE_WORKBOOKNAME>
    <SOURCE_WORKBOOKPATH>\\MSAD\ROOT\NA\NY\LIB\ER\ER43\ESWMODELS</SOURCE_WORKBOOKPATH>
    <TARGET_BINARYFULLNAME>/MSResearch/Content/ExternalAssets/2015-03/Images/Chart_61_U3ZWbFdzyaHrlB_DySAg--.png</TARGET_BINARYFULLNAME>
    <TARGET_UUID>2fb27144-ceb8-11e4-b2c3-562df972b59d</TARGET_UUID>
    <TARGET_LOID>7.0.301640221</TARGET_LOID>
    <TARGET_STORYFULLNAME>/MSResearch/Content/ExternalAssets/2015-03/Sections/20150320_121839_Chart61.xml</TARGET_STORYFULLNAME>
    <TARGETTYPE>Picture</TARGETTYPE>
  </Link>
  <Link>
    <GUID>315bf638-df20-4c90-ac6a-e752b516cdc0</GUID>
    <SOURCETYPE>Chart</SOURCETYPE>
    <SOURCE_OBJECTNAME>Mix effeciency</SOURCE_OBJECTNAME>
    <SOURCE_SHEETCODE>Sheet13</SOURCE_SHEETCODE>
    <SOURCE_SHEETNAME>Chart Data</SOURCE_SHEETNAME>
    <OBJECTTYPE>Native</OBJECTTYPE>
    <SOURCEAPPLICATION>EXCEL_SOURCE</SOURCEAPPLICATION>
    <UPDATEDAT>3/20/2015 1:00:13 AM</UPDATEDAT>
    <SOURCE_ISOUTOFDATE>False</SOURCE_ISOUTOFDATE>
    <SOURCE_WORKBOOKNAME>ORCL.xlsm</SOURCE_WORKBOOKNAME>
    <SOURCE_WORKBOOKPATH>\\MSAD\ROOT\NA\NY\LIB\ER\ER43\ESWModels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EXTRACTSOURCEMODE>CopyToClipboard</EXTRACTSOURCEMODE>
    <TARGET_BINARYFULLNAME>/MSResearch/Content/ExternalAssets/2015-03/Images/7JyEvqfZKEmmGkX-Q5fltw--.png</TARGET_BINARYFULLNAME>
    <TARGET_STORYFULLNAME>/MSResearch/Content/ExternalAssets/2015-03/Sections/20150320_010012_Mixeffeciency.xml</TARGET_STORYFULLNAME>
    <TARGET_UUID>fd3d3bd0-cebd-11e4-b2c3-562df972b59d</TARGET_UUID>
  </Link>
  <Link>
    <GUID>cdbf64bf-1523-49a0-9212-b25cd2fd7811</GUID>
    <SOURCE_ALTADDRESS>$D$11:$K$41</SOURCE_ALTADDRESS>
    <SOURCETYPE>Table</SOURCETYPE>
    <SOURCE_OBJECTNAME>Linking_Range_81</SOURCE_OBJECTNAME>
    <OBJECTTYPE>Native</OBJECTTYPE>
    <SOURCE_SHEETCODE>Sheet33</SOURCE_SHEETCODE>
    <SOURCE_SHEETNAME>SAP Reseller impact</SOURCE_SHEETNAME>
    <SOURCEAPPLICATION>EXCEL_SOURCE</SOURCEAPPLICATION>
    <UPDATEDAT>4/1/2015 2:20:02 AM</UPDATEDAT>
    <SOURCE_ISOUTOFDATE>False</SOURCE_ISOUTOFDATE>
    <SOURCE_WORKBOOKNAME>ORCL.xlsm</SOURCE_WORKBOOKNAME>
    <SOURCE_WORKBOOKPATH>\\MSAD\ROOT\NA\NY\LIB\ER\ER43\ESWModels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/MSResearch/Content/ExternalAssets/2015-04/Images/Ip0tKbnKIU_4NXCo1aNsow--.png</TARGET_BINARYFULLNAME>
    <TARGET_STORYFULLNAME>/MSResearch/Content/ExternalAssets/2015-04/Sections/20150401_123250_Linking_Range_81.xml</TARGET_STORYFULLNAME>
    <TARGET_UUID>27b8188a-d828-11e4-bab8-0090c965f561</TARGET_UUID>
    <LINKSTATUS>Unknown</LINKSTATUS>
  </Link>
  <Link>
    <GUID>0a5bc0b4-3f67-421f-b277-74dbd4cdbf9a</GUID>
    <SOURCE_ALTADDRESS>$B$3:$C$9</SOURCE_ALTADDRESS>
    <SOURCETYPE>Table</SOURCETYPE>
    <SOURCE_OBJECTNAME>Linking_Range_80</SOURCE_OBJECTNAME>
    <OBJECTTYPE>Native</OBJECTTYPE>
    <SOURCE_SHEETCODE>Sheet33</SOURCE_SHEETCODE>
    <SOURCE_SHEETNAME>SAP Reseller impact</SOURCE_SHEETNAME>
    <SOURCEAPPLICATION>EXCEL_SOURCE</SOURCEAPPLICATION>
    <UPDATEDAT>4/8/2015 5:10:16 PM</UPDATEDAT>
    <SOURCE_ISOUTOFDATE>False</SOURCE_ISOUTOFDATE>
    <SOURCE_WORKBOOKNAME>ORCL.xlsm</SOURCE_WORKBOOKNAME>
    <SOURCE_WORKBOOKPATH>\\MSAD\ROOT\NA\NY\LIB\ER\ER43\ESWModels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/MSResearch/Content/ExternalAssets/2015-04/Images/iZ7fWu7yv0yMtzD59KHJpA--.png</TARGET_BINARYFULLNAME>
    <TARGET_STORYFULLNAME>/MSResearch/Content/ExternalAssets/2015-04/Sections/20150401_122339_Linking_Range_80.xml</TARGET_STORYFULLNAME>
    <TARGET_UUID>df53c2de-d826-11e4-bab8-0090c965f561</TARGET_UUID>
    <LINKSTATUS>Unknown</LINKSTATUS>
  </Link>
  <Link>
    <GUID>8b491432-b5d3-4eb8-84a3-70ce43790a4b</GUID>
    <SOURCE_ALTADDRESS>$B$44:$C$51</SOURCE_ALTADDRESS>
    <SOURCETYPE>Table</SOURCETYPE>
    <SOURCE_OBJECTNAME>Linking_Range_82</SOURCE_OBJECTNAME>
    <OBJECTTYPE>Native</OBJECTTYPE>
    <SOURCE_SHEETCODE>Sheet33</SOURCE_SHEETCODE>
    <SOURCE_SHEETNAME>SAP Reseller impact</SOURCE_SHEETNAME>
    <SOURCEAPPLICATION>EXCEL_SOURCE</SOURCEAPPLICATION>
    <UPDATEDAT>4/9/2015 11:01:15 AM</UPDATEDAT>
    <SOURCE_ISOUTOFDATE>False</SOURCE_ISOUTOFDATE>
    <SOURCE_WORKBOOKNAME>ORCL.xlsm</SOURCE_WORKBOOKNAME>
    <SOURCE_WORKBOOKPATH>\\MSAD\ROOT\NA\NY\LIB\ER\ER43\ESWMODELS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/MSResearch/Content/ExternalAssets/2015-04/Images/EoGeCLe9t0mVk0dQtKeJCg--.png</TARGET_BINARYFULLNAME>
    <TARGET_STORYFULLNAME>/MSResearch/Content/ExternalAssets/2015-04/Sections/20150409_110112_Linking_Range_82.xml</TARGET_STORYFULLNAME>
    <TARGET_UUID>4316a19e-dec9-11e4-9cfb-6eb77350c59b</TARGET_UUID>
  </Link>
  <Link>
    <GUID>aa525963-006b-4c8c-b3e3-b0896b4c7408</GUID>
    <SOURCE_ALTADDRESS>$B$5:$F$12</SOURCE_ALTADDRESS>
    <SOURCETYPE>Table</SOURCETYPE>
    <SOURCE_OBJECTNAME>Linking_Range_83</SOURCE_OBJECTNAME>
    <OBJECTTYPE>Native</OBJECTTYPE>
    <SOURCE_SHEETCODE>Sheet34</SOURCE_SHEETCODE>
    <SOURCE_SHEETNAME>Sheet1</SOURCE_SHEETNAME>
    <SOURCEAPPLICATION>EXCEL_SOURCE</SOURCEAPPLICATION>
    <UPDATEDAT>4/22/2015 1:42:56 PM</UPDATEDAT>
    <SOURCE_ISOUTOFDATE>False</SOURCE_ISOUTOFDATE>
    <SOURCE_WORKBOOKNAME>ORCL.xlsm</SOURCE_WORKBOOKNAME>
    <SOURCE_WORKBOOKPATH>\\MSAD\ROOT\NA\NY\LIB\ER\ER43\ESWModels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/MSResearch/Content/ExternalAssets/2015-04/Images/sHV1rHoJrUOKIcdYKHG1Ww--.png</TARGET_BINARYFULLNAME>
    <TARGET_STORYFULLNAME>/MSResearch/Content/ExternalAssets/2015-04/Sections/20150422_014253_Linking_Range_83.xml</TARGET_STORYFULLNAME>
    <TARGET_UUID>00f9ce00-e917-11e4-b44c-544b7b2f2e67</TARGET_UUID>
  </Link>
</lk:Links>
</file>

<file path=customXml/item2.xml><?xml version="1.0" encoding="utf-8"?>
<lkmtd:Metadata xmlns:lkmtd="thomsonreuters.linking.metadatachange">
  <MetadataChanged>0</MetadataChanged>
</lkmtd:Metadata>
</file>

<file path=customXml/itemProps1.xml><?xml version="1.0" encoding="utf-8"?>
<ds:datastoreItem xmlns:ds="http://schemas.openxmlformats.org/officeDocument/2006/customXml" ds:itemID="{CDF090DD-DA17-4D82-BC8F-8625EDC5B469}">
  <ds:schemaRefs>
    <ds:schemaRef ds:uri="thomsonreuters.linking.metadata"/>
  </ds:schemaRefs>
</ds:datastoreItem>
</file>

<file path=customXml/itemProps2.xml><?xml version="1.0" encoding="utf-8"?>
<ds:datastoreItem xmlns:ds="http://schemas.openxmlformats.org/officeDocument/2006/customXml" ds:itemID="{ACAB2444-1AA9-4669-ABCA-55B612F966DC}">
  <ds:schemaRefs>
    <ds:schemaRef ds:uri="thomsonreuters.linking.metadatachang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349</vt:i4>
      </vt:variant>
    </vt:vector>
  </HeadingPairs>
  <TitlesOfParts>
    <vt:vector size="357" baseType="lpstr">
      <vt:lpstr>ImportantDisclosures</vt:lpstr>
      <vt:lpstr>Model</vt:lpstr>
      <vt:lpstr>Balance Sheet</vt:lpstr>
      <vt:lpstr>Cash Flow</vt:lpstr>
      <vt:lpstr>Metrics</vt:lpstr>
      <vt:lpstr>Geographic Detail</vt:lpstr>
      <vt:lpstr>IndexInformation</vt:lpstr>
      <vt:lpstr>ModPubIndex</vt:lpstr>
      <vt:lpstr>_1c00</vt:lpstr>
      <vt:lpstr>_1c01</vt:lpstr>
      <vt:lpstr>_1c02</vt:lpstr>
      <vt:lpstr>_1c03</vt:lpstr>
      <vt:lpstr>_1c04</vt:lpstr>
      <vt:lpstr>_1c05</vt:lpstr>
      <vt:lpstr>_1c06</vt:lpstr>
      <vt:lpstr>_1c07</vt:lpstr>
      <vt:lpstr>_1c08</vt:lpstr>
      <vt:lpstr>_1c09</vt:lpstr>
      <vt:lpstr>_1c10</vt:lpstr>
      <vt:lpstr>_1c11</vt:lpstr>
      <vt:lpstr>_1c12</vt:lpstr>
      <vt:lpstr>_1c13</vt:lpstr>
      <vt:lpstr>_1c14</vt:lpstr>
      <vt:lpstr>_1c15</vt:lpstr>
      <vt:lpstr>_1c16</vt:lpstr>
      <vt:lpstr>_1c17</vt:lpstr>
      <vt:lpstr>_1c18</vt:lpstr>
      <vt:lpstr>_1c95</vt:lpstr>
      <vt:lpstr>_1c96</vt:lpstr>
      <vt:lpstr>_1c97</vt:lpstr>
      <vt:lpstr>_1c98</vt:lpstr>
      <vt:lpstr>_1c99</vt:lpstr>
      <vt:lpstr>_2c00</vt:lpstr>
      <vt:lpstr>_2c01</vt:lpstr>
      <vt:lpstr>_2c02</vt:lpstr>
      <vt:lpstr>_2c03</vt:lpstr>
      <vt:lpstr>_2c04</vt:lpstr>
      <vt:lpstr>_2c05</vt:lpstr>
      <vt:lpstr>_2c06</vt:lpstr>
      <vt:lpstr>_2c07</vt:lpstr>
      <vt:lpstr>_2c08</vt:lpstr>
      <vt:lpstr>_2c09</vt:lpstr>
      <vt:lpstr>_2c10</vt:lpstr>
      <vt:lpstr>_2c11</vt:lpstr>
      <vt:lpstr>_2c12</vt:lpstr>
      <vt:lpstr>_2c13</vt:lpstr>
      <vt:lpstr>_2c14</vt:lpstr>
      <vt:lpstr>_2c15</vt:lpstr>
      <vt:lpstr>_2c16</vt:lpstr>
      <vt:lpstr>_2c17</vt:lpstr>
      <vt:lpstr>_2c18</vt:lpstr>
      <vt:lpstr>_2c95</vt:lpstr>
      <vt:lpstr>_2c96</vt:lpstr>
      <vt:lpstr>_2c97</vt:lpstr>
      <vt:lpstr>_2c98</vt:lpstr>
      <vt:lpstr>_2c99</vt:lpstr>
      <vt:lpstr>_3c00</vt:lpstr>
      <vt:lpstr>_3c01</vt:lpstr>
      <vt:lpstr>_3c02</vt:lpstr>
      <vt:lpstr>_3c03</vt:lpstr>
      <vt:lpstr>_3c04</vt:lpstr>
      <vt:lpstr>_3c05</vt:lpstr>
      <vt:lpstr>_3c06</vt:lpstr>
      <vt:lpstr>_3c07</vt:lpstr>
      <vt:lpstr>_3c08</vt:lpstr>
      <vt:lpstr>_3c09</vt:lpstr>
      <vt:lpstr>_3c10</vt:lpstr>
      <vt:lpstr>_3c11</vt:lpstr>
      <vt:lpstr>_3c12</vt:lpstr>
      <vt:lpstr>_3c13</vt:lpstr>
      <vt:lpstr>_3c14</vt:lpstr>
      <vt:lpstr>_3c15</vt:lpstr>
      <vt:lpstr>_3c16</vt:lpstr>
      <vt:lpstr>_3C17</vt:lpstr>
      <vt:lpstr>_3c94</vt:lpstr>
      <vt:lpstr>_3c95</vt:lpstr>
      <vt:lpstr>_3c96</vt:lpstr>
      <vt:lpstr>_3c97</vt:lpstr>
      <vt:lpstr>_3c98</vt:lpstr>
      <vt:lpstr>_3c99</vt:lpstr>
      <vt:lpstr>_4c00</vt:lpstr>
      <vt:lpstr>_4c01</vt:lpstr>
      <vt:lpstr>_4c02</vt:lpstr>
      <vt:lpstr>_4c03</vt:lpstr>
      <vt:lpstr>_4c04</vt:lpstr>
      <vt:lpstr>_4c05</vt:lpstr>
      <vt:lpstr>_4c06</vt:lpstr>
      <vt:lpstr>_4c07</vt:lpstr>
      <vt:lpstr>_4c08</vt:lpstr>
      <vt:lpstr>_4c09</vt:lpstr>
      <vt:lpstr>_4c10</vt:lpstr>
      <vt:lpstr>_4c11</vt:lpstr>
      <vt:lpstr>_4c12</vt:lpstr>
      <vt:lpstr>_4c13</vt:lpstr>
      <vt:lpstr>_4c14</vt:lpstr>
      <vt:lpstr>_4c15</vt:lpstr>
      <vt:lpstr>_4c16</vt:lpstr>
      <vt:lpstr>_4c17</vt:lpstr>
      <vt:lpstr>_4c94</vt:lpstr>
      <vt:lpstr>_4c95</vt:lpstr>
      <vt:lpstr>_4c96</vt:lpstr>
      <vt:lpstr>_4c97</vt:lpstr>
      <vt:lpstr>_4c98</vt:lpstr>
      <vt:lpstr>_4c99</vt:lpstr>
      <vt:lpstr>_BS</vt:lpstr>
      <vt:lpstr>_CF</vt:lpstr>
      <vt:lpstr>_fy00</vt:lpstr>
      <vt:lpstr>_fy01</vt:lpstr>
      <vt:lpstr>_fy02</vt:lpstr>
      <vt:lpstr>_fy03</vt:lpstr>
      <vt:lpstr>_fy04</vt:lpstr>
      <vt:lpstr>_fy05</vt:lpstr>
      <vt:lpstr>_fy06</vt:lpstr>
      <vt:lpstr>_fy07</vt:lpstr>
      <vt:lpstr>_fy08</vt:lpstr>
      <vt:lpstr>_fy09</vt:lpstr>
      <vt:lpstr>_fy10</vt:lpstr>
      <vt:lpstr>_fy11</vt:lpstr>
      <vt:lpstr>_fy12</vt:lpstr>
      <vt:lpstr>_fy13</vt:lpstr>
      <vt:lpstr>_fy14</vt:lpstr>
      <vt:lpstr>_fy15</vt:lpstr>
      <vt:lpstr>_fy16</vt:lpstr>
      <vt:lpstr>_fy17</vt:lpstr>
      <vt:lpstr>_fy18</vt:lpstr>
      <vt:lpstr>_fy84</vt:lpstr>
      <vt:lpstr>_fy85</vt:lpstr>
      <vt:lpstr>_fy86</vt:lpstr>
      <vt:lpstr>_fy87</vt:lpstr>
      <vt:lpstr>_fy88</vt:lpstr>
      <vt:lpstr>_fy89</vt:lpstr>
      <vt:lpstr>_fy90</vt:lpstr>
      <vt:lpstr>_fy91</vt:lpstr>
      <vt:lpstr>_fy92</vt:lpstr>
      <vt:lpstr>_fy93</vt:lpstr>
      <vt:lpstr>_fy94</vt:lpstr>
      <vt:lpstr>_fy95</vt:lpstr>
      <vt:lpstr>_fy96</vt:lpstr>
      <vt:lpstr>_fy97</vt:lpstr>
      <vt:lpstr>_fy98</vt:lpstr>
      <vt:lpstr>_fy99</vt:lpstr>
      <vt:lpstr>_IS</vt:lpstr>
      <vt:lpstr>_ISA</vt:lpstr>
      <vt:lpstr>_ORGCC</vt:lpstr>
      <vt:lpstr>AdditionalInstructions</vt:lpstr>
      <vt:lpstr>ImportantDisclosures!Address</vt:lpstr>
      <vt:lpstr>alrev</vt:lpstr>
      <vt:lpstr>ModPubIndex!ANA</vt:lpstr>
      <vt:lpstr>apac</vt:lpstr>
      <vt:lpstr>aps</vt:lpstr>
      <vt:lpstr>ImportantDisclosures!Authors</vt:lpstr>
      <vt:lpstr>IndexInformation!Authors</vt:lpstr>
      <vt:lpstr>ModPubIndex!BRO</vt:lpstr>
      <vt:lpstr>capex</vt:lpstr>
      <vt:lpstr>cash</vt:lpstr>
      <vt:lpstr>cash_share</vt:lpstr>
      <vt:lpstr>cashshare</vt:lpstr>
      <vt:lpstr>CopyrightStamp</vt:lpstr>
      <vt:lpstr>ModPubIndex!COU</vt:lpstr>
      <vt:lpstr>IndexInformation!CQEnd</vt:lpstr>
      <vt:lpstr>crev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dcfdna</vt:lpstr>
      <vt:lpstr>debt</vt:lpstr>
      <vt:lpstr>defrev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dlrev</vt:lpstr>
      <vt:lpstr>ModPubIndex!DOCDAT</vt:lpstr>
      <vt:lpstr>ModPubIndex!DOCTIME</vt:lpstr>
      <vt:lpstr>IndexInformation!DocType</vt:lpstr>
      <vt:lpstr>dom</vt:lpstr>
      <vt:lpstr>domhc</vt:lpstr>
      <vt:lpstr>dso</vt:lpstr>
      <vt:lpstr>ModPubIndex!EMAIL_ALERT</vt:lpstr>
      <vt:lpstr>IndexInformation!EmailAlert</vt:lpstr>
      <vt:lpstr>emea</vt:lpstr>
      <vt:lpstr>eps</vt:lpstr>
      <vt:lpstr>erev</vt:lpstr>
      <vt:lpstr>fcf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gna</vt:lpstr>
      <vt:lpstr>grinc</vt:lpstr>
      <vt:lpstr>grmgn</vt:lpstr>
      <vt:lpstr>grp</vt:lpstr>
      <vt:lpstr>hc</vt:lpstr>
      <vt:lpstr>ModPubIndex!HL</vt:lpstr>
      <vt:lpstr>hwprodrev</vt:lpstr>
      <vt:lpstr>hwrev</vt:lpstr>
      <vt:lpstr>hwsupprev</vt:lpstr>
      <vt:lpstr>ModPubIndex!IND</vt:lpstr>
      <vt:lpstr>ImportantDisclosures!Industry</vt:lpstr>
      <vt:lpstr>IndustryId</vt:lpstr>
      <vt:lpstr>ImportantDisclosures!IndustryRating</vt:lpstr>
      <vt:lpstr>intl</vt:lpstr>
      <vt:lpstr>intlhc</vt:lpstr>
      <vt:lpstr>IndexInformation!KeepVersions</vt:lpstr>
      <vt:lpstr>LanguageCode</vt:lpstr>
      <vt:lpstr>lapac</vt:lpstr>
      <vt:lpstr>ImportantDisclosures!LastCell</vt:lpstr>
      <vt:lpstr>ldom</vt:lpstr>
      <vt:lpstr>lemea</vt:lpstr>
      <vt:lpstr>licensecost</vt:lpstr>
      <vt:lpstr>Linking_11</vt:lpstr>
      <vt:lpstr>Linking_12</vt:lpstr>
      <vt:lpstr>Linking_23</vt:lpstr>
      <vt:lpstr>Linking_24</vt:lpstr>
      <vt:lpstr>Linking_25</vt:lpstr>
      <vt:lpstr>Linking_26</vt:lpstr>
      <vt:lpstr>Linking_29</vt:lpstr>
      <vt:lpstr>Linking_3</vt:lpstr>
      <vt:lpstr>Linking_31</vt:lpstr>
      <vt:lpstr>Linking_32</vt:lpstr>
      <vt:lpstr>Linking_35</vt:lpstr>
      <vt:lpstr>Linking_36</vt:lpstr>
      <vt:lpstr>Linking_40</vt:lpstr>
      <vt:lpstr>Linking_41</vt:lpstr>
      <vt:lpstr>Linking_42</vt:lpstr>
      <vt:lpstr>Linking_47</vt:lpstr>
      <vt:lpstr>Linking_5</vt:lpstr>
      <vt:lpstr>Linking_6</vt:lpstr>
      <vt:lpstr>Linking_7</vt:lpstr>
      <vt:lpstr>Linking_8</vt:lpstr>
      <vt:lpstr>Linking_Range_1</vt:lpstr>
      <vt:lpstr>Linking_Range_10</vt:lpstr>
      <vt:lpstr>Linking_Range_14</vt:lpstr>
      <vt:lpstr>Linking_Range_15</vt:lpstr>
      <vt:lpstr>Linking_Range_16</vt:lpstr>
      <vt:lpstr>Linking_Range_21</vt:lpstr>
      <vt:lpstr>Linking_Range_22</vt:lpstr>
      <vt:lpstr>Linking_Range_28</vt:lpstr>
      <vt:lpstr>Linking_Range_30</vt:lpstr>
      <vt:lpstr>Linking_Range_31</vt:lpstr>
      <vt:lpstr>Linking_Range_32</vt:lpstr>
      <vt:lpstr>Linking_Range_33</vt:lpstr>
      <vt:lpstr>Linking_Range_35</vt:lpstr>
      <vt:lpstr>Linking_Range_36</vt:lpstr>
      <vt:lpstr>Linking_Range_37</vt:lpstr>
      <vt:lpstr>Linking_Range_38</vt:lpstr>
      <vt:lpstr>Linking_Range_40</vt:lpstr>
      <vt:lpstr>Linking_Range_41</vt:lpstr>
      <vt:lpstr>Linking_Range_43</vt:lpstr>
      <vt:lpstr>Linking_Range_44</vt:lpstr>
      <vt:lpstr>Linking_Range_45</vt:lpstr>
      <vt:lpstr>Linking_Range_46</vt:lpstr>
      <vt:lpstr>Linking_Range_50</vt:lpstr>
      <vt:lpstr>Linking_Range_51</vt:lpstr>
      <vt:lpstr>Linking_Range_54</vt:lpstr>
      <vt:lpstr>Linking_Range_55</vt:lpstr>
      <vt:lpstr>Linking_Range_56</vt:lpstr>
      <vt:lpstr>Linking_Range_58</vt:lpstr>
      <vt:lpstr>Linking_Range_59</vt:lpstr>
      <vt:lpstr>Linking_Range_6</vt:lpstr>
      <vt:lpstr>Linking_Range_62</vt:lpstr>
      <vt:lpstr>Linking_Range_63</vt:lpstr>
      <vt:lpstr>Linking_Range_64</vt:lpstr>
      <vt:lpstr>Linking_Range_67</vt:lpstr>
      <vt:lpstr>Linking_Range_68</vt:lpstr>
      <vt:lpstr>Linking_Range_69</vt:lpstr>
      <vt:lpstr>Linking_Range_7</vt:lpstr>
      <vt:lpstr>Linking_Range_70</vt:lpstr>
      <vt:lpstr>Linking_Range_72</vt:lpstr>
      <vt:lpstr>Linking_Range_73</vt:lpstr>
      <vt:lpstr>Linking_Range_74</vt:lpstr>
      <vt:lpstr>Linking_Range_75</vt:lpstr>
      <vt:lpstr>Linking_Range_76</vt:lpstr>
      <vt:lpstr>Linking_Range_77</vt:lpstr>
      <vt:lpstr>Linking_Range_78</vt:lpstr>
      <vt:lpstr>Linking_Range_79</vt:lpstr>
      <vt:lpstr>Linking_Range_8</vt:lpstr>
      <vt:lpstr>Linking_Range_9</vt:lpstr>
      <vt:lpstr>lintl</vt:lpstr>
      <vt:lpstr>lrev</vt:lpstr>
      <vt:lpstr>ltmeps</vt:lpstr>
      <vt:lpstr>ltmfcf</vt:lpstr>
      <vt:lpstr>ltmlrev</vt:lpstr>
      <vt:lpstr>ltmni</vt:lpstr>
      <vt:lpstr>ltmop</vt:lpstr>
      <vt:lpstr>ltmopcash</vt:lpstr>
      <vt:lpstr>ltmopex</vt:lpstr>
      <vt:lpstr>ltmopmgn</vt:lpstr>
      <vt:lpstr>ltmrev</vt:lpstr>
      <vt:lpstr>ltmrnd</vt:lpstr>
      <vt:lpstr>IndexInformation!MacroVersion</vt:lpstr>
      <vt:lpstr>ImportantDisclosures!ModelPrice</vt:lpstr>
      <vt:lpstr>mrev</vt:lpstr>
      <vt:lpstr>IndexInformation!Multiplier</vt:lpstr>
      <vt:lpstr>IndexInformation!NextYearEPS</vt:lpstr>
      <vt:lpstr>IndexInformation!NextYearTotalRevenue</vt:lpstr>
      <vt:lpstr>IndexInformation!NextYearTotalRevenueActual</vt:lpstr>
      <vt:lpstr>ni</vt:lpstr>
      <vt:lpstr>nirep</vt:lpstr>
      <vt:lpstr>nopat</vt:lpstr>
      <vt:lpstr>ObjectType</vt:lpstr>
      <vt:lpstr>op</vt:lpstr>
      <vt:lpstr>opcash</vt:lpstr>
      <vt:lpstr>opmgn</vt:lpstr>
      <vt:lpstr>othinc</vt:lpstr>
      <vt:lpstr>ModPubIndex!PANA</vt:lpstr>
      <vt:lpstr>IndexInformation!PathName</vt:lpstr>
      <vt:lpstr>'Balance Sheet'!Print_Area</vt:lpstr>
      <vt:lpstr>'Cash Flow'!Print_Area</vt:lpstr>
      <vt:lpstr>'Geographic Detail'!Print_Area</vt:lpstr>
      <vt:lpstr>Metrics!Print_Area</vt:lpstr>
      <vt:lpstr>Model!Print_Area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rdhc</vt:lpstr>
      <vt:lpstr>IndexInformation!ResearchTopic</vt:lpstr>
      <vt:lpstr>rev</vt:lpstr>
      <vt:lpstr>revemp</vt:lpstr>
      <vt:lpstr>revrndemp</vt:lpstr>
      <vt:lpstr>IndexInformation!RIC</vt:lpstr>
      <vt:lpstr>rnd</vt:lpstr>
      <vt:lpstr>rrev</vt:lpstr>
      <vt:lpstr>IndexInformation!SEDOL</vt:lpstr>
      <vt:lpstr>servicecost</vt:lpstr>
      <vt:lpstr>shs</vt:lpstr>
      <vt:lpstr>slscost</vt:lpstr>
      <vt:lpstr>smhc</vt:lpstr>
      <vt:lpstr>snm</vt:lpstr>
      <vt:lpstr>ImportantDisclosures!SourceDefined</vt:lpstr>
      <vt:lpstr>srev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taxes</vt:lpstr>
      <vt:lpstr>taxrate</vt:lpstr>
      <vt:lpstr>TemplateRegion</vt:lpstr>
      <vt:lpstr>ImportantDisclosures!Ticker</vt:lpstr>
      <vt:lpstr>TickerRegion</vt:lpstr>
      <vt:lpstr>IndexInformation!Tickers</vt:lpstr>
      <vt:lpstr>toteq</vt:lpstr>
      <vt:lpstr>totexp</vt:lpstr>
      <vt:lpstr>totrec</vt:lpstr>
      <vt:lpstr>trans500k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2003-09-09T19:39:21Z</dcterms:created>
  <dc:creator>bloome</dc:creator>
  <cp:lastModifiedBy>Baer, Josh (Research)</cp:lastModifiedBy>
  <cp:lastPrinted>2018-03-15T22:55:47Z</cp:lastPrinted>
  <dcterms:modified xsi:type="dcterms:W3CDTF">2018-03-20T15:48:06Z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ModelwareExpressVersionNumber" pid="2">
    <vt:lpwstr>3.00</vt:lpwstr>
  </property>
  <property fmtid="{D5CDD505-2E9C-101B-9397-08002B2CF9AE}" name="LinkingAutoNameNumberLinking_Range_" pid="3">
    <vt:lpwstr>83</vt:lpwstr>
  </property>
  <property fmtid="{D5CDD505-2E9C-101B-9397-08002B2CF9AE}" name="ERModPubTicket" pid="4">
    <vt:lpwstr>NA</vt:lpwstr>
  </property>
  <property fmtid="{D5CDD505-2E9C-101B-9397-08002B2CF9AE}" name="ERCompanyUploadState" pid="5">
    <vt:lpwstr>P</vt:lpwstr>
  </property>
  <property fmtid="{D5CDD505-2E9C-101B-9397-08002B2CF9AE}" name="ModelId" pid="6">
    <vt:lpwstr>757470</vt:lpwstr>
  </property>
  <property fmtid="{D5CDD505-2E9C-101B-9397-08002B2CF9AE}" name="ERModPubCompanyName" pid="7">
    <vt:lpwstr>Oracle Corporation</vt:lpwstr>
  </property>
  <property fmtid="{D5CDD505-2E9C-101B-9397-08002B2CF9AE}" name="MSDH34TAG" pid="8">
    <vt:lpwstr>.TEZUF76X5TAHATHESADREYAK-00-INB160+*94600-06=19b9c6ae/-2c56/-11e8/-b383/-f99601a31d31,MD=20180320114937/-0400,ZZ=000Z-22b4.</vt:lpwstr>
  </property>
</Properties>
</file>